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8.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はじめに" sheetId="1" state="visible" r:id="rId3"/>
    <sheet name="発注のしくみ" sheetId="2" state="visible" r:id="rId4"/>
    <sheet name="①今日の在庫を貼る" sheetId="3" state="visible" r:id="rId5"/>
    <sheet name="②発注数を決める" sheetId="4" state="visible" r:id="rId6"/>
    <sheet name="③発注書" sheetId="5" state="visible" r:id="rId7"/>
    <sheet name="月1回_前回の在庫を貼る" sheetId="6" state="visible" r:id="rId8"/>
    <sheet name="随時_動員を入れる" sheetId="7" state="visible" r:id="rId9"/>
    <sheet name="ダッシュボード" sheetId="8" state="visible" r:id="rId10"/>
    <sheet name="発注管理" sheetId="9" state="visible" r:id="rId11"/>
    <sheet name="商品マスタ" sheetId="10" state="visible" r:id="rId12"/>
    <sheet name="定数マスタ" sheetId="11" state="visible" r:id="rId13"/>
    <sheet name="設定（最初に1回）" sheetId="12" state="visible" r:id="rId14"/>
    <sheet name="発注計算" sheetId="13" state="hidden" r:id="rId15"/>
    <sheet name="全劇場サマリ" sheetId="14" state="hidden" r:id="rId16"/>
  </sheets>
  <definedNames>
    <definedName function="false" hidden="false" localSheetId="3" name="_xlnm.Print_Area" vbProcedure="false">②発注数を決める!$B$2:$Y$409</definedName>
    <definedName function="false" hidden="false" localSheetId="4" name="_xlnm.Print_Area" vbProcedure="false">③発注書!$B$2:$J$111</definedName>
    <definedName function="false" hidden="false" localSheetId="7" name="_xlnm.Print_Area" vbProcedure="false">ダッシュボード!$B$2:$AC$63</definedName>
    <definedName function="false" hidden="false" localSheetId="1" name="_xlnm.Print_Area" vbProcedure="false">発注のしくみ!$B$2:$AL$64</definedName>
    <definedName function="false" hidden="false" localSheetId="6" name="_xlnm.Print_Area" vbProcedure="false">随時_動員を入れる!$B$2:$G$97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<sst xmlns="http://schemas.openxmlformats.org/spreadsheetml/2006/main" count="7865" uniqueCount="766">
  <si>
    <t xml:space="preserve">売店発注ツール</t>
  </si>
  <si>
    <t xml:space="preserve">毎日やること　これだけです</t>
  </si>
  <si>
    <t xml:space="preserve">シートの①②③を左から順にやれば、その日の発注は終わります。</t>
  </si>
  <si>
    <t xml:space="preserve">黄色いセルだけ入力します。それ以外のセルは触らないでください。</t>
  </si>
  <si>
    <t xml:space="preserve">①今日の在庫を貼る</t>
  </si>
  <si>
    <r>
      <rPr>
        <b val="true"/>
        <sz val="11"/>
        <color rgb="FF1B1D24"/>
        <rFont val="WenQuanYi Zen Hei"/>
        <family val="2"/>
      </rPr>
      <t xml:space="preserve">在庫システムから出した「今日の在庫一覧</t>
    </r>
    <r>
      <rPr>
        <b val="true"/>
        <sz val="11"/>
        <color rgb="FF1B1D24"/>
        <rFont val="Meiryo UI"/>
        <family val="0"/>
        <charset val="1"/>
      </rPr>
      <t xml:space="preserve">CSV</t>
    </r>
    <r>
      <rPr>
        <b val="true"/>
        <sz val="11"/>
        <color rgb="FF1B1D24"/>
        <rFont val="WenQuanYi Zen Hei"/>
        <family val="2"/>
      </rPr>
      <t xml:space="preserve">」を貼る</t>
    </r>
  </si>
  <si>
    <r>
      <rPr>
        <sz val="10"/>
        <color rgb="FF4E5163"/>
        <rFont val="WenQuanYi Zen Hei"/>
        <family val="2"/>
      </rPr>
      <t xml:space="preserve">　</t>
    </r>
    <r>
      <rPr>
        <sz val="10"/>
        <color rgb="FF4E5163"/>
        <rFont val="Meiryo UI"/>
        <family val="0"/>
        <charset val="1"/>
      </rPr>
      <t xml:space="preserve">CSV</t>
    </r>
    <r>
      <rPr>
        <sz val="10"/>
        <color rgb="FF4E5163"/>
        <rFont val="WenQuanYi Zen Hei"/>
        <family val="2"/>
      </rPr>
      <t xml:space="preserve">を開いて、見出し行を除いたデータ部分をコピーし、</t>
    </r>
    <r>
      <rPr>
        <sz val="10"/>
        <color rgb="FF4E5163"/>
        <rFont val="Meiryo UI"/>
        <family val="0"/>
        <charset val="1"/>
      </rPr>
      <t xml:space="preserve">A2</t>
    </r>
    <r>
      <rPr>
        <sz val="10"/>
        <color rgb="FF4E5163"/>
        <rFont val="WenQuanYi Zen Hei"/>
        <family val="2"/>
      </rPr>
      <t xml:space="preserve">セルに貼り付けます。</t>
    </r>
  </si>
  <si>
    <r>
      <rPr>
        <sz val="10"/>
        <color rgb="FF4E5163"/>
        <rFont val="WenQuanYi Zen Hei"/>
        <family val="2"/>
      </rPr>
      <t xml:space="preserve">　貼り付けたら、シート上部の「該当行数」が</t>
    </r>
    <r>
      <rPr>
        <sz val="10"/>
        <color rgb="FF4E5163"/>
        <rFont val="Meiryo UI"/>
        <family val="0"/>
        <charset val="1"/>
      </rPr>
      <t xml:space="preserve">0</t>
    </r>
    <r>
      <rPr>
        <sz val="10"/>
        <color rgb="FF4E5163"/>
        <rFont val="WenQuanYi Zen Hei"/>
        <family val="2"/>
      </rPr>
      <t xml:space="preserve">以外になっているか見てください。</t>
    </r>
  </si>
  <si>
    <r>
      <rPr>
        <sz val="10"/>
        <color rgb="FF4E5163"/>
        <rFont val="WenQuanYi Zen Hei"/>
        <family val="2"/>
      </rPr>
      <t xml:space="preserve">　</t>
    </r>
    <r>
      <rPr>
        <sz val="10"/>
        <color rgb="FF4E5163"/>
        <rFont val="Meiryo UI"/>
        <family val="0"/>
        <charset val="1"/>
      </rPr>
      <t xml:space="preserve">0</t>
    </r>
    <r>
      <rPr>
        <sz val="10"/>
        <color rgb="FF4E5163"/>
        <rFont val="WenQuanYi Zen Hei"/>
        <family val="2"/>
      </rPr>
      <t xml:space="preserve">のままなら貼り付けに失敗しています。もう一度やり直してください。</t>
    </r>
  </si>
  <si>
    <t xml:space="preserve">②発注数を決める</t>
  </si>
  <si>
    <t xml:space="preserve">帯を見ながら、黄色の「発注数」に数字を入れる</t>
  </si>
  <si>
    <t xml:space="preserve">　帯が赤い商品は、今日発注しないと在庫が切れます。</t>
  </si>
  <si>
    <r>
      <rPr>
        <sz val="10"/>
        <color rgb="FF4E5163"/>
        <rFont val="WenQuanYi Zen Hei"/>
        <family val="2"/>
      </rPr>
      <t xml:space="preserve">　迷ったら「推奨</t>
    </r>
    <r>
      <rPr>
        <sz val="10"/>
        <color rgb="FF4E5163"/>
        <rFont val="Meiryo UI"/>
        <family val="0"/>
        <charset val="1"/>
      </rPr>
      <t xml:space="preserve">(</t>
    </r>
    <r>
      <rPr>
        <sz val="10"/>
        <color rgb="FF4E5163"/>
        <rFont val="WenQuanYi Zen Hei"/>
        <family val="2"/>
      </rPr>
      <t xml:space="preserve">ケース</t>
    </r>
    <r>
      <rPr>
        <sz val="10"/>
        <color rgb="FF4E5163"/>
        <rFont val="Meiryo UI"/>
        <family val="0"/>
        <charset val="1"/>
      </rPr>
      <t xml:space="preserve">)</t>
    </r>
    <r>
      <rPr>
        <sz val="10"/>
        <color rgb="FF4E5163"/>
        <rFont val="WenQuanYi Zen Hei"/>
        <family val="2"/>
      </rPr>
      <t xml:space="preserve">」に出ている数字をそのまま入れて構いません。</t>
    </r>
  </si>
  <si>
    <t xml:space="preserve">　数字を入れると帯が伸びます。伸びた先まで在庫が持つ、という意味です。</t>
  </si>
  <si>
    <r>
      <rPr>
        <sz val="10"/>
        <color rgb="FF4E5163"/>
        <rFont val="WenQuanYi Zen Hei"/>
        <family val="2"/>
      </rPr>
      <t xml:space="preserve">　右上に「保管スペースの埋まり具合」が出ます。</t>
    </r>
    <r>
      <rPr>
        <sz val="10"/>
        <color rgb="FF4E5163"/>
        <rFont val="Meiryo UI"/>
        <family val="0"/>
        <charset val="1"/>
      </rPr>
      <t xml:space="preserve">100%</t>
    </r>
    <r>
      <rPr>
        <sz val="10"/>
        <color rgb="FF4E5163"/>
        <rFont val="WenQuanYi Zen Hei"/>
        <family val="2"/>
      </rPr>
      <t xml:space="preserve">を超えると入りきりません。</t>
    </r>
  </si>
  <si>
    <t xml:space="preserve">③発注書</t>
  </si>
  <si>
    <t xml:space="preserve">発注先を選んで、印刷する</t>
  </si>
  <si>
    <t xml:space="preserve">　②で入れた数量がここに集まります。発注先を選ぶとその仕入先の分だけになります。</t>
  </si>
  <si>
    <t xml:space="preserve">　そのまま印刷して、いつもの方法で発注してください。</t>
  </si>
  <si>
    <t xml:space="preserve">発注したら「発注管理」シートに記録します。入荷したら入荷日も入れてください。</t>
  </si>
  <si>
    <t xml:space="preserve">発注のしくみ</t>
  </si>
  <si>
    <r>
      <rPr>
        <b val="true"/>
        <sz val="11"/>
        <color rgb="FF1B1D24"/>
        <rFont val="WenQuanYi Zen Hei"/>
        <family val="2"/>
      </rPr>
      <t xml:space="preserve">「何を計算しているのか」を図で見る（最初に</t>
    </r>
    <r>
      <rPr>
        <b val="true"/>
        <sz val="11"/>
        <color rgb="FF1B1D24"/>
        <rFont val="Meiryo UI"/>
        <family val="0"/>
        <charset val="1"/>
      </rPr>
      <t xml:space="preserve">1</t>
    </r>
    <r>
      <rPr>
        <b val="true"/>
        <sz val="11"/>
        <color rgb="FF1B1D24"/>
        <rFont val="WenQuanYi Zen Hei"/>
        <family val="2"/>
      </rPr>
      <t xml:space="preserve">回だけ読めば十分です）</t>
    </r>
  </si>
  <si>
    <r>
      <rPr>
        <sz val="10"/>
        <color rgb="FF4E5163"/>
        <rFont val="WenQuanYi Zen Hei"/>
        <family val="2"/>
      </rPr>
      <t xml:space="preserve">　定数がどこにあるか、そこから発注数がどう出るかを</t>
    </r>
    <r>
      <rPr>
        <sz val="10"/>
        <color rgb="FF4E5163"/>
        <rFont val="Meiryo UI"/>
        <family val="0"/>
        <charset val="1"/>
      </rPr>
      <t xml:space="preserve">1</t>
    </r>
    <r>
      <rPr>
        <sz val="10"/>
        <color rgb="FF4E5163"/>
        <rFont val="WenQuanYi Zen Hei"/>
        <family val="2"/>
      </rPr>
      <t xml:space="preserve">枚にまとめてあります。</t>
    </r>
  </si>
  <si>
    <t xml:space="preserve">色の意味</t>
  </si>
  <si>
    <t xml:space="preserve">　黄色のセル … 入力するところ</t>
  </si>
  <si>
    <t xml:space="preserve">　白・灰色のセル … 自動で計算されるところ（触らない）</t>
  </si>
  <si>
    <t xml:space="preserve">　赤い帯 … 今日発注しないと間に合わない</t>
  </si>
  <si>
    <t xml:space="preserve">　オレンジの帯 … 次の発注までに在庫が切れる</t>
  </si>
  <si>
    <t xml:space="preserve">　緑の帯 … 在庫に余裕がある</t>
  </si>
  <si>
    <t xml:space="preserve">社員の方がやること</t>
  </si>
  <si>
    <r>
      <rPr>
        <b val="true"/>
        <sz val="10"/>
        <color rgb="FF1B1D24"/>
        <rFont val="WenQuanYi Zen Hei"/>
        <family val="2"/>
      </rPr>
      <t xml:space="preserve">月</t>
    </r>
    <r>
      <rPr>
        <b val="true"/>
        <sz val="10"/>
        <color rgb="FF1B1D24"/>
        <rFont val="Meiryo UI"/>
        <family val="0"/>
        <charset val="1"/>
      </rPr>
      <t xml:space="preserve">1</t>
    </r>
    <r>
      <rPr>
        <b val="true"/>
        <sz val="10"/>
        <color rgb="FF1B1D24"/>
        <rFont val="WenQuanYi Zen Hei"/>
        <family val="2"/>
      </rPr>
      <t xml:space="preserve">回</t>
    </r>
    <r>
      <rPr>
        <b val="true"/>
        <sz val="10"/>
        <color rgb="FF1B1D24"/>
        <rFont val="Meiryo UI"/>
        <family val="0"/>
        <charset val="1"/>
      </rPr>
      <t xml:space="preserve">_</t>
    </r>
    <r>
      <rPr>
        <b val="true"/>
        <sz val="10"/>
        <color rgb="FF1B1D24"/>
        <rFont val="WenQuanYi Zen Hei"/>
        <family val="2"/>
      </rPr>
      <t xml:space="preserve">前回の在庫を貼る</t>
    </r>
  </si>
  <si>
    <r>
      <rPr>
        <b val="true"/>
        <sz val="11"/>
        <color rgb="FF1B1D24"/>
        <rFont val="WenQuanYi Zen Hei"/>
        <family val="2"/>
      </rPr>
      <t xml:space="preserve">月に</t>
    </r>
    <r>
      <rPr>
        <b val="true"/>
        <sz val="11"/>
        <color rgb="FF1B1D24"/>
        <rFont val="Meiryo UI"/>
        <family val="0"/>
        <charset val="1"/>
      </rPr>
      <t xml:space="preserve">1</t>
    </r>
    <r>
      <rPr>
        <b val="true"/>
        <sz val="11"/>
        <color rgb="FF1B1D24"/>
        <rFont val="WenQuanYi Zen Hei"/>
        <family val="2"/>
      </rPr>
      <t xml:space="preserve">回、</t>
    </r>
    <r>
      <rPr>
        <b val="true"/>
        <sz val="11"/>
        <color rgb="FF1B1D24"/>
        <rFont val="Meiryo UI"/>
        <family val="0"/>
        <charset val="1"/>
      </rPr>
      <t xml:space="preserve">2</t>
    </r>
    <r>
      <rPr>
        <b val="true"/>
        <sz val="11"/>
        <color rgb="FF1B1D24"/>
        <rFont val="WenQuanYi Zen Hei"/>
        <family val="2"/>
      </rPr>
      <t xml:space="preserve">ヶ月前の在庫一覧</t>
    </r>
    <r>
      <rPr>
        <b val="true"/>
        <sz val="11"/>
        <color rgb="FF1B1D24"/>
        <rFont val="Meiryo UI"/>
        <family val="0"/>
        <charset val="1"/>
      </rPr>
      <t xml:space="preserve">CSV</t>
    </r>
    <r>
      <rPr>
        <b val="true"/>
        <sz val="11"/>
        <color rgb="FF1B1D24"/>
        <rFont val="WenQuanYi Zen Hei"/>
        <family val="2"/>
      </rPr>
      <t xml:space="preserve">を貼り替える</t>
    </r>
  </si>
  <si>
    <t xml:space="preserve">　今日の在庫と突き合わせて、期間の消費量を出します。</t>
  </si>
  <si>
    <t xml:space="preserve">　商品が入れ替わっても発注から漏れないよう、両方の商品を見ています。</t>
  </si>
  <si>
    <r>
      <rPr>
        <b val="true"/>
        <sz val="10"/>
        <color rgb="FF1B1D24"/>
        <rFont val="WenQuanYi Zen Hei"/>
        <family val="2"/>
      </rPr>
      <t xml:space="preserve">随時</t>
    </r>
    <r>
      <rPr>
        <b val="true"/>
        <sz val="10"/>
        <color rgb="FF1B1D24"/>
        <rFont val="Meiryo UI"/>
        <family val="0"/>
        <charset val="1"/>
      </rPr>
      <t xml:space="preserve">_</t>
    </r>
    <r>
      <rPr>
        <b val="true"/>
        <sz val="10"/>
        <color rgb="FF1B1D24"/>
        <rFont val="WenQuanYi Zen Hei"/>
        <family val="2"/>
      </rPr>
      <t xml:space="preserve">動員を入れる</t>
    </r>
  </si>
  <si>
    <t xml:space="preserve">大きな作品の公開週など、来場者の読みが変わる日に入力する</t>
  </si>
  <si>
    <t xml:space="preserve">　空欄の日は劇場の標準来場者数が自動で使われます。毎日入れる必要はありません。</t>
  </si>
  <si>
    <t xml:space="preserve">ダッシュボード</t>
  </si>
  <si>
    <t xml:space="preserve">劇場全体の状況を確認する</t>
  </si>
  <si>
    <t xml:space="preserve">商品マスタ</t>
  </si>
  <si>
    <r>
      <rPr>
        <b val="true"/>
        <sz val="11"/>
        <color rgb="FF1B1D24"/>
        <rFont val="WenQuanYi Zen Hei"/>
        <family val="2"/>
      </rPr>
      <t xml:space="preserve">リードタイム・最低ロット・</t>
    </r>
    <r>
      <rPr>
        <b val="true"/>
        <sz val="11"/>
        <color rgb="FF1B1D24"/>
        <rFont val="Meiryo UI"/>
        <family val="0"/>
        <charset val="1"/>
      </rPr>
      <t xml:space="preserve">PI</t>
    </r>
    <r>
      <rPr>
        <b val="true"/>
        <sz val="11"/>
        <color rgb="FF1B1D24"/>
        <rFont val="WenQuanYi Zen Hei"/>
        <family val="2"/>
      </rPr>
      <t xml:space="preserve">値を登録する</t>
    </r>
  </si>
  <si>
    <t xml:space="preserve">定数マスタ</t>
  </si>
  <si>
    <t xml:space="preserve">劇場・規模区分・季節の係数・保管設備を決める</t>
  </si>
  <si>
    <r>
      <rPr>
        <sz val="10"/>
        <color rgb="FF4E5163"/>
        <rFont val="WenQuanYi Zen Hei"/>
        <family val="2"/>
      </rPr>
      <t xml:space="preserve">　人が決める数字はこの</t>
    </r>
    <r>
      <rPr>
        <sz val="10"/>
        <color rgb="FF4E5163"/>
        <rFont val="Meiryo UI"/>
        <family val="0"/>
        <charset val="1"/>
      </rPr>
      <t xml:space="preserve">1</t>
    </r>
    <r>
      <rPr>
        <sz val="10"/>
        <color rgb="FF4E5163"/>
        <rFont val="WenQuanYi Zen Hei"/>
        <family val="2"/>
      </rPr>
      <t xml:space="preserve">枚に集めてあります。</t>
    </r>
  </si>
  <si>
    <t xml:space="preserve">　⑤保管設備に冷蔵庫やストッカーを登録すると、収容ケース数が自動で集計され、</t>
  </si>
  <si>
    <t xml:space="preserve">　②の「保管スペースの埋まり具合」に反映されます。</t>
  </si>
  <si>
    <r>
      <rPr>
        <b val="true"/>
        <sz val="10"/>
        <color rgb="FF1B1D24"/>
        <rFont val="WenQuanYi Zen Hei"/>
        <family val="2"/>
      </rPr>
      <t xml:space="preserve">設定（最初に</t>
    </r>
    <r>
      <rPr>
        <b val="true"/>
        <sz val="10"/>
        <color rgb="FF1B1D24"/>
        <rFont val="Meiryo UI"/>
        <family val="0"/>
        <charset val="1"/>
      </rPr>
      <t xml:space="preserve">1</t>
    </r>
    <r>
      <rPr>
        <b val="true"/>
        <sz val="10"/>
        <color rgb="FF1B1D24"/>
        <rFont val="WenQuanYi Zen Hei"/>
        <family val="2"/>
      </rPr>
      <t xml:space="preserve">回）</t>
    </r>
  </si>
  <si>
    <t xml:space="preserve">対象の劇場と、発注数の算出基準を選ぶ</t>
  </si>
  <si>
    <t xml:space="preserve">発注数はどう決まっているか</t>
  </si>
  <si>
    <r>
      <rPr>
        <sz val="10"/>
        <color rgb="FF4E5163"/>
        <rFont val="WenQuanYi Zen Hei"/>
        <family val="2"/>
      </rPr>
      <t xml:space="preserve">　この商品は</t>
    </r>
    <r>
      <rPr>
        <sz val="10"/>
        <color rgb="FF4E5163"/>
        <rFont val="Meiryo UI"/>
        <family val="0"/>
        <charset val="1"/>
      </rPr>
      <t xml:space="preserve">1</t>
    </r>
    <r>
      <rPr>
        <sz val="10"/>
        <color rgb="FF4E5163"/>
        <rFont val="WenQuanYi Zen Hei"/>
        <family val="2"/>
      </rPr>
      <t xml:space="preserve">日に何個くらい減るか（実績、または来場者予測 </t>
    </r>
    <r>
      <rPr>
        <sz val="10"/>
        <color rgb="FF4E5163"/>
        <rFont val="Meiryo UI"/>
        <family val="0"/>
        <charset val="1"/>
      </rPr>
      <t xml:space="preserve">× PI</t>
    </r>
    <r>
      <rPr>
        <sz val="10"/>
        <color rgb="FF4E5163"/>
        <rFont val="WenQuanYi Zen Hei"/>
        <family val="2"/>
      </rPr>
      <t xml:space="preserve">値）</t>
    </r>
  </si>
  <si>
    <t xml:space="preserve">　　　　　　↓</t>
  </si>
  <si>
    <t xml:space="preserve">　届くまでの日数と、次に発注するまでの日数のあいだに何個必要か</t>
  </si>
  <si>
    <t xml:space="preserve">　その必要数から、今ある在庫と発注済みの分を引く</t>
  </si>
  <si>
    <t xml:space="preserve">　入数で割って、ケース単位に切り上げる ＝ 推奨発注数</t>
  </si>
  <si>
    <t xml:space="preserve">式で書くと次のとおりです。</t>
  </si>
  <si>
    <r>
      <rPr>
        <sz val="10"/>
        <color rgb="FF4E5163"/>
        <rFont val="WenQuanYi Zen Hei"/>
        <family val="2"/>
      </rPr>
      <t xml:space="preserve">　安全在庫　＝ </t>
    </r>
    <r>
      <rPr>
        <sz val="10"/>
        <color rgb="FF4E5163"/>
        <rFont val="Meiryo UI"/>
        <family val="0"/>
        <charset val="1"/>
      </rPr>
      <t xml:space="preserve">1</t>
    </r>
    <r>
      <rPr>
        <sz val="10"/>
        <color rgb="FF4E5163"/>
        <rFont val="WenQuanYi Zen Hei"/>
        <family val="2"/>
      </rPr>
      <t xml:space="preserve">日あたり消費 </t>
    </r>
    <r>
      <rPr>
        <sz val="10"/>
        <color rgb="FF4E5163"/>
        <rFont val="Meiryo UI"/>
        <family val="0"/>
        <charset val="1"/>
      </rPr>
      <t xml:space="preserve">× </t>
    </r>
    <r>
      <rPr>
        <sz val="10"/>
        <color rgb="FF4E5163"/>
        <rFont val="WenQuanYi Zen Hei"/>
        <family val="2"/>
      </rPr>
      <t xml:space="preserve">安全在庫日数</t>
    </r>
  </si>
  <si>
    <r>
      <rPr>
        <sz val="10"/>
        <color rgb="FF4E5163"/>
        <rFont val="WenQuanYi Zen Hei"/>
        <family val="2"/>
      </rPr>
      <t xml:space="preserve">　発注点　　＝ </t>
    </r>
    <r>
      <rPr>
        <sz val="10"/>
        <color rgb="FF4E5163"/>
        <rFont val="Meiryo UI"/>
        <family val="0"/>
        <charset val="1"/>
      </rPr>
      <t xml:space="preserve">1</t>
    </r>
    <r>
      <rPr>
        <sz val="10"/>
        <color rgb="FF4E5163"/>
        <rFont val="WenQuanYi Zen Hei"/>
        <family val="2"/>
      </rPr>
      <t xml:space="preserve">日あたり消費 </t>
    </r>
    <r>
      <rPr>
        <sz val="10"/>
        <color rgb="FF4E5163"/>
        <rFont val="Meiryo UI"/>
        <family val="0"/>
        <charset val="1"/>
      </rPr>
      <t xml:space="preserve">×</t>
    </r>
    <r>
      <rPr>
        <sz val="10"/>
        <color rgb="FF4E5163"/>
        <rFont val="WenQuanYi Zen Hei"/>
        <family val="2"/>
      </rPr>
      <t xml:space="preserve">（リードタイム＋発注サイクル）＋ 安全在庫</t>
    </r>
  </si>
  <si>
    <t xml:space="preserve">　推奨発注数 ＝ 発注点 − 今の在庫 − 発注済み未入荷</t>
  </si>
  <si>
    <t xml:space="preserve">困ったとき</t>
  </si>
  <si>
    <r>
      <rPr>
        <sz val="10"/>
        <color rgb="FF4E5163"/>
        <rFont val="WenQuanYi Zen Hei"/>
        <family val="2"/>
      </rPr>
      <t xml:space="preserve">　・数字が出ない → 設定シートの「該当行数」が</t>
    </r>
    <r>
      <rPr>
        <sz val="10"/>
        <color rgb="FF4E5163"/>
        <rFont val="Meiryo UI"/>
        <family val="0"/>
        <charset val="1"/>
      </rPr>
      <t xml:space="preserve">0</t>
    </r>
    <r>
      <rPr>
        <sz val="10"/>
        <color rgb="FF4E5163"/>
        <rFont val="WenQuanYi Zen Hei"/>
        <family val="2"/>
      </rPr>
      <t xml:space="preserve">でないか確認</t>
    </r>
  </si>
  <si>
    <t xml:space="preserve">　・在庫がマイナス → 納品がシステムに未計上です。現物を数えて確認してください</t>
  </si>
  <si>
    <t xml:space="preserve">　・「マスタ未登録」と出る → 新商品です。商品マスタに追加してください</t>
  </si>
  <si>
    <r>
      <rPr>
        <sz val="9"/>
        <color rgb="FF7A7D90"/>
        <rFont val="WenQuanYi Zen Hei"/>
        <family val="2"/>
      </rPr>
      <t xml:space="preserve">このツールが何をしているかの説明です。最初に</t>
    </r>
    <r>
      <rPr>
        <sz val="9"/>
        <color rgb="FF7A7D90"/>
        <rFont val="Meiryo UI"/>
        <family val="0"/>
        <charset val="1"/>
      </rPr>
      <t xml:space="preserve">1</t>
    </r>
    <r>
      <rPr>
        <sz val="9"/>
        <color rgb="FF7A7D90"/>
        <rFont val="WenQuanYi Zen Hei"/>
        <family val="2"/>
      </rPr>
      <t xml:space="preserve">回読めば、あとは②発注数を決めるシートだけ見れば発注できます。</t>
    </r>
  </si>
  <si>
    <r>
      <rPr>
        <b val="true"/>
        <sz val="12"/>
        <color rgb="FF1B1D24"/>
        <rFont val="WenQuanYi Zen Hei"/>
        <family val="2"/>
      </rPr>
      <t xml:space="preserve">発注は</t>
    </r>
    <r>
      <rPr>
        <b val="true"/>
        <sz val="12"/>
        <color rgb="FF1B1D24"/>
        <rFont val="Meiryo UI"/>
        <family val="0"/>
        <charset val="1"/>
      </rPr>
      <t xml:space="preserve">3</t>
    </r>
    <r>
      <rPr>
        <b val="true"/>
        <sz val="12"/>
        <color rgb="FF1B1D24"/>
        <rFont val="WenQuanYi Zen Hei"/>
        <family val="2"/>
      </rPr>
      <t xml:space="preserve">つのことしかしていません</t>
    </r>
  </si>
  <si>
    <t xml:space="preserve">① 決めておく</t>
  </si>
  <si>
    <t xml:space="preserve">➡</t>
  </si>
  <si>
    <t xml:space="preserve">② 今の在庫を読む</t>
  </si>
  <si>
    <t xml:space="preserve">③ 足りない分だけ発注</t>
  </si>
  <si>
    <t xml:space="preserve">「この商品は、いつも何個持っておくか」を先に決めておきます。これが定数です。毎日は変わりません。</t>
  </si>
  <si>
    <r>
      <rPr>
        <sz val="10"/>
        <color rgb="FF4E5163"/>
        <rFont val="WenQuanYi Zen Hei"/>
        <family val="2"/>
      </rPr>
      <t xml:space="preserve">在庫システムの</t>
    </r>
    <r>
      <rPr>
        <sz val="10"/>
        <color rgb="FF4E5163"/>
        <rFont val="Meiryo UI"/>
        <family val="0"/>
        <charset val="1"/>
      </rPr>
      <t xml:space="preserve">CSV</t>
    </r>
    <r>
      <rPr>
        <sz val="10"/>
        <color rgb="FF4E5163"/>
        <rFont val="WenQuanYi Zen Hei"/>
        <family val="2"/>
      </rPr>
      <t xml:space="preserve">を貼るだけです。総数（＝ケース</t>
    </r>
    <r>
      <rPr>
        <sz val="10"/>
        <color rgb="FF4E5163"/>
        <rFont val="Meiryo UI"/>
        <family val="0"/>
        <charset val="1"/>
      </rPr>
      <t xml:space="preserve">×</t>
    </r>
    <r>
      <rPr>
        <sz val="10"/>
        <color rgb="FF4E5163"/>
        <rFont val="WenQuanYi Zen Hei"/>
        <family val="2"/>
      </rPr>
      <t xml:space="preserve">入数＋バラ）が、そのまま今の在庫になります。</t>
    </r>
  </si>
  <si>
    <t xml:space="preserve">持っておくべき数から、今の在庫と発注済みの分を引きます。残った数が、今日発注する数です。</t>
  </si>
  <si>
    <t xml:space="preserve">置き場所： 定数マスタ ／ 商品マスタ</t>
  </si>
  <si>
    <t xml:space="preserve">置き場所： ①今日の在庫を貼る</t>
  </si>
  <si>
    <t xml:space="preserve">置き場所： ②発注数を決める → ③発注書</t>
  </si>
  <si>
    <t xml:space="preserve">触るのは社員だけ。ふだんは開きません。</t>
  </si>
  <si>
    <t xml:space="preserve">毎日やるのはここだけです。</t>
  </si>
  <si>
    <t xml:space="preserve">数字は自動で出ます。そのまま入れて構いません。</t>
  </si>
  <si>
    <r>
      <rPr>
        <b val="true"/>
        <sz val="12"/>
        <color rgb="FF1B1D24"/>
        <rFont val="Meiryo UI"/>
        <family val="0"/>
        <charset val="1"/>
      </rPr>
      <t xml:space="preserve">1. </t>
    </r>
    <r>
      <rPr>
        <b val="true"/>
        <sz val="12"/>
        <color rgb="FF1B1D24"/>
        <rFont val="WenQuanYi Zen Hei"/>
        <family val="2"/>
      </rPr>
      <t xml:space="preserve">定数はどこにあるか</t>
    </r>
  </si>
  <si>
    <r>
      <rPr>
        <sz val="9"/>
        <color rgb="FF7A7D90"/>
        <rFont val="WenQuanYi Zen Hei"/>
        <family val="2"/>
      </rPr>
      <t xml:space="preserve">人が決める数字は、この</t>
    </r>
    <r>
      <rPr>
        <sz val="9"/>
        <color rgb="FF7A7D90"/>
        <rFont val="Meiryo UI"/>
        <family val="0"/>
        <charset val="1"/>
      </rPr>
      <t xml:space="preserve">2</t>
    </r>
    <r>
      <rPr>
        <sz val="9"/>
        <color rgb="FF7A7D90"/>
        <rFont val="WenQuanYi Zen Hei"/>
        <family val="2"/>
      </rPr>
      <t xml:space="preserve">枚にしかありません。「今の値」はあなたの劇場の現在値です（設定シートで選んだ劇場）。</t>
    </r>
  </si>
  <si>
    <t xml:space="preserve">決めておくこと</t>
  </si>
  <si>
    <t xml:space="preserve">置き場所</t>
  </si>
  <si>
    <t xml:space="preserve">ブロック</t>
  </si>
  <si>
    <t xml:space="preserve">今の値</t>
  </si>
  <si>
    <t xml:space="preserve">見直す頻度</t>
  </si>
  <si>
    <t xml:space="preserve">誰が決める</t>
  </si>
  <si>
    <t xml:space="preserve">劇場の規模と、ドリンクの提供方式</t>
  </si>
  <si>
    <t xml:space="preserve">① 劇場マスタ</t>
  </si>
  <si>
    <t xml:space="preserve">開店時・方式の変更時</t>
  </si>
  <si>
    <t xml:space="preserve">本社・支配人</t>
  </si>
  <si>
    <t xml:space="preserve">規模ごとの標準来場者数</t>
  </si>
  <si>
    <t xml:space="preserve">② 規模区分</t>
  </si>
  <si>
    <r>
      <rPr>
        <sz val="9"/>
        <color rgb="FF7A7D90"/>
        <rFont val="WenQuanYi Zen Hei"/>
        <family val="2"/>
      </rPr>
      <t xml:space="preserve">年</t>
    </r>
    <r>
      <rPr>
        <sz val="9"/>
        <color rgb="FF7A7D90"/>
        <rFont val="Meiryo UI"/>
        <family val="0"/>
        <charset val="1"/>
      </rPr>
      <t xml:space="preserve">1</t>
    </r>
    <r>
      <rPr>
        <sz val="9"/>
        <color rgb="FF7A7D90"/>
        <rFont val="WenQuanYi Zen Hei"/>
        <family val="2"/>
      </rPr>
      <t xml:space="preserve">回</t>
    </r>
  </si>
  <si>
    <t xml:space="preserve">本社</t>
  </si>
  <si>
    <t xml:space="preserve">安全在庫日数（何日ぶん余裕を持つか）</t>
  </si>
  <si>
    <t xml:space="preserve">月ごとの繁閑（季節係数）</t>
  </si>
  <si>
    <t xml:space="preserve">③ 月別係数</t>
  </si>
  <si>
    <r>
      <rPr>
        <sz val="10"/>
        <color rgb="FF1B1D24"/>
        <rFont val="Meiryo UI"/>
        <family val="0"/>
        <charset val="1"/>
      </rPr>
      <t xml:space="preserve">GW</t>
    </r>
    <r>
      <rPr>
        <sz val="10"/>
        <color rgb="FF1B1D24"/>
        <rFont val="WenQuanYi Zen Hei"/>
        <family val="2"/>
      </rPr>
      <t xml:space="preserve">・大型作品公開などの特別期間</t>
    </r>
  </si>
  <si>
    <t xml:space="preserve">④ 特別期間</t>
  </si>
  <si>
    <t xml:space="preserve">都度</t>
  </si>
  <si>
    <t xml:space="preserve">支配人・副支配人</t>
  </si>
  <si>
    <t xml:space="preserve">冷蔵庫・ストッカーの容量（常温／冷蔵／冷凍）</t>
  </si>
  <si>
    <t xml:space="preserve">⑤ 保管設備</t>
  </si>
  <si>
    <t xml:space="preserve">設備の入れ替え時</t>
  </si>
  <si>
    <t xml:space="preserve">発注できる曜日（グループごと）</t>
  </si>
  <si>
    <t xml:space="preserve">⑥ 発注サイクル</t>
  </si>
  <si>
    <t xml:space="preserve">便が変わったとき</t>
  </si>
  <si>
    <t xml:space="preserve">入数・単価・リードタイム・最低ロット</t>
  </si>
  <si>
    <t xml:space="preserve">（商品ごと）</t>
  </si>
  <si>
    <t xml:space="preserve">商品の入れ替え時</t>
  </si>
  <si>
    <t xml:space="preserve">社員</t>
  </si>
  <si>
    <t xml:space="preserve">商品の保管区分と発注グループ</t>
  </si>
  <si>
    <r>
      <rPr>
        <sz val="10"/>
        <color rgb="FF1B1D24"/>
        <rFont val="Meiryo UI"/>
        <family val="0"/>
        <charset val="1"/>
      </rPr>
      <t xml:space="preserve">PI</t>
    </r>
    <r>
      <rPr>
        <sz val="10"/>
        <color rgb="FF1B1D24"/>
        <rFont val="WenQuanYi Zen Hei"/>
        <family val="2"/>
      </rPr>
      <t xml:space="preserve">値（来場者</t>
    </r>
    <r>
      <rPr>
        <sz val="10"/>
        <color rgb="FF1B1D24"/>
        <rFont val="Meiryo UI"/>
        <family val="0"/>
        <charset val="1"/>
      </rPr>
      <t xml:space="preserve">100</t>
    </r>
    <r>
      <rPr>
        <sz val="10"/>
        <color rgb="FF1B1D24"/>
        <rFont val="WenQuanYi Zen Hei"/>
        <family val="2"/>
      </rPr>
      <t xml:space="preserve">人あたりの消費数）</t>
    </r>
  </si>
  <si>
    <r>
      <rPr>
        <sz val="9"/>
        <color rgb="FF7A7D90"/>
        <rFont val="Meiryo UI"/>
        <family val="0"/>
        <charset val="1"/>
      </rPr>
      <t xml:space="preserve">PI</t>
    </r>
    <r>
      <rPr>
        <sz val="9"/>
        <color rgb="FF7A7D90"/>
        <rFont val="WenQuanYi Zen Hei"/>
        <family val="2"/>
      </rPr>
      <t xml:space="preserve">値を使うときだけ</t>
    </r>
  </si>
  <si>
    <r>
      <rPr>
        <sz val="9"/>
        <color rgb="FF7A7D90"/>
        <rFont val="WenQuanYi Zen Hei"/>
        <family val="2"/>
      </rPr>
      <t xml:space="preserve">※ 黄色いシート名が置き場所です。定数はこの</t>
    </r>
    <r>
      <rPr>
        <sz val="9"/>
        <color rgb="FF7A7D90"/>
        <rFont val="Meiryo UI"/>
        <family val="0"/>
        <charset val="1"/>
      </rPr>
      <t xml:space="preserve">2</t>
    </r>
    <r>
      <rPr>
        <sz val="9"/>
        <color rgb="FF7A7D90"/>
        <rFont val="WenQuanYi Zen Hei"/>
        <family val="2"/>
      </rPr>
      <t xml:space="preserve">枚以外にはありません。②発注数を決めるシートや発注計算シートに、直接数字を書き込む必要はありません。</t>
    </r>
  </si>
  <si>
    <r>
      <rPr>
        <b val="true"/>
        <sz val="12"/>
        <color rgb="FF1B1D24"/>
        <rFont val="Meiryo UI"/>
        <family val="0"/>
        <charset val="1"/>
      </rPr>
      <t xml:space="preserve">2. </t>
    </r>
    <r>
      <rPr>
        <b val="true"/>
        <sz val="12"/>
        <color rgb="FF1B1D24"/>
        <rFont val="WenQuanYi Zen Hei"/>
        <family val="2"/>
      </rPr>
      <t xml:space="preserve">その定数から、発注数が出るまで</t>
    </r>
  </si>
  <si>
    <r>
      <rPr>
        <sz val="9"/>
        <color rgb="FF7A7D90"/>
        <rFont val="Meiryo UI"/>
        <family val="0"/>
        <charset val="1"/>
      </rPr>
      <t xml:space="preserve">1</t>
    </r>
    <r>
      <rPr>
        <sz val="9"/>
        <color rgb="FF7A7D90"/>
        <rFont val="WenQuanYi Zen Hei"/>
        <family val="2"/>
      </rPr>
      <t xml:space="preserve">商品を選ぶと、その商品の実際の数字で順番に追えます。空欄のままなら、いま一番多く発注が必要な商品を自動で表示します。</t>
    </r>
  </si>
  <si>
    <t xml:space="preserve">追いかける商品</t>
  </si>
  <si>
    <t xml:space="preserve">▼から選べます。選び直すと下の数字がすべて入れ替わります。</t>
  </si>
  <si>
    <t xml:space="preserve">見ている数字</t>
  </si>
  <si>
    <t xml:space="preserve">値</t>
  </si>
  <si>
    <t xml:space="preserve">どこから来た数字か</t>
  </si>
  <si>
    <t xml:space="preserve">定数</t>
  </si>
  <si>
    <r>
      <rPr>
        <sz val="10"/>
        <color rgb="FF1B1D24"/>
        <rFont val="Meiryo UI"/>
        <family val="0"/>
        <charset val="1"/>
      </rPr>
      <t xml:space="preserve">1</t>
    </r>
    <r>
      <rPr>
        <sz val="10"/>
        <color rgb="FF1B1D24"/>
        <rFont val="WenQuanYi Zen Hei"/>
        <family val="2"/>
      </rPr>
      <t xml:space="preserve">日にどれだけ減るか</t>
    </r>
  </si>
  <si>
    <t xml:space="preserve">届くまでの日数（リードタイム）</t>
  </si>
  <si>
    <t xml:space="preserve">次の発注までの日数（発注サイクル）</t>
  </si>
  <si>
    <t xml:space="preserve">切らさないための余裕（安全在庫）</t>
  </si>
  <si>
    <t xml:space="preserve">＝</t>
  </si>
  <si>
    <t xml:space="preserve">持っておくべき数（発注点）</t>
  </si>
  <si>
    <t xml:space="preserve">在庫</t>
  </si>
  <si>
    <t xml:space="preserve">いま在庫にある数</t>
  </si>
  <si>
    <t xml:space="preserve">発注済みで、まだ届いていない数</t>
  </si>
  <si>
    <t xml:space="preserve">足りない数</t>
  </si>
  <si>
    <t xml:space="preserve">発注</t>
  </si>
  <si>
    <r>
      <rPr>
        <sz val="10"/>
        <color rgb="FF1B1D24"/>
        <rFont val="Meiryo UI"/>
        <family val="0"/>
        <charset val="1"/>
      </rPr>
      <t xml:space="preserve">1</t>
    </r>
    <r>
      <rPr>
        <sz val="10"/>
        <color rgb="FF1B1D24"/>
        <rFont val="WenQuanYi Zen Hei"/>
        <family val="2"/>
      </rPr>
      <t xml:space="preserve">ケースに何個入っているか（入数）</t>
    </r>
  </si>
  <si>
    <t xml:space="preserve">発注する数（ケース）</t>
  </si>
  <si>
    <t xml:space="preserve">同じことを図にすると</t>
  </si>
  <si>
    <t xml:space="preserve">帯全体が「持っておくべき数（発注点）」です。緑がいまの在庫、黄が発注済みで届く分、赤が足りていない分＝今日発注する分です。</t>
  </si>
  <si>
    <t xml:space="preserve">いまの在庫</t>
  </si>
  <si>
    <t xml:space="preserve">発注済みで届く分</t>
  </si>
  <si>
    <t xml:space="preserve">今日発注する分</t>
  </si>
  <si>
    <t xml:space="preserve">帯の右端 ＝ 持っておくべき数（発注点）</t>
  </si>
  <si>
    <t xml:space="preserve">よくある質問</t>
  </si>
  <si>
    <r>
      <rPr>
        <b val="true"/>
        <sz val="11"/>
        <color rgb="FF1B1D24"/>
        <rFont val="Meiryo UI"/>
        <family val="0"/>
        <charset val="1"/>
      </rPr>
      <t xml:space="preserve">Q. </t>
    </r>
    <r>
      <rPr>
        <b val="true"/>
        <sz val="11"/>
        <color rgb="FF1B1D24"/>
        <rFont val="WenQuanYi Zen Hei"/>
        <family val="2"/>
      </rPr>
      <t xml:space="preserve">購買率や</t>
    </r>
    <r>
      <rPr>
        <b val="true"/>
        <sz val="11"/>
        <color rgb="FF1B1D24"/>
        <rFont val="Meiryo UI"/>
        <family val="0"/>
        <charset val="1"/>
      </rPr>
      <t xml:space="preserve">PI</t>
    </r>
    <r>
      <rPr>
        <b val="true"/>
        <sz val="11"/>
        <color rgb="FF1B1D24"/>
        <rFont val="WenQuanYi Zen Hei"/>
        <family val="2"/>
      </rPr>
      <t xml:space="preserve">値は使わないのですか？</t>
    </r>
  </si>
  <si>
    <r>
      <rPr>
        <sz val="10"/>
        <color rgb="FF4E5163"/>
        <rFont val="Meiryo UI"/>
        <family val="0"/>
        <charset val="1"/>
      </rPr>
      <t xml:space="preserve">A. </t>
    </r>
    <r>
      <rPr>
        <sz val="10"/>
        <color rgb="FF4E5163"/>
        <rFont val="WenQuanYi Zen Hei"/>
        <family val="2"/>
      </rPr>
      <t xml:space="preserve">定数の考え方（＝持っておくべき数を決めて、差を発注する）で回すなら、ふだんは要りません。</t>
    </r>
    <r>
      <rPr>
        <sz val="10"/>
        <color rgb="FF4E5163"/>
        <rFont val="Meiryo UI"/>
        <family val="0"/>
        <charset val="1"/>
      </rPr>
      <t xml:space="preserve">1</t>
    </r>
    <r>
      <rPr>
        <sz val="10"/>
        <color rgb="FF4E5163"/>
        <rFont val="WenQuanYi Zen Hei"/>
        <family val="2"/>
      </rPr>
      <t xml:space="preserve">日にどれだけ減るかは、在庫</t>
    </r>
    <r>
      <rPr>
        <sz val="10"/>
        <color rgb="FF4E5163"/>
        <rFont val="Meiryo UI"/>
        <family val="0"/>
        <charset val="1"/>
      </rPr>
      <t xml:space="preserve">2</t>
    </r>
    <r>
      <rPr>
        <sz val="10"/>
        <color rgb="FF4E5163"/>
        <rFont val="WenQuanYi Zen Hei"/>
        <family val="2"/>
      </rPr>
      <t xml:space="preserve">時点の差＝実績から出しています。</t>
    </r>
    <r>
      <rPr>
        <sz val="10"/>
        <color rgb="FF4E5163"/>
        <rFont val="Meiryo UI"/>
        <family val="0"/>
        <charset val="1"/>
      </rPr>
      <t xml:space="preserve">PI</t>
    </r>
    <r>
      <rPr>
        <sz val="10"/>
        <color rgb="FF4E5163"/>
        <rFont val="WenQuanYi Zen Hei"/>
        <family val="2"/>
      </rPr>
      <t xml:space="preserve">値を使うのは、過去の実績があてにならない週（大型作品の公開週、</t>
    </r>
    <r>
      <rPr>
        <sz val="10"/>
        <color rgb="FF4E5163"/>
        <rFont val="Meiryo UI"/>
        <family val="0"/>
        <charset val="1"/>
      </rPr>
      <t xml:space="preserve">GW</t>
    </r>
    <r>
      <rPr>
        <sz val="10"/>
        <color rgb="FF4E5163"/>
        <rFont val="WenQuanYi Zen Hei"/>
        <family val="2"/>
      </rPr>
      <t xml:space="preserve">など）だけです。設定シートの「算出基準」を</t>
    </r>
    <r>
      <rPr>
        <sz val="10"/>
        <color rgb="FF4E5163"/>
        <rFont val="Meiryo UI"/>
        <family val="0"/>
        <charset val="1"/>
      </rPr>
      <t xml:space="preserve">PI</t>
    </r>
    <r>
      <rPr>
        <sz val="10"/>
        <color rgb="FF4E5163"/>
        <rFont val="WenQuanYi Zen Hei"/>
        <family val="2"/>
      </rPr>
      <t xml:space="preserve">値予測（または最大値）にすると切り替わります。</t>
    </r>
  </si>
  <si>
    <r>
      <rPr>
        <b val="true"/>
        <sz val="11"/>
        <color rgb="FF1B1D24"/>
        <rFont val="Meiryo UI"/>
        <family val="0"/>
        <charset val="1"/>
      </rPr>
      <t xml:space="preserve">Q. </t>
    </r>
    <r>
      <rPr>
        <b val="true"/>
        <sz val="11"/>
        <color rgb="FF1B1D24"/>
        <rFont val="WenQuanYi Zen Hei"/>
        <family val="2"/>
      </rPr>
      <t xml:space="preserve">発注できる曜日が商品によって違いますが？</t>
    </r>
  </si>
  <si>
    <r>
      <rPr>
        <sz val="10"/>
        <color rgb="FF4E5163"/>
        <rFont val="Meiryo UI"/>
        <family val="0"/>
        <charset val="1"/>
      </rPr>
      <t xml:space="preserve">A. </t>
    </r>
    <r>
      <rPr>
        <sz val="10"/>
        <color rgb="FF4E5163"/>
        <rFont val="WenQuanYi Zen Hei"/>
        <family val="2"/>
      </rPr>
      <t xml:space="preserve">定数マスタ ⑥発注サイクルにグループごとの曜日を入れてあります。冷凍品とドリンクシロップは週</t>
    </r>
    <r>
      <rPr>
        <sz val="10"/>
        <color rgb="FF4E5163"/>
        <rFont val="Meiryo UI"/>
        <family val="0"/>
        <charset val="1"/>
      </rPr>
      <t xml:space="preserve">3</t>
    </r>
    <r>
      <rPr>
        <sz val="10"/>
        <color rgb="FF4E5163"/>
        <rFont val="WenQuanYi Zen Hei"/>
        <family val="2"/>
      </rPr>
      <t xml:space="preserve">回（月水金）、常温包材は木曜の</t>
    </r>
    <r>
      <rPr>
        <sz val="10"/>
        <color rgb="FF4E5163"/>
        <rFont val="Meiryo UI"/>
        <family val="0"/>
        <charset val="1"/>
      </rPr>
      <t xml:space="preserve">1</t>
    </r>
    <r>
      <rPr>
        <sz val="10"/>
        <color rgb="FF4E5163"/>
        <rFont val="WenQuanYi Zen Hei"/>
        <family val="2"/>
      </rPr>
      <t xml:space="preserve">回だけです。週</t>
    </r>
    <r>
      <rPr>
        <sz val="10"/>
        <color rgb="FF4E5163"/>
        <rFont val="Meiryo UI"/>
        <family val="0"/>
        <charset val="1"/>
      </rPr>
      <t xml:space="preserve">1</t>
    </r>
    <r>
      <rPr>
        <sz val="10"/>
        <color rgb="FF4E5163"/>
        <rFont val="WenQuanYi Zen Hei"/>
        <family val="2"/>
      </rPr>
      <t xml:space="preserve">回の商品は次の便まで</t>
    </r>
    <r>
      <rPr>
        <sz val="10"/>
        <color rgb="FF4E5163"/>
        <rFont val="Meiryo UI"/>
        <family val="0"/>
        <charset val="1"/>
      </rPr>
      <t xml:space="preserve">7</t>
    </r>
    <r>
      <rPr>
        <sz val="10"/>
        <color rgb="FF4E5163"/>
        <rFont val="WenQuanYi Zen Hei"/>
        <family val="2"/>
      </rPr>
      <t xml:space="preserve">日あるため、そのぶん多めに持つ計算になります。</t>
    </r>
  </si>
  <si>
    <r>
      <rPr>
        <b val="true"/>
        <sz val="11"/>
        <color rgb="FF1B1D24"/>
        <rFont val="Meiryo UI"/>
        <family val="0"/>
        <charset val="1"/>
      </rPr>
      <t xml:space="preserve">Q. </t>
    </r>
    <r>
      <rPr>
        <b val="true"/>
        <sz val="11"/>
        <color rgb="FF1B1D24"/>
        <rFont val="WenQuanYi Zen Hei"/>
        <family val="2"/>
      </rPr>
      <t xml:space="preserve">在庫がマイナスになっています</t>
    </r>
  </si>
  <si>
    <r>
      <rPr>
        <sz val="10"/>
        <color rgb="FF4E5163"/>
        <rFont val="Meiryo UI"/>
        <family val="0"/>
        <charset val="1"/>
      </rPr>
      <t xml:space="preserve">A. </t>
    </r>
    <r>
      <rPr>
        <sz val="10"/>
        <color rgb="FF4E5163"/>
        <rFont val="WenQuanYi Zen Hei"/>
        <family val="2"/>
      </rPr>
      <t xml:space="preserve">納品がまだシステムに入っていない状態です。現物を数えて、在庫システム側を直してから貼り直してください。</t>
    </r>
  </si>
  <si>
    <t xml:space="preserve">今日の在庫を貼る</t>
  </si>
  <si>
    <r>
      <rPr>
        <sz val="9"/>
        <color rgb="FF7A7D90"/>
        <rFont val="WenQuanYi Zen Hei"/>
        <family val="2"/>
      </rPr>
      <t xml:space="preserve">在庫システムから出力した、今日の在庫一覧</t>
    </r>
    <r>
      <rPr>
        <sz val="9"/>
        <color rgb="FF7A7D90"/>
        <rFont val="Meiryo UI"/>
        <family val="0"/>
        <charset val="1"/>
      </rPr>
      <t xml:space="preserve">CSV</t>
    </r>
    <r>
      <rPr>
        <sz val="9"/>
        <color rgb="FF7A7D90"/>
        <rFont val="WenQuanYi Zen Hei"/>
        <family val="2"/>
      </rPr>
      <t xml:space="preserve">です。これが理論在庫になります。</t>
    </r>
  </si>
  <si>
    <r>
      <rPr>
        <b val="true"/>
        <sz val="11"/>
        <color rgb="FF1B1D24"/>
        <rFont val="Meiryo UI"/>
        <family val="0"/>
        <charset val="1"/>
      </rPr>
      <t xml:space="preserve">CSV</t>
    </r>
    <r>
      <rPr>
        <b val="true"/>
        <sz val="11"/>
        <color rgb="FF1B1D24"/>
        <rFont val="WenQuanYi Zen Hei"/>
        <family val="2"/>
      </rPr>
      <t xml:space="preserve">の見出し行を除いたデータを、</t>
    </r>
    <r>
      <rPr>
        <b val="true"/>
        <sz val="11"/>
        <color rgb="FF1B1D24"/>
        <rFont val="Meiryo UI"/>
        <family val="0"/>
        <charset val="1"/>
      </rPr>
      <t xml:space="preserve">A6 </t>
    </r>
    <r>
      <rPr>
        <b val="true"/>
        <sz val="11"/>
        <color rgb="FF1B1D24"/>
        <rFont val="WenQuanYi Zen Hei"/>
        <family val="2"/>
      </rPr>
      <t xml:space="preserve">セルに貼り付けてください。</t>
    </r>
  </si>
  <si>
    <t xml:space="preserve">対象日付</t>
  </si>
  <si>
    <t xml:space="preserve">劇場コード</t>
  </si>
  <si>
    <t xml:space="preserve">劇場名</t>
  </si>
  <si>
    <t xml:space="preserve">支払先コード</t>
  </si>
  <si>
    <t xml:space="preserve">支払先名</t>
  </si>
  <si>
    <t xml:space="preserve">大分類コード</t>
  </si>
  <si>
    <t xml:space="preserve">小分類コード</t>
  </si>
  <si>
    <t xml:space="preserve">商品分類名</t>
  </si>
  <si>
    <t xml:space="preserve">商品コード</t>
  </si>
  <si>
    <t xml:space="preserve">商品名</t>
  </si>
  <si>
    <t xml:space="preserve">入数</t>
  </si>
  <si>
    <t xml:space="preserve">在庫数ケース</t>
  </si>
  <si>
    <t xml:space="preserve">在庫数バラ</t>
  </si>
  <si>
    <t xml:space="preserve">総数</t>
  </si>
  <si>
    <t xml:space="preserve">規定数</t>
  </si>
  <si>
    <t xml:space="preserve">資産廃棄</t>
  </si>
  <si>
    <t xml:space="preserve">税抜単価</t>
  </si>
  <si>
    <t xml:space="preserve">仕入税区分</t>
  </si>
  <si>
    <t xml:space="preserve">仕入税率</t>
  </si>
  <si>
    <r>
      <rPr>
        <b val="true"/>
        <sz val="10"/>
        <color rgb="FF4E5163"/>
        <rFont val="WenQuanYi Zen Hei"/>
        <family val="2"/>
      </rPr>
      <t xml:space="preserve">連番</t>
    </r>
    <r>
      <rPr>
        <b val="true"/>
        <sz val="10"/>
        <color rgb="FF4E5163"/>
        <rFont val="Meiryo UI"/>
        <family val="0"/>
        <charset val="1"/>
      </rPr>
      <t xml:space="preserve">(</t>
    </r>
    <r>
      <rPr>
        <b val="true"/>
        <sz val="10"/>
        <color rgb="FF4E5163"/>
        <rFont val="WenQuanYi Zen Hei"/>
        <family val="2"/>
      </rPr>
      <t xml:space="preserve">自動</t>
    </r>
    <r>
      <rPr>
        <b val="true"/>
        <sz val="10"/>
        <color rgb="FF4E5163"/>
        <rFont val="Meiryo UI"/>
        <family val="0"/>
        <charset val="1"/>
      </rPr>
      <t xml:space="preserve">)</t>
    </r>
  </si>
  <si>
    <t xml:space="preserve">0761</t>
  </si>
  <si>
    <t xml:space="preserve">新宿</t>
  </si>
  <si>
    <t xml:space="preserve">10400001</t>
  </si>
  <si>
    <t xml:space="preserve">株式会社　カクヤス</t>
  </si>
  <si>
    <t xml:space="preserve">01</t>
  </si>
  <si>
    <t xml:space="preserve">04</t>
  </si>
  <si>
    <t xml:space="preserve">アルコール</t>
  </si>
  <si>
    <t xml:space="preserve">1812000008585</t>
  </si>
  <si>
    <t xml:space="preserve">プレミアムモルツ　２０Ｌ</t>
  </si>
  <si>
    <t xml:space="preserve">外税</t>
  </si>
  <si>
    <t xml:space="preserve">1812000010991</t>
  </si>
  <si>
    <t xml:space="preserve">ミオネット　ベビーボトル２００ｍ</t>
  </si>
  <si>
    <t xml:space="preserve">1812000011745</t>
  </si>
  <si>
    <t xml:space="preserve">フォルタン　リトラル　赤</t>
  </si>
  <si>
    <t xml:space="preserve">1812000011752</t>
  </si>
  <si>
    <t xml:space="preserve">フォルタン　リトラル　白</t>
  </si>
  <si>
    <t xml:space="preserve">1812000013343</t>
  </si>
  <si>
    <t xml:space="preserve">フレシネコルドンネグロ２００ｍｌ</t>
  </si>
  <si>
    <t xml:space="preserve">1813000187270</t>
  </si>
  <si>
    <t xml:space="preserve">サントリー角ハイボール</t>
  </si>
  <si>
    <t xml:space="preserve">19903001</t>
  </si>
  <si>
    <t xml:space="preserve">オザックス株式会社</t>
  </si>
  <si>
    <t xml:space="preserve">コールド</t>
  </si>
  <si>
    <t xml:space="preserve">1812000000237</t>
  </si>
  <si>
    <t xml:space="preserve">アイスティシロップ</t>
  </si>
  <si>
    <t xml:space="preserve">1812000000251</t>
  </si>
  <si>
    <t xml:space="preserve">烏龍茶１０倍シロップ</t>
  </si>
  <si>
    <t xml:space="preserve">1812000007441</t>
  </si>
  <si>
    <t xml:space="preserve">ミニッツメイドオレンジＦＫＡ</t>
  </si>
  <si>
    <t xml:space="preserve">1812000013169</t>
  </si>
  <si>
    <t xml:space="preserve">ミニッツメイドアップル</t>
  </si>
  <si>
    <t xml:space="preserve">4902102081283</t>
  </si>
  <si>
    <t xml:space="preserve">ＰＸＴ爽健美茶１Ｇ</t>
  </si>
  <si>
    <t xml:space="preserve">4902102112901</t>
  </si>
  <si>
    <t xml:space="preserve">フラットＢＩＢメロンＳ２．５Ｇ</t>
  </si>
  <si>
    <t xml:space="preserve">4902102112956</t>
  </si>
  <si>
    <t xml:space="preserve">フラットＢＩＢコカコーラ２．５Ｇ</t>
  </si>
  <si>
    <t xml:space="preserve">4902102113014</t>
  </si>
  <si>
    <t xml:space="preserve">フラットＢＩＢコーラゼロ２．５Ｇ</t>
  </si>
  <si>
    <t xml:space="preserve">4902102113045</t>
  </si>
  <si>
    <t xml:space="preserve">フラットＢＩＢジンジャー２．５Ｇ</t>
  </si>
  <si>
    <t xml:space="preserve">4902102113137</t>
  </si>
  <si>
    <t xml:space="preserve">フラットＢＩＢスプライト２．５Ｇ</t>
  </si>
  <si>
    <t xml:space="preserve">4902102115032</t>
  </si>
  <si>
    <t xml:space="preserve">フラットＢＩＢカルピス２．５Ｇ</t>
  </si>
  <si>
    <t xml:space="preserve">02</t>
  </si>
  <si>
    <t xml:space="preserve">コーヒー</t>
  </si>
  <si>
    <t xml:space="preserve">4902102149549</t>
  </si>
  <si>
    <t xml:space="preserve">（コスタ）新コーヒー豆</t>
  </si>
  <si>
    <t xml:space="preserve">4902188012225</t>
  </si>
  <si>
    <t xml:space="preserve">めいらく北海道特選３．６牛乳</t>
  </si>
  <si>
    <t xml:space="preserve">03</t>
  </si>
  <si>
    <t xml:space="preserve">ホット</t>
  </si>
  <si>
    <t xml:space="preserve">1812000000084</t>
  </si>
  <si>
    <t xml:space="preserve">ミルクティーパウダー</t>
  </si>
  <si>
    <t xml:space="preserve">1812000008066</t>
  </si>
  <si>
    <t xml:space="preserve">ココアカントリーＫオフパウダー</t>
  </si>
  <si>
    <t xml:space="preserve">4902102119146</t>
  </si>
  <si>
    <t xml:space="preserve">ミレイユ抹茶オレ　パウダー</t>
  </si>
  <si>
    <t xml:space="preserve">28</t>
  </si>
  <si>
    <t xml:space="preserve">その他ドリンク</t>
  </si>
  <si>
    <t xml:space="preserve">1812000010496</t>
  </si>
  <si>
    <t xml:space="preserve">台湾レモン　ナタデココ　入り</t>
  </si>
  <si>
    <t xml:space="preserve">1812000010779</t>
  </si>
  <si>
    <t xml:space="preserve">黒糖ブラックタピオカ</t>
  </si>
  <si>
    <t xml:space="preserve">1812000010922</t>
  </si>
  <si>
    <t xml:space="preserve">とろけるフローズンゼリマスカット</t>
  </si>
  <si>
    <t xml:space="preserve">1812000011677</t>
  </si>
  <si>
    <t xml:space="preserve">超ストロベリーフローズン</t>
  </si>
  <si>
    <t xml:space="preserve">1812000011684</t>
  </si>
  <si>
    <t xml:space="preserve">超マンゴー＆パッションフローズン</t>
  </si>
  <si>
    <t xml:space="preserve">1812000011783</t>
  </si>
  <si>
    <t xml:space="preserve">ＩＣＥＥ　ブルーラズベリー５Ｇ</t>
  </si>
  <si>
    <t xml:space="preserve">1812000011790</t>
  </si>
  <si>
    <t xml:space="preserve">ＩＣＥＥ　レッドストロベリー５Ｇ</t>
  </si>
  <si>
    <t xml:space="preserve">1812000011806</t>
  </si>
  <si>
    <t xml:space="preserve">ＩＣＥＥ　イエローピーチ５Ｇ</t>
  </si>
  <si>
    <t xml:space="preserve">1812000012490</t>
  </si>
  <si>
    <t xml:space="preserve">ブルーキュラソーシロップ</t>
  </si>
  <si>
    <t xml:space="preserve">4902102091855</t>
  </si>
  <si>
    <t xml:space="preserve">ミネラルウォータい・ろ・は・す</t>
  </si>
  <si>
    <t xml:space="preserve">30</t>
  </si>
  <si>
    <t xml:space="preserve">ポップコーン</t>
  </si>
  <si>
    <t xml:space="preserve">1812000007618</t>
  </si>
  <si>
    <t xml:space="preserve">キャラメルグレーズ５０ＬＢＳ</t>
  </si>
  <si>
    <t xml:space="preserve">1812000008950</t>
  </si>
  <si>
    <t xml:space="preserve">ポップコーンブレンドオイルＢＩＢ</t>
  </si>
  <si>
    <t xml:space="preserve">1812000009292</t>
  </si>
  <si>
    <t xml:space="preserve">ＪＳＵバターフレーバーオイル</t>
  </si>
  <si>
    <t xml:space="preserve">1812000009551</t>
  </si>
  <si>
    <t xml:space="preserve">シネマイク　濃厚バター醤油味</t>
  </si>
  <si>
    <t xml:space="preserve">1812000010939</t>
  </si>
  <si>
    <t xml:space="preserve">シネマイク　トリュフバターシーズ</t>
  </si>
  <si>
    <t xml:space="preserve">1812000011271</t>
  </si>
  <si>
    <t xml:space="preserve">サッポロポテトバーベＱシーズニン</t>
  </si>
  <si>
    <t xml:space="preserve">1812000011288</t>
  </si>
  <si>
    <t xml:space="preserve">ＴＨ　サッポロポテトバーベＱ味</t>
  </si>
  <si>
    <t xml:space="preserve">1812000011387</t>
  </si>
  <si>
    <t xml:space="preserve">Ｒｅｉｓｔポップコーン豆</t>
  </si>
  <si>
    <t xml:space="preserve">1812000011707</t>
  </si>
  <si>
    <t xml:space="preserve">シネマイク　塩キャラメル味シーズ</t>
  </si>
  <si>
    <t xml:space="preserve">1812000012391</t>
  </si>
  <si>
    <t xml:space="preserve">シネマイク　ブラックＰ味シーズニ</t>
  </si>
  <si>
    <t xml:space="preserve">1812000012506</t>
  </si>
  <si>
    <t xml:space="preserve">ＴＨキャラメルポップコーンオイル</t>
  </si>
  <si>
    <t xml:space="preserve">1812000013350</t>
  </si>
  <si>
    <t xml:space="preserve">味ぽんあじ　シーズニング</t>
  </si>
  <si>
    <t xml:space="preserve">1812000013404</t>
  </si>
  <si>
    <t xml:space="preserve">チーズバーガー味シーズニング</t>
  </si>
  <si>
    <t xml:space="preserve">32</t>
  </si>
  <si>
    <t xml:space="preserve">ホットドッグ</t>
  </si>
  <si>
    <t xml:space="preserve">1812000009933</t>
  </si>
  <si>
    <t xml:space="preserve">一体型ホットドッグ（プレーン）</t>
  </si>
  <si>
    <t xml:space="preserve">1812000011660</t>
  </si>
  <si>
    <t xml:space="preserve">プレミアムドッグ　ビーフシチュー</t>
  </si>
  <si>
    <t xml:space="preserve">1812000011868</t>
  </si>
  <si>
    <t xml:space="preserve">ＴＨ　スパイシーハラペー　オリ</t>
  </si>
  <si>
    <t xml:space="preserve">1812000012421</t>
  </si>
  <si>
    <t xml:space="preserve">プレミアムホットドッグガリポテ</t>
  </si>
  <si>
    <t xml:space="preserve">33</t>
  </si>
  <si>
    <t xml:space="preserve">軽食系フード</t>
  </si>
  <si>
    <t xml:space="preserve">1812000010274</t>
  </si>
  <si>
    <t xml:space="preserve">シチリア岩塩＆クワトロハーブ</t>
  </si>
  <si>
    <t xml:space="preserve">1812000010533</t>
  </si>
  <si>
    <t xml:space="preserve">レンジポテト（個包装）</t>
  </si>
  <si>
    <t xml:space="preserve">1812000010755</t>
  </si>
  <si>
    <t xml:space="preserve">スパイシー！ポップチキン（個包装</t>
  </si>
  <si>
    <t xml:space="preserve">34</t>
  </si>
  <si>
    <t xml:space="preserve">調理系スイーツ</t>
  </si>
  <si>
    <t xml:space="preserve">1812000006963</t>
  </si>
  <si>
    <t xml:space="preserve">チュリトス（プレーン）</t>
  </si>
  <si>
    <t xml:space="preserve">1812000009643</t>
  </si>
  <si>
    <t xml:space="preserve">チョコレートクリームチュリトス</t>
  </si>
  <si>
    <t xml:space="preserve">1812000009827</t>
  </si>
  <si>
    <t xml:space="preserve">カラーシュガー　ホワイト</t>
  </si>
  <si>
    <t xml:space="preserve">1812000009834</t>
  </si>
  <si>
    <t xml:space="preserve">カラーシュガー　ピンク</t>
  </si>
  <si>
    <t xml:space="preserve">1812000009841</t>
  </si>
  <si>
    <t xml:space="preserve">カラーシュガー　パープル</t>
  </si>
  <si>
    <t xml:space="preserve">1812000009858</t>
  </si>
  <si>
    <t xml:space="preserve">カラーシュガー　ブルー</t>
  </si>
  <si>
    <t xml:space="preserve">1812000009865</t>
  </si>
  <si>
    <t xml:space="preserve">カラーシュガー　グリーン</t>
  </si>
  <si>
    <t xml:space="preserve">1812000009872</t>
  </si>
  <si>
    <t xml:space="preserve">カラーシュガー　イエロー</t>
  </si>
  <si>
    <t xml:space="preserve">1812000009889</t>
  </si>
  <si>
    <t xml:space="preserve">カラーシュガー　オレンジ</t>
  </si>
  <si>
    <t xml:space="preserve">1812000010175</t>
  </si>
  <si>
    <t xml:space="preserve">新シナモンシュガー</t>
  </si>
  <si>
    <t xml:space="preserve">1812000012131</t>
  </si>
  <si>
    <t xml:space="preserve">ココアシュガー２％</t>
  </si>
  <si>
    <t xml:space="preserve">1812000013503</t>
  </si>
  <si>
    <t xml:space="preserve">カラーシュガーレッドストロベリー</t>
  </si>
  <si>
    <t xml:space="preserve">58</t>
  </si>
  <si>
    <t xml:space="preserve">その他フード</t>
  </si>
  <si>
    <t xml:space="preserve">1812000010687</t>
  </si>
  <si>
    <t xml:space="preserve">アイスクレープ　バナナ＆チョコ</t>
  </si>
  <si>
    <t xml:space="preserve">1812000011714</t>
  </si>
  <si>
    <t xml:space="preserve">アイスクレープ　贅沢いちご</t>
  </si>
  <si>
    <t xml:space="preserve">59</t>
  </si>
  <si>
    <t xml:space="preserve">フード調味料</t>
  </si>
  <si>
    <t xml:space="preserve">1812000007564</t>
  </si>
  <si>
    <t xml:space="preserve">いり塩パウダー（１Ｋｇ）</t>
  </si>
  <si>
    <t xml:space="preserve">1812000008837</t>
  </si>
  <si>
    <t xml:space="preserve">マスタードソース（ピース出荷）</t>
  </si>
  <si>
    <t xml:space="preserve">1812000011066</t>
  </si>
  <si>
    <t xml:space="preserve">ケチャップソース３００Ｇ</t>
  </si>
  <si>
    <t xml:space="preserve">1812000011721</t>
  </si>
  <si>
    <t xml:space="preserve">ＴＨ　４種のチーズソース</t>
  </si>
  <si>
    <t xml:space="preserve">90</t>
  </si>
  <si>
    <t xml:space="preserve">ＳＥＴ作品コンボ</t>
  </si>
  <si>
    <t xml:space="preserve">1812000013312</t>
  </si>
  <si>
    <t xml:space="preserve">ビーバー　ドリンクカップ　仕入</t>
  </si>
  <si>
    <t xml:space="preserve">1812000013329</t>
  </si>
  <si>
    <t xml:space="preserve">ビーバー　トッパー　仕入</t>
  </si>
  <si>
    <t xml:space="preserve">99</t>
  </si>
  <si>
    <t xml:space="preserve">コンセ包材</t>
  </si>
  <si>
    <t xml:space="preserve">1812000010083</t>
  </si>
  <si>
    <t xml:space="preserve">（コスタ）１２ｏｚプラカップ</t>
  </si>
  <si>
    <t xml:space="preserve">1812000010090</t>
  </si>
  <si>
    <t xml:space="preserve">（コスタ）１２ｏｚプラリッド</t>
  </si>
  <si>
    <t xml:space="preserve">1812000010120</t>
  </si>
  <si>
    <t xml:space="preserve">（コスタ）新９ｏｚホットカップ</t>
  </si>
  <si>
    <t xml:space="preserve">1812000010168</t>
  </si>
  <si>
    <t xml:space="preserve">（コスタ）新９ｏｚホットリッド</t>
  </si>
  <si>
    <t xml:space="preserve">1812000010243</t>
  </si>
  <si>
    <t xml:space="preserve">バイオマスストロー　（裸）　緑</t>
  </si>
  <si>
    <t xml:space="preserve">1812000010250</t>
  </si>
  <si>
    <t xml:space="preserve">バイオマスストロー　（裸）　赤</t>
  </si>
  <si>
    <t xml:space="preserve">1812000010267</t>
  </si>
  <si>
    <t xml:space="preserve">バイオマスストロー（裸）タピオカ</t>
  </si>
  <si>
    <t xml:space="preserve">1812000010649</t>
  </si>
  <si>
    <t xml:space="preserve">ＴＨ（ＦＳ）新チュリトス袋</t>
  </si>
  <si>
    <t xml:space="preserve">1812000010724</t>
  </si>
  <si>
    <t xml:space="preserve">レッドカップＰＣカップＳ（ＦＳ）</t>
  </si>
  <si>
    <t xml:space="preserve">1812000010731</t>
  </si>
  <si>
    <t xml:space="preserve">レッドカップＰＣカップＭ（ＦＳ）</t>
  </si>
  <si>
    <t xml:space="preserve">1812000010748</t>
  </si>
  <si>
    <t xml:space="preserve">レッドカップＰＣカップＬ（ＦＳ）</t>
  </si>
  <si>
    <t xml:space="preserve">1812000010878</t>
  </si>
  <si>
    <t xml:space="preserve">ワインカップ２２０ｃｃ</t>
  </si>
  <si>
    <t xml:space="preserve">1812000010885</t>
  </si>
  <si>
    <t xml:space="preserve">新ワインカップ用蓋</t>
  </si>
  <si>
    <t xml:space="preserve">1812000011110</t>
  </si>
  <si>
    <t xml:space="preserve">ホットＳカップ　ＳＭＰ―２６０</t>
  </si>
  <si>
    <t xml:space="preserve">1812000011301</t>
  </si>
  <si>
    <t xml:space="preserve">ＴＨ　ドームリッド　Ｌ－９６ＦＳ</t>
  </si>
  <si>
    <t xml:space="preserve">1812000011318</t>
  </si>
  <si>
    <t xml:space="preserve">サッポロポテトバーベＱ　Ｐカップ</t>
  </si>
  <si>
    <t xml:space="preserve">1812000011325</t>
  </si>
  <si>
    <t xml:space="preserve">ＴＨ（ＦＳ）新チュリトス袋２</t>
  </si>
  <si>
    <t xml:space="preserve">1812000011813</t>
  </si>
  <si>
    <t xml:space="preserve">ＩＣＥＥ　ドリンクカップ２１０Ｚ</t>
  </si>
  <si>
    <t xml:space="preserve">1812000011820</t>
  </si>
  <si>
    <t xml:space="preserve">ＩＣＥＥ　ドームリッド</t>
  </si>
  <si>
    <t xml:space="preserve">1812000011837</t>
  </si>
  <si>
    <t xml:space="preserve">ＩＣＥＥ　ストロー　裸・赤</t>
  </si>
  <si>
    <t xml:space="preserve">1812000011936</t>
  </si>
  <si>
    <t xml:space="preserve">新パーティーポップ袋</t>
  </si>
  <si>
    <t xml:space="preserve">1812000012438</t>
  </si>
  <si>
    <t xml:space="preserve">パーティーポップＷ　袋</t>
  </si>
  <si>
    <t xml:space="preserve">1812000012445</t>
  </si>
  <si>
    <t xml:space="preserve">パーティーポップＷ　オイル容器</t>
  </si>
  <si>
    <t xml:space="preserve">1812000012667</t>
  </si>
  <si>
    <t xml:space="preserve">プレゼント用ポップコーン袋</t>
  </si>
  <si>
    <t xml:space="preserve">1812000012773</t>
  </si>
  <si>
    <t xml:space="preserve">ＩＣＥＥ　新ドリンクカップ２１０</t>
  </si>
  <si>
    <t xml:space="preserve">1812000012957</t>
  </si>
  <si>
    <t xml:space="preserve">新　シネマイク蓋</t>
  </si>
  <si>
    <t xml:space="preserve">1812000013121</t>
  </si>
  <si>
    <t xml:space="preserve">新ポップコーンＨ＆Ｈ仕切り</t>
  </si>
  <si>
    <t xml:space="preserve">1812000013213</t>
  </si>
  <si>
    <t xml:space="preserve">新シネマイクポップコーンカップ</t>
  </si>
  <si>
    <t xml:space="preserve">1812000013299</t>
  </si>
  <si>
    <t xml:space="preserve">バイオマスタピオカストロー　赤裸</t>
  </si>
  <si>
    <t xml:space="preserve">1812000013305</t>
  </si>
  <si>
    <t xml:space="preserve">ＩＣＥＥＰｌｕｓカップＢＩＰ６０</t>
  </si>
  <si>
    <t xml:space="preserve">1814000001535</t>
  </si>
  <si>
    <t xml:space="preserve">ドリンクリッド共用５４５Ｆ</t>
  </si>
  <si>
    <t xml:space="preserve">1814000001665</t>
  </si>
  <si>
    <t xml:space="preserve">ホットリッド８．５ＯＺ２５０ＤＦ</t>
  </si>
  <si>
    <t xml:space="preserve">1814000001689</t>
  </si>
  <si>
    <t xml:space="preserve">ホットリッド１１ＯＺ　３４０ＥＦ</t>
  </si>
  <si>
    <t xml:space="preserve">1814000001986</t>
  </si>
  <si>
    <t xml:space="preserve">ＦＳポップコーンＨ＆Ｈ仕切り</t>
  </si>
  <si>
    <t xml:space="preserve">1814000004239</t>
  </si>
  <si>
    <t xml:space="preserve">ビールカップ２０ＯＺ（プレモル</t>
  </si>
  <si>
    <t xml:space="preserve">1814000004581</t>
  </si>
  <si>
    <t xml:space="preserve">新ＦドリンクカップＢＩＰ５１２Ｄ</t>
  </si>
  <si>
    <t xml:space="preserve">1814000006110</t>
  </si>
  <si>
    <t xml:space="preserve">バイオマスストレートストロ赤袋入</t>
  </si>
  <si>
    <t xml:space="preserve">1814000006271</t>
  </si>
  <si>
    <t xml:space="preserve">ＦＳドリンクカップ１６ＯＺ４８０</t>
  </si>
  <si>
    <t xml:space="preserve">1814000006288</t>
  </si>
  <si>
    <t xml:space="preserve">ＦＳドリンクカップ２０ＯＺ６００</t>
  </si>
  <si>
    <t xml:space="preserve">1814000006349</t>
  </si>
  <si>
    <t xml:space="preserve">Ｈカップ１１ＯＺ３４０Ｅ１２５０</t>
  </si>
  <si>
    <t xml:space="preserve">1814000006356</t>
  </si>
  <si>
    <t xml:space="preserve">ＴＨ　シネマイクポップコーン箱</t>
  </si>
  <si>
    <t xml:space="preserve">1814000006363</t>
  </si>
  <si>
    <t xml:space="preserve">ＴＨ　シネマイクポップコーン蓋</t>
  </si>
  <si>
    <t xml:space="preserve">1814000006387</t>
  </si>
  <si>
    <t xml:space="preserve">ＴＨ（ＦＳ）スカッシュ</t>
  </si>
  <si>
    <t xml:space="preserve">1814000006394</t>
  </si>
  <si>
    <t xml:space="preserve">ＴＨ（ＦＣ）スナックじゃが容器</t>
  </si>
  <si>
    <t xml:space="preserve">1814000006400</t>
  </si>
  <si>
    <t xml:space="preserve">ＴＨ（ＦＣ）ちょびチキトレー</t>
  </si>
  <si>
    <t xml:space="preserve">1814000006417</t>
  </si>
  <si>
    <t xml:space="preserve">ＴＨ（ＦＳ）ホットドッグ　ＢＯＸ</t>
  </si>
  <si>
    <t xml:space="preserve">1814000006424</t>
  </si>
  <si>
    <t xml:space="preserve">ＴＨ（ＦＳ）Ｐポップコーン袋</t>
  </si>
  <si>
    <t xml:space="preserve">1814000006486</t>
  </si>
  <si>
    <t xml:space="preserve">ＴＨバイオマスフォーク１４０裸</t>
  </si>
  <si>
    <t xml:space="preserve">1814000006493</t>
  </si>
  <si>
    <t xml:space="preserve">ＴＨ木製マドラー１６．５ｃｍ</t>
  </si>
  <si>
    <t xml:space="preserve">20101007</t>
  </si>
  <si>
    <t xml:space="preserve">松竹株式会社（コンセ）</t>
  </si>
  <si>
    <t xml:space="preserve">1812000013190</t>
  </si>
  <si>
    <t xml:space="preserve">銀魂　ショッパー　仕入</t>
  </si>
  <si>
    <t xml:space="preserve">50011003</t>
  </si>
  <si>
    <t xml:space="preserve">株式会社ムービック【コンセ】</t>
  </si>
  <si>
    <t xml:space="preserve">1812000013411</t>
  </si>
  <si>
    <t xml:space="preserve">コナン２０２６　Ｄカップ　仕入</t>
  </si>
  <si>
    <t xml:space="preserve">50079002</t>
  </si>
  <si>
    <t xml:space="preserve">東映ジョイ（コンセ）</t>
  </si>
  <si>
    <t xml:space="preserve">1812000013206</t>
  </si>
  <si>
    <t xml:space="preserve">銀魂　エリザベスＤホルダー　仕入</t>
  </si>
  <si>
    <t xml:space="preserve">50403001</t>
  </si>
  <si>
    <t xml:space="preserve">㈱トップス</t>
  </si>
  <si>
    <t xml:space="preserve">1812000013428</t>
  </si>
  <si>
    <t xml:space="preserve">コナン２０２６　Ｐボックス　仕入</t>
  </si>
  <si>
    <t xml:space="preserve">50405001</t>
  </si>
  <si>
    <t xml:space="preserve">㈱そごう・西武</t>
  </si>
  <si>
    <t xml:space="preserve">1812000013237</t>
  </si>
  <si>
    <t xml:space="preserve">ドラえもん　Ｐボックス　仕入</t>
  </si>
  <si>
    <t xml:space="preserve">51084001</t>
  </si>
  <si>
    <t xml:space="preserve">エパックス（株）</t>
  </si>
  <si>
    <t xml:space="preserve">1812000013268</t>
  </si>
  <si>
    <t xml:space="preserve">ウィキッド　悪い魔女　ＤＣ　仕入</t>
  </si>
  <si>
    <t xml:space="preserve">1812000013466</t>
  </si>
  <si>
    <t xml:space="preserve">マリオ　Ｄカップ　マリオ　仕入</t>
  </si>
  <si>
    <t xml:space="preserve">1812000013473</t>
  </si>
  <si>
    <t xml:space="preserve">マリオ　Ｄカップ　ルイージ　仕入</t>
  </si>
  <si>
    <t xml:space="preserve">1812000013480</t>
  </si>
  <si>
    <t xml:space="preserve">マリオ　Ｄカップ　ヨッシー　仕入</t>
  </si>
  <si>
    <t xml:space="preserve">1812000013497</t>
  </si>
  <si>
    <t xml:space="preserve">マリオ　ヨッシーＰボックス　仕入</t>
  </si>
  <si>
    <t xml:space="preserve">99003001</t>
  </si>
  <si>
    <t xml:space="preserve">本社　番組編成部　マーケティング室</t>
  </si>
  <si>
    <t xml:space="preserve">1812000008592</t>
  </si>
  <si>
    <t xml:space="preserve">プレミアムモルツ</t>
  </si>
  <si>
    <t xml:space="preserve">9807610000001</t>
  </si>
  <si>
    <t xml:space="preserve">（新商品）夏季限定フローズン</t>
  </si>
  <si>
    <t xml:space="preserve">9807610000002</t>
  </si>
  <si>
    <t xml:space="preserve">（新商品）コラボカップ</t>
  </si>
  <si>
    <t xml:space="preserve">0301</t>
  </si>
  <si>
    <t xml:space="preserve">中央シネマ</t>
  </si>
  <si>
    <t xml:space="preserve">9803010000001</t>
  </si>
  <si>
    <t xml:space="preserve">9803010000002</t>
  </si>
  <si>
    <t xml:space="preserve">0902</t>
  </si>
  <si>
    <t xml:space="preserve">郊外シネマ</t>
  </si>
  <si>
    <t xml:space="preserve">9809020000001</t>
  </si>
  <si>
    <t xml:space="preserve">9809020000002</t>
  </si>
  <si>
    <t xml:space="preserve">タイムテーブル</t>
  </si>
  <si>
    <t xml:space="preserve">今日の結論</t>
  </si>
  <si>
    <t xml:space="preserve">発注予定額（税抜）</t>
  </si>
  <si>
    <r>
      <rPr>
        <sz val="9"/>
        <color rgb="FF7A7D90"/>
        <rFont val="WenQuanYi Zen Hei"/>
        <family val="2"/>
      </rPr>
      <t xml:space="preserve">保管スペースの埋まり具合（今の在庫＋発注ぶん </t>
    </r>
    <r>
      <rPr>
        <sz val="9"/>
        <color rgb="FF7A7D90"/>
        <rFont val="Meiryo UI"/>
        <family val="0"/>
        <charset val="1"/>
      </rPr>
      <t xml:space="preserve">÷ </t>
    </r>
    <r>
      <rPr>
        <sz val="9"/>
        <color rgb="FF7A7D90"/>
        <rFont val="WenQuanYi Zen Hei"/>
        <family val="2"/>
      </rPr>
      <t xml:space="preserve">収容ケース数）</t>
    </r>
  </si>
  <si>
    <t xml:space="preserve">品目に発注が必要です</t>
  </si>
  <si>
    <t xml:space="preserve">常温</t>
  </si>
  <si>
    <t xml:space="preserve">冷蔵</t>
  </si>
  <si>
    <t xml:space="preserve">冷凍</t>
  </si>
  <si>
    <t xml:space="preserve">自動</t>
  </si>
  <si>
    <t xml:space="preserve">入力</t>
  </si>
  <si>
    <t xml:space="preserve">No</t>
  </si>
  <si>
    <t xml:space="preserve">分類</t>
  </si>
  <si>
    <t xml:space="preserve">残り日数</t>
  </si>
  <si>
    <t xml:space="preserve">デッドライン</t>
  </si>
  <si>
    <t xml:space="preserve">状態</t>
  </si>
  <si>
    <t xml:space="preserve">発注後日数</t>
  </si>
  <si>
    <r>
      <rPr>
        <b val="true"/>
        <sz val="10"/>
        <color rgb="FF4E5163"/>
        <rFont val="WenQuanYi Zen Hei"/>
        <family val="2"/>
      </rPr>
      <t xml:space="preserve">推奨</t>
    </r>
    <r>
      <rPr>
        <b val="true"/>
        <sz val="10"/>
        <color rgb="FF4E5163"/>
        <rFont val="Meiryo UI"/>
        <family val="0"/>
        <charset val="1"/>
      </rPr>
      <t xml:space="preserve">(</t>
    </r>
    <r>
      <rPr>
        <b val="true"/>
        <sz val="10"/>
        <color rgb="FF4E5163"/>
        <rFont val="WenQuanYi Zen Hei"/>
        <family val="2"/>
      </rPr>
      <t xml:space="preserve">ケース</t>
    </r>
    <r>
      <rPr>
        <b val="true"/>
        <sz val="10"/>
        <color rgb="FF4E5163"/>
        <rFont val="Meiryo UI"/>
        <family val="0"/>
        <charset val="1"/>
      </rPr>
      <t xml:space="preserve">)</t>
    </r>
  </si>
  <si>
    <t xml:space="preserve">発注数</t>
  </si>
  <si>
    <t xml:space="preserve">金額</t>
  </si>
  <si>
    <t xml:space="preserve">発注書用</t>
  </si>
  <si>
    <t xml:space="preserve">今日が期限（今日発注しないと間に合わない）</t>
  </si>
  <si>
    <t xml:space="preserve">要発注（発注サイクル内に在庫が切れる）</t>
  </si>
  <si>
    <t xml:space="preserve">余裕</t>
  </si>
  <si>
    <t xml:space="preserve">発注すると伸びる分</t>
  </si>
  <si>
    <t xml:space="preserve">│</t>
  </si>
  <si>
    <t xml:space="preserve">発注デッドライン（在庫が尽きる日 − リードタイム）</t>
  </si>
  <si>
    <r>
      <rPr>
        <sz val="9"/>
        <color rgb="FF7A7D90"/>
        <rFont val="WenQuanYi Zen Hei"/>
        <family val="2"/>
      </rPr>
      <t xml:space="preserve">横軸は当日基準日からの</t>
    </r>
    <r>
      <rPr>
        <sz val="9"/>
        <color rgb="FF7A7D90"/>
        <rFont val="Meiryo UI"/>
        <family val="0"/>
        <charset val="1"/>
      </rPr>
      <t xml:space="preserve">14</t>
    </r>
    <r>
      <rPr>
        <sz val="9"/>
        <color rgb="FF7A7D90"/>
        <rFont val="WenQuanYi Zen Hei"/>
        <family val="2"/>
      </rPr>
      <t xml:space="preserve">日間です。帯の長さがその商品の在庫が持つ日数を表します。</t>
    </r>
  </si>
  <si>
    <t xml:space="preserve">発注数を入れると、伸びた分がバター色で帯の先に足されます。</t>
  </si>
  <si>
    <t xml:space="preserve">発 注 書</t>
  </si>
  <si>
    <t xml:space="preserve">タイムテーブルで入れた発注数がここに集まります。発注先を選んで印刷してください。</t>
  </si>
  <si>
    <t xml:space="preserve">発注先の選択肢</t>
  </si>
  <si>
    <t xml:space="preserve">発注先</t>
  </si>
  <si>
    <t xml:space="preserve">すべて</t>
  </si>
  <si>
    <t xml:space="preserve">← ここを選ぶ</t>
  </si>
  <si>
    <t xml:space="preserve">発注日</t>
  </si>
  <si>
    <t xml:space="preserve">発注元</t>
  </si>
  <si>
    <t xml:space="preserve">担当者</t>
  </si>
  <si>
    <t xml:space="preserve">仕入先</t>
  </si>
  <si>
    <t xml:space="preserve">発注単位</t>
  </si>
  <si>
    <t xml:space="preserve">単価</t>
  </si>
  <si>
    <t xml:space="preserve">合計（税抜）</t>
  </si>
  <si>
    <t xml:space="preserve">※ 発注数はタイムテーブルシートで入力します。ここは印刷用の清書です。</t>
  </si>
  <si>
    <t xml:space="preserve">※ 発注先を切り替えると、その仕入先の明細だけに絞り込まれます。</t>
  </si>
  <si>
    <r>
      <rPr>
        <b val="true"/>
        <sz val="15"/>
        <color rgb="FF1B1D24"/>
        <rFont val="WenQuanYi Zen Hei"/>
        <family val="2"/>
      </rPr>
      <t xml:space="preserve">前回の在庫を貼る（月</t>
    </r>
    <r>
      <rPr>
        <b val="true"/>
        <sz val="15"/>
        <color rgb="FF1B1D24"/>
        <rFont val="Meiryo UI"/>
        <family val="0"/>
        <charset val="1"/>
      </rPr>
      <t xml:space="preserve">1</t>
    </r>
    <r>
      <rPr>
        <b val="true"/>
        <sz val="15"/>
        <color rgb="FF1B1D24"/>
        <rFont val="WenQuanYi Zen Hei"/>
        <family val="2"/>
      </rPr>
      <t xml:space="preserve">回）</t>
    </r>
  </si>
  <si>
    <r>
      <rPr>
        <sz val="9"/>
        <color rgb="FF7A7D90"/>
        <rFont val="WenQuanYi Zen Hei"/>
        <family val="2"/>
      </rPr>
      <t xml:space="preserve">当月を含まない直近</t>
    </r>
    <r>
      <rPr>
        <sz val="9"/>
        <color rgb="FF7A7D90"/>
        <rFont val="Meiryo UI"/>
        <family val="0"/>
        <charset val="1"/>
      </rPr>
      <t xml:space="preserve">2</t>
    </r>
    <r>
      <rPr>
        <sz val="9"/>
        <color rgb="FF7A7D90"/>
        <rFont val="WenQuanYi Zen Hei"/>
        <family val="2"/>
      </rPr>
      <t xml:space="preserve">ヶ月前の</t>
    </r>
    <r>
      <rPr>
        <sz val="9"/>
        <color rgb="FF7A7D90"/>
        <rFont val="Meiryo UI"/>
        <family val="0"/>
        <charset val="1"/>
      </rPr>
      <t xml:space="preserve">1</t>
    </r>
    <r>
      <rPr>
        <sz val="9"/>
        <color rgb="FF7A7D90"/>
        <rFont val="WenQuanYi Zen Hei"/>
        <family val="2"/>
      </rPr>
      <t xml:space="preserve">日時点の在庫一覧です。今日の在庫と突き合わせて、期間の消費量と商品の入れ替わりを見ます。</t>
    </r>
  </si>
  <si>
    <r>
      <rPr>
        <b val="true"/>
        <sz val="11"/>
        <color rgb="FF1B1D24"/>
        <rFont val="WenQuanYi Zen Hei"/>
        <family val="2"/>
      </rPr>
      <t xml:space="preserve">月に</t>
    </r>
    <r>
      <rPr>
        <b val="true"/>
        <sz val="11"/>
        <color rgb="FF1B1D24"/>
        <rFont val="Meiryo UI"/>
        <family val="0"/>
        <charset val="1"/>
      </rPr>
      <t xml:space="preserve">1</t>
    </r>
    <r>
      <rPr>
        <b val="true"/>
        <sz val="11"/>
        <color rgb="FF1B1D24"/>
        <rFont val="WenQuanYi Zen Hei"/>
        <family val="2"/>
      </rPr>
      <t xml:space="preserve">回、</t>
    </r>
    <r>
      <rPr>
        <b val="true"/>
        <sz val="11"/>
        <color rgb="FF1B1D24"/>
        <rFont val="Meiryo UI"/>
        <family val="0"/>
        <charset val="1"/>
      </rPr>
      <t xml:space="preserve">A6 </t>
    </r>
    <r>
      <rPr>
        <b val="true"/>
        <sz val="11"/>
        <color rgb="FF1B1D24"/>
        <rFont val="WenQuanYi Zen Hei"/>
        <family val="2"/>
      </rPr>
      <t xml:space="preserve">セルに貼り替えてください。</t>
    </r>
  </si>
  <si>
    <t xml:space="preserve">9907610000001</t>
  </si>
  <si>
    <t xml:space="preserve">（終売）季節限定ドリンク</t>
  </si>
  <si>
    <t xml:space="preserve">9907610000002</t>
  </si>
  <si>
    <t xml:space="preserve">（終売）旧パッケージカップ</t>
  </si>
  <si>
    <t xml:space="preserve">9903010000001</t>
  </si>
  <si>
    <t xml:space="preserve">9903010000002</t>
  </si>
  <si>
    <t xml:space="preserve">9909020000001</t>
  </si>
  <si>
    <t xml:space="preserve">9909020000002</t>
  </si>
  <si>
    <t xml:space="preserve">動員計画</t>
  </si>
  <si>
    <t xml:space="preserve">来場者予測を入れる唯一の場所です。空欄の日は劇場の標準来場者数が使われます。</t>
  </si>
  <si>
    <t xml:space="preserve">入力のしかた</t>
  </si>
  <si>
    <t xml:space="preserve">・「予測来場者数」に読みを入れます。空欄なら標準来場者数（設定シートの値）を使います。</t>
  </si>
  <si>
    <t xml:space="preserve">日付</t>
  </si>
  <si>
    <t xml:space="preserve">曜日</t>
  </si>
  <si>
    <t xml:space="preserve">予測来場者数</t>
  </si>
  <si>
    <t xml:space="preserve">主な作品・備考</t>
  </si>
  <si>
    <t xml:space="preserve">季節係数</t>
  </si>
  <si>
    <t xml:space="preserve">採用来場者数</t>
  </si>
  <si>
    <t xml:space="preserve">グラフ目盛り用</t>
  </si>
  <si>
    <r>
      <rPr>
        <b val="true"/>
        <sz val="11"/>
        <color rgb="FF7A5200"/>
        <rFont val="Meiryo UI"/>
        <family val="0"/>
        <charset val="1"/>
      </rPr>
      <t xml:space="preserve">GW</t>
    </r>
    <r>
      <rPr>
        <b val="true"/>
        <sz val="11"/>
        <color rgb="FF7A5200"/>
        <rFont val="WenQuanYi Zen Hei"/>
        <family val="2"/>
      </rPr>
      <t xml:space="preserve">初日</t>
    </r>
  </si>
  <si>
    <t xml:space="preserve">GW</t>
  </si>
  <si>
    <r>
      <rPr>
        <b val="true"/>
        <sz val="11"/>
        <color rgb="FF7A5200"/>
        <rFont val="Meiryo UI"/>
        <family val="0"/>
        <charset val="1"/>
      </rPr>
      <t xml:space="preserve">GW</t>
    </r>
    <r>
      <rPr>
        <b val="true"/>
        <sz val="11"/>
        <color rgb="FF7A5200"/>
        <rFont val="WenQuanYi Zen Hei"/>
        <family val="2"/>
      </rPr>
      <t xml:space="preserve">こどもの日／ファミリー作品</t>
    </r>
  </si>
  <si>
    <t xml:space="preserve">大型アニメ作品 公開初日</t>
  </si>
  <si>
    <r>
      <rPr>
        <b val="true"/>
        <sz val="11"/>
        <color rgb="FF7A5200"/>
        <rFont val="WenQuanYi Zen Hei"/>
        <family val="2"/>
      </rPr>
      <t xml:space="preserve">大型アニメ作品 公開</t>
    </r>
    <r>
      <rPr>
        <b val="true"/>
        <sz val="11"/>
        <color rgb="FF7A5200"/>
        <rFont val="Meiryo UI"/>
        <family val="0"/>
        <charset val="1"/>
      </rPr>
      <t xml:space="preserve">2</t>
    </r>
    <r>
      <rPr>
        <b val="true"/>
        <sz val="11"/>
        <color rgb="FF7A5200"/>
        <rFont val="WenQuanYi Zen Hei"/>
        <family val="2"/>
      </rPr>
      <t xml:space="preserve">日目</t>
    </r>
  </si>
  <si>
    <r>
      <rPr>
        <b val="true"/>
        <sz val="11"/>
        <color rgb="FF7A5200"/>
        <rFont val="WenQuanYi Zen Hei"/>
        <family val="2"/>
      </rPr>
      <t xml:space="preserve">大型アニメ作品 公開</t>
    </r>
    <r>
      <rPr>
        <b val="true"/>
        <sz val="11"/>
        <color rgb="FF7A5200"/>
        <rFont val="Meiryo UI"/>
        <family val="0"/>
        <charset val="1"/>
      </rPr>
      <t xml:space="preserve">3</t>
    </r>
    <r>
      <rPr>
        <b val="true"/>
        <sz val="11"/>
        <color rgb="FF7A5200"/>
        <rFont val="WenQuanYi Zen Hei"/>
        <family val="2"/>
      </rPr>
      <t xml:space="preserve">日目</t>
    </r>
  </si>
  <si>
    <t xml:space="preserve">洋画大作 公開</t>
  </si>
  <si>
    <t xml:space="preserve">映画の日</t>
  </si>
  <si>
    <t xml:space="preserve">欠品リスク</t>
  </si>
  <si>
    <t xml:space="preserve">要発注</t>
  </si>
  <si>
    <t xml:space="preserve">在庫に余裕</t>
  </si>
  <si>
    <t xml:space="preserve">推奨発注額（税抜）</t>
  </si>
  <si>
    <t xml:space="preserve">今日発注しないと間に合わない</t>
  </si>
  <si>
    <t xml:space="preserve">発注サイクル内に切れる</t>
  </si>
  <si>
    <t xml:space="preserve">しばらく発注不要</t>
  </si>
  <si>
    <t xml:space="preserve">在庫状況の内訳</t>
  </si>
  <si>
    <t xml:space="preserve">在庫日数の分布</t>
  </si>
  <si>
    <r>
      <rPr>
        <sz val="9"/>
        <color rgb="FF7A7D90"/>
        <rFont val="Meiryo UI"/>
        <family val="0"/>
        <charset val="1"/>
      </rPr>
      <t xml:space="preserve">1</t>
    </r>
    <r>
      <rPr>
        <sz val="9"/>
        <color rgb="FF7A7D90"/>
        <rFont val="WenQuanYi Zen Hei"/>
        <family val="2"/>
      </rPr>
      <t xml:space="preserve">マス＝全体の</t>
    </r>
    <r>
      <rPr>
        <sz val="9"/>
        <color rgb="FF7A7D90"/>
        <rFont val="Meiryo UI"/>
        <family val="0"/>
        <charset val="1"/>
      </rPr>
      <t xml:space="preserve">1%</t>
    </r>
    <r>
      <rPr>
        <sz val="9"/>
        <color rgb="FF7A7D90"/>
        <rFont val="WenQuanYi Zen Hei"/>
        <family val="2"/>
      </rPr>
      <t xml:space="preserve">。</t>
    </r>
    <r>
      <rPr>
        <sz val="9"/>
        <color rgb="FF7A7D90"/>
        <rFont val="Meiryo UI"/>
        <family val="0"/>
        <charset val="1"/>
      </rPr>
      <t xml:space="preserve">100</t>
    </r>
    <r>
      <rPr>
        <sz val="9"/>
        <color rgb="FF7A7D90"/>
        <rFont val="WenQuanYi Zen Hei"/>
        <family val="2"/>
      </rPr>
      <t xml:space="preserve">マスで取扱商品全体を表しています。</t>
    </r>
  </si>
  <si>
    <r>
      <rPr>
        <sz val="9"/>
        <color rgb="FF7A7D90"/>
        <rFont val="WenQuanYi Zen Hei"/>
        <family val="2"/>
      </rPr>
      <t xml:space="preserve">欠品リスク</t>
    </r>
    <r>
      <rPr>
        <sz val="9"/>
        <color rgb="FF7A7D90"/>
        <rFont val="Meiryo UI"/>
        <family val="0"/>
        <charset val="1"/>
      </rPr>
      <t xml:space="preserve">%</t>
    </r>
  </si>
  <si>
    <r>
      <rPr>
        <sz val="9"/>
        <color rgb="FF7A7D90"/>
        <rFont val="WenQuanYi Zen Hei"/>
        <family val="2"/>
      </rPr>
      <t xml:space="preserve">＋要発注</t>
    </r>
    <r>
      <rPr>
        <sz val="9"/>
        <color rgb="FF7A7D90"/>
        <rFont val="Meiryo UI"/>
        <family val="0"/>
        <charset val="1"/>
      </rPr>
      <t xml:space="preserve">%</t>
    </r>
  </si>
  <si>
    <r>
      <rPr>
        <sz val="9"/>
        <color rgb="FF7A7D90"/>
        <rFont val="WenQuanYi Zen Hei"/>
        <family val="2"/>
      </rPr>
      <t xml:space="preserve">＋余裕</t>
    </r>
    <r>
      <rPr>
        <sz val="9"/>
        <color rgb="FF7A7D90"/>
        <rFont val="Meiryo UI"/>
        <family val="0"/>
        <charset val="1"/>
      </rPr>
      <t xml:space="preserve">%</t>
    </r>
  </si>
  <si>
    <t xml:space="preserve">取扱商品数</t>
  </si>
  <si>
    <t xml:space="preserve">在庫日数</t>
  </si>
  <si>
    <t xml:space="preserve">品目数</t>
  </si>
  <si>
    <r>
      <rPr>
        <sz val="9"/>
        <color rgb="FF7A7D90"/>
        <rFont val="Meiryo UI"/>
        <family val="0"/>
        <charset val="1"/>
      </rPr>
      <t xml:space="preserve">14</t>
    </r>
    <r>
      <rPr>
        <sz val="9"/>
        <color rgb="FF7A7D90"/>
        <rFont val="WenQuanYi Zen Hei"/>
        <family val="2"/>
      </rPr>
      <t xml:space="preserve">日以上</t>
    </r>
  </si>
  <si>
    <r>
      <rPr>
        <sz val="9"/>
        <color rgb="FF7A7D90"/>
        <rFont val="Meiryo UI"/>
        <family val="0"/>
        <charset val="1"/>
      </rPr>
      <t xml:space="preserve">7</t>
    </r>
    <r>
      <rPr>
        <sz val="9"/>
        <color rgb="FF7A7D90"/>
        <rFont val="WenQuanYi Zen Hei"/>
        <family val="2"/>
      </rPr>
      <t xml:space="preserve">〜</t>
    </r>
    <r>
      <rPr>
        <sz val="9"/>
        <color rgb="FF7A7D90"/>
        <rFont val="Meiryo UI"/>
        <family val="0"/>
        <charset val="1"/>
      </rPr>
      <t xml:space="preserve">14</t>
    </r>
    <r>
      <rPr>
        <sz val="9"/>
        <color rgb="FF7A7D90"/>
        <rFont val="WenQuanYi Zen Hei"/>
        <family val="2"/>
      </rPr>
      <t xml:space="preserve">日</t>
    </r>
  </si>
  <si>
    <r>
      <rPr>
        <sz val="9"/>
        <color rgb="FF7A7D90"/>
        <rFont val="Meiryo UI"/>
        <family val="0"/>
        <charset val="1"/>
      </rPr>
      <t xml:space="preserve">3</t>
    </r>
    <r>
      <rPr>
        <sz val="9"/>
        <color rgb="FF7A7D90"/>
        <rFont val="WenQuanYi Zen Hei"/>
        <family val="2"/>
      </rPr>
      <t xml:space="preserve">〜</t>
    </r>
    <r>
      <rPr>
        <sz val="9"/>
        <color rgb="FF7A7D90"/>
        <rFont val="Meiryo UI"/>
        <family val="0"/>
        <charset val="1"/>
      </rPr>
      <t xml:space="preserve">7</t>
    </r>
    <r>
      <rPr>
        <sz val="9"/>
        <color rgb="FF7A7D90"/>
        <rFont val="WenQuanYi Zen Hei"/>
        <family val="2"/>
      </rPr>
      <t xml:space="preserve">日</t>
    </r>
  </si>
  <si>
    <t xml:space="preserve">データなし</t>
  </si>
  <si>
    <r>
      <rPr>
        <sz val="9"/>
        <color rgb="FF7A7D90"/>
        <rFont val="Meiryo UI"/>
        <family val="0"/>
        <charset val="1"/>
      </rPr>
      <t xml:space="preserve">1</t>
    </r>
    <r>
      <rPr>
        <sz val="9"/>
        <color rgb="FF7A7D90"/>
        <rFont val="WenQuanYi Zen Hei"/>
        <family val="2"/>
      </rPr>
      <t xml:space="preserve">〜</t>
    </r>
    <r>
      <rPr>
        <sz val="9"/>
        <color rgb="FF7A7D90"/>
        <rFont val="Meiryo UI"/>
        <family val="0"/>
        <charset val="1"/>
      </rPr>
      <t xml:space="preserve">3</t>
    </r>
    <r>
      <rPr>
        <sz val="9"/>
        <color rgb="FF7A7D90"/>
        <rFont val="WenQuanYi Zen Hei"/>
        <family val="2"/>
      </rPr>
      <t xml:space="preserve">日</t>
    </r>
  </si>
  <si>
    <r>
      <rPr>
        <sz val="9"/>
        <color rgb="FF7A7D90"/>
        <rFont val="Meiryo UI"/>
        <family val="0"/>
        <charset val="1"/>
      </rPr>
      <t xml:space="preserve">0</t>
    </r>
    <r>
      <rPr>
        <sz val="9"/>
        <color rgb="FF7A7D90"/>
        <rFont val="WenQuanYi Zen Hei"/>
        <family val="2"/>
      </rPr>
      <t xml:space="preserve">〜</t>
    </r>
    <r>
      <rPr>
        <sz val="9"/>
        <color rgb="FF7A7D90"/>
        <rFont val="Meiryo UI"/>
        <family val="0"/>
        <charset val="1"/>
      </rPr>
      <t xml:space="preserve">1</t>
    </r>
    <r>
      <rPr>
        <sz val="9"/>
        <color rgb="FF7A7D90"/>
        <rFont val="WenQuanYi Zen Hei"/>
        <family val="2"/>
      </rPr>
      <t xml:space="preserve">日</t>
    </r>
  </si>
  <si>
    <r>
      <rPr>
        <b val="true"/>
        <sz val="11"/>
        <color rgb="FF1B1D24"/>
        <rFont val="WenQuanYi Zen Hei"/>
        <family val="2"/>
      </rPr>
      <t xml:space="preserve">商品分類 </t>
    </r>
    <r>
      <rPr>
        <b val="true"/>
        <sz val="11"/>
        <color rgb="FF1B1D24"/>
        <rFont val="Meiryo UI"/>
        <family val="0"/>
        <charset val="1"/>
      </rPr>
      <t xml:space="preserve">× </t>
    </r>
    <r>
      <rPr>
        <b val="true"/>
        <sz val="11"/>
        <color rgb="FF1B1D24"/>
        <rFont val="WenQuanYi Zen Hei"/>
        <family val="2"/>
      </rPr>
      <t xml:space="preserve">状態</t>
    </r>
  </si>
  <si>
    <t xml:space="preserve">仕入先別 推奨発注額</t>
  </si>
  <si>
    <t xml:space="preserve">切れている</t>
  </si>
  <si>
    <t xml:space="preserve">商品分類</t>
  </si>
  <si>
    <t xml:space="preserve">今日が期限</t>
  </si>
  <si>
    <t xml:space="preserve">在庫金額</t>
  </si>
  <si>
    <t xml:space="preserve">推奨発注額</t>
  </si>
  <si>
    <r>
      <rPr>
        <b val="true"/>
        <sz val="11"/>
        <color rgb="FF1B1D24"/>
        <rFont val="WenQuanYi Zen Hei"/>
        <family val="2"/>
      </rPr>
      <t xml:space="preserve">今後</t>
    </r>
    <r>
      <rPr>
        <b val="true"/>
        <sz val="11"/>
        <color rgb="FF1B1D24"/>
        <rFont val="Meiryo UI"/>
        <family val="0"/>
        <charset val="1"/>
      </rPr>
      <t xml:space="preserve">14</t>
    </r>
    <r>
      <rPr>
        <b val="true"/>
        <sz val="11"/>
        <color rgb="FF1B1D24"/>
        <rFont val="WenQuanYi Zen Hei"/>
        <family val="2"/>
      </rPr>
      <t xml:space="preserve">日の入荷予定（発注済で未入荷のもの）</t>
    </r>
  </si>
  <si>
    <t xml:space="preserve">納品予定日ごとの金額です。色が濃い日ほど入荷が集中しています。</t>
  </si>
  <si>
    <r>
      <rPr>
        <b val="true"/>
        <sz val="11"/>
        <color rgb="FF1B1D24"/>
        <rFont val="WenQuanYi Zen Hei"/>
        <family val="2"/>
      </rPr>
      <t xml:space="preserve">今後</t>
    </r>
    <r>
      <rPr>
        <b val="true"/>
        <sz val="11"/>
        <color rgb="FF1B1D24"/>
        <rFont val="Meiryo UI"/>
        <family val="0"/>
        <charset val="1"/>
      </rPr>
      <t xml:space="preserve">14</t>
    </r>
    <r>
      <rPr>
        <b val="true"/>
        <sz val="11"/>
        <color rgb="FF1B1D24"/>
        <rFont val="WenQuanYi Zen Hei"/>
        <family val="2"/>
      </rPr>
      <t xml:space="preserve">日の動員予測</t>
    </r>
  </si>
  <si>
    <t xml:space="preserve">商品の入れ替わり</t>
  </si>
  <si>
    <t xml:space="preserve">動員計画シートの数字です。山の来る日に在庫が持つかを見てください。</t>
  </si>
  <si>
    <r>
      <rPr>
        <sz val="9"/>
        <color rgb="FF7A7D90"/>
        <rFont val="Meiryo UI"/>
        <family val="0"/>
        <charset val="1"/>
      </rPr>
      <t xml:space="preserve">2</t>
    </r>
    <r>
      <rPr>
        <sz val="9"/>
        <color rgb="FF7A7D90"/>
        <rFont val="WenQuanYi Zen Hei"/>
        <family val="2"/>
      </rPr>
      <t xml:space="preserve">つの在庫</t>
    </r>
    <r>
      <rPr>
        <sz val="9"/>
        <color rgb="FF7A7D90"/>
        <rFont val="Meiryo UI"/>
        <family val="0"/>
        <charset val="1"/>
      </rPr>
      <t xml:space="preserve">CSV</t>
    </r>
    <r>
      <rPr>
        <sz val="9"/>
        <color rgb="FF7A7D90"/>
        <rFont val="WenQuanYi Zen Hei"/>
        <family val="2"/>
      </rPr>
      <t xml:space="preserve">を突き合わせた結果です。発注漏れの目印になります。</t>
    </r>
  </si>
  <si>
    <t xml:space="preserve">新商品</t>
  </si>
  <si>
    <r>
      <rPr>
        <sz val="9"/>
        <color rgb="FF7A7D90"/>
        <rFont val="WenQuanYi Zen Hei"/>
        <family val="2"/>
      </rPr>
      <t xml:space="preserve">当日</t>
    </r>
    <r>
      <rPr>
        <sz val="9"/>
        <color rgb="FF7A7D90"/>
        <rFont val="Meiryo UI"/>
        <family val="0"/>
        <charset val="1"/>
      </rPr>
      <t xml:space="preserve">CSV</t>
    </r>
    <r>
      <rPr>
        <sz val="9"/>
        <color rgb="FF7A7D90"/>
        <rFont val="WenQuanYi Zen Hei"/>
        <family val="2"/>
      </rPr>
      <t xml:space="preserve">にあり、</t>
    </r>
    <r>
      <rPr>
        <sz val="9"/>
        <color rgb="FF7A7D90"/>
        <rFont val="Meiryo UI"/>
        <family val="0"/>
        <charset val="1"/>
      </rPr>
      <t xml:space="preserve">2</t>
    </r>
    <r>
      <rPr>
        <sz val="9"/>
        <color rgb="FF7A7D90"/>
        <rFont val="WenQuanYi Zen Hei"/>
        <family val="2"/>
      </rPr>
      <t xml:space="preserve">ヶ月前</t>
    </r>
    <r>
      <rPr>
        <sz val="9"/>
        <color rgb="FF7A7D90"/>
        <rFont val="Meiryo UI"/>
        <family val="0"/>
        <charset val="1"/>
      </rPr>
      <t xml:space="preserve">CSV</t>
    </r>
    <r>
      <rPr>
        <sz val="9"/>
        <color rgb="FF7A7D90"/>
        <rFont val="WenQuanYi Zen Hei"/>
        <family val="2"/>
      </rPr>
      <t xml:space="preserve">に無い</t>
    </r>
  </si>
  <si>
    <t xml:space="preserve">終売候補</t>
  </si>
  <si>
    <r>
      <rPr>
        <sz val="9"/>
        <color rgb="FF7A7D90"/>
        <rFont val="Meiryo UI"/>
        <family val="0"/>
        <charset val="1"/>
      </rPr>
      <t xml:space="preserve">2</t>
    </r>
    <r>
      <rPr>
        <sz val="9"/>
        <color rgb="FF7A7D90"/>
        <rFont val="WenQuanYi Zen Hei"/>
        <family val="2"/>
      </rPr>
      <t xml:space="preserve">ヶ月前</t>
    </r>
    <r>
      <rPr>
        <sz val="9"/>
        <color rgb="FF7A7D90"/>
        <rFont val="Meiryo UI"/>
        <family val="0"/>
        <charset val="1"/>
      </rPr>
      <t xml:space="preserve">CSV</t>
    </r>
    <r>
      <rPr>
        <sz val="9"/>
        <color rgb="FF7A7D90"/>
        <rFont val="WenQuanYi Zen Hei"/>
        <family val="2"/>
      </rPr>
      <t xml:space="preserve">にあり、当日</t>
    </r>
    <r>
      <rPr>
        <sz val="9"/>
        <color rgb="FF7A7D90"/>
        <rFont val="Meiryo UI"/>
        <family val="0"/>
        <charset val="1"/>
      </rPr>
      <t xml:space="preserve">CSV</t>
    </r>
    <r>
      <rPr>
        <sz val="9"/>
        <color rgb="FF7A7D90"/>
        <rFont val="WenQuanYi Zen Hei"/>
        <family val="2"/>
      </rPr>
      <t xml:space="preserve">に無い</t>
    </r>
  </si>
  <si>
    <t xml:space="preserve">マスタ未登録</t>
  </si>
  <si>
    <r>
      <rPr>
        <sz val="9"/>
        <color rgb="FF7A7D90"/>
        <rFont val="Meiryo UI"/>
        <family val="0"/>
        <charset val="1"/>
      </rPr>
      <t xml:space="preserve">L/T</t>
    </r>
    <r>
      <rPr>
        <sz val="9"/>
        <color rgb="FF7A7D90"/>
        <rFont val="WenQuanYi Zen Hei"/>
        <family val="2"/>
      </rPr>
      <t xml:space="preserve">・ロット・</t>
    </r>
    <r>
      <rPr>
        <sz val="9"/>
        <color rgb="FF7A7D90"/>
        <rFont val="Meiryo UI"/>
        <family val="0"/>
        <charset val="1"/>
      </rPr>
      <t xml:space="preserve">PI</t>
    </r>
    <r>
      <rPr>
        <sz val="9"/>
        <color rgb="FF7A7D90"/>
        <rFont val="WenQuanYi Zen Hei"/>
        <family val="2"/>
      </rPr>
      <t xml:space="preserve">値が既定値のまま</t>
    </r>
  </si>
  <si>
    <t xml:space="preserve">在庫マイナス</t>
  </si>
  <si>
    <t xml:space="preserve">納品の未計上などデータ側のずれ</t>
  </si>
  <si>
    <r>
      <rPr>
        <b val="true"/>
        <sz val="10"/>
        <color rgb="FF4E5163"/>
        <rFont val="Meiryo UI"/>
        <family val="0"/>
        <charset val="1"/>
      </rPr>
      <t xml:space="preserve">PI</t>
    </r>
    <r>
      <rPr>
        <b val="true"/>
        <sz val="10"/>
        <color rgb="FF4E5163"/>
        <rFont val="WenQuanYi Zen Hei"/>
        <family val="2"/>
      </rPr>
      <t xml:space="preserve">値未設定</t>
    </r>
  </si>
  <si>
    <r>
      <rPr>
        <sz val="9"/>
        <color rgb="FF7A7D90"/>
        <rFont val="Meiryo UI"/>
        <family val="0"/>
        <charset val="1"/>
      </rPr>
      <t xml:space="preserve">PI</t>
    </r>
    <r>
      <rPr>
        <sz val="9"/>
        <color rgb="FF7A7D90"/>
        <rFont val="WenQuanYi Zen Hei"/>
        <family val="2"/>
      </rPr>
      <t xml:space="preserve">値予測を使うなら商品マスタに登録が要る</t>
    </r>
  </si>
  <si>
    <t xml:space="preserve">※ 数字は「発注計算」シートの推奨発注数にもとづく金額です（税抜）。</t>
  </si>
  <si>
    <r>
      <rPr>
        <sz val="9"/>
        <color rgb="FF7A7D90"/>
        <rFont val="WenQuanYi Zen Hei"/>
        <family val="2"/>
      </rPr>
      <t xml:space="preserve">※ グラフの元データは </t>
    </r>
    <r>
      <rPr>
        <sz val="9"/>
        <color rgb="FF7A7D90"/>
        <rFont val="Meiryo UI"/>
        <family val="0"/>
        <charset val="1"/>
      </rPr>
      <t xml:space="preserve">AE </t>
    </r>
    <r>
      <rPr>
        <sz val="9"/>
        <color rgb="FF7A7D90"/>
        <rFont val="WenQuanYi Zen Hei"/>
        <family val="2"/>
      </rPr>
      <t xml:space="preserve">列以降（非表示）にあります。商品分類や仕入先が増えたらそこに追記してください。</t>
    </r>
  </si>
  <si>
    <t xml:space="preserve">発注管理</t>
  </si>
  <si>
    <t xml:space="preserve">発注と入荷を記録します。入荷済みの数量は期間納品数として、未入荷分は発注残として使われます。</t>
  </si>
  <si>
    <t xml:space="preserve">選択</t>
  </si>
  <si>
    <r>
      <rPr>
        <b val="true"/>
        <sz val="10"/>
        <color rgb="FF4E5163"/>
        <rFont val="WenQuanYi Zen Hei"/>
        <family val="2"/>
      </rPr>
      <t xml:space="preserve">発注</t>
    </r>
    <r>
      <rPr>
        <b val="true"/>
        <sz val="10"/>
        <color rgb="FF4E5163"/>
        <rFont val="Meiryo UI"/>
        <family val="0"/>
        <charset val="1"/>
      </rPr>
      <t xml:space="preserve">No</t>
    </r>
  </si>
  <si>
    <r>
      <rPr>
        <b val="true"/>
        <sz val="10"/>
        <color rgb="FF4E5163"/>
        <rFont val="WenQuanYi Zen Hei"/>
        <family val="2"/>
      </rPr>
      <t xml:space="preserve">推奨発注数</t>
    </r>
    <r>
      <rPr>
        <b val="true"/>
        <sz val="10"/>
        <color rgb="FF4E5163"/>
        <rFont val="Meiryo UI"/>
        <family val="0"/>
        <charset val="1"/>
      </rPr>
      <t xml:space="preserve">(</t>
    </r>
    <r>
      <rPr>
        <b val="true"/>
        <sz val="10"/>
        <color rgb="FF4E5163"/>
        <rFont val="WenQuanYi Zen Hei"/>
        <family val="2"/>
      </rPr>
      <t xml:space="preserve">ケース</t>
    </r>
    <r>
      <rPr>
        <b val="true"/>
        <sz val="10"/>
        <color rgb="FF4E5163"/>
        <rFont val="Meiryo UI"/>
        <family val="0"/>
        <charset val="1"/>
      </rPr>
      <t xml:space="preserve">)</t>
    </r>
  </si>
  <si>
    <r>
      <rPr>
        <b val="true"/>
        <sz val="10"/>
        <color rgb="FF4E5163"/>
        <rFont val="WenQuanYi Zen Hei"/>
        <family val="2"/>
      </rPr>
      <t xml:space="preserve">実発注数</t>
    </r>
    <r>
      <rPr>
        <b val="true"/>
        <sz val="10"/>
        <color rgb="FF4E5163"/>
        <rFont val="Meiryo UI"/>
        <family val="0"/>
        <charset val="1"/>
      </rPr>
      <t xml:space="preserve">(</t>
    </r>
    <r>
      <rPr>
        <b val="true"/>
        <sz val="10"/>
        <color rgb="FF4E5163"/>
        <rFont val="WenQuanYi Zen Hei"/>
        <family val="2"/>
      </rPr>
      <t xml:space="preserve">ケース</t>
    </r>
    <r>
      <rPr>
        <b val="true"/>
        <sz val="10"/>
        <color rgb="FF4E5163"/>
        <rFont val="Meiryo UI"/>
        <family val="0"/>
        <charset val="1"/>
      </rPr>
      <t xml:space="preserve">)</t>
    </r>
  </si>
  <si>
    <r>
      <rPr>
        <b val="true"/>
        <sz val="10"/>
        <color rgb="FF4E5163"/>
        <rFont val="WenQuanYi Zen Hei"/>
        <family val="2"/>
      </rPr>
      <t xml:space="preserve">発注数量</t>
    </r>
    <r>
      <rPr>
        <b val="true"/>
        <sz val="10"/>
        <color rgb="FF4E5163"/>
        <rFont val="Meiryo UI"/>
        <family val="0"/>
        <charset val="1"/>
      </rPr>
      <t xml:space="preserve">(</t>
    </r>
    <r>
      <rPr>
        <b val="true"/>
        <sz val="10"/>
        <color rgb="FF4E5163"/>
        <rFont val="WenQuanYi Zen Hei"/>
        <family val="2"/>
      </rPr>
      <t xml:space="preserve">バラ</t>
    </r>
    <r>
      <rPr>
        <b val="true"/>
        <sz val="10"/>
        <color rgb="FF4E5163"/>
        <rFont val="Meiryo UI"/>
        <family val="0"/>
        <charset val="1"/>
      </rPr>
      <t xml:space="preserve">)</t>
    </r>
  </si>
  <si>
    <t xml:space="preserve">発注金額</t>
  </si>
  <si>
    <r>
      <rPr>
        <b val="true"/>
        <sz val="10"/>
        <color rgb="FF4E5163"/>
        <rFont val="Meiryo UI"/>
        <family val="0"/>
        <charset val="1"/>
      </rPr>
      <t xml:space="preserve">L/T</t>
    </r>
    <r>
      <rPr>
        <b val="true"/>
        <sz val="10"/>
        <color rgb="FF4E5163"/>
        <rFont val="WenQuanYi Zen Hei"/>
        <family val="2"/>
      </rPr>
      <t xml:space="preserve">日数</t>
    </r>
  </si>
  <si>
    <t xml:space="preserve">納品予定日</t>
  </si>
  <si>
    <t xml:space="preserve">発注状況</t>
  </si>
  <si>
    <t xml:space="preserve">入荷日</t>
  </si>
  <si>
    <r>
      <rPr>
        <b val="true"/>
        <sz val="10"/>
        <color rgb="FF4E5163"/>
        <rFont val="WenQuanYi Zen Hei"/>
        <family val="2"/>
      </rPr>
      <t xml:space="preserve">入荷数量</t>
    </r>
    <r>
      <rPr>
        <b val="true"/>
        <sz val="10"/>
        <color rgb="FF4E5163"/>
        <rFont val="Meiryo UI"/>
        <family val="0"/>
        <charset val="1"/>
      </rPr>
      <t xml:space="preserve">(</t>
    </r>
    <r>
      <rPr>
        <b val="true"/>
        <sz val="10"/>
        <color rgb="FF4E5163"/>
        <rFont val="WenQuanYi Zen Hei"/>
        <family val="2"/>
      </rPr>
      <t xml:space="preserve">バラ</t>
    </r>
    <r>
      <rPr>
        <b val="true"/>
        <sz val="10"/>
        <color rgb="FF4E5163"/>
        <rFont val="Meiryo UI"/>
        <family val="0"/>
        <charset val="1"/>
      </rPr>
      <t xml:space="preserve">)</t>
    </r>
  </si>
  <si>
    <t xml:space="preserve">備考</t>
  </si>
  <si>
    <t xml:space="preserve">入荷済み</t>
  </si>
  <si>
    <t xml:space="preserve">田中</t>
  </si>
  <si>
    <t xml:space="preserve">公開週の追加発注</t>
  </si>
  <si>
    <t xml:space="preserve">笹川</t>
  </si>
  <si>
    <t xml:space="preserve">定期発注</t>
  </si>
  <si>
    <t xml:space="preserve">発注済</t>
  </si>
  <si>
    <t xml:space="preserve">佐藤</t>
  </si>
  <si>
    <r>
      <rPr>
        <sz val="9"/>
        <color rgb="FF7A7D90"/>
        <rFont val="Meiryo UI"/>
        <family val="0"/>
        <charset val="1"/>
      </rPr>
      <t xml:space="preserve">PI</t>
    </r>
    <r>
      <rPr>
        <sz val="9"/>
        <color rgb="FF7A7D90"/>
        <rFont val="WenQuanYi Zen Hei"/>
        <family val="2"/>
      </rPr>
      <t xml:space="preserve">値は来場者</t>
    </r>
    <r>
      <rPr>
        <sz val="9"/>
        <color rgb="FF7A7D90"/>
        <rFont val="Meiryo UI"/>
        <family val="0"/>
        <charset val="1"/>
      </rPr>
      <t xml:space="preserve">100</t>
    </r>
    <r>
      <rPr>
        <sz val="9"/>
        <color rgb="FF7A7D90"/>
        <rFont val="WenQuanYi Zen Hei"/>
        <family val="2"/>
      </rPr>
      <t xml:space="preserve">人あたりの消費数です。取り扱いのないプロファイルは空欄のままで構いません。</t>
    </r>
  </si>
  <si>
    <t xml:space="preserve">最低ロット</t>
  </si>
  <si>
    <t xml:space="preserve">保管区分</t>
  </si>
  <si>
    <t xml:space="preserve">発注グループ</t>
  </si>
  <si>
    <r>
      <rPr>
        <b val="true"/>
        <sz val="10"/>
        <color rgb="FF4E5163"/>
        <rFont val="Meiryo UI"/>
        <family val="0"/>
        <charset val="1"/>
      </rPr>
      <t xml:space="preserve">PI</t>
    </r>
    <r>
      <rPr>
        <b val="true"/>
        <sz val="10"/>
        <color rgb="FF4E5163"/>
        <rFont val="WenQuanYi Zen Hei"/>
        <family val="2"/>
      </rPr>
      <t xml:space="preserve">値 </t>
    </r>
    <r>
      <rPr>
        <b val="true"/>
        <sz val="10"/>
        <color rgb="FF4E5163"/>
        <rFont val="Meiryo UI"/>
        <family val="0"/>
        <charset val="1"/>
      </rPr>
      <t xml:space="preserve">1</t>
    </r>
    <r>
      <rPr>
        <b val="true"/>
        <sz val="10"/>
        <color rgb="FF4E5163"/>
        <rFont val="WenQuanYi Zen Hei"/>
        <family val="2"/>
      </rPr>
      <t xml:space="preserve">杯売り</t>
    </r>
  </si>
  <si>
    <r>
      <rPr>
        <b val="true"/>
        <sz val="10"/>
        <color rgb="FF4E5163"/>
        <rFont val="Meiryo UI"/>
        <family val="0"/>
        <charset val="1"/>
      </rPr>
      <t xml:space="preserve">PI</t>
    </r>
    <r>
      <rPr>
        <b val="true"/>
        <sz val="10"/>
        <color rgb="FF4E5163"/>
        <rFont val="WenQuanYi Zen Hei"/>
        <family val="2"/>
      </rPr>
      <t xml:space="preserve">値 ドリンクバー</t>
    </r>
  </si>
  <si>
    <t xml:space="preserve">ケース</t>
  </si>
  <si>
    <t xml:space="preserve">その他常温</t>
  </si>
  <si>
    <t xml:space="preserve">ドリンクシロップ</t>
  </si>
  <si>
    <t xml:space="preserve">冷凍品</t>
  </si>
  <si>
    <t xml:space="preserve">常温包材</t>
  </si>
  <si>
    <t xml:space="preserve">① 劇場マスタ　劇場ごとの区分と、標準値を上書きしたいときの欄</t>
  </si>
  <si>
    <t xml:space="preserve">② 規模区分の標準値　劇場マスタの個別欄が空のときはこの値を使う</t>
  </si>
  <si>
    <t xml:space="preserve">③ 月別の係数</t>
  </si>
  <si>
    <t xml:space="preserve">④ 特別期間　この期間は月別の係数より優先される</t>
  </si>
  <si>
    <t xml:space="preserve">任意</t>
  </si>
  <si>
    <t xml:space="preserve">固定</t>
  </si>
  <si>
    <t xml:space="preserve">規模区分</t>
  </si>
  <si>
    <t xml:space="preserve">ドリンク提供方式</t>
  </si>
  <si>
    <r>
      <rPr>
        <b val="true"/>
        <sz val="10"/>
        <color rgb="FF4E5163"/>
        <rFont val="WenQuanYi Zen Hei"/>
        <family val="2"/>
      </rPr>
      <t xml:space="preserve">来場者数</t>
    </r>
    <r>
      <rPr>
        <b val="true"/>
        <sz val="10"/>
        <color rgb="FF4E5163"/>
        <rFont val="Meiryo UI"/>
        <family val="0"/>
        <charset val="1"/>
      </rPr>
      <t xml:space="preserve">/</t>
    </r>
    <r>
      <rPr>
        <b val="true"/>
        <sz val="10"/>
        <color rgb="FF4E5163"/>
        <rFont val="WenQuanYi Zen Hei"/>
        <family val="2"/>
      </rPr>
      <t xml:space="preserve">日</t>
    </r>
    <r>
      <rPr>
        <b val="true"/>
        <sz val="10"/>
        <color rgb="FF4E5163"/>
        <rFont val="Meiryo UI"/>
        <family val="0"/>
        <charset val="1"/>
      </rPr>
      <t xml:space="preserve">(</t>
    </r>
    <r>
      <rPr>
        <b val="true"/>
        <sz val="10"/>
        <color rgb="FF4E5163"/>
        <rFont val="WenQuanYi Zen Hei"/>
        <family val="2"/>
      </rPr>
      <t xml:space="preserve">個別</t>
    </r>
    <r>
      <rPr>
        <b val="true"/>
        <sz val="10"/>
        <color rgb="FF4E5163"/>
        <rFont val="Meiryo UI"/>
        <family val="0"/>
        <charset val="1"/>
      </rPr>
      <t xml:space="preserve">)</t>
    </r>
  </si>
  <si>
    <r>
      <rPr>
        <b val="true"/>
        <sz val="10"/>
        <color rgb="FF4E5163"/>
        <rFont val="WenQuanYi Zen Hei"/>
        <family val="2"/>
      </rPr>
      <t xml:space="preserve">安全在庫日数</t>
    </r>
    <r>
      <rPr>
        <b val="true"/>
        <sz val="10"/>
        <color rgb="FF4E5163"/>
        <rFont val="Meiryo UI"/>
        <family val="0"/>
        <charset val="1"/>
      </rPr>
      <t xml:space="preserve">(</t>
    </r>
    <r>
      <rPr>
        <b val="true"/>
        <sz val="10"/>
        <color rgb="FF4E5163"/>
        <rFont val="WenQuanYi Zen Hei"/>
        <family val="2"/>
      </rPr>
      <t xml:space="preserve">個別</t>
    </r>
    <r>
      <rPr>
        <b val="true"/>
        <sz val="10"/>
        <color rgb="FF4E5163"/>
        <rFont val="Meiryo UI"/>
        <family val="0"/>
        <charset val="1"/>
      </rPr>
      <t xml:space="preserve">)</t>
    </r>
  </si>
  <si>
    <r>
      <rPr>
        <b val="true"/>
        <sz val="10"/>
        <color rgb="FF4E5163"/>
        <rFont val="WenQuanYi Zen Hei"/>
        <family val="2"/>
      </rPr>
      <t xml:space="preserve">発注サイクル</t>
    </r>
    <r>
      <rPr>
        <b val="true"/>
        <sz val="10"/>
        <color rgb="FF4E5163"/>
        <rFont val="Meiryo UI"/>
        <family val="0"/>
        <charset val="1"/>
      </rPr>
      <t xml:space="preserve">(</t>
    </r>
    <r>
      <rPr>
        <b val="true"/>
        <sz val="10"/>
        <color rgb="FF4E5163"/>
        <rFont val="WenQuanYi Zen Hei"/>
        <family val="2"/>
      </rPr>
      <t xml:space="preserve">個別</t>
    </r>
    <r>
      <rPr>
        <b val="true"/>
        <sz val="10"/>
        <color rgb="FF4E5163"/>
        <rFont val="Meiryo UI"/>
        <family val="0"/>
        <charset val="1"/>
      </rPr>
      <t xml:space="preserve">)</t>
    </r>
  </si>
  <si>
    <t xml:space="preserve">常温 収容ケース</t>
  </si>
  <si>
    <t xml:space="preserve">冷蔵 収容ケース</t>
  </si>
  <si>
    <t xml:space="preserve">冷凍 収容ケース</t>
  </si>
  <si>
    <r>
      <rPr>
        <b val="true"/>
        <sz val="10"/>
        <color rgb="FF4E5163"/>
        <rFont val="WenQuanYi Zen Hei"/>
        <family val="2"/>
      </rPr>
      <t xml:space="preserve">来場者数</t>
    </r>
    <r>
      <rPr>
        <b val="true"/>
        <sz val="10"/>
        <color rgb="FF4E5163"/>
        <rFont val="Meiryo UI"/>
        <family val="0"/>
        <charset val="1"/>
      </rPr>
      <t xml:space="preserve">/</t>
    </r>
    <r>
      <rPr>
        <b val="true"/>
        <sz val="10"/>
        <color rgb="FF4E5163"/>
        <rFont val="WenQuanYi Zen Hei"/>
        <family val="2"/>
      </rPr>
      <t xml:space="preserve">日</t>
    </r>
  </si>
  <si>
    <t xml:space="preserve">安全在庫日数</t>
  </si>
  <si>
    <t xml:space="preserve">発注サイクル</t>
  </si>
  <si>
    <t xml:space="preserve">月</t>
  </si>
  <si>
    <t xml:space="preserve">係数</t>
  </si>
  <si>
    <t xml:space="preserve">期間名</t>
  </si>
  <si>
    <t xml:space="preserve">開始日</t>
  </si>
  <si>
    <t xml:space="preserve">終了日</t>
  </si>
  <si>
    <t xml:space="preserve">大規模</t>
  </si>
  <si>
    <r>
      <rPr>
        <sz val="11"/>
        <color rgb="FF1B1D24"/>
        <rFont val="Meiryo UI"/>
        <family val="0"/>
        <charset val="1"/>
      </rPr>
      <t xml:space="preserve">1</t>
    </r>
    <r>
      <rPr>
        <sz val="11"/>
        <color rgb="FF1B1D24"/>
        <rFont val="WenQuanYi Zen Hei"/>
        <family val="2"/>
      </rPr>
      <t xml:space="preserve">杯売り</t>
    </r>
  </si>
  <si>
    <t xml:space="preserve">スクリーン数が多く、繁忙期の変動も大きい</t>
  </si>
  <si>
    <t xml:space="preserve">スクリーン数が多く来場者の多い劇場</t>
  </si>
  <si>
    <t xml:space="preserve">ゴールデンウィーク</t>
  </si>
  <si>
    <t xml:space="preserve">中規模</t>
  </si>
  <si>
    <t xml:space="preserve">ドリンクバー</t>
  </si>
  <si>
    <t xml:space="preserve">中規模だが動員が多いため個別に上書き</t>
  </si>
  <si>
    <t xml:space="preserve">標準的な規模の劇場</t>
  </si>
  <si>
    <t xml:space="preserve">大型作品公開週</t>
  </si>
  <si>
    <t xml:space="preserve">小規模</t>
  </si>
  <si>
    <t xml:space="preserve">来場者が少なく発注頻度を落とす劇場</t>
  </si>
  <si>
    <t xml:space="preserve">閑散期</t>
  </si>
  <si>
    <t xml:space="preserve">※ 開始日・終了日が空欄の行は無視されます。期間が重なるときは係数が最大の行を使います。</t>
  </si>
  <si>
    <r>
      <rPr>
        <sz val="9"/>
        <color rgb="FF7A7D90"/>
        <rFont val="WenQuanYi Zen Hei"/>
        <family val="2"/>
      </rPr>
      <t xml:space="preserve">人が決める数字はすべてこの</t>
    </r>
    <r>
      <rPr>
        <sz val="9"/>
        <color rgb="FF7A7D90"/>
        <rFont val="Meiryo UI"/>
        <family val="0"/>
        <charset val="1"/>
      </rPr>
      <t xml:space="preserve">1</t>
    </r>
    <r>
      <rPr>
        <sz val="9"/>
        <color rgb="FF7A7D90"/>
        <rFont val="WenQuanYi Zen Hei"/>
        <family val="2"/>
      </rPr>
      <t xml:space="preserve">枚にあります。黄色のセルだけ触ってください。マスタを分けるほど「どこを直せばいいか」が分からなくなるため、</t>
    </r>
    <r>
      <rPr>
        <sz val="9"/>
        <color rgb="FF7A7D90"/>
        <rFont val="Meiryo UI"/>
        <family val="0"/>
        <charset val="1"/>
      </rPr>
      <t xml:space="preserve">1</t>
    </r>
    <r>
      <rPr>
        <sz val="9"/>
        <color rgb="FF7A7D90"/>
        <rFont val="WenQuanYi Zen Hei"/>
        <family val="2"/>
      </rPr>
      <t xml:space="preserve">枚に集めています。</t>
    </r>
  </si>
  <si>
    <t xml:space="preserve">⑤ 保管設備　冷蔵庫・ストッカーなど。ここの合計が①の「収容ケース数」になり、発注量の上限判定に使われます</t>
  </si>
  <si>
    <t xml:space="preserve">⑥ 発注サイクル　商品グループごとの発注曜日。ここが発注点の計算に効きます</t>
  </si>
  <si>
    <t xml:space="preserve">設備名</t>
  </si>
  <si>
    <t xml:space="preserve">台数</t>
  </si>
  <si>
    <r>
      <rPr>
        <b val="true"/>
        <sz val="10"/>
        <color rgb="FF4E5163"/>
        <rFont val="Meiryo UI"/>
        <family val="0"/>
        <charset val="1"/>
      </rPr>
      <t xml:space="preserve">1</t>
    </r>
    <r>
      <rPr>
        <b val="true"/>
        <sz val="10"/>
        <color rgb="FF4E5163"/>
        <rFont val="WenQuanYi Zen Hei"/>
        <family val="2"/>
      </rPr>
      <t xml:space="preserve">台あたり収容ケース</t>
    </r>
  </si>
  <si>
    <t xml:space="preserve">小計</t>
  </si>
  <si>
    <t xml:space="preserve">火</t>
  </si>
  <si>
    <t xml:space="preserve">水</t>
  </si>
  <si>
    <t xml:space="preserve">木</t>
  </si>
  <si>
    <t xml:space="preserve">金</t>
  </si>
  <si>
    <t xml:space="preserve">土</t>
  </si>
  <si>
    <t xml:space="preserve">日</t>
  </si>
  <si>
    <t xml:space="preserve">週何回</t>
  </si>
  <si>
    <t xml:space="preserve">サイクル日数</t>
  </si>
  <si>
    <t xml:space="preserve">今日</t>
  </si>
  <si>
    <t xml:space="preserve">バックヤード棚</t>
  </si>
  <si>
    <t xml:space="preserve">○</t>
  </si>
  <si>
    <r>
      <rPr>
        <sz val="11"/>
        <color rgb="FF1B1D24"/>
        <rFont val="WenQuanYi Zen Hei"/>
        <family val="2"/>
      </rPr>
      <t xml:space="preserve">週</t>
    </r>
    <r>
      <rPr>
        <sz val="11"/>
        <color rgb="FF1B1D24"/>
        <rFont val="Meiryo UI"/>
        <family val="0"/>
        <charset val="1"/>
      </rPr>
      <t xml:space="preserve">3</t>
    </r>
    <r>
      <rPr>
        <sz val="11"/>
        <color rgb="FF1B1D24"/>
        <rFont val="WenQuanYi Zen Hei"/>
        <family val="2"/>
      </rPr>
      <t xml:space="preserve">回。曜日は融通が利く</t>
    </r>
  </si>
  <si>
    <t xml:space="preserve">業務用冷蔵庫</t>
  </si>
  <si>
    <r>
      <rPr>
        <sz val="11"/>
        <color rgb="FF1B1D24"/>
        <rFont val="WenQuanYi Zen Hei"/>
        <family val="2"/>
      </rPr>
      <t xml:space="preserve">週</t>
    </r>
    <r>
      <rPr>
        <sz val="11"/>
        <color rgb="FF1B1D24"/>
        <rFont val="Meiryo UI"/>
        <family val="0"/>
        <charset val="1"/>
      </rPr>
      <t xml:space="preserve">3</t>
    </r>
    <r>
      <rPr>
        <sz val="11"/>
        <color rgb="FF1B1D24"/>
        <rFont val="WenQuanYi Zen Hei"/>
        <family val="2"/>
      </rPr>
      <t xml:space="preserve">回</t>
    </r>
  </si>
  <si>
    <t xml:space="preserve">ドリンククーラー</t>
  </si>
  <si>
    <r>
      <rPr>
        <sz val="11"/>
        <color rgb="FF1B1D24"/>
        <rFont val="WenQuanYi Zen Hei"/>
        <family val="2"/>
      </rPr>
      <t xml:space="preserve">毎週木曜の</t>
    </r>
    <r>
      <rPr>
        <sz val="11"/>
        <color rgb="FF1B1D24"/>
        <rFont val="Meiryo UI"/>
        <family val="0"/>
        <charset val="1"/>
      </rPr>
      <t xml:space="preserve">1</t>
    </r>
    <r>
      <rPr>
        <sz val="11"/>
        <color rgb="FF1B1D24"/>
        <rFont val="WenQuanYi Zen Hei"/>
        <family val="2"/>
      </rPr>
      <t xml:space="preserve">回のみ</t>
    </r>
  </si>
  <si>
    <t xml:space="preserve">冷凍ストッカー</t>
  </si>
  <si>
    <t xml:space="preserve">包材と同じ便で受ける</t>
  </si>
  <si>
    <r>
      <rPr>
        <sz val="9"/>
        <color rgb="FF7A7D90"/>
        <rFont val="WenQuanYi Zen Hei"/>
        <family val="2"/>
      </rPr>
      <t xml:space="preserve">※ 発注する曜日に「○」を入れてください。サイクル日数（＝</t>
    </r>
    <r>
      <rPr>
        <sz val="9"/>
        <color rgb="FF7A7D90"/>
        <rFont val="Meiryo UI"/>
        <family val="0"/>
        <charset val="1"/>
      </rPr>
      <t xml:space="preserve">7÷</t>
    </r>
    <r>
      <rPr>
        <sz val="9"/>
        <color rgb="FF7A7D90"/>
        <rFont val="WenQuanYi Zen Hei"/>
        <family val="2"/>
      </rPr>
      <t xml:space="preserve">週の回数）が発注点の計算に使われます。</t>
    </r>
  </si>
  <si>
    <r>
      <rPr>
        <sz val="9"/>
        <color rgb="FF7A7D90"/>
        <rFont val="Meiryo UI"/>
        <family val="0"/>
        <charset val="1"/>
      </rPr>
      <t xml:space="preserve">※ 1</t>
    </r>
    <r>
      <rPr>
        <sz val="9"/>
        <color rgb="FF7A7D90"/>
        <rFont val="WenQuanYi Zen Hei"/>
        <family val="2"/>
      </rPr>
      <t xml:space="preserve">台あたりの収容ケース数は、実際に積める数を入れてください。メーカー公称の容量ではなく、運用上の目安で構いません。</t>
    </r>
  </si>
  <si>
    <t xml:space="preserve">設定</t>
  </si>
  <si>
    <t xml:space="preserve">黄色のセルを入力・選択してください。</t>
  </si>
  <si>
    <t xml:space="preserve">対象劇場コード</t>
  </si>
  <si>
    <t xml:space="preserve">発注計算・ダッシュボードの対象になる劇場です。劇場マスタから選択します。</t>
  </si>
  <si>
    <t xml:space="preserve">劇場マスタから自動取得します。</t>
  </si>
  <si>
    <t xml:space="preserve">当日基準日</t>
  </si>
  <si>
    <r>
      <rPr>
        <sz val="9"/>
        <color rgb="FF7A7D90"/>
        <rFont val="WenQuanYi Zen Hei"/>
        <family val="2"/>
      </rPr>
      <t xml:space="preserve">②在庫</t>
    </r>
    <r>
      <rPr>
        <sz val="9"/>
        <color rgb="FF7A7D90"/>
        <rFont val="Meiryo UI"/>
        <family val="0"/>
        <charset val="1"/>
      </rPr>
      <t xml:space="preserve">CSV_</t>
    </r>
    <r>
      <rPr>
        <sz val="9"/>
        <color rgb="FF7A7D90"/>
        <rFont val="WenQuanYi Zen Hei"/>
        <family val="2"/>
      </rPr>
      <t xml:space="preserve">当日の対象日付から自動取得します。</t>
    </r>
  </si>
  <si>
    <r>
      <rPr>
        <b val="true"/>
        <sz val="11"/>
        <color rgb="FF1B1D24"/>
        <rFont val="Meiryo UI"/>
        <family val="0"/>
        <charset val="1"/>
      </rPr>
      <t xml:space="preserve">2</t>
    </r>
    <r>
      <rPr>
        <b val="true"/>
        <sz val="11"/>
        <color rgb="FF1B1D24"/>
        <rFont val="WenQuanYi Zen Hei"/>
        <family val="2"/>
      </rPr>
      <t xml:space="preserve">ヶ月前の基準日</t>
    </r>
  </si>
  <si>
    <r>
      <rPr>
        <sz val="9"/>
        <color rgb="FF7A7D90"/>
        <rFont val="WenQuanYi Zen Hei"/>
        <family val="2"/>
      </rPr>
      <t xml:space="preserve">①在庫</t>
    </r>
    <r>
      <rPr>
        <sz val="9"/>
        <color rgb="FF7A7D90"/>
        <rFont val="Meiryo UI"/>
        <family val="0"/>
        <charset val="1"/>
      </rPr>
      <t xml:space="preserve">CSV_2</t>
    </r>
    <r>
      <rPr>
        <sz val="9"/>
        <color rgb="FF7A7D90"/>
        <rFont val="WenQuanYi Zen Hei"/>
        <family val="2"/>
      </rPr>
      <t xml:space="preserve">ヶ月前の対象日付から自動取得します。</t>
    </r>
  </si>
  <si>
    <t xml:space="preserve">期間日数</t>
  </si>
  <si>
    <r>
      <rPr>
        <sz val="9"/>
        <color rgb="FF7A7D90"/>
        <rFont val="WenQuanYi Zen Hei"/>
        <family val="2"/>
      </rPr>
      <t xml:space="preserve">実績消費</t>
    </r>
    <r>
      <rPr>
        <sz val="9"/>
        <color rgb="FF7A7D90"/>
        <rFont val="Meiryo UI"/>
        <family val="0"/>
        <charset val="1"/>
      </rPr>
      <t xml:space="preserve">/</t>
    </r>
    <r>
      <rPr>
        <sz val="9"/>
        <color rgb="FF7A7D90"/>
        <rFont val="WenQuanYi Zen Hei"/>
        <family val="2"/>
      </rPr>
      <t xml:space="preserve">日の算出に使う日数です。</t>
    </r>
  </si>
  <si>
    <t xml:space="preserve">算出基準</t>
  </si>
  <si>
    <t xml:space="preserve">実績消費</t>
  </si>
  <si>
    <r>
      <rPr>
        <sz val="9"/>
        <color rgb="FF7A7D90"/>
        <rFont val="WenQuanYi Zen Hei"/>
        <family val="2"/>
      </rPr>
      <t xml:space="preserve">実績消費＝在庫</t>
    </r>
    <r>
      <rPr>
        <sz val="9"/>
        <color rgb="FF7A7D90"/>
        <rFont val="Meiryo UI"/>
        <family val="0"/>
        <charset val="1"/>
      </rPr>
      <t xml:space="preserve">2</t>
    </r>
    <r>
      <rPr>
        <sz val="9"/>
        <color rgb="FF7A7D90"/>
        <rFont val="WenQuanYi Zen Hei"/>
        <family val="2"/>
      </rPr>
      <t xml:space="preserve">時点の差、</t>
    </r>
    <r>
      <rPr>
        <sz val="9"/>
        <color rgb="FF7A7D90"/>
        <rFont val="Meiryo UI"/>
        <family val="0"/>
        <charset val="1"/>
      </rPr>
      <t xml:space="preserve">PI</t>
    </r>
    <r>
      <rPr>
        <sz val="9"/>
        <color rgb="FF7A7D90"/>
        <rFont val="WenQuanYi Zen Hei"/>
        <family val="2"/>
      </rPr>
      <t xml:space="preserve">値予測＝来場者予測、最大値＝実績と</t>
    </r>
    <r>
      <rPr>
        <sz val="9"/>
        <color rgb="FF7A7D90"/>
        <rFont val="Meiryo UI"/>
        <family val="0"/>
        <charset val="1"/>
      </rPr>
      <t xml:space="preserve">PI</t>
    </r>
    <r>
      <rPr>
        <sz val="9"/>
        <color rgb="FF7A7D90"/>
        <rFont val="WenQuanYi Zen Hei"/>
        <family val="2"/>
      </rPr>
      <t xml:space="preserve">予測の大きい方。</t>
    </r>
  </si>
  <si>
    <r>
      <rPr>
        <b val="true"/>
        <sz val="11"/>
        <color rgb="FF1B1D24"/>
        <rFont val="Meiryo UI"/>
        <family val="0"/>
        <charset val="1"/>
      </rPr>
      <t xml:space="preserve">PI</t>
    </r>
    <r>
      <rPr>
        <b val="true"/>
        <sz val="11"/>
        <color rgb="FF1B1D24"/>
        <rFont val="WenQuanYi Zen Hei"/>
        <family val="2"/>
      </rPr>
      <t xml:space="preserve">プロファイル</t>
    </r>
  </si>
  <si>
    <r>
      <rPr>
        <sz val="9"/>
        <color rgb="FF7A7D90"/>
        <rFont val="WenQuanYi Zen Hei"/>
        <family val="2"/>
      </rPr>
      <t xml:space="preserve">ドリンクの提供方式です。商品マスタのどの</t>
    </r>
    <r>
      <rPr>
        <sz val="9"/>
        <color rgb="FF7A7D90"/>
        <rFont val="Meiryo UI"/>
        <family val="0"/>
        <charset val="1"/>
      </rPr>
      <t xml:space="preserve">PI</t>
    </r>
    <r>
      <rPr>
        <sz val="9"/>
        <color rgb="FF7A7D90"/>
        <rFont val="WenQuanYi Zen Hei"/>
        <family val="2"/>
      </rPr>
      <t xml:space="preserve">値列を使うかが決まります。</t>
    </r>
  </si>
  <si>
    <t xml:space="preserve">劇場個別の設定があればそちらが優先されます。</t>
  </si>
  <si>
    <t xml:space="preserve">発注サイクル日数</t>
  </si>
  <si>
    <t xml:space="preserve">次回発注までの日数。発注点の算出に使います。</t>
  </si>
  <si>
    <r>
      <rPr>
        <b val="true"/>
        <sz val="11"/>
        <color rgb="FF1B1D24"/>
        <rFont val="WenQuanYi Zen Hei"/>
        <family val="2"/>
      </rPr>
      <t xml:space="preserve">標準来場者数</t>
    </r>
    <r>
      <rPr>
        <b val="true"/>
        <sz val="11"/>
        <color rgb="FF1B1D24"/>
        <rFont val="Meiryo UI"/>
        <family val="0"/>
        <charset val="1"/>
      </rPr>
      <t xml:space="preserve">/</t>
    </r>
    <r>
      <rPr>
        <b val="true"/>
        <sz val="11"/>
        <color rgb="FF1B1D24"/>
        <rFont val="WenQuanYi Zen Hei"/>
        <family val="2"/>
      </rPr>
      <t xml:space="preserve">日</t>
    </r>
  </si>
  <si>
    <t xml:space="preserve">動員計画が空欄の日に使われる既定値です。</t>
  </si>
  <si>
    <t xml:space="preserve">当日基準日が特別期間に該当すればその係数、なければ月別係数です。</t>
  </si>
  <si>
    <t xml:space="preserve">発注担当者</t>
  </si>
  <si>
    <t xml:space="preserve">発注書・発注管理に記録する担当者名です。</t>
  </si>
  <si>
    <r>
      <rPr>
        <b val="true"/>
        <sz val="11"/>
        <color rgb="FF1B1D24"/>
        <rFont val="WenQuanYi Zen Hei"/>
        <family val="2"/>
      </rPr>
      <t xml:space="preserve">当日</t>
    </r>
    <r>
      <rPr>
        <b val="true"/>
        <sz val="11"/>
        <color rgb="FF1B1D24"/>
        <rFont val="Meiryo UI"/>
        <family val="0"/>
        <charset val="1"/>
      </rPr>
      <t xml:space="preserve">CSV</t>
    </r>
    <r>
      <rPr>
        <b val="true"/>
        <sz val="11"/>
        <color rgb="FF1B1D24"/>
        <rFont val="WenQuanYi Zen Hei"/>
        <family val="2"/>
      </rPr>
      <t xml:space="preserve">該当行数</t>
    </r>
  </si>
  <si>
    <r>
      <rPr>
        <sz val="9"/>
        <color rgb="FF7A7D90"/>
        <rFont val="Meiryo UI"/>
        <family val="0"/>
        <charset val="1"/>
      </rPr>
      <t xml:space="preserve">0</t>
    </r>
    <r>
      <rPr>
        <sz val="9"/>
        <color rgb="FF7A7D90"/>
        <rFont val="WenQuanYi Zen Hei"/>
        <family val="2"/>
      </rPr>
      <t xml:space="preserve">のままなら劇場コードが一致していません（先頭ゼロが落ちていないか確認）。</t>
    </r>
  </si>
  <si>
    <r>
      <rPr>
        <b val="true"/>
        <sz val="11"/>
        <color rgb="FF1B1D24"/>
        <rFont val="Meiryo UI"/>
        <family val="0"/>
        <charset val="1"/>
      </rPr>
      <t xml:space="preserve">2</t>
    </r>
    <r>
      <rPr>
        <b val="true"/>
        <sz val="11"/>
        <color rgb="FF1B1D24"/>
        <rFont val="WenQuanYi Zen Hei"/>
        <family val="2"/>
      </rPr>
      <t xml:space="preserve">ヶ月前</t>
    </r>
    <r>
      <rPr>
        <b val="true"/>
        <sz val="11"/>
        <color rgb="FF1B1D24"/>
        <rFont val="Meiryo UI"/>
        <family val="0"/>
        <charset val="1"/>
      </rPr>
      <t xml:space="preserve">CSV</t>
    </r>
    <r>
      <rPr>
        <b val="true"/>
        <sz val="11"/>
        <color rgb="FF1B1D24"/>
        <rFont val="WenQuanYi Zen Hei"/>
        <family val="2"/>
      </rPr>
      <t xml:space="preserve">該当行数</t>
    </r>
  </si>
  <si>
    <r>
      <rPr>
        <sz val="9"/>
        <color rgb="FF7A7D90"/>
        <rFont val="WenQuanYi Zen Hei"/>
        <family val="2"/>
      </rPr>
      <t xml:space="preserve">前回</t>
    </r>
    <r>
      <rPr>
        <sz val="9"/>
        <color rgb="FF7A7D90"/>
        <rFont val="Meiryo UI"/>
        <family val="0"/>
        <charset val="1"/>
      </rPr>
      <t xml:space="preserve">CSV</t>
    </r>
    <r>
      <rPr>
        <sz val="9"/>
        <color rgb="FF7A7D90"/>
        <rFont val="WenQuanYi Zen Hei"/>
        <family val="2"/>
      </rPr>
      <t xml:space="preserve">を貼っていない場合は</t>
    </r>
    <r>
      <rPr>
        <sz val="9"/>
        <color rgb="FF7A7D90"/>
        <rFont val="Meiryo UI"/>
        <family val="0"/>
        <charset val="1"/>
      </rPr>
      <t xml:space="preserve">0</t>
    </r>
    <r>
      <rPr>
        <sz val="9"/>
        <color rgb="FF7A7D90"/>
        <rFont val="WenQuanYi Zen Hei"/>
        <family val="2"/>
      </rPr>
      <t xml:space="preserve">です（実績消費は算出できません）。</t>
    </r>
  </si>
  <si>
    <r>
      <rPr>
        <sz val="9"/>
        <color rgb="FF7A7D90"/>
        <rFont val="WenQuanYi Zen Hei"/>
        <family val="2"/>
      </rPr>
      <t xml:space="preserve">当日</t>
    </r>
    <r>
      <rPr>
        <sz val="9"/>
        <color rgb="FF7A7D90"/>
        <rFont val="Meiryo UI"/>
        <family val="0"/>
        <charset val="1"/>
      </rPr>
      <t xml:space="preserve">CSV</t>
    </r>
    <r>
      <rPr>
        <sz val="9"/>
        <color rgb="FF7A7D90"/>
        <rFont val="WenQuanYi Zen Hei"/>
        <family val="2"/>
      </rPr>
      <t xml:space="preserve">と</t>
    </r>
    <r>
      <rPr>
        <sz val="9"/>
        <color rgb="FF7A7D90"/>
        <rFont val="Meiryo UI"/>
        <family val="0"/>
        <charset val="1"/>
      </rPr>
      <t xml:space="preserve">2</t>
    </r>
    <r>
      <rPr>
        <sz val="9"/>
        <color rgb="FF7A7D90"/>
        <rFont val="WenQuanYi Zen Hei"/>
        <family val="2"/>
      </rPr>
      <t xml:space="preserve">ヶ月前</t>
    </r>
    <r>
      <rPr>
        <sz val="9"/>
        <color rgb="FF7A7D90"/>
        <rFont val="Meiryo UI"/>
        <family val="0"/>
        <charset val="1"/>
      </rPr>
      <t xml:space="preserve">CSV</t>
    </r>
    <r>
      <rPr>
        <sz val="9"/>
        <color rgb="FF7A7D90"/>
        <rFont val="WenQuanYi Zen Hei"/>
        <family val="2"/>
      </rPr>
      <t xml:space="preserve">の和集合です。発注計算シートの行数と一致します。</t>
    </r>
  </si>
  <si>
    <t xml:space="preserve">動員計画の入力日数</t>
  </si>
  <si>
    <r>
      <rPr>
        <sz val="9"/>
        <color rgb="FF7A7D90"/>
        <rFont val="Meiryo UI"/>
        <family val="0"/>
        <charset val="1"/>
      </rPr>
      <t xml:space="preserve">0</t>
    </r>
    <r>
      <rPr>
        <sz val="9"/>
        <color rgb="FF7A7D90"/>
        <rFont val="WenQuanYi Zen Hei"/>
        <family val="2"/>
      </rPr>
      <t xml:space="preserve">でも動きます（標準来場者数を使用）。読みが変わる日だけ入れてください。</t>
    </r>
  </si>
  <si>
    <r>
      <rPr>
        <sz val="9"/>
        <color rgb="FF7A7D90"/>
        <rFont val="WenQuanYi Zen Hei"/>
        <family val="2"/>
      </rPr>
      <t xml:space="preserve">※ 在庫</t>
    </r>
    <r>
      <rPr>
        <sz val="9"/>
        <color rgb="FF7A7D90"/>
        <rFont val="Meiryo UI"/>
        <family val="0"/>
        <charset val="1"/>
      </rPr>
      <t xml:space="preserve">CSV</t>
    </r>
    <r>
      <rPr>
        <sz val="9"/>
        <color rgb="FF7A7D90"/>
        <rFont val="WenQuanYi Zen Hei"/>
        <family val="2"/>
      </rPr>
      <t xml:space="preserve">を貼り替えたら、この画面の該当行数と基準日が想定どおりか必ず確認してください。</t>
    </r>
  </si>
  <si>
    <t xml:space="preserve">発注計算</t>
  </si>
  <si>
    <r>
      <rPr>
        <sz val="9"/>
        <color rgb="FF7A7D90"/>
        <rFont val="WenQuanYi Zen Hei"/>
        <family val="2"/>
      </rPr>
      <t xml:space="preserve">設定シートで選んだ劇場の商品別計算です。行は在庫</t>
    </r>
    <r>
      <rPr>
        <sz val="9"/>
        <color rgb="FF7A7D90"/>
        <rFont val="Meiryo UI"/>
        <family val="0"/>
        <charset val="1"/>
      </rPr>
      <t xml:space="preserve">CSV</t>
    </r>
    <r>
      <rPr>
        <sz val="9"/>
        <color rgb="FF7A7D90"/>
        <rFont val="WenQuanYi Zen Hei"/>
        <family val="2"/>
      </rPr>
      <t xml:space="preserve">（当日＋前回）から自動生成されます。</t>
    </r>
  </si>
  <si>
    <t xml:space="preserve">当日理論在庫</t>
  </si>
  <si>
    <t xml:space="preserve">前回理論在庫</t>
  </si>
  <si>
    <t xml:space="preserve">期間納品数</t>
  </si>
  <si>
    <t xml:space="preserve">期間消費数</t>
  </si>
  <si>
    <r>
      <rPr>
        <b val="true"/>
        <sz val="10"/>
        <color rgb="FF4E5163"/>
        <rFont val="WenQuanYi Zen Hei"/>
        <family val="2"/>
      </rPr>
      <t xml:space="preserve">実績消費</t>
    </r>
    <r>
      <rPr>
        <b val="true"/>
        <sz val="10"/>
        <color rgb="FF4E5163"/>
        <rFont val="Meiryo UI"/>
        <family val="0"/>
        <charset val="1"/>
      </rPr>
      <t xml:space="preserve">/</t>
    </r>
    <r>
      <rPr>
        <b val="true"/>
        <sz val="10"/>
        <color rgb="FF4E5163"/>
        <rFont val="WenQuanYi Zen Hei"/>
        <family val="2"/>
      </rPr>
      <t xml:space="preserve">日</t>
    </r>
  </si>
  <si>
    <r>
      <rPr>
        <b val="true"/>
        <sz val="10"/>
        <color rgb="FF4E5163"/>
        <rFont val="Meiryo UI"/>
        <family val="0"/>
        <charset val="1"/>
      </rPr>
      <t xml:space="preserve">PI</t>
    </r>
    <r>
      <rPr>
        <b val="true"/>
        <sz val="10"/>
        <color rgb="FF4E5163"/>
        <rFont val="WenQuanYi Zen Hei"/>
        <family val="2"/>
      </rPr>
      <t xml:space="preserve">値</t>
    </r>
  </si>
  <si>
    <r>
      <rPr>
        <b val="true"/>
        <sz val="10"/>
        <color rgb="FF4E5163"/>
        <rFont val="Meiryo UI"/>
        <family val="0"/>
        <charset val="1"/>
      </rPr>
      <t xml:space="preserve">PI</t>
    </r>
    <r>
      <rPr>
        <b val="true"/>
        <sz val="10"/>
        <color rgb="FF4E5163"/>
        <rFont val="WenQuanYi Zen Hei"/>
        <family val="2"/>
      </rPr>
      <t xml:space="preserve">予測消費</t>
    </r>
    <r>
      <rPr>
        <b val="true"/>
        <sz val="10"/>
        <color rgb="FF4E5163"/>
        <rFont val="Meiryo UI"/>
        <family val="0"/>
        <charset val="1"/>
      </rPr>
      <t xml:space="preserve">/</t>
    </r>
    <r>
      <rPr>
        <b val="true"/>
        <sz val="10"/>
        <color rgb="FF4E5163"/>
        <rFont val="WenQuanYi Zen Hei"/>
        <family val="2"/>
      </rPr>
      <t xml:space="preserve">日</t>
    </r>
  </si>
  <si>
    <r>
      <rPr>
        <b val="true"/>
        <sz val="10"/>
        <color rgb="FF4E5163"/>
        <rFont val="WenQuanYi Zen Hei"/>
        <family val="2"/>
      </rPr>
      <t xml:space="preserve">採用消費</t>
    </r>
    <r>
      <rPr>
        <b val="true"/>
        <sz val="10"/>
        <color rgb="FF4E5163"/>
        <rFont val="Meiryo UI"/>
        <family val="0"/>
        <charset val="1"/>
      </rPr>
      <t xml:space="preserve">/</t>
    </r>
    <r>
      <rPr>
        <b val="true"/>
        <sz val="10"/>
        <color rgb="FF4E5163"/>
        <rFont val="WenQuanYi Zen Hei"/>
        <family val="2"/>
      </rPr>
      <t xml:space="preserve">日</t>
    </r>
  </si>
  <si>
    <t xml:space="preserve">安全在庫数量</t>
  </si>
  <si>
    <t xml:space="preserve">発注点</t>
  </si>
  <si>
    <t xml:space="preserve">発注残</t>
  </si>
  <si>
    <r>
      <rPr>
        <b val="true"/>
        <sz val="10"/>
        <color rgb="FF4E5163"/>
        <rFont val="WenQuanYi Zen Hei"/>
        <family val="2"/>
      </rPr>
      <t xml:space="preserve">推奨発注数</t>
    </r>
    <r>
      <rPr>
        <b val="true"/>
        <sz val="10"/>
        <color rgb="FF4E5163"/>
        <rFont val="Meiryo UI"/>
        <family val="0"/>
        <charset val="1"/>
      </rPr>
      <t xml:space="preserve">(</t>
    </r>
    <r>
      <rPr>
        <b val="true"/>
        <sz val="10"/>
        <color rgb="FF4E5163"/>
        <rFont val="WenQuanYi Zen Hei"/>
        <family val="2"/>
      </rPr>
      <t xml:space="preserve">バラ</t>
    </r>
    <r>
      <rPr>
        <b val="true"/>
        <sz val="10"/>
        <color rgb="FF4E5163"/>
        <rFont val="Meiryo UI"/>
        <family val="0"/>
        <charset val="1"/>
      </rPr>
      <t xml:space="preserve">)</t>
    </r>
  </si>
  <si>
    <t xml:space="preserve">発注要否</t>
  </si>
  <si>
    <t xml:space="preserve">推奨発注金額</t>
  </si>
  <si>
    <t xml:space="preserve">在庫ケース数</t>
  </si>
  <si>
    <t xml:space="preserve">図解用</t>
  </si>
  <si>
    <t xml:space="preserve">全劇場サマリ</t>
  </si>
  <si>
    <r>
      <rPr>
        <sz val="9"/>
        <color rgb="FF7A7D90"/>
        <rFont val="WenQuanYi Zen Hei"/>
        <family val="2"/>
      </rPr>
      <t xml:space="preserve">劇場マスタに登録された劇場について、当日</t>
    </r>
    <r>
      <rPr>
        <sz val="9"/>
        <color rgb="FF7A7D90"/>
        <rFont val="Meiryo UI"/>
        <family val="0"/>
        <charset val="1"/>
      </rPr>
      <t xml:space="preserve">CSV</t>
    </r>
    <r>
      <rPr>
        <sz val="9"/>
        <color rgb="FF7A7D90"/>
        <rFont val="WenQuanYi Zen Hei"/>
        <family val="2"/>
      </rPr>
      <t xml:space="preserve">と発注管理から集計します。</t>
    </r>
  </si>
  <si>
    <t xml:space="preserve">提供方式</t>
  </si>
  <si>
    <t xml:space="preserve">当日在庫金額</t>
  </si>
  <si>
    <t xml:space="preserve">マイナス在庫件数</t>
  </si>
  <si>
    <t xml:space="preserve">未入荷発注件数</t>
  </si>
  <si>
    <t xml:space="preserve">当月発注金額</t>
  </si>
</sst>
</file>

<file path=xl/styles.xml><?xml version="1.0" encoding="utf-8"?>
<styleSheet xmlns="http://schemas.openxmlformats.org/spreadsheetml/2006/main">
  <numFmts count="11">
    <numFmt numFmtId="164" formatCode="General"/>
    <numFmt numFmtId="165" formatCode="#,##0_);[RED]\(#,##0\)"/>
    <numFmt numFmtId="166" formatCode="#,##0.0\日;[RED]\-#,##0.0\日"/>
    <numFmt numFmtId="167" formatCode="0%"/>
    <numFmt numFmtId="168" formatCode="#,##0.0;[RED]\-#,##0.0"/>
    <numFmt numFmtId="169" formatCode="@"/>
    <numFmt numFmtId="170" formatCode="General"/>
    <numFmt numFmtId="171" formatCode="[$¥-411]#,##0;[RED][$¥-411]\-#,##0"/>
    <numFmt numFmtId="172" formatCode="m/d"/>
    <numFmt numFmtId="173" formatCode="yyyy/m/d"/>
    <numFmt numFmtId="174" formatCode="#,##0;;\-"/>
  </numFmts>
  <fonts count="63">
    <font>
      <sz val="11"/>
      <color theme="1"/>
      <name val="Calibri"/>
      <family val="2"/>
      <charset val="1"/>
    </font>
    <font>
      <sz val="10"/>
      <name val="Arial"/>
      <family val="0"/>
    </font>
    <font>
      <sz val="10"/>
      <name val="Arial"/>
      <family val="0"/>
    </font>
    <font>
      <sz val="10"/>
      <name val="Arial"/>
      <family val="0"/>
    </font>
    <font>
      <b val="true"/>
      <sz val="15"/>
      <color rgb="FF1B1D24"/>
      <name val="WenQuanYi Zen Hei"/>
      <family val="2"/>
    </font>
    <font>
      <b val="true"/>
      <sz val="12"/>
      <color rgb="FF1B1D24"/>
      <name val="WenQuanYi Zen Hei"/>
      <family val="2"/>
    </font>
    <font>
      <sz val="10"/>
      <color rgb="FF4E5163"/>
      <name val="WenQuanYi Zen Hei"/>
      <family val="2"/>
    </font>
    <font>
      <b val="true"/>
      <sz val="10"/>
      <color rgb="FF1B1D24"/>
      <name val="WenQuanYi Zen Hei"/>
      <family val="2"/>
    </font>
    <font>
      <b val="true"/>
      <sz val="11"/>
      <color rgb="FF1B1D24"/>
      <name val="WenQuanYi Zen Hei"/>
      <family val="2"/>
    </font>
    <font>
      <b val="true"/>
      <sz val="11"/>
      <color rgb="FF1B1D24"/>
      <name val="Meiryo UI"/>
      <family val="0"/>
      <charset val="1"/>
    </font>
    <font>
      <sz val="10"/>
      <color rgb="FF4E5163"/>
      <name val="Meiryo UI"/>
      <family val="0"/>
      <charset val="1"/>
    </font>
    <font>
      <b val="true"/>
      <sz val="10"/>
      <color rgb="FF1B1D24"/>
      <name val="Meiryo UI"/>
      <family val="0"/>
      <charset val="1"/>
    </font>
    <font>
      <sz val="9"/>
      <color rgb="FF7A7D90"/>
      <name val="WenQuanYi Zen Hei"/>
      <family val="2"/>
    </font>
    <font>
      <sz val="9"/>
      <color rgb="FF7A7D90"/>
      <name val="Meiryo UI"/>
      <family val="0"/>
      <charset val="1"/>
    </font>
    <font>
      <b val="true"/>
      <sz val="12"/>
      <color rgb="FF1B1D24"/>
      <name val="Meiryo UI"/>
      <family val="0"/>
      <charset val="1"/>
    </font>
    <font>
      <b val="true"/>
      <sz val="12"/>
      <color rgb="FFE8B44A"/>
      <name val="WenQuanYi Zen Hei"/>
      <family val="2"/>
    </font>
    <font>
      <b val="true"/>
      <sz val="20"/>
      <color rgb="FF7A7D90"/>
      <name val="Meiryo UI"/>
      <family val="0"/>
      <charset val="1"/>
    </font>
    <font>
      <b val="true"/>
      <sz val="12"/>
      <color rgb="FF4E5163"/>
      <name val="WenQuanYi Zen Hei"/>
      <family val="2"/>
    </font>
    <font>
      <b val="true"/>
      <sz val="12"/>
      <color rgb="FFA32A3C"/>
      <name val="WenQuanYi Zen Hei"/>
      <family val="2"/>
    </font>
    <font>
      <b val="true"/>
      <sz val="10"/>
      <color rgb="FF4E5163"/>
      <name val="WenQuanYi Zen Hei"/>
      <family val="2"/>
    </font>
    <font>
      <sz val="10"/>
      <color rgb="FF1B1D24"/>
      <name val="WenQuanYi Zen Hei"/>
      <family val="2"/>
    </font>
    <font>
      <sz val="10"/>
      <color rgb="FF1B1D24"/>
      <name val="Meiryo UI"/>
      <family val="0"/>
      <charset val="1"/>
    </font>
    <font>
      <b val="true"/>
      <sz val="11"/>
      <color rgb="FF7A5200"/>
      <name val="Meiryo UI"/>
      <family val="0"/>
      <charset val="1"/>
    </font>
    <font>
      <b val="true"/>
      <sz val="10"/>
      <color rgb="FF4E5163"/>
      <name val="Meiryo UI"/>
      <family val="0"/>
      <charset val="1"/>
    </font>
    <font>
      <b val="true"/>
      <sz val="9"/>
      <color rgb="FFE8B44A"/>
      <name val="WenQuanYi Zen Hei"/>
      <family val="2"/>
    </font>
    <font>
      <b val="true"/>
      <sz val="13"/>
      <color rgb="FF4E5163"/>
      <name val="Meiryo UI"/>
      <family val="0"/>
      <charset val="1"/>
    </font>
    <font>
      <b val="true"/>
      <sz val="9"/>
      <color rgb="FF00795A"/>
      <name val="WenQuanYi Zen Hei"/>
      <family val="2"/>
    </font>
    <font>
      <b val="true"/>
      <sz val="13"/>
      <color rgb="FF1B1D24"/>
      <name val="Meiryo UI"/>
      <family val="0"/>
      <charset val="1"/>
    </font>
    <font>
      <b val="true"/>
      <sz val="9"/>
      <color rgb="FF4E5163"/>
      <name val="WenQuanYi Zen Hei"/>
      <family val="2"/>
    </font>
    <font>
      <b val="true"/>
      <sz val="9"/>
      <color rgb="FFA32A3C"/>
      <name val="WenQuanYi Zen Hei"/>
      <family val="2"/>
    </font>
    <font>
      <sz val="1"/>
      <color rgb="FFFFFFFF"/>
      <name val="Meiryo UI"/>
      <family val="0"/>
      <charset val="1"/>
    </font>
    <font>
      <b val="true"/>
      <sz val="16"/>
      <color rgb="FF1B1D24"/>
      <name val="Meiryo UI"/>
      <family val="0"/>
      <charset val="1"/>
    </font>
    <font>
      <sz val="11"/>
      <color theme="1"/>
      <name val="WenQuanYi Zen Hei"/>
      <family val="2"/>
    </font>
    <font>
      <b val="true"/>
      <sz val="36"/>
      <color rgb="FFA32A3C"/>
      <name val="Meiryo UI"/>
      <family val="0"/>
      <charset val="1"/>
    </font>
    <font>
      <b val="true"/>
      <sz val="13"/>
      <color rgb="FF1B1D24"/>
      <name val="WenQuanYi Zen Hei"/>
      <family val="2"/>
    </font>
    <font>
      <b val="true"/>
      <sz val="14"/>
      <color rgb="FF1B1D24"/>
      <name val="Meiryo UI"/>
      <family val="0"/>
      <charset val="1"/>
    </font>
    <font>
      <sz val="8"/>
      <color rgb="FFD5D0C4"/>
      <name val="Meiryo UI"/>
      <family val="0"/>
      <charset val="1"/>
    </font>
    <font>
      <sz val="8"/>
      <color rgb="FF7A7D90"/>
      <name val="Meiryo UI"/>
      <family val="0"/>
      <charset val="1"/>
    </font>
    <font>
      <sz val="11"/>
      <color rgb="FF1B1D24"/>
      <name val="Meiryo UI"/>
      <family val="0"/>
      <charset val="1"/>
    </font>
    <font>
      <sz val="11"/>
      <color rgb="FF1B1D24"/>
      <name val="WenQuanYi Zen Hei"/>
      <family val="2"/>
    </font>
    <font>
      <b val="true"/>
      <sz val="9"/>
      <color rgb="FF1B1D24"/>
      <name val="Meiryo UI"/>
      <family val="0"/>
      <charset val="1"/>
    </font>
    <font>
      <b val="true"/>
      <sz val="18"/>
      <color rgb="FF1B1D24"/>
      <name val="WenQuanYi Zen Hei"/>
      <family val="2"/>
    </font>
    <font>
      <b val="true"/>
      <sz val="11"/>
      <color rgb="FF7A5200"/>
      <name val="WenQuanYi Zen Hei"/>
      <family val="2"/>
    </font>
    <font>
      <b val="true"/>
      <sz val="15"/>
      <color rgb="FF1B1D24"/>
      <name val="Meiryo UI"/>
      <family val="0"/>
      <charset val="1"/>
    </font>
    <font>
      <b val="true"/>
      <sz val="10"/>
      <color rgb="FFA32A3C"/>
      <name val="WenQuanYi Zen Hei"/>
      <family val="2"/>
    </font>
    <font>
      <b val="true"/>
      <sz val="10"/>
      <color rgb="FFC9761A"/>
      <name val="WenQuanYi Zen Hei"/>
      <family val="2"/>
    </font>
    <font>
      <b val="true"/>
      <sz val="10"/>
      <color rgb="FF00795A"/>
      <name val="WenQuanYi Zen Hei"/>
      <family val="2"/>
    </font>
    <font>
      <b val="true"/>
      <sz val="30"/>
      <color rgb="FFA32A3C"/>
      <name val="Meiryo UI"/>
      <family val="0"/>
      <charset val="1"/>
    </font>
    <font>
      <b val="true"/>
      <sz val="30"/>
      <color rgb="FFC9761A"/>
      <name val="Meiryo UI"/>
      <family val="0"/>
      <charset val="1"/>
    </font>
    <font>
      <b val="true"/>
      <sz val="30"/>
      <color rgb="FF00795A"/>
      <name val="Meiryo UI"/>
      <family val="0"/>
      <charset val="1"/>
    </font>
    <font>
      <b val="true"/>
      <sz val="18"/>
      <color rgb="FF1B1D24"/>
      <name val="Meiryo UI"/>
      <family val="0"/>
      <charset val="1"/>
    </font>
    <font>
      <b val="true"/>
      <sz val="9"/>
      <color rgb="FFC9761A"/>
      <name val="WenQuanYi Zen Hei"/>
      <family val="2"/>
    </font>
    <font>
      <sz val="9"/>
      <color rgb="FF1B1D24"/>
      <name val="WenQuanYi Zen Hei"/>
      <family val="2"/>
    </font>
    <font>
      <sz val="9"/>
      <color rgb="FF1B1D24"/>
      <name val="Meiryo UI"/>
      <family val="0"/>
      <charset val="1"/>
    </font>
    <font>
      <sz val="9"/>
      <color rgb="FF4E5163"/>
      <name val="Meiryo UI"/>
      <family val="0"/>
      <charset val="1"/>
    </font>
    <font>
      <b val="true"/>
      <sz val="10"/>
      <color rgb="FFE8B44A"/>
      <name val="WenQuanYi Zen Hei"/>
      <family val="2"/>
    </font>
    <font>
      <b val="true"/>
      <sz val="14"/>
      <color rgb="FFE8B44A"/>
      <name val="Meiryo UI"/>
      <family val="0"/>
      <charset val="1"/>
    </font>
    <font>
      <b val="true"/>
      <sz val="10"/>
      <color rgb="FF7A7D90"/>
      <name val="WenQuanYi Zen Hei"/>
      <family val="2"/>
    </font>
    <font>
      <b val="true"/>
      <sz val="14"/>
      <color rgb="FF7A7D90"/>
      <name val="Meiryo UI"/>
      <family val="0"/>
      <charset val="1"/>
    </font>
    <font>
      <b val="true"/>
      <sz val="14"/>
      <color rgb="FFC9761A"/>
      <name val="Meiryo UI"/>
      <family val="0"/>
      <charset val="1"/>
    </font>
    <font>
      <b val="true"/>
      <sz val="14"/>
      <color rgb="FFA32A3C"/>
      <name val="Meiryo UI"/>
      <family val="0"/>
      <charset val="1"/>
    </font>
    <font>
      <b val="true"/>
      <sz val="14"/>
      <color rgb="FF4E5163"/>
      <name val="Meiryo UI"/>
      <family val="0"/>
      <charset val="1"/>
    </font>
    <font>
      <sz val="10"/>
      <color rgb="FF000000"/>
      <name val="Calibri"/>
      <family val="2"/>
    </font>
  </fonts>
  <fills count="15">
    <fill>
      <patternFill patternType="none"/>
    </fill>
    <fill>
      <patternFill patternType="gray125"/>
    </fill>
    <fill>
      <patternFill patternType="solid">
        <fgColor rgb="FFFAF7F0"/>
        <bgColor rgb="FFFBFAF7"/>
      </patternFill>
    </fill>
    <fill>
      <patternFill patternType="solid">
        <fgColor rgb="FFFDF3D8"/>
        <bgColor rgb="FFF4EFE2"/>
      </patternFill>
    </fill>
    <fill>
      <patternFill patternType="solid">
        <fgColor rgb="FFF1ECE1"/>
        <bgColor rgb="FFF4EFE2"/>
      </patternFill>
    </fill>
    <fill>
      <patternFill patternType="solid">
        <fgColor rgb="FFFBFAF7"/>
        <bgColor rgb="FFFAF7F0"/>
      </patternFill>
    </fill>
    <fill>
      <patternFill patternType="solid">
        <fgColor rgb="FFF3DDE1"/>
        <bgColor rgb="FFEDE8DC"/>
      </patternFill>
    </fill>
    <fill>
      <patternFill patternType="solid">
        <fgColor rgb="FFF4F1EA"/>
        <bgColor rgb="FFF4EFE2"/>
      </patternFill>
    </fill>
    <fill>
      <patternFill patternType="solid">
        <fgColor rgb="FF00795A"/>
        <bgColor rgb="FF008080"/>
      </patternFill>
    </fill>
    <fill>
      <patternFill patternType="solid">
        <fgColor rgb="FFE8B44A"/>
        <bgColor rgb="FFFF9900"/>
      </patternFill>
    </fill>
    <fill>
      <patternFill patternType="solid">
        <fgColor rgb="FFA32A3C"/>
        <bgColor rgb="FF993366"/>
      </patternFill>
    </fill>
    <fill>
      <patternFill patternType="solid">
        <fgColor rgb="FFC9761A"/>
        <bgColor rgb="FFFF9900"/>
      </patternFill>
    </fill>
    <fill>
      <patternFill patternType="solid">
        <fgColor rgb="FFF7E7D2"/>
        <bgColor rgb="FFEDE8DC"/>
      </patternFill>
    </fill>
    <fill>
      <patternFill patternType="solid">
        <fgColor rgb="FFDCEBE5"/>
        <bgColor rgb="FFEDE8DC"/>
      </patternFill>
    </fill>
    <fill>
      <patternFill patternType="solid">
        <fgColor rgb="FFD8D4CB"/>
        <bgColor rgb="FFD5D0C4"/>
      </patternFill>
    </fill>
  </fills>
  <borders count="5">
    <border diagonalUp="false" diagonalDown="false">
      <left/>
      <right/>
      <top/>
      <bottom/>
      <diagonal/>
    </border>
    <border diagonalUp="false" diagonalDown="false">
      <left style="thin">
        <color rgb="FFE2DCCE"/>
      </left>
      <right style="thin">
        <color rgb="FFE2DCCE"/>
      </right>
      <top style="thin">
        <color rgb="FFE2DCCE"/>
      </top>
      <bottom style="thin">
        <color rgb="FFE2DCCE"/>
      </bottom>
      <diagonal/>
    </border>
    <border diagonalUp="false" diagonalDown="false">
      <left/>
      <right style="thin">
        <color rgb="FFFFFFFF"/>
      </right>
      <top/>
      <bottom/>
      <diagonal/>
    </border>
    <border diagonalUp="false" diagonalDown="false">
      <left/>
      <right style="hair">
        <color rgb="FFEDE8DC"/>
      </right>
      <top/>
      <bottom/>
      <diagonal/>
    </border>
    <border diagonalUp="false" diagonalDown="false">
      <left/>
      <right style="thin">
        <color rgb="FFFFFFFF"/>
      </right>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64" fontId="18" fillId="6"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9" fillId="4"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6" fontId="9" fillId="5" borderId="1" xfId="0" applyFont="true" applyBorder="true" applyAlignment="true" applyProtection="false">
      <alignment horizontal="center" vertical="center" textRotation="0" wrapText="true" indent="0" shrinkToFit="false"/>
      <protection locked="true" hidden="false"/>
    </xf>
    <xf numFmtId="167" fontId="9" fillId="5" borderId="1"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left"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22" fillId="3" borderId="1"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23" fillId="4" borderId="1" xfId="0" applyFont="true" applyBorder="true" applyAlignment="true" applyProtection="false">
      <alignment horizontal="center" vertical="center" textRotation="0" wrapText="true" indent="0" shrinkToFit="false"/>
      <protection locked="true" hidden="false"/>
    </xf>
    <xf numFmtId="164" fontId="24" fillId="0" borderId="1" xfId="0" applyFont="true" applyBorder="true" applyAlignment="true" applyProtection="false">
      <alignment horizontal="center" vertical="center" textRotation="0" wrapText="true" indent="0" shrinkToFit="false"/>
      <protection locked="true" hidden="false"/>
    </xf>
    <xf numFmtId="168" fontId="25" fillId="5" borderId="1" xfId="0" applyFont="true" applyBorder="true" applyAlignment="true" applyProtection="false">
      <alignment horizontal="center" vertical="center" textRotation="0" wrapText="true" indent="0" shrinkToFit="false"/>
      <protection locked="true" hidden="false"/>
    </xf>
    <xf numFmtId="166" fontId="25" fillId="5" borderId="1" xfId="0" applyFont="true" applyBorder="true" applyAlignment="true" applyProtection="false">
      <alignment horizontal="center" vertical="center" textRotation="0" wrapText="true" indent="0" shrinkToFit="false"/>
      <protection locked="true" hidden="false"/>
    </xf>
    <xf numFmtId="165" fontId="25" fillId="5" borderId="1" xfId="0" applyFont="true" applyBorder="true" applyAlignment="true" applyProtection="false">
      <alignment horizontal="center" vertical="center" textRotation="0" wrapText="true" indent="0" shrinkToFit="false"/>
      <protection locked="true" hidden="false"/>
    </xf>
    <xf numFmtId="164" fontId="26" fillId="0"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5" fontId="27" fillId="2" borderId="1" xfId="0" applyFont="true" applyBorder="true" applyAlignment="true" applyProtection="false">
      <alignment horizontal="center" vertical="center" textRotation="0" wrapText="true" indent="0" shrinkToFit="false"/>
      <protection locked="true" hidden="false"/>
    </xf>
    <xf numFmtId="164" fontId="28" fillId="0" borderId="1" xfId="0" applyFont="true" applyBorder="true" applyAlignment="true" applyProtection="false">
      <alignment horizontal="center" vertical="center" textRotation="0" wrapText="true" indent="0" shrinkToFit="false"/>
      <protection locked="true" hidden="false"/>
    </xf>
    <xf numFmtId="164" fontId="29" fillId="0" borderId="1" xfId="0" applyFont="true" applyBorder="true" applyAlignment="true" applyProtection="false">
      <alignment horizontal="center" vertical="center" textRotation="0" wrapText="true" indent="0" shrinkToFit="false"/>
      <protection locked="true" hidden="false"/>
    </xf>
    <xf numFmtId="164" fontId="30" fillId="7" borderId="2" xfId="0" applyFont="tru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4" fontId="0" fillId="10" borderId="1"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right"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9" fillId="4" borderId="1" xfId="0" applyFont="true" applyBorder="true" applyAlignment="true" applyProtection="false">
      <alignment horizontal="center" vertical="bottom" textRotation="0" wrapText="true" indent="0" shrinkToFit="false"/>
      <protection locked="true" hidden="false"/>
    </xf>
    <xf numFmtId="164" fontId="19" fillId="2" borderId="1" xfId="0" applyFont="true" applyBorder="tru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right" vertical="bottom" textRotation="0" wrapText="false" indent="0" shrinkToFit="false"/>
      <protection locked="true" hidden="false"/>
    </xf>
    <xf numFmtId="170" fontId="33" fillId="0" borderId="0" xfId="0" applyFont="true" applyBorder="true" applyAlignment="true" applyProtection="false">
      <alignment horizontal="left" vertical="center" textRotation="0" wrapText="false" indent="0" shrinkToFit="false"/>
      <protection locked="true" hidden="false"/>
    </xf>
    <xf numFmtId="164" fontId="34" fillId="0" borderId="0" xfId="0" applyFont="true" applyBorder="false" applyAlignment="true" applyProtection="false">
      <alignment horizontal="left" vertical="center" textRotation="0" wrapText="false" indent="0" shrinkToFit="false"/>
      <protection locked="true" hidden="false"/>
    </xf>
    <xf numFmtId="171" fontId="31" fillId="0" borderId="0" xfId="0" applyFont="true" applyBorder="true" applyAlignment="true" applyProtection="false">
      <alignment horizontal="right" vertical="center" textRotation="0" wrapText="false" indent="0" shrinkToFit="false"/>
      <protection locked="true" hidden="false"/>
    </xf>
    <xf numFmtId="164" fontId="19" fillId="4" borderId="1" xfId="0" applyFont="true" applyBorder="true" applyAlignment="true" applyProtection="false">
      <alignment horizontal="center" vertical="center" textRotation="0" wrapText="false" indent="0" shrinkToFit="false"/>
      <protection locked="true" hidden="false"/>
    </xf>
    <xf numFmtId="167" fontId="35" fillId="5" borderId="1" xfId="0" applyFont="true" applyBorder="true" applyAlignment="true" applyProtection="false">
      <alignment horizontal="center" vertical="center" textRotation="0" wrapText="false" indent="0" shrinkToFit="false"/>
      <protection locked="true" hidden="false"/>
    </xf>
    <xf numFmtId="164" fontId="13" fillId="5"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72" fontId="37" fillId="4" borderId="1" xfId="0" applyFont="true" applyBorder="true" applyAlignment="true" applyProtection="false">
      <alignment horizontal="center" vertical="bottom" textRotation="0" wrapText="false" indent="0" shrinkToFit="false"/>
      <protection locked="true" hidden="false"/>
    </xf>
    <xf numFmtId="164" fontId="38" fillId="5" borderId="1" xfId="0" applyFont="true" applyBorder="true" applyAlignment="false" applyProtection="false">
      <alignment horizontal="general" vertical="bottom" textRotation="0" wrapText="false" indent="0" shrinkToFit="false"/>
      <protection locked="true" hidden="false"/>
    </xf>
    <xf numFmtId="166" fontId="38" fillId="5" borderId="1" xfId="0" applyFont="true" applyBorder="true" applyAlignment="false" applyProtection="false">
      <alignment horizontal="general" vertical="bottom" textRotation="0" wrapText="false" indent="0" shrinkToFit="false"/>
      <protection locked="true" hidden="false"/>
    </xf>
    <xf numFmtId="164" fontId="39" fillId="5" borderId="1" xfId="0" applyFont="true" applyBorder="true" applyAlignment="true" applyProtection="false">
      <alignment horizontal="center" vertical="bottom" textRotation="0" wrapText="false" indent="0" shrinkToFit="false"/>
      <protection locked="true" hidden="false"/>
    </xf>
    <xf numFmtId="165" fontId="38" fillId="5" borderId="1" xfId="0" applyFont="true" applyBorder="true" applyAlignment="false" applyProtection="false">
      <alignment horizontal="general" vertical="bottom" textRotation="0" wrapText="false" indent="0" shrinkToFit="false"/>
      <protection locked="true" hidden="false"/>
    </xf>
    <xf numFmtId="165" fontId="22" fillId="3" borderId="1" xfId="0" applyFont="true" applyBorder="true" applyAlignment="false" applyProtection="false">
      <alignment horizontal="general" vertical="bottom" textRotation="0" wrapText="false" indent="0" shrinkToFit="false"/>
      <protection locked="true" hidden="false"/>
    </xf>
    <xf numFmtId="171" fontId="38" fillId="5" borderId="1" xfId="0" applyFont="true" applyBorder="true" applyAlignment="false" applyProtection="false">
      <alignment horizontal="general" vertical="bottom" textRotation="0" wrapText="false" indent="0" shrinkToFit="false"/>
      <protection locked="true" hidden="false"/>
    </xf>
    <xf numFmtId="164" fontId="0" fillId="7" borderId="3" xfId="0" applyFont="false" applyBorder="true" applyAlignment="false" applyProtection="fals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19" fillId="4" borderId="1" xfId="0" applyFont="true" applyBorder="true" applyAlignment="false" applyProtection="false">
      <alignment horizontal="general" vertical="bottom" textRotation="0" wrapText="false" indent="0" shrinkToFit="false"/>
      <protection locked="true" hidden="false"/>
    </xf>
    <xf numFmtId="164" fontId="42" fillId="3" borderId="1" xfId="0" applyFont="true" applyBorder="true" applyAlignment="false" applyProtection="false">
      <alignment horizontal="general" vertical="bottom" textRotation="0" wrapText="false" indent="0" shrinkToFit="false"/>
      <protection locked="true" hidden="false"/>
    </xf>
    <xf numFmtId="165"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1" fontId="38" fillId="0"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right" vertical="center" textRotation="0" wrapText="false" indent="0" shrinkToFit="false"/>
      <protection locked="true" hidden="false"/>
    </xf>
    <xf numFmtId="171" fontId="14" fillId="4" borderId="1" xfId="0" applyFont="true" applyBorder="true" applyAlignment="false" applyProtection="false">
      <alignment horizontal="general" vertical="bottom" textRotation="0" wrapText="false" indent="0" shrinkToFit="false"/>
      <protection locked="true" hidden="false"/>
    </xf>
    <xf numFmtId="173" fontId="38" fillId="5" borderId="1" xfId="0" applyFont="true" applyBorder="true" applyAlignment="false" applyProtection="false">
      <alignment horizontal="general" vertical="bottom" textRotation="0" wrapText="false" indent="0" shrinkToFit="false"/>
      <protection locked="true" hidden="false"/>
    </xf>
    <xf numFmtId="164" fontId="22" fillId="3" borderId="1" xfId="0" applyFont="true" applyBorder="true" applyAlignment="false" applyProtection="false">
      <alignment horizontal="general" vertical="bottom" textRotation="0" wrapText="false" indent="0" shrinkToFit="false"/>
      <protection locked="true" hidden="false"/>
    </xf>
    <xf numFmtId="167" fontId="38" fillId="5"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44" fillId="6" borderId="0" xfId="0" applyFont="true" applyBorder="true" applyAlignment="true" applyProtection="false">
      <alignment horizontal="left" vertical="center" textRotation="0" wrapText="false" indent="0" shrinkToFit="false"/>
      <protection locked="true" hidden="false"/>
    </xf>
    <xf numFmtId="164" fontId="45" fillId="12" borderId="0" xfId="0" applyFont="true" applyBorder="true" applyAlignment="true" applyProtection="false">
      <alignment horizontal="left" vertical="center" textRotation="0" wrapText="false" indent="0" shrinkToFit="false"/>
      <protection locked="true" hidden="false"/>
    </xf>
    <xf numFmtId="164" fontId="46" fillId="13" borderId="0" xfId="0" applyFont="true" applyBorder="true" applyAlignment="true" applyProtection="false">
      <alignment horizontal="left" vertical="center" textRotation="0" wrapText="false" indent="0" shrinkToFit="false"/>
      <protection locked="true" hidden="false"/>
    </xf>
    <xf numFmtId="164" fontId="19" fillId="4" borderId="0" xfId="0" applyFont="true" applyBorder="true" applyAlignment="true" applyProtection="false">
      <alignment horizontal="left" vertical="center" textRotation="0" wrapText="false" indent="0" shrinkToFit="false"/>
      <protection locked="true" hidden="false"/>
    </xf>
    <xf numFmtId="165" fontId="47" fillId="6" borderId="0" xfId="0" applyFont="true" applyBorder="true" applyAlignment="true" applyProtection="false">
      <alignment horizontal="center" vertical="center" textRotation="0" wrapText="false" indent="0" shrinkToFit="false"/>
      <protection locked="true" hidden="false"/>
    </xf>
    <xf numFmtId="165" fontId="48" fillId="12" borderId="0" xfId="0" applyFont="true" applyBorder="true" applyAlignment="true" applyProtection="false">
      <alignment horizontal="center" vertical="center" textRotation="0" wrapText="false" indent="0" shrinkToFit="false"/>
      <protection locked="true" hidden="false"/>
    </xf>
    <xf numFmtId="165" fontId="49" fillId="13" borderId="0" xfId="0" applyFont="true" applyBorder="true" applyAlignment="true" applyProtection="false">
      <alignment horizontal="center" vertical="center" textRotation="0" wrapText="false" indent="0" shrinkToFit="false"/>
      <protection locked="true" hidden="false"/>
    </xf>
    <xf numFmtId="171" fontId="50" fillId="4" borderId="0" xfId="0" applyFont="true" applyBorder="true" applyAlignment="true" applyProtection="false">
      <alignment horizontal="center" vertical="center" textRotation="0" wrapText="false" indent="0" shrinkToFit="false"/>
      <protection locked="true" hidden="false"/>
    </xf>
    <xf numFmtId="164" fontId="12" fillId="6" borderId="0" xfId="0" applyFont="true" applyBorder="true" applyAlignment="true" applyProtection="false">
      <alignment horizontal="center" vertical="center" textRotation="0" wrapText="false" indent="0" shrinkToFit="false"/>
      <protection locked="true" hidden="false"/>
    </xf>
    <xf numFmtId="164" fontId="12" fillId="12" borderId="0" xfId="0" applyFont="true" applyBorder="true" applyAlignment="true" applyProtection="false">
      <alignment horizontal="center" vertical="center" textRotation="0" wrapText="false" indent="0" shrinkToFit="false"/>
      <protection locked="true" hidden="false"/>
    </xf>
    <xf numFmtId="164" fontId="12" fillId="13" borderId="0" xfId="0" applyFont="true" applyBorder="true" applyAlignment="true" applyProtection="false">
      <alignment horizontal="center" vertical="center" textRotation="0" wrapText="false" indent="0" shrinkToFit="false"/>
      <protection locked="true" hidden="false"/>
    </xf>
    <xf numFmtId="164" fontId="12" fillId="4" borderId="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30" fillId="7" borderId="4"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9" fillId="4" borderId="0" xfId="0" applyFont="true" applyBorder="true" applyAlignment="true" applyProtection="false">
      <alignment horizontal="center" vertical="center" textRotation="0" wrapText="false" indent="0" shrinkToFit="false"/>
      <protection locked="true" hidden="false"/>
    </xf>
    <xf numFmtId="164" fontId="29" fillId="4" borderId="0" xfId="0" applyFont="true" applyBorder="true" applyAlignment="true" applyProtection="false">
      <alignment horizontal="center" vertical="center" textRotation="0" wrapText="false" indent="0" shrinkToFit="false"/>
      <protection locked="true" hidden="false"/>
    </xf>
    <xf numFmtId="164" fontId="51" fillId="4" borderId="0" xfId="0" applyFont="true" applyBorder="true" applyAlignment="true" applyProtection="false">
      <alignment horizontal="center" vertical="center" textRotation="0" wrapText="false" indent="0" shrinkToFit="false"/>
      <protection locked="true" hidden="false"/>
    </xf>
    <xf numFmtId="164" fontId="26" fillId="4" borderId="0" xfId="0" applyFont="true" applyBorder="true" applyAlignment="true" applyProtection="false">
      <alignment horizontal="center" vertical="center" textRotation="0" wrapText="false" indent="0" shrinkToFit="false"/>
      <protection locked="true" hidden="false"/>
    </xf>
    <xf numFmtId="164" fontId="52" fillId="0" borderId="0" xfId="0" applyFont="true" applyBorder="true" applyAlignment="true" applyProtection="false">
      <alignment horizontal="left" vertical="center" textRotation="0" wrapText="false" indent="0" shrinkToFit="false"/>
      <protection locked="true" hidden="false"/>
    </xf>
    <xf numFmtId="165" fontId="53" fillId="0" borderId="0" xfId="0" applyFont="true" applyBorder="true" applyAlignment="true" applyProtection="false">
      <alignment horizontal="center" vertical="center" textRotation="0" wrapText="false" indent="0" shrinkToFit="false"/>
      <protection locked="true" hidden="false"/>
    </xf>
    <xf numFmtId="171" fontId="54" fillId="0" borderId="0" xfId="0" applyFont="true" applyBorder="true" applyAlignment="true" applyProtection="false">
      <alignment horizontal="right" vertical="center"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72" fontId="37" fillId="4" borderId="0" xfId="0" applyFont="true" applyBorder="true" applyAlignment="true" applyProtection="false">
      <alignment horizontal="center" vertical="center" textRotation="0" wrapText="false" indent="0" shrinkToFit="false"/>
      <protection locked="true" hidden="false"/>
    </xf>
    <xf numFmtId="174" fontId="53" fillId="0" borderId="0" xfId="0" applyFont="true" applyBorder="true" applyAlignment="true" applyProtection="false">
      <alignment horizontal="center" vertical="center" textRotation="0" wrapText="false" indent="0" shrinkToFit="false"/>
      <protection locked="true" hidden="false"/>
    </xf>
    <xf numFmtId="164" fontId="55" fillId="4" borderId="0" xfId="0" applyFont="true" applyBorder="true" applyAlignment="true" applyProtection="false">
      <alignment horizontal="left" vertical="center" textRotation="0" wrapText="false" indent="0" shrinkToFit="false"/>
      <protection locked="true" hidden="false"/>
    </xf>
    <xf numFmtId="165" fontId="56" fillId="0" borderId="0"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false" indent="0" shrinkToFit="false"/>
      <protection locked="true" hidden="false"/>
    </xf>
    <xf numFmtId="164" fontId="57" fillId="4" borderId="0" xfId="0" applyFont="true" applyBorder="true" applyAlignment="true" applyProtection="false">
      <alignment horizontal="left" vertical="center" textRotation="0" wrapText="false" indent="0" shrinkToFit="false"/>
      <protection locked="true" hidden="false"/>
    </xf>
    <xf numFmtId="165" fontId="58" fillId="0" borderId="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left" vertical="center" textRotation="0" wrapText="false" indent="0" shrinkToFit="false"/>
      <protection locked="true" hidden="false"/>
    </xf>
    <xf numFmtId="164" fontId="45" fillId="4" borderId="0" xfId="0" applyFont="true" applyBorder="true" applyAlignment="true" applyProtection="false">
      <alignment horizontal="left" vertical="center" textRotation="0" wrapText="false" indent="0" shrinkToFit="false"/>
      <protection locked="true" hidden="false"/>
    </xf>
    <xf numFmtId="165" fontId="59" fillId="0" borderId="0" xfId="0" applyFont="true" applyBorder="true" applyAlignment="true" applyProtection="false">
      <alignment horizontal="center" vertical="center" textRotation="0" wrapText="false" indent="0" shrinkToFit="false"/>
      <protection locked="true" hidden="false"/>
    </xf>
    <xf numFmtId="164" fontId="44" fillId="4" borderId="0" xfId="0" applyFont="true" applyBorder="true" applyAlignment="true" applyProtection="false">
      <alignment horizontal="left" vertical="center" textRotation="0" wrapText="false" indent="0" shrinkToFit="false"/>
      <protection locked="true" hidden="false"/>
    </xf>
    <xf numFmtId="165" fontId="60" fillId="0" borderId="0" xfId="0" applyFont="true" applyBorder="true" applyAlignment="true" applyProtection="false">
      <alignment horizontal="center" vertical="center" textRotation="0" wrapText="false" indent="0" shrinkToFit="false"/>
      <protection locked="true" hidden="false"/>
    </xf>
    <xf numFmtId="164" fontId="23" fillId="4" borderId="0" xfId="0" applyFont="true" applyBorder="true" applyAlignment="true" applyProtection="false">
      <alignment horizontal="left" vertical="center" textRotation="0" wrapText="false" indent="0" shrinkToFit="false"/>
      <protection locked="true" hidden="false"/>
    </xf>
    <xf numFmtId="165" fontId="61" fillId="0" borderId="0" xfId="0" applyFont="true" applyBorder="true" applyAlignment="true" applyProtection="false">
      <alignment horizontal="center" vertical="center" textRotation="0" wrapText="false" indent="0" shrinkToFit="false"/>
      <protection locked="true" hidden="false"/>
    </xf>
    <xf numFmtId="169" fontId="22" fillId="3" borderId="1" xfId="0" applyFont="true" applyBorder="true" applyAlignment="false" applyProtection="false">
      <alignment horizontal="general" vertical="bottom" textRotation="0" wrapText="false" indent="0" shrinkToFit="false"/>
      <protection locked="true" hidden="false"/>
    </xf>
    <xf numFmtId="173" fontId="22" fillId="3" borderId="1" xfId="0" applyFont="true" applyBorder="true" applyAlignment="false" applyProtection="false">
      <alignment horizontal="general" vertical="bottom" textRotation="0" wrapText="false" indent="0" shrinkToFit="false"/>
      <protection locked="true" hidden="false"/>
    </xf>
    <xf numFmtId="169" fontId="38" fillId="3" borderId="1" xfId="0" applyFont="true" applyBorder="true" applyAlignment="false" applyProtection="false">
      <alignment horizontal="general" vertical="bottom" textRotation="0" wrapText="false" indent="0" shrinkToFit="false"/>
      <protection locked="true" hidden="false"/>
    </xf>
    <xf numFmtId="164" fontId="39" fillId="3" borderId="1" xfId="0" applyFont="true" applyBorder="true" applyAlignment="false" applyProtection="false">
      <alignment horizontal="general" vertical="bottom" textRotation="0" wrapText="false" indent="0" shrinkToFit="false"/>
      <protection locked="true" hidden="false"/>
    </xf>
    <xf numFmtId="165" fontId="38" fillId="3" borderId="1" xfId="0" applyFont="true" applyBorder="true" applyAlignment="false" applyProtection="false">
      <alignment horizontal="general" vertical="bottom" textRotation="0" wrapText="false" indent="0" shrinkToFit="false"/>
      <protection locked="true" hidden="false"/>
    </xf>
    <xf numFmtId="171" fontId="38" fillId="3" borderId="1" xfId="0" applyFont="true" applyBorder="true" applyAlignment="false" applyProtection="false">
      <alignment horizontal="general" vertical="bottom" textRotation="0" wrapText="false" indent="0" shrinkToFit="false"/>
      <protection locked="true" hidden="false"/>
    </xf>
    <xf numFmtId="168" fontId="38" fillId="3" borderId="1" xfId="0" applyFont="true" applyBorder="true" applyAlignment="false" applyProtection="false">
      <alignment horizontal="general" vertical="bottom" textRotation="0" wrapText="false" indent="0" shrinkToFit="false"/>
      <protection locked="true" hidden="false"/>
    </xf>
    <xf numFmtId="164" fontId="38" fillId="3" borderId="1" xfId="0" applyFont="true" applyBorder="true" applyAlignment="false" applyProtection="false">
      <alignment horizontal="general" vertical="bottom" textRotation="0" wrapText="false" indent="0" shrinkToFit="false"/>
      <protection locked="true" hidden="false"/>
    </xf>
    <xf numFmtId="164" fontId="39" fillId="5" borderId="1" xfId="0" applyFont="true" applyBorder="true" applyAlignment="false" applyProtection="false">
      <alignment horizontal="general" vertical="bottom" textRotation="0" wrapText="false" indent="0" shrinkToFit="false"/>
      <protection locked="true" hidden="false"/>
    </xf>
    <xf numFmtId="167" fontId="38" fillId="3" borderId="1" xfId="0" applyFont="true" applyBorder="true" applyAlignment="false" applyProtection="false">
      <alignment horizontal="general" vertical="bottom" textRotation="0" wrapText="false" indent="0" shrinkToFit="false"/>
      <protection locked="true" hidden="false"/>
    </xf>
    <xf numFmtId="173" fontId="38" fillId="3" borderId="1" xfId="0" applyFont="true" applyBorder="true" applyAlignment="false" applyProtection="false">
      <alignment horizontal="general" vertical="bottom" textRotation="0" wrapText="false" indent="0" shrinkToFit="false"/>
      <protection locked="true" hidden="false"/>
    </xf>
    <xf numFmtId="169" fontId="12" fillId="3" borderId="1" xfId="0" applyFont="true" applyBorder="true" applyAlignment="false" applyProtection="false">
      <alignment horizontal="general" vertical="bottom" textRotation="0" wrapText="false" indent="0" shrinkToFit="false"/>
      <protection locked="true" hidden="false"/>
    </xf>
    <xf numFmtId="164" fontId="38" fillId="3" borderId="1" xfId="0" applyFont="true" applyBorder="true" applyAlignment="true" applyProtection="false">
      <alignment horizontal="center" vertical="bottom" textRotation="0" wrapText="false" indent="0" shrinkToFit="false"/>
      <protection locked="true" hidden="false"/>
    </xf>
    <xf numFmtId="168" fontId="38" fillId="5" borderId="1" xfId="0" applyFont="true" applyBorder="true" applyAlignment="false" applyProtection="false">
      <alignment horizontal="general" vertical="bottom" textRotation="0" wrapText="false" indent="0" shrinkToFit="false"/>
      <protection locked="true" hidden="false"/>
    </xf>
    <xf numFmtId="164" fontId="44" fillId="5"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5" fontId="9" fillId="5" borderId="1" xfId="0" applyFont="true" applyBorder="true" applyAlignment="false" applyProtection="false">
      <alignment horizontal="general" vertical="bottom" textRotation="0" wrapText="false" indent="0" shrinkToFit="false"/>
      <protection locked="true" hidden="false"/>
    </xf>
    <xf numFmtId="169" fontId="38"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bgColor rgb="FF00795A"/>
        </patternFill>
      </fill>
    </dxf>
    <dxf>
      <fill>
        <patternFill>
          <bgColor rgb="FFE8B44A"/>
        </patternFill>
      </fill>
    </dxf>
    <dxf>
      <fill>
        <patternFill>
          <bgColor rgb="FFA32A3C"/>
        </patternFill>
      </fill>
    </dxf>
    <dxf>
      <font>
        <name val="Meiryo UI"/>
        <charset val="1"/>
        <family val="0"/>
        <b val="1"/>
        <color rgb="FFA32A3C"/>
        <sz val="16"/>
      </font>
      <fill>
        <patternFill>
          <bgColor rgb="FFF3DDE1"/>
        </patternFill>
      </fill>
    </dxf>
    <dxf>
      <font>
        <name val="Meiryo UI"/>
        <charset val="1"/>
        <family val="0"/>
        <b val="1"/>
        <color rgb="FF00795A"/>
        <sz val="16"/>
      </font>
      <fill>
        <patternFill>
          <bgColor rgb="FFDCEBE5"/>
        </patternFill>
      </fill>
    </dxf>
    <dxf>
      <font>
        <name val="Meiryo UI"/>
        <charset val="1"/>
        <family val="0"/>
        <b val="1"/>
        <color rgb="FFA32A3C"/>
        <sz val="14"/>
      </font>
      <fill>
        <patternFill>
          <bgColor rgb="FFF3DDE1"/>
        </patternFill>
      </fill>
    </dxf>
    <dxf>
      <font>
        <name val="Meiryo UI"/>
        <charset val="1"/>
        <family val="0"/>
        <b val="1"/>
        <color rgb="FFC9761A"/>
        <sz val="14"/>
      </font>
      <fill>
        <patternFill>
          <bgColor rgb="FFF7E7D2"/>
        </patternFill>
      </fill>
    </dxf>
    <dxf>
      <border diagonalUp="false" diagonalDown="false">
        <left style="medium">
          <color rgb="FF1B1D24"/>
        </left>
        <right/>
        <top/>
        <bottom/>
        <diagonal/>
      </border>
    </dxf>
    <dxf>
      <fill>
        <patternFill>
          <bgColor rgb="FFA32A3C"/>
        </patternFill>
      </fill>
    </dxf>
    <dxf>
      <fill>
        <patternFill>
          <bgColor rgb="FFC9761A"/>
        </patternFill>
      </fill>
    </dxf>
    <dxf>
      <fill>
        <patternFill>
          <bgColor rgb="FF00795A"/>
        </patternFill>
      </fill>
    </dxf>
    <dxf>
      <fill>
        <patternFill>
          <bgColor rgb="FFE8B44A"/>
        </patternFill>
      </fill>
    </dxf>
    <dxf>
      <font>
        <name val="Meiryo UI"/>
        <charset val="1"/>
        <family val="0"/>
        <b val="1"/>
        <color rgb="FFA32A3C"/>
        <sz val="10"/>
      </font>
      <fill>
        <patternFill>
          <bgColor rgb="FFF3DDE1"/>
        </patternFill>
      </fill>
    </dxf>
    <dxf>
      <font>
        <name val="Meiryo UI"/>
        <charset val="1"/>
        <family val="0"/>
        <b val="1"/>
        <color rgb="FFC9761A"/>
        <sz val="10"/>
      </font>
      <fill>
        <patternFill>
          <bgColor rgb="FFF7E7D2"/>
        </patternFill>
      </fill>
    </dxf>
    <dxf>
      <font>
        <name val="Meiryo UI"/>
        <charset val="1"/>
        <family val="0"/>
        <b val="1"/>
        <color rgb="FF00795A"/>
        <sz val="10"/>
      </font>
      <fill>
        <patternFill>
          <bgColor rgb="FFDCEBE5"/>
        </patternFill>
      </fill>
    </dxf>
    <dxf>
      <fill>
        <patternFill>
          <bgColor rgb="FFFBFAF7"/>
        </patternFill>
      </fill>
      <border diagonalUp="false" diagonalDown="false">
        <left style="thin">
          <color rgb="FFE2DCCE"/>
        </left>
        <right style="thin">
          <color rgb="FFE2DCCE"/>
        </right>
        <top style="thin">
          <color rgb="FFE2DCCE"/>
        </top>
        <bottom style="thin">
          <color rgb="FFE2DCCE"/>
        </bottom>
        <diagonal/>
      </border>
    </dxf>
    <dxf>
      <fill>
        <patternFill>
          <bgColor rgb="FFF4EFE2"/>
        </patternFill>
      </fill>
    </dxf>
    <dxf>
      <fill>
        <patternFill>
          <bgColor rgb="FFD8D4CB"/>
        </patternFill>
      </fill>
    </dxf>
    <dxf>
      <font>
        <name val="Meiryo UI"/>
        <charset val="1"/>
        <family val="0"/>
        <b val="1"/>
        <color rgb="FF1B1D24"/>
        <sz val="11"/>
      </font>
      <fill>
        <patternFill>
          <bgColor rgb="FFF3DDE1"/>
        </patternFill>
      </fill>
    </dxf>
    <dxf>
      <fill>
        <patternFill>
          <bgColor rgb="FFF3DDE1"/>
        </patternFill>
      </fill>
    </dxf>
  </dxfs>
  <colors>
    <indexedColors>
      <rgbColor rgb="FF000000"/>
      <rgbColor rgb="FFFFFFFF"/>
      <rgbColor rgb="FFFF0000"/>
      <rgbColor rgb="FF00FF00"/>
      <rgbColor rgb="FF0000FF"/>
      <rgbColor rgb="FFF4EFE2"/>
      <rgbColor rgb="FFFF00FF"/>
      <rgbColor rgb="FF00FFFF"/>
      <rgbColor rgb="FF800000"/>
      <rgbColor rgb="FF008000"/>
      <rgbColor rgb="FF000080"/>
      <rgbColor rgb="FF808000"/>
      <rgbColor rgb="FF800080"/>
      <rgbColor rgb="FF00795A"/>
      <rgbColor rgb="FFD5D0C4"/>
      <rgbColor rgb="FF7A7D90"/>
      <rgbColor rgb="FFFAF7F0"/>
      <rgbColor rgb="FFA32A3C"/>
      <rgbColor rgb="FFFDF3D8"/>
      <rgbColor rgb="FFF4F1EA"/>
      <rgbColor rgb="FF660066"/>
      <rgbColor rgb="FFFF8080"/>
      <rgbColor rgb="FF0066CC"/>
      <rgbColor rgb="FFD9D9D9"/>
      <rgbColor rgb="FF000080"/>
      <rgbColor rgb="FFFF00FF"/>
      <rgbColor rgb="FFF1ECE1"/>
      <rgbColor rgb="FF00FFFF"/>
      <rgbColor rgb="FF800080"/>
      <rgbColor rgb="FF800000"/>
      <rgbColor rgb="FF008080"/>
      <rgbColor rgb="FF0000FF"/>
      <rgbColor rgb="FF00CCFF"/>
      <rgbColor rgb="FFFBFAF7"/>
      <rgbColor rgb="FFDCEBE5"/>
      <rgbColor rgb="FFF7E7D2"/>
      <rgbColor rgb="FFD8D4CB"/>
      <rgbColor rgb="FFF3DDE1"/>
      <rgbColor rgb="FFEDE8DC"/>
      <rgbColor rgb="FFE2DCCE"/>
      <rgbColor rgb="FF3366FF"/>
      <rgbColor rgb="FF33CCCC"/>
      <rgbColor rgb="FF99CC00"/>
      <rgbColor rgb="FFE8B44A"/>
      <rgbColor rgb="FFFF9900"/>
      <rgbColor rgb="FFC9761A"/>
      <rgbColor rgb="FF4F81BD"/>
      <rgbColor rgb="FF878787"/>
      <rgbColor rgb="FF003366"/>
      <rgbColor rgb="FF339966"/>
      <rgbColor rgb="FF003300"/>
      <rgbColor rgb="FF333300"/>
      <rgbColor rgb="FF7A5200"/>
      <rgbColor rgb="FF993366"/>
      <rgbColor rgb="FF4E5163"/>
      <rgbColor rgb="FF1B1D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spPr>
            <a:solidFill>
              <a:srgbClr val="4f81bd"/>
            </a:solidFill>
            <a:ln w="0">
              <a:noFill/>
            </a:ln>
          </c:spPr>
          <c:invertIfNegative val="0"/>
          <c:dPt>
            <c:idx val="0"/>
            <c:invertIfNegative val="0"/>
            <c:spPr>
              <a:solidFill>
                <a:srgbClr val="00795a"/>
              </a:solidFill>
              <a:ln w="0">
                <a:noFill/>
              </a:ln>
            </c:spPr>
          </c:dPt>
          <c:dPt>
            <c:idx val="1"/>
            <c:invertIfNegative val="0"/>
            <c:spPr>
              <a:solidFill>
                <a:srgbClr val="00795a"/>
              </a:solidFill>
              <a:ln w="0">
                <a:noFill/>
              </a:ln>
            </c:spPr>
          </c:dPt>
          <c:dPt>
            <c:idx val="2"/>
            <c:invertIfNegative val="0"/>
            <c:spPr>
              <a:solidFill>
                <a:srgbClr val="c9761a"/>
              </a:solidFill>
              <a:ln w="0">
                <a:noFill/>
              </a:ln>
            </c:spPr>
          </c:dPt>
          <c:dPt>
            <c:idx val="3"/>
            <c:invertIfNegative val="0"/>
            <c:spPr>
              <a:solidFill>
                <a:srgbClr val="c9761a"/>
              </a:solidFill>
              <a:ln w="0">
                <a:noFill/>
              </a:ln>
            </c:spPr>
          </c:dPt>
          <c:dPt>
            <c:idx val="4"/>
            <c:invertIfNegative val="0"/>
            <c:spPr>
              <a:solidFill>
                <a:srgbClr val="a32a3c"/>
              </a:solidFill>
              <a:ln w="0">
                <a:noFill/>
              </a:ln>
            </c:spPr>
          </c:dPt>
          <c:dPt>
            <c:idx val="5"/>
            <c:invertIfNegative val="0"/>
            <c:spPr>
              <a:solidFill>
                <a:srgbClr val="a32a3c"/>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dLbl>
              <c:idx val="5"/>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ダッシュボード!$AE$22:$AE$27</c:f>
              <c:strCache>
                <c:ptCount val="6"/>
                <c:pt idx="0">
                  <c:v>14日以上</c:v>
                </c:pt>
                <c:pt idx="1">
                  <c:v>7〜14日</c:v>
                </c:pt>
                <c:pt idx="2">
                  <c:v>3〜7日</c:v>
                </c:pt>
                <c:pt idx="3">
                  <c:v>1〜3日</c:v>
                </c:pt>
                <c:pt idx="4">
                  <c:v>0〜1日</c:v>
                </c:pt>
                <c:pt idx="5">
                  <c:v>切れている</c:v>
                </c:pt>
              </c:strCache>
            </c:strRef>
          </c:cat>
          <c:val>
            <c:numRef>
              <c:f>ダッシュボード!$AF$22:$AF$27</c:f>
              <c:numCache>
                <c:formatCode>General</c:formatCode>
                <c:ptCount val="6"/>
                <c:pt idx="0">
                  <c:v>80</c:v>
                </c:pt>
                <c:pt idx="1">
                  <c:v>13</c:v>
                </c:pt>
                <c:pt idx="2">
                  <c:v>6</c:v>
                </c:pt>
                <c:pt idx="3">
                  <c:v>12</c:v>
                </c:pt>
                <c:pt idx="4">
                  <c:v>1</c:v>
                </c:pt>
                <c:pt idx="5">
                  <c:v>21</c:v>
                </c:pt>
              </c:numCache>
            </c:numRef>
          </c:val>
        </c:ser>
        <c:gapWidth val="40"/>
        <c:overlap val="0"/>
        <c:axId val="44090767"/>
        <c:axId val="8557664"/>
      </c:barChart>
      <c:catAx>
        <c:axId val="4409076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57664"/>
        <c:crosses val="autoZero"/>
        <c:auto val="1"/>
        <c:lblAlgn val="ctr"/>
        <c:lblOffset val="100"/>
        <c:noMultiLvlLbl val="0"/>
      </c:catAx>
      <c:valAx>
        <c:axId val="8557664"/>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09076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spPr>
            <a:solidFill>
              <a:srgbClr val="e8b44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ダッシュボード!$AE$32:$AE$40</c:f>
              <c:strCache>
                <c:ptCount val="9"/>
                <c:pt idx="0">
                  <c:v>オザックス株式会社</c:v>
                </c:pt>
                <c:pt idx="1">
                  <c:v>株式会社　カクヤス</c:v>
                </c:pt>
                <c:pt idx="2">
                  <c:v>エパックス（株）</c:v>
                </c:pt>
                <c:pt idx="3">
                  <c:v>松竹株式会社（コンセ）</c:v>
                </c:pt>
                <c:pt idx="4">
                  <c:v>株式会社ムービック【コンセ】</c:v>
                </c:pt>
                <c:pt idx="5">
                  <c:v>東映ジョイ（コンセ）</c:v>
                </c:pt>
                <c:pt idx="6">
                  <c:v>㈱トップス</c:v>
                </c:pt>
                <c:pt idx="7">
                  <c:v>㈱そごう・西武</c:v>
                </c:pt>
                <c:pt idx="8">
                  <c:v>本社　番組編成部　マーケティング室</c:v>
                </c:pt>
              </c:strCache>
            </c:strRef>
          </c:cat>
          <c:val>
            <c:numRef>
              <c:f>ダッシュボード!$AF$32:$AF$40</c:f>
              <c:numCache>
                <c:formatCode>[$¥-411]#,##0;[RED][$¥-411]\-#,##0</c:formatCode>
                <c:ptCount val="9"/>
                <c:pt idx="0">
                  <c:v>1239046.62</c:v>
                </c:pt>
                <c:pt idx="1">
                  <c:v>233016</c:v>
                </c:pt>
                <c:pt idx="2">
                  <c:v>7950</c:v>
                </c:pt>
                <c:pt idx="3">
                  <c:v>1182</c:v>
                </c:pt>
                <c:pt idx="4">
                  <c:v>3750</c:v>
                </c:pt>
                <c:pt idx="5">
                  <c:v>5250</c:v>
                </c:pt>
                <c:pt idx="6">
                  <c:v>1800</c:v>
                </c:pt>
                <c:pt idx="7">
                  <c:v>680</c:v>
                </c:pt>
                <c:pt idx="8">
                  <c:v>1097.2</c:v>
                </c:pt>
              </c:numCache>
            </c:numRef>
          </c:val>
        </c:ser>
        <c:gapWidth val="45"/>
        <c:overlap val="0"/>
        <c:axId val="57082663"/>
        <c:axId val="77861153"/>
      </c:barChart>
      <c:catAx>
        <c:axId val="57082663"/>
        <c:scaling>
          <c:orientation val="minMax"/>
        </c:scaling>
        <c:delete val="0"/>
        <c:axPos val="b"/>
        <c:numFmt formatCode="#,##0,,&quot;百万&quot;"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861153"/>
        <c:crosses val="autoZero"/>
        <c:auto val="1"/>
        <c:lblAlgn val="ctr"/>
        <c:lblOffset val="100"/>
        <c:noMultiLvlLbl val="0"/>
      </c:catAx>
      <c:valAx>
        <c:axId val="77861153"/>
        <c:scaling>
          <c:orientation val="minMax"/>
        </c:scaling>
        <c:delete val="0"/>
        <c:axPos val="l"/>
        <c:majorGridlines>
          <c:spPr>
            <a:ln w="9360">
              <a:solidFill>
                <a:srgbClr val="878787"/>
              </a:solidFill>
              <a:round/>
            </a:ln>
          </c:spPr>
        </c:majorGridlines>
        <c:numFmt formatCode="[$¥-411]#,##0;[RED][$¥-411]\-#,##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08266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spPr>
            <a:solidFill>
              <a:srgbClr val="1b1d2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随時_動員を入れる!$I$8:$I$21</c:f>
              <c:strCache>
                <c:ptCount val="14"/>
                <c:pt idx="0">
                  <c:v>5/1(金)</c:v>
                </c:pt>
                <c:pt idx="1">
                  <c:v>5/2(土)</c:v>
                </c:pt>
                <c:pt idx="2">
                  <c:v>5/3(日)</c:v>
                </c:pt>
                <c:pt idx="3">
                  <c:v>5/4(月)</c:v>
                </c:pt>
                <c:pt idx="4">
                  <c:v>5/5(火)</c:v>
                </c:pt>
                <c:pt idx="5">
                  <c:v>5/6(水)</c:v>
                </c:pt>
                <c:pt idx="6">
                  <c:v>5/7(木)</c:v>
                </c:pt>
                <c:pt idx="7">
                  <c:v>5/8(金)</c:v>
                </c:pt>
                <c:pt idx="8">
                  <c:v>5/9(土)</c:v>
                </c:pt>
                <c:pt idx="9">
                  <c:v>5/10(日)</c:v>
                </c:pt>
                <c:pt idx="10">
                  <c:v>5/11(月)</c:v>
                </c:pt>
                <c:pt idx="11">
                  <c:v>5/12(火)</c:v>
                </c:pt>
                <c:pt idx="12">
                  <c:v>5/13(水)</c:v>
                </c:pt>
                <c:pt idx="13">
                  <c:v>5/14(木)</c:v>
                </c:pt>
              </c:strCache>
            </c:strRef>
          </c:cat>
          <c:val>
            <c:numRef>
              <c:f>随時_動員を入れる!$G$8:$G$21</c:f>
              <c:numCache>
                <c:formatCode>#,##0_);[RED]\(#,##0\)</c:formatCode>
                <c:ptCount val="14"/>
                <c:pt idx="0">
                  <c:v>4163</c:v>
                </c:pt>
                <c:pt idx="1">
                  <c:v>4955</c:v>
                </c:pt>
                <c:pt idx="2">
                  <c:v>7927</c:v>
                </c:pt>
                <c:pt idx="3">
                  <c:v>8464</c:v>
                </c:pt>
                <c:pt idx="4">
                  <c:v>2539</c:v>
                </c:pt>
                <c:pt idx="5">
                  <c:v>1340</c:v>
                </c:pt>
                <c:pt idx="6">
                  <c:v>1525</c:v>
                </c:pt>
                <c:pt idx="7">
                  <c:v>1532</c:v>
                </c:pt>
                <c:pt idx="8">
                  <c:v>2126</c:v>
                </c:pt>
                <c:pt idx="9">
                  <c:v>3491</c:v>
                </c:pt>
                <c:pt idx="10">
                  <c:v>3084</c:v>
                </c:pt>
                <c:pt idx="11">
                  <c:v>1325</c:v>
                </c:pt>
                <c:pt idx="12">
                  <c:v>1217</c:v>
                </c:pt>
                <c:pt idx="13">
                  <c:v>1406</c:v>
                </c:pt>
              </c:numCache>
            </c:numRef>
          </c:val>
        </c:ser>
        <c:gapWidth val="35"/>
        <c:overlap val="0"/>
        <c:axId val="94408844"/>
        <c:axId val="50117000"/>
      </c:barChart>
      <c:catAx>
        <c:axId val="9440884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117000"/>
        <c:crosses val="autoZero"/>
        <c:auto val="1"/>
        <c:lblAlgn val="ctr"/>
        <c:lblOffset val="100"/>
        <c:noMultiLvlLbl val="0"/>
      </c:catAx>
      <c:valAx>
        <c:axId val="50117000"/>
        <c:scaling>
          <c:orientation val="minMax"/>
        </c:scaling>
        <c:delete val="0"/>
        <c:axPos val="l"/>
        <c:majorGridlines>
          <c:spPr>
            <a:ln w="9360">
              <a:solidFill>
                <a:srgbClr val="878787"/>
              </a:solidFill>
              <a:round/>
            </a:ln>
          </c:spPr>
        </c:majorGridlines>
        <c:numFmt formatCode="#,##0_);[RED]\(#,##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40884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11</xdr:row>
      <xdr:rowOff>145440</xdr:rowOff>
    </xdr:from>
    <xdr:to>
      <xdr:col>26</xdr:col>
      <xdr:colOff>32400</xdr:colOff>
      <xdr:row>24</xdr:row>
      <xdr:rowOff>44640</xdr:rowOff>
    </xdr:to>
    <xdr:graphicFrame>
      <xdr:nvGraphicFramePr>
        <xdr:cNvPr id="0" name="Chart 1"/>
        <xdr:cNvGraphicFramePr/>
      </xdr:nvGraphicFramePr>
      <xdr:xfrm>
        <a:off x="3985920" y="2305080"/>
        <a:ext cx="4139640" cy="237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0</xdr:colOff>
      <xdr:row>27</xdr:row>
      <xdr:rowOff>145440</xdr:rowOff>
    </xdr:from>
    <xdr:to>
      <xdr:col>31</xdr:col>
      <xdr:colOff>325800</xdr:colOff>
      <xdr:row>44</xdr:row>
      <xdr:rowOff>178200</xdr:rowOff>
    </xdr:to>
    <xdr:graphicFrame>
      <xdr:nvGraphicFramePr>
        <xdr:cNvPr id="1" name="Chart 2"/>
        <xdr:cNvGraphicFramePr/>
      </xdr:nvGraphicFramePr>
      <xdr:xfrm>
        <a:off x="5745960" y="5353200"/>
        <a:ext cx="4139640" cy="3023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50</xdr:row>
      <xdr:rowOff>145440</xdr:rowOff>
    </xdr:from>
    <xdr:to>
      <xdr:col>16</xdr:col>
      <xdr:colOff>279000</xdr:colOff>
      <xdr:row>62</xdr:row>
      <xdr:rowOff>13680</xdr:rowOff>
    </xdr:to>
    <xdr:graphicFrame>
      <xdr:nvGraphicFramePr>
        <xdr:cNvPr id="2" name="Chart 3"/>
        <xdr:cNvGraphicFramePr/>
      </xdr:nvGraphicFramePr>
      <xdr:xfrm>
        <a:off x="758880" y="9620280"/>
        <a:ext cx="4679640" cy="2303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5A"/>
    <pageSetUpPr fitToPage="false"/>
  </sheetPr>
  <dimension ref="B2:D6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0" width="4"/>
    <col collapsed="false" customWidth="true" hidden="false" outlineLevel="0" max="3" min="3" style="0" width="22"/>
    <col collapsed="false" customWidth="true" hidden="false" outlineLevel="0" max="4" min="4" style="0" width="78"/>
  </cols>
  <sheetData>
    <row r="2" customFormat="false" ht="18.55" hidden="false" customHeight="false" outlineLevel="0" collapsed="false">
      <c r="B2" s="1" t="s">
        <v>0</v>
      </c>
    </row>
    <row r="5" customFormat="false" ht="15" hidden="false" customHeight="false" outlineLevel="0" collapsed="false">
      <c r="D5" s="2" t="s">
        <v>1</v>
      </c>
    </row>
    <row r="6" customFormat="false" ht="15" hidden="false" customHeight="false" outlineLevel="0" collapsed="false">
      <c r="D6" s="3" t="s">
        <v>2</v>
      </c>
    </row>
    <row r="7" customFormat="false" ht="15" hidden="false" customHeight="false" outlineLevel="0" collapsed="false">
      <c r="D7" s="3" t="s">
        <v>3</v>
      </c>
    </row>
    <row r="8" customFormat="false" ht="15" hidden="false" customHeight="false" outlineLevel="0" collapsed="false">
      <c r="D8" s="3"/>
    </row>
    <row r="9" customFormat="false" ht="15" hidden="false" customHeight="false" outlineLevel="0" collapsed="false">
      <c r="C9" s="4" t="s">
        <v>4</v>
      </c>
      <c r="D9" s="5" t="s">
        <v>5</v>
      </c>
    </row>
    <row r="10" customFormat="false" ht="15" hidden="false" customHeight="false" outlineLevel="0" collapsed="false">
      <c r="D10" s="3" t="s">
        <v>6</v>
      </c>
    </row>
    <row r="11" customFormat="false" ht="15" hidden="false" customHeight="false" outlineLevel="0" collapsed="false">
      <c r="D11" s="3" t="s">
        <v>7</v>
      </c>
    </row>
    <row r="12" customFormat="false" ht="15" hidden="false" customHeight="false" outlineLevel="0" collapsed="false">
      <c r="D12" s="3" t="s">
        <v>8</v>
      </c>
    </row>
    <row r="13" customFormat="false" ht="15" hidden="false" customHeight="false" outlineLevel="0" collapsed="false">
      <c r="C13" s="4" t="s">
        <v>9</v>
      </c>
      <c r="D13" s="5" t="s">
        <v>10</v>
      </c>
    </row>
    <row r="14" customFormat="false" ht="15" hidden="false" customHeight="false" outlineLevel="0" collapsed="false">
      <c r="D14" s="3" t="s">
        <v>11</v>
      </c>
    </row>
    <row r="15" customFormat="false" ht="15" hidden="false" customHeight="false" outlineLevel="0" collapsed="false">
      <c r="D15" s="3" t="s">
        <v>12</v>
      </c>
    </row>
    <row r="16" customFormat="false" ht="15" hidden="false" customHeight="false" outlineLevel="0" collapsed="false">
      <c r="D16" s="3" t="s">
        <v>13</v>
      </c>
    </row>
    <row r="17" customFormat="false" ht="15" hidden="false" customHeight="false" outlineLevel="0" collapsed="false">
      <c r="D17" s="3" t="s">
        <v>14</v>
      </c>
    </row>
    <row r="18" customFormat="false" ht="15" hidden="false" customHeight="false" outlineLevel="0" collapsed="false">
      <c r="C18" s="4" t="s">
        <v>15</v>
      </c>
      <c r="D18" s="5" t="s">
        <v>16</v>
      </c>
    </row>
    <row r="19" customFormat="false" ht="15" hidden="false" customHeight="false" outlineLevel="0" collapsed="false">
      <c r="D19" s="3" t="s">
        <v>17</v>
      </c>
    </row>
    <row r="20" customFormat="false" ht="15" hidden="false" customHeight="false" outlineLevel="0" collapsed="false">
      <c r="D20" s="3" t="s">
        <v>18</v>
      </c>
    </row>
    <row r="21" customFormat="false" ht="15" hidden="false" customHeight="false" outlineLevel="0" collapsed="false">
      <c r="D21" s="3"/>
    </row>
    <row r="22" customFormat="false" ht="15" hidden="false" customHeight="false" outlineLevel="0" collapsed="false">
      <c r="D22" s="3" t="s">
        <v>19</v>
      </c>
    </row>
    <row r="23" customFormat="false" ht="15" hidden="false" customHeight="false" outlineLevel="0" collapsed="false">
      <c r="D23" s="3"/>
    </row>
    <row r="24" customFormat="false" ht="15" hidden="false" customHeight="false" outlineLevel="0" collapsed="false">
      <c r="C24" s="6" t="s">
        <v>20</v>
      </c>
      <c r="D24" s="5" t="s">
        <v>21</v>
      </c>
    </row>
    <row r="25" customFormat="false" ht="15" hidden="false" customHeight="false" outlineLevel="0" collapsed="false">
      <c r="D25" s="3" t="s">
        <v>22</v>
      </c>
    </row>
    <row r="26" customFormat="false" ht="15" hidden="false" customHeight="false" outlineLevel="0" collapsed="false">
      <c r="D26" s="3"/>
    </row>
    <row r="27" customFormat="false" ht="15" hidden="false" customHeight="false" outlineLevel="0" collapsed="false">
      <c r="D27" s="2" t="s">
        <v>23</v>
      </c>
    </row>
    <row r="28" customFormat="false" ht="15" hidden="false" customHeight="false" outlineLevel="0" collapsed="false">
      <c r="D28" s="3" t="s">
        <v>24</v>
      </c>
    </row>
    <row r="29" customFormat="false" ht="15" hidden="false" customHeight="false" outlineLevel="0" collapsed="false">
      <c r="D29" s="3" t="s">
        <v>25</v>
      </c>
    </row>
    <row r="30" customFormat="false" ht="15" hidden="false" customHeight="false" outlineLevel="0" collapsed="false">
      <c r="D30" s="3" t="s">
        <v>26</v>
      </c>
    </row>
    <row r="31" customFormat="false" ht="15" hidden="false" customHeight="false" outlineLevel="0" collapsed="false">
      <c r="D31" s="3" t="s">
        <v>27</v>
      </c>
    </row>
    <row r="32" customFormat="false" ht="15" hidden="false" customHeight="false" outlineLevel="0" collapsed="false">
      <c r="D32" s="3" t="s">
        <v>28</v>
      </c>
    </row>
    <row r="33" customFormat="false" ht="15" hidden="false" customHeight="false" outlineLevel="0" collapsed="false">
      <c r="D33" s="3"/>
    </row>
    <row r="34" customFormat="false" ht="15" hidden="false" customHeight="false" outlineLevel="0" collapsed="false">
      <c r="D34" s="2" t="s">
        <v>29</v>
      </c>
    </row>
    <row r="35" customFormat="false" ht="15" hidden="false" customHeight="false" outlineLevel="0" collapsed="false">
      <c r="C35" s="6" t="s">
        <v>30</v>
      </c>
      <c r="D35" s="5" t="s">
        <v>31</v>
      </c>
    </row>
    <row r="36" customFormat="false" ht="15" hidden="false" customHeight="false" outlineLevel="0" collapsed="false">
      <c r="D36" s="3" t="s">
        <v>32</v>
      </c>
    </row>
    <row r="37" customFormat="false" ht="15" hidden="false" customHeight="false" outlineLevel="0" collapsed="false">
      <c r="D37" s="3" t="s">
        <v>33</v>
      </c>
    </row>
    <row r="38" customFormat="false" ht="15" hidden="false" customHeight="false" outlineLevel="0" collapsed="false">
      <c r="C38" s="6" t="s">
        <v>34</v>
      </c>
      <c r="D38" s="5" t="s">
        <v>35</v>
      </c>
    </row>
    <row r="39" customFormat="false" ht="15" hidden="false" customHeight="false" outlineLevel="0" collapsed="false">
      <c r="D39" s="3" t="s">
        <v>36</v>
      </c>
    </row>
    <row r="40" customFormat="false" ht="15" hidden="false" customHeight="false" outlineLevel="0" collapsed="false">
      <c r="C40" s="6" t="s">
        <v>37</v>
      </c>
      <c r="D40" s="5" t="s">
        <v>38</v>
      </c>
    </row>
    <row r="41" customFormat="false" ht="15" hidden="false" customHeight="false" outlineLevel="0" collapsed="false">
      <c r="C41" s="6" t="s">
        <v>39</v>
      </c>
      <c r="D41" s="5" t="s">
        <v>40</v>
      </c>
    </row>
    <row r="42" customFormat="false" ht="15" hidden="false" customHeight="false" outlineLevel="0" collapsed="false">
      <c r="C42" s="6" t="s">
        <v>41</v>
      </c>
      <c r="D42" s="5" t="s">
        <v>42</v>
      </c>
    </row>
    <row r="43" customFormat="false" ht="15" hidden="false" customHeight="false" outlineLevel="0" collapsed="false">
      <c r="D43" s="3" t="s">
        <v>43</v>
      </c>
    </row>
    <row r="44" customFormat="false" ht="15" hidden="false" customHeight="false" outlineLevel="0" collapsed="false">
      <c r="D44" s="3" t="s">
        <v>44</v>
      </c>
    </row>
    <row r="45" customFormat="false" ht="15" hidden="false" customHeight="false" outlineLevel="0" collapsed="false">
      <c r="D45" s="3" t="s">
        <v>45</v>
      </c>
    </row>
    <row r="46" customFormat="false" ht="15" hidden="false" customHeight="false" outlineLevel="0" collapsed="false">
      <c r="C46" s="6" t="s">
        <v>46</v>
      </c>
      <c r="D46" s="5" t="s">
        <v>47</v>
      </c>
    </row>
    <row r="47" customFormat="false" ht="15" hidden="false" customHeight="false" outlineLevel="0" collapsed="false">
      <c r="D47" s="3"/>
    </row>
    <row r="48" customFormat="false" ht="15" hidden="false" customHeight="false" outlineLevel="0" collapsed="false">
      <c r="D48" s="2" t="s">
        <v>48</v>
      </c>
    </row>
    <row r="49" customFormat="false" ht="15" hidden="false" customHeight="false" outlineLevel="0" collapsed="false">
      <c r="D49" s="3" t="s">
        <v>49</v>
      </c>
    </row>
    <row r="50" customFormat="false" ht="15" hidden="false" customHeight="false" outlineLevel="0" collapsed="false">
      <c r="D50" s="3" t="s">
        <v>50</v>
      </c>
    </row>
    <row r="51" customFormat="false" ht="15" hidden="false" customHeight="false" outlineLevel="0" collapsed="false">
      <c r="D51" s="3" t="s">
        <v>51</v>
      </c>
    </row>
    <row r="52" customFormat="false" ht="15" hidden="false" customHeight="false" outlineLevel="0" collapsed="false">
      <c r="D52" s="3" t="s">
        <v>50</v>
      </c>
    </row>
    <row r="53" customFormat="false" ht="15" hidden="false" customHeight="false" outlineLevel="0" collapsed="false">
      <c r="D53" s="3" t="s">
        <v>52</v>
      </c>
    </row>
    <row r="54" customFormat="false" ht="15" hidden="false" customHeight="false" outlineLevel="0" collapsed="false">
      <c r="D54" s="3" t="s">
        <v>50</v>
      </c>
    </row>
    <row r="55" customFormat="false" ht="15" hidden="false" customHeight="false" outlineLevel="0" collapsed="false">
      <c r="D55" s="3" t="s">
        <v>53</v>
      </c>
    </row>
    <row r="56" customFormat="false" ht="15" hidden="false" customHeight="false" outlineLevel="0" collapsed="false">
      <c r="D56" s="3"/>
    </row>
    <row r="57" customFormat="false" ht="15" hidden="false" customHeight="false" outlineLevel="0" collapsed="false">
      <c r="D57" s="3" t="s">
        <v>54</v>
      </c>
    </row>
    <row r="58" customFormat="false" ht="15" hidden="false" customHeight="false" outlineLevel="0" collapsed="false">
      <c r="D58" s="3" t="s">
        <v>55</v>
      </c>
    </row>
    <row r="59" customFormat="false" ht="15" hidden="false" customHeight="false" outlineLevel="0" collapsed="false">
      <c r="D59" s="3" t="s">
        <v>56</v>
      </c>
    </row>
    <row r="60" customFormat="false" ht="15" hidden="false" customHeight="false" outlineLevel="0" collapsed="false">
      <c r="D60" s="3" t="s">
        <v>57</v>
      </c>
    </row>
    <row r="61" customFormat="false" ht="15" hidden="false" customHeight="false" outlineLevel="0" collapsed="false">
      <c r="D61" s="3"/>
    </row>
    <row r="62" customFormat="false" ht="15" hidden="false" customHeight="false" outlineLevel="0" collapsed="false">
      <c r="D62" s="2" t="s">
        <v>58</v>
      </c>
    </row>
    <row r="63" customFormat="false" ht="15" hidden="false" customHeight="false" outlineLevel="0" collapsed="false">
      <c r="D63" s="3" t="s">
        <v>59</v>
      </c>
    </row>
    <row r="64" customFormat="false" ht="15" hidden="false" customHeight="false" outlineLevel="0" collapsed="false">
      <c r="D64" s="3" t="s">
        <v>60</v>
      </c>
    </row>
    <row r="65" customFormat="false" ht="15" hidden="false" customHeight="false" outlineLevel="0" collapsed="false">
      <c r="D65" s="3"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5A"/>
    <pageSetUpPr fitToPage="true"/>
  </sheetPr>
  <dimension ref="B2:AN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38" min="2" style="0" width="3.3"/>
  </cols>
  <sheetData>
    <row r="2" customFormat="false" ht="20.1" hidden="false" customHeight="true" outlineLevel="0" collapsed="false">
      <c r="B2" s="7" t="s">
        <v>20</v>
      </c>
      <c r="C2" s="7"/>
      <c r="D2" s="7"/>
      <c r="E2" s="7"/>
      <c r="F2" s="7"/>
      <c r="G2" s="7"/>
      <c r="H2" s="7"/>
      <c r="I2" s="7"/>
      <c r="J2" s="7"/>
      <c r="K2" s="7"/>
      <c r="L2" s="7"/>
      <c r="M2" s="7"/>
      <c r="N2" s="7"/>
    </row>
    <row r="3" customFormat="false" ht="15" hidden="false" customHeight="true" outlineLevel="0" collapsed="false">
      <c r="B3" s="8" t="s">
        <v>62</v>
      </c>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row>
    <row r="5" customFormat="false" ht="16.4" hidden="false" customHeight="false" outlineLevel="0" collapsed="false">
      <c r="B5" s="9" t="s">
        <v>63</v>
      </c>
    </row>
    <row r="6" customFormat="false" ht="21.75" hidden="false" customHeight="true" outlineLevel="0" collapsed="false">
      <c r="B6" s="10" t="s">
        <v>64</v>
      </c>
      <c r="C6" s="10"/>
      <c r="D6" s="10"/>
      <c r="E6" s="10"/>
      <c r="F6" s="10"/>
      <c r="G6" s="10"/>
      <c r="H6" s="10"/>
      <c r="I6" s="10"/>
      <c r="J6" s="10"/>
      <c r="K6" s="10"/>
      <c r="L6" s="10"/>
      <c r="M6" s="11" t="s">
        <v>65</v>
      </c>
      <c r="N6" s="11"/>
      <c r="O6" s="12" t="s">
        <v>66</v>
      </c>
      <c r="P6" s="12"/>
      <c r="Q6" s="12"/>
      <c r="R6" s="12"/>
      <c r="S6" s="12"/>
      <c r="T6" s="12"/>
      <c r="U6" s="12"/>
      <c r="V6" s="12"/>
      <c r="W6" s="12"/>
      <c r="X6" s="12"/>
      <c r="Y6" s="12"/>
      <c r="Z6" s="11" t="s">
        <v>65</v>
      </c>
      <c r="AA6" s="11"/>
      <c r="AB6" s="13" t="s">
        <v>67</v>
      </c>
      <c r="AC6" s="13"/>
      <c r="AD6" s="13"/>
      <c r="AE6" s="13"/>
      <c r="AF6" s="13"/>
      <c r="AG6" s="13"/>
      <c r="AH6" s="13"/>
      <c r="AI6" s="13"/>
      <c r="AJ6" s="13"/>
      <c r="AK6" s="13"/>
      <c r="AL6" s="13"/>
    </row>
    <row r="7" customFormat="false" ht="15" hidden="false" customHeight="true" outlineLevel="0" collapsed="false">
      <c r="B7" s="14" t="s">
        <v>68</v>
      </c>
      <c r="C7" s="14"/>
      <c r="D7" s="14"/>
      <c r="E7" s="14"/>
      <c r="F7" s="14"/>
      <c r="G7" s="14"/>
      <c r="H7" s="14"/>
      <c r="I7" s="14"/>
      <c r="J7" s="14"/>
      <c r="K7" s="14"/>
      <c r="L7" s="14"/>
      <c r="M7" s="11"/>
      <c r="N7" s="11"/>
      <c r="O7" s="14" t="s">
        <v>69</v>
      </c>
      <c r="P7" s="14"/>
      <c r="Q7" s="14"/>
      <c r="R7" s="14"/>
      <c r="S7" s="14"/>
      <c r="T7" s="14"/>
      <c r="U7" s="14"/>
      <c r="V7" s="14"/>
      <c r="W7" s="14"/>
      <c r="X7" s="14"/>
      <c r="Y7" s="14"/>
      <c r="Z7" s="11"/>
      <c r="AA7" s="11"/>
      <c r="AB7" s="14" t="s">
        <v>70</v>
      </c>
      <c r="AC7" s="14"/>
      <c r="AD7" s="14"/>
      <c r="AE7" s="14"/>
      <c r="AF7" s="14"/>
      <c r="AG7" s="14"/>
      <c r="AH7" s="14"/>
      <c r="AI7" s="14"/>
      <c r="AJ7" s="14"/>
      <c r="AK7" s="14"/>
      <c r="AL7" s="14"/>
    </row>
    <row r="8" customFormat="false" ht="15" hidden="false" customHeight="true" outlineLevel="0" collapsed="false">
      <c r="B8" s="14"/>
      <c r="C8" s="14"/>
      <c r="D8" s="14"/>
      <c r="E8" s="14"/>
      <c r="F8" s="14"/>
      <c r="G8" s="14"/>
      <c r="H8" s="14"/>
      <c r="I8" s="14"/>
      <c r="J8" s="14"/>
      <c r="K8" s="14"/>
      <c r="L8" s="14"/>
      <c r="M8" s="11"/>
      <c r="N8" s="11"/>
      <c r="O8" s="14"/>
      <c r="P8" s="14"/>
      <c r="Q8" s="14"/>
      <c r="R8" s="14"/>
      <c r="S8" s="14"/>
      <c r="T8" s="14"/>
      <c r="U8" s="14"/>
      <c r="V8" s="14"/>
      <c r="W8" s="14"/>
      <c r="X8" s="14"/>
      <c r="Y8" s="14"/>
      <c r="Z8" s="11"/>
      <c r="AA8" s="11"/>
      <c r="AB8" s="14"/>
      <c r="AC8" s="14"/>
      <c r="AD8" s="14"/>
      <c r="AE8" s="14"/>
      <c r="AF8" s="14"/>
      <c r="AG8" s="14"/>
      <c r="AH8" s="14"/>
      <c r="AI8" s="14"/>
      <c r="AJ8" s="14"/>
      <c r="AK8" s="14"/>
      <c r="AL8" s="14"/>
    </row>
    <row r="9" customFormat="false" ht="15" hidden="false" customHeight="true" outlineLevel="0" collapsed="false">
      <c r="B9" s="14"/>
      <c r="C9" s="14"/>
      <c r="D9" s="14"/>
      <c r="E9" s="14"/>
      <c r="F9" s="14"/>
      <c r="G9" s="14"/>
      <c r="H9" s="14"/>
      <c r="I9" s="14"/>
      <c r="J9" s="14"/>
      <c r="K9" s="14"/>
      <c r="L9" s="14"/>
      <c r="M9" s="11"/>
      <c r="N9" s="11"/>
      <c r="O9" s="14"/>
      <c r="P9" s="14"/>
      <c r="Q9" s="14"/>
      <c r="R9" s="14"/>
      <c r="S9" s="14"/>
      <c r="T9" s="14"/>
      <c r="U9" s="14"/>
      <c r="V9" s="14"/>
      <c r="W9" s="14"/>
      <c r="X9" s="14"/>
      <c r="Y9" s="14"/>
      <c r="Z9" s="11"/>
      <c r="AA9" s="11"/>
      <c r="AB9" s="14"/>
      <c r="AC9" s="14"/>
      <c r="AD9" s="14"/>
      <c r="AE9" s="14"/>
      <c r="AF9" s="14"/>
      <c r="AG9" s="14"/>
      <c r="AH9" s="14"/>
      <c r="AI9" s="14"/>
      <c r="AJ9" s="14"/>
      <c r="AK9" s="14"/>
      <c r="AL9" s="14"/>
    </row>
    <row r="10" customFormat="false" ht="15" hidden="false" customHeight="true" outlineLevel="0" collapsed="false">
      <c r="B10" s="15" t="s">
        <v>71</v>
      </c>
      <c r="C10" s="15"/>
      <c r="D10" s="15"/>
      <c r="E10" s="15"/>
      <c r="F10" s="15"/>
      <c r="G10" s="15"/>
      <c r="H10" s="15"/>
      <c r="I10" s="15"/>
      <c r="J10" s="15"/>
      <c r="K10" s="15"/>
      <c r="L10" s="15"/>
      <c r="M10" s="11"/>
      <c r="N10" s="11"/>
      <c r="O10" s="15" t="s">
        <v>72</v>
      </c>
      <c r="P10" s="15"/>
      <c r="Q10" s="15"/>
      <c r="R10" s="15"/>
      <c r="S10" s="15"/>
      <c r="T10" s="15"/>
      <c r="U10" s="15"/>
      <c r="V10" s="15"/>
      <c r="W10" s="15"/>
      <c r="X10" s="15"/>
      <c r="Y10" s="15"/>
      <c r="Z10" s="11"/>
      <c r="AA10" s="11"/>
      <c r="AB10" s="15" t="s">
        <v>73</v>
      </c>
      <c r="AC10" s="15"/>
      <c r="AD10" s="15"/>
      <c r="AE10" s="15"/>
      <c r="AF10" s="15"/>
      <c r="AG10" s="15"/>
      <c r="AH10" s="15"/>
      <c r="AI10" s="15"/>
      <c r="AJ10" s="15"/>
      <c r="AK10" s="15"/>
      <c r="AL10" s="15"/>
    </row>
    <row r="11" customFormat="false" ht="15" hidden="false" customHeight="true" outlineLevel="0" collapsed="false">
      <c r="B11" s="16" t="s">
        <v>74</v>
      </c>
      <c r="C11" s="16"/>
      <c r="D11" s="16"/>
      <c r="E11" s="16"/>
      <c r="F11" s="16"/>
      <c r="G11" s="16"/>
      <c r="H11" s="16"/>
      <c r="I11" s="16"/>
      <c r="J11" s="16"/>
      <c r="K11" s="16"/>
      <c r="L11" s="16"/>
      <c r="M11" s="11"/>
      <c r="N11" s="11"/>
      <c r="O11" s="16" t="s">
        <v>75</v>
      </c>
      <c r="P11" s="16"/>
      <c r="Q11" s="16"/>
      <c r="R11" s="16"/>
      <c r="S11" s="16"/>
      <c r="T11" s="16"/>
      <c r="U11" s="16"/>
      <c r="V11" s="16"/>
      <c r="W11" s="16"/>
      <c r="X11" s="16"/>
      <c r="Y11" s="16"/>
      <c r="Z11" s="11"/>
      <c r="AA11" s="11"/>
      <c r="AB11" s="16" t="s">
        <v>76</v>
      </c>
      <c r="AC11" s="16"/>
      <c r="AD11" s="16"/>
      <c r="AE11" s="16"/>
      <c r="AF11" s="16"/>
      <c r="AG11" s="16"/>
      <c r="AH11" s="16"/>
      <c r="AI11" s="16"/>
      <c r="AJ11" s="16"/>
      <c r="AK11" s="16"/>
      <c r="AL11" s="16"/>
    </row>
    <row r="13" customFormat="false" ht="16.4" hidden="false" customHeight="false" outlineLevel="0" collapsed="false">
      <c r="B13" s="17" t="s">
        <v>77</v>
      </c>
    </row>
    <row r="14" customFormat="false" ht="15" hidden="false" customHeight="true" outlineLevel="0" collapsed="false">
      <c r="B14" s="8" t="s">
        <v>78</v>
      </c>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row>
    <row r="15" customFormat="false" ht="15" hidden="false" customHeight="true" outlineLevel="0" collapsed="false">
      <c r="B15" s="18" t="s">
        <v>79</v>
      </c>
      <c r="C15" s="18"/>
      <c r="D15" s="18"/>
      <c r="E15" s="18"/>
      <c r="F15" s="18"/>
      <c r="G15" s="18"/>
      <c r="H15" s="18"/>
      <c r="I15" s="18"/>
      <c r="J15" s="18" t="s">
        <v>80</v>
      </c>
      <c r="K15" s="18"/>
      <c r="L15" s="18"/>
      <c r="M15" s="18"/>
      <c r="N15" s="18"/>
      <c r="O15" s="18"/>
      <c r="P15" s="18" t="s">
        <v>81</v>
      </c>
      <c r="Q15" s="18"/>
      <c r="R15" s="18"/>
      <c r="S15" s="18"/>
      <c r="T15" s="18"/>
      <c r="U15" s="18"/>
      <c r="V15" s="18" t="s">
        <v>82</v>
      </c>
      <c r="W15" s="18"/>
      <c r="X15" s="18"/>
      <c r="Y15" s="18"/>
      <c r="Z15" s="18"/>
      <c r="AA15" s="18"/>
      <c r="AB15" s="18" t="s">
        <v>83</v>
      </c>
      <c r="AC15" s="18"/>
      <c r="AD15" s="18"/>
      <c r="AE15" s="18"/>
      <c r="AF15" s="18"/>
      <c r="AG15" s="18"/>
      <c r="AH15" s="18" t="s">
        <v>84</v>
      </c>
      <c r="AI15" s="18"/>
      <c r="AJ15" s="18"/>
      <c r="AK15" s="18"/>
      <c r="AL15" s="18"/>
    </row>
    <row r="16" customFormat="false" ht="21.75" hidden="false" customHeight="true" outlineLevel="0" collapsed="false">
      <c r="B16" s="19" t="s">
        <v>85</v>
      </c>
      <c r="C16" s="19"/>
      <c r="D16" s="19"/>
      <c r="E16" s="19"/>
      <c r="F16" s="19"/>
      <c r="G16" s="19"/>
      <c r="H16" s="19"/>
      <c r="I16" s="19"/>
      <c r="J16" s="4" t="s">
        <v>41</v>
      </c>
      <c r="K16" s="4"/>
      <c r="L16" s="4"/>
      <c r="M16" s="4"/>
      <c r="N16" s="4"/>
      <c r="O16" s="4"/>
      <c r="P16" s="20" t="s">
        <v>86</v>
      </c>
      <c r="Q16" s="20"/>
      <c r="R16" s="20"/>
      <c r="S16" s="20"/>
      <c r="T16" s="20"/>
      <c r="U16" s="20"/>
      <c r="V16" s="21" t="str">
        <f aca="false">IF('設定（最初に1回）'!$C$10="","未設定",'設定（最初に1回）'!$C$10&amp;" ／ "&amp;'設定（最初に1回）'!$C$11)</f>
        <v>大規模 ／ 1杯売り</v>
      </c>
      <c r="W16" s="21"/>
      <c r="X16" s="21"/>
      <c r="Y16" s="21"/>
      <c r="Z16" s="21"/>
      <c r="AA16" s="21"/>
      <c r="AB16" s="22" t="s">
        <v>87</v>
      </c>
      <c r="AC16" s="22"/>
      <c r="AD16" s="22"/>
      <c r="AE16" s="22"/>
      <c r="AF16" s="22"/>
      <c r="AG16" s="22"/>
      <c r="AH16" s="22" t="s">
        <v>88</v>
      </c>
      <c r="AI16" s="22"/>
      <c r="AJ16" s="22"/>
      <c r="AK16" s="22"/>
      <c r="AL16" s="22"/>
    </row>
    <row r="17" customFormat="false" ht="21.75" hidden="false" customHeight="true" outlineLevel="0" collapsed="false">
      <c r="B17" s="19" t="s">
        <v>89</v>
      </c>
      <c r="C17" s="19"/>
      <c r="D17" s="19"/>
      <c r="E17" s="19"/>
      <c r="F17" s="19"/>
      <c r="G17" s="19"/>
      <c r="H17" s="19"/>
      <c r="I17" s="19"/>
      <c r="J17" s="4" t="s">
        <v>41</v>
      </c>
      <c r="K17" s="4"/>
      <c r="L17" s="4"/>
      <c r="M17" s="4"/>
      <c r="N17" s="4"/>
      <c r="O17" s="4"/>
      <c r="P17" s="20" t="s">
        <v>90</v>
      </c>
      <c r="Q17" s="20"/>
      <c r="R17" s="20"/>
      <c r="S17" s="20"/>
      <c r="T17" s="20"/>
      <c r="U17" s="20"/>
      <c r="V17" s="23" t="n">
        <f aca="false">'設定（最初に1回）'!$C$14</f>
        <v>3000</v>
      </c>
      <c r="W17" s="23"/>
      <c r="X17" s="23"/>
      <c r="Y17" s="23"/>
      <c r="Z17" s="23"/>
      <c r="AA17" s="23"/>
      <c r="AB17" s="22" t="s">
        <v>91</v>
      </c>
      <c r="AC17" s="22"/>
      <c r="AD17" s="22"/>
      <c r="AE17" s="22"/>
      <c r="AF17" s="22"/>
      <c r="AG17" s="22"/>
      <c r="AH17" s="22" t="s">
        <v>92</v>
      </c>
      <c r="AI17" s="22"/>
      <c r="AJ17" s="22"/>
      <c r="AK17" s="22"/>
      <c r="AL17" s="22"/>
    </row>
    <row r="18" customFormat="false" ht="21.75" hidden="false" customHeight="true" outlineLevel="0" collapsed="false">
      <c r="B18" s="19" t="s">
        <v>93</v>
      </c>
      <c r="C18" s="19"/>
      <c r="D18" s="19"/>
      <c r="E18" s="19"/>
      <c r="F18" s="19"/>
      <c r="G18" s="19"/>
      <c r="H18" s="19"/>
      <c r="I18" s="19"/>
      <c r="J18" s="4" t="s">
        <v>41</v>
      </c>
      <c r="K18" s="4"/>
      <c r="L18" s="4"/>
      <c r="M18" s="4"/>
      <c r="N18" s="4"/>
      <c r="O18" s="4"/>
      <c r="P18" s="20" t="s">
        <v>90</v>
      </c>
      <c r="Q18" s="20"/>
      <c r="R18" s="20"/>
      <c r="S18" s="20"/>
      <c r="T18" s="20"/>
      <c r="U18" s="20"/>
      <c r="V18" s="24" t="n">
        <f aca="false">'設定（最初に1回）'!$C$12</f>
        <v>4</v>
      </c>
      <c r="W18" s="24"/>
      <c r="X18" s="24"/>
      <c r="Y18" s="24"/>
      <c r="Z18" s="24"/>
      <c r="AA18" s="24"/>
      <c r="AB18" s="22" t="s">
        <v>91</v>
      </c>
      <c r="AC18" s="22"/>
      <c r="AD18" s="22"/>
      <c r="AE18" s="22"/>
      <c r="AF18" s="22"/>
      <c r="AG18" s="22"/>
      <c r="AH18" s="22" t="s">
        <v>92</v>
      </c>
      <c r="AI18" s="22"/>
      <c r="AJ18" s="22"/>
      <c r="AK18" s="22"/>
      <c r="AL18" s="22"/>
    </row>
    <row r="19" customFormat="false" ht="21.75" hidden="false" customHeight="true" outlineLevel="0" collapsed="false">
      <c r="B19" s="19" t="s">
        <v>94</v>
      </c>
      <c r="C19" s="19"/>
      <c r="D19" s="19"/>
      <c r="E19" s="19"/>
      <c r="F19" s="19"/>
      <c r="G19" s="19"/>
      <c r="H19" s="19"/>
      <c r="I19" s="19"/>
      <c r="J19" s="4" t="s">
        <v>41</v>
      </c>
      <c r="K19" s="4"/>
      <c r="L19" s="4"/>
      <c r="M19" s="4"/>
      <c r="N19" s="4"/>
      <c r="O19" s="4"/>
      <c r="P19" s="20" t="s">
        <v>95</v>
      </c>
      <c r="Q19" s="20"/>
      <c r="R19" s="20"/>
      <c r="S19" s="20"/>
      <c r="T19" s="20"/>
      <c r="U19" s="20"/>
      <c r="V19" s="25" t="n">
        <f aca="false">'設定（最初に1回）'!$C$15</f>
        <v>1.45</v>
      </c>
      <c r="W19" s="25"/>
      <c r="X19" s="25"/>
      <c r="Y19" s="25"/>
      <c r="Z19" s="25"/>
      <c r="AA19" s="25"/>
      <c r="AB19" s="22" t="s">
        <v>91</v>
      </c>
      <c r="AC19" s="22"/>
      <c r="AD19" s="22"/>
      <c r="AE19" s="22"/>
      <c r="AF19" s="22"/>
      <c r="AG19" s="22"/>
      <c r="AH19" s="22" t="s">
        <v>92</v>
      </c>
      <c r="AI19" s="22"/>
      <c r="AJ19" s="22"/>
      <c r="AK19" s="22"/>
      <c r="AL19" s="22"/>
    </row>
    <row r="20" customFormat="false" ht="21.75" hidden="false" customHeight="true" outlineLevel="0" collapsed="false">
      <c r="B20" s="26" t="s">
        <v>96</v>
      </c>
      <c r="C20" s="26"/>
      <c r="D20" s="26"/>
      <c r="E20" s="26"/>
      <c r="F20" s="26"/>
      <c r="G20" s="26"/>
      <c r="H20" s="26"/>
      <c r="I20" s="26"/>
      <c r="J20" s="4" t="s">
        <v>41</v>
      </c>
      <c r="K20" s="4"/>
      <c r="L20" s="4"/>
      <c r="M20" s="4"/>
      <c r="N20" s="4"/>
      <c r="O20" s="4"/>
      <c r="P20" s="20" t="s">
        <v>97</v>
      </c>
      <c r="Q20" s="20"/>
      <c r="R20" s="20"/>
      <c r="S20" s="20"/>
      <c r="T20" s="20"/>
      <c r="U20" s="20"/>
      <c r="V20" s="21" t="str">
        <f aca="false">COUNTIF(定数マスタ!$W$6:$W$25,"?*")&amp;" 件 登録済み"</f>
        <v>3 件 登録済み</v>
      </c>
      <c r="W20" s="21"/>
      <c r="X20" s="21"/>
      <c r="Y20" s="21"/>
      <c r="Z20" s="21"/>
      <c r="AA20" s="21"/>
      <c r="AB20" s="22" t="s">
        <v>98</v>
      </c>
      <c r="AC20" s="22"/>
      <c r="AD20" s="22"/>
      <c r="AE20" s="22"/>
      <c r="AF20" s="22"/>
      <c r="AG20" s="22"/>
      <c r="AH20" s="22" t="s">
        <v>99</v>
      </c>
      <c r="AI20" s="22"/>
      <c r="AJ20" s="22"/>
      <c r="AK20" s="22"/>
      <c r="AL20" s="22"/>
    </row>
    <row r="21" customFormat="false" ht="21.75" hidden="false" customHeight="true" outlineLevel="0" collapsed="false">
      <c r="B21" s="19" t="s">
        <v>100</v>
      </c>
      <c r="C21" s="19"/>
      <c r="D21" s="19"/>
      <c r="E21" s="19"/>
      <c r="F21" s="19"/>
      <c r="G21" s="19"/>
      <c r="H21" s="19"/>
      <c r="I21" s="19"/>
      <c r="J21" s="4" t="s">
        <v>41</v>
      </c>
      <c r="K21" s="4"/>
      <c r="L21" s="4"/>
      <c r="M21" s="4"/>
      <c r="N21" s="4"/>
      <c r="O21" s="4"/>
      <c r="P21" s="20" t="s">
        <v>101</v>
      </c>
      <c r="Q21" s="20"/>
      <c r="R21" s="20"/>
      <c r="S21" s="20"/>
      <c r="T21" s="20"/>
      <c r="U21" s="20"/>
      <c r="V21" s="21" t="str">
        <f aca="false">IF('設定（最初に1回）'!$C$4="","",TEXT(SUMIFS(定数マスタ!$G$110:$G$309,定数マスタ!$B$110:$B$309,'設定（最初に1回）'!$C$4,定数マスタ!$C$110:$C$309,"常温"),"#,##0")&amp;" ／ "&amp;TEXT(SUMIFS(定数マスタ!$G$110:$G$309,定数マスタ!$B$110:$B$309,'設定（最初に1回）'!$C$4,定数マスタ!$C$110:$C$309,"冷蔵"),"#,##0")&amp;" ／ "&amp;TEXT(SUMIFS(定数マスタ!$G$110:$G$309,定数マスタ!$B$110:$B$309,'設定（最初に1回）'!$C$4,定数マスタ!$C$110:$C$309,"冷凍"),"#,##0")&amp;" ケース")</f>
        <v>2,400 ／ 720 ／ 320 ケース</v>
      </c>
      <c r="W21" s="21"/>
      <c r="X21" s="21"/>
      <c r="Y21" s="21"/>
      <c r="Z21" s="21"/>
      <c r="AA21" s="21"/>
      <c r="AB21" s="22" t="s">
        <v>102</v>
      </c>
      <c r="AC21" s="22"/>
      <c r="AD21" s="22"/>
      <c r="AE21" s="22"/>
      <c r="AF21" s="22"/>
      <c r="AG21" s="22"/>
      <c r="AH21" s="22" t="s">
        <v>99</v>
      </c>
      <c r="AI21" s="22"/>
      <c r="AJ21" s="22"/>
      <c r="AK21" s="22"/>
      <c r="AL21" s="22"/>
    </row>
    <row r="22" customFormat="false" ht="21.75" hidden="false" customHeight="true" outlineLevel="0" collapsed="false">
      <c r="B22" s="19" t="s">
        <v>103</v>
      </c>
      <c r="C22" s="19"/>
      <c r="D22" s="19"/>
      <c r="E22" s="19"/>
      <c r="F22" s="19"/>
      <c r="G22" s="19"/>
      <c r="H22" s="19"/>
      <c r="I22" s="19"/>
      <c r="J22" s="4" t="s">
        <v>41</v>
      </c>
      <c r="K22" s="4"/>
      <c r="L22" s="4"/>
      <c r="M22" s="4"/>
      <c r="N22" s="4"/>
      <c r="O22" s="4"/>
      <c r="P22" s="20" t="s">
        <v>104</v>
      </c>
      <c r="Q22" s="20"/>
      <c r="R22" s="20"/>
      <c r="S22" s="20"/>
      <c r="T22" s="20"/>
      <c r="U22" s="20"/>
      <c r="V22" s="21" t="str">
        <f aca="false">"冷凍 "&amp;IFERROR(INDEX(定数マスタ!$S$110:$S$119,MATCH("冷凍品",定数マスタ!$J$110:$J$119,0)),"")&amp;"日 ／ 包材 "&amp;IFERROR(INDEX(定数マスタ!$S$110:$S$119,MATCH("常温包材",定数マスタ!$J$110:$J$119,0)),"")&amp;"日"</f>
        <v>冷凍 2.3日 ／ 包材 7日</v>
      </c>
      <c r="W22" s="21"/>
      <c r="X22" s="21"/>
      <c r="Y22" s="21"/>
      <c r="Z22" s="21"/>
      <c r="AA22" s="21"/>
      <c r="AB22" s="22" t="s">
        <v>105</v>
      </c>
      <c r="AC22" s="22"/>
      <c r="AD22" s="22"/>
      <c r="AE22" s="22"/>
      <c r="AF22" s="22"/>
      <c r="AG22" s="22"/>
      <c r="AH22" s="22" t="s">
        <v>92</v>
      </c>
      <c r="AI22" s="22"/>
      <c r="AJ22" s="22"/>
      <c r="AK22" s="22"/>
      <c r="AL22" s="22"/>
    </row>
    <row r="23" customFormat="false" ht="21.75" hidden="false" customHeight="true" outlineLevel="0" collapsed="false">
      <c r="B23" s="19" t="s">
        <v>106</v>
      </c>
      <c r="C23" s="19"/>
      <c r="D23" s="19"/>
      <c r="E23" s="19"/>
      <c r="F23" s="19"/>
      <c r="G23" s="19"/>
      <c r="H23" s="19"/>
      <c r="I23" s="19"/>
      <c r="J23" s="4" t="s">
        <v>39</v>
      </c>
      <c r="K23" s="4"/>
      <c r="L23" s="4"/>
      <c r="M23" s="4"/>
      <c r="N23" s="4"/>
      <c r="O23" s="4"/>
      <c r="P23" s="20" t="s">
        <v>107</v>
      </c>
      <c r="Q23" s="20"/>
      <c r="R23" s="20"/>
      <c r="S23" s="20"/>
      <c r="T23" s="20"/>
      <c r="U23" s="20"/>
      <c r="V23" s="21" t="str">
        <f aca="false">SUMPRODUCT(--(商品マスタ!$B$6:$B$1005&lt;&gt;""))&amp;" 商品 登録済み"</f>
        <v>132 商品 登録済み</v>
      </c>
      <c r="W23" s="21"/>
      <c r="X23" s="21"/>
      <c r="Y23" s="21"/>
      <c r="Z23" s="21"/>
      <c r="AA23" s="21"/>
      <c r="AB23" s="22" t="s">
        <v>108</v>
      </c>
      <c r="AC23" s="22"/>
      <c r="AD23" s="22"/>
      <c r="AE23" s="22"/>
      <c r="AF23" s="22"/>
      <c r="AG23" s="22"/>
      <c r="AH23" s="22" t="s">
        <v>109</v>
      </c>
      <c r="AI23" s="22"/>
      <c r="AJ23" s="22"/>
      <c r="AK23" s="22"/>
      <c r="AL23" s="22"/>
    </row>
    <row r="24" customFormat="false" ht="21.75" hidden="false" customHeight="true" outlineLevel="0" collapsed="false">
      <c r="B24" s="19" t="s">
        <v>110</v>
      </c>
      <c r="C24" s="19"/>
      <c r="D24" s="19"/>
      <c r="E24" s="19"/>
      <c r="F24" s="19"/>
      <c r="G24" s="19"/>
      <c r="H24" s="19"/>
      <c r="I24" s="19"/>
      <c r="J24" s="4" t="s">
        <v>39</v>
      </c>
      <c r="K24" s="4"/>
      <c r="L24" s="4"/>
      <c r="M24" s="4"/>
      <c r="N24" s="4"/>
      <c r="O24" s="4"/>
      <c r="P24" s="20" t="s">
        <v>107</v>
      </c>
      <c r="Q24" s="20"/>
      <c r="R24" s="20"/>
      <c r="S24" s="20"/>
      <c r="T24" s="20"/>
      <c r="U24" s="20"/>
      <c r="V24" s="21" t="str">
        <f aca="false">SUMPRODUCT(--(商品マスタ!$L$6:$L$1005&lt;&gt;""))&amp;" 商品 設定済み"</f>
        <v>132 商品 設定済み</v>
      </c>
      <c r="W24" s="21"/>
      <c r="X24" s="21"/>
      <c r="Y24" s="21"/>
      <c r="Z24" s="21"/>
      <c r="AA24" s="21"/>
      <c r="AB24" s="22" t="s">
        <v>108</v>
      </c>
      <c r="AC24" s="22"/>
      <c r="AD24" s="22"/>
      <c r="AE24" s="22"/>
      <c r="AF24" s="22"/>
      <c r="AG24" s="22"/>
      <c r="AH24" s="22" t="s">
        <v>109</v>
      </c>
      <c r="AI24" s="22"/>
      <c r="AJ24" s="22"/>
      <c r="AK24" s="22"/>
      <c r="AL24" s="22"/>
    </row>
    <row r="25" customFormat="false" ht="21.75" hidden="false" customHeight="true" outlineLevel="0" collapsed="false">
      <c r="B25" s="26" t="s">
        <v>111</v>
      </c>
      <c r="C25" s="26"/>
      <c r="D25" s="26"/>
      <c r="E25" s="26"/>
      <c r="F25" s="26"/>
      <c r="G25" s="26"/>
      <c r="H25" s="26"/>
      <c r="I25" s="26"/>
      <c r="J25" s="4" t="s">
        <v>39</v>
      </c>
      <c r="K25" s="4"/>
      <c r="L25" s="4"/>
      <c r="M25" s="4"/>
      <c r="N25" s="4"/>
      <c r="O25" s="4"/>
      <c r="P25" s="20" t="s">
        <v>107</v>
      </c>
      <c r="Q25" s="20"/>
      <c r="R25" s="20"/>
      <c r="S25" s="20"/>
      <c r="T25" s="20"/>
      <c r="U25" s="20"/>
      <c r="V25" s="21" t="str">
        <f aca="false">IF('設定（最初に1回）'!$C$9="実績消費","使っていません",SUMPRODUCT(--(商品マスタ!$M$6:$M$1005&lt;&gt;""))&amp;" 商品 設定済み")</f>
        <v>使っていません</v>
      </c>
      <c r="W25" s="21"/>
      <c r="X25" s="21"/>
      <c r="Y25" s="21"/>
      <c r="Z25" s="21"/>
      <c r="AA25" s="21"/>
      <c r="AB25" s="27" t="s">
        <v>112</v>
      </c>
      <c r="AC25" s="27"/>
      <c r="AD25" s="27"/>
      <c r="AE25" s="27"/>
      <c r="AF25" s="27"/>
      <c r="AG25" s="27"/>
      <c r="AH25" s="22" t="s">
        <v>109</v>
      </c>
      <c r="AI25" s="22"/>
      <c r="AJ25" s="22"/>
      <c r="AK25" s="22"/>
      <c r="AL25" s="22"/>
    </row>
    <row r="27" customFormat="false" ht="15" hidden="false" customHeight="true" outlineLevel="0" collapsed="false">
      <c r="B27" s="8" t="s">
        <v>113</v>
      </c>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row>
    <row r="29" customFormat="false" ht="16.4" hidden="false" customHeight="false" outlineLevel="0" collapsed="false">
      <c r="B29" s="17" t="s">
        <v>114</v>
      </c>
    </row>
    <row r="30" customFormat="false" ht="15" hidden="false" customHeight="true" outlineLevel="0" collapsed="false">
      <c r="B30" s="28" t="s">
        <v>115</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row>
    <row r="31" customFormat="false" ht="15" hidden="false" customHeight="true" outlineLevel="0" collapsed="false">
      <c r="B31" s="29" t="s">
        <v>116</v>
      </c>
      <c r="C31" s="29"/>
      <c r="D31" s="29"/>
      <c r="E31" s="29"/>
      <c r="F31" s="30"/>
      <c r="G31" s="30"/>
      <c r="H31" s="30"/>
      <c r="I31" s="30"/>
      <c r="J31" s="30"/>
      <c r="K31" s="30"/>
      <c r="L31" s="30"/>
      <c r="M31" s="30"/>
      <c r="N31" s="30"/>
      <c r="O31" s="30"/>
      <c r="P31" s="30"/>
      <c r="Q31" s="30"/>
      <c r="R31" s="8" t="s">
        <v>117</v>
      </c>
      <c r="S31" s="8"/>
      <c r="T31" s="8"/>
      <c r="U31" s="8"/>
      <c r="V31" s="8"/>
      <c r="W31" s="8"/>
      <c r="X31" s="8"/>
      <c r="Y31" s="8"/>
      <c r="Z31" s="8"/>
      <c r="AA31" s="8"/>
      <c r="AB31" s="8"/>
      <c r="AC31" s="8"/>
      <c r="AD31" s="8"/>
      <c r="AE31" s="8"/>
      <c r="AF31" s="8"/>
      <c r="AG31" s="8"/>
      <c r="AH31" s="8"/>
      <c r="AI31" s="8"/>
      <c r="AJ31" s="8"/>
      <c r="AK31" s="8"/>
      <c r="AL31" s="8"/>
      <c r="AN31" s="31" t="str">
        <f aca="false">IF($F$31="",IFERROR(INDEX(発注計算!$D$6:$D$405,MATCH(MAX(発注計算!$AH$6:$AH$405),発注計算!$AH$6:$AH$405,0)),""),$F$31)</f>
        <v>Ｒｅｉｓｔポップコーン豆</v>
      </c>
    </row>
    <row r="32" customFormat="false" ht="15" hidden="false" customHeight="false" outlineLevel="0" collapsed="false">
      <c r="AN32" s="31" t="n">
        <f aca="false">IFERROR(MATCH($AN$31,発注計算!$D$6:$D$405,0),0)</f>
        <v>40</v>
      </c>
    </row>
    <row r="33" customFormat="false" ht="15" hidden="false" customHeight="true" outlineLevel="0" collapsed="false">
      <c r="B33" s="32"/>
      <c r="C33" s="32"/>
      <c r="D33" s="18" t="s">
        <v>118</v>
      </c>
      <c r="E33" s="18"/>
      <c r="F33" s="18"/>
      <c r="G33" s="18"/>
      <c r="H33" s="18"/>
      <c r="I33" s="18"/>
      <c r="J33" s="18"/>
      <c r="K33" s="18"/>
      <c r="L33" s="18"/>
      <c r="M33" s="18"/>
      <c r="N33" s="18"/>
      <c r="O33" s="18" t="s">
        <v>119</v>
      </c>
      <c r="P33" s="18"/>
      <c r="Q33" s="18"/>
      <c r="R33" s="18"/>
      <c r="S33" s="18"/>
      <c r="T33" s="18" t="s">
        <v>120</v>
      </c>
      <c r="U33" s="18"/>
      <c r="V33" s="18"/>
      <c r="W33" s="18"/>
      <c r="X33" s="18"/>
      <c r="Y33" s="18"/>
      <c r="Z33" s="18"/>
      <c r="AA33" s="18"/>
      <c r="AB33" s="18"/>
      <c r="AC33" s="18"/>
      <c r="AD33" s="18"/>
      <c r="AE33" s="18"/>
      <c r="AF33" s="18"/>
      <c r="AG33" s="18"/>
      <c r="AH33" s="18"/>
      <c r="AI33" s="18"/>
      <c r="AJ33" s="18"/>
      <c r="AK33" s="18"/>
      <c r="AL33" s="18"/>
    </row>
    <row r="34" customFormat="false" ht="21" hidden="false" customHeight="true" outlineLevel="0" collapsed="false">
      <c r="B34" s="33" t="s">
        <v>121</v>
      </c>
      <c r="C34" s="33"/>
      <c r="D34" s="26" t="s">
        <v>122</v>
      </c>
      <c r="E34" s="26"/>
      <c r="F34" s="26"/>
      <c r="G34" s="26"/>
      <c r="H34" s="26"/>
      <c r="I34" s="26"/>
      <c r="J34" s="26"/>
      <c r="K34" s="26"/>
      <c r="L34" s="26"/>
      <c r="M34" s="26"/>
      <c r="N34" s="26"/>
      <c r="O34" s="34" t="n">
        <f aca="false">IF($AN$32=0,"",INDEX(発注計算!$S$6:$S$405,$AN$32))</f>
        <v>3.78688524590164</v>
      </c>
      <c r="P34" s="34"/>
      <c r="Q34" s="34"/>
      <c r="R34" s="34"/>
      <c r="S34" s="34"/>
      <c r="T34" s="16" t="str">
        <f aca="false">IF('設定（最初に1回）'!$C$9="実績消費","①今日の在庫 と 月1回_前回の在庫 の差から計算","商品マスタ の PI値 × 随時_動員を入れる の来場者予測")</f>
        <v>①今日の在庫 と 月1回_前回の在庫 の差から計算</v>
      </c>
      <c r="U34" s="16"/>
      <c r="V34" s="16"/>
      <c r="W34" s="16"/>
      <c r="X34" s="16"/>
      <c r="Y34" s="16"/>
      <c r="Z34" s="16"/>
      <c r="AA34" s="16"/>
      <c r="AB34" s="16"/>
      <c r="AC34" s="16"/>
      <c r="AD34" s="16"/>
      <c r="AE34" s="16"/>
      <c r="AF34" s="16"/>
      <c r="AG34" s="16"/>
      <c r="AH34" s="16"/>
      <c r="AI34" s="16"/>
      <c r="AJ34" s="16"/>
      <c r="AK34" s="16"/>
      <c r="AL34" s="16"/>
    </row>
    <row r="35" customFormat="false" ht="21" hidden="false" customHeight="true" outlineLevel="0" collapsed="false">
      <c r="B35" s="33" t="s">
        <v>121</v>
      </c>
      <c r="C35" s="33"/>
      <c r="D35" s="19" t="s">
        <v>123</v>
      </c>
      <c r="E35" s="19"/>
      <c r="F35" s="19"/>
      <c r="G35" s="19"/>
      <c r="H35" s="19"/>
      <c r="I35" s="19"/>
      <c r="J35" s="19"/>
      <c r="K35" s="19"/>
      <c r="L35" s="19"/>
      <c r="M35" s="19"/>
      <c r="N35" s="19"/>
      <c r="O35" s="35" t="n">
        <f aca="false">IF($AN$32=0,"",INDEX(発注計算!$I$6:$I$405,$AN$32))</f>
        <v>2</v>
      </c>
      <c r="P35" s="35"/>
      <c r="Q35" s="35"/>
      <c r="R35" s="35"/>
      <c r="S35" s="35"/>
      <c r="T35" s="16" t="str">
        <f aca="false">"商品マスタ の L/T日数"</f>
        <v>商品マスタ の L/T日数</v>
      </c>
      <c r="U35" s="16"/>
      <c r="V35" s="16"/>
      <c r="W35" s="16"/>
      <c r="X35" s="16"/>
      <c r="Y35" s="16"/>
      <c r="Z35" s="16"/>
      <c r="AA35" s="16"/>
      <c r="AB35" s="16"/>
      <c r="AC35" s="16"/>
      <c r="AD35" s="16"/>
      <c r="AE35" s="16"/>
      <c r="AF35" s="16"/>
      <c r="AG35" s="16"/>
      <c r="AH35" s="16"/>
      <c r="AI35" s="16"/>
      <c r="AJ35" s="16"/>
      <c r="AK35" s="16"/>
      <c r="AL35" s="16"/>
    </row>
    <row r="36" customFormat="false" ht="21" hidden="false" customHeight="true" outlineLevel="0" collapsed="false">
      <c r="B36" s="33" t="s">
        <v>121</v>
      </c>
      <c r="C36" s="33"/>
      <c r="D36" s="19" t="s">
        <v>124</v>
      </c>
      <c r="E36" s="19"/>
      <c r="F36" s="19"/>
      <c r="G36" s="19"/>
      <c r="H36" s="19"/>
      <c r="I36" s="19"/>
      <c r="J36" s="19"/>
      <c r="K36" s="19"/>
      <c r="L36" s="19"/>
      <c r="M36" s="19"/>
      <c r="N36" s="19"/>
      <c r="O36" s="35" t="n">
        <f aca="false">IF($AN$32=0,"",INDEX(発注計算!$AG$6:$AG$405,$AN$32))</f>
        <v>7</v>
      </c>
      <c r="P36" s="35"/>
      <c r="Q36" s="35"/>
      <c r="R36" s="35"/>
      <c r="S36" s="35"/>
      <c r="T36" s="16" t="str">
        <f aca="false">IF($AN$32=0,"","定数マスタ ⑥発注サイクル　グループ："&amp;INDEX(発注計算!$AF$6:$AF$405,$AN$32))</f>
        <v>定数マスタ ⑥発注サイクル　グループ：その他常温</v>
      </c>
      <c r="U36" s="16"/>
      <c r="V36" s="16"/>
      <c r="W36" s="16"/>
      <c r="X36" s="16"/>
      <c r="Y36" s="16"/>
      <c r="Z36" s="16"/>
      <c r="AA36" s="16"/>
      <c r="AB36" s="16"/>
      <c r="AC36" s="16"/>
      <c r="AD36" s="16"/>
      <c r="AE36" s="16"/>
      <c r="AF36" s="16"/>
      <c r="AG36" s="16"/>
      <c r="AH36" s="16"/>
      <c r="AI36" s="16"/>
      <c r="AJ36" s="16"/>
      <c r="AK36" s="16"/>
      <c r="AL36" s="16"/>
    </row>
    <row r="37" customFormat="false" ht="21" hidden="false" customHeight="true" outlineLevel="0" collapsed="false">
      <c r="B37" s="33" t="s">
        <v>121</v>
      </c>
      <c r="C37" s="33"/>
      <c r="D37" s="19" t="s">
        <v>125</v>
      </c>
      <c r="E37" s="19"/>
      <c r="F37" s="19"/>
      <c r="G37" s="19"/>
      <c r="H37" s="19"/>
      <c r="I37" s="19"/>
      <c r="J37" s="19"/>
      <c r="K37" s="19"/>
      <c r="L37" s="19"/>
      <c r="M37" s="19"/>
      <c r="N37" s="19"/>
      <c r="O37" s="36" t="n">
        <f aca="false">IF($AN$32=0,"",INDEX(発注計算!$U$6:$U$405,$AN$32))</f>
        <v>16</v>
      </c>
      <c r="P37" s="36"/>
      <c r="Q37" s="36"/>
      <c r="R37" s="36"/>
      <c r="S37" s="36"/>
      <c r="T37" s="16" t="str">
        <f aca="false">"定数マスタ ②規模区分 の安全在庫日数 "&amp;TEXT('設定（最初に1回）'!$C$12,"0.0")&amp;"日ぶん"</f>
        <v>定数マスタ ②規模区分 の安全在庫日数 4.0日ぶん</v>
      </c>
      <c r="U37" s="16"/>
      <c r="V37" s="16"/>
      <c r="W37" s="16"/>
      <c r="X37" s="16"/>
      <c r="Y37" s="16"/>
      <c r="Z37" s="16"/>
      <c r="AA37" s="16"/>
      <c r="AB37" s="16"/>
      <c r="AC37" s="16"/>
      <c r="AD37" s="16"/>
      <c r="AE37" s="16"/>
      <c r="AF37" s="16"/>
      <c r="AG37" s="16"/>
      <c r="AH37" s="16"/>
      <c r="AI37" s="16"/>
      <c r="AJ37" s="16"/>
      <c r="AK37" s="16"/>
      <c r="AL37" s="16"/>
    </row>
    <row r="38" customFormat="false" ht="21" hidden="false" customHeight="true" outlineLevel="0" collapsed="false">
      <c r="B38" s="37" t="s">
        <v>126</v>
      </c>
      <c r="C38" s="37"/>
      <c r="D38" s="38" t="s">
        <v>127</v>
      </c>
      <c r="E38" s="38"/>
      <c r="F38" s="38"/>
      <c r="G38" s="38"/>
      <c r="H38" s="38"/>
      <c r="I38" s="38"/>
      <c r="J38" s="38"/>
      <c r="K38" s="38"/>
      <c r="L38" s="38"/>
      <c r="M38" s="38"/>
      <c r="N38" s="38"/>
      <c r="O38" s="39" t="n">
        <f aca="false">IF($AN$32=0,"",INDEX(発注計算!$V$6:$V$405,$AN$32))</f>
        <v>51</v>
      </c>
      <c r="P38" s="39"/>
      <c r="Q38" s="39"/>
      <c r="R38" s="39"/>
      <c r="S38" s="39"/>
      <c r="T38" s="16" t="str">
        <f aca="false">"1日に減る数 ×（届くまで＋次の発注まで）＋ 安全在庫"</f>
        <v>1日に減る数 ×（届くまで＋次の発注まで）＋ 安全在庫</v>
      </c>
      <c r="U38" s="16"/>
      <c r="V38" s="16"/>
      <c r="W38" s="16"/>
      <c r="X38" s="16"/>
      <c r="Y38" s="16"/>
      <c r="Z38" s="16"/>
      <c r="AA38" s="16"/>
      <c r="AB38" s="16"/>
      <c r="AC38" s="16"/>
      <c r="AD38" s="16"/>
      <c r="AE38" s="16"/>
      <c r="AF38" s="16"/>
      <c r="AG38" s="16"/>
      <c r="AH38" s="16"/>
      <c r="AI38" s="16"/>
      <c r="AJ38" s="16"/>
      <c r="AK38" s="16"/>
      <c r="AL38" s="16"/>
    </row>
    <row r="39" customFormat="false" ht="21" hidden="false" customHeight="true" outlineLevel="0" collapsed="false">
      <c r="B39" s="40" t="s">
        <v>128</v>
      </c>
      <c r="C39" s="40"/>
      <c r="D39" s="19" t="s">
        <v>129</v>
      </c>
      <c r="E39" s="19"/>
      <c r="F39" s="19"/>
      <c r="G39" s="19"/>
      <c r="H39" s="19"/>
      <c r="I39" s="19"/>
      <c r="J39" s="19"/>
      <c r="K39" s="19"/>
      <c r="L39" s="19"/>
      <c r="M39" s="19"/>
      <c r="N39" s="19"/>
      <c r="O39" s="36" t="n">
        <f aca="false">IF($AN$32=0,"",INDEX(発注計算!$K$6:$K$405,$AN$32))</f>
        <v>9</v>
      </c>
      <c r="P39" s="36"/>
      <c r="Q39" s="36"/>
      <c r="R39" s="36"/>
      <c r="S39" s="36"/>
      <c r="T39" s="16" t="str">
        <f aca="false">"①今日の在庫を貼る（CSVの総数）"</f>
        <v>①今日の在庫を貼る（CSVの総数）</v>
      </c>
      <c r="U39" s="16"/>
      <c r="V39" s="16"/>
      <c r="W39" s="16"/>
      <c r="X39" s="16"/>
      <c r="Y39" s="16"/>
      <c r="Z39" s="16"/>
      <c r="AA39" s="16"/>
      <c r="AB39" s="16"/>
      <c r="AC39" s="16"/>
      <c r="AD39" s="16"/>
      <c r="AE39" s="16"/>
      <c r="AF39" s="16"/>
      <c r="AG39" s="16"/>
      <c r="AH39" s="16"/>
      <c r="AI39" s="16"/>
      <c r="AJ39" s="16"/>
      <c r="AK39" s="16"/>
      <c r="AL39" s="16"/>
    </row>
    <row r="40" customFormat="false" ht="21" hidden="false" customHeight="true" outlineLevel="0" collapsed="false">
      <c r="B40" s="40" t="s">
        <v>128</v>
      </c>
      <c r="C40" s="40"/>
      <c r="D40" s="19" t="s">
        <v>130</v>
      </c>
      <c r="E40" s="19"/>
      <c r="F40" s="19"/>
      <c r="G40" s="19"/>
      <c r="H40" s="19"/>
      <c r="I40" s="19"/>
      <c r="J40" s="19"/>
      <c r="K40" s="19"/>
      <c r="L40" s="19"/>
      <c r="M40" s="19"/>
      <c r="N40" s="19"/>
      <c r="O40" s="36" t="n">
        <f aca="false">IF($AN$32=0,"",INDEX(発注計算!$W$6:$W$405,$AN$32))</f>
        <v>0</v>
      </c>
      <c r="P40" s="36"/>
      <c r="Q40" s="36"/>
      <c r="R40" s="36"/>
      <c r="S40" s="36"/>
      <c r="T40" s="16" t="str">
        <f aca="false">"発注管理 の 発注済み"</f>
        <v>発注管理 の 発注済み</v>
      </c>
      <c r="U40" s="16"/>
      <c r="V40" s="16"/>
      <c r="W40" s="16"/>
      <c r="X40" s="16"/>
      <c r="Y40" s="16"/>
      <c r="Z40" s="16"/>
      <c r="AA40" s="16"/>
      <c r="AB40" s="16"/>
      <c r="AC40" s="16"/>
      <c r="AD40" s="16"/>
      <c r="AE40" s="16"/>
      <c r="AF40" s="16"/>
      <c r="AG40" s="16"/>
      <c r="AH40" s="16"/>
      <c r="AI40" s="16"/>
      <c r="AJ40" s="16"/>
      <c r="AK40" s="16"/>
      <c r="AL40" s="16"/>
    </row>
    <row r="41" customFormat="false" ht="21" hidden="false" customHeight="true" outlineLevel="0" collapsed="false">
      <c r="B41" s="37" t="s">
        <v>126</v>
      </c>
      <c r="C41" s="37"/>
      <c r="D41" s="38" t="s">
        <v>131</v>
      </c>
      <c r="E41" s="38"/>
      <c r="F41" s="38"/>
      <c r="G41" s="38"/>
      <c r="H41" s="38"/>
      <c r="I41" s="38"/>
      <c r="J41" s="38"/>
      <c r="K41" s="38"/>
      <c r="L41" s="38"/>
      <c r="M41" s="38"/>
      <c r="N41" s="38"/>
      <c r="O41" s="39" t="n">
        <f aca="false">IF($AN$32=0,"",INDEX(発注計算!$X$6:$X$405,$AN$32))</f>
        <v>42</v>
      </c>
      <c r="P41" s="39"/>
      <c r="Q41" s="39"/>
      <c r="R41" s="39"/>
      <c r="S41" s="39"/>
      <c r="T41" s="16" t="str">
        <f aca="false">"持っておくべき数 − いまの在庫 − 発注済み"</f>
        <v>持っておくべき数 − いまの在庫 − 発注済み</v>
      </c>
      <c r="U41" s="16"/>
      <c r="V41" s="16"/>
      <c r="W41" s="16"/>
      <c r="X41" s="16"/>
      <c r="Y41" s="16"/>
      <c r="Z41" s="16"/>
      <c r="AA41" s="16"/>
      <c r="AB41" s="16"/>
      <c r="AC41" s="16"/>
      <c r="AD41" s="16"/>
      <c r="AE41" s="16"/>
      <c r="AF41" s="16"/>
      <c r="AG41" s="16"/>
      <c r="AH41" s="16"/>
      <c r="AI41" s="16"/>
      <c r="AJ41" s="16"/>
      <c r="AK41" s="16"/>
      <c r="AL41" s="16"/>
    </row>
    <row r="42" customFormat="false" ht="21" hidden="false" customHeight="true" outlineLevel="0" collapsed="false">
      <c r="B42" s="41" t="s">
        <v>132</v>
      </c>
      <c r="C42" s="41"/>
      <c r="D42" s="26" t="s">
        <v>133</v>
      </c>
      <c r="E42" s="26"/>
      <c r="F42" s="26"/>
      <c r="G42" s="26"/>
      <c r="H42" s="26"/>
      <c r="I42" s="26"/>
      <c r="J42" s="26"/>
      <c r="K42" s="26"/>
      <c r="L42" s="26"/>
      <c r="M42" s="26"/>
      <c r="N42" s="26"/>
      <c r="O42" s="36" t="n">
        <f aca="false">IF($AN$32=0,"",INDEX(発注計算!$G$6:$G$405,$AN$32))</f>
        <v>1</v>
      </c>
      <c r="P42" s="36"/>
      <c r="Q42" s="36"/>
      <c r="R42" s="36"/>
      <c r="S42" s="36"/>
      <c r="T42" s="16" t="str">
        <f aca="false">"商品マスタ の 入数"</f>
        <v>商品マスタ の 入数</v>
      </c>
      <c r="U42" s="16"/>
      <c r="V42" s="16"/>
      <c r="W42" s="16"/>
      <c r="X42" s="16"/>
      <c r="Y42" s="16"/>
      <c r="Z42" s="16"/>
      <c r="AA42" s="16"/>
      <c r="AB42" s="16"/>
      <c r="AC42" s="16"/>
      <c r="AD42" s="16"/>
      <c r="AE42" s="16"/>
      <c r="AF42" s="16"/>
      <c r="AG42" s="16"/>
      <c r="AH42" s="16"/>
      <c r="AI42" s="16"/>
      <c r="AJ42" s="16"/>
      <c r="AK42" s="16"/>
      <c r="AL42" s="16"/>
    </row>
    <row r="43" customFormat="false" ht="21" hidden="false" customHeight="true" outlineLevel="0" collapsed="false">
      <c r="B43" s="37" t="s">
        <v>126</v>
      </c>
      <c r="C43" s="37"/>
      <c r="D43" s="38" t="s">
        <v>134</v>
      </c>
      <c r="E43" s="38"/>
      <c r="F43" s="38"/>
      <c r="G43" s="38"/>
      <c r="H43" s="38"/>
      <c r="I43" s="38"/>
      <c r="J43" s="38"/>
      <c r="K43" s="38"/>
      <c r="L43" s="38"/>
      <c r="M43" s="38"/>
      <c r="N43" s="38"/>
      <c r="O43" s="39" t="n">
        <f aca="false">IF($AN$32=0,"",INDEX(発注計算!$Y$6:$Y$405,$AN$32))</f>
        <v>42</v>
      </c>
      <c r="P43" s="39"/>
      <c r="Q43" s="39"/>
      <c r="R43" s="39"/>
      <c r="S43" s="39"/>
      <c r="T43" s="16" t="str">
        <f aca="false">"足りない数 ÷ 入数 を切り上げ。最低ロットの単位に丸めます"</f>
        <v>足りない数 ÷ 入数 を切り上げ。最低ロットの単位に丸めます</v>
      </c>
      <c r="U43" s="16"/>
      <c r="V43" s="16"/>
      <c r="W43" s="16"/>
      <c r="X43" s="16"/>
      <c r="Y43" s="16"/>
      <c r="Z43" s="16"/>
      <c r="AA43" s="16"/>
      <c r="AB43" s="16"/>
      <c r="AC43" s="16"/>
      <c r="AD43" s="16"/>
      <c r="AE43" s="16"/>
      <c r="AF43" s="16"/>
      <c r="AG43" s="16"/>
      <c r="AH43" s="16"/>
      <c r="AI43" s="16"/>
      <c r="AJ43" s="16"/>
      <c r="AK43" s="16"/>
      <c r="AL43" s="16"/>
    </row>
    <row r="45" customFormat="false" ht="15" hidden="false" customHeight="false" outlineLevel="0" collapsed="false">
      <c r="B45" s="9" t="s">
        <v>135</v>
      </c>
      <c r="AN45" s="31" t="n">
        <f aca="false">IF($AN$32=0,0,N(INDEX(発注計算!$V$6:$V$405,$AN$32)))</f>
        <v>51</v>
      </c>
    </row>
    <row r="46" customFormat="false" ht="15" hidden="false" customHeight="true" outlineLevel="0" collapsed="false">
      <c r="B46" s="8" t="s">
        <v>136</v>
      </c>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N46" s="31" t="n">
        <f aca="false">IF($AN$32=0,0,MAX(0,N(INDEX(発注計算!$K$6:$K$405,$AN$32))))</f>
        <v>9</v>
      </c>
    </row>
    <row r="47" customFormat="false" ht="15" hidden="false" customHeight="false" outlineLevel="0" collapsed="false">
      <c r="AN47" s="31" t="n">
        <f aca="false">IF($AN$32=0,0,N(INDEX(発注計算!$W$6:$W$405,$AN$32)))</f>
        <v>0</v>
      </c>
    </row>
    <row r="48" customFormat="false" ht="25.5" hidden="false" customHeight="true" outlineLevel="0" collapsed="false">
      <c r="B48" s="42" t="n">
        <v>1</v>
      </c>
      <c r="C48" s="42" t="n">
        <v>2</v>
      </c>
      <c r="D48" s="42" t="n">
        <v>3</v>
      </c>
      <c r="E48" s="42" t="n">
        <v>4</v>
      </c>
      <c r="F48" s="42" t="n">
        <v>5</v>
      </c>
      <c r="G48" s="42" t="n">
        <v>6</v>
      </c>
      <c r="H48" s="42" t="n">
        <v>7</v>
      </c>
      <c r="I48" s="42" t="n">
        <v>8</v>
      </c>
      <c r="J48" s="42" t="n">
        <v>9</v>
      </c>
      <c r="K48" s="42" t="n">
        <v>10</v>
      </c>
      <c r="L48" s="42" t="n">
        <v>11</v>
      </c>
      <c r="M48" s="42" t="n">
        <v>12</v>
      </c>
      <c r="N48" s="42" t="n">
        <v>13</v>
      </c>
      <c r="O48" s="42" t="n">
        <v>14</v>
      </c>
      <c r="P48" s="42" t="n">
        <v>15</v>
      </c>
      <c r="Q48" s="42" t="n">
        <v>16</v>
      </c>
      <c r="R48" s="42" t="n">
        <v>17</v>
      </c>
      <c r="S48" s="42" t="n">
        <v>18</v>
      </c>
      <c r="T48" s="42" t="n">
        <v>19</v>
      </c>
      <c r="U48" s="42" t="n">
        <v>20</v>
      </c>
      <c r="V48" s="42" t="n">
        <v>21</v>
      </c>
      <c r="W48" s="42" t="n">
        <v>22</v>
      </c>
      <c r="X48" s="42" t="n">
        <v>23</v>
      </c>
      <c r="Y48" s="42" t="n">
        <v>24</v>
      </c>
      <c r="Z48" s="42" t="n">
        <v>25</v>
      </c>
      <c r="AA48" s="42" t="n">
        <v>26</v>
      </c>
      <c r="AB48" s="42" t="n">
        <v>27</v>
      </c>
      <c r="AC48" s="42" t="n">
        <v>28</v>
      </c>
      <c r="AD48" s="42" t="n">
        <v>29</v>
      </c>
      <c r="AE48" s="42" t="n">
        <v>30</v>
      </c>
      <c r="AF48" s="42" t="n">
        <v>31</v>
      </c>
      <c r="AG48" s="42" t="n">
        <v>32</v>
      </c>
      <c r="AH48" s="42" t="n">
        <v>33</v>
      </c>
      <c r="AI48" s="42" t="n">
        <v>34</v>
      </c>
      <c r="AJ48" s="42" t="n">
        <v>35</v>
      </c>
      <c r="AK48" s="42" t="n">
        <v>36</v>
      </c>
      <c r="AN48" s="31" t="n">
        <f aca="false">IF($AN$45&lt;=0,36,MIN(36,ROUND($AN$46/$AN$45*36,0)))</f>
        <v>6</v>
      </c>
    </row>
    <row r="49" customFormat="false" ht="15" hidden="false" customHeight="true" outlineLevel="0" collapsed="false">
      <c r="B49" s="43"/>
      <c r="C49" s="8" t="s">
        <v>137</v>
      </c>
      <c r="D49" s="8"/>
      <c r="E49" s="8"/>
      <c r="F49" s="8"/>
      <c r="G49" s="8"/>
      <c r="H49" s="8"/>
      <c r="J49" s="44"/>
      <c r="K49" s="8" t="s">
        <v>138</v>
      </c>
      <c r="L49" s="8"/>
      <c r="M49" s="8"/>
      <c r="N49" s="8"/>
      <c r="O49" s="8"/>
      <c r="P49" s="8"/>
      <c r="R49" s="45"/>
      <c r="S49" s="8" t="s">
        <v>139</v>
      </c>
      <c r="T49" s="8"/>
      <c r="U49" s="8"/>
      <c r="V49" s="8"/>
      <c r="W49" s="8"/>
      <c r="X49" s="8"/>
      <c r="Z49" s="46" t="s">
        <v>140</v>
      </c>
      <c r="AA49" s="46"/>
      <c r="AB49" s="46"/>
      <c r="AC49" s="46"/>
      <c r="AD49" s="46"/>
      <c r="AE49" s="46"/>
      <c r="AF49" s="46"/>
      <c r="AG49" s="46"/>
      <c r="AH49" s="46"/>
      <c r="AI49" s="46"/>
      <c r="AJ49" s="46"/>
      <c r="AK49" s="46"/>
      <c r="AL49" s="46"/>
      <c r="AN49" s="31" t="n">
        <f aca="false">IF($AN$45&lt;=0,36,MIN(36,ROUND(($AN$46+$AN$47)/$AN$45*36,0)))</f>
        <v>6</v>
      </c>
    </row>
    <row r="51" customFormat="false" ht="15" hidden="false" customHeight="false" outlineLevel="0" collapsed="false">
      <c r="B51" s="9" t="s">
        <v>141</v>
      </c>
    </row>
    <row r="52" customFormat="false" ht="15" hidden="false" customHeight="true" outlineLevel="0" collapsed="false">
      <c r="B52" s="47" t="s">
        <v>142</v>
      </c>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row>
    <row r="53" customFormat="false" ht="15" hidden="false" customHeight="true" outlineLevel="0" collapsed="false">
      <c r="B53" s="48" t="s">
        <v>143</v>
      </c>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row>
    <row r="54" customFormat="false" ht="15" hidden="false" customHeight="false" outlineLevel="0" collapsed="false">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row>
    <row r="56" customFormat="false" ht="15" hidden="false" customHeight="true" outlineLevel="0" collapsed="false">
      <c r="B56" s="47" t="s">
        <v>144</v>
      </c>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row>
    <row r="57" customFormat="false" ht="15" hidden="false" customHeight="true" outlineLevel="0" collapsed="false">
      <c r="B57" s="48" t="s">
        <v>145</v>
      </c>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row>
    <row r="58" customFormat="false" ht="15" hidden="false" customHeight="false" outlineLevel="0" collapsed="false">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row>
    <row r="60" customFormat="false" ht="15" hidden="false" customHeight="true" outlineLevel="0" collapsed="false">
      <c r="B60" s="47" t="s">
        <v>146</v>
      </c>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row>
    <row r="61" customFormat="false" ht="15" hidden="false" customHeight="true" outlineLevel="0" collapsed="false">
      <c r="B61" s="48" t="s">
        <v>147</v>
      </c>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row>
    <row r="62" customFormat="false" ht="15" hidden="false" customHeight="false" outlineLevel="0" collapsed="false">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row>
  </sheetData>
  <mergeCells count="143">
    <mergeCell ref="B2:N2"/>
    <mergeCell ref="B3:AL3"/>
    <mergeCell ref="B6:L6"/>
    <mergeCell ref="M6:N11"/>
    <mergeCell ref="O6:Y6"/>
    <mergeCell ref="Z6:AA11"/>
    <mergeCell ref="AB6:AL6"/>
    <mergeCell ref="B7:L9"/>
    <mergeCell ref="O7:Y9"/>
    <mergeCell ref="AB7:AL9"/>
    <mergeCell ref="B10:L10"/>
    <mergeCell ref="O10:Y10"/>
    <mergeCell ref="AB10:AL10"/>
    <mergeCell ref="B11:L11"/>
    <mergeCell ref="O11:Y11"/>
    <mergeCell ref="AB11:AL11"/>
    <mergeCell ref="B14:AL14"/>
    <mergeCell ref="B15:I15"/>
    <mergeCell ref="J15:O15"/>
    <mergeCell ref="P15:U15"/>
    <mergeCell ref="V15:AA15"/>
    <mergeCell ref="AB15:AG15"/>
    <mergeCell ref="AH15:AL15"/>
    <mergeCell ref="B16:I16"/>
    <mergeCell ref="J16:O16"/>
    <mergeCell ref="P16:U16"/>
    <mergeCell ref="V16:AA16"/>
    <mergeCell ref="AB16:AG16"/>
    <mergeCell ref="AH16:AL16"/>
    <mergeCell ref="B17:I17"/>
    <mergeCell ref="J17:O17"/>
    <mergeCell ref="P17:U17"/>
    <mergeCell ref="V17:AA17"/>
    <mergeCell ref="AB17:AG17"/>
    <mergeCell ref="AH17:AL17"/>
    <mergeCell ref="B18:I18"/>
    <mergeCell ref="J18:O18"/>
    <mergeCell ref="P18:U18"/>
    <mergeCell ref="V18:AA18"/>
    <mergeCell ref="AB18:AG18"/>
    <mergeCell ref="AH18:AL18"/>
    <mergeCell ref="B19:I19"/>
    <mergeCell ref="J19:O19"/>
    <mergeCell ref="P19:U19"/>
    <mergeCell ref="V19:AA19"/>
    <mergeCell ref="AB19:AG19"/>
    <mergeCell ref="AH19:AL19"/>
    <mergeCell ref="B20:I20"/>
    <mergeCell ref="J20:O20"/>
    <mergeCell ref="P20:U20"/>
    <mergeCell ref="V20:AA20"/>
    <mergeCell ref="AB20:AG20"/>
    <mergeCell ref="AH20:AL20"/>
    <mergeCell ref="B21:I21"/>
    <mergeCell ref="J21:O21"/>
    <mergeCell ref="P21:U21"/>
    <mergeCell ref="V21:AA21"/>
    <mergeCell ref="AB21:AG21"/>
    <mergeCell ref="AH21:AL21"/>
    <mergeCell ref="B22:I22"/>
    <mergeCell ref="J22:O22"/>
    <mergeCell ref="P22:U22"/>
    <mergeCell ref="V22:AA22"/>
    <mergeCell ref="AB22:AG22"/>
    <mergeCell ref="AH22:AL22"/>
    <mergeCell ref="B23:I23"/>
    <mergeCell ref="J23:O23"/>
    <mergeCell ref="P23:U23"/>
    <mergeCell ref="V23:AA23"/>
    <mergeCell ref="AB23:AG23"/>
    <mergeCell ref="AH23:AL23"/>
    <mergeCell ref="B24:I24"/>
    <mergeCell ref="J24:O24"/>
    <mergeCell ref="P24:U24"/>
    <mergeCell ref="V24:AA24"/>
    <mergeCell ref="AB24:AG24"/>
    <mergeCell ref="AH24:AL24"/>
    <mergeCell ref="B25:I25"/>
    <mergeCell ref="J25:O25"/>
    <mergeCell ref="P25:U25"/>
    <mergeCell ref="V25:AA25"/>
    <mergeCell ref="AB25:AG25"/>
    <mergeCell ref="AH25:AL25"/>
    <mergeCell ref="B27:AL27"/>
    <mergeCell ref="B30:AL30"/>
    <mergeCell ref="B31:E31"/>
    <mergeCell ref="F31:Q31"/>
    <mergeCell ref="R31:AL31"/>
    <mergeCell ref="B33:C33"/>
    <mergeCell ref="D33:N33"/>
    <mergeCell ref="O33:S33"/>
    <mergeCell ref="T33:AL33"/>
    <mergeCell ref="B34:C34"/>
    <mergeCell ref="D34:N34"/>
    <mergeCell ref="O34:S34"/>
    <mergeCell ref="T34:AL34"/>
    <mergeCell ref="B35:C35"/>
    <mergeCell ref="D35:N35"/>
    <mergeCell ref="O35:S35"/>
    <mergeCell ref="T35:AL35"/>
    <mergeCell ref="B36:C36"/>
    <mergeCell ref="D36:N36"/>
    <mergeCell ref="O36:S36"/>
    <mergeCell ref="T36:AL36"/>
    <mergeCell ref="B37:C37"/>
    <mergeCell ref="D37:N37"/>
    <mergeCell ref="O37:S37"/>
    <mergeCell ref="T37:AL37"/>
    <mergeCell ref="B38:C38"/>
    <mergeCell ref="D38:N38"/>
    <mergeCell ref="O38:S38"/>
    <mergeCell ref="T38:AL38"/>
    <mergeCell ref="B39:C39"/>
    <mergeCell ref="D39:N39"/>
    <mergeCell ref="O39:S39"/>
    <mergeCell ref="T39:AL39"/>
    <mergeCell ref="B40:C40"/>
    <mergeCell ref="D40:N40"/>
    <mergeCell ref="O40:S40"/>
    <mergeCell ref="T40:AL40"/>
    <mergeCell ref="B41:C41"/>
    <mergeCell ref="D41:N41"/>
    <mergeCell ref="O41:S41"/>
    <mergeCell ref="T41:AL41"/>
    <mergeCell ref="B42:C42"/>
    <mergeCell ref="D42:N42"/>
    <mergeCell ref="O42:S42"/>
    <mergeCell ref="T42:AL42"/>
    <mergeCell ref="B43:C43"/>
    <mergeCell ref="D43:N43"/>
    <mergeCell ref="O43:S43"/>
    <mergeCell ref="T43:AL43"/>
    <mergeCell ref="B46:AL46"/>
    <mergeCell ref="C49:H49"/>
    <mergeCell ref="K49:P49"/>
    <mergeCell ref="S49:X49"/>
    <mergeCell ref="Z49:AL49"/>
    <mergeCell ref="B52:AL52"/>
    <mergeCell ref="B53:AL54"/>
    <mergeCell ref="B56:AL56"/>
    <mergeCell ref="B57:AL58"/>
    <mergeCell ref="B60:AL60"/>
    <mergeCell ref="B61:AL62"/>
  </mergeCells>
  <conditionalFormatting sqref="B48:AK48">
    <cfRule type="expression" priority="2" aboveAverage="0" equalAverage="0" bottom="0" percent="0" rank="0" text="" dxfId="0">
      <formula>B48&lt;=$AN$48</formula>
    </cfRule>
    <cfRule type="expression" priority="3" aboveAverage="0" equalAverage="0" bottom="0" percent="0" rank="0" text="" dxfId="1">
      <formula>B48&lt;=$AN$49</formula>
    </cfRule>
    <cfRule type="expression" priority="4" aboveAverage="0" equalAverage="0" bottom="0" percent="0" rank="0" text="" dxfId="2">
      <formula>B48&lt;=36</formula>
    </cfRule>
  </conditionalFormatting>
  <dataValidations count="1">
    <dataValidation allowBlank="true" errorStyle="stop" operator="between" showDropDown="false" showErrorMessage="false" showInputMessage="false" sqref="F31" type="list">
      <formula1>発注計算!$D$6:$D$405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8B44A"/>
    <pageSetUpPr fitToPage="false"/>
  </sheetPr>
  <dimension ref="A2:U100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0"/>
    <col collapsed="false" customWidth="true" hidden="false" outlineLevel="0" max="5" min="5" style="0" width="26"/>
    <col collapsed="false" customWidth="true" hidden="false" outlineLevel="0" max="9" min="8" style="0" width="16"/>
    <col collapsed="false" customWidth="true" hidden="false" outlineLevel="0" max="10" min="10" style="0" width="30"/>
    <col collapsed="false" customWidth="true" hidden="false" outlineLevel="0" max="21" min="21" style="0" width="11"/>
  </cols>
  <sheetData>
    <row r="2" customFormat="false" ht="24" hidden="false" customHeight="true" outlineLevel="0" collapsed="false">
      <c r="B2" s="1" t="s">
        <v>148</v>
      </c>
      <c r="H2" s="49" t="str">
        <f aca="false">IF(COUNTIF($B$6:$B$10005,'設定（最初に1回）'!$C$4)=0,"✖ まだ貼れていません","✔ "&amp;COUNTIF($B$6:$B$10005,'設定（最初に1回）'!$C$4)&amp;"行 読み込めました")</f>
        <v>✔ 134行 読み込めました</v>
      </c>
    </row>
    <row r="3" customFormat="false" ht="15" hidden="false" customHeight="false" outlineLevel="0" collapsed="false">
      <c r="B3" s="31" t="s">
        <v>149</v>
      </c>
      <c r="H3" s="31" t="str">
        <f aca="false">IF(COUNTIF($B$6:$B$10005,'設定（最初に1回）'!$C$4)=0,"CSVの見出し行を除いたデータを A6 セルに貼り付けてください。貼ったのに0のままなら、劇場コードが数値になっています。","対象劇場：" &amp; '設定（最初に1回）'!$C$4 &amp; "　" &amp; '設定（最初に1回）'!$C$5)</f>
        <v>対象劇場：0761　新宿</v>
      </c>
    </row>
    <row r="4" customFormat="false" ht="15" hidden="false" customHeight="false" outlineLevel="0" collapsed="false">
      <c r="B4" s="50" t="s">
        <v>150</v>
      </c>
    </row>
    <row r="5" customFormat="false" ht="26.85" hidden="false" customHeight="false" outlineLevel="0" collapsed="false">
      <c r="A5" s="51" t="s">
        <v>151</v>
      </c>
      <c r="B5" s="51" t="s">
        <v>152</v>
      </c>
      <c r="C5" s="51" t="s">
        <v>153</v>
      </c>
      <c r="D5" s="51" t="s">
        <v>154</v>
      </c>
      <c r="E5" s="51" t="s">
        <v>155</v>
      </c>
      <c r="F5" s="51" t="s">
        <v>156</v>
      </c>
      <c r="G5" s="51" t="s">
        <v>157</v>
      </c>
      <c r="H5" s="51" t="s">
        <v>158</v>
      </c>
      <c r="I5" s="51" t="s">
        <v>159</v>
      </c>
      <c r="J5" s="51" t="s">
        <v>160</v>
      </c>
      <c r="K5" s="51" t="s">
        <v>161</v>
      </c>
      <c r="L5" s="51" t="s">
        <v>162</v>
      </c>
      <c r="M5" s="51" t="s">
        <v>163</v>
      </c>
      <c r="N5" s="51" t="s">
        <v>164</v>
      </c>
      <c r="O5" s="51" t="s">
        <v>165</v>
      </c>
      <c r="P5" s="51" t="s">
        <v>166</v>
      </c>
      <c r="Q5" s="51" t="s">
        <v>167</v>
      </c>
      <c r="R5" s="51" t="s">
        <v>168</v>
      </c>
      <c r="S5" s="51" t="s">
        <v>169</v>
      </c>
      <c r="U5" s="52" t="s">
        <v>170</v>
      </c>
    </row>
    <row r="6" customFormat="false" ht="15" hidden="false" customHeight="false" outlineLevel="0" collapsed="false">
      <c r="A6" s="0" t="n">
        <v>20260501</v>
      </c>
      <c r="B6" s="53" t="s">
        <v>171</v>
      </c>
      <c r="C6" s="54" t="s">
        <v>172</v>
      </c>
      <c r="D6" s="55" t="s">
        <v>173</v>
      </c>
      <c r="E6" s="54" t="s">
        <v>174</v>
      </c>
      <c r="F6" s="55" t="s">
        <v>175</v>
      </c>
      <c r="G6" s="55" t="s">
        <v>176</v>
      </c>
      <c r="H6" s="54" t="s">
        <v>177</v>
      </c>
      <c r="I6" s="53" t="s">
        <v>178</v>
      </c>
      <c r="J6" s="54" t="s">
        <v>179</v>
      </c>
      <c r="K6" s="0" t="n">
        <v>1</v>
      </c>
      <c r="L6" s="0" t="n">
        <v>4</v>
      </c>
      <c r="M6" s="0" t="n">
        <v>0</v>
      </c>
      <c r="N6" s="0" t="n">
        <v>4</v>
      </c>
      <c r="P6" s="0" t="n">
        <v>0</v>
      </c>
      <c r="Q6" s="0" t="n">
        <v>11300</v>
      </c>
      <c r="R6" s="54" t="s">
        <v>180</v>
      </c>
      <c r="S6" s="0" t="n">
        <v>0.1</v>
      </c>
      <c r="U6" s="31" t="n">
        <f aca="false">IF($B6='設定（最初に1回）'!$C$4,N(U5)+1,N(U5))</f>
        <v>1</v>
      </c>
    </row>
    <row r="7" customFormat="false" ht="15" hidden="false" customHeight="false" outlineLevel="0" collapsed="false">
      <c r="A7" s="0" t="n">
        <v>20260501</v>
      </c>
      <c r="B7" s="53" t="s">
        <v>171</v>
      </c>
      <c r="C7" s="54" t="s">
        <v>172</v>
      </c>
      <c r="D7" s="55" t="s">
        <v>173</v>
      </c>
      <c r="E7" s="54" t="s">
        <v>174</v>
      </c>
      <c r="F7" s="55" t="s">
        <v>175</v>
      </c>
      <c r="G7" s="55" t="s">
        <v>176</v>
      </c>
      <c r="H7" s="54" t="s">
        <v>177</v>
      </c>
      <c r="I7" s="53" t="s">
        <v>181</v>
      </c>
      <c r="J7" s="54" t="s">
        <v>182</v>
      </c>
      <c r="K7" s="0" t="n">
        <v>24</v>
      </c>
      <c r="L7" s="0" t="n">
        <v>0</v>
      </c>
      <c r="M7" s="0" t="n">
        <v>0</v>
      </c>
      <c r="N7" s="0" t="n">
        <v>0</v>
      </c>
      <c r="P7" s="0" t="n">
        <v>0</v>
      </c>
      <c r="Q7" s="0" t="n">
        <v>587</v>
      </c>
      <c r="R7" s="54" t="s">
        <v>180</v>
      </c>
      <c r="S7" s="0" t="n">
        <v>0.1</v>
      </c>
      <c r="U7" s="31" t="n">
        <f aca="false">IF($B7='設定（最初に1回）'!$C$4,N(U6)+1,N(U6))</f>
        <v>2</v>
      </c>
    </row>
    <row r="8" customFormat="false" ht="15" hidden="false" customHeight="false" outlineLevel="0" collapsed="false">
      <c r="A8" s="0" t="n">
        <v>20260501</v>
      </c>
      <c r="B8" s="53" t="s">
        <v>171</v>
      </c>
      <c r="C8" s="54" t="s">
        <v>172</v>
      </c>
      <c r="D8" s="55" t="s">
        <v>173</v>
      </c>
      <c r="E8" s="54" t="s">
        <v>174</v>
      </c>
      <c r="F8" s="55" t="s">
        <v>175</v>
      </c>
      <c r="G8" s="55" t="s">
        <v>176</v>
      </c>
      <c r="H8" s="54" t="s">
        <v>177</v>
      </c>
      <c r="I8" s="53" t="s">
        <v>183</v>
      </c>
      <c r="J8" s="54" t="s">
        <v>184</v>
      </c>
      <c r="K8" s="0" t="n">
        <v>48</v>
      </c>
      <c r="L8" s="0" t="n">
        <v>0</v>
      </c>
      <c r="M8" s="0" t="n">
        <v>10</v>
      </c>
      <c r="N8" s="0" t="n">
        <v>10</v>
      </c>
      <c r="P8" s="0" t="n">
        <v>0</v>
      </c>
      <c r="Q8" s="0" t="n">
        <v>357</v>
      </c>
      <c r="R8" s="54" t="s">
        <v>180</v>
      </c>
      <c r="S8" s="0" t="n">
        <v>0.1</v>
      </c>
      <c r="U8" s="31" t="n">
        <f aca="false">IF($B8='設定（最初に1回）'!$C$4,N(U7)+1,N(U7))</f>
        <v>3</v>
      </c>
    </row>
    <row r="9" customFormat="false" ht="15" hidden="false" customHeight="false" outlineLevel="0" collapsed="false">
      <c r="A9" s="0" t="n">
        <v>20260501</v>
      </c>
      <c r="B9" s="53" t="s">
        <v>171</v>
      </c>
      <c r="C9" s="54" t="s">
        <v>172</v>
      </c>
      <c r="D9" s="55" t="s">
        <v>173</v>
      </c>
      <c r="E9" s="54" t="s">
        <v>174</v>
      </c>
      <c r="F9" s="55" t="s">
        <v>175</v>
      </c>
      <c r="G9" s="55" t="s">
        <v>176</v>
      </c>
      <c r="H9" s="54" t="s">
        <v>177</v>
      </c>
      <c r="I9" s="53" t="s">
        <v>185</v>
      </c>
      <c r="J9" s="54" t="s">
        <v>186</v>
      </c>
      <c r="K9" s="0" t="n">
        <v>48</v>
      </c>
      <c r="L9" s="0" t="n">
        <v>0</v>
      </c>
      <c r="M9" s="0" t="n">
        <v>3</v>
      </c>
      <c r="N9" s="0" t="n">
        <v>3</v>
      </c>
      <c r="P9" s="0" t="n">
        <v>0</v>
      </c>
      <c r="Q9" s="0" t="n">
        <v>357</v>
      </c>
      <c r="R9" s="54" t="s">
        <v>180</v>
      </c>
      <c r="S9" s="0" t="n">
        <v>0.1</v>
      </c>
      <c r="U9" s="31" t="n">
        <f aca="false">IF($B9='設定（最初に1回）'!$C$4,N(U8)+1,N(U8))</f>
        <v>4</v>
      </c>
    </row>
    <row r="10" customFormat="false" ht="15" hidden="false" customHeight="false" outlineLevel="0" collapsed="false">
      <c r="A10" s="0" t="n">
        <v>20260501</v>
      </c>
      <c r="B10" s="53" t="s">
        <v>171</v>
      </c>
      <c r="C10" s="54" t="s">
        <v>172</v>
      </c>
      <c r="D10" s="55" t="s">
        <v>173</v>
      </c>
      <c r="E10" s="54" t="s">
        <v>174</v>
      </c>
      <c r="F10" s="55" t="s">
        <v>175</v>
      </c>
      <c r="G10" s="55" t="s">
        <v>176</v>
      </c>
      <c r="H10" s="54" t="s">
        <v>177</v>
      </c>
      <c r="I10" s="53" t="s">
        <v>187</v>
      </c>
      <c r="J10" s="54" t="s">
        <v>188</v>
      </c>
      <c r="K10" s="0" t="n">
        <v>24</v>
      </c>
      <c r="L10" s="0" t="n">
        <v>2</v>
      </c>
      <c r="M10" s="0" t="n">
        <v>19</v>
      </c>
      <c r="N10" s="0" t="n">
        <v>67</v>
      </c>
      <c r="P10" s="0" t="n">
        <v>0</v>
      </c>
      <c r="Q10" s="0" t="n">
        <v>585</v>
      </c>
      <c r="R10" s="54" t="s">
        <v>180</v>
      </c>
      <c r="S10" s="0" t="n">
        <v>0.1</v>
      </c>
      <c r="U10" s="31" t="n">
        <f aca="false">IF($B10='設定（最初に1回）'!$C$4,N(U9)+1,N(U9))</f>
        <v>5</v>
      </c>
    </row>
    <row r="11" customFormat="false" ht="15" hidden="false" customHeight="false" outlineLevel="0" collapsed="false">
      <c r="A11" s="0" t="n">
        <v>20260501</v>
      </c>
      <c r="B11" s="53" t="s">
        <v>171</v>
      </c>
      <c r="C11" s="54" t="s">
        <v>172</v>
      </c>
      <c r="D11" s="55" t="s">
        <v>173</v>
      </c>
      <c r="E11" s="54" t="s">
        <v>174</v>
      </c>
      <c r="F11" s="55" t="s">
        <v>175</v>
      </c>
      <c r="G11" s="55" t="s">
        <v>176</v>
      </c>
      <c r="H11" s="54" t="s">
        <v>177</v>
      </c>
      <c r="I11" s="53" t="s">
        <v>189</v>
      </c>
      <c r="J11" s="54" t="s">
        <v>190</v>
      </c>
      <c r="K11" s="0" t="n">
        <v>30</v>
      </c>
      <c r="L11" s="0" t="n">
        <v>6</v>
      </c>
      <c r="M11" s="0" t="n">
        <v>2</v>
      </c>
      <c r="N11" s="0" t="n">
        <v>182</v>
      </c>
      <c r="P11" s="0" t="n">
        <v>0</v>
      </c>
      <c r="Q11" s="0" t="n">
        <v>118</v>
      </c>
      <c r="R11" s="54" t="s">
        <v>180</v>
      </c>
      <c r="S11" s="0" t="n">
        <v>0.1</v>
      </c>
      <c r="U11" s="31" t="n">
        <f aca="false">IF($B11='設定（最初に1回）'!$C$4,N(U10)+1,N(U10))</f>
        <v>6</v>
      </c>
    </row>
    <row r="12" customFormat="false" ht="15" hidden="false" customHeight="false" outlineLevel="0" collapsed="false">
      <c r="A12" s="0" t="n">
        <v>20260501</v>
      </c>
      <c r="B12" s="53" t="s">
        <v>171</v>
      </c>
      <c r="C12" s="54" t="s">
        <v>172</v>
      </c>
      <c r="D12" s="55" t="s">
        <v>191</v>
      </c>
      <c r="E12" s="54" t="s">
        <v>192</v>
      </c>
      <c r="F12" s="55" t="s">
        <v>175</v>
      </c>
      <c r="G12" s="55" t="s">
        <v>175</v>
      </c>
      <c r="H12" s="54" t="s">
        <v>193</v>
      </c>
      <c r="I12" s="53" t="s">
        <v>194</v>
      </c>
      <c r="J12" s="54" t="s">
        <v>195</v>
      </c>
      <c r="K12" s="0" t="n">
        <v>1</v>
      </c>
      <c r="L12" s="0" t="n">
        <v>2</v>
      </c>
      <c r="M12" s="0" t="n">
        <v>0</v>
      </c>
      <c r="N12" s="0" t="n">
        <v>2</v>
      </c>
      <c r="P12" s="0" t="n">
        <v>0</v>
      </c>
      <c r="Q12" s="0" t="n">
        <v>3756</v>
      </c>
      <c r="R12" s="54" t="s">
        <v>180</v>
      </c>
      <c r="S12" s="0" t="n">
        <v>0.08</v>
      </c>
      <c r="U12" s="31" t="n">
        <f aca="false">IF($B12='設定（最初に1回）'!$C$4,N(U11)+1,N(U11))</f>
        <v>7</v>
      </c>
    </row>
    <row r="13" customFormat="false" ht="15" hidden="false" customHeight="false" outlineLevel="0" collapsed="false">
      <c r="A13" s="0" t="n">
        <v>20260501</v>
      </c>
      <c r="B13" s="53" t="s">
        <v>171</v>
      </c>
      <c r="C13" s="54" t="s">
        <v>172</v>
      </c>
      <c r="D13" s="55" t="s">
        <v>191</v>
      </c>
      <c r="E13" s="54" t="s">
        <v>192</v>
      </c>
      <c r="F13" s="55" t="s">
        <v>175</v>
      </c>
      <c r="G13" s="55" t="s">
        <v>175</v>
      </c>
      <c r="H13" s="54" t="s">
        <v>193</v>
      </c>
      <c r="I13" s="53" t="s">
        <v>196</v>
      </c>
      <c r="J13" s="54" t="s">
        <v>197</v>
      </c>
      <c r="K13" s="0" t="n">
        <v>1</v>
      </c>
      <c r="L13" s="0" t="n">
        <v>2</v>
      </c>
      <c r="M13" s="0" t="n">
        <v>0</v>
      </c>
      <c r="N13" s="0" t="n">
        <v>2</v>
      </c>
      <c r="P13" s="0" t="n">
        <v>0</v>
      </c>
      <c r="Q13" s="0" t="n">
        <v>4382</v>
      </c>
      <c r="R13" s="54" t="s">
        <v>180</v>
      </c>
      <c r="S13" s="0" t="n">
        <v>0.08</v>
      </c>
      <c r="U13" s="31" t="n">
        <f aca="false">IF($B13='設定（最初に1回）'!$C$4,N(U12)+1,N(U12))</f>
        <v>8</v>
      </c>
    </row>
    <row r="14" customFormat="false" ht="15" hidden="false" customHeight="false" outlineLevel="0" collapsed="false">
      <c r="A14" s="0" t="n">
        <v>20260501</v>
      </c>
      <c r="B14" s="53" t="s">
        <v>171</v>
      </c>
      <c r="C14" s="54" t="s">
        <v>172</v>
      </c>
      <c r="D14" s="55" t="s">
        <v>191</v>
      </c>
      <c r="E14" s="54" t="s">
        <v>192</v>
      </c>
      <c r="F14" s="55" t="s">
        <v>175</v>
      </c>
      <c r="G14" s="55" t="s">
        <v>175</v>
      </c>
      <c r="H14" s="54" t="s">
        <v>193</v>
      </c>
      <c r="I14" s="53" t="s">
        <v>198</v>
      </c>
      <c r="J14" s="54" t="s">
        <v>199</v>
      </c>
      <c r="K14" s="0" t="n">
        <v>1</v>
      </c>
      <c r="L14" s="0" t="n">
        <v>0</v>
      </c>
      <c r="M14" s="0" t="n">
        <v>0</v>
      </c>
      <c r="N14" s="0" t="n">
        <v>0</v>
      </c>
      <c r="P14" s="0" t="n">
        <v>0</v>
      </c>
      <c r="Q14" s="0" t="n">
        <v>2890</v>
      </c>
      <c r="R14" s="54" t="s">
        <v>180</v>
      </c>
      <c r="S14" s="0" t="n">
        <v>0.08</v>
      </c>
      <c r="U14" s="31" t="n">
        <f aca="false">IF($B14='設定（最初に1回）'!$C$4,N(U13)+1,N(U13))</f>
        <v>9</v>
      </c>
    </row>
    <row r="15" customFormat="false" ht="15" hidden="false" customHeight="false" outlineLevel="0" collapsed="false">
      <c r="A15" s="0" t="n">
        <v>20260501</v>
      </c>
      <c r="B15" s="53" t="s">
        <v>171</v>
      </c>
      <c r="C15" s="54" t="s">
        <v>172</v>
      </c>
      <c r="D15" s="55" t="s">
        <v>191</v>
      </c>
      <c r="E15" s="54" t="s">
        <v>192</v>
      </c>
      <c r="F15" s="55" t="s">
        <v>175</v>
      </c>
      <c r="G15" s="55" t="s">
        <v>175</v>
      </c>
      <c r="H15" s="54" t="s">
        <v>193</v>
      </c>
      <c r="I15" s="53" t="s">
        <v>200</v>
      </c>
      <c r="J15" s="54" t="s">
        <v>201</v>
      </c>
      <c r="K15" s="0" t="n">
        <v>1</v>
      </c>
      <c r="L15" s="0" t="n">
        <v>2</v>
      </c>
      <c r="M15" s="0" t="n">
        <v>0</v>
      </c>
      <c r="N15" s="0" t="n">
        <v>2</v>
      </c>
      <c r="P15" s="0" t="n">
        <v>0</v>
      </c>
      <c r="Q15" s="0" t="n">
        <v>3636</v>
      </c>
      <c r="R15" s="54" t="s">
        <v>180</v>
      </c>
      <c r="S15" s="0" t="n">
        <v>0.08</v>
      </c>
      <c r="U15" s="31" t="n">
        <f aca="false">IF($B15='設定（最初に1回）'!$C$4,N(U14)+1,N(U14))</f>
        <v>10</v>
      </c>
    </row>
    <row r="16" customFormat="false" ht="15" hidden="false" customHeight="false" outlineLevel="0" collapsed="false">
      <c r="A16" s="0" t="n">
        <v>20260501</v>
      </c>
      <c r="B16" s="53" t="s">
        <v>171</v>
      </c>
      <c r="C16" s="54" t="s">
        <v>172</v>
      </c>
      <c r="D16" s="55" t="s">
        <v>191</v>
      </c>
      <c r="E16" s="54" t="s">
        <v>192</v>
      </c>
      <c r="F16" s="55" t="s">
        <v>175</v>
      </c>
      <c r="G16" s="55" t="s">
        <v>175</v>
      </c>
      <c r="H16" s="54" t="s">
        <v>193</v>
      </c>
      <c r="I16" s="53" t="s">
        <v>202</v>
      </c>
      <c r="J16" s="54" t="s">
        <v>203</v>
      </c>
      <c r="K16" s="0" t="n">
        <v>1</v>
      </c>
      <c r="L16" s="0" t="n">
        <v>73</v>
      </c>
      <c r="M16" s="0" t="n">
        <v>0</v>
      </c>
      <c r="N16" s="0" t="n">
        <v>73</v>
      </c>
      <c r="P16" s="0" t="n">
        <v>0</v>
      </c>
      <c r="Q16" s="0" t="n">
        <v>3756</v>
      </c>
      <c r="R16" s="54" t="s">
        <v>180</v>
      </c>
      <c r="S16" s="0" t="n">
        <v>0.08</v>
      </c>
      <c r="U16" s="31" t="n">
        <f aca="false">IF($B16='設定（最初に1回）'!$C$4,N(U15)+1,N(U15))</f>
        <v>11</v>
      </c>
    </row>
    <row r="17" customFormat="false" ht="15" hidden="false" customHeight="false" outlineLevel="0" collapsed="false">
      <c r="A17" s="0" t="n">
        <v>20260501</v>
      </c>
      <c r="B17" s="53" t="s">
        <v>171</v>
      </c>
      <c r="C17" s="54" t="s">
        <v>172</v>
      </c>
      <c r="D17" s="55" t="s">
        <v>191</v>
      </c>
      <c r="E17" s="54" t="s">
        <v>192</v>
      </c>
      <c r="F17" s="55" t="s">
        <v>175</v>
      </c>
      <c r="G17" s="55" t="s">
        <v>175</v>
      </c>
      <c r="H17" s="54" t="s">
        <v>193</v>
      </c>
      <c r="I17" s="53" t="s">
        <v>204</v>
      </c>
      <c r="J17" s="54" t="s">
        <v>205</v>
      </c>
      <c r="K17" s="0" t="n">
        <v>1</v>
      </c>
      <c r="L17" s="0" t="n">
        <v>83</v>
      </c>
      <c r="M17" s="0" t="n">
        <v>0</v>
      </c>
      <c r="N17" s="0" t="n">
        <v>83</v>
      </c>
      <c r="P17" s="0" t="n">
        <v>0</v>
      </c>
      <c r="Q17" s="0" t="n">
        <v>7510</v>
      </c>
      <c r="R17" s="54" t="s">
        <v>180</v>
      </c>
      <c r="S17" s="0" t="n">
        <v>0.08</v>
      </c>
      <c r="U17" s="31" t="n">
        <f aca="false">IF($B17='設定（最初に1回）'!$C$4,N(U16)+1,N(U16))</f>
        <v>12</v>
      </c>
    </row>
    <row r="18" customFormat="false" ht="15" hidden="false" customHeight="false" outlineLevel="0" collapsed="false">
      <c r="A18" s="0" t="n">
        <v>20260501</v>
      </c>
      <c r="B18" s="53" t="s">
        <v>171</v>
      </c>
      <c r="C18" s="54" t="s">
        <v>172</v>
      </c>
      <c r="D18" s="55" t="s">
        <v>191</v>
      </c>
      <c r="E18" s="54" t="s">
        <v>192</v>
      </c>
      <c r="F18" s="55" t="s">
        <v>175</v>
      </c>
      <c r="G18" s="55" t="s">
        <v>175</v>
      </c>
      <c r="H18" s="54" t="s">
        <v>193</v>
      </c>
      <c r="I18" s="53" t="s">
        <v>206</v>
      </c>
      <c r="J18" s="54" t="s">
        <v>207</v>
      </c>
      <c r="K18" s="0" t="n">
        <v>1</v>
      </c>
      <c r="L18" s="0" t="n">
        <v>162</v>
      </c>
      <c r="M18" s="0" t="n">
        <v>0</v>
      </c>
      <c r="N18" s="0" t="n">
        <v>162</v>
      </c>
      <c r="P18" s="0" t="n">
        <v>0</v>
      </c>
      <c r="Q18" s="0" t="n">
        <v>8136</v>
      </c>
      <c r="R18" s="54" t="s">
        <v>180</v>
      </c>
      <c r="S18" s="0" t="n">
        <v>0.08</v>
      </c>
      <c r="U18" s="31" t="n">
        <f aca="false">IF($B18='設定（最初に1回）'!$C$4,N(U17)+1,N(U17))</f>
        <v>13</v>
      </c>
    </row>
    <row r="19" customFormat="false" ht="15" hidden="false" customHeight="false" outlineLevel="0" collapsed="false">
      <c r="A19" s="0" t="n">
        <v>20260501</v>
      </c>
      <c r="B19" s="53" t="s">
        <v>171</v>
      </c>
      <c r="C19" s="54" t="s">
        <v>172</v>
      </c>
      <c r="D19" s="55" t="s">
        <v>191</v>
      </c>
      <c r="E19" s="54" t="s">
        <v>192</v>
      </c>
      <c r="F19" s="55" t="s">
        <v>175</v>
      </c>
      <c r="G19" s="55" t="s">
        <v>175</v>
      </c>
      <c r="H19" s="54" t="s">
        <v>193</v>
      </c>
      <c r="I19" s="53" t="s">
        <v>208</v>
      </c>
      <c r="J19" s="54" t="s">
        <v>209</v>
      </c>
      <c r="K19" s="0" t="n">
        <v>1</v>
      </c>
      <c r="L19" s="0" t="n">
        <v>63</v>
      </c>
      <c r="M19" s="0" t="n">
        <v>0</v>
      </c>
      <c r="N19" s="0" t="n">
        <v>63</v>
      </c>
      <c r="P19" s="0" t="n">
        <v>0</v>
      </c>
      <c r="Q19" s="0" t="n">
        <v>8136</v>
      </c>
      <c r="R19" s="54" t="s">
        <v>180</v>
      </c>
      <c r="S19" s="0" t="n">
        <v>0.08</v>
      </c>
      <c r="U19" s="31" t="n">
        <f aca="false">IF($B19='設定（最初に1回）'!$C$4,N(U18)+1,N(U18))</f>
        <v>14</v>
      </c>
    </row>
    <row r="20" customFormat="false" ht="15" hidden="false" customHeight="false" outlineLevel="0" collapsed="false">
      <c r="A20" s="0" t="n">
        <v>20260501</v>
      </c>
      <c r="B20" s="53" t="s">
        <v>171</v>
      </c>
      <c r="C20" s="54" t="s">
        <v>172</v>
      </c>
      <c r="D20" s="55" t="s">
        <v>191</v>
      </c>
      <c r="E20" s="54" t="s">
        <v>192</v>
      </c>
      <c r="F20" s="55" t="s">
        <v>175</v>
      </c>
      <c r="G20" s="55" t="s">
        <v>175</v>
      </c>
      <c r="H20" s="54" t="s">
        <v>193</v>
      </c>
      <c r="I20" s="53" t="s">
        <v>210</v>
      </c>
      <c r="J20" s="54" t="s">
        <v>211</v>
      </c>
      <c r="K20" s="0" t="n">
        <v>1</v>
      </c>
      <c r="L20" s="0" t="n">
        <v>25</v>
      </c>
      <c r="M20" s="0" t="n">
        <v>0</v>
      </c>
      <c r="N20" s="0" t="n">
        <v>25</v>
      </c>
      <c r="P20" s="0" t="n">
        <v>0</v>
      </c>
      <c r="Q20" s="0" t="n">
        <v>8136</v>
      </c>
      <c r="R20" s="54" t="s">
        <v>180</v>
      </c>
      <c r="S20" s="0" t="n">
        <v>0.08</v>
      </c>
      <c r="U20" s="31" t="n">
        <f aca="false">IF($B20='設定（最初に1回）'!$C$4,N(U19)+1,N(U19))</f>
        <v>15</v>
      </c>
    </row>
    <row r="21" customFormat="false" ht="15" hidden="false" customHeight="false" outlineLevel="0" collapsed="false">
      <c r="A21" s="0" t="n">
        <v>20260501</v>
      </c>
      <c r="B21" s="53" t="s">
        <v>171</v>
      </c>
      <c r="C21" s="54" t="s">
        <v>172</v>
      </c>
      <c r="D21" s="55" t="s">
        <v>191</v>
      </c>
      <c r="E21" s="54" t="s">
        <v>192</v>
      </c>
      <c r="F21" s="55" t="s">
        <v>175</v>
      </c>
      <c r="G21" s="55" t="s">
        <v>175</v>
      </c>
      <c r="H21" s="54" t="s">
        <v>193</v>
      </c>
      <c r="I21" s="53" t="s">
        <v>212</v>
      </c>
      <c r="J21" s="54" t="s">
        <v>213</v>
      </c>
      <c r="K21" s="0" t="n">
        <v>1</v>
      </c>
      <c r="L21" s="0" t="n">
        <v>1</v>
      </c>
      <c r="M21" s="0" t="n">
        <v>0</v>
      </c>
      <c r="N21" s="0" t="n">
        <v>1</v>
      </c>
      <c r="P21" s="0" t="n">
        <v>0</v>
      </c>
      <c r="Q21" s="0" t="n">
        <v>8136</v>
      </c>
      <c r="R21" s="54" t="s">
        <v>180</v>
      </c>
      <c r="S21" s="0" t="n">
        <v>0.08</v>
      </c>
      <c r="U21" s="31" t="n">
        <f aca="false">IF($B21='設定（最初に1回）'!$C$4,N(U20)+1,N(U20))</f>
        <v>16</v>
      </c>
    </row>
    <row r="22" customFormat="false" ht="15" hidden="false" customHeight="false" outlineLevel="0" collapsed="false">
      <c r="A22" s="0" t="n">
        <v>20260501</v>
      </c>
      <c r="B22" s="53" t="s">
        <v>171</v>
      </c>
      <c r="C22" s="54" t="s">
        <v>172</v>
      </c>
      <c r="D22" s="55" t="s">
        <v>191</v>
      </c>
      <c r="E22" s="54" t="s">
        <v>192</v>
      </c>
      <c r="F22" s="55" t="s">
        <v>175</v>
      </c>
      <c r="G22" s="55" t="s">
        <v>175</v>
      </c>
      <c r="H22" s="54" t="s">
        <v>193</v>
      </c>
      <c r="I22" s="53" t="s">
        <v>214</v>
      </c>
      <c r="J22" s="54" t="s">
        <v>215</v>
      </c>
      <c r="K22" s="0" t="n">
        <v>1</v>
      </c>
      <c r="L22" s="0" t="n">
        <v>2</v>
      </c>
      <c r="M22" s="0" t="n">
        <v>0</v>
      </c>
      <c r="N22" s="0" t="n">
        <v>2</v>
      </c>
      <c r="P22" s="0" t="n">
        <v>0</v>
      </c>
      <c r="Q22" s="0" t="n">
        <v>8638</v>
      </c>
      <c r="R22" s="54" t="s">
        <v>180</v>
      </c>
      <c r="S22" s="0" t="n">
        <v>0.08</v>
      </c>
      <c r="U22" s="31" t="n">
        <f aca="false">IF($B22='設定（最初に1回）'!$C$4,N(U21)+1,N(U21))</f>
        <v>17</v>
      </c>
    </row>
    <row r="23" customFormat="false" ht="15" hidden="false" customHeight="false" outlineLevel="0" collapsed="false">
      <c r="A23" s="0" t="n">
        <v>20260501</v>
      </c>
      <c r="B23" s="53" t="s">
        <v>171</v>
      </c>
      <c r="C23" s="54" t="s">
        <v>172</v>
      </c>
      <c r="D23" s="55" t="s">
        <v>191</v>
      </c>
      <c r="E23" s="54" t="s">
        <v>192</v>
      </c>
      <c r="F23" s="55" t="s">
        <v>175</v>
      </c>
      <c r="G23" s="55" t="s">
        <v>216</v>
      </c>
      <c r="H23" s="54" t="s">
        <v>217</v>
      </c>
      <c r="I23" s="53" t="s">
        <v>218</v>
      </c>
      <c r="J23" s="54" t="s">
        <v>219</v>
      </c>
      <c r="K23" s="0" t="n">
        <v>10</v>
      </c>
      <c r="L23" s="0" t="n">
        <v>11</v>
      </c>
      <c r="M23" s="0" t="n">
        <v>4</v>
      </c>
      <c r="N23" s="0" t="n">
        <v>114</v>
      </c>
      <c r="P23" s="0" t="n">
        <v>0</v>
      </c>
      <c r="Q23" s="0" t="n">
        <v>4503.2</v>
      </c>
      <c r="R23" s="54" t="s">
        <v>180</v>
      </c>
      <c r="S23" s="0" t="n">
        <v>0.08</v>
      </c>
      <c r="U23" s="31" t="n">
        <f aca="false">IF($B23='設定（最初に1回）'!$C$4,N(U22)+1,N(U22))</f>
        <v>18</v>
      </c>
    </row>
    <row r="24" customFormat="false" ht="15" hidden="false" customHeight="false" outlineLevel="0" collapsed="false">
      <c r="A24" s="0" t="n">
        <v>20260501</v>
      </c>
      <c r="B24" s="53" t="s">
        <v>171</v>
      </c>
      <c r="C24" s="54" t="s">
        <v>172</v>
      </c>
      <c r="D24" s="55" t="s">
        <v>191</v>
      </c>
      <c r="E24" s="54" t="s">
        <v>192</v>
      </c>
      <c r="F24" s="55" t="s">
        <v>175</v>
      </c>
      <c r="G24" s="55" t="s">
        <v>216</v>
      </c>
      <c r="H24" s="54" t="s">
        <v>217</v>
      </c>
      <c r="I24" s="53" t="s">
        <v>220</v>
      </c>
      <c r="J24" s="54" t="s">
        <v>221</v>
      </c>
      <c r="K24" s="0" t="n">
        <v>12</v>
      </c>
      <c r="L24" s="0" t="n">
        <v>14</v>
      </c>
      <c r="M24" s="0" t="n">
        <v>5</v>
      </c>
      <c r="N24" s="0" t="n">
        <v>173</v>
      </c>
      <c r="P24" s="0" t="n">
        <v>0</v>
      </c>
      <c r="Q24" s="0" t="n">
        <v>332</v>
      </c>
      <c r="R24" s="54" t="s">
        <v>180</v>
      </c>
      <c r="S24" s="0" t="n">
        <v>0.08</v>
      </c>
      <c r="U24" s="31" t="n">
        <f aca="false">IF($B24='設定（最初に1回）'!$C$4,N(U23)+1,N(U23))</f>
        <v>19</v>
      </c>
    </row>
    <row r="25" customFormat="false" ht="15" hidden="false" customHeight="false" outlineLevel="0" collapsed="false">
      <c r="A25" s="0" t="n">
        <v>20260501</v>
      </c>
      <c r="B25" s="53" t="s">
        <v>171</v>
      </c>
      <c r="C25" s="54" t="s">
        <v>172</v>
      </c>
      <c r="D25" s="55" t="s">
        <v>191</v>
      </c>
      <c r="E25" s="54" t="s">
        <v>192</v>
      </c>
      <c r="F25" s="55" t="s">
        <v>175</v>
      </c>
      <c r="G25" s="55" t="s">
        <v>222</v>
      </c>
      <c r="H25" s="54" t="s">
        <v>223</v>
      </c>
      <c r="I25" s="53" t="s">
        <v>224</v>
      </c>
      <c r="J25" s="54" t="s">
        <v>225</v>
      </c>
      <c r="K25" s="0" t="n">
        <v>1</v>
      </c>
      <c r="L25" s="0" t="n">
        <v>72</v>
      </c>
      <c r="M25" s="0" t="n">
        <v>0</v>
      </c>
      <c r="N25" s="0" t="n">
        <v>72</v>
      </c>
      <c r="P25" s="0" t="n">
        <v>0</v>
      </c>
      <c r="Q25" s="0" t="n">
        <v>2254</v>
      </c>
      <c r="R25" s="54" t="s">
        <v>180</v>
      </c>
      <c r="S25" s="0" t="n">
        <v>0.08</v>
      </c>
      <c r="U25" s="31" t="n">
        <f aca="false">IF($B25='設定（最初に1回）'!$C$4,N(U24)+1,N(U24))</f>
        <v>20</v>
      </c>
    </row>
    <row r="26" customFormat="false" ht="15" hidden="false" customHeight="false" outlineLevel="0" collapsed="false">
      <c r="A26" s="0" t="n">
        <v>20260501</v>
      </c>
      <c r="B26" s="53" t="s">
        <v>171</v>
      </c>
      <c r="C26" s="54" t="s">
        <v>172</v>
      </c>
      <c r="D26" s="55" t="s">
        <v>191</v>
      </c>
      <c r="E26" s="54" t="s">
        <v>192</v>
      </c>
      <c r="F26" s="55" t="s">
        <v>175</v>
      </c>
      <c r="G26" s="55" t="s">
        <v>222</v>
      </c>
      <c r="H26" s="54" t="s">
        <v>223</v>
      </c>
      <c r="I26" s="53" t="s">
        <v>226</v>
      </c>
      <c r="J26" s="54" t="s">
        <v>227</v>
      </c>
      <c r="K26" s="0" t="n">
        <v>1</v>
      </c>
      <c r="L26" s="0" t="n">
        <v>27</v>
      </c>
      <c r="M26" s="0" t="n">
        <v>0</v>
      </c>
      <c r="N26" s="0" t="n">
        <v>27</v>
      </c>
      <c r="P26" s="0" t="n">
        <v>0</v>
      </c>
      <c r="Q26" s="0" t="n">
        <v>2309</v>
      </c>
      <c r="R26" s="54" t="s">
        <v>180</v>
      </c>
      <c r="S26" s="0" t="n">
        <v>0.08</v>
      </c>
      <c r="U26" s="31" t="n">
        <f aca="false">IF($B26='設定（最初に1回）'!$C$4,N(U25)+1,N(U25))</f>
        <v>21</v>
      </c>
    </row>
    <row r="27" customFormat="false" ht="15" hidden="false" customHeight="false" outlineLevel="0" collapsed="false">
      <c r="A27" s="0" t="n">
        <v>20260501</v>
      </c>
      <c r="B27" s="53" t="s">
        <v>171</v>
      </c>
      <c r="C27" s="54" t="s">
        <v>172</v>
      </c>
      <c r="D27" s="55" t="s">
        <v>191</v>
      </c>
      <c r="E27" s="54" t="s">
        <v>192</v>
      </c>
      <c r="F27" s="55" t="s">
        <v>175</v>
      </c>
      <c r="G27" s="55" t="s">
        <v>222</v>
      </c>
      <c r="H27" s="54" t="s">
        <v>223</v>
      </c>
      <c r="I27" s="53" t="s">
        <v>228</v>
      </c>
      <c r="J27" s="54" t="s">
        <v>229</v>
      </c>
      <c r="K27" s="0" t="n">
        <v>1</v>
      </c>
      <c r="L27" s="0" t="n">
        <v>28</v>
      </c>
      <c r="M27" s="0" t="n">
        <v>0</v>
      </c>
      <c r="N27" s="0" t="n">
        <v>28</v>
      </c>
      <c r="P27" s="0" t="n">
        <v>0</v>
      </c>
      <c r="Q27" s="0" t="n">
        <v>2705</v>
      </c>
      <c r="R27" s="54" t="s">
        <v>180</v>
      </c>
      <c r="S27" s="0" t="n">
        <v>0.08</v>
      </c>
      <c r="U27" s="31" t="n">
        <f aca="false">IF($B27='設定（最初に1回）'!$C$4,N(U26)+1,N(U26))</f>
        <v>22</v>
      </c>
    </row>
    <row r="28" customFormat="false" ht="15" hidden="false" customHeight="false" outlineLevel="0" collapsed="false">
      <c r="A28" s="0" t="n">
        <v>20260501</v>
      </c>
      <c r="B28" s="53" t="s">
        <v>171</v>
      </c>
      <c r="C28" s="54" t="s">
        <v>172</v>
      </c>
      <c r="D28" s="55" t="s">
        <v>191</v>
      </c>
      <c r="E28" s="54" t="s">
        <v>192</v>
      </c>
      <c r="F28" s="55" t="s">
        <v>175</v>
      </c>
      <c r="G28" s="55" t="s">
        <v>230</v>
      </c>
      <c r="H28" s="54" t="s">
        <v>231</v>
      </c>
      <c r="I28" s="53" t="s">
        <v>232</v>
      </c>
      <c r="J28" s="54" t="s">
        <v>233</v>
      </c>
      <c r="K28" s="0" t="n">
        <v>120</v>
      </c>
      <c r="L28" s="0" t="n">
        <v>2</v>
      </c>
      <c r="M28" s="0" t="n">
        <v>13</v>
      </c>
      <c r="N28" s="0" t="n">
        <v>253</v>
      </c>
      <c r="P28" s="0" t="n">
        <v>0</v>
      </c>
      <c r="Q28" s="0" t="n">
        <v>142</v>
      </c>
      <c r="R28" s="54" t="s">
        <v>180</v>
      </c>
      <c r="S28" s="0" t="n">
        <v>0.08</v>
      </c>
      <c r="U28" s="31" t="n">
        <f aca="false">IF($B28='設定（最初に1回）'!$C$4,N(U27)+1,N(U27))</f>
        <v>23</v>
      </c>
    </row>
    <row r="29" customFormat="false" ht="15" hidden="false" customHeight="false" outlineLevel="0" collapsed="false">
      <c r="A29" s="0" t="n">
        <v>20260501</v>
      </c>
      <c r="B29" s="53" t="s">
        <v>171</v>
      </c>
      <c r="C29" s="54" t="s">
        <v>172</v>
      </c>
      <c r="D29" s="55" t="s">
        <v>191</v>
      </c>
      <c r="E29" s="54" t="s">
        <v>192</v>
      </c>
      <c r="F29" s="55" t="s">
        <v>175</v>
      </c>
      <c r="G29" s="55" t="s">
        <v>230</v>
      </c>
      <c r="H29" s="54" t="s">
        <v>231</v>
      </c>
      <c r="I29" s="53" t="s">
        <v>234</v>
      </c>
      <c r="J29" s="54" t="s">
        <v>235</v>
      </c>
      <c r="K29" s="0" t="n">
        <v>120</v>
      </c>
      <c r="L29" s="0" t="n">
        <v>0</v>
      </c>
      <c r="M29" s="0" t="n">
        <v>58</v>
      </c>
      <c r="N29" s="0" t="n">
        <v>58</v>
      </c>
      <c r="P29" s="0" t="n">
        <v>0</v>
      </c>
      <c r="Q29" s="0" t="n">
        <v>107</v>
      </c>
      <c r="R29" s="54" t="s">
        <v>180</v>
      </c>
      <c r="S29" s="0" t="n">
        <v>0.08</v>
      </c>
      <c r="U29" s="31" t="n">
        <f aca="false">IF($B29='設定（最初に1回）'!$C$4,N(U28)+1,N(U28))</f>
        <v>24</v>
      </c>
    </row>
    <row r="30" customFormat="false" ht="15" hidden="false" customHeight="false" outlineLevel="0" collapsed="false">
      <c r="A30" s="0" t="n">
        <v>20260501</v>
      </c>
      <c r="B30" s="53" t="s">
        <v>171</v>
      </c>
      <c r="C30" s="54" t="s">
        <v>172</v>
      </c>
      <c r="D30" s="55" t="s">
        <v>191</v>
      </c>
      <c r="E30" s="54" t="s">
        <v>192</v>
      </c>
      <c r="F30" s="55" t="s">
        <v>175</v>
      </c>
      <c r="G30" s="55" t="s">
        <v>230</v>
      </c>
      <c r="H30" s="54" t="s">
        <v>231</v>
      </c>
      <c r="I30" s="53" t="s">
        <v>236</v>
      </c>
      <c r="J30" s="54" t="s">
        <v>237</v>
      </c>
      <c r="K30" s="0" t="n">
        <v>90</v>
      </c>
      <c r="L30" s="0" t="n">
        <v>0</v>
      </c>
      <c r="M30" s="0" t="n">
        <v>1</v>
      </c>
      <c r="N30" s="0" t="n">
        <v>1</v>
      </c>
      <c r="P30" s="0" t="n">
        <v>0</v>
      </c>
      <c r="Q30" s="0" t="n">
        <v>166</v>
      </c>
      <c r="R30" s="54" t="s">
        <v>180</v>
      </c>
      <c r="S30" s="0" t="n">
        <v>0.08</v>
      </c>
      <c r="U30" s="31" t="n">
        <f aca="false">IF($B30='設定（最初に1回）'!$C$4,N(U29)+1,N(U29))</f>
        <v>25</v>
      </c>
    </row>
    <row r="31" customFormat="false" ht="15" hidden="false" customHeight="false" outlineLevel="0" collapsed="false">
      <c r="A31" s="0" t="n">
        <v>20260501</v>
      </c>
      <c r="B31" s="53" t="s">
        <v>171</v>
      </c>
      <c r="C31" s="54" t="s">
        <v>172</v>
      </c>
      <c r="D31" s="55" t="s">
        <v>191</v>
      </c>
      <c r="E31" s="54" t="s">
        <v>192</v>
      </c>
      <c r="F31" s="55" t="s">
        <v>175</v>
      </c>
      <c r="G31" s="55" t="s">
        <v>230</v>
      </c>
      <c r="H31" s="54" t="s">
        <v>231</v>
      </c>
      <c r="I31" s="53" t="s">
        <v>238</v>
      </c>
      <c r="J31" s="54" t="s">
        <v>239</v>
      </c>
      <c r="K31" s="0" t="n">
        <v>80</v>
      </c>
      <c r="L31" s="0" t="n">
        <v>0</v>
      </c>
      <c r="M31" s="0" t="n">
        <v>5</v>
      </c>
      <c r="N31" s="0" t="n">
        <v>5</v>
      </c>
      <c r="P31" s="0" t="n">
        <v>0</v>
      </c>
      <c r="Q31" s="0" t="n">
        <v>203</v>
      </c>
      <c r="R31" s="54" t="s">
        <v>180</v>
      </c>
      <c r="S31" s="0" t="n">
        <v>0.08</v>
      </c>
      <c r="U31" s="31" t="n">
        <f aca="false">IF($B31='設定（最初に1回）'!$C$4,N(U30)+1,N(U30))</f>
        <v>26</v>
      </c>
    </row>
    <row r="32" customFormat="false" ht="15" hidden="false" customHeight="false" outlineLevel="0" collapsed="false">
      <c r="A32" s="0" t="n">
        <v>20260501</v>
      </c>
      <c r="B32" s="53" t="s">
        <v>171</v>
      </c>
      <c r="C32" s="54" t="s">
        <v>172</v>
      </c>
      <c r="D32" s="55" t="s">
        <v>191</v>
      </c>
      <c r="E32" s="54" t="s">
        <v>192</v>
      </c>
      <c r="F32" s="55" t="s">
        <v>175</v>
      </c>
      <c r="G32" s="55" t="s">
        <v>230</v>
      </c>
      <c r="H32" s="54" t="s">
        <v>231</v>
      </c>
      <c r="I32" s="53" t="s">
        <v>240</v>
      </c>
      <c r="J32" s="54" t="s">
        <v>241</v>
      </c>
      <c r="K32" s="0" t="n">
        <v>80</v>
      </c>
      <c r="L32" s="0" t="n">
        <v>1</v>
      </c>
      <c r="M32" s="0" t="n">
        <v>31</v>
      </c>
      <c r="N32" s="0" t="n">
        <v>111</v>
      </c>
      <c r="P32" s="0" t="n">
        <v>0</v>
      </c>
      <c r="Q32" s="0" t="n">
        <v>203</v>
      </c>
      <c r="R32" s="54" t="s">
        <v>180</v>
      </c>
      <c r="S32" s="0" t="n">
        <v>0.08</v>
      </c>
      <c r="U32" s="31" t="n">
        <f aca="false">IF($B32='設定（最初に1回）'!$C$4,N(U31)+1,N(U31))</f>
        <v>27</v>
      </c>
    </row>
    <row r="33" customFormat="false" ht="15" hidden="false" customHeight="false" outlineLevel="0" collapsed="false">
      <c r="A33" s="0" t="n">
        <v>20260501</v>
      </c>
      <c r="B33" s="53" t="s">
        <v>171</v>
      </c>
      <c r="C33" s="54" t="s">
        <v>172</v>
      </c>
      <c r="D33" s="55" t="s">
        <v>191</v>
      </c>
      <c r="E33" s="54" t="s">
        <v>192</v>
      </c>
      <c r="F33" s="55" t="s">
        <v>175</v>
      </c>
      <c r="G33" s="55" t="s">
        <v>230</v>
      </c>
      <c r="H33" s="54" t="s">
        <v>231</v>
      </c>
      <c r="I33" s="53" t="s">
        <v>242</v>
      </c>
      <c r="J33" s="54" t="s">
        <v>243</v>
      </c>
      <c r="K33" s="0" t="n">
        <v>1</v>
      </c>
      <c r="L33" s="0" t="n">
        <v>3</v>
      </c>
      <c r="M33" s="0" t="n">
        <v>0</v>
      </c>
      <c r="N33" s="0" t="n">
        <v>3</v>
      </c>
      <c r="P33" s="0" t="n">
        <v>0</v>
      </c>
      <c r="Q33" s="0" t="n">
        <v>26884</v>
      </c>
      <c r="R33" s="54" t="s">
        <v>180</v>
      </c>
      <c r="S33" s="0" t="n">
        <v>0.08</v>
      </c>
      <c r="U33" s="31" t="n">
        <f aca="false">IF($B33='設定（最初に1回）'!$C$4,N(U32)+1,N(U32))</f>
        <v>28</v>
      </c>
    </row>
    <row r="34" customFormat="false" ht="15" hidden="false" customHeight="false" outlineLevel="0" collapsed="false">
      <c r="A34" s="0" t="n">
        <v>20260501</v>
      </c>
      <c r="B34" s="53" t="s">
        <v>171</v>
      </c>
      <c r="C34" s="54" t="s">
        <v>172</v>
      </c>
      <c r="D34" s="55" t="s">
        <v>191</v>
      </c>
      <c r="E34" s="54" t="s">
        <v>192</v>
      </c>
      <c r="F34" s="55" t="s">
        <v>175</v>
      </c>
      <c r="G34" s="55" t="s">
        <v>230</v>
      </c>
      <c r="H34" s="54" t="s">
        <v>231</v>
      </c>
      <c r="I34" s="53" t="s">
        <v>244</v>
      </c>
      <c r="J34" s="54" t="s">
        <v>245</v>
      </c>
      <c r="K34" s="0" t="n">
        <v>1</v>
      </c>
      <c r="L34" s="0" t="n">
        <v>10</v>
      </c>
      <c r="M34" s="0" t="n">
        <v>0</v>
      </c>
      <c r="N34" s="0" t="n">
        <v>10</v>
      </c>
      <c r="P34" s="0" t="n">
        <v>0</v>
      </c>
      <c r="Q34" s="0" t="n">
        <v>26884</v>
      </c>
      <c r="R34" s="54" t="s">
        <v>180</v>
      </c>
      <c r="S34" s="0" t="n">
        <v>0.08</v>
      </c>
      <c r="U34" s="31" t="n">
        <f aca="false">IF($B34='設定（最初に1回）'!$C$4,N(U33)+1,N(U33))</f>
        <v>29</v>
      </c>
    </row>
    <row r="35" customFormat="false" ht="15" hidden="false" customHeight="false" outlineLevel="0" collapsed="false">
      <c r="A35" s="0" t="n">
        <v>20260501</v>
      </c>
      <c r="B35" s="53" t="s">
        <v>171</v>
      </c>
      <c r="C35" s="54" t="s">
        <v>172</v>
      </c>
      <c r="D35" s="55" t="s">
        <v>191</v>
      </c>
      <c r="E35" s="54" t="s">
        <v>192</v>
      </c>
      <c r="F35" s="55" t="s">
        <v>175</v>
      </c>
      <c r="G35" s="55" t="s">
        <v>230</v>
      </c>
      <c r="H35" s="54" t="s">
        <v>231</v>
      </c>
      <c r="I35" s="53" t="s">
        <v>246</v>
      </c>
      <c r="J35" s="54" t="s">
        <v>247</v>
      </c>
      <c r="K35" s="0" t="n">
        <v>1</v>
      </c>
      <c r="L35" s="0" t="n">
        <v>10</v>
      </c>
      <c r="M35" s="0" t="n">
        <v>0</v>
      </c>
      <c r="N35" s="0" t="n">
        <v>10</v>
      </c>
      <c r="P35" s="0" t="n">
        <v>0</v>
      </c>
      <c r="Q35" s="0" t="n">
        <v>26884</v>
      </c>
      <c r="R35" s="54" t="s">
        <v>180</v>
      </c>
      <c r="S35" s="0" t="n">
        <v>0.08</v>
      </c>
      <c r="U35" s="31" t="n">
        <f aca="false">IF($B35='設定（最初に1回）'!$C$4,N(U34)+1,N(U34))</f>
        <v>30</v>
      </c>
    </row>
    <row r="36" customFormat="false" ht="15" hidden="false" customHeight="false" outlineLevel="0" collapsed="false">
      <c r="A36" s="0" t="n">
        <v>20260501</v>
      </c>
      <c r="B36" s="53" t="s">
        <v>171</v>
      </c>
      <c r="C36" s="54" t="s">
        <v>172</v>
      </c>
      <c r="D36" s="55" t="s">
        <v>191</v>
      </c>
      <c r="E36" s="54" t="s">
        <v>192</v>
      </c>
      <c r="F36" s="55" t="s">
        <v>175</v>
      </c>
      <c r="G36" s="55" t="s">
        <v>230</v>
      </c>
      <c r="H36" s="54" t="s">
        <v>231</v>
      </c>
      <c r="I36" s="53" t="s">
        <v>248</v>
      </c>
      <c r="J36" s="54" t="s">
        <v>249</v>
      </c>
      <c r="K36" s="0" t="n">
        <v>1</v>
      </c>
      <c r="L36" s="0" t="n">
        <v>8</v>
      </c>
      <c r="M36" s="0" t="n">
        <v>0</v>
      </c>
      <c r="N36" s="0" t="n">
        <v>8</v>
      </c>
      <c r="P36" s="0" t="n">
        <v>0</v>
      </c>
      <c r="Q36" s="0" t="n">
        <v>1386</v>
      </c>
      <c r="R36" s="54" t="s">
        <v>180</v>
      </c>
      <c r="S36" s="0" t="n">
        <v>0.08</v>
      </c>
      <c r="U36" s="31" t="n">
        <f aca="false">IF($B36='設定（最初に1回）'!$C$4,N(U35)+1,N(U35))</f>
        <v>31</v>
      </c>
    </row>
    <row r="37" customFormat="false" ht="15" hidden="false" customHeight="false" outlineLevel="0" collapsed="false">
      <c r="A37" s="0" t="n">
        <v>20260501</v>
      </c>
      <c r="B37" s="53" t="s">
        <v>171</v>
      </c>
      <c r="C37" s="54" t="s">
        <v>172</v>
      </c>
      <c r="D37" s="55" t="s">
        <v>191</v>
      </c>
      <c r="E37" s="54" t="s">
        <v>192</v>
      </c>
      <c r="F37" s="55" t="s">
        <v>175</v>
      </c>
      <c r="G37" s="55" t="s">
        <v>230</v>
      </c>
      <c r="H37" s="54" t="s">
        <v>231</v>
      </c>
      <c r="I37" s="53" t="s">
        <v>250</v>
      </c>
      <c r="J37" s="54" t="s">
        <v>251</v>
      </c>
      <c r="K37" s="0" t="n">
        <v>24</v>
      </c>
      <c r="L37" s="0" t="n">
        <v>8</v>
      </c>
      <c r="M37" s="0" t="n">
        <v>20</v>
      </c>
      <c r="N37" s="0" t="n">
        <v>212</v>
      </c>
      <c r="P37" s="0" t="n">
        <v>0</v>
      </c>
      <c r="Q37" s="0" t="n">
        <v>87</v>
      </c>
      <c r="R37" s="54" t="s">
        <v>180</v>
      </c>
      <c r="S37" s="0" t="n">
        <v>0.08</v>
      </c>
      <c r="U37" s="31" t="n">
        <f aca="false">IF($B37='設定（最初に1回）'!$C$4,N(U36)+1,N(U36))</f>
        <v>32</v>
      </c>
    </row>
    <row r="38" customFormat="false" ht="15" hidden="false" customHeight="false" outlineLevel="0" collapsed="false">
      <c r="A38" s="0" t="n">
        <v>20260501</v>
      </c>
      <c r="B38" s="53" t="s">
        <v>171</v>
      </c>
      <c r="C38" s="54" t="s">
        <v>172</v>
      </c>
      <c r="D38" s="55" t="s">
        <v>191</v>
      </c>
      <c r="E38" s="54" t="s">
        <v>192</v>
      </c>
      <c r="F38" s="55" t="s">
        <v>175</v>
      </c>
      <c r="G38" s="55" t="s">
        <v>252</v>
      </c>
      <c r="H38" s="54" t="s">
        <v>253</v>
      </c>
      <c r="I38" s="53" t="s">
        <v>254</v>
      </c>
      <c r="J38" s="54" t="s">
        <v>255</v>
      </c>
      <c r="K38" s="0" t="n">
        <v>1</v>
      </c>
      <c r="L38" s="0" t="n">
        <v>264</v>
      </c>
      <c r="M38" s="0" t="n">
        <v>0</v>
      </c>
      <c r="N38" s="0" t="n">
        <v>264</v>
      </c>
      <c r="P38" s="0" t="n">
        <v>0</v>
      </c>
      <c r="Q38" s="0" t="n">
        <v>12046</v>
      </c>
      <c r="R38" s="54" t="s">
        <v>180</v>
      </c>
      <c r="S38" s="0" t="n">
        <v>0.08</v>
      </c>
      <c r="U38" s="31" t="n">
        <f aca="false">IF($B38='設定（最初に1回）'!$C$4,N(U37)+1,N(U37))</f>
        <v>33</v>
      </c>
    </row>
    <row r="39" customFormat="false" ht="15" hidden="false" customHeight="false" outlineLevel="0" collapsed="false">
      <c r="A39" s="0" t="n">
        <v>20260501</v>
      </c>
      <c r="B39" s="53" t="s">
        <v>171</v>
      </c>
      <c r="C39" s="54" t="s">
        <v>172</v>
      </c>
      <c r="D39" s="55" t="s">
        <v>191</v>
      </c>
      <c r="E39" s="54" t="s">
        <v>192</v>
      </c>
      <c r="F39" s="55" t="s">
        <v>175</v>
      </c>
      <c r="G39" s="55" t="s">
        <v>252</v>
      </c>
      <c r="H39" s="54" t="s">
        <v>253</v>
      </c>
      <c r="I39" s="53" t="s">
        <v>256</v>
      </c>
      <c r="J39" s="54" t="s">
        <v>257</v>
      </c>
      <c r="K39" s="0" t="n">
        <v>1</v>
      </c>
      <c r="L39" s="0" t="n">
        <v>16</v>
      </c>
      <c r="M39" s="0" t="n">
        <v>0</v>
      </c>
      <c r="N39" s="0" t="n">
        <v>16</v>
      </c>
      <c r="P39" s="0" t="n">
        <v>0</v>
      </c>
      <c r="Q39" s="0" t="n">
        <v>5841</v>
      </c>
      <c r="R39" s="54" t="s">
        <v>180</v>
      </c>
      <c r="S39" s="0" t="n">
        <v>0.08</v>
      </c>
      <c r="U39" s="31" t="n">
        <f aca="false">IF($B39='設定（最初に1回）'!$C$4,N(U38)+1,N(U38))</f>
        <v>34</v>
      </c>
    </row>
    <row r="40" customFormat="false" ht="15" hidden="false" customHeight="false" outlineLevel="0" collapsed="false">
      <c r="A40" s="0" t="n">
        <v>20260501</v>
      </c>
      <c r="B40" s="53" t="s">
        <v>171</v>
      </c>
      <c r="C40" s="54" t="s">
        <v>172</v>
      </c>
      <c r="D40" s="55" t="s">
        <v>191</v>
      </c>
      <c r="E40" s="54" t="s">
        <v>192</v>
      </c>
      <c r="F40" s="55" t="s">
        <v>175</v>
      </c>
      <c r="G40" s="55" t="s">
        <v>252</v>
      </c>
      <c r="H40" s="54" t="s">
        <v>253</v>
      </c>
      <c r="I40" s="53" t="s">
        <v>258</v>
      </c>
      <c r="J40" s="54" t="s">
        <v>259</v>
      </c>
      <c r="K40" s="0" t="n">
        <v>6</v>
      </c>
      <c r="L40" s="0" t="n">
        <v>104</v>
      </c>
      <c r="M40" s="0" t="n">
        <v>5</v>
      </c>
      <c r="N40" s="0" t="n">
        <v>629</v>
      </c>
      <c r="P40" s="0" t="n">
        <v>0</v>
      </c>
      <c r="Q40" s="0" t="n">
        <v>786</v>
      </c>
      <c r="R40" s="54" t="s">
        <v>180</v>
      </c>
      <c r="S40" s="0" t="n">
        <v>0.08</v>
      </c>
      <c r="U40" s="31" t="n">
        <f aca="false">IF($B40='設定（最初に1回）'!$C$4,N(U39)+1,N(U39))</f>
        <v>35</v>
      </c>
    </row>
    <row r="41" customFormat="false" ht="15" hidden="false" customHeight="false" outlineLevel="0" collapsed="false">
      <c r="A41" s="0" t="n">
        <v>20260501</v>
      </c>
      <c r="B41" s="53" t="s">
        <v>171</v>
      </c>
      <c r="C41" s="54" t="s">
        <v>172</v>
      </c>
      <c r="D41" s="55" t="s">
        <v>191</v>
      </c>
      <c r="E41" s="54" t="s">
        <v>192</v>
      </c>
      <c r="F41" s="55" t="s">
        <v>175</v>
      </c>
      <c r="G41" s="55" t="s">
        <v>252</v>
      </c>
      <c r="H41" s="54" t="s">
        <v>253</v>
      </c>
      <c r="I41" s="53" t="s">
        <v>260</v>
      </c>
      <c r="J41" s="54" t="s">
        <v>261</v>
      </c>
      <c r="K41" s="0" t="n">
        <v>1</v>
      </c>
      <c r="L41" s="0" t="n">
        <v>44</v>
      </c>
      <c r="M41" s="0" t="n">
        <v>0</v>
      </c>
      <c r="N41" s="0" t="n">
        <v>44</v>
      </c>
      <c r="P41" s="0" t="n">
        <v>0</v>
      </c>
      <c r="Q41" s="0" t="n">
        <v>1024</v>
      </c>
      <c r="R41" s="54" t="s">
        <v>180</v>
      </c>
      <c r="S41" s="0" t="n">
        <v>0.08</v>
      </c>
      <c r="U41" s="31" t="n">
        <f aca="false">IF($B41='設定（最初に1回）'!$C$4,N(U40)+1,N(U40))</f>
        <v>36</v>
      </c>
    </row>
    <row r="42" customFormat="false" ht="15" hidden="false" customHeight="false" outlineLevel="0" collapsed="false">
      <c r="A42" s="0" t="n">
        <v>20260501</v>
      </c>
      <c r="B42" s="53" t="s">
        <v>171</v>
      </c>
      <c r="C42" s="54" t="s">
        <v>172</v>
      </c>
      <c r="D42" s="55" t="s">
        <v>191</v>
      </c>
      <c r="E42" s="54" t="s">
        <v>192</v>
      </c>
      <c r="F42" s="55" t="s">
        <v>175</v>
      </c>
      <c r="G42" s="55" t="s">
        <v>252</v>
      </c>
      <c r="H42" s="54" t="s">
        <v>253</v>
      </c>
      <c r="I42" s="53" t="s">
        <v>262</v>
      </c>
      <c r="J42" s="54" t="s">
        <v>263</v>
      </c>
      <c r="K42" s="0" t="n">
        <v>1</v>
      </c>
      <c r="L42" s="0" t="n">
        <v>118</v>
      </c>
      <c r="M42" s="0" t="n">
        <v>0</v>
      </c>
      <c r="N42" s="0" t="n">
        <v>118</v>
      </c>
      <c r="P42" s="0" t="n">
        <v>0</v>
      </c>
      <c r="Q42" s="0" t="n">
        <v>1074</v>
      </c>
      <c r="R42" s="54" t="s">
        <v>180</v>
      </c>
      <c r="S42" s="0" t="n">
        <v>0.08</v>
      </c>
      <c r="U42" s="31" t="n">
        <f aca="false">IF($B42='設定（最初に1回）'!$C$4,N(U41)+1,N(U41))</f>
        <v>37</v>
      </c>
    </row>
    <row r="43" customFormat="false" ht="15" hidden="false" customHeight="false" outlineLevel="0" collapsed="false">
      <c r="A43" s="0" t="n">
        <v>20260501</v>
      </c>
      <c r="B43" s="53" t="s">
        <v>171</v>
      </c>
      <c r="C43" s="54" t="s">
        <v>172</v>
      </c>
      <c r="D43" s="55" t="s">
        <v>191</v>
      </c>
      <c r="E43" s="54" t="s">
        <v>192</v>
      </c>
      <c r="F43" s="55" t="s">
        <v>175</v>
      </c>
      <c r="G43" s="55" t="s">
        <v>252</v>
      </c>
      <c r="H43" s="54" t="s">
        <v>253</v>
      </c>
      <c r="I43" s="53" t="s">
        <v>264</v>
      </c>
      <c r="J43" s="54" t="s">
        <v>265</v>
      </c>
      <c r="K43" s="0" t="n">
        <v>1</v>
      </c>
      <c r="L43" s="0" t="n">
        <v>-32</v>
      </c>
      <c r="M43" s="0" t="n">
        <v>0</v>
      </c>
      <c r="N43" s="0" t="n">
        <v>-32</v>
      </c>
      <c r="P43" s="0" t="n">
        <v>0</v>
      </c>
      <c r="Q43" s="0" t="n">
        <v>1396</v>
      </c>
      <c r="R43" s="54" t="s">
        <v>180</v>
      </c>
      <c r="S43" s="0" t="n">
        <v>0.08</v>
      </c>
      <c r="U43" s="31" t="n">
        <f aca="false">IF($B43='設定（最初に1回）'!$C$4,N(U42)+1,N(U42))</f>
        <v>38</v>
      </c>
    </row>
    <row r="44" customFormat="false" ht="15" hidden="false" customHeight="false" outlineLevel="0" collapsed="false">
      <c r="A44" s="0" t="n">
        <v>20260501</v>
      </c>
      <c r="B44" s="53" t="s">
        <v>171</v>
      </c>
      <c r="C44" s="54" t="s">
        <v>172</v>
      </c>
      <c r="D44" s="55" t="s">
        <v>191</v>
      </c>
      <c r="E44" s="54" t="s">
        <v>192</v>
      </c>
      <c r="F44" s="55" t="s">
        <v>175</v>
      </c>
      <c r="G44" s="55" t="s">
        <v>252</v>
      </c>
      <c r="H44" s="54" t="s">
        <v>253</v>
      </c>
      <c r="I44" s="53" t="s">
        <v>266</v>
      </c>
      <c r="J44" s="54" t="s">
        <v>267</v>
      </c>
      <c r="K44" s="0" t="n">
        <v>48</v>
      </c>
      <c r="L44" s="0" t="n">
        <v>9</v>
      </c>
      <c r="M44" s="0" t="n">
        <v>34</v>
      </c>
      <c r="N44" s="0" t="n">
        <v>466</v>
      </c>
      <c r="P44" s="0" t="n">
        <v>0</v>
      </c>
      <c r="Q44" s="0" t="n">
        <v>114</v>
      </c>
      <c r="R44" s="54" t="s">
        <v>180</v>
      </c>
      <c r="S44" s="0" t="n">
        <v>0.08</v>
      </c>
      <c r="U44" s="31" t="n">
        <f aca="false">IF($B44='設定（最初に1回）'!$C$4,N(U43)+1,N(U43))</f>
        <v>39</v>
      </c>
    </row>
    <row r="45" customFormat="false" ht="15" hidden="false" customHeight="false" outlineLevel="0" collapsed="false">
      <c r="A45" s="0" t="n">
        <v>20260501</v>
      </c>
      <c r="B45" s="53" t="s">
        <v>171</v>
      </c>
      <c r="C45" s="54" t="s">
        <v>172</v>
      </c>
      <c r="D45" s="55" t="s">
        <v>191</v>
      </c>
      <c r="E45" s="54" t="s">
        <v>192</v>
      </c>
      <c r="F45" s="55" t="s">
        <v>175</v>
      </c>
      <c r="G45" s="55" t="s">
        <v>252</v>
      </c>
      <c r="H45" s="54" t="s">
        <v>253</v>
      </c>
      <c r="I45" s="53" t="s">
        <v>268</v>
      </c>
      <c r="J45" s="54" t="s">
        <v>269</v>
      </c>
      <c r="K45" s="0" t="n">
        <v>1</v>
      </c>
      <c r="L45" s="0" t="n">
        <v>9</v>
      </c>
      <c r="M45" s="0" t="n">
        <v>0</v>
      </c>
      <c r="N45" s="0" t="n">
        <v>9</v>
      </c>
      <c r="P45" s="0" t="n">
        <v>0</v>
      </c>
      <c r="Q45" s="0" t="n">
        <v>4420</v>
      </c>
      <c r="R45" s="54" t="s">
        <v>180</v>
      </c>
      <c r="S45" s="0" t="n">
        <v>0.08</v>
      </c>
      <c r="U45" s="31" t="n">
        <f aca="false">IF($B45='設定（最初に1回）'!$C$4,N(U44)+1,N(U44))</f>
        <v>40</v>
      </c>
    </row>
    <row r="46" customFormat="false" ht="15" hidden="false" customHeight="false" outlineLevel="0" collapsed="false">
      <c r="A46" s="0" t="n">
        <v>20260501</v>
      </c>
      <c r="B46" s="53" t="s">
        <v>171</v>
      </c>
      <c r="C46" s="54" t="s">
        <v>172</v>
      </c>
      <c r="D46" s="55" t="s">
        <v>191</v>
      </c>
      <c r="E46" s="54" t="s">
        <v>192</v>
      </c>
      <c r="F46" s="55" t="s">
        <v>175</v>
      </c>
      <c r="G46" s="55" t="s">
        <v>252</v>
      </c>
      <c r="H46" s="54" t="s">
        <v>253</v>
      </c>
      <c r="I46" s="53" t="s">
        <v>270</v>
      </c>
      <c r="J46" s="54" t="s">
        <v>271</v>
      </c>
      <c r="K46" s="0" t="n">
        <v>1</v>
      </c>
      <c r="L46" s="0" t="n">
        <v>-31</v>
      </c>
      <c r="M46" s="0" t="n">
        <v>0</v>
      </c>
      <c r="N46" s="0" t="n">
        <v>-31</v>
      </c>
      <c r="P46" s="0" t="n">
        <v>0</v>
      </c>
      <c r="Q46" s="0" t="n">
        <v>1099</v>
      </c>
      <c r="R46" s="54" t="s">
        <v>180</v>
      </c>
      <c r="S46" s="0" t="n">
        <v>0.08</v>
      </c>
      <c r="U46" s="31" t="n">
        <f aca="false">IF($B46='設定（最初に1回）'!$C$4,N(U45)+1,N(U45))</f>
        <v>41</v>
      </c>
    </row>
    <row r="47" customFormat="false" ht="15" hidden="false" customHeight="false" outlineLevel="0" collapsed="false">
      <c r="A47" s="0" t="n">
        <v>20260501</v>
      </c>
      <c r="B47" s="53" t="s">
        <v>171</v>
      </c>
      <c r="C47" s="54" t="s">
        <v>172</v>
      </c>
      <c r="D47" s="55" t="s">
        <v>191</v>
      </c>
      <c r="E47" s="54" t="s">
        <v>192</v>
      </c>
      <c r="F47" s="55" t="s">
        <v>175</v>
      </c>
      <c r="G47" s="55" t="s">
        <v>252</v>
      </c>
      <c r="H47" s="54" t="s">
        <v>253</v>
      </c>
      <c r="I47" s="53" t="s">
        <v>272</v>
      </c>
      <c r="J47" s="54" t="s">
        <v>273</v>
      </c>
      <c r="K47" s="0" t="n">
        <v>1</v>
      </c>
      <c r="L47" s="0" t="n">
        <v>59</v>
      </c>
      <c r="M47" s="0" t="n">
        <v>0</v>
      </c>
      <c r="N47" s="0" t="n">
        <v>59</v>
      </c>
      <c r="P47" s="0" t="n">
        <v>0</v>
      </c>
      <c r="Q47" s="0" t="n">
        <v>955</v>
      </c>
      <c r="R47" s="54" t="s">
        <v>180</v>
      </c>
      <c r="S47" s="0" t="n">
        <v>0.08</v>
      </c>
      <c r="U47" s="31" t="n">
        <f aca="false">IF($B47='設定（最初に1回）'!$C$4,N(U46)+1,N(U46))</f>
        <v>42</v>
      </c>
    </row>
    <row r="48" customFormat="false" ht="15" hidden="false" customHeight="false" outlineLevel="0" collapsed="false">
      <c r="A48" s="0" t="n">
        <v>20260501</v>
      </c>
      <c r="B48" s="53" t="s">
        <v>171</v>
      </c>
      <c r="C48" s="54" t="s">
        <v>172</v>
      </c>
      <c r="D48" s="55" t="s">
        <v>191</v>
      </c>
      <c r="E48" s="54" t="s">
        <v>192</v>
      </c>
      <c r="F48" s="55" t="s">
        <v>175</v>
      </c>
      <c r="G48" s="55" t="s">
        <v>252</v>
      </c>
      <c r="H48" s="54" t="s">
        <v>253</v>
      </c>
      <c r="I48" s="53" t="s">
        <v>274</v>
      </c>
      <c r="J48" s="54" t="s">
        <v>275</v>
      </c>
      <c r="K48" s="0" t="n">
        <v>1</v>
      </c>
      <c r="L48" s="0" t="n">
        <v>-14</v>
      </c>
      <c r="M48" s="0" t="n">
        <v>0</v>
      </c>
      <c r="N48" s="0" t="n">
        <v>-14</v>
      </c>
      <c r="P48" s="0" t="n">
        <v>0</v>
      </c>
      <c r="Q48" s="0" t="n">
        <v>6887</v>
      </c>
      <c r="R48" s="54" t="s">
        <v>180</v>
      </c>
      <c r="S48" s="0" t="n">
        <v>0.08</v>
      </c>
      <c r="U48" s="31" t="n">
        <f aca="false">IF($B48='設定（最初に1回）'!$C$4,N(U47)+1,N(U47))</f>
        <v>43</v>
      </c>
    </row>
    <row r="49" customFormat="false" ht="15" hidden="false" customHeight="false" outlineLevel="0" collapsed="false">
      <c r="A49" s="0" t="n">
        <v>20260501</v>
      </c>
      <c r="B49" s="53" t="s">
        <v>171</v>
      </c>
      <c r="C49" s="54" t="s">
        <v>172</v>
      </c>
      <c r="D49" s="55" t="s">
        <v>191</v>
      </c>
      <c r="E49" s="54" t="s">
        <v>192</v>
      </c>
      <c r="F49" s="55" t="s">
        <v>175</v>
      </c>
      <c r="G49" s="55" t="s">
        <v>252</v>
      </c>
      <c r="H49" s="54" t="s">
        <v>253</v>
      </c>
      <c r="I49" s="53" t="s">
        <v>276</v>
      </c>
      <c r="J49" s="54" t="s">
        <v>277</v>
      </c>
      <c r="K49" s="0" t="n">
        <v>1</v>
      </c>
      <c r="L49" s="0" t="n">
        <v>11</v>
      </c>
      <c r="M49" s="0" t="n">
        <v>0</v>
      </c>
      <c r="N49" s="0" t="n">
        <v>11</v>
      </c>
      <c r="P49" s="0" t="n">
        <v>0</v>
      </c>
      <c r="Q49" s="0" t="n">
        <v>1180</v>
      </c>
      <c r="R49" s="54" t="s">
        <v>180</v>
      </c>
      <c r="S49" s="0" t="n">
        <v>0.08</v>
      </c>
      <c r="U49" s="31" t="n">
        <f aca="false">IF($B49='設定（最初に1回）'!$C$4,N(U48)+1,N(U48))</f>
        <v>44</v>
      </c>
    </row>
    <row r="50" customFormat="false" ht="15" hidden="false" customHeight="false" outlineLevel="0" collapsed="false">
      <c r="A50" s="0" t="n">
        <v>20260501</v>
      </c>
      <c r="B50" s="53" t="s">
        <v>171</v>
      </c>
      <c r="C50" s="54" t="s">
        <v>172</v>
      </c>
      <c r="D50" s="55" t="s">
        <v>191</v>
      </c>
      <c r="E50" s="54" t="s">
        <v>192</v>
      </c>
      <c r="F50" s="55" t="s">
        <v>175</v>
      </c>
      <c r="G50" s="55" t="s">
        <v>252</v>
      </c>
      <c r="H50" s="54" t="s">
        <v>253</v>
      </c>
      <c r="I50" s="53" t="s">
        <v>278</v>
      </c>
      <c r="J50" s="54" t="s">
        <v>279</v>
      </c>
      <c r="K50" s="0" t="n">
        <v>1</v>
      </c>
      <c r="L50" s="0" t="n">
        <v>33</v>
      </c>
      <c r="M50" s="0" t="n">
        <v>0</v>
      </c>
      <c r="N50" s="0" t="n">
        <v>33</v>
      </c>
      <c r="P50" s="0" t="n">
        <v>0</v>
      </c>
      <c r="Q50" s="0" t="n">
        <v>1294</v>
      </c>
      <c r="R50" s="54" t="s">
        <v>180</v>
      </c>
      <c r="S50" s="0" t="n">
        <v>0.08</v>
      </c>
      <c r="U50" s="31" t="n">
        <f aca="false">IF($B50='設定（最初に1回）'!$C$4,N(U49)+1,N(U49))</f>
        <v>45</v>
      </c>
    </row>
    <row r="51" customFormat="false" ht="15" hidden="false" customHeight="false" outlineLevel="0" collapsed="false">
      <c r="A51" s="0" t="n">
        <v>20260501</v>
      </c>
      <c r="B51" s="53" t="s">
        <v>171</v>
      </c>
      <c r="C51" s="54" t="s">
        <v>172</v>
      </c>
      <c r="D51" s="55" t="s">
        <v>191</v>
      </c>
      <c r="E51" s="54" t="s">
        <v>192</v>
      </c>
      <c r="F51" s="55" t="s">
        <v>175</v>
      </c>
      <c r="G51" s="55" t="s">
        <v>280</v>
      </c>
      <c r="H51" s="54" t="s">
        <v>281</v>
      </c>
      <c r="I51" s="53" t="s">
        <v>282</v>
      </c>
      <c r="J51" s="54" t="s">
        <v>283</v>
      </c>
      <c r="K51" s="0" t="n">
        <v>96</v>
      </c>
      <c r="L51" s="0" t="n">
        <v>14</v>
      </c>
      <c r="M51" s="0" t="n">
        <v>57</v>
      </c>
      <c r="N51" s="0" t="n">
        <v>1401</v>
      </c>
      <c r="P51" s="0" t="n">
        <v>0</v>
      </c>
      <c r="Q51" s="0" t="n">
        <v>176</v>
      </c>
      <c r="R51" s="54" t="s">
        <v>180</v>
      </c>
      <c r="S51" s="0" t="n">
        <v>0.08</v>
      </c>
      <c r="U51" s="31" t="n">
        <f aca="false">IF($B51='設定（最初に1回）'!$C$4,N(U50)+1,N(U50))</f>
        <v>46</v>
      </c>
    </row>
    <row r="52" customFormat="false" ht="15" hidden="false" customHeight="false" outlineLevel="0" collapsed="false">
      <c r="A52" s="0" t="n">
        <v>20260501</v>
      </c>
      <c r="B52" s="53" t="s">
        <v>171</v>
      </c>
      <c r="C52" s="54" t="s">
        <v>172</v>
      </c>
      <c r="D52" s="55" t="s">
        <v>191</v>
      </c>
      <c r="E52" s="54" t="s">
        <v>192</v>
      </c>
      <c r="F52" s="55" t="s">
        <v>175</v>
      </c>
      <c r="G52" s="55" t="s">
        <v>280</v>
      </c>
      <c r="H52" s="54" t="s">
        <v>281</v>
      </c>
      <c r="I52" s="53" t="s">
        <v>284</v>
      </c>
      <c r="J52" s="54" t="s">
        <v>285</v>
      </c>
      <c r="K52" s="0" t="n">
        <v>96</v>
      </c>
      <c r="L52" s="0" t="n">
        <v>0</v>
      </c>
      <c r="M52" s="0" t="n">
        <v>44</v>
      </c>
      <c r="N52" s="0" t="n">
        <v>44</v>
      </c>
      <c r="P52" s="0" t="n">
        <v>0</v>
      </c>
      <c r="Q52" s="0" t="n">
        <v>242</v>
      </c>
      <c r="R52" s="54" t="s">
        <v>180</v>
      </c>
      <c r="S52" s="0" t="n">
        <v>0.08</v>
      </c>
      <c r="U52" s="31" t="n">
        <f aca="false">IF($B52='設定（最初に1回）'!$C$4,N(U51)+1,N(U51))</f>
        <v>47</v>
      </c>
    </row>
    <row r="53" customFormat="false" ht="15" hidden="false" customHeight="false" outlineLevel="0" collapsed="false">
      <c r="A53" s="0" t="n">
        <v>20260501</v>
      </c>
      <c r="B53" s="53" t="s">
        <v>171</v>
      </c>
      <c r="C53" s="54" t="s">
        <v>172</v>
      </c>
      <c r="D53" s="55" t="s">
        <v>191</v>
      </c>
      <c r="E53" s="54" t="s">
        <v>192</v>
      </c>
      <c r="F53" s="55" t="s">
        <v>175</v>
      </c>
      <c r="G53" s="55" t="s">
        <v>280</v>
      </c>
      <c r="H53" s="54" t="s">
        <v>281</v>
      </c>
      <c r="I53" s="53" t="s">
        <v>286</v>
      </c>
      <c r="J53" s="54" t="s">
        <v>287</v>
      </c>
      <c r="K53" s="0" t="n">
        <v>96</v>
      </c>
      <c r="L53" s="0" t="n">
        <v>2</v>
      </c>
      <c r="M53" s="0" t="n">
        <v>86</v>
      </c>
      <c r="N53" s="0" t="n">
        <v>278</v>
      </c>
      <c r="P53" s="0" t="n">
        <v>0</v>
      </c>
      <c r="Q53" s="0" t="n">
        <v>239</v>
      </c>
      <c r="R53" s="54" t="s">
        <v>180</v>
      </c>
      <c r="S53" s="0" t="n">
        <v>0.08</v>
      </c>
      <c r="U53" s="31" t="n">
        <f aca="false">IF($B53='設定（最初に1回）'!$C$4,N(U52)+1,N(U52))</f>
        <v>48</v>
      </c>
    </row>
    <row r="54" customFormat="false" ht="15" hidden="false" customHeight="false" outlineLevel="0" collapsed="false">
      <c r="A54" s="0" t="n">
        <v>20260501</v>
      </c>
      <c r="B54" s="53" t="s">
        <v>171</v>
      </c>
      <c r="C54" s="54" t="s">
        <v>172</v>
      </c>
      <c r="D54" s="55" t="s">
        <v>191</v>
      </c>
      <c r="E54" s="54" t="s">
        <v>192</v>
      </c>
      <c r="F54" s="55" t="s">
        <v>175</v>
      </c>
      <c r="G54" s="55" t="s">
        <v>280</v>
      </c>
      <c r="H54" s="54" t="s">
        <v>281</v>
      </c>
      <c r="I54" s="53" t="s">
        <v>288</v>
      </c>
      <c r="J54" s="54" t="s">
        <v>289</v>
      </c>
      <c r="K54" s="0" t="n">
        <v>96</v>
      </c>
      <c r="L54" s="0" t="n">
        <v>0</v>
      </c>
      <c r="M54" s="0" t="n">
        <v>14</v>
      </c>
      <c r="N54" s="0" t="n">
        <v>14</v>
      </c>
      <c r="P54" s="0" t="n">
        <v>0</v>
      </c>
      <c r="Q54" s="0" t="n">
        <v>244</v>
      </c>
      <c r="R54" s="54" t="s">
        <v>180</v>
      </c>
      <c r="S54" s="0" t="n">
        <v>0.08</v>
      </c>
      <c r="U54" s="31" t="n">
        <f aca="false">IF($B54='設定（最初に1回）'!$C$4,N(U53)+1,N(U53))</f>
        <v>49</v>
      </c>
    </row>
    <row r="55" customFormat="false" ht="15" hidden="false" customHeight="false" outlineLevel="0" collapsed="false">
      <c r="A55" s="0" t="n">
        <v>20260501</v>
      </c>
      <c r="B55" s="53" t="s">
        <v>171</v>
      </c>
      <c r="C55" s="54" t="s">
        <v>172</v>
      </c>
      <c r="D55" s="55" t="s">
        <v>191</v>
      </c>
      <c r="E55" s="54" t="s">
        <v>192</v>
      </c>
      <c r="F55" s="55" t="s">
        <v>175</v>
      </c>
      <c r="G55" s="55" t="s">
        <v>290</v>
      </c>
      <c r="H55" s="54" t="s">
        <v>291</v>
      </c>
      <c r="I55" s="53" t="s">
        <v>292</v>
      </c>
      <c r="J55" s="54" t="s">
        <v>293</v>
      </c>
      <c r="K55" s="0" t="n">
        <v>1</v>
      </c>
      <c r="L55" s="0" t="n">
        <v>1</v>
      </c>
      <c r="M55" s="0" t="n">
        <v>0</v>
      </c>
      <c r="N55" s="0" t="n">
        <v>1</v>
      </c>
      <c r="P55" s="0" t="n">
        <v>0</v>
      </c>
      <c r="Q55" s="0" t="n">
        <v>1755</v>
      </c>
      <c r="R55" s="54" t="s">
        <v>180</v>
      </c>
      <c r="S55" s="0" t="n">
        <v>0.08</v>
      </c>
      <c r="U55" s="31" t="n">
        <f aca="false">IF($B55='設定（最初に1回）'!$C$4,N(U54)+1,N(U54))</f>
        <v>50</v>
      </c>
    </row>
    <row r="56" customFormat="false" ht="15" hidden="false" customHeight="false" outlineLevel="0" collapsed="false">
      <c r="A56" s="0" t="n">
        <v>20260501</v>
      </c>
      <c r="B56" s="53" t="s">
        <v>171</v>
      </c>
      <c r="C56" s="54" t="s">
        <v>172</v>
      </c>
      <c r="D56" s="55" t="s">
        <v>191</v>
      </c>
      <c r="E56" s="54" t="s">
        <v>192</v>
      </c>
      <c r="F56" s="55" t="s">
        <v>175</v>
      </c>
      <c r="G56" s="55" t="s">
        <v>290</v>
      </c>
      <c r="H56" s="54" t="s">
        <v>291</v>
      </c>
      <c r="I56" s="53" t="s">
        <v>294</v>
      </c>
      <c r="J56" s="54" t="s">
        <v>295</v>
      </c>
      <c r="K56" s="0" t="n">
        <v>40</v>
      </c>
      <c r="L56" s="0" t="n">
        <v>29</v>
      </c>
      <c r="M56" s="0" t="n">
        <v>31</v>
      </c>
      <c r="N56" s="0" t="n">
        <v>1191</v>
      </c>
      <c r="P56" s="0" t="n">
        <v>0</v>
      </c>
      <c r="Q56" s="0" t="n">
        <v>96.25</v>
      </c>
      <c r="R56" s="54" t="s">
        <v>180</v>
      </c>
      <c r="S56" s="0" t="n">
        <v>0.08</v>
      </c>
      <c r="U56" s="31" t="n">
        <f aca="false">IF($B56='設定（最初に1回）'!$C$4,N(U55)+1,N(U55))</f>
        <v>51</v>
      </c>
    </row>
    <row r="57" customFormat="false" ht="15" hidden="false" customHeight="false" outlineLevel="0" collapsed="false">
      <c r="A57" s="0" t="n">
        <v>20260501</v>
      </c>
      <c r="B57" s="53" t="s">
        <v>171</v>
      </c>
      <c r="C57" s="54" t="s">
        <v>172</v>
      </c>
      <c r="D57" s="55" t="s">
        <v>191</v>
      </c>
      <c r="E57" s="54" t="s">
        <v>192</v>
      </c>
      <c r="F57" s="55" t="s">
        <v>175</v>
      </c>
      <c r="G57" s="55" t="s">
        <v>290</v>
      </c>
      <c r="H57" s="54" t="s">
        <v>291</v>
      </c>
      <c r="I57" s="53" t="s">
        <v>296</v>
      </c>
      <c r="J57" s="54" t="s">
        <v>297</v>
      </c>
      <c r="K57" s="0" t="n">
        <v>96</v>
      </c>
      <c r="L57" s="0" t="n">
        <v>5</v>
      </c>
      <c r="M57" s="0" t="n">
        <v>91</v>
      </c>
      <c r="N57" s="0" t="n">
        <v>571</v>
      </c>
      <c r="P57" s="0" t="n">
        <v>0</v>
      </c>
      <c r="Q57" s="0" t="n">
        <v>164</v>
      </c>
      <c r="R57" s="54" t="s">
        <v>180</v>
      </c>
      <c r="S57" s="0" t="n">
        <v>0.08</v>
      </c>
      <c r="U57" s="31" t="n">
        <f aca="false">IF($B57='設定（最初に1回）'!$C$4,N(U56)+1,N(U56))</f>
        <v>52</v>
      </c>
    </row>
    <row r="58" customFormat="false" ht="15" hidden="false" customHeight="false" outlineLevel="0" collapsed="false">
      <c r="A58" s="0" t="n">
        <v>20260501</v>
      </c>
      <c r="B58" s="53" t="s">
        <v>171</v>
      </c>
      <c r="C58" s="54" t="s">
        <v>172</v>
      </c>
      <c r="D58" s="55" t="s">
        <v>191</v>
      </c>
      <c r="E58" s="54" t="s">
        <v>192</v>
      </c>
      <c r="F58" s="55" t="s">
        <v>175</v>
      </c>
      <c r="G58" s="55" t="s">
        <v>298</v>
      </c>
      <c r="H58" s="54" t="s">
        <v>299</v>
      </c>
      <c r="I58" s="53" t="s">
        <v>300</v>
      </c>
      <c r="J58" s="54" t="s">
        <v>301</v>
      </c>
      <c r="K58" s="0" t="n">
        <v>100</v>
      </c>
      <c r="L58" s="0" t="n">
        <v>4</v>
      </c>
      <c r="M58" s="0" t="n">
        <v>64</v>
      </c>
      <c r="N58" s="0" t="n">
        <v>464</v>
      </c>
      <c r="P58" s="0" t="n">
        <v>0</v>
      </c>
      <c r="Q58" s="0" t="n">
        <v>109</v>
      </c>
      <c r="R58" s="54" t="s">
        <v>180</v>
      </c>
      <c r="S58" s="0" t="n">
        <v>0.08</v>
      </c>
      <c r="U58" s="31" t="n">
        <f aca="false">IF($B58='設定（最初に1回）'!$C$4,N(U57)+1,N(U57))</f>
        <v>53</v>
      </c>
    </row>
    <row r="59" customFormat="false" ht="15" hidden="false" customHeight="false" outlineLevel="0" collapsed="false">
      <c r="A59" s="0" t="n">
        <v>20260501</v>
      </c>
      <c r="B59" s="53" t="s">
        <v>171</v>
      </c>
      <c r="C59" s="54" t="s">
        <v>172</v>
      </c>
      <c r="D59" s="55" t="s">
        <v>191</v>
      </c>
      <c r="E59" s="54" t="s">
        <v>192</v>
      </c>
      <c r="F59" s="55" t="s">
        <v>175</v>
      </c>
      <c r="G59" s="55" t="s">
        <v>298</v>
      </c>
      <c r="H59" s="54" t="s">
        <v>299</v>
      </c>
      <c r="I59" s="53" t="s">
        <v>302</v>
      </c>
      <c r="J59" s="54" t="s">
        <v>303</v>
      </c>
      <c r="K59" s="0" t="n">
        <v>100</v>
      </c>
      <c r="L59" s="0" t="n">
        <v>10</v>
      </c>
      <c r="M59" s="0" t="n">
        <v>35</v>
      </c>
      <c r="N59" s="0" t="n">
        <v>1035</v>
      </c>
      <c r="P59" s="0" t="n">
        <v>0</v>
      </c>
      <c r="Q59" s="0" t="n">
        <v>107</v>
      </c>
      <c r="R59" s="54" t="s">
        <v>180</v>
      </c>
      <c r="S59" s="0" t="n">
        <v>0.08</v>
      </c>
      <c r="U59" s="31" t="n">
        <f aca="false">IF($B59='設定（最初に1回）'!$C$4,N(U58)+1,N(U58))</f>
        <v>54</v>
      </c>
    </row>
    <row r="60" customFormat="false" ht="15" hidden="false" customHeight="false" outlineLevel="0" collapsed="false">
      <c r="A60" s="0" t="n">
        <v>20260501</v>
      </c>
      <c r="B60" s="53" t="s">
        <v>171</v>
      </c>
      <c r="C60" s="54" t="s">
        <v>172</v>
      </c>
      <c r="D60" s="55" t="s">
        <v>191</v>
      </c>
      <c r="E60" s="54" t="s">
        <v>192</v>
      </c>
      <c r="F60" s="55" t="s">
        <v>175</v>
      </c>
      <c r="G60" s="55" t="s">
        <v>298</v>
      </c>
      <c r="H60" s="54" t="s">
        <v>299</v>
      </c>
      <c r="I60" s="53" t="s">
        <v>304</v>
      </c>
      <c r="J60" s="54" t="s">
        <v>305</v>
      </c>
      <c r="K60" s="0" t="n">
        <v>1</v>
      </c>
      <c r="L60" s="0" t="n">
        <v>3</v>
      </c>
      <c r="M60" s="0" t="n">
        <v>0</v>
      </c>
      <c r="N60" s="0" t="n">
        <v>3</v>
      </c>
      <c r="P60" s="0" t="n">
        <v>0</v>
      </c>
      <c r="Q60" s="0" t="n">
        <v>1181</v>
      </c>
      <c r="R60" s="54" t="s">
        <v>180</v>
      </c>
      <c r="S60" s="0" t="n">
        <v>0.08</v>
      </c>
      <c r="U60" s="31" t="n">
        <f aca="false">IF($B60='設定（最初に1回）'!$C$4,N(U59)+1,N(U59))</f>
        <v>55</v>
      </c>
    </row>
    <row r="61" customFormat="false" ht="15" hidden="false" customHeight="false" outlineLevel="0" collapsed="false">
      <c r="A61" s="0" t="n">
        <v>20260501</v>
      </c>
      <c r="B61" s="53" t="s">
        <v>171</v>
      </c>
      <c r="C61" s="54" t="s">
        <v>172</v>
      </c>
      <c r="D61" s="55" t="s">
        <v>191</v>
      </c>
      <c r="E61" s="54" t="s">
        <v>192</v>
      </c>
      <c r="F61" s="55" t="s">
        <v>175</v>
      </c>
      <c r="G61" s="55" t="s">
        <v>298</v>
      </c>
      <c r="H61" s="54" t="s">
        <v>299</v>
      </c>
      <c r="I61" s="53" t="s">
        <v>306</v>
      </c>
      <c r="J61" s="54" t="s">
        <v>307</v>
      </c>
      <c r="K61" s="0" t="n">
        <v>1</v>
      </c>
      <c r="L61" s="0" t="n">
        <v>15</v>
      </c>
      <c r="M61" s="0" t="n">
        <v>0</v>
      </c>
      <c r="N61" s="0" t="n">
        <v>15</v>
      </c>
      <c r="P61" s="0" t="n">
        <v>0</v>
      </c>
      <c r="Q61" s="0" t="n">
        <v>1181</v>
      </c>
      <c r="R61" s="54" t="s">
        <v>180</v>
      </c>
      <c r="S61" s="0" t="n">
        <v>0.08</v>
      </c>
      <c r="U61" s="31" t="n">
        <f aca="false">IF($B61='設定（最初に1回）'!$C$4,N(U60)+1,N(U60))</f>
        <v>56</v>
      </c>
    </row>
    <row r="62" customFormat="false" ht="15" hidden="false" customHeight="false" outlineLevel="0" collapsed="false">
      <c r="A62" s="0" t="n">
        <v>20260501</v>
      </c>
      <c r="B62" s="53" t="s">
        <v>171</v>
      </c>
      <c r="C62" s="54" t="s">
        <v>172</v>
      </c>
      <c r="D62" s="55" t="s">
        <v>191</v>
      </c>
      <c r="E62" s="54" t="s">
        <v>192</v>
      </c>
      <c r="F62" s="55" t="s">
        <v>175</v>
      </c>
      <c r="G62" s="55" t="s">
        <v>298</v>
      </c>
      <c r="H62" s="54" t="s">
        <v>299</v>
      </c>
      <c r="I62" s="53" t="s">
        <v>308</v>
      </c>
      <c r="J62" s="54" t="s">
        <v>309</v>
      </c>
      <c r="K62" s="0" t="n">
        <v>1</v>
      </c>
      <c r="L62" s="0" t="n">
        <v>0</v>
      </c>
      <c r="M62" s="0" t="n">
        <v>0</v>
      </c>
      <c r="N62" s="0" t="n">
        <v>0</v>
      </c>
      <c r="P62" s="0" t="n">
        <v>0</v>
      </c>
      <c r="Q62" s="0" t="n">
        <v>1181</v>
      </c>
      <c r="R62" s="54" t="s">
        <v>180</v>
      </c>
      <c r="S62" s="0" t="n">
        <v>0.08</v>
      </c>
      <c r="U62" s="31" t="n">
        <f aca="false">IF($B62='設定（最初に1回）'!$C$4,N(U61)+1,N(U61))</f>
        <v>57</v>
      </c>
    </row>
    <row r="63" customFormat="false" ht="15" hidden="false" customHeight="false" outlineLevel="0" collapsed="false">
      <c r="A63" s="0" t="n">
        <v>20260501</v>
      </c>
      <c r="B63" s="53" t="s">
        <v>171</v>
      </c>
      <c r="C63" s="54" t="s">
        <v>172</v>
      </c>
      <c r="D63" s="55" t="s">
        <v>191</v>
      </c>
      <c r="E63" s="54" t="s">
        <v>192</v>
      </c>
      <c r="F63" s="55" t="s">
        <v>175</v>
      </c>
      <c r="G63" s="55" t="s">
        <v>298</v>
      </c>
      <c r="H63" s="54" t="s">
        <v>299</v>
      </c>
      <c r="I63" s="53" t="s">
        <v>310</v>
      </c>
      <c r="J63" s="54" t="s">
        <v>311</v>
      </c>
      <c r="K63" s="0" t="n">
        <v>1</v>
      </c>
      <c r="L63" s="0" t="n">
        <v>48</v>
      </c>
      <c r="M63" s="0" t="n">
        <v>0</v>
      </c>
      <c r="N63" s="0" t="n">
        <v>48</v>
      </c>
      <c r="P63" s="0" t="n">
        <v>0</v>
      </c>
      <c r="Q63" s="0" t="n">
        <v>1181</v>
      </c>
      <c r="R63" s="54" t="s">
        <v>180</v>
      </c>
      <c r="S63" s="0" t="n">
        <v>0.08</v>
      </c>
      <c r="U63" s="31" t="n">
        <f aca="false">IF($B63='設定（最初に1回）'!$C$4,N(U62)+1,N(U62))</f>
        <v>58</v>
      </c>
    </row>
    <row r="64" customFormat="false" ht="15" hidden="false" customHeight="false" outlineLevel="0" collapsed="false">
      <c r="A64" s="0" t="n">
        <v>20260501</v>
      </c>
      <c r="B64" s="53" t="s">
        <v>171</v>
      </c>
      <c r="C64" s="54" t="s">
        <v>172</v>
      </c>
      <c r="D64" s="55" t="s">
        <v>191</v>
      </c>
      <c r="E64" s="54" t="s">
        <v>192</v>
      </c>
      <c r="F64" s="55" t="s">
        <v>175</v>
      </c>
      <c r="G64" s="55" t="s">
        <v>298</v>
      </c>
      <c r="H64" s="54" t="s">
        <v>299</v>
      </c>
      <c r="I64" s="53" t="s">
        <v>312</v>
      </c>
      <c r="J64" s="54" t="s">
        <v>313</v>
      </c>
      <c r="K64" s="0" t="n">
        <v>1</v>
      </c>
      <c r="L64" s="0" t="n">
        <v>34</v>
      </c>
      <c r="M64" s="0" t="n">
        <v>0</v>
      </c>
      <c r="N64" s="0" t="n">
        <v>34</v>
      </c>
      <c r="P64" s="0" t="n">
        <v>0</v>
      </c>
      <c r="Q64" s="0" t="n">
        <v>1181</v>
      </c>
      <c r="R64" s="54" t="s">
        <v>180</v>
      </c>
      <c r="S64" s="0" t="n">
        <v>0.08</v>
      </c>
      <c r="U64" s="31" t="n">
        <f aca="false">IF($B64='設定（最初に1回）'!$C$4,N(U63)+1,N(U63))</f>
        <v>59</v>
      </c>
    </row>
    <row r="65" customFormat="false" ht="15" hidden="false" customHeight="false" outlineLevel="0" collapsed="false">
      <c r="A65" s="0" t="n">
        <v>20260501</v>
      </c>
      <c r="B65" s="53" t="s">
        <v>171</v>
      </c>
      <c r="C65" s="54" t="s">
        <v>172</v>
      </c>
      <c r="D65" s="55" t="s">
        <v>191</v>
      </c>
      <c r="E65" s="54" t="s">
        <v>192</v>
      </c>
      <c r="F65" s="55" t="s">
        <v>175</v>
      </c>
      <c r="G65" s="55" t="s">
        <v>298</v>
      </c>
      <c r="H65" s="54" t="s">
        <v>299</v>
      </c>
      <c r="I65" s="53" t="s">
        <v>314</v>
      </c>
      <c r="J65" s="54" t="s">
        <v>315</v>
      </c>
      <c r="K65" s="0" t="n">
        <v>1</v>
      </c>
      <c r="L65" s="0" t="n">
        <v>2</v>
      </c>
      <c r="M65" s="0" t="n">
        <v>0</v>
      </c>
      <c r="N65" s="0" t="n">
        <v>2</v>
      </c>
      <c r="P65" s="0" t="n">
        <v>0</v>
      </c>
      <c r="Q65" s="0" t="n">
        <v>1181</v>
      </c>
      <c r="R65" s="54" t="s">
        <v>180</v>
      </c>
      <c r="S65" s="0" t="n">
        <v>0.08</v>
      </c>
      <c r="U65" s="31" t="n">
        <f aca="false">IF($B65='設定（最初に1回）'!$C$4,N(U64)+1,N(U64))</f>
        <v>60</v>
      </c>
    </row>
    <row r="66" customFormat="false" ht="15" hidden="false" customHeight="false" outlineLevel="0" collapsed="false">
      <c r="A66" s="0" t="n">
        <v>20260501</v>
      </c>
      <c r="B66" s="53" t="s">
        <v>171</v>
      </c>
      <c r="C66" s="54" t="s">
        <v>172</v>
      </c>
      <c r="D66" s="55" t="s">
        <v>191</v>
      </c>
      <c r="E66" s="54" t="s">
        <v>192</v>
      </c>
      <c r="F66" s="55" t="s">
        <v>175</v>
      </c>
      <c r="G66" s="55" t="s">
        <v>298</v>
      </c>
      <c r="H66" s="54" t="s">
        <v>299</v>
      </c>
      <c r="I66" s="53" t="s">
        <v>316</v>
      </c>
      <c r="J66" s="54" t="s">
        <v>317</v>
      </c>
      <c r="K66" s="0" t="n">
        <v>1</v>
      </c>
      <c r="L66" s="0" t="n">
        <v>0</v>
      </c>
      <c r="M66" s="0" t="n">
        <v>0</v>
      </c>
      <c r="N66" s="0" t="n">
        <v>0</v>
      </c>
      <c r="P66" s="0" t="n">
        <v>0</v>
      </c>
      <c r="Q66" s="0" t="n">
        <v>1181</v>
      </c>
      <c r="R66" s="54" t="s">
        <v>180</v>
      </c>
      <c r="S66" s="0" t="n">
        <v>0.08</v>
      </c>
      <c r="U66" s="31" t="n">
        <f aca="false">IF($B66='設定（最初に1回）'!$C$4,N(U65)+1,N(U65))</f>
        <v>61</v>
      </c>
    </row>
    <row r="67" customFormat="false" ht="15" hidden="false" customHeight="false" outlineLevel="0" collapsed="false">
      <c r="A67" s="0" t="n">
        <v>20260501</v>
      </c>
      <c r="B67" s="53" t="s">
        <v>171</v>
      </c>
      <c r="C67" s="54" t="s">
        <v>172</v>
      </c>
      <c r="D67" s="55" t="s">
        <v>191</v>
      </c>
      <c r="E67" s="54" t="s">
        <v>192</v>
      </c>
      <c r="F67" s="55" t="s">
        <v>175</v>
      </c>
      <c r="G67" s="55" t="s">
        <v>298</v>
      </c>
      <c r="H67" s="54" t="s">
        <v>299</v>
      </c>
      <c r="I67" s="53" t="s">
        <v>318</v>
      </c>
      <c r="J67" s="54" t="s">
        <v>319</v>
      </c>
      <c r="K67" s="0" t="n">
        <v>1</v>
      </c>
      <c r="L67" s="0" t="n">
        <v>73</v>
      </c>
      <c r="M67" s="0" t="n">
        <v>0</v>
      </c>
      <c r="N67" s="0" t="n">
        <v>73</v>
      </c>
      <c r="P67" s="0" t="n">
        <v>0</v>
      </c>
      <c r="Q67" s="0" t="n">
        <v>730</v>
      </c>
      <c r="R67" s="54" t="s">
        <v>180</v>
      </c>
      <c r="S67" s="0" t="n">
        <v>0.08</v>
      </c>
      <c r="U67" s="31" t="n">
        <f aca="false">IF($B67='設定（最初に1回）'!$C$4,N(U66)+1,N(U66))</f>
        <v>62</v>
      </c>
    </row>
    <row r="68" customFormat="false" ht="15" hidden="false" customHeight="false" outlineLevel="0" collapsed="false">
      <c r="A68" s="0" t="n">
        <v>20260501</v>
      </c>
      <c r="B68" s="53" t="s">
        <v>171</v>
      </c>
      <c r="C68" s="54" t="s">
        <v>172</v>
      </c>
      <c r="D68" s="55" t="s">
        <v>191</v>
      </c>
      <c r="E68" s="54" t="s">
        <v>192</v>
      </c>
      <c r="F68" s="55" t="s">
        <v>175</v>
      </c>
      <c r="G68" s="55" t="s">
        <v>298</v>
      </c>
      <c r="H68" s="54" t="s">
        <v>299</v>
      </c>
      <c r="I68" s="53" t="s">
        <v>320</v>
      </c>
      <c r="J68" s="54" t="s">
        <v>321</v>
      </c>
      <c r="K68" s="0" t="n">
        <v>1</v>
      </c>
      <c r="L68" s="0" t="n">
        <v>30</v>
      </c>
      <c r="M68" s="0" t="n">
        <v>0</v>
      </c>
      <c r="N68" s="0" t="n">
        <v>30</v>
      </c>
      <c r="P68" s="0" t="n">
        <v>0</v>
      </c>
      <c r="Q68" s="0" t="n">
        <v>804</v>
      </c>
      <c r="R68" s="54" t="s">
        <v>180</v>
      </c>
      <c r="S68" s="0" t="n">
        <v>0.08</v>
      </c>
      <c r="U68" s="31" t="n">
        <f aca="false">IF($B68='設定（最初に1回）'!$C$4,N(U67)+1,N(U67))</f>
        <v>63</v>
      </c>
    </row>
    <row r="69" customFormat="false" ht="15" hidden="false" customHeight="false" outlineLevel="0" collapsed="false">
      <c r="A69" s="0" t="n">
        <v>20260501</v>
      </c>
      <c r="B69" s="53" t="s">
        <v>171</v>
      </c>
      <c r="C69" s="54" t="s">
        <v>172</v>
      </c>
      <c r="D69" s="55" t="s">
        <v>191</v>
      </c>
      <c r="E69" s="54" t="s">
        <v>192</v>
      </c>
      <c r="F69" s="55" t="s">
        <v>175</v>
      </c>
      <c r="G69" s="55" t="s">
        <v>298</v>
      </c>
      <c r="H69" s="54" t="s">
        <v>299</v>
      </c>
      <c r="I69" s="53" t="s">
        <v>322</v>
      </c>
      <c r="J69" s="54" t="s">
        <v>323</v>
      </c>
      <c r="K69" s="0" t="n">
        <v>1</v>
      </c>
      <c r="L69" s="0" t="n">
        <v>15</v>
      </c>
      <c r="M69" s="0" t="n">
        <v>0</v>
      </c>
      <c r="N69" s="0" t="n">
        <v>15</v>
      </c>
      <c r="P69" s="0" t="n">
        <v>0</v>
      </c>
      <c r="Q69" s="0" t="n">
        <v>1181</v>
      </c>
      <c r="R69" s="54" t="s">
        <v>180</v>
      </c>
      <c r="S69" s="0" t="n">
        <v>0.08</v>
      </c>
      <c r="U69" s="31" t="n">
        <f aca="false">IF($B69='設定（最初に1回）'!$C$4,N(U68)+1,N(U68))</f>
        <v>64</v>
      </c>
    </row>
    <row r="70" customFormat="false" ht="15" hidden="false" customHeight="false" outlineLevel="0" collapsed="false">
      <c r="A70" s="0" t="n">
        <v>20260501</v>
      </c>
      <c r="B70" s="53" t="s">
        <v>171</v>
      </c>
      <c r="C70" s="54" t="s">
        <v>172</v>
      </c>
      <c r="D70" s="55" t="s">
        <v>191</v>
      </c>
      <c r="E70" s="54" t="s">
        <v>192</v>
      </c>
      <c r="F70" s="55" t="s">
        <v>175</v>
      </c>
      <c r="G70" s="55" t="s">
        <v>324</v>
      </c>
      <c r="H70" s="54" t="s">
        <v>325</v>
      </c>
      <c r="I70" s="53" t="s">
        <v>326</v>
      </c>
      <c r="J70" s="54" t="s">
        <v>327</v>
      </c>
      <c r="K70" s="0" t="n">
        <v>120</v>
      </c>
      <c r="L70" s="0" t="n">
        <v>0</v>
      </c>
      <c r="M70" s="0" t="n">
        <v>14</v>
      </c>
      <c r="N70" s="0" t="n">
        <v>14</v>
      </c>
      <c r="P70" s="0" t="n">
        <v>0</v>
      </c>
      <c r="Q70" s="0" t="n">
        <v>174</v>
      </c>
      <c r="R70" s="54" t="s">
        <v>180</v>
      </c>
      <c r="S70" s="0" t="n">
        <v>0.08</v>
      </c>
      <c r="U70" s="31" t="n">
        <f aca="false">IF($B70='設定（最初に1回）'!$C$4,N(U69)+1,N(U69))</f>
        <v>65</v>
      </c>
    </row>
    <row r="71" customFormat="false" ht="15" hidden="false" customHeight="false" outlineLevel="0" collapsed="false">
      <c r="A71" s="0" t="n">
        <v>20260501</v>
      </c>
      <c r="B71" s="53" t="s">
        <v>171</v>
      </c>
      <c r="C71" s="54" t="s">
        <v>172</v>
      </c>
      <c r="D71" s="55" t="s">
        <v>191</v>
      </c>
      <c r="E71" s="54" t="s">
        <v>192</v>
      </c>
      <c r="F71" s="55" t="s">
        <v>175</v>
      </c>
      <c r="G71" s="55" t="s">
        <v>324</v>
      </c>
      <c r="H71" s="54" t="s">
        <v>325</v>
      </c>
      <c r="I71" s="53" t="s">
        <v>328</v>
      </c>
      <c r="J71" s="54" t="s">
        <v>329</v>
      </c>
      <c r="K71" s="0" t="n">
        <v>120</v>
      </c>
      <c r="L71" s="0" t="n">
        <v>4</v>
      </c>
      <c r="M71" s="0" t="n">
        <v>114</v>
      </c>
      <c r="N71" s="0" t="n">
        <v>594</v>
      </c>
      <c r="P71" s="0" t="n">
        <v>0</v>
      </c>
      <c r="Q71" s="0" t="n">
        <v>162</v>
      </c>
      <c r="R71" s="54" t="s">
        <v>180</v>
      </c>
      <c r="S71" s="0" t="n">
        <v>0.08</v>
      </c>
      <c r="U71" s="31" t="n">
        <f aca="false">IF($B71='設定（最初に1回）'!$C$4,N(U70)+1,N(U70))</f>
        <v>66</v>
      </c>
    </row>
    <row r="72" customFormat="false" ht="15" hidden="false" customHeight="false" outlineLevel="0" collapsed="false">
      <c r="A72" s="0" t="n">
        <v>20260501</v>
      </c>
      <c r="B72" s="53" t="s">
        <v>171</v>
      </c>
      <c r="C72" s="54" t="s">
        <v>172</v>
      </c>
      <c r="D72" s="55" t="s">
        <v>191</v>
      </c>
      <c r="E72" s="54" t="s">
        <v>192</v>
      </c>
      <c r="F72" s="55" t="s">
        <v>175</v>
      </c>
      <c r="G72" s="55" t="s">
        <v>330</v>
      </c>
      <c r="H72" s="54" t="s">
        <v>331</v>
      </c>
      <c r="I72" s="53" t="s">
        <v>332</v>
      </c>
      <c r="J72" s="54" t="s">
        <v>333</v>
      </c>
      <c r="K72" s="0" t="n">
        <v>1</v>
      </c>
      <c r="L72" s="0" t="n">
        <v>75</v>
      </c>
      <c r="M72" s="0" t="n">
        <v>0</v>
      </c>
      <c r="N72" s="0" t="n">
        <v>75</v>
      </c>
      <c r="P72" s="0" t="n">
        <v>0</v>
      </c>
      <c r="Q72" s="0" t="n">
        <v>458</v>
      </c>
      <c r="R72" s="54" t="s">
        <v>180</v>
      </c>
      <c r="S72" s="0" t="n">
        <v>0.08</v>
      </c>
      <c r="U72" s="31" t="n">
        <f aca="false">IF($B72='設定（最初に1回）'!$C$4,N(U71)+1,N(U71))</f>
        <v>67</v>
      </c>
    </row>
    <row r="73" customFormat="false" ht="15" hidden="false" customHeight="false" outlineLevel="0" collapsed="false">
      <c r="A73" s="0" t="n">
        <v>20260501</v>
      </c>
      <c r="B73" s="53" t="s">
        <v>171</v>
      </c>
      <c r="C73" s="54" t="s">
        <v>172</v>
      </c>
      <c r="D73" s="55" t="s">
        <v>191</v>
      </c>
      <c r="E73" s="54" t="s">
        <v>192</v>
      </c>
      <c r="F73" s="55" t="s">
        <v>175</v>
      </c>
      <c r="G73" s="55" t="s">
        <v>330</v>
      </c>
      <c r="H73" s="54" t="s">
        <v>331</v>
      </c>
      <c r="I73" s="53" t="s">
        <v>334</v>
      </c>
      <c r="J73" s="54" t="s">
        <v>335</v>
      </c>
      <c r="K73" s="0" t="n">
        <v>1</v>
      </c>
      <c r="L73" s="0" t="n">
        <v>4</v>
      </c>
      <c r="M73" s="0" t="n">
        <v>0</v>
      </c>
      <c r="N73" s="0" t="n">
        <v>4</v>
      </c>
      <c r="P73" s="0" t="n">
        <v>0</v>
      </c>
      <c r="Q73" s="0" t="n">
        <v>452</v>
      </c>
      <c r="R73" s="54" t="s">
        <v>180</v>
      </c>
      <c r="S73" s="0" t="n">
        <v>0.08</v>
      </c>
      <c r="U73" s="31" t="n">
        <f aca="false">IF($B73='設定（最初に1回）'!$C$4,N(U72)+1,N(U72))</f>
        <v>68</v>
      </c>
    </row>
    <row r="74" customFormat="false" ht="15" hidden="false" customHeight="false" outlineLevel="0" collapsed="false">
      <c r="A74" s="0" t="n">
        <v>20260501</v>
      </c>
      <c r="B74" s="53" t="s">
        <v>171</v>
      </c>
      <c r="C74" s="54" t="s">
        <v>172</v>
      </c>
      <c r="D74" s="55" t="s">
        <v>191</v>
      </c>
      <c r="E74" s="54" t="s">
        <v>192</v>
      </c>
      <c r="F74" s="55" t="s">
        <v>175</v>
      </c>
      <c r="G74" s="55" t="s">
        <v>330</v>
      </c>
      <c r="H74" s="54" t="s">
        <v>331</v>
      </c>
      <c r="I74" s="53" t="s">
        <v>336</v>
      </c>
      <c r="J74" s="54" t="s">
        <v>337</v>
      </c>
      <c r="K74" s="0" t="n">
        <v>1</v>
      </c>
      <c r="L74" s="0" t="n">
        <v>15</v>
      </c>
      <c r="M74" s="0" t="n">
        <v>0</v>
      </c>
      <c r="N74" s="0" t="n">
        <v>15</v>
      </c>
      <c r="P74" s="0" t="n">
        <v>0</v>
      </c>
      <c r="Q74" s="0" t="n">
        <v>371</v>
      </c>
      <c r="R74" s="54" t="s">
        <v>180</v>
      </c>
      <c r="S74" s="0" t="n">
        <v>0.08</v>
      </c>
      <c r="U74" s="31" t="n">
        <f aca="false">IF($B74='設定（最初に1回）'!$C$4,N(U73)+1,N(U73))</f>
        <v>69</v>
      </c>
    </row>
    <row r="75" customFormat="false" ht="15" hidden="false" customHeight="false" outlineLevel="0" collapsed="false">
      <c r="A75" s="0" t="n">
        <v>20260501</v>
      </c>
      <c r="B75" s="53" t="s">
        <v>171</v>
      </c>
      <c r="C75" s="54" t="s">
        <v>172</v>
      </c>
      <c r="D75" s="55" t="s">
        <v>191</v>
      </c>
      <c r="E75" s="54" t="s">
        <v>192</v>
      </c>
      <c r="F75" s="55" t="s">
        <v>175</v>
      </c>
      <c r="G75" s="55" t="s">
        <v>330</v>
      </c>
      <c r="H75" s="54" t="s">
        <v>331</v>
      </c>
      <c r="I75" s="53" t="s">
        <v>338</v>
      </c>
      <c r="J75" s="54" t="s">
        <v>339</v>
      </c>
      <c r="K75" s="0" t="n">
        <v>1</v>
      </c>
      <c r="L75" s="0" t="n">
        <v>38</v>
      </c>
      <c r="M75" s="0" t="n">
        <v>0</v>
      </c>
      <c r="N75" s="0" t="n">
        <v>38</v>
      </c>
      <c r="P75" s="0" t="n">
        <v>0</v>
      </c>
      <c r="Q75" s="0" t="n">
        <v>822</v>
      </c>
      <c r="R75" s="54" t="s">
        <v>180</v>
      </c>
      <c r="S75" s="0" t="n">
        <v>0.08</v>
      </c>
      <c r="U75" s="31" t="n">
        <f aca="false">IF($B75='設定（最初に1回）'!$C$4,N(U74)+1,N(U74))</f>
        <v>70</v>
      </c>
    </row>
    <row r="76" customFormat="false" ht="15" hidden="false" customHeight="false" outlineLevel="0" collapsed="false">
      <c r="A76" s="0" t="n">
        <v>20260501</v>
      </c>
      <c r="B76" s="53" t="s">
        <v>171</v>
      </c>
      <c r="C76" s="54" t="s">
        <v>172</v>
      </c>
      <c r="D76" s="55" t="s">
        <v>191</v>
      </c>
      <c r="E76" s="54" t="s">
        <v>192</v>
      </c>
      <c r="F76" s="55" t="s">
        <v>175</v>
      </c>
      <c r="G76" s="55" t="s">
        <v>340</v>
      </c>
      <c r="H76" s="54" t="s">
        <v>341</v>
      </c>
      <c r="I76" s="53" t="s">
        <v>342</v>
      </c>
      <c r="J76" s="54" t="s">
        <v>343</v>
      </c>
      <c r="K76" s="0" t="n">
        <v>50</v>
      </c>
      <c r="L76" s="0" t="n">
        <v>0</v>
      </c>
      <c r="M76" s="0" t="n">
        <v>2</v>
      </c>
      <c r="N76" s="0" t="n">
        <v>2</v>
      </c>
      <c r="P76" s="0" t="n">
        <v>0</v>
      </c>
      <c r="Q76" s="0" t="n">
        <v>274</v>
      </c>
      <c r="R76" s="54" t="s">
        <v>180</v>
      </c>
      <c r="S76" s="0" t="n">
        <v>0.1</v>
      </c>
      <c r="U76" s="31" t="n">
        <f aca="false">IF($B76='設定（最初に1回）'!$C$4,N(U75)+1,N(U75))</f>
        <v>71</v>
      </c>
    </row>
    <row r="77" customFormat="false" ht="15" hidden="false" customHeight="false" outlineLevel="0" collapsed="false">
      <c r="A77" s="0" t="n">
        <v>20260501</v>
      </c>
      <c r="B77" s="53" t="s">
        <v>171</v>
      </c>
      <c r="C77" s="54" t="s">
        <v>172</v>
      </c>
      <c r="D77" s="55" t="s">
        <v>191</v>
      </c>
      <c r="E77" s="54" t="s">
        <v>192</v>
      </c>
      <c r="F77" s="55" t="s">
        <v>175</v>
      </c>
      <c r="G77" s="55" t="s">
        <v>340</v>
      </c>
      <c r="H77" s="54" t="s">
        <v>341</v>
      </c>
      <c r="I77" s="53" t="s">
        <v>344</v>
      </c>
      <c r="J77" s="54" t="s">
        <v>345</v>
      </c>
      <c r="K77" s="0" t="n">
        <v>50</v>
      </c>
      <c r="L77" s="0" t="n">
        <v>0</v>
      </c>
      <c r="M77" s="0" t="n">
        <v>0</v>
      </c>
      <c r="N77" s="0" t="n">
        <v>0</v>
      </c>
      <c r="P77" s="0" t="n">
        <v>0</v>
      </c>
      <c r="Q77" s="0" t="n">
        <v>393</v>
      </c>
      <c r="R77" s="54" t="s">
        <v>180</v>
      </c>
      <c r="S77" s="0" t="n">
        <v>0.1</v>
      </c>
      <c r="U77" s="31" t="n">
        <f aca="false">IF($B77='設定（最初に1回）'!$C$4,N(U76)+1,N(U76))</f>
        <v>72</v>
      </c>
    </row>
    <row r="78" customFormat="false" ht="15" hidden="false" customHeight="false" outlineLevel="0" collapsed="false">
      <c r="A78" s="0" t="n">
        <v>20260501</v>
      </c>
      <c r="B78" s="53" t="s">
        <v>171</v>
      </c>
      <c r="C78" s="54" t="s">
        <v>172</v>
      </c>
      <c r="D78" s="55" t="s">
        <v>191</v>
      </c>
      <c r="E78" s="54" t="s">
        <v>192</v>
      </c>
      <c r="F78" s="55" t="s">
        <v>175</v>
      </c>
      <c r="G78" s="55" t="s">
        <v>346</v>
      </c>
      <c r="H78" s="54" t="s">
        <v>347</v>
      </c>
      <c r="I78" s="53" t="s">
        <v>348</v>
      </c>
      <c r="J78" s="54" t="s">
        <v>349</v>
      </c>
      <c r="K78" s="0" t="n">
        <v>1000</v>
      </c>
      <c r="L78" s="0" t="n">
        <v>1</v>
      </c>
      <c r="M78" s="0" t="n">
        <v>857</v>
      </c>
      <c r="N78" s="0" t="n">
        <v>1857</v>
      </c>
      <c r="P78" s="0" t="n">
        <v>0</v>
      </c>
      <c r="Q78" s="0" t="n">
        <v>9</v>
      </c>
      <c r="R78" s="54" t="s">
        <v>180</v>
      </c>
      <c r="S78" s="0" t="n">
        <v>0.1</v>
      </c>
      <c r="U78" s="31" t="n">
        <f aca="false">IF($B78='設定（最初に1回）'!$C$4,N(U77)+1,N(U77))</f>
        <v>73</v>
      </c>
    </row>
    <row r="79" customFormat="false" ht="15" hidden="false" customHeight="false" outlineLevel="0" collapsed="false">
      <c r="A79" s="0" t="n">
        <v>20260501</v>
      </c>
      <c r="B79" s="53" t="s">
        <v>171</v>
      </c>
      <c r="C79" s="54" t="s">
        <v>172</v>
      </c>
      <c r="D79" s="55" t="s">
        <v>191</v>
      </c>
      <c r="E79" s="54" t="s">
        <v>192</v>
      </c>
      <c r="F79" s="55" t="s">
        <v>175</v>
      </c>
      <c r="G79" s="55" t="s">
        <v>346</v>
      </c>
      <c r="H79" s="54" t="s">
        <v>347</v>
      </c>
      <c r="I79" s="53" t="s">
        <v>350</v>
      </c>
      <c r="J79" s="54" t="s">
        <v>351</v>
      </c>
      <c r="K79" s="0" t="n">
        <v>2000</v>
      </c>
      <c r="L79" s="0" t="n">
        <v>5</v>
      </c>
      <c r="M79" s="0" t="n">
        <v>1838</v>
      </c>
      <c r="N79" s="0" t="n">
        <v>11838</v>
      </c>
      <c r="P79" s="0" t="n">
        <v>0</v>
      </c>
      <c r="Q79" s="0" t="n">
        <v>5.6</v>
      </c>
      <c r="R79" s="54" t="s">
        <v>180</v>
      </c>
      <c r="S79" s="0" t="n">
        <v>0.1</v>
      </c>
      <c r="U79" s="31" t="n">
        <f aca="false">IF($B79='設定（最初に1回）'!$C$4,N(U78)+1,N(U78))</f>
        <v>74</v>
      </c>
    </row>
    <row r="80" customFormat="false" ht="15" hidden="false" customHeight="false" outlineLevel="0" collapsed="false">
      <c r="A80" s="0" t="n">
        <v>20260501</v>
      </c>
      <c r="B80" s="53" t="s">
        <v>171</v>
      </c>
      <c r="C80" s="54" t="s">
        <v>172</v>
      </c>
      <c r="D80" s="55" t="s">
        <v>191</v>
      </c>
      <c r="E80" s="54" t="s">
        <v>192</v>
      </c>
      <c r="F80" s="55" t="s">
        <v>175</v>
      </c>
      <c r="G80" s="55" t="s">
        <v>346</v>
      </c>
      <c r="H80" s="54" t="s">
        <v>347</v>
      </c>
      <c r="I80" s="53" t="s">
        <v>352</v>
      </c>
      <c r="J80" s="54" t="s">
        <v>353</v>
      </c>
      <c r="K80" s="0" t="n">
        <v>1500</v>
      </c>
      <c r="L80" s="0" t="n">
        <v>1</v>
      </c>
      <c r="M80" s="0" t="n">
        <v>652</v>
      </c>
      <c r="N80" s="0" t="n">
        <v>2152</v>
      </c>
      <c r="P80" s="0" t="n">
        <v>0</v>
      </c>
      <c r="Q80" s="0" t="n">
        <v>9</v>
      </c>
      <c r="R80" s="54" t="s">
        <v>180</v>
      </c>
      <c r="S80" s="0" t="n">
        <v>0.1</v>
      </c>
      <c r="U80" s="31" t="n">
        <f aca="false">IF($B80='設定（最初に1回）'!$C$4,N(U79)+1,N(U79))</f>
        <v>75</v>
      </c>
    </row>
    <row r="81" customFormat="false" ht="15" hidden="false" customHeight="false" outlineLevel="0" collapsed="false">
      <c r="A81" s="0" t="n">
        <v>20260501</v>
      </c>
      <c r="B81" s="53" t="s">
        <v>171</v>
      </c>
      <c r="C81" s="54" t="s">
        <v>172</v>
      </c>
      <c r="D81" s="55" t="s">
        <v>191</v>
      </c>
      <c r="E81" s="54" t="s">
        <v>192</v>
      </c>
      <c r="F81" s="55" t="s">
        <v>175</v>
      </c>
      <c r="G81" s="55" t="s">
        <v>346</v>
      </c>
      <c r="H81" s="54" t="s">
        <v>347</v>
      </c>
      <c r="I81" s="53" t="s">
        <v>354</v>
      </c>
      <c r="J81" s="54" t="s">
        <v>355</v>
      </c>
      <c r="K81" s="0" t="n">
        <v>3000</v>
      </c>
      <c r="L81" s="0" t="n">
        <v>4</v>
      </c>
      <c r="M81" s="0" t="n">
        <v>588</v>
      </c>
      <c r="N81" s="0" t="n">
        <v>12588</v>
      </c>
      <c r="P81" s="0" t="n">
        <v>0</v>
      </c>
      <c r="Q81" s="0" t="n">
        <v>3.26</v>
      </c>
      <c r="R81" s="54" t="s">
        <v>180</v>
      </c>
      <c r="S81" s="0" t="n">
        <v>0.1</v>
      </c>
      <c r="U81" s="31" t="n">
        <f aca="false">IF($B81='設定（最初に1回）'!$C$4,N(U80)+1,N(U80))</f>
        <v>76</v>
      </c>
    </row>
    <row r="82" customFormat="false" ht="15" hidden="false" customHeight="false" outlineLevel="0" collapsed="false">
      <c r="A82" s="0" t="n">
        <v>20260501</v>
      </c>
      <c r="B82" s="53" t="s">
        <v>171</v>
      </c>
      <c r="C82" s="54" t="s">
        <v>172</v>
      </c>
      <c r="D82" s="55" t="s">
        <v>191</v>
      </c>
      <c r="E82" s="54" t="s">
        <v>192</v>
      </c>
      <c r="F82" s="55" t="s">
        <v>175</v>
      </c>
      <c r="G82" s="55" t="s">
        <v>346</v>
      </c>
      <c r="H82" s="54" t="s">
        <v>347</v>
      </c>
      <c r="I82" s="53" t="s">
        <v>356</v>
      </c>
      <c r="J82" s="54" t="s">
        <v>357</v>
      </c>
      <c r="K82" s="0" t="n">
        <v>10000</v>
      </c>
      <c r="L82" s="0" t="n">
        <v>0</v>
      </c>
      <c r="M82" s="0" t="n">
        <v>0</v>
      </c>
      <c r="N82" s="0" t="n">
        <v>0</v>
      </c>
      <c r="P82" s="0" t="n">
        <v>0</v>
      </c>
      <c r="Q82" s="0" t="n">
        <v>1.05</v>
      </c>
      <c r="R82" s="54" t="s">
        <v>180</v>
      </c>
      <c r="S82" s="0" t="n">
        <v>0.1</v>
      </c>
      <c r="U82" s="31" t="n">
        <f aca="false">IF($B82='設定（最初に1回）'!$C$4,N(U81)+1,N(U81))</f>
        <v>77</v>
      </c>
    </row>
    <row r="83" customFormat="false" ht="15" hidden="false" customHeight="false" outlineLevel="0" collapsed="false">
      <c r="A83" s="0" t="n">
        <v>20260501</v>
      </c>
      <c r="B83" s="53" t="s">
        <v>171</v>
      </c>
      <c r="C83" s="54" t="s">
        <v>172</v>
      </c>
      <c r="D83" s="55" t="s">
        <v>191</v>
      </c>
      <c r="E83" s="54" t="s">
        <v>192</v>
      </c>
      <c r="F83" s="55" t="s">
        <v>175</v>
      </c>
      <c r="G83" s="55" t="s">
        <v>346</v>
      </c>
      <c r="H83" s="54" t="s">
        <v>347</v>
      </c>
      <c r="I83" s="53" t="s">
        <v>358</v>
      </c>
      <c r="J83" s="54" t="s">
        <v>359</v>
      </c>
      <c r="K83" s="0" t="n">
        <v>10000</v>
      </c>
      <c r="L83" s="0" t="n">
        <v>0</v>
      </c>
      <c r="M83" s="0" t="n">
        <v>0</v>
      </c>
      <c r="N83" s="0" t="n">
        <v>0</v>
      </c>
      <c r="P83" s="0" t="n">
        <v>0</v>
      </c>
      <c r="Q83" s="0" t="n">
        <v>1.05</v>
      </c>
      <c r="R83" s="54" t="s">
        <v>180</v>
      </c>
      <c r="S83" s="0" t="n">
        <v>0.1</v>
      </c>
      <c r="U83" s="31" t="n">
        <f aca="false">IF($B83='設定（最初に1回）'!$C$4,N(U82)+1,N(U82))</f>
        <v>78</v>
      </c>
    </row>
    <row r="84" customFormat="false" ht="15" hidden="false" customHeight="false" outlineLevel="0" collapsed="false">
      <c r="A84" s="0" t="n">
        <v>20260501</v>
      </c>
      <c r="B84" s="53" t="s">
        <v>171</v>
      </c>
      <c r="C84" s="54" t="s">
        <v>172</v>
      </c>
      <c r="D84" s="55" t="s">
        <v>191</v>
      </c>
      <c r="E84" s="54" t="s">
        <v>192</v>
      </c>
      <c r="F84" s="55" t="s">
        <v>175</v>
      </c>
      <c r="G84" s="55" t="s">
        <v>346</v>
      </c>
      <c r="H84" s="54" t="s">
        <v>347</v>
      </c>
      <c r="I84" s="53" t="s">
        <v>360</v>
      </c>
      <c r="J84" s="54" t="s">
        <v>361</v>
      </c>
      <c r="K84" s="0" t="n">
        <v>200</v>
      </c>
      <c r="L84" s="0" t="n">
        <v>10</v>
      </c>
      <c r="M84" s="0" t="n">
        <v>134</v>
      </c>
      <c r="N84" s="0" t="n">
        <v>2134</v>
      </c>
      <c r="P84" s="0" t="n">
        <v>0</v>
      </c>
      <c r="Q84" s="0" t="n">
        <v>5.03</v>
      </c>
      <c r="R84" s="54" t="s">
        <v>180</v>
      </c>
      <c r="S84" s="0" t="n">
        <v>0.1</v>
      </c>
      <c r="U84" s="31" t="n">
        <f aca="false">IF($B84='設定（最初に1回）'!$C$4,N(U83)+1,N(U83))</f>
        <v>79</v>
      </c>
    </row>
    <row r="85" customFormat="false" ht="15" hidden="false" customHeight="false" outlineLevel="0" collapsed="false">
      <c r="A85" s="0" t="n">
        <v>20260501</v>
      </c>
      <c r="B85" s="53" t="s">
        <v>171</v>
      </c>
      <c r="C85" s="54" t="s">
        <v>172</v>
      </c>
      <c r="D85" s="55" t="s">
        <v>191</v>
      </c>
      <c r="E85" s="54" t="s">
        <v>192</v>
      </c>
      <c r="F85" s="55" t="s">
        <v>175</v>
      </c>
      <c r="G85" s="55" t="s">
        <v>346</v>
      </c>
      <c r="H85" s="54" t="s">
        <v>347</v>
      </c>
      <c r="I85" s="53" t="s">
        <v>362</v>
      </c>
      <c r="J85" s="54" t="s">
        <v>363</v>
      </c>
      <c r="K85" s="0" t="n">
        <v>1000</v>
      </c>
      <c r="L85" s="0" t="n">
        <v>1</v>
      </c>
      <c r="M85" s="0" t="n">
        <v>300</v>
      </c>
      <c r="N85" s="0" t="n">
        <v>1300</v>
      </c>
      <c r="P85" s="0" t="n">
        <v>0</v>
      </c>
      <c r="Q85" s="0" t="n">
        <v>4.56</v>
      </c>
      <c r="R85" s="54" t="s">
        <v>180</v>
      </c>
      <c r="S85" s="0" t="n">
        <v>0.1</v>
      </c>
      <c r="U85" s="31" t="n">
        <f aca="false">IF($B85='設定（最初に1回）'!$C$4,N(U84)+1,N(U84))</f>
        <v>80</v>
      </c>
    </row>
    <row r="86" customFormat="false" ht="15" hidden="false" customHeight="false" outlineLevel="0" collapsed="false">
      <c r="A86" s="0" t="n">
        <v>20260501</v>
      </c>
      <c r="B86" s="53" t="s">
        <v>171</v>
      </c>
      <c r="C86" s="54" t="s">
        <v>172</v>
      </c>
      <c r="D86" s="55" t="s">
        <v>191</v>
      </c>
      <c r="E86" s="54" t="s">
        <v>192</v>
      </c>
      <c r="F86" s="55" t="s">
        <v>175</v>
      </c>
      <c r="G86" s="55" t="s">
        <v>346</v>
      </c>
      <c r="H86" s="54" t="s">
        <v>347</v>
      </c>
      <c r="I86" s="53" t="s">
        <v>364</v>
      </c>
      <c r="J86" s="54" t="s">
        <v>365</v>
      </c>
      <c r="K86" s="0" t="n">
        <v>600</v>
      </c>
      <c r="L86" s="0" t="n">
        <v>7</v>
      </c>
      <c r="M86" s="0" t="n">
        <v>9</v>
      </c>
      <c r="N86" s="0" t="n">
        <v>4209</v>
      </c>
      <c r="P86" s="0" t="n">
        <v>0</v>
      </c>
      <c r="Q86" s="0" t="n">
        <v>8.93</v>
      </c>
      <c r="R86" s="54" t="s">
        <v>180</v>
      </c>
      <c r="S86" s="0" t="n">
        <v>0.1</v>
      </c>
      <c r="U86" s="31" t="n">
        <f aca="false">IF($B86='設定（最初に1回）'!$C$4,N(U85)+1,N(U85))</f>
        <v>81</v>
      </c>
    </row>
    <row r="87" customFormat="false" ht="15" hidden="false" customHeight="false" outlineLevel="0" collapsed="false">
      <c r="A87" s="0" t="n">
        <v>20260501</v>
      </c>
      <c r="B87" s="53" t="s">
        <v>171</v>
      </c>
      <c r="C87" s="54" t="s">
        <v>172</v>
      </c>
      <c r="D87" s="55" t="s">
        <v>191</v>
      </c>
      <c r="E87" s="54" t="s">
        <v>192</v>
      </c>
      <c r="F87" s="55" t="s">
        <v>175</v>
      </c>
      <c r="G87" s="55" t="s">
        <v>346</v>
      </c>
      <c r="H87" s="54" t="s">
        <v>347</v>
      </c>
      <c r="I87" s="53" t="s">
        <v>366</v>
      </c>
      <c r="J87" s="54" t="s">
        <v>367</v>
      </c>
      <c r="K87" s="0" t="n">
        <v>300</v>
      </c>
      <c r="L87" s="0" t="n">
        <v>5</v>
      </c>
      <c r="M87" s="0" t="n">
        <v>139</v>
      </c>
      <c r="N87" s="0" t="n">
        <v>1639</v>
      </c>
      <c r="P87" s="0" t="n">
        <v>0</v>
      </c>
      <c r="Q87" s="0" t="n">
        <v>15.66</v>
      </c>
      <c r="R87" s="54" t="s">
        <v>180</v>
      </c>
      <c r="S87" s="0" t="n">
        <v>0.1</v>
      </c>
      <c r="U87" s="31" t="n">
        <f aca="false">IF($B87='設定（最初に1回）'!$C$4,N(U86)+1,N(U86))</f>
        <v>82</v>
      </c>
    </row>
    <row r="88" customFormat="false" ht="15" hidden="false" customHeight="false" outlineLevel="0" collapsed="false">
      <c r="A88" s="0" t="n">
        <v>20260501</v>
      </c>
      <c r="B88" s="53" t="s">
        <v>171</v>
      </c>
      <c r="C88" s="54" t="s">
        <v>172</v>
      </c>
      <c r="D88" s="55" t="s">
        <v>191</v>
      </c>
      <c r="E88" s="54" t="s">
        <v>192</v>
      </c>
      <c r="F88" s="55" t="s">
        <v>175</v>
      </c>
      <c r="G88" s="55" t="s">
        <v>346</v>
      </c>
      <c r="H88" s="54" t="s">
        <v>347</v>
      </c>
      <c r="I88" s="53" t="s">
        <v>368</v>
      </c>
      <c r="J88" s="54" t="s">
        <v>369</v>
      </c>
      <c r="K88" s="0" t="n">
        <v>300</v>
      </c>
      <c r="L88" s="0" t="n">
        <v>29</v>
      </c>
      <c r="M88" s="0" t="n">
        <v>203</v>
      </c>
      <c r="N88" s="0" t="n">
        <v>8903</v>
      </c>
      <c r="P88" s="0" t="n">
        <v>0</v>
      </c>
      <c r="Q88" s="0" t="n">
        <v>18.55</v>
      </c>
      <c r="R88" s="54" t="s">
        <v>180</v>
      </c>
      <c r="S88" s="0" t="n">
        <v>0.1</v>
      </c>
      <c r="U88" s="31" t="n">
        <f aca="false">IF($B88='設定（最初に1回）'!$C$4,N(U87)+1,N(U87))</f>
        <v>83</v>
      </c>
    </row>
    <row r="89" customFormat="false" ht="15" hidden="false" customHeight="false" outlineLevel="0" collapsed="false">
      <c r="A89" s="0" t="n">
        <v>20260501</v>
      </c>
      <c r="B89" s="53" t="s">
        <v>171</v>
      </c>
      <c r="C89" s="54" t="s">
        <v>172</v>
      </c>
      <c r="D89" s="55" t="s">
        <v>191</v>
      </c>
      <c r="E89" s="54" t="s">
        <v>192</v>
      </c>
      <c r="F89" s="55" t="s">
        <v>175</v>
      </c>
      <c r="G89" s="55" t="s">
        <v>346</v>
      </c>
      <c r="H89" s="54" t="s">
        <v>347</v>
      </c>
      <c r="I89" s="53" t="s">
        <v>370</v>
      </c>
      <c r="J89" s="54" t="s">
        <v>371</v>
      </c>
      <c r="K89" s="0" t="n">
        <v>240</v>
      </c>
      <c r="L89" s="0" t="n">
        <v>0</v>
      </c>
      <c r="M89" s="0" t="n">
        <v>110</v>
      </c>
      <c r="N89" s="0" t="n">
        <v>110</v>
      </c>
      <c r="P89" s="0" t="n">
        <v>0</v>
      </c>
      <c r="Q89" s="0" t="n">
        <v>57.35</v>
      </c>
      <c r="R89" s="54" t="s">
        <v>180</v>
      </c>
      <c r="S89" s="0" t="n">
        <v>0.1</v>
      </c>
      <c r="U89" s="31" t="n">
        <f aca="false">IF($B89='設定（最初に1回）'!$C$4,N(U88)+1,N(U88))</f>
        <v>84</v>
      </c>
    </row>
    <row r="90" customFormat="false" ht="15" hidden="false" customHeight="false" outlineLevel="0" collapsed="false">
      <c r="A90" s="0" t="n">
        <v>20260501</v>
      </c>
      <c r="B90" s="53" t="s">
        <v>171</v>
      </c>
      <c r="C90" s="54" t="s">
        <v>172</v>
      </c>
      <c r="D90" s="55" t="s">
        <v>191</v>
      </c>
      <c r="E90" s="54" t="s">
        <v>192</v>
      </c>
      <c r="F90" s="55" t="s">
        <v>175</v>
      </c>
      <c r="G90" s="55" t="s">
        <v>346</v>
      </c>
      <c r="H90" s="54" t="s">
        <v>347</v>
      </c>
      <c r="I90" s="53" t="s">
        <v>372</v>
      </c>
      <c r="J90" s="54" t="s">
        <v>373</v>
      </c>
      <c r="K90" s="0" t="n">
        <v>100</v>
      </c>
      <c r="L90" s="0" t="n">
        <v>5</v>
      </c>
      <c r="M90" s="0" t="n">
        <v>51</v>
      </c>
      <c r="N90" s="0" t="n">
        <v>551</v>
      </c>
      <c r="P90" s="0" t="n">
        <v>0</v>
      </c>
      <c r="Q90" s="0" t="n">
        <v>6.67</v>
      </c>
      <c r="R90" s="54" t="s">
        <v>180</v>
      </c>
      <c r="S90" s="0" t="n">
        <v>0.1</v>
      </c>
      <c r="U90" s="31" t="n">
        <f aca="false">IF($B90='設定（最初に1回）'!$C$4,N(U89)+1,N(U89))</f>
        <v>85</v>
      </c>
    </row>
    <row r="91" customFormat="false" ht="15" hidden="false" customHeight="false" outlineLevel="0" collapsed="false">
      <c r="A91" s="0" t="n">
        <v>20260501</v>
      </c>
      <c r="B91" s="53" t="s">
        <v>171</v>
      </c>
      <c r="C91" s="54" t="s">
        <v>172</v>
      </c>
      <c r="D91" s="55" t="s">
        <v>191</v>
      </c>
      <c r="E91" s="54" t="s">
        <v>192</v>
      </c>
      <c r="F91" s="55" t="s">
        <v>175</v>
      </c>
      <c r="G91" s="55" t="s">
        <v>346</v>
      </c>
      <c r="H91" s="54" t="s">
        <v>347</v>
      </c>
      <c r="I91" s="53" t="s">
        <v>374</v>
      </c>
      <c r="J91" s="54" t="s">
        <v>375</v>
      </c>
      <c r="K91" s="0" t="n">
        <v>1500</v>
      </c>
      <c r="L91" s="0" t="n">
        <v>3</v>
      </c>
      <c r="M91" s="0" t="n">
        <v>157</v>
      </c>
      <c r="N91" s="0" t="n">
        <v>4657</v>
      </c>
      <c r="P91" s="0" t="n">
        <v>0</v>
      </c>
      <c r="Q91" s="0" t="n">
        <v>5.71</v>
      </c>
      <c r="R91" s="54" t="s">
        <v>180</v>
      </c>
      <c r="S91" s="0" t="n">
        <v>0.1</v>
      </c>
      <c r="U91" s="31" t="n">
        <f aca="false">IF($B91='設定（最初に1回）'!$C$4,N(U90)+1,N(U90))</f>
        <v>86</v>
      </c>
    </row>
    <row r="92" customFormat="false" ht="15" hidden="false" customHeight="false" outlineLevel="0" collapsed="false">
      <c r="A92" s="0" t="n">
        <v>20260501</v>
      </c>
      <c r="B92" s="53" t="s">
        <v>171</v>
      </c>
      <c r="C92" s="54" t="s">
        <v>172</v>
      </c>
      <c r="D92" s="55" t="s">
        <v>191</v>
      </c>
      <c r="E92" s="54" t="s">
        <v>192</v>
      </c>
      <c r="F92" s="55" t="s">
        <v>175</v>
      </c>
      <c r="G92" s="55" t="s">
        <v>346</v>
      </c>
      <c r="H92" s="54" t="s">
        <v>347</v>
      </c>
      <c r="I92" s="53" t="s">
        <v>376</v>
      </c>
      <c r="J92" s="54" t="s">
        <v>377</v>
      </c>
      <c r="K92" s="0" t="n">
        <v>2000</v>
      </c>
      <c r="L92" s="0" t="n">
        <v>0</v>
      </c>
      <c r="M92" s="0" t="n">
        <v>232</v>
      </c>
      <c r="N92" s="0" t="n">
        <v>232</v>
      </c>
      <c r="P92" s="0" t="n">
        <v>0</v>
      </c>
      <c r="Q92" s="0" t="n">
        <v>8.26</v>
      </c>
      <c r="R92" s="54" t="s">
        <v>180</v>
      </c>
      <c r="S92" s="0" t="n">
        <v>0.1</v>
      </c>
      <c r="U92" s="31" t="n">
        <f aca="false">IF($B92='設定（最初に1回）'!$C$4,N(U91)+1,N(U91))</f>
        <v>87</v>
      </c>
    </row>
    <row r="93" customFormat="false" ht="15" hidden="false" customHeight="false" outlineLevel="0" collapsed="false">
      <c r="A93" s="0" t="n">
        <v>20260501</v>
      </c>
      <c r="B93" s="53" t="s">
        <v>171</v>
      </c>
      <c r="C93" s="54" t="s">
        <v>172</v>
      </c>
      <c r="D93" s="55" t="s">
        <v>191</v>
      </c>
      <c r="E93" s="54" t="s">
        <v>192</v>
      </c>
      <c r="F93" s="55" t="s">
        <v>175</v>
      </c>
      <c r="G93" s="55" t="s">
        <v>346</v>
      </c>
      <c r="H93" s="54" t="s">
        <v>347</v>
      </c>
      <c r="I93" s="53" t="s">
        <v>378</v>
      </c>
      <c r="J93" s="54" t="s">
        <v>379</v>
      </c>
      <c r="K93" s="0" t="n">
        <v>300</v>
      </c>
      <c r="L93" s="0" t="n">
        <v>0</v>
      </c>
      <c r="M93" s="0" t="n">
        <v>32</v>
      </c>
      <c r="N93" s="0" t="n">
        <v>32</v>
      </c>
      <c r="P93" s="0" t="n">
        <v>0</v>
      </c>
      <c r="Q93" s="0" t="n">
        <v>23.2</v>
      </c>
      <c r="R93" s="54" t="s">
        <v>180</v>
      </c>
      <c r="S93" s="0" t="n">
        <v>0.1</v>
      </c>
      <c r="U93" s="31" t="n">
        <f aca="false">IF($B93='設定（最初に1回）'!$C$4,N(U92)+1,N(U92))</f>
        <v>88</v>
      </c>
    </row>
    <row r="94" customFormat="false" ht="15" hidden="false" customHeight="false" outlineLevel="0" collapsed="false">
      <c r="A94" s="0" t="n">
        <v>20260501</v>
      </c>
      <c r="B94" s="53" t="s">
        <v>171</v>
      </c>
      <c r="C94" s="54" t="s">
        <v>172</v>
      </c>
      <c r="D94" s="55" t="s">
        <v>191</v>
      </c>
      <c r="E94" s="54" t="s">
        <v>192</v>
      </c>
      <c r="F94" s="55" t="s">
        <v>175</v>
      </c>
      <c r="G94" s="55" t="s">
        <v>346</v>
      </c>
      <c r="H94" s="54" t="s">
        <v>347</v>
      </c>
      <c r="I94" s="53" t="s">
        <v>380</v>
      </c>
      <c r="J94" s="54" t="s">
        <v>381</v>
      </c>
      <c r="K94" s="0" t="n">
        <v>2000</v>
      </c>
      <c r="L94" s="0" t="n">
        <v>2</v>
      </c>
      <c r="M94" s="0" t="n">
        <v>1432</v>
      </c>
      <c r="N94" s="0" t="n">
        <v>5432</v>
      </c>
      <c r="P94" s="0" t="n">
        <v>0</v>
      </c>
      <c r="Q94" s="0" t="n">
        <v>4.41</v>
      </c>
      <c r="R94" s="54" t="s">
        <v>180</v>
      </c>
      <c r="S94" s="0" t="n">
        <v>0.1</v>
      </c>
      <c r="U94" s="31" t="n">
        <f aca="false">IF($B94='設定（最初に1回）'!$C$4,N(U93)+1,N(U93))</f>
        <v>89</v>
      </c>
    </row>
    <row r="95" customFormat="false" ht="15" hidden="false" customHeight="false" outlineLevel="0" collapsed="false">
      <c r="A95" s="0" t="n">
        <v>20260501</v>
      </c>
      <c r="B95" s="53" t="s">
        <v>171</v>
      </c>
      <c r="C95" s="54" t="s">
        <v>172</v>
      </c>
      <c r="D95" s="55" t="s">
        <v>191</v>
      </c>
      <c r="E95" s="54" t="s">
        <v>192</v>
      </c>
      <c r="F95" s="55" t="s">
        <v>175</v>
      </c>
      <c r="G95" s="55" t="s">
        <v>346</v>
      </c>
      <c r="H95" s="54" t="s">
        <v>347</v>
      </c>
      <c r="I95" s="53" t="s">
        <v>382</v>
      </c>
      <c r="J95" s="54" t="s">
        <v>383</v>
      </c>
      <c r="K95" s="0" t="n">
        <v>1000</v>
      </c>
      <c r="L95" s="0" t="n">
        <v>0</v>
      </c>
      <c r="M95" s="0" t="n">
        <v>240</v>
      </c>
      <c r="N95" s="0" t="n">
        <v>240</v>
      </c>
      <c r="P95" s="0" t="n">
        <v>0</v>
      </c>
      <c r="Q95" s="0" t="n">
        <v>19.69</v>
      </c>
      <c r="R95" s="54" t="s">
        <v>180</v>
      </c>
      <c r="S95" s="0" t="n">
        <v>0.1</v>
      </c>
      <c r="U95" s="31" t="n">
        <f aca="false">IF($B95='設定（最初に1回）'!$C$4,N(U94)+1,N(U94))</f>
        <v>90</v>
      </c>
    </row>
    <row r="96" customFormat="false" ht="15" hidden="false" customHeight="false" outlineLevel="0" collapsed="false">
      <c r="A96" s="0" t="n">
        <v>20260501</v>
      </c>
      <c r="B96" s="53" t="s">
        <v>171</v>
      </c>
      <c r="C96" s="54" t="s">
        <v>172</v>
      </c>
      <c r="D96" s="55" t="s">
        <v>191</v>
      </c>
      <c r="E96" s="54" t="s">
        <v>192</v>
      </c>
      <c r="F96" s="55" t="s">
        <v>175</v>
      </c>
      <c r="G96" s="55" t="s">
        <v>346</v>
      </c>
      <c r="H96" s="54" t="s">
        <v>347</v>
      </c>
      <c r="I96" s="53" t="s">
        <v>384</v>
      </c>
      <c r="J96" s="54" t="s">
        <v>385</v>
      </c>
      <c r="K96" s="0" t="n">
        <v>1000</v>
      </c>
      <c r="L96" s="0" t="n">
        <v>13</v>
      </c>
      <c r="M96" s="0" t="n">
        <v>994</v>
      </c>
      <c r="N96" s="0" t="n">
        <v>13994</v>
      </c>
      <c r="P96" s="0" t="n">
        <v>0</v>
      </c>
      <c r="Q96" s="0" t="n">
        <v>10.58</v>
      </c>
      <c r="R96" s="54" t="s">
        <v>180</v>
      </c>
      <c r="S96" s="0" t="n">
        <v>0.1</v>
      </c>
      <c r="U96" s="31" t="n">
        <f aca="false">IF($B96='設定（最初に1回）'!$C$4,N(U95)+1,N(U95))</f>
        <v>91</v>
      </c>
    </row>
    <row r="97" customFormat="false" ht="15" hidden="false" customHeight="false" outlineLevel="0" collapsed="false">
      <c r="A97" s="0" t="n">
        <v>20260501</v>
      </c>
      <c r="B97" s="53" t="s">
        <v>171</v>
      </c>
      <c r="C97" s="54" t="s">
        <v>172</v>
      </c>
      <c r="D97" s="55" t="s">
        <v>191</v>
      </c>
      <c r="E97" s="54" t="s">
        <v>192</v>
      </c>
      <c r="F97" s="55" t="s">
        <v>175</v>
      </c>
      <c r="G97" s="55" t="s">
        <v>346</v>
      </c>
      <c r="H97" s="54" t="s">
        <v>347</v>
      </c>
      <c r="I97" s="53" t="s">
        <v>386</v>
      </c>
      <c r="J97" s="54" t="s">
        <v>387</v>
      </c>
      <c r="K97" s="0" t="n">
        <v>5000</v>
      </c>
      <c r="L97" s="0" t="n">
        <v>5</v>
      </c>
      <c r="M97" s="0" t="n">
        <v>2135</v>
      </c>
      <c r="N97" s="0" t="n">
        <v>27135</v>
      </c>
      <c r="P97" s="0" t="n">
        <v>0</v>
      </c>
      <c r="Q97" s="0" t="n">
        <v>5.39</v>
      </c>
      <c r="R97" s="54" t="s">
        <v>180</v>
      </c>
      <c r="S97" s="0" t="n">
        <v>0.1</v>
      </c>
      <c r="U97" s="31" t="n">
        <f aca="false">IF($B97='設定（最初に1回）'!$C$4,N(U96)+1,N(U96))</f>
        <v>92</v>
      </c>
    </row>
    <row r="98" customFormat="false" ht="15" hidden="false" customHeight="false" outlineLevel="0" collapsed="false">
      <c r="A98" s="0" t="n">
        <v>20260501</v>
      </c>
      <c r="B98" s="53" t="s">
        <v>171</v>
      </c>
      <c r="C98" s="54" t="s">
        <v>172</v>
      </c>
      <c r="D98" s="55" t="s">
        <v>191</v>
      </c>
      <c r="E98" s="54" t="s">
        <v>192</v>
      </c>
      <c r="F98" s="55" t="s">
        <v>175</v>
      </c>
      <c r="G98" s="55" t="s">
        <v>346</v>
      </c>
      <c r="H98" s="54" t="s">
        <v>347</v>
      </c>
      <c r="I98" s="53" t="s">
        <v>388</v>
      </c>
      <c r="J98" s="54" t="s">
        <v>389</v>
      </c>
      <c r="K98" s="0" t="n">
        <v>400</v>
      </c>
      <c r="L98" s="0" t="n">
        <v>0</v>
      </c>
      <c r="M98" s="0" t="n">
        <v>313</v>
      </c>
      <c r="N98" s="0" t="n">
        <v>313</v>
      </c>
      <c r="P98" s="0" t="n">
        <v>0</v>
      </c>
      <c r="Q98" s="0" t="n">
        <v>52.02</v>
      </c>
      <c r="R98" s="54" t="s">
        <v>180</v>
      </c>
      <c r="S98" s="0" t="n">
        <v>0.1</v>
      </c>
      <c r="U98" s="31" t="n">
        <f aca="false">IF($B98='設定（最初に1回）'!$C$4,N(U97)+1,N(U97))</f>
        <v>93</v>
      </c>
    </row>
    <row r="99" customFormat="false" ht="15" hidden="false" customHeight="false" outlineLevel="0" collapsed="false">
      <c r="A99" s="0" t="n">
        <v>20260501</v>
      </c>
      <c r="B99" s="53" t="s">
        <v>171</v>
      </c>
      <c r="C99" s="54" t="s">
        <v>172</v>
      </c>
      <c r="D99" s="55" t="s">
        <v>191</v>
      </c>
      <c r="E99" s="54" t="s">
        <v>192</v>
      </c>
      <c r="F99" s="55" t="s">
        <v>175</v>
      </c>
      <c r="G99" s="55" t="s">
        <v>346</v>
      </c>
      <c r="H99" s="54" t="s">
        <v>347</v>
      </c>
      <c r="I99" s="53" t="s">
        <v>390</v>
      </c>
      <c r="J99" s="54" t="s">
        <v>391</v>
      </c>
      <c r="K99" s="0" t="n">
        <v>300</v>
      </c>
      <c r="L99" s="0" t="n">
        <v>1</v>
      </c>
      <c r="M99" s="0" t="n">
        <v>126</v>
      </c>
      <c r="N99" s="0" t="n">
        <v>426</v>
      </c>
      <c r="P99" s="0" t="n">
        <v>0</v>
      </c>
      <c r="Q99" s="0" t="n">
        <v>82.02</v>
      </c>
      <c r="R99" s="54" t="s">
        <v>180</v>
      </c>
      <c r="S99" s="0" t="n">
        <v>0.1</v>
      </c>
      <c r="U99" s="31" t="n">
        <f aca="false">IF($B99='設定（最初に1回）'!$C$4,N(U98)+1,N(U98))</f>
        <v>94</v>
      </c>
    </row>
    <row r="100" customFormat="false" ht="15" hidden="false" customHeight="false" outlineLevel="0" collapsed="false">
      <c r="A100" s="0" t="n">
        <v>20260501</v>
      </c>
      <c r="B100" s="53" t="s">
        <v>171</v>
      </c>
      <c r="C100" s="54" t="s">
        <v>172</v>
      </c>
      <c r="D100" s="55" t="s">
        <v>191</v>
      </c>
      <c r="E100" s="54" t="s">
        <v>192</v>
      </c>
      <c r="F100" s="55" t="s">
        <v>175</v>
      </c>
      <c r="G100" s="55" t="s">
        <v>346</v>
      </c>
      <c r="H100" s="54" t="s">
        <v>347</v>
      </c>
      <c r="I100" s="53" t="s">
        <v>392</v>
      </c>
      <c r="J100" s="54" t="s">
        <v>393</v>
      </c>
      <c r="K100" s="0" t="n">
        <v>50</v>
      </c>
      <c r="L100" s="0" t="n">
        <v>52</v>
      </c>
      <c r="M100" s="0" t="n">
        <v>13</v>
      </c>
      <c r="N100" s="0" t="n">
        <v>2613</v>
      </c>
      <c r="P100" s="0" t="n">
        <v>0</v>
      </c>
      <c r="Q100" s="0" t="n">
        <v>14.5</v>
      </c>
      <c r="R100" s="54" t="s">
        <v>180</v>
      </c>
      <c r="S100" s="0" t="n">
        <v>0.1</v>
      </c>
      <c r="U100" s="31" t="n">
        <f aca="false">IF($B100='設定（最初に1回）'!$C$4,N(U99)+1,N(U99))</f>
        <v>95</v>
      </c>
    </row>
    <row r="101" customFormat="false" ht="15" hidden="false" customHeight="false" outlineLevel="0" collapsed="false">
      <c r="A101" s="0" t="n">
        <v>20260501</v>
      </c>
      <c r="B101" s="53" t="s">
        <v>171</v>
      </c>
      <c r="C101" s="54" t="s">
        <v>172</v>
      </c>
      <c r="D101" s="55" t="s">
        <v>191</v>
      </c>
      <c r="E101" s="54" t="s">
        <v>192</v>
      </c>
      <c r="F101" s="55" t="s">
        <v>175</v>
      </c>
      <c r="G101" s="55" t="s">
        <v>346</v>
      </c>
      <c r="H101" s="54" t="s">
        <v>347</v>
      </c>
      <c r="I101" s="53" t="s">
        <v>394</v>
      </c>
      <c r="J101" s="54" t="s">
        <v>395</v>
      </c>
      <c r="K101" s="0" t="n">
        <v>1000</v>
      </c>
      <c r="L101" s="0" t="n">
        <v>0</v>
      </c>
      <c r="M101" s="0" t="n">
        <v>400</v>
      </c>
      <c r="N101" s="0" t="n">
        <v>400</v>
      </c>
      <c r="P101" s="0" t="n">
        <v>0</v>
      </c>
      <c r="Q101" s="0" t="n">
        <v>24.49</v>
      </c>
      <c r="R101" s="54" t="s">
        <v>180</v>
      </c>
      <c r="S101" s="0" t="n">
        <v>0.1</v>
      </c>
      <c r="U101" s="31" t="n">
        <f aca="false">IF($B101='設定（最初に1回）'!$C$4,N(U100)+1,N(U100))</f>
        <v>96</v>
      </c>
    </row>
    <row r="102" customFormat="false" ht="15" hidden="false" customHeight="false" outlineLevel="0" collapsed="false">
      <c r="A102" s="0" t="n">
        <v>20260501</v>
      </c>
      <c r="B102" s="53" t="s">
        <v>171</v>
      </c>
      <c r="C102" s="54" t="s">
        <v>172</v>
      </c>
      <c r="D102" s="55" t="s">
        <v>191</v>
      </c>
      <c r="E102" s="54" t="s">
        <v>192</v>
      </c>
      <c r="F102" s="55" t="s">
        <v>175</v>
      </c>
      <c r="G102" s="55" t="s">
        <v>346</v>
      </c>
      <c r="H102" s="54" t="s">
        <v>347</v>
      </c>
      <c r="I102" s="53" t="s">
        <v>396</v>
      </c>
      <c r="J102" s="54" t="s">
        <v>397</v>
      </c>
      <c r="K102" s="0" t="n">
        <v>1000</v>
      </c>
      <c r="L102" s="0" t="n">
        <v>2</v>
      </c>
      <c r="M102" s="0" t="n">
        <v>27</v>
      </c>
      <c r="N102" s="0" t="n">
        <v>2027</v>
      </c>
      <c r="P102" s="0" t="n">
        <v>0</v>
      </c>
      <c r="Q102" s="0" t="n">
        <v>18</v>
      </c>
      <c r="R102" s="54" t="s">
        <v>180</v>
      </c>
      <c r="S102" s="0" t="n">
        <v>0.1</v>
      </c>
      <c r="U102" s="31" t="n">
        <f aca="false">IF($B102='設定（最初に1回）'!$C$4,N(U101)+1,N(U101))</f>
        <v>97</v>
      </c>
    </row>
    <row r="103" customFormat="false" ht="15" hidden="false" customHeight="false" outlineLevel="0" collapsed="false">
      <c r="A103" s="0" t="n">
        <v>20260501</v>
      </c>
      <c r="B103" s="53" t="s">
        <v>171</v>
      </c>
      <c r="C103" s="54" t="s">
        <v>172</v>
      </c>
      <c r="D103" s="55" t="s">
        <v>191</v>
      </c>
      <c r="E103" s="54" t="s">
        <v>192</v>
      </c>
      <c r="F103" s="55" t="s">
        <v>175</v>
      </c>
      <c r="G103" s="55" t="s">
        <v>346</v>
      </c>
      <c r="H103" s="54" t="s">
        <v>347</v>
      </c>
      <c r="I103" s="53" t="s">
        <v>398</v>
      </c>
      <c r="J103" s="54" t="s">
        <v>399</v>
      </c>
      <c r="K103" s="0" t="n">
        <v>1200</v>
      </c>
      <c r="L103" s="0" t="n">
        <v>8</v>
      </c>
      <c r="M103" s="0" t="n">
        <v>803</v>
      </c>
      <c r="N103" s="0" t="n">
        <v>10403</v>
      </c>
      <c r="P103" s="0" t="n">
        <v>0</v>
      </c>
      <c r="Q103" s="0" t="n">
        <v>5.63</v>
      </c>
      <c r="R103" s="54" t="s">
        <v>180</v>
      </c>
      <c r="S103" s="0" t="n">
        <v>0.1</v>
      </c>
      <c r="U103" s="31" t="n">
        <f aca="false">IF($B103='設定（最初に1回）'!$C$4,N(U102)+1,N(U102))</f>
        <v>98</v>
      </c>
    </row>
    <row r="104" customFormat="false" ht="15" hidden="false" customHeight="false" outlineLevel="0" collapsed="false">
      <c r="A104" s="0" t="n">
        <v>20260501</v>
      </c>
      <c r="B104" s="53" t="s">
        <v>171</v>
      </c>
      <c r="C104" s="54" t="s">
        <v>172</v>
      </c>
      <c r="D104" s="55" t="s">
        <v>191</v>
      </c>
      <c r="E104" s="54" t="s">
        <v>192</v>
      </c>
      <c r="F104" s="55" t="s">
        <v>175</v>
      </c>
      <c r="G104" s="55" t="s">
        <v>346</v>
      </c>
      <c r="H104" s="54" t="s">
        <v>347</v>
      </c>
      <c r="I104" s="53" t="s">
        <v>400</v>
      </c>
      <c r="J104" s="54" t="s">
        <v>401</v>
      </c>
      <c r="K104" s="0" t="n">
        <v>900</v>
      </c>
      <c r="L104" s="0" t="n">
        <v>30</v>
      </c>
      <c r="M104" s="0" t="n">
        <v>0</v>
      </c>
      <c r="N104" s="0" t="n">
        <v>27000</v>
      </c>
      <c r="P104" s="0" t="n">
        <v>0</v>
      </c>
      <c r="Q104" s="0" t="n">
        <v>5.07</v>
      </c>
      <c r="R104" s="54" t="s">
        <v>180</v>
      </c>
      <c r="S104" s="0" t="n">
        <v>0.1</v>
      </c>
      <c r="U104" s="31" t="n">
        <f aca="false">IF($B104='設定（最初に1回）'!$C$4,N(U103)+1,N(U103))</f>
        <v>99</v>
      </c>
    </row>
    <row r="105" customFormat="false" ht="15" hidden="false" customHeight="false" outlineLevel="0" collapsed="false">
      <c r="A105" s="0" t="n">
        <v>20260501</v>
      </c>
      <c r="B105" s="53" t="s">
        <v>171</v>
      </c>
      <c r="C105" s="54" t="s">
        <v>172</v>
      </c>
      <c r="D105" s="55" t="s">
        <v>191</v>
      </c>
      <c r="E105" s="54" t="s">
        <v>192</v>
      </c>
      <c r="F105" s="55" t="s">
        <v>175</v>
      </c>
      <c r="G105" s="55" t="s">
        <v>346</v>
      </c>
      <c r="H105" s="54" t="s">
        <v>347</v>
      </c>
      <c r="I105" s="53" t="s">
        <v>402</v>
      </c>
      <c r="J105" s="54" t="s">
        <v>403</v>
      </c>
      <c r="K105" s="0" t="n">
        <v>300</v>
      </c>
      <c r="L105" s="0" t="n">
        <v>0</v>
      </c>
      <c r="M105" s="0" t="n">
        <v>0</v>
      </c>
      <c r="N105" s="0" t="n">
        <v>0</v>
      </c>
      <c r="P105" s="0" t="n">
        <v>0</v>
      </c>
      <c r="Q105" s="0" t="n">
        <v>17.95</v>
      </c>
      <c r="R105" s="54" t="s">
        <v>180</v>
      </c>
      <c r="S105" s="0" t="n">
        <v>0.1</v>
      </c>
      <c r="U105" s="31" t="n">
        <f aca="false">IF($B105='設定（最初に1回）'!$C$4,N(U104)+1,N(U104))</f>
        <v>100</v>
      </c>
    </row>
    <row r="106" customFormat="false" ht="15" hidden="false" customHeight="false" outlineLevel="0" collapsed="false">
      <c r="A106" s="0" t="n">
        <v>20260501</v>
      </c>
      <c r="B106" s="53" t="s">
        <v>171</v>
      </c>
      <c r="C106" s="54" t="s">
        <v>172</v>
      </c>
      <c r="D106" s="55" t="s">
        <v>191</v>
      </c>
      <c r="E106" s="54" t="s">
        <v>192</v>
      </c>
      <c r="F106" s="55" t="s">
        <v>175</v>
      </c>
      <c r="G106" s="55" t="s">
        <v>346</v>
      </c>
      <c r="H106" s="54" t="s">
        <v>347</v>
      </c>
      <c r="I106" s="53" t="s">
        <v>404</v>
      </c>
      <c r="J106" s="54" t="s">
        <v>405</v>
      </c>
      <c r="K106" s="0" t="n">
        <v>200</v>
      </c>
      <c r="L106" s="0" t="n">
        <v>37</v>
      </c>
      <c r="M106" s="0" t="n">
        <v>113</v>
      </c>
      <c r="N106" s="0" t="n">
        <v>7513</v>
      </c>
      <c r="P106" s="0" t="n">
        <v>0</v>
      </c>
      <c r="Q106" s="0" t="n">
        <v>5.03</v>
      </c>
      <c r="R106" s="54" t="s">
        <v>180</v>
      </c>
      <c r="S106" s="0" t="n">
        <v>0.1</v>
      </c>
      <c r="U106" s="31" t="n">
        <f aca="false">IF($B106='設定（最初に1回）'!$C$4,N(U105)+1,N(U105))</f>
        <v>101</v>
      </c>
    </row>
    <row r="107" customFormat="false" ht="15" hidden="false" customHeight="false" outlineLevel="0" collapsed="false">
      <c r="A107" s="0" t="n">
        <v>20260501</v>
      </c>
      <c r="B107" s="53" t="s">
        <v>171</v>
      </c>
      <c r="C107" s="54" t="s">
        <v>172</v>
      </c>
      <c r="D107" s="55" t="s">
        <v>191</v>
      </c>
      <c r="E107" s="54" t="s">
        <v>192</v>
      </c>
      <c r="F107" s="55" t="s">
        <v>175</v>
      </c>
      <c r="G107" s="55" t="s">
        <v>346</v>
      </c>
      <c r="H107" s="54" t="s">
        <v>347</v>
      </c>
      <c r="I107" s="53" t="s">
        <v>406</v>
      </c>
      <c r="J107" s="54" t="s">
        <v>407</v>
      </c>
      <c r="K107" s="0" t="n">
        <v>1000</v>
      </c>
      <c r="L107" s="0" t="n">
        <v>1</v>
      </c>
      <c r="M107" s="0" t="n">
        <v>672</v>
      </c>
      <c r="N107" s="0" t="n">
        <v>1672</v>
      </c>
      <c r="P107" s="0" t="n">
        <v>0</v>
      </c>
      <c r="Q107" s="0" t="n">
        <v>15.3</v>
      </c>
      <c r="R107" s="54" t="s">
        <v>180</v>
      </c>
      <c r="S107" s="0" t="n">
        <v>0.1</v>
      </c>
      <c r="U107" s="31" t="n">
        <f aca="false">IF($B107='設定（最初に1回）'!$C$4,N(U106)+1,N(U106))</f>
        <v>102</v>
      </c>
    </row>
    <row r="108" customFormat="false" ht="15" hidden="false" customHeight="false" outlineLevel="0" collapsed="false">
      <c r="A108" s="0" t="n">
        <v>20260501</v>
      </c>
      <c r="B108" s="53" t="s">
        <v>171</v>
      </c>
      <c r="C108" s="54" t="s">
        <v>172</v>
      </c>
      <c r="D108" s="55" t="s">
        <v>191</v>
      </c>
      <c r="E108" s="54" t="s">
        <v>192</v>
      </c>
      <c r="F108" s="55" t="s">
        <v>175</v>
      </c>
      <c r="G108" s="55" t="s">
        <v>346</v>
      </c>
      <c r="H108" s="54" t="s">
        <v>347</v>
      </c>
      <c r="I108" s="53" t="s">
        <v>408</v>
      </c>
      <c r="J108" s="54" t="s">
        <v>409</v>
      </c>
      <c r="K108" s="0" t="n">
        <v>3000</v>
      </c>
      <c r="L108" s="0" t="n">
        <v>3</v>
      </c>
      <c r="M108" s="0" t="n">
        <v>1634</v>
      </c>
      <c r="N108" s="0" t="n">
        <v>10634</v>
      </c>
      <c r="P108" s="0" t="n">
        <v>0</v>
      </c>
      <c r="Q108" s="0" t="n">
        <v>2.05</v>
      </c>
      <c r="R108" s="54" t="s">
        <v>180</v>
      </c>
      <c r="S108" s="0" t="n">
        <v>0.1</v>
      </c>
      <c r="U108" s="31" t="n">
        <f aca="false">IF($B108='設定（最初に1回）'!$C$4,N(U107)+1,N(U107))</f>
        <v>103</v>
      </c>
    </row>
    <row r="109" customFormat="false" ht="15" hidden="false" customHeight="false" outlineLevel="0" collapsed="false">
      <c r="A109" s="0" t="n">
        <v>20260501</v>
      </c>
      <c r="B109" s="53" t="s">
        <v>171</v>
      </c>
      <c r="C109" s="54" t="s">
        <v>172</v>
      </c>
      <c r="D109" s="55" t="s">
        <v>191</v>
      </c>
      <c r="E109" s="54" t="s">
        <v>192</v>
      </c>
      <c r="F109" s="55" t="s">
        <v>175</v>
      </c>
      <c r="G109" s="55" t="s">
        <v>346</v>
      </c>
      <c r="H109" s="54" t="s">
        <v>347</v>
      </c>
      <c r="I109" s="53" t="s">
        <v>410</v>
      </c>
      <c r="J109" s="54" t="s">
        <v>411</v>
      </c>
      <c r="K109" s="0" t="n">
        <v>2000</v>
      </c>
      <c r="L109" s="0" t="n">
        <v>3</v>
      </c>
      <c r="M109" s="0" t="n">
        <v>1800</v>
      </c>
      <c r="N109" s="0" t="n">
        <v>7800</v>
      </c>
      <c r="P109" s="0" t="n">
        <v>0</v>
      </c>
      <c r="Q109" s="0" t="n">
        <v>3.18</v>
      </c>
      <c r="R109" s="54" t="s">
        <v>180</v>
      </c>
      <c r="S109" s="0" t="n">
        <v>0.1</v>
      </c>
      <c r="U109" s="31" t="n">
        <f aca="false">IF($B109='設定（最初に1回）'!$C$4,N(U108)+1,N(U108))</f>
        <v>104</v>
      </c>
    </row>
    <row r="110" customFormat="false" ht="15" hidden="false" customHeight="false" outlineLevel="0" collapsed="false">
      <c r="A110" s="0" t="n">
        <v>20260501</v>
      </c>
      <c r="B110" s="53" t="s">
        <v>171</v>
      </c>
      <c r="C110" s="54" t="s">
        <v>172</v>
      </c>
      <c r="D110" s="55" t="s">
        <v>191</v>
      </c>
      <c r="E110" s="54" t="s">
        <v>192</v>
      </c>
      <c r="F110" s="55" t="s">
        <v>175</v>
      </c>
      <c r="G110" s="55" t="s">
        <v>346</v>
      </c>
      <c r="H110" s="54" t="s">
        <v>347</v>
      </c>
      <c r="I110" s="53" t="s">
        <v>412</v>
      </c>
      <c r="J110" s="54" t="s">
        <v>413</v>
      </c>
      <c r="K110" s="0" t="n">
        <v>2500</v>
      </c>
      <c r="L110" s="0" t="n">
        <v>4</v>
      </c>
      <c r="M110" s="0" t="n">
        <v>1000</v>
      </c>
      <c r="N110" s="0" t="n">
        <v>11000</v>
      </c>
      <c r="P110" s="0" t="n">
        <v>0</v>
      </c>
      <c r="Q110" s="0" t="n">
        <v>4.06</v>
      </c>
      <c r="R110" s="54" t="s">
        <v>180</v>
      </c>
      <c r="S110" s="0" t="n">
        <v>0.1</v>
      </c>
      <c r="U110" s="31" t="n">
        <f aca="false">IF($B110='設定（最初に1回）'!$C$4,N(U109)+1,N(U109))</f>
        <v>105</v>
      </c>
    </row>
    <row r="111" customFormat="false" ht="15" hidden="false" customHeight="false" outlineLevel="0" collapsed="false">
      <c r="A111" s="0" t="n">
        <v>20260501</v>
      </c>
      <c r="B111" s="53" t="s">
        <v>171</v>
      </c>
      <c r="C111" s="54" t="s">
        <v>172</v>
      </c>
      <c r="D111" s="55" t="s">
        <v>191</v>
      </c>
      <c r="E111" s="54" t="s">
        <v>192</v>
      </c>
      <c r="F111" s="55" t="s">
        <v>175</v>
      </c>
      <c r="G111" s="55" t="s">
        <v>346</v>
      </c>
      <c r="H111" s="54" t="s">
        <v>347</v>
      </c>
      <c r="I111" s="53" t="s">
        <v>414</v>
      </c>
      <c r="J111" s="54" t="s">
        <v>415</v>
      </c>
      <c r="K111" s="0" t="n">
        <v>900</v>
      </c>
      <c r="L111" s="0" t="n">
        <v>0</v>
      </c>
      <c r="M111" s="0" t="n">
        <v>0</v>
      </c>
      <c r="N111" s="0" t="n">
        <v>0</v>
      </c>
      <c r="P111" s="0" t="n">
        <v>0</v>
      </c>
      <c r="Q111" s="0" t="n">
        <v>4.84</v>
      </c>
      <c r="R111" s="54" t="s">
        <v>180</v>
      </c>
      <c r="S111" s="0" t="n">
        <v>0.1</v>
      </c>
      <c r="U111" s="31" t="n">
        <f aca="false">IF($B111='設定（最初に1回）'!$C$4,N(U110)+1,N(U110))</f>
        <v>106</v>
      </c>
    </row>
    <row r="112" customFormat="false" ht="15" hidden="false" customHeight="false" outlineLevel="0" collapsed="false">
      <c r="A112" s="0" t="n">
        <v>20260501</v>
      </c>
      <c r="B112" s="53" t="s">
        <v>171</v>
      </c>
      <c r="C112" s="54" t="s">
        <v>172</v>
      </c>
      <c r="D112" s="55" t="s">
        <v>191</v>
      </c>
      <c r="E112" s="54" t="s">
        <v>192</v>
      </c>
      <c r="F112" s="55" t="s">
        <v>175</v>
      </c>
      <c r="G112" s="55" t="s">
        <v>346</v>
      </c>
      <c r="H112" s="54" t="s">
        <v>347</v>
      </c>
      <c r="I112" s="53" t="s">
        <v>416</v>
      </c>
      <c r="J112" s="54" t="s">
        <v>417</v>
      </c>
      <c r="K112" s="0" t="n">
        <v>1000</v>
      </c>
      <c r="L112" s="0" t="n">
        <v>5</v>
      </c>
      <c r="M112" s="0" t="n">
        <v>250</v>
      </c>
      <c r="N112" s="0" t="n">
        <v>5250</v>
      </c>
      <c r="P112" s="0" t="n">
        <v>0</v>
      </c>
      <c r="Q112" s="0" t="n">
        <v>11.53</v>
      </c>
      <c r="R112" s="54" t="s">
        <v>180</v>
      </c>
      <c r="S112" s="0" t="n">
        <v>0.1</v>
      </c>
      <c r="U112" s="31" t="n">
        <f aca="false">IF($B112='設定（最初に1回）'!$C$4,N(U111)+1,N(U111))</f>
        <v>107</v>
      </c>
    </row>
    <row r="113" customFormat="false" ht="15" hidden="false" customHeight="false" outlineLevel="0" collapsed="false">
      <c r="A113" s="0" t="n">
        <v>20260501</v>
      </c>
      <c r="B113" s="53" t="s">
        <v>171</v>
      </c>
      <c r="C113" s="54" t="s">
        <v>172</v>
      </c>
      <c r="D113" s="55" t="s">
        <v>191</v>
      </c>
      <c r="E113" s="54" t="s">
        <v>192</v>
      </c>
      <c r="F113" s="55" t="s">
        <v>175</v>
      </c>
      <c r="G113" s="55" t="s">
        <v>346</v>
      </c>
      <c r="H113" s="54" t="s">
        <v>347</v>
      </c>
      <c r="I113" s="53" t="s">
        <v>418</v>
      </c>
      <c r="J113" s="54" t="s">
        <v>419</v>
      </c>
      <c r="K113" s="0" t="n">
        <v>1000</v>
      </c>
      <c r="L113" s="0" t="n">
        <v>3</v>
      </c>
      <c r="M113" s="0" t="n">
        <v>346</v>
      </c>
      <c r="N113" s="0" t="n">
        <v>3346</v>
      </c>
      <c r="P113" s="0" t="n">
        <v>0</v>
      </c>
      <c r="Q113" s="0" t="n">
        <v>8.73</v>
      </c>
      <c r="R113" s="54" t="s">
        <v>180</v>
      </c>
      <c r="S113" s="0" t="n">
        <v>0.1</v>
      </c>
      <c r="U113" s="31" t="n">
        <f aca="false">IF($B113='設定（最初に1回）'!$C$4,N(U112)+1,N(U112))</f>
        <v>108</v>
      </c>
    </row>
    <row r="114" customFormat="false" ht="15" hidden="false" customHeight="false" outlineLevel="0" collapsed="false">
      <c r="A114" s="0" t="n">
        <v>20260501</v>
      </c>
      <c r="B114" s="53" t="s">
        <v>171</v>
      </c>
      <c r="C114" s="54" t="s">
        <v>172</v>
      </c>
      <c r="D114" s="55" t="s">
        <v>191</v>
      </c>
      <c r="E114" s="54" t="s">
        <v>192</v>
      </c>
      <c r="F114" s="55" t="s">
        <v>175</v>
      </c>
      <c r="G114" s="55" t="s">
        <v>346</v>
      </c>
      <c r="H114" s="54" t="s">
        <v>347</v>
      </c>
      <c r="I114" s="53" t="s">
        <v>420</v>
      </c>
      <c r="J114" s="54" t="s">
        <v>421</v>
      </c>
      <c r="K114" s="0" t="n">
        <v>10000</v>
      </c>
      <c r="L114" s="0" t="n">
        <v>56</v>
      </c>
      <c r="M114" s="0" t="n">
        <v>5555</v>
      </c>
      <c r="N114" s="0" t="n">
        <v>565555</v>
      </c>
      <c r="P114" s="0" t="n">
        <v>0</v>
      </c>
      <c r="Q114" s="0" t="n">
        <v>1.17</v>
      </c>
      <c r="R114" s="54" t="s">
        <v>180</v>
      </c>
      <c r="S114" s="0" t="n">
        <v>0.1</v>
      </c>
      <c r="U114" s="31" t="n">
        <f aca="false">IF($B114='設定（最初に1回）'!$C$4,N(U113)+1,N(U113))</f>
        <v>109</v>
      </c>
    </row>
    <row r="115" customFormat="false" ht="15" hidden="false" customHeight="false" outlineLevel="0" collapsed="false">
      <c r="A115" s="0" t="n">
        <v>20260501</v>
      </c>
      <c r="B115" s="53" t="s">
        <v>171</v>
      </c>
      <c r="C115" s="54" t="s">
        <v>172</v>
      </c>
      <c r="D115" s="55" t="s">
        <v>191</v>
      </c>
      <c r="E115" s="54" t="s">
        <v>192</v>
      </c>
      <c r="F115" s="55" t="s">
        <v>175</v>
      </c>
      <c r="G115" s="55" t="s">
        <v>346</v>
      </c>
      <c r="H115" s="54" t="s">
        <v>347</v>
      </c>
      <c r="I115" s="53" t="s">
        <v>422</v>
      </c>
      <c r="J115" s="54" t="s">
        <v>423</v>
      </c>
      <c r="K115" s="0" t="n">
        <v>1000</v>
      </c>
      <c r="L115" s="0" t="n">
        <v>0</v>
      </c>
      <c r="M115" s="0" t="n">
        <v>0</v>
      </c>
      <c r="N115" s="0" t="n">
        <v>0</v>
      </c>
      <c r="P115" s="0" t="n">
        <v>0</v>
      </c>
      <c r="Q115" s="0" t="n">
        <v>5.36</v>
      </c>
      <c r="R115" s="54" t="s">
        <v>180</v>
      </c>
      <c r="S115" s="0" t="n">
        <v>0.1</v>
      </c>
      <c r="U115" s="31" t="n">
        <f aca="false">IF($B115='設定（最初に1回）'!$C$4,N(U114)+1,N(U114))</f>
        <v>110</v>
      </c>
    </row>
    <row r="116" customFormat="false" ht="15" hidden="false" customHeight="false" outlineLevel="0" collapsed="false">
      <c r="A116" s="0" t="n">
        <v>20260501</v>
      </c>
      <c r="B116" s="53" t="s">
        <v>171</v>
      </c>
      <c r="C116" s="54" t="s">
        <v>172</v>
      </c>
      <c r="D116" s="55" t="s">
        <v>191</v>
      </c>
      <c r="E116" s="54" t="s">
        <v>192</v>
      </c>
      <c r="F116" s="55" t="s">
        <v>175</v>
      </c>
      <c r="G116" s="55" t="s">
        <v>346</v>
      </c>
      <c r="H116" s="54" t="s">
        <v>347</v>
      </c>
      <c r="I116" s="53" t="s">
        <v>424</v>
      </c>
      <c r="J116" s="54" t="s">
        <v>425</v>
      </c>
      <c r="K116" s="0" t="n">
        <v>1000</v>
      </c>
      <c r="L116" s="0" t="n">
        <v>15</v>
      </c>
      <c r="M116" s="0" t="n">
        <v>890</v>
      </c>
      <c r="N116" s="0" t="n">
        <v>15890</v>
      </c>
      <c r="P116" s="0" t="n">
        <v>0</v>
      </c>
      <c r="Q116" s="0" t="n">
        <v>7.06</v>
      </c>
      <c r="R116" s="54" t="s">
        <v>180</v>
      </c>
      <c r="S116" s="0" t="n">
        <v>0.1</v>
      </c>
      <c r="U116" s="31" t="n">
        <f aca="false">IF($B116='設定（最初に1回）'!$C$4,N(U115)+1,N(U115))</f>
        <v>111</v>
      </c>
    </row>
    <row r="117" customFormat="false" ht="15" hidden="false" customHeight="false" outlineLevel="0" collapsed="false">
      <c r="A117" s="0" t="n">
        <v>20260501</v>
      </c>
      <c r="B117" s="53" t="s">
        <v>171</v>
      </c>
      <c r="C117" s="54" t="s">
        <v>172</v>
      </c>
      <c r="D117" s="55" t="s">
        <v>191</v>
      </c>
      <c r="E117" s="54" t="s">
        <v>192</v>
      </c>
      <c r="F117" s="55" t="s">
        <v>175</v>
      </c>
      <c r="G117" s="55" t="s">
        <v>346</v>
      </c>
      <c r="H117" s="54" t="s">
        <v>347</v>
      </c>
      <c r="I117" s="53" t="s">
        <v>426</v>
      </c>
      <c r="J117" s="54" t="s">
        <v>427</v>
      </c>
      <c r="K117" s="0" t="n">
        <v>1250</v>
      </c>
      <c r="L117" s="0" t="n">
        <v>0</v>
      </c>
      <c r="M117" s="0" t="n">
        <v>187</v>
      </c>
      <c r="N117" s="0" t="n">
        <v>187</v>
      </c>
      <c r="P117" s="0" t="n">
        <v>0</v>
      </c>
      <c r="Q117" s="0" t="n">
        <v>8.22</v>
      </c>
      <c r="R117" s="54" t="s">
        <v>180</v>
      </c>
      <c r="S117" s="0" t="n">
        <v>0.1</v>
      </c>
      <c r="U117" s="31" t="n">
        <f aca="false">IF($B117='設定（最初に1回）'!$C$4,N(U116)+1,N(U116))</f>
        <v>112</v>
      </c>
    </row>
    <row r="118" customFormat="false" ht="15" hidden="false" customHeight="false" outlineLevel="0" collapsed="false">
      <c r="A118" s="0" t="n">
        <v>20260501</v>
      </c>
      <c r="B118" s="53" t="s">
        <v>171</v>
      </c>
      <c r="C118" s="54" t="s">
        <v>172</v>
      </c>
      <c r="D118" s="55" t="s">
        <v>191</v>
      </c>
      <c r="E118" s="54" t="s">
        <v>192</v>
      </c>
      <c r="F118" s="55" t="s">
        <v>175</v>
      </c>
      <c r="G118" s="55" t="s">
        <v>346</v>
      </c>
      <c r="H118" s="54" t="s">
        <v>347</v>
      </c>
      <c r="I118" s="53" t="s">
        <v>428</v>
      </c>
      <c r="J118" s="54" t="s">
        <v>429</v>
      </c>
      <c r="K118" s="0" t="n">
        <v>300</v>
      </c>
      <c r="L118" s="0" t="n">
        <v>23</v>
      </c>
      <c r="M118" s="0" t="n">
        <v>223</v>
      </c>
      <c r="N118" s="0" t="n">
        <v>7123</v>
      </c>
      <c r="P118" s="0" t="n">
        <v>0</v>
      </c>
      <c r="Q118" s="0" t="n">
        <v>17.84</v>
      </c>
      <c r="R118" s="54" t="s">
        <v>180</v>
      </c>
      <c r="S118" s="0" t="n">
        <v>0.1</v>
      </c>
      <c r="U118" s="31" t="n">
        <f aca="false">IF($B118='設定（最初に1回）'!$C$4,N(U117)+1,N(U117))</f>
        <v>113</v>
      </c>
    </row>
    <row r="119" customFormat="false" ht="15" hidden="false" customHeight="false" outlineLevel="0" collapsed="false">
      <c r="A119" s="0" t="n">
        <v>20260501</v>
      </c>
      <c r="B119" s="53" t="s">
        <v>171</v>
      </c>
      <c r="C119" s="54" t="s">
        <v>172</v>
      </c>
      <c r="D119" s="55" t="s">
        <v>191</v>
      </c>
      <c r="E119" s="54" t="s">
        <v>192</v>
      </c>
      <c r="F119" s="55" t="s">
        <v>175</v>
      </c>
      <c r="G119" s="55" t="s">
        <v>346</v>
      </c>
      <c r="H119" s="54" t="s">
        <v>347</v>
      </c>
      <c r="I119" s="53" t="s">
        <v>430</v>
      </c>
      <c r="J119" s="54" t="s">
        <v>431</v>
      </c>
      <c r="K119" s="0" t="n">
        <v>1200</v>
      </c>
      <c r="L119" s="0" t="n">
        <v>4</v>
      </c>
      <c r="M119" s="0" t="n">
        <v>480</v>
      </c>
      <c r="N119" s="0" t="n">
        <v>5280</v>
      </c>
      <c r="P119" s="0" t="n">
        <v>0</v>
      </c>
      <c r="Q119" s="0" t="n">
        <v>5.05</v>
      </c>
      <c r="R119" s="54" t="s">
        <v>180</v>
      </c>
      <c r="S119" s="0" t="n">
        <v>0.1</v>
      </c>
      <c r="U119" s="31" t="n">
        <f aca="false">IF($B119='設定（最初に1回）'!$C$4,N(U118)+1,N(U118))</f>
        <v>114</v>
      </c>
    </row>
    <row r="120" customFormat="false" ht="15" hidden="false" customHeight="false" outlineLevel="0" collapsed="false">
      <c r="A120" s="0" t="n">
        <v>20260501</v>
      </c>
      <c r="B120" s="53" t="s">
        <v>171</v>
      </c>
      <c r="C120" s="54" t="s">
        <v>172</v>
      </c>
      <c r="D120" s="55" t="s">
        <v>191</v>
      </c>
      <c r="E120" s="54" t="s">
        <v>192</v>
      </c>
      <c r="F120" s="55" t="s">
        <v>175</v>
      </c>
      <c r="G120" s="55" t="s">
        <v>346</v>
      </c>
      <c r="H120" s="54" t="s">
        <v>347</v>
      </c>
      <c r="I120" s="53" t="s">
        <v>432</v>
      </c>
      <c r="J120" s="54" t="s">
        <v>433</v>
      </c>
      <c r="K120" s="0" t="n">
        <v>1000</v>
      </c>
      <c r="L120" s="0" t="n">
        <v>1</v>
      </c>
      <c r="M120" s="0" t="n">
        <v>0</v>
      </c>
      <c r="N120" s="0" t="n">
        <v>1000</v>
      </c>
      <c r="P120" s="0" t="n">
        <v>0</v>
      </c>
      <c r="Q120" s="0" t="n">
        <v>7.6</v>
      </c>
      <c r="R120" s="54" t="s">
        <v>180</v>
      </c>
      <c r="S120" s="0" t="n">
        <v>0.1</v>
      </c>
      <c r="U120" s="31" t="n">
        <f aca="false">IF($B120='設定（最初に1回）'!$C$4,N(U119)+1,N(U119))</f>
        <v>115</v>
      </c>
    </row>
    <row r="121" customFormat="false" ht="15" hidden="false" customHeight="false" outlineLevel="0" collapsed="false">
      <c r="A121" s="0" t="n">
        <v>20260501</v>
      </c>
      <c r="B121" s="53" t="s">
        <v>171</v>
      </c>
      <c r="C121" s="54" t="s">
        <v>172</v>
      </c>
      <c r="D121" s="55" t="s">
        <v>191</v>
      </c>
      <c r="E121" s="54" t="s">
        <v>192</v>
      </c>
      <c r="F121" s="55" t="s">
        <v>175</v>
      </c>
      <c r="G121" s="55" t="s">
        <v>346</v>
      </c>
      <c r="H121" s="54" t="s">
        <v>347</v>
      </c>
      <c r="I121" s="53" t="s">
        <v>434</v>
      </c>
      <c r="J121" s="54" t="s">
        <v>435</v>
      </c>
      <c r="K121" s="0" t="n">
        <v>450</v>
      </c>
      <c r="L121" s="0" t="n">
        <v>0</v>
      </c>
      <c r="M121" s="0" t="n">
        <v>374</v>
      </c>
      <c r="N121" s="0" t="n">
        <v>374</v>
      </c>
      <c r="P121" s="0" t="n">
        <v>0</v>
      </c>
      <c r="Q121" s="0" t="n">
        <v>15.46</v>
      </c>
      <c r="R121" s="54" t="s">
        <v>180</v>
      </c>
      <c r="S121" s="0" t="n">
        <v>0.1</v>
      </c>
      <c r="U121" s="31" t="n">
        <f aca="false">IF($B121='設定（最初に1回）'!$C$4,N(U120)+1,N(U120))</f>
        <v>116</v>
      </c>
    </row>
    <row r="122" customFormat="false" ht="15" hidden="false" customHeight="false" outlineLevel="0" collapsed="false">
      <c r="A122" s="0" t="n">
        <v>20260501</v>
      </c>
      <c r="B122" s="53" t="s">
        <v>171</v>
      </c>
      <c r="C122" s="54" t="s">
        <v>172</v>
      </c>
      <c r="D122" s="55" t="s">
        <v>191</v>
      </c>
      <c r="E122" s="54" t="s">
        <v>192</v>
      </c>
      <c r="F122" s="55" t="s">
        <v>175</v>
      </c>
      <c r="G122" s="55" t="s">
        <v>346</v>
      </c>
      <c r="H122" s="54" t="s">
        <v>347</v>
      </c>
      <c r="I122" s="53" t="s">
        <v>436</v>
      </c>
      <c r="J122" s="54" t="s">
        <v>437</v>
      </c>
      <c r="K122" s="0" t="n">
        <v>400</v>
      </c>
      <c r="L122" s="0" t="n">
        <v>-1</v>
      </c>
      <c r="M122" s="0" t="n">
        <v>365</v>
      </c>
      <c r="N122" s="0" t="n">
        <v>-35</v>
      </c>
      <c r="P122" s="0" t="n">
        <v>0</v>
      </c>
      <c r="Q122" s="0" t="n">
        <v>13.41</v>
      </c>
      <c r="R122" s="54" t="s">
        <v>180</v>
      </c>
      <c r="S122" s="0" t="n">
        <v>0.1</v>
      </c>
      <c r="U122" s="31" t="n">
        <f aca="false">IF($B122='設定（最初に1回）'!$C$4,N(U121)+1,N(U121))</f>
        <v>117</v>
      </c>
    </row>
    <row r="123" customFormat="false" ht="15" hidden="false" customHeight="false" outlineLevel="0" collapsed="false">
      <c r="A123" s="0" t="n">
        <v>20260501</v>
      </c>
      <c r="B123" s="53" t="s">
        <v>171</v>
      </c>
      <c r="C123" s="54" t="s">
        <v>172</v>
      </c>
      <c r="D123" s="55" t="s">
        <v>191</v>
      </c>
      <c r="E123" s="54" t="s">
        <v>192</v>
      </c>
      <c r="F123" s="55" t="s">
        <v>175</v>
      </c>
      <c r="G123" s="55" t="s">
        <v>346</v>
      </c>
      <c r="H123" s="54" t="s">
        <v>347</v>
      </c>
      <c r="I123" s="53" t="s">
        <v>438</v>
      </c>
      <c r="J123" s="54" t="s">
        <v>439</v>
      </c>
      <c r="K123" s="0" t="n">
        <v>600</v>
      </c>
      <c r="L123" s="0" t="n">
        <v>10</v>
      </c>
      <c r="M123" s="0" t="n">
        <v>328</v>
      </c>
      <c r="N123" s="0" t="n">
        <v>6328</v>
      </c>
      <c r="P123" s="0" t="n">
        <v>0</v>
      </c>
      <c r="Q123" s="0" t="n">
        <v>11.68</v>
      </c>
      <c r="R123" s="54" t="s">
        <v>180</v>
      </c>
      <c r="S123" s="0" t="n">
        <v>0.1</v>
      </c>
      <c r="U123" s="31" t="n">
        <f aca="false">IF($B123='設定（最初に1回）'!$C$4,N(U122)+1,N(U122))</f>
        <v>118</v>
      </c>
    </row>
    <row r="124" customFormat="false" ht="15" hidden="false" customHeight="false" outlineLevel="0" collapsed="false">
      <c r="A124" s="0" t="n">
        <v>20260501</v>
      </c>
      <c r="B124" s="53" t="s">
        <v>171</v>
      </c>
      <c r="C124" s="54" t="s">
        <v>172</v>
      </c>
      <c r="D124" s="55" t="s">
        <v>191</v>
      </c>
      <c r="E124" s="54" t="s">
        <v>192</v>
      </c>
      <c r="F124" s="55" t="s">
        <v>175</v>
      </c>
      <c r="G124" s="55" t="s">
        <v>346</v>
      </c>
      <c r="H124" s="54" t="s">
        <v>347</v>
      </c>
      <c r="I124" s="53" t="s">
        <v>440</v>
      </c>
      <c r="J124" s="54" t="s">
        <v>441</v>
      </c>
      <c r="K124" s="0" t="n">
        <v>500</v>
      </c>
      <c r="L124" s="0" t="n">
        <v>6</v>
      </c>
      <c r="M124" s="0" t="n">
        <v>0</v>
      </c>
      <c r="N124" s="0" t="n">
        <v>3000</v>
      </c>
      <c r="P124" s="0" t="n">
        <v>0</v>
      </c>
      <c r="Q124" s="0" t="n">
        <v>15.6</v>
      </c>
      <c r="R124" s="54" t="s">
        <v>180</v>
      </c>
      <c r="S124" s="0" t="n">
        <v>0.1</v>
      </c>
      <c r="U124" s="31" t="n">
        <f aca="false">IF($B124='設定（最初に1回）'!$C$4,N(U123)+1,N(U123))</f>
        <v>119</v>
      </c>
    </row>
    <row r="125" customFormat="false" ht="15" hidden="false" customHeight="false" outlineLevel="0" collapsed="false">
      <c r="A125" s="0" t="n">
        <v>20260501</v>
      </c>
      <c r="B125" s="53" t="s">
        <v>171</v>
      </c>
      <c r="C125" s="54" t="s">
        <v>172</v>
      </c>
      <c r="D125" s="55" t="s">
        <v>191</v>
      </c>
      <c r="E125" s="54" t="s">
        <v>192</v>
      </c>
      <c r="F125" s="55" t="s">
        <v>175</v>
      </c>
      <c r="G125" s="55" t="s">
        <v>346</v>
      </c>
      <c r="H125" s="54" t="s">
        <v>347</v>
      </c>
      <c r="I125" s="53" t="s">
        <v>442</v>
      </c>
      <c r="J125" s="54" t="s">
        <v>443</v>
      </c>
      <c r="K125" s="0" t="n">
        <v>500</v>
      </c>
      <c r="L125" s="0" t="n">
        <v>-1</v>
      </c>
      <c r="M125" s="0" t="n">
        <v>470</v>
      </c>
      <c r="N125" s="0" t="n">
        <v>-30</v>
      </c>
      <c r="P125" s="0" t="n">
        <v>0</v>
      </c>
      <c r="Q125" s="0" t="n">
        <v>4.48</v>
      </c>
      <c r="R125" s="54" t="s">
        <v>180</v>
      </c>
      <c r="S125" s="0" t="n">
        <v>0.1</v>
      </c>
      <c r="U125" s="31" t="n">
        <f aca="false">IF($B125='設定（最初に1回）'!$C$4,N(U124)+1,N(U124))</f>
        <v>120</v>
      </c>
    </row>
    <row r="126" customFormat="false" ht="15" hidden="false" customHeight="false" outlineLevel="0" collapsed="false">
      <c r="A126" s="0" t="n">
        <v>20260501</v>
      </c>
      <c r="B126" s="53" t="s">
        <v>171</v>
      </c>
      <c r="C126" s="54" t="s">
        <v>172</v>
      </c>
      <c r="D126" s="55" t="s">
        <v>191</v>
      </c>
      <c r="E126" s="54" t="s">
        <v>192</v>
      </c>
      <c r="F126" s="55" t="s">
        <v>175</v>
      </c>
      <c r="G126" s="55" t="s">
        <v>346</v>
      </c>
      <c r="H126" s="54" t="s">
        <v>347</v>
      </c>
      <c r="I126" s="53" t="s">
        <v>444</v>
      </c>
      <c r="J126" s="54" t="s">
        <v>445</v>
      </c>
      <c r="K126" s="0" t="n">
        <v>100</v>
      </c>
      <c r="L126" s="0" t="n">
        <v>116</v>
      </c>
      <c r="M126" s="0" t="n">
        <v>60</v>
      </c>
      <c r="N126" s="0" t="n">
        <v>11660</v>
      </c>
      <c r="P126" s="0" t="n">
        <v>0</v>
      </c>
      <c r="Q126" s="0" t="n">
        <v>2.44</v>
      </c>
      <c r="R126" s="54" t="s">
        <v>180</v>
      </c>
      <c r="S126" s="0" t="n">
        <v>0.1</v>
      </c>
      <c r="U126" s="31" t="n">
        <f aca="false">IF($B126='設定（最初に1回）'!$C$4,N(U125)+1,N(U125))</f>
        <v>121</v>
      </c>
    </row>
    <row r="127" customFormat="false" ht="15" hidden="false" customHeight="false" outlineLevel="0" collapsed="false">
      <c r="A127" s="0" t="n">
        <v>20260501</v>
      </c>
      <c r="B127" s="53" t="s">
        <v>171</v>
      </c>
      <c r="C127" s="54" t="s">
        <v>172</v>
      </c>
      <c r="D127" s="55" t="s">
        <v>446</v>
      </c>
      <c r="E127" s="54" t="s">
        <v>447</v>
      </c>
      <c r="F127" s="55" t="s">
        <v>175</v>
      </c>
      <c r="G127" s="55" t="s">
        <v>340</v>
      </c>
      <c r="H127" s="54" t="s">
        <v>341</v>
      </c>
      <c r="I127" s="53" t="s">
        <v>448</v>
      </c>
      <c r="J127" s="54" t="s">
        <v>449</v>
      </c>
      <c r="K127" s="0" t="n">
        <v>20</v>
      </c>
      <c r="L127" s="0" t="n">
        <v>2</v>
      </c>
      <c r="M127" s="0" t="n">
        <v>11</v>
      </c>
      <c r="N127" s="0" t="n">
        <v>51</v>
      </c>
      <c r="P127" s="0" t="n">
        <v>0</v>
      </c>
      <c r="Q127" s="0" t="n">
        <v>591</v>
      </c>
      <c r="R127" s="54" t="s">
        <v>180</v>
      </c>
      <c r="S127" s="0" t="n">
        <v>0.1</v>
      </c>
      <c r="U127" s="31" t="n">
        <f aca="false">IF($B127='設定（最初に1回）'!$C$4,N(U126)+1,N(U126))</f>
        <v>122</v>
      </c>
    </row>
    <row r="128" customFormat="false" ht="15" hidden="false" customHeight="false" outlineLevel="0" collapsed="false">
      <c r="A128" s="0" t="n">
        <v>20260501</v>
      </c>
      <c r="B128" s="53" t="s">
        <v>171</v>
      </c>
      <c r="C128" s="54" t="s">
        <v>172</v>
      </c>
      <c r="D128" s="55" t="s">
        <v>450</v>
      </c>
      <c r="E128" s="54" t="s">
        <v>451</v>
      </c>
      <c r="F128" s="55" t="s">
        <v>175</v>
      </c>
      <c r="G128" s="55" t="s">
        <v>340</v>
      </c>
      <c r="H128" s="54" t="s">
        <v>341</v>
      </c>
      <c r="I128" s="53" t="s">
        <v>452</v>
      </c>
      <c r="J128" s="54" t="s">
        <v>453</v>
      </c>
      <c r="K128" s="0" t="n">
        <v>50</v>
      </c>
      <c r="L128" s="0" t="n">
        <v>0</v>
      </c>
      <c r="M128" s="0" t="n">
        <v>1</v>
      </c>
      <c r="N128" s="0" t="n">
        <v>1</v>
      </c>
      <c r="P128" s="0" t="n">
        <v>0</v>
      </c>
      <c r="Q128" s="0" t="n">
        <v>750</v>
      </c>
      <c r="R128" s="54" t="s">
        <v>180</v>
      </c>
      <c r="S128" s="0" t="n">
        <v>0.1</v>
      </c>
      <c r="U128" s="31" t="n">
        <f aca="false">IF($B128='設定（最初に1回）'!$C$4,N(U127)+1,N(U127))</f>
        <v>123</v>
      </c>
    </row>
    <row r="129" customFormat="false" ht="15" hidden="false" customHeight="false" outlineLevel="0" collapsed="false">
      <c r="A129" s="0" t="n">
        <v>20260501</v>
      </c>
      <c r="B129" s="53" t="s">
        <v>171</v>
      </c>
      <c r="C129" s="54" t="s">
        <v>172</v>
      </c>
      <c r="D129" s="55" t="s">
        <v>454</v>
      </c>
      <c r="E129" s="54" t="s">
        <v>455</v>
      </c>
      <c r="F129" s="55" t="s">
        <v>175</v>
      </c>
      <c r="G129" s="55" t="s">
        <v>340</v>
      </c>
      <c r="H129" s="54" t="s">
        <v>341</v>
      </c>
      <c r="I129" s="53" t="s">
        <v>456</v>
      </c>
      <c r="J129" s="54" t="s">
        <v>457</v>
      </c>
      <c r="K129" s="0" t="n">
        <v>18</v>
      </c>
      <c r="L129" s="0" t="n">
        <v>0</v>
      </c>
      <c r="M129" s="0" t="n">
        <v>0</v>
      </c>
      <c r="N129" s="0" t="n">
        <v>0</v>
      </c>
      <c r="P129" s="0" t="n">
        <v>0</v>
      </c>
      <c r="Q129" s="0" t="n">
        <v>1050</v>
      </c>
      <c r="R129" s="54" t="s">
        <v>180</v>
      </c>
      <c r="S129" s="0" t="n">
        <v>0.1</v>
      </c>
      <c r="U129" s="31" t="n">
        <f aca="false">IF($B129='設定（最初に1回）'!$C$4,N(U128)+1,N(U128))</f>
        <v>124</v>
      </c>
    </row>
    <row r="130" customFormat="false" ht="15" hidden="false" customHeight="false" outlineLevel="0" collapsed="false">
      <c r="A130" s="0" t="n">
        <v>20260501</v>
      </c>
      <c r="B130" s="53" t="s">
        <v>171</v>
      </c>
      <c r="C130" s="54" t="s">
        <v>172</v>
      </c>
      <c r="D130" s="55" t="s">
        <v>458</v>
      </c>
      <c r="E130" s="54" t="s">
        <v>459</v>
      </c>
      <c r="F130" s="55" t="s">
        <v>175</v>
      </c>
      <c r="G130" s="55" t="s">
        <v>340</v>
      </c>
      <c r="H130" s="54" t="s">
        <v>341</v>
      </c>
      <c r="I130" s="53" t="s">
        <v>460</v>
      </c>
      <c r="J130" s="54" t="s">
        <v>461</v>
      </c>
      <c r="K130" s="0" t="n">
        <v>18</v>
      </c>
      <c r="L130" s="0" t="n">
        <v>0</v>
      </c>
      <c r="M130" s="0" t="n">
        <v>2</v>
      </c>
      <c r="N130" s="0" t="n">
        <v>2</v>
      </c>
      <c r="P130" s="0" t="n">
        <v>0</v>
      </c>
      <c r="Q130" s="0" t="n">
        <v>1800</v>
      </c>
      <c r="R130" s="54" t="s">
        <v>180</v>
      </c>
      <c r="S130" s="0" t="n">
        <v>0.1</v>
      </c>
      <c r="U130" s="31" t="n">
        <f aca="false">IF($B130='設定（最初に1回）'!$C$4,N(U129)+1,N(U129))</f>
        <v>125</v>
      </c>
    </row>
    <row r="131" customFormat="false" ht="15" hidden="false" customHeight="false" outlineLevel="0" collapsed="false">
      <c r="A131" s="0" t="n">
        <v>20260501</v>
      </c>
      <c r="B131" s="53" t="s">
        <v>171</v>
      </c>
      <c r="C131" s="54" t="s">
        <v>172</v>
      </c>
      <c r="D131" s="55" t="s">
        <v>462</v>
      </c>
      <c r="E131" s="54" t="s">
        <v>463</v>
      </c>
      <c r="F131" s="55" t="s">
        <v>175</v>
      </c>
      <c r="G131" s="55" t="s">
        <v>340</v>
      </c>
      <c r="H131" s="54" t="s">
        <v>341</v>
      </c>
      <c r="I131" s="53" t="s">
        <v>464</v>
      </c>
      <c r="J131" s="54" t="s">
        <v>465</v>
      </c>
      <c r="K131" s="0" t="n">
        <v>21</v>
      </c>
      <c r="L131" s="0" t="n">
        <v>0</v>
      </c>
      <c r="M131" s="0" t="n">
        <v>1</v>
      </c>
      <c r="N131" s="0" t="n">
        <v>1</v>
      </c>
      <c r="P131" s="0" t="n">
        <v>0</v>
      </c>
      <c r="Q131" s="0" t="n">
        <v>680</v>
      </c>
      <c r="R131" s="54" t="s">
        <v>180</v>
      </c>
      <c r="S131" s="0" t="n">
        <v>0.1</v>
      </c>
      <c r="U131" s="31" t="n">
        <f aca="false">IF($B131='設定（最初に1回）'!$C$4,N(U130)+1,N(U130))</f>
        <v>126</v>
      </c>
    </row>
    <row r="132" customFormat="false" ht="15" hidden="false" customHeight="false" outlineLevel="0" collapsed="false">
      <c r="A132" s="0" t="n">
        <v>20260501</v>
      </c>
      <c r="B132" s="53" t="s">
        <v>171</v>
      </c>
      <c r="C132" s="54" t="s">
        <v>172</v>
      </c>
      <c r="D132" s="55" t="s">
        <v>466</v>
      </c>
      <c r="E132" s="54" t="s">
        <v>467</v>
      </c>
      <c r="F132" s="55" t="s">
        <v>175</v>
      </c>
      <c r="G132" s="55" t="s">
        <v>340</v>
      </c>
      <c r="H132" s="54" t="s">
        <v>341</v>
      </c>
      <c r="I132" s="53" t="s">
        <v>468</v>
      </c>
      <c r="J132" s="54" t="s">
        <v>469</v>
      </c>
      <c r="K132" s="0" t="n">
        <v>20</v>
      </c>
      <c r="L132" s="0" t="n">
        <v>-1</v>
      </c>
      <c r="M132" s="0" t="n">
        <v>3</v>
      </c>
      <c r="N132" s="0" t="n">
        <v>-17</v>
      </c>
      <c r="P132" s="0" t="n">
        <v>0</v>
      </c>
      <c r="Q132" s="0" t="n">
        <v>650</v>
      </c>
      <c r="R132" s="54" t="s">
        <v>180</v>
      </c>
      <c r="S132" s="0" t="n">
        <v>0.1</v>
      </c>
      <c r="U132" s="31" t="n">
        <f aca="false">IF($B132='設定（最初に1回）'!$C$4,N(U131)+1,N(U131))</f>
        <v>127</v>
      </c>
    </row>
    <row r="133" customFormat="false" ht="15" hidden="false" customHeight="false" outlineLevel="0" collapsed="false">
      <c r="A133" s="0" t="n">
        <v>20260501</v>
      </c>
      <c r="B133" s="53" t="s">
        <v>171</v>
      </c>
      <c r="C133" s="54" t="s">
        <v>172</v>
      </c>
      <c r="D133" s="55" t="s">
        <v>466</v>
      </c>
      <c r="E133" s="54" t="s">
        <v>467</v>
      </c>
      <c r="F133" s="55" t="s">
        <v>175</v>
      </c>
      <c r="G133" s="55" t="s">
        <v>340</v>
      </c>
      <c r="H133" s="54" t="s">
        <v>341</v>
      </c>
      <c r="I133" s="53" t="s">
        <v>470</v>
      </c>
      <c r="J133" s="54" t="s">
        <v>471</v>
      </c>
      <c r="K133" s="0" t="n">
        <v>30</v>
      </c>
      <c r="L133" s="0" t="n">
        <v>11</v>
      </c>
      <c r="M133" s="0" t="n">
        <v>2</v>
      </c>
      <c r="N133" s="0" t="n">
        <v>332</v>
      </c>
      <c r="P133" s="0" t="n">
        <v>0</v>
      </c>
      <c r="Q133" s="0" t="n">
        <v>750</v>
      </c>
      <c r="R133" s="54" t="s">
        <v>180</v>
      </c>
      <c r="S133" s="0" t="n">
        <v>0.1</v>
      </c>
      <c r="U133" s="31" t="n">
        <f aca="false">IF($B133='設定（最初に1回）'!$C$4,N(U132)+1,N(U132))</f>
        <v>128</v>
      </c>
    </row>
    <row r="134" customFormat="false" ht="15" hidden="false" customHeight="false" outlineLevel="0" collapsed="false">
      <c r="A134" s="0" t="n">
        <v>20260501</v>
      </c>
      <c r="B134" s="53" t="s">
        <v>171</v>
      </c>
      <c r="C134" s="54" t="s">
        <v>172</v>
      </c>
      <c r="D134" s="55" t="s">
        <v>466</v>
      </c>
      <c r="E134" s="54" t="s">
        <v>467</v>
      </c>
      <c r="F134" s="55" t="s">
        <v>175</v>
      </c>
      <c r="G134" s="55" t="s">
        <v>340</v>
      </c>
      <c r="H134" s="54" t="s">
        <v>341</v>
      </c>
      <c r="I134" s="53" t="s">
        <v>472</v>
      </c>
      <c r="J134" s="54" t="s">
        <v>473</v>
      </c>
      <c r="K134" s="0" t="n">
        <v>10</v>
      </c>
      <c r="L134" s="0" t="n">
        <v>23</v>
      </c>
      <c r="M134" s="0" t="n">
        <v>9</v>
      </c>
      <c r="N134" s="0" t="n">
        <v>239</v>
      </c>
      <c r="P134" s="0" t="n">
        <v>0</v>
      </c>
      <c r="Q134" s="0" t="n">
        <v>750</v>
      </c>
      <c r="R134" s="54" t="s">
        <v>180</v>
      </c>
      <c r="S134" s="0" t="n">
        <v>0.1</v>
      </c>
      <c r="U134" s="31" t="n">
        <f aca="false">IF($B134='設定（最初に1回）'!$C$4,N(U133)+1,N(U133))</f>
        <v>129</v>
      </c>
    </row>
    <row r="135" customFormat="false" ht="15" hidden="false" customHeight="false" outlineLevel="0" collapsed="false">
      <c r="A135" s="0" t="n">
        <v>20260501</v>
      </c>
      <c r="B135" s="53" t="s">
        <v>171</v>
      </c>
      <c r="C135" s="54" t="s">
        <v>172</v>
      </c>
      <c r="D135" s="55" t="s">
        <v>466</v>
      </c>
      <c r="E135" s="54" t="s">
        <v>467</v>
      </c>
      <c r="F135" s="55" t="s">
        <v>175</v>
      </c>
      <c r="G135" s="55" t="s">
        <v>340</v>
      </c>
      <c r="H135" s="54" t="s">
        <v>341</v>
      </c>
      <c r="I135" s="53" t="s">
        <v>474</v>
      </c>
      <c r="J135" s="54" t="s">
        <v>475</v>
      </c>
      <c r="K135" s="0" t="n">
        <v>20</v>
      </c>
      <c r="L135" s="0" t="n">
        <v>-1</v>
      </c>
      <c r="M135" s="0" t="n">
        <v>4</v>
      </c>
      <c r="N135" s="0" t="n">
        <v>-16</v>
      </c>
      <c r="P135" s="0" t="n">
        <v>0</v>
      </c>
      <c r="Q135" s="0" t="n">
        <v>750</v>
      </c>
      <c r="R135" s="54" t="s">
        <v>180</v>
      </c>
      <c r="S135" s="0" t="n">
        <v>0.1</v>
      </c>
      <c r="U135" s="31" t="n">
        <f aca="false">IF($B135='設定（最初に1回）'!$C$4,N(U134)+1,N(U134))</f>
        <v>130</v>
      </c>
    </row>
    <row r="136" customFormat="false" ht="15" hidden="false" customHeight="false" outlineLevel="0" collapsed="false">
      <c r="A136" s="0" t="n">
        <v>20260501</v>
      </c>
      <c r="B136" s="53" t="s">
        <v>171</v>
      </c>
      <c r="C136" s="54" t="s">
        <v>172</v>
      </c>
      <c r="D136" s="55" t="s">
        <v>466</v>
      </c>
      <c r="E136" s="54" t="s">
        <v>467</v>
      </c>
      <c r="F136" s="55" t="s">
        <v>175</v>
      </c>
      <c r="G136" s="55" t="s">
        <v>340</v>
      </c>
      <c r="H136" s="54" t="s">
        <v>341</v>
      </c>
      <c r="I136" s="53" t="s">
        <v>476</v>
      </c>
      <c r="J136" s="54" t="s">
        <v>477</v>
      </c>
      <c r="K136" s="0" t="n">
        <v>18</v>
      </c>
      <c r="L136" s="0" t="n">
        <v>0</v>
      </c>
      <c r="M136" s="0" t="n">
        <v>0</v>
      </c>
      <c r="N136" s="0" t="n">
        <v>0</v>
      </c>
      <c r="P136" s="0" t="n">
        <v>0</v>
      </c>
      <c r="Q136" s="0" t="n">
        <v>2900</v>
      </c>
      <c r="R136" s="54" t="s">
        <v>180</v>
      </c>
      <c r="S136" s="0" t="n">
        <v>0.1</v>
      </c>
      <c r="U136" s="31" t="n">
        <f aca="false">IF($B136='設定（最初に1回）'!$C$4,N(U135)+1,N(U135))</f>
        <v>131</v>
      </c>
    </row>
    <row r="137" customFormat="false" ht="15" hidden="false" customHeight="false" outlineLevel="0" collapsed="false">
      <c r="A137" s="0" t="n">
        <v>20260501</v>
      </c>
      <c r="B137" s="53" t="s">
        <v>171</v>
      </c>
      <c r="C137" s="54" t="s">
        <v>172</v>
      </c>
      <c r="D137" s="55" t="s">
        <v>478</v>
      </c>
      <c r="E137" s="54" t="s">
        <v>479</v>
      </c>
      <c r="F137" s="55" t="s">
        <v>175</v>
      </c>
      <c r="G137" s="55" t="s">
        <v>176</v>
      </c>
      <c r="H137" s="54" t="s">
        <v>177</v>
      </c>
      <c r="I137" s="53" t="s">
        <v>480</v>
      </c>
      <c r="J137" s="54" t="s">
        <v>481</v>
      </c>
      <c r="K137" s="0" t="n">
        <v>1</v>
      </c>
      <c r="L137" s="0" t="n">
        <v>0</v>
      </c>
      <c r="M137" s="0" t="n">
        <v>0</v>
      </c>
      <c r="N137" s="0" t="n">
        <v>0</v>
      </c>
      <c r="P137" s="0" t="n">
        <v>0</v>
      </c>
      <c r="Q137" s="0" t="n">
        <v>219.44</v>
      </c>
      <c r="R137" s="54" t="s">
        <v>180</v>
      </c>
      <c r="S137" s="0" t="n">
        <v>0.1</v>
      </c>
      <c r="U137" s="31" t="n">
        <f aca="false">IF($B137='設定（最初に1回）'!$C$4,N(U136)+1,N(U136))</f>
        <v>132</v>
      </c>
    </row>
    <row r="138" customFormat="false" ht="15" hidden="false" customHeight="false" outlineLevel="0" collapsed="false">
      <c r="A138" s="0" t="n">
        <v>20260501</v>
      </c>
      <c r="B138" s="53" t="s">
        <v>171</v>
      </c>
      <c r="C138" s="54" t="s">
        <v>172</v>
      </c>
      <c r="D138" s="55" t="s">
        <v>173</v>
      </c>
      <c r="E138" s="54" t="s">
        <v>174</v>
      </c>
      <c r="F138" s="55" t="s">
        <v>175</v>
      </c>
      <c r="G138" s="55" t="s">
        <v>176</v>
      </c>
      <c r="H138" s="54" t="s">
        <v>177</v>
      </c>
      <c r="I138" s="53" t="s">
        <v>482</v>
      </c>
      <c r="J138" s="54" t="s">
        <v>483</v>
      </c>
      <c r="K138" s="0" t="n">
        <v>1</v>
      </c>
      <c r="L138" s="0" t="n">
        <v>40</v>
      </c>
      <c r="M138" s="0" t="n">
        <v>0</v>
      </c>
      <c r="N138" s="0" t="n">
        <v>40</v>
      </c>
      <c r="P138" s="0" t="n">
        <v>0</v>
      </c>
      <c r="Q138" s="0" t="n">
        <v>118</v>
      </c>
      <c r="R138" s="54" t="s">
        <v>180</v>
      </c>
      <c r="S138" s="0" t="n">
        <v>0.1</v>
      </c>
      <c r="U138" s="31" t="n">
        <f aca="false">IF($B138='設定（最初に1回）'!$C$4,N(U137)+1,N(U137))</f>
        <v>133</v>
      </c>
    </row>
    <row r="139" customFormat="false" ht="15" hidden="false" customHeight="false" outlineLevel="0" collapsed="false">
      <c r="A139" s="0" t="n">
        <v>20260501</v>
      </c>
      <c r="B139" s="53" t="s">
        <v>171</v>
      </c>
      <c r="C139" s="54" t="s">
        <v>172</v>
      </c>
      <c r="D139" s="55" t="s">
        <v>173</v>
      </c>
      <c r="E139" s="54" t="s">
        <v>174</v>
      </c>
      <c r="F139" s="55" t="s">
        <v>175</v>
      </c>
      <c r="G139" s="55" t="s">
        <v>176</v>
      </c>
      <c r="H139" s="54" t="s">
        <v>177</v>
      </c>
      <c r="I139" s="53" t="s">
        <v>484</v>
      </c>
      <c r="J139" s="54" t="s">
        <v>485</v>
      </c>
      <c r="K139" s="0" t="n">
        <v>1</v>
      </c>
      <c r="L139" s="0" t="n">
        <v>65</v>
      </c>
      <c r="M139" s="0" t="n">
        <v>0</v>
      </c>
      <c r="N139" s="0" t="n">
        <v>65</v>
      </c>
      <c r="P139" s="0" t="n">
        <v>0</v>
      </c>
      <c r="Q139" s="0" t="n">
        <v>118</v>
      </c>
      <c r="R139" s="54" t="s">
        <v>180</v>
      </c>
      <c r="S139" s="0" t="n">
        <v>0.1</v>
      </c>
      <c r="U139" s="31" t="n">
        <f aca="false">IF($B139='設定（最初に1回）'!$C$4,N(U138)+1,N(U138))</f>
        <v>134</v>
      </c>
    </row>
    <row r="140" customFormat="false" ht="15" hidden="false" customHeight="false" outlineLevel="0" collapsed="false">
      <c r="A140" s="0" t="n">
        <v>20260501</v>
      </c>
      <c r="B140" s="53" t="s">
        <v>486</v>
      </c>
      <c r="C140" s="54" t="s">
        <v>487</v>
      </c>
      <c r="D140" s="55" t="s">
        <v>173</v>
      </c>
      <c r="E140" s="54" t="s">
        <v>174</v>
      </c>
      <c r="F140" s="55" t="s">
        <v>175</v>
      </c>
      <c r="G140" s="55" t="s">
        <v>176</v>
      </c>
      <c r="H140" s="54" t="s">
        <v>177</v>
      </c>
      <c r="I140" s="53" t="s">
        <v>178</v>
      </c>
      <c r="J140" s="54" t="s">
        <v>179</v>
      </c>
      <c r="K140" s="0" t="n">
        <v>1</v>
      </c>
      <c r="L140" s="0" t="n">
        <v>89</v>
      </c>
      <c r="M140" s="0" t="n">
        <v>0</v>
      </c>
      <c r="N140" s="0" t="n">
        <v>89</v>
      </c>
      <c r="P140" s="0" t="n">
        <v>0</v>
      </c>
      <c r="Q140" s="0" t="n">
        <v>11300</v>
      </c>
      <c r="R140" s="54" t="s">
        <v>180</v>
      </c>
      <c r="S140" s="0" t="n">
        <v>0.1</v>
      </c>
      <c r="U140" s="31" t="n">
        <f aca="false">IF($B140='設定（最初に1回）'!$C$4,N(U139)+1,N(U139))</f>
        <v>134</v>
      </c>
    </row>
    <row r="141" customFormat="false" ht="15" hidden="false" customHeight="false" outlineLevel="0" collapsed="false">
      <c r="A141" s="0" t="n">
        <v>20260501</v>
      </c>
      <c r="B141" s="53" t="s">
        <v>486</v>
      </c>
      <c r="C141" s="54" t="s">
        <v>487</v>
      </c>
      <c r="D141" s="55" t="s">
        <v>173</v>
      </c>
      <c r="E141" s="54" t="s">
        <v>174</v>
      </c>
      <c r="F141" s="55" t="s">
        <v>175</v>
      </c>
      <c r="G141" s="55" t="s">
        <v>176</v>
      </c>
      <c r="H141" s="54" t="s">
        <v>177</v>
      </c>
      <c r="I141" s="53" t="s">
        <v>181</v>
      </c>
      <c r="J141" s="54" t="s">
        <v>182</v>
      </c>
      <c r="K141" s="0" t="n">
        <v>24</v>
      </c>
      <c r="L141" s="0" t="n">
        <v>0</v>
      </c>
      <c r="M141" s="0" t="n">
        <v>1</v>
      </c>
      <c r="N141" s="0" t="n">
        <v>1</v>
      </c>
      <c r="P141" s="0" t="n">
        <v>0</v>
      </c>
      <c r="Q141" s="0" t="n">
        <v>587</v>
      </c>
      <c r="R141" s="54" t="s">
        <v>180</v>
      </c>
      <c r="S141" s="0" t="n">
        <v>0.1</v>
      </c>
      <c r="U141" s="31" t="n">
        <f aca="false">IF($B141='設定（最初に1回）'!$C$4,N(U140)+1,N(U140))</f>
        <v>134</v>
      </c>
    </row>
    <row r="142" customFormat="false" ht="15" hidden="false" customHeight="false" outlineLevel="0" collapsed="false">
      <c r="A142" s="0" t="n">
        <v>20260501</v>
      </c>
      <c r="B142" s="53" t="s">
        <v>486</v>
      </c>
      <c r="C142" s="54" t="s">
        <v>487</v>
      </c>
      <c r="D142" s="55" t="s">
        <v>173</v>
      </c>
      <c r="E142" s="54" t="s">
        <v>174</v>
      </c>
      <c r="F142" s="55" t="s">
        <v>175</v>
      </c>
      <c r="G142" s="55" t="s">
        <v>176</v>
      </c>
      <c r="H142" s="54" t="s">
        <v>177</v>
      </c>
      <c r="I142" s="53" t="s">
        <v>183</v>
      </c>
      <c r="J142" s="54" t="s">
        <v>184</v>
      </c>
      <c r="K142" s="0" t="n">
        <v>48</v>
      </c>
      <c r="L142" s="0" t="n">
        <v>1</v>
      </c>
      <c r="M142" s="0" t="n">
        <v>3</v>
      </c>
      <c r="N142" s="0" t="n">
        <v>51</v>
      </c>
      <c r="P142" s="0" t="n">
        <v>0</v>
      </c>
      <c r="Q142" s="0" t="n">
        <v>357</v>
      </c>
      <c r="R142" s="54" t="s">
        <v>180</v>
      </c>
      <c r="S142" s="0" t="n">
        <v>0.1</v>
      </c>
      <c r="U142" s="31" t="n">
        <f aca="false">IF($B142='設定（最初に1回）'!$C$4,N(U141)+1,N(U141))</f>
        <v>134</v>
      </c>
    </row>
    <row r="143" customFormat="false" ht="15" hidden="false" customHeight="false" outlineLevel="0" collapsed="false">
      <c r="A143" s="0" t="n">
        <v>20260501</v>
      </c>
      <c r="B143" s="53" t="s">
        <v>486</v>
      </c>
      <c r="C143" s="54" t="s">
        <v>487</v>
      </c>
      <c r="D143" s="55" t="s">
        <v>173</v>
      </c>
      <c r="E143" s="54" t="s">
        <v>174</v>
      </c>
      <c r="F143" s="55" t="s">
        <v>175</v>
      </c>
      <c r="G143" s="55" t="s">
        <v>176</v>
      </c>
      <c r="H143" s="54" t="s">
        <v>177</v>
      </c>
      <c r="I143" s="53" t="s">
        <v>185</v>
      </c>
      <c r="J143" s="54" t="s">
        <v>186</v>
      </c>
      <c r="K143" s="0" t="n">
        <v>48</v>
      </c>
      <c r="L143" s="0" t="n">
        <v>2</v>
      </c>
      <c r="M143" s="0" t="n">
        <v>29</v>
      </c>
      <c r="N143" s="0" t="n">
        <v>125</v>
      </c>
      <c r="P143" s="0" t="n">
        <v>0</v>
      </c>
      <c r="Q143" s="0" t="n">
        <v>357</v>
      </c>
      <c r="R143" s="54" t="s">
        <v>180</v>
      </c>
      <c r="S143" s="0" t="n">
        <v>0.1</v>
      </c>
      <c r="U143" s="31" t="n">
        <f aca="false">IF($B143='設定（最初に1回）'!$C$4,N(U142)+1,N(U142))</f>
        <v>134</v>
      </c>
    </row>
    <row r="144" customFormat="false" ht="15" hidden="false" customHeight="false" outlineLevel="0" collapsed="false">
      <c r="A144" s="0" t="n">
        <v>20260501</v>
      </c>
      <c r="B144" s="53" t="s">
        <v>486</v>
      </c>
      <c r="C144" s="54" t="s">
        <v>487</v>
      </c>
      <c r="D144" s="55" t="s">
        <v>173</v>
      </c>
      <c r="E144" s="54" t="s">
        <v>174</v>
      </c>
      <c r="F144" s="55" t="s">
        <v>175</v>
      </c>
      <c r="G144" s="55" t="s">
        <v>176</v>
      </c>
      <c r="H144" s="54" t="s">
        <v>177</v>
      </c>
      <c r="I144" s="53" t="s">
        <v>187</v>
      </c>
      <c r="J144" s="54" t="s">
        <v>188</v>
      </c>
      <c r="K144" s="0" t="n">
        <v>24</v>
      </c>
      <c r="L144" s="0" t="n">
        <v>-1</v>
      </c>
      <c r="M144" s="0" t="n">
        <v>13</v>
      </c>
      <c r="N144" s="0" t="n">
        <v>-11</v>
      </c>
      <c r="P144" s="0" t="n">
        <v>0</v>
      </c>
      <c r="Q144" s="0" t="n">
        <v>585</v>
      </c>
      <c r="R144" s="54" t="s">
        <v>180</v>
      </c>
      <c r="S144" s="0" t="n">
        <v>0.1</v>
      </c>
      <c r="U144" s="31" t="n">
        <f aca="false">IF($B144='設定（最初に1回）'!$C$4,N(U143)+1,N(U143))</f>
        <v>134</v>
      </c>
    </row>
    <row r="145" customFormat="false" ht="15" hidden="false" customHeight="false" outlineLevel="0" collapsed="false">
      <c r="A145" s="0" t="n">
        <v>20260501</v>
      </c>
      <c r="B145" s="53" t="s">
        <v>486</v>
      </c>
      <c r="C145" s="54" t="s">
        <v>487</v>
      </c>
      <c r="D145" s="55" t="s">
        <v>173</v>
      </c>
      <c r="E145" s="54" t="s">
        <v>174</v>
      </c>
      <c r="F145" s="55" t="s">
        <v>175</v>
      </c>
      <c r="G145" s="55" t="s">
        <v>176</v>
      </c>
      <c r="H145" s="54" t="s">
        <v>177</v>
      </c>
      <c r="I145" s="53" t="s">
        <v>189</v>
      </c>
      <c r="J145" s="54" t="s">
        <v>190</v>
      </c>
      <c r="K145" s="0" t="n">
        <v>30</v>
      </c>
      <c r="L145" s="0" t="n">
        <v>31</v>
      </c>
      <c r="M145" s="0" t="n">
        <v>29</v>
      </c>
      <c r="N145" s="0" t="n">
        <v>959</v>
      </c>
      <c r="P145" s="0" t="n">
        <v>0</v>
      </c>
      <c r="Q145" s="0" t="n">
        <v>118</v>
      </c>
      <c r="R145" s="54" t="s">
        <v>180</v>
      </c>
      <c r="S145" s="0" t="n">
        <v>0.1</v>
      </c>
      <c r="U145" s="31" t="n">
        <f aca="false">IF($B145='設定（最初に1回）'!$C$4,N(U144)+1,N(U144))</f>
        <v>134</v>
      </c>
    </row>
    <row r="146" customFormat="false" ht="15" hidden="false" customHeight="false" outlineLevel="0" collapsed="false">
      <c r="A146" s="0" t="n">
        <v>20260501</v>
      </c>
      <c r="B146" s="53" t="s">
        <v>486</v>
      </c>
      <c r="C146" s="54" t="s">
        <v>487</v>
      </c>
      <c r="D146" s="55" t="s">
        <v>191</v>
      </c>
      <c r="E146" s="54" t="s">
        <v>192</v>
      </c>
      <c r="F146" s="55" t="s">
        <v>175</v>
      </c>
      <c r="G146" s="55" t="s">
        <v>175</v>
      </c>
      <c r="H146" s="54" t="s">
        <v>193</v>
      </c>
      <c r="I146" s="53" t="s">
        <v>194</v>
      </c>
      <c r="J146" s="54" t="s">
        <v>195</v>
      </c>
      <c r="K146" s="0" t="n">
        <v>1</v>
      </c>
      <c r="L146" s="0" t="n">
        <v>12</v>
      </c>
      <c r="M146" s="0" t="n">
        <v>0</v>
      </c>
      <c r="N146" s="0" t="n">
        <v>12</v>
      </c>
      <c r="P146" s="0" t="n">
        <v>0</v>
      </c>
      <c r="Q146" s="0" t="n">
        <v>3756</v>
      </c>
      <c r="R146" s="54" t="s">
        <v>180</v>
      </c>
      <c r="S146" s="0" t="n">
        <v>0.08</v>
      </c>
      <c r="U146" s="31" t="n">
        <f aca="false">IF($B146='設定（最初に1回）'!$C$4,N(U145)+1,N(U145))</f>
        <v>134</v>
      </c>
    </row>
    <row r="147" customFormat="false" ht="15" hidden="false" customHeight="false" outlineLevel="0" collapsed="false">
      <c r="A147" s="0" t="n">
        <v>20260501</v>
      </c>
      <c r="B147" s="53" t="s">
        <v>486</v>
      </c>
      <c r="C147" s="54" t="s">
        <v>487</v>
      </c>
      <c r="D147" s="55" t="s">
        <v>191</v>
      </c>
      <c r="E147" s="54" t="s">
        <v>192</v>
      </c>
      <c r="F147" s="55" t="s">
        <v>175</v>
      </c>
      <c r="G147" s="55" t="s">
        <v>175</v>
      </c>
      <c r="H147" s="54" t="s">
        <v>193</v>
      </c>
      <c r="I147" s="53" t="s">
        <v>196</v>
      </c>
      <c r="J147" s="54" t="s">
        <v>197</v>
      </c>
      <c r="K147" s="0" t="n">
        <v>1</v>
      </c>
      <c r="L147" s="0" t="n">
        <v>-38</v>
      </c>
      <c r="M147" s="0" t="n">
        <v>0</v>
      </c>
      <c r="N147" s="0" t="n">
        <v>-38</v>
      </c>
      <c r="P147" s="0" t="n">
        <v>0</v>
      </c>
      <c r="Q147" s="0" t="n">
        <v>4382</v>
      </c>
      <c r="R147" s="54" t="s">
        <v>180</v>
      </c>
      <c r="S147" s="0" t="n">
        <v>0.08</v>
      </c>
      <c r="U147" s="31" t="n">
        <f aca="false">IF($B147='設定（最初に1回）'!$C$4,N(U146)+1,N(U146))</f>
        <v>134</v>
      </c>
    </row>
    <row r="148" customFormat="false" ht="15" hidden="false" customHeight="false" outlineLevel="0" collapsed="false">
      <c r="A148" s="0" t="n">
        <v>20260501</v>
      </c>
      <c r="B148" s="53" t="s">
        <v>486</v>
      </c>
      <c r="C148" s="54" t="s">
        <v>487</v>
      </c>
      <c r="D148" s="55" t="s">
        <v>191</v>
      </c>
      <c r="E148" s="54" t="s">
        <v>192</v>
      </c>
      <c r="F148" s="55" t="s">
        <v>175</v>
      </c>
      <c r="G148" s="55" t="s">
        <v>175</v>
      </c>
      <c r="H148" s="54" t="s">
        <v>193</v>
      </c>
      <c r="I148" s="53" t="s">
        <v>198</v>
      </c>
      <c r="J148" s="54" t="s">
        <v>199</v>
      </c>
      <c r="K148" s="0" t="n">
        <v>1</v>
      </c>
      <c r="L148" s="0" t="n">
        <v>2</v>
      </c>
      <c r="M148" s="0" t="n">
        <v>0</v>
      </c>
      <c r="N148" s="0" t="n">
        <v>2</v>
      </c>
      <c r="P148" s="0" t="n">
        <v>0</v>
      </c>
      <c r="Q148" s="0" t="n">
        <v>2890</v>
      </c>
      <c r="R148" s="54" t="s">
        <v>180</v>
      </c>
      <c r="S148" s="0" t="n">
        <v>0.08</v>
      </c>
      <c r="U148" s="31" t="n">
        <f aca="false">IF($B148='設定（最初に1回）'!$C$4,N(U147)+1,N(U147))</f>
        <v>134</v>
      </c>
    </row>
    <row r="149" customFormat="false" ht="15" hidden="false" customHeight="false" outlineLevel="0" collapsed="false">
      <c r="A149" s="0" t="n">
        <v>20260501</v>
      </c>
      <c r="B149" s="53" t="s">
        <v>486</v>
      </c>
      <c r="C149" s="54" t="s">
        <v>487</v>
      </c>
      <c r="D149" s="55" t="s">
        <v>191</v>
      </c>
      <c r="E149" s="54" t="s">
        <v>192</v>
      </c>
      <c r="F149" s="55" t="s">
        <v>175</v>
      </c>
      <c r="G149" s="55" t="s">
        <v>175</v>
      </c>
      <c r="H149" s="54" t="s">
        <v>193</v>
      </c>
      <c r="I149" s="53" t="s">
        <v>200</v>
      </c>
      <c r="J149" s="54" t="s">
        <v>201</v>
      </c>
      <c r="K149" s="0" t="n">
        <v>1</v>
      </c>
      <c r="L149" s="0" t="n">
        <v>0</v>
      </c>
      <c r="M149" s="0" t="n">
        <v>0</v>
      </c>
      <c r="N149" s="0" t="n">
        <v>0</v>
      </c>
      <c r="P149" s="0" t="n">
        <v>0</v>
      </c>
      <c r="Q149" s="0" t="n">
        <v>3636</v>
      </c>
      <c r="R149" s="54" t="s">
        <v>180</v>
      </c>
      <c r="S149" s="0" t="n">
        <v>0.08</v>
      </c>
      <c r="U149" s="31" t="n">
        <f aca="false">IF($B149='設定（最初に1回）'!$C$4,N(U148)+1,N(U148))</f>
        <v>134</v>
      </c>
    </row>
    <row r="150" customFormat="false" ht="15" hidden="false" customHeight="false" outlineLevel="0" collapsed="false">
      <c r="A150" s="0" t="n">
        <v>20260501</v>
      </c>
      <c r="B150" s="53" t="s">
        <v>486</v>
      </c>
      <c r="C150" s="54" t="s">
        <v>487</v>
      </c>
      <c r="D150" s="55" t="s">
        <v>191</v>
      </c>
      <c r="E150" s="54" t="s">
        <v>192</v>
      </c>
      <c r="F150" s="55" t="s">
        <v>175</v>
      </c>
      <c r="G150" s="55" t="s">
        <v>175</v>
      </c>
      <c r="H150" s="54" t="s">
        <v>193</v>
      </c>
      <c r="I150" s="53" t="s">
        <v>202</v>
      </c>
      <c r="J150" s="54" t="s">
        <v>203</v>
      </c>
      <c r="K150" s="0" t="n">
        <v>1</v>
      </c>
      <c r="L150" s="0" t="n">
        <v>27</v>
      </c>
      <c r="M150" s="0" t="n">
        <v>0</v>
      </c>
      <c r="N150" s="0" t="n">
        <v>27</v>
      </c>
      <c r="P150" s="0" t="n">
        <v>0</v>
      </c>
      <c r="Q150" s="0" t="n">
        <v>3756</v>
      </c>
      <c r="R150" s="54" t="s">
        <v>180</v>
      </c>
      <c r="S150" s="0" t="n">
        <v>0.08</v>
      </c>
      <c r="U150" s="31" t="n">
        <f aca="false">IF($B150='設定（最初に1回）'!$C$4,N(U149)+1,N(U149))</f>
        <v>134</v>
      </c>
    </row>
    <row r="151" customFormat="false" ht="15" hidden="false" customHeight="false" outlineLevel="0" collapsed="false">
      <c r="A151" s="0" t="n">
        <v>20260501</v>
      </c>
      <c r="B151" s="53" t="s">
        <v>486</v>
      </c>
      <c r="C151" s="54" t="s">
        <v>487</v>
      </c>
      <c r="D151" s="55" t="s">
        <v>191</v>
      </c>
      <c r="E151" s="54" t="s">
        <v>192</v>
      </c>
      <c r="F151" s="55" t="s">
        <v>175</v>
      </c>
      <c r="G151" s="55" t="s">
        <v>175</v>
      </c>
      <c r="H151" s="54" t="s">
        <v>193</v>
      </c>
      <c r="I151" s="53" t="s">
        <v>204</v>
      </c>
      <c r="J151" s="54" t="s">
        <v>205</v>
      </c>
      <c r="K151" s="0" t="n">
        <v>1</v>
      </c>
      <c r="L151" s="0" t="n">
        <v>117</v>
      </c>
      <c r="M151" s="0" t="n">
        <v>0</v>
      </c>
      <c r="N151" s="0" t="n">
        <v>117</v>
      </c>
      <c r="P151" s="0" t="n">
        <v>0</v>
      </c>
      <c r="Q151" s="0" t="n">
        <v>7510</v>
      </c>
      <c r="R151" s="54" t="s">
        <v>180</v>
      </c>
      <c r="S151" s="0" t="n">
        <v>0.08</v>
      </c>
      <c r="U151" s="31" t="n">
        <f aca="false">IF($B151='設定（最初に1回）'!$C$4,N(U150)+1,N(U150))</f>
        <v>134</v>
      </c>
    </row>
    <row r="152" customFormat="false" ht="15" hidden="false" customHeight="false" outlineLevel="0" collapsed="false">
      <c r="A152" s="0" t="n">
        <v>20260501</v>
      </c>
      <c r="B152" s="53" t="s">
        <v>486</v>
      </c>
      <c r="C152" s="54" t="s">
        <v>487</v>
      </c>
      <c r="D152" s="55" t="s">
        <v>191</v>
      </c>
      <c r="E152" s="54" t="s">
        <v>192</v>
      </c>
      <c r="F152" s="55" t="s">
        <v>175</v>
      </c>
      <c r="G152" s="55" t="s">
        <v>175</v>
      </c>
      <c r="H152" s="54" t="s">
        <v>193</v>
      </c>
      <c r="I152" s="53" t="s">
        <v>206</v>
      </c>
      <c r="J152" s="54" t="s">
        <v>207</v>
      </c>
      <c r="K152" s="0" t="n">
        <v>1</v>
      </c>
      <c r="L152" s="0" t="n">
        <v>20</v>
      </c>
      <c r="M152" s="0" t="n">
        <v>0</v>
      </c>
      <c r="N152" s="0" t="n">
        <v>20</v>
      </c>
      <c r="P152" s="0" t="n">
        <v>0</v>
      </c>
      <c r="Q152" s="0" t="n">
        <v>8136</v>
      </c>
      <c r="R152" s="54" t="s">
        <v>180</v>
      </c>
      <c r="S152" s="0" t="n">
        <v>0.08</v>
      </c>
      <c r="U152" s="31" t="n">
        <f aca="false">IF($B152='設定（最初に1回）'!$C$4,N(U151)+1,N(U151))</f>
        <v>134</v>
      </c>
    </row>
    <row r="153" customFormat="false" ht="15" hidden="false" customHeight="false" outlineLevel="0" collapsed="false">
      <c r="A153" s="0" t="n">
        <v>20260501</v>
      </c>
      <c r="B153" s="53" t="s">
        <v>486</v>
      </c>
      <c r="C153" s="54" t="s">
        <v>487</v>
      </c>
      <c r="D153" s="55" t="s">
        <v>191</v>
      </c>
      <c r="E153" s="54" t="s">
        <v>192</v>
      </c>
      <c r="F153" s="55" t="s">
        <v>175</v>
      </c>
      <c r="G153" s="55" t="s">
        <v>175</v>
      </c>
      <c r="H153" s="54" t="s">
        <v>193</v>
      </c>
      <c r="I153" s="53" t="s">
        <v>208</v>
      </c>
      <c r="J153" s="54" t="s">
        <v>209</v>
      </c>
      <c r="K153" s="0" t="n">
        <v>1</v>
      </c>
      <c r="L153" s="0" t="n">
        <v>40</v>
      </c>
      <c r="M153" s="0" t="n">
        <v>0</v>
      </c>
      <c r="N153" s="0" t="n">
        <v>40</v>
      </c>
      <c r="P153" s="0" t="n">
        <v>0</v>
      </c>
      <c r="Q153" s="0" t="n">
        <v>8136</v>
      </c>
      <c r="R153" s="54" t="s">
        <v>180</v>
      </c>
      <c r="S153" s="0" t="n">
        <v>0.08</v>
      </c>
      <c r="U153" s="31" t="n">
        <f aca="false">IF($B153='設定（最初に1回）'!$C$4,N(U152)+1,N(U152))</f>
        <v>134</v>
      </c>
    </row>
    <row r="154" customFormat="false" ht="15" hidden="false" customHeight="false" outlineLevel="0" collapsed="false">
      <c r="A154" s="0" t="n">
        <v>20260501</v>
      </c>
      <c r="B154" s="53" t="s">
        <v>486</v>
      </c>
      <c r="C154" s="54" t="s">
        <v>487</v>
      </c>
      <c r="D154" s="55" t="s">
        <v>191</v>
      </c>
      <c r="E154" s="54" t="s">
        <v>192</v>
      </c>
      <c r="F154" s="55" t="s">
        <v>175</v>
      </c>
      <c r="G154" s="55" t="s">
        <v>175</v>
      </c>
      <c r="H154" s="54" t="s">
        <v>193</v>
      </c>
      <c r="I154" s="53" t="s">
        <v>210</v>
      </c>
      <c r="J154" s="54" t="s">
        <v>211</v>
      </c>
      <c r="K154" s="0" t="n">
        <v>1</v>
      </c>
      <c r="L154" s="0" t="n">
        <v>51</v>
      </c>
      <c r="M154" s="0" t="n">
        <v>0</v>
      </c>
      <c r="N154" s="0" t="n">
        <v>51</v>
      </c>
      <c r="P154" s="0" t="n">
        <v>0</v>
      </c>
      <c r="Q154" s="0" t="n">
        <v>8136</v>
      </c>
      <c r="R154" s="54" t="s">
        <v>180</v>
      </c>
      <c r="S154" s="0" t="n">
        <v>0.08</v>
      </c>
      <c r="U154" s="31" t="n">
        <f aca="false">IF($B154='設定（最初に1回）'!$C$4,N(U153)+1,N(U153))</f>
        <v>134</v>
      </c>
    </row>
    <row r="155" customFormat="false" ht="15" hidden="false" customHeight="false" outlineLevel="0" collapsed="false">
      <c r="A155" s="0" t="n">
        <v>20260501</v>
      </c>
      <c r="B155" s="53" t="s">
        <v>486</v>
      </c>
      <c r="C155" s="54" t="s">
        <v>487</v>
      </c>
      <c r="D155" s="55" t="s">
        <v>191</v>
      </c>
      <c r="E155" s="54" t="s">
        <v>192</v>
      </c>
      <c r="F155" s="55" t="s">
        <v>175</v>
      </c>
      <c r="G155" s="55" t="s">
        <v>175</v>
      </c>
      <c r="H155" s="54" t="s">
        <v>193</v>
      </c>
      <c r="I155" s="53" t="s">
        <v>212</v>
      </c>
      <c r="J155" s="54" t="s">
        <v>213</v>
      </c>
      <c r="K155" s="0" t="n">
        <v>1</v>
      </c>
      <c r="L155" s="0" t="n">
        <v>2</v>
      </c>
      <c r="M155" s="0" t="n">
        <v>0</v>
      </c>
      <c r="N155" s="0" t="n">
        <v>2</v>
      </c>
      <c r="P155" s="0" t="n">
        <v>0</v>
      </c>
      <c r="Q155" s="0" t="n">
        <v>8136</v>
      </c>
      <c r="R155" s="54" t="s">
        <v>180</v>
      </c>
      <c r="S155" s="0" t="n">
        <v>0.08</v>
      </c>
      <c r="U155" s="31" t="n">
        <f aca="false">IF($B155='設定（最初に1回）'!$C$4,N(U154)+1,N(U154))</f>
        <v>134</v>
      </c>
    </row>
    <row r="156" customFormat="false" ht="15" hidden="false" customHeight="false" outlineLevel="0" collapsed="false">
      <c r="A156" s="0" t="n">
        <v>20260501</v>
      </c>
      <c r="B156" s="53" t="s">
        <v>486</v>
      </c>
      <c r="C156" s="54" t="s">
        <v>487</v>
      </c>
      <c r="D156" s="55" t="s">
        <v>191</v>
      </c>
      <c r="E156" s="54" t="s">
        <v>192</v>
      </c>
      <c r="F156" s="55" t="s">
        <v>175</v>
      </c>
      <c r="G156" s="55" t="s">
        <v>175</v>
      </c>
      <c r="H156" s="54" t="s">
        <v>193</v>
      </c>
      <c r="I156" s="53" t="s">
        <v>214</v>
      </c>
      <c r="J156" s="54" t="s">
        <v>215</v>
      </c>
      <c r="K156" s="0" t="n">
        <v>1</v>
      </c>
      <c r="L156" s="0" t="n">
        <v>24</v>
      </c>
      <c r="M156" s="0" t="n">
        <v>0</v>
      </c>
      <c r="N156" s="0" t="n">
        <v>24</v>
      </c>
      <c r="P156" s="0" t="n">
        <v>0</v>
      </c>
      <c r="Q156" s="0" t="n">
        <v>8638</v>
      </c>
      <c r="R156" s="54" t="s">
        <v>180</v>
      </c>
      <c r="S156" s="0" t="n">
        <v>0.08</v>
      </c>
      <c r="U156" s="31" t="n">
        <f aca="false">IF($B156='設定（最初に1回）'!$C$4,N(U155)+1,N(U155))</f>
        <v>134</v>
      </c>
    </row>
    <row r="157" customFormat="false" ht="15" hidden="false" customHeight="false" outlineLevel="0" collapsed="false">
      <c r="A157" s="0" t="n">
        <v>20260501</v>
      </c>
      <c r="B157" s="53" t="s">
        <v>486</v>
      </c>
      <c r="C157" s="54" t="s">
        <v>487</v>
      </c>
      <c r="D157" s="55" t="s">
        <v>191</v>
      </c>
      <c r="E157" s="54" t="s">
        <v>192</v>
      </c>
      <c r="F157" s="55" t="s">
        <v>175</v>
      </c>
      <c r="G157" s="55" t="s">
        <v>216</v>
      </c>
      <c r="H157" s="54" t="s">
        <v>217</v>
      </c>
      <c r="I157" s="53" t="s">
        <v>218</v>
      </c>
      <c r="J157" s="54" t="s">
        <v>219</v>
      </c>
      <c r="K157" s="0" t="n">
        <v>10</v>
      </c>
      <c r="L157" s="0" t="n">
        <v>-4</v>
      </c>
      <c r="M157" s="0" t="n">
        <v>5</v>
      </c>
      <c r="N157" s="0" t="n">
        <v>-35</v>
      </c>
      <c r="P157" s="0" t="n">
        <v>0</v>
      </c>
      <c r="Q157" s="0" t="n">
        <v>4503.2</v>
      </c>
      <c r="R157" s="54" t="s">
        <v>180</v>
      </c>
      <c r="S157" s="0" t="n">
        <v>0.08</v>
      </c>
      <c r="U157" s="31" t="n">
        <f aca="false">IF($B157='設定（最初に1回）'!$C$4,N(U156)+1,N(U156))</f>
        <v>134</v>
      </c>
    </row>
    <row r="158" customFormat="false" ht="15" hidden="false" customHeight="false" outlineLevel="0" collapsed="false">
      <c r="A158" s="0" t="n">
        <v>20260501</v>
      </c>
      <c r="B158" s="53" t="s">
        <v>486</v>
      </c>
      <c r="C158" s="54" t="s">
        <v>487</v>
      </c>
      <c r="D158" s="55" t="s">
        <v>191</v>
      </c>
      <c r="E158" s="54" t="s">
        <v>192</v>
      </c>
      <c r="F158" s="55" t="s">
        <v>175</v>
      </c>
      <c r="G158" s="55" t="s">
        <v>216</v>
      </c>
      <c r="H158" s="54" t="s">
        <v>217</v>
      </c>
      <c r="I158" s="53" t="s">
        <v>220</v>
      </c>
      <c r="J158" s="54" t="s">
        <v>221</v>
      </c>
      <c r="K158" s="0" t="n">
        <v>12</v>
      </c>
      <c r="L158" s="0" t="n">
        <v>40</v>
      </c>
      <c r="M158" s="0" t="n">
        <v>6</v>
      </c>
      <c r="N158" s="0" t="n">
        <v>486</v>
      </c>
      <c r="P158" s="0" t="n">
        <v>0</v>
      </c>
      <c r="Q158" s="0" t="n">
        <v>332</v>
      </c>
      <c r="R158" s="54" t="s">
        <v>180</v>
      </c>
      <c r="S158" s="0" t="n">
        <v>0.08</v>
      </c>
      <c r="U158" s="31" t="n">
        <f aca="false">IF($B158='設定（最初に1回）'!$C$4,N(U157)+1,N(U157))</f>
        <v>134</v>
      </c>
    </row>
    <row r="159" customFormat="false" ht="15" hidden="false" customHeight="false" outlineLevel="0" collapsed="false">
      <c r="A159" s="0" t="n">
        <v>20260501</v>
      </c>
      <c r="B159" s="53" t="s">
        <v>486</v>
      </c>
      <c r="C159" s="54" t="s">
        <v>487</v>
      </c>
      <c r="D159" s="55" t="s">
        <v>191</v>
      </c>
      <c r="E159" s="54" t="s">
        <v>192</v>
      </c>
      <c r="F159" s="55" t="s">
        <v>175</v>
      </c>
      <c r="G159" s="55" t="s">
        <v>222</v>
      </c>
      <c r="H159" s="54" t="s">
        <v>223</v>
      </c>
      <c r="I159" s="53" t="s">
        <v>224</v>
      </c>
      <c r="J159" s="54" t="s">
        <v>225</v>
      </c>
      <c r="K159" s="0" t="n">
        <v>1</v>
      </c>
      <c r="L159" s="0" t="n">
        <v>46</v>
      </c>
      <c r="M159" s="0" t="n">
        <v>0</v>
      </c>
      <c r="N159" s="0" t="n">
        <v>46</v>
      </c>
      <c r="P159" s="0" t="n">
        <v>0</v>
      </c>
      <c r="Q159" s="0" t="n">
        <v>2254</v>
      </c>
      <c r="R159" s="54" t="s">
        <v>180</v>
      </c>
      <c r="S159" s="0" t="n">
        <v>0.08</v>
      </c>
      <c r="U159" s="31" t="n">
        <f aca="false">IF($B159='設定（最初に1回）'!$C$4,N(U158)+1,N(U158))</f>
        <v>134</v>
      </c>
    </row>
    <row r="160" customFormat="false" ht="15" hidden="false" customHeight="false" outlineLevel="0" collapsed="false">
      <c r="A160" s="0" t="n">
        <v>20260501</v>
      </c>
      <c r="B160" s="53" t="s">
        <v>486</v>
      </c>
      <c r="C160" s="54" t="s">
        <v>487</v>
      </c>
      <c r="D160" s="55" t="s">
        <v>191</v>
      </c>
      <c r="E160" s="54" t="s">
        <v>192</v>
      </c>
      <c r="F160" s="55" t="s">
        <v>175</v>
      </c>
      <c r="G160" s="55" t="s">
        <v>222</v>
      </c>
      <c r="H160" s="54" t="s">
        <v>223</v>
      </c>
      <c r="I160" s="53" t="s">
        <v>226</v>
      </c>
      <c r="J160" s="54" t="s">
        <v>227</v>
      </c>
      <c r="K160" s="0" t="n">
        <v>1</v>
      </c>
      <c r="L160" s="0" t="n">
        <v>25</v>
      </c>
      <c r="M160" s="0" t="n">
        <v>0</v>
      </c>
      <c r="N160" s="0" t="n">
        <v>25</v>
      </c>
      <c r="P160" s="0" t="n">
        <v>0</v>
      </c>
      <c r="Q160" s="0" t="n">
        <v>2309</v>
      </c>
      <c r="R160" s="54" t="s">
        <v>180</v>
      </c>
      <c r="S160" s="0" t="n">
        <v>0.08</v>
      </c>
      <c r="U160" s="31" t="n">
        <f aca="false">IF($B160='設定（最初に1回）'!$C$4,N(U159)+1,N(U159))</f>
        <v>134</v>
      </c>
    </row>
    <row r="161" customFormat="false" ht="15" hidden="false" customHeight="false" outlineLevel="0" collapsed="false">
      <c r="A161" s="0" t="n">
        <v>20260501</v>
      </c>
      <c r="B161" s="53" t="s">
        <v>486</v>
      </c>
      <c r="C161" s="54" t="s">
        <v>487</v>
      </c>
      <c r="D161" s="55" t="s">
        <v>191</v>
      </c>
      <c r="E161" s="54" t="s">
        <v>192</v>
      </c>
      <c r="F161" s="55" t="s">
        <v>175</v>
      </c>
      <c r="G161" s="55" t="s">
        <v>222</v>
      </c>
      <c r="H161" s="54" t="s">
        <v>223</v>
      </c>
      <c r="I161" s="53" t="s">
        <v>228</v>
      </c>
      <c r="J161" s="54" t="s">
        <v>229</v>
      </c>
      <c r="K161" s="0" t="n">
        <v>1</v>
      </c>
      <c r="L161" s="0" t="n">
        <v>58</v>
      </c>
      <c r="M161" s="0" t="n">
        <v>0</v>
      </c>
      <c r="N161" s="0" t="n">
        <v>58</v>
      </c>
      <c r="P161" s="0" t="n">
        <v>0</v>
      </c>
      <c r="Q161" s="0" t="n">
        <v>2705</v>
      </c>
      <c r="R161" s="54" t="s">
        <v>180</v>
      </c>
      <c r="S161" s="0" t="n">
        <v>0.08</v>
      </c>
      <c r="U161" s="31" t="n">
        <f aca="false">IF($B161='設定（最初に1回）'!$C$4,N(U160)+1,N(U160))</f>
        <v>134</v>
      </c>
    </row>
    <row r="162" customFormat="false" ht="15" hidden="false" customHeight="false" outlineLevel="0" collapsed="false">
      <c r="A162" s="0" t="n">
        <v>20260501</v>
      </c>
      <c r="B162" s="53" t="s">
        <v>486</v>
      </c>
      <c r="C162" s="54" t="s">
        <v>487</v>
      </c>
      <c r="D162" s="55" t="s">
        <v>191</v>
      </c>
      <c r="E162" s="54" t="s">
        <v>192</v>
      </c>
      <c r="F162" s="55" t="s">
        <v>175</v>
      </c>
      <c r="G162" s="55" t="s">
        <v>230</v>
      </c>
      <c r="H162" s="54" t="s">
        <v>231</v>
      </c>
      <c r="I162" s="53" t="s">
        <v>232</v>
      </c>
      <c r="J162" s="54" t="s">
        <v>233</v>
      </c>
      <c r="K162" s="0" t="n">
        <v>120</v>
      </c>
      <c r="L162" s="0" t="n">
        <v>1</v>
      </c>
      <c r="M162" s="0" t="n">
        <v>116</v>
      </c>
      <c r="N162" s="0" t="n">
        <v>236</v>
      </c>
      <c r="P162" s="0" t="n">
        <v>0</v>
      </c>
      <c r="Q162" s="0" t="n">
        <v>142</v>
      </c>
      <c r="R162" s="54" t="s">
        <v>180</v>
      </c>
      <c r="S162" s="0" t="n">
        <v>0.08</v>
      </c>
      <c r="U162" s="31" t="n">
        <f aca="false">IF($B162='設定（最初に1回）'!$C$4,N(U161)+1,N(U161))</f>
        <v>134</v>
      </c>
    </row>
    <row r="163" customFormat="false" ht="15" hidden="false" customHeight="false" outlineLevel="0" collapsed="false">
      <c r="A163" s="0" t="n">
        <v>20260501</v>
      </c>
      <c r="B163" s="53" t="s">
        <v>486</v>
      </c>
      <c r="C163" s="54" t="s">
        <v>487</v>
      </c>
      <c r="D163" s="55" t="s">
        <v>191</v>
      </c>
      <c r="E163" s="54" t="s">
        <v>192</v>
      </c>
      <c r="F163" s="55" t="s">
        <v>175</v>
      </c>
      <c r="G163" s="55" t="s">
        <v>230</v>
      </c>
      <c r="H163" s="54" t="s">
        <v>231</v>
      </c>
      <c r="I163" s="53" t="s">
        <v>234</v>
      </c>
      <c r="J163" s="54" t="s">
        <v>235</v>
      </c>
      <c r="K163" s="0" t="n">
        <v>120</v>
      </c>
      <c r="L163" s="0" t="n">
        <v>7</v>
      </c>
      <c r="M163" s="0" t="n">
        <v>56</v>
      </c>
      <c r="N163" s="0" t="n">
        <v>896</v>
      </c>
      <c r="P163" s="0" t="n">
        <v>0</v>
      </c>
      <c r="Q163" s="0" t="n">
        <v>107</v>
      </c>
      <c r="R163" s="54" t="s">
        <v>180</v>
      </c>
      <c r="S163" s="0" t="n">
        <v>0.08</v>
      </c>
      <c r="U163" s="31" t="n">
        <f aca="false">IF($B163='設定（最初に1回）'!$C$4,N(U162)+1,N(U162))</f>
        <v>134</v>
      </c>
    </row>
    <row r="164" customFormat="false" ht="15" hidden="false" customHeight="false" outlineLevel="0" collapsed="false">
      <c r="A164" s="0" t="n">
        <v>20260501</v>
      </c>
      <c r="B164" s="53" t="s">
        <v>486</v>
      </c>
      <c r="C164" s="54" t="s">
        <v>487</v>
      </c>
      <c r="D164" s="55" t="s">
        <v>191</v>
      </c>
      <c r="E164" s="54" t="s">
        <v>192</v>
      </c>
      <c r="F164" s="55" t="s">
        <v>175</v>
      </c>
      <c r="G164" s="55" t="s">
        <v>230</v>
      </c>
      <c r="H164" s="54" t="s">
        <v>231</v>
      </c>
      <c r="I164" s="53" t="s">
        <v>236</v>
      </c>
      <c r="J164" s="54" t="s">
        <v>237</v>
      </c>
      <c r="K164" s="0" t="n">
        <v>90</v>
      </c>
      <c r="L164" s="0" t="n">
        <v>-1</v>
      </c>
      <c r="M164" s="0" t="n">
        <v>43</v>
      </c>
      <c r="N164" s="0" t="n">
        <v>-47</v>
      </c>
      <c r="P164" s="0" t="n">
        <v>0</v>
      </c>
      <c r="Q164" s="0" t="n">
        <v>166</v>
      </c>
      <c r="R164" s="54" t="s">
        <v>180</v>
      </c>
      <c r="S164" s="0" t="n">
        <v>0.08</v>
      </c>
      <c r="U164" s="31" t="n">
        <f aca="false">IF($B164='設定（最初に1回）'!$C$4,N(U163)+1,N(U163))</f>
        <v>134</v>
      </c>
    </row>
    <row r="165" customFormat="false" ht="15" hidden="false" customHeight="false" outlineLevel="0" collapsed="false">
      <c r="A165" s="0" t="n">
        <v>20260501</v>
      </c>
      <c r="B165" s="53" t="s">
        <v>486</v>
      </c>
      <c r="C165" s="54" t="s">
        <v>487</v>
      </c>
      <c r="D165" s="55" t="s">
        <v>191</v>
      </c>
      <c r="E165" s="54" t="s">
        <v>192</v>
      </c>
      <c r="F165" s="55" t="s">
        <v>175</v>
      </c>
      <c r="G165" s="55" t="s">
        <v>230</v>
      </c>
      <c r="H165" s="54" t="s">
        <v>231</v>
      </c>
      <c r="I165" s="53" t="s">
        <v>238</v>
      </c>
      <c r="J165" s="54" t="s">
        <v>239</v>
      </c>
      <c r="K165" s="0" t="n">
        <v>80</v>
      </c>
      <c r="L165" s="0" t="n">
        <v>0</v>
      </c>
      <c r="M165" s="0" t="n">
        <v>58</v>
      </c>
      <c r="N165" s="0" t="n">
        <v>58</v>
      </c>
      <c r="P165" s="0" t="n">
        <v>0</v>
      </c>
      <c r="Q165" s="0" t="n">
        <v>203</v>
      </c>
      <c r="R165" s="54" t="s">
        <v>180</v>
      </c>
      <c r="S165" s="0" t="n">
        <v>0.08</v>
      </c>
      <c r="U165" s="31" t="n">
        <f aca="false">IF($B165='設定（最初に1回）'!$C$4,N(U164)+1,N(U164))</f>
        <v>134</v>
      </c>
    </row>
    <row r="166" customFormat="false" ht="15" hidden="false" customHeight="false" outlineLevel="0" collapsed="false">
      <c r="A166" s="0" t="n">
        <v>20260501</v>
      </c>
      <c r="B166" s="53" t="s">
        <v>486</v>
      </c>
      <c r="C166" s="54" t="s">
        <v>487</v>
      </c>
      <c r="D166" s="55" t="s">
        <v>191</v>
      </c>
      <c r="E166" s="54" t="s">
        <v>192</v>
      </c>
      <c r="F166" s="55" t="s">
        <v>175</v>
      </c>
      <c r="G166" s="55" t="s">
        <v>230</v>
      </c>
      <c r="H166" s="54" t="s">
        <v>231</v>
      </c>
      <c r="I166" s="53" t="s">
        <v>240</v>
      </c>
      <c r="J166" s="54" t="s">
        <v>241</v>
      </c>
      <c r="K166" s="0" t="n">
        <v>80</v>
      </c>
      <c r="L166" s="0" t="n">
        <v>10</v>
      </c>
      <c r="M166" s="0" t="n">
        <v>59</v>
      </c>
      <c r="N166" s="0" t="n">
        <v>859</v>
      </c>
      <c r="P166" s="0" t="n">
        <v>0</v>
      </c>
      <c r="Q166" s="0" t="n">
        <v>203</v>
      </c>
      <c r="R166" s="54" t="s">
        <v>180</v>
      </c>
      <c r="S166" s="0" t="n">
        <v>0.08</v>
      </c>
      <c r="U166" s="31" t="n">
        <f aca="false">IF($B166='設定（最初に1回）'!$C$4,N(U165)+1,N(U165))</f>
        <v>134</v>
      </c>
    </row>
    <row r="167" customFormat="false" ht="15" hidden="false" customHeight="false" outlineLevel="0" collapsed="false">
      <c r="A167" s="0" t="n">
        <v>20260501</v>
      </c>
      <c r="B167" s="53" t="s">
        <v>486</v>
      </c>
      <c r="C167" s="54" t="s">
        <v>487</v>
      </c>
      <c r="D167" s="55" t="s">
        <v>191</v>
      </c>
      <c r="E167" s="54" t="s">
        <v>192</v>
      </c>
      <c r="F167" s="55" t="s">
        <v>175</v>
      </c>
      <c r="G167" s="55" t="s">
        <v>230</v>
      </c>
      <c r="H167" s="54" t="s">
        <v>231</v>
      </c>
      <c r="I167" s="53" t="s">
        <v>242</v>
      </c>
      <c r="J167" s="54" t="s">
        <v>243</v>
      </c>
      <c r="K167" s="0" t="n">
        <v>1</v>
      </c>
      <c r="L167" s="0" t="n">
        <v>10</v>
      </c>
      <c r="M167" s="0" t="n">
        <v>0</v>
      </c>
      <c r="N167" s="0" t="n">
        <v>10</v>
      </c>
      <c r="P167" s="0" t="n">
        <v>0</v>
      </c>
      <c r="Q167" s="0" t="n">
        <v>26884</v>
      </c>
      <c r="R167" s="54" t="s">
        <v>180</v>
      </c>
      <c r="S167" s="0" t="n">
        <v>0.08</v>
      </c>
      <c r="U167" s="31" t="n">
        <f aca="false">IF($B167='設定（最初に1回）'!$C$4,N(U166)+1,N(U166))</f>
        <v>134</v>
      </c>
    </row>
    <row r="168" customFormat="false" ht="15" hidden="false" customHeight="false" outlineLevel="0" collapsed="false">
      <c r="A168" s="0" t="n">
        <v>20260501</v>
      </c>
      <c r="B168" s="53" t="s">
        <v>486</v>
      </c>
      <c r="C168" s="54" t="s">
        <v>487</v>
      </c>
      <c r="D168" s="55" t="s">
        <v>191</v>
      </c>
      <c r="E168" s="54" t="s">
        <v>192</v>
      </c>
      <c r="F168" s="55" t="s">
        <v>175</v>
      </c>
      <c r="G168" s="55" t="s">
        <v>230</v>
      </c>
      <c r="H168" s="54" t="s">
        <v>231</v>
      </c>
      <c r="I168" s="53" t="s">
        <v>244</v>
      </c>
      <c r="J168" s="54" t="s">
        <v>245</v>
      </c>
      <c r="K168" s="0" t="n">
        <v>1</v>
      </c>
      <c r="L168" s="0" t="n">
        <v>2</v>
      </c>
      <c r="M168" s="0" t="n">
        <v>0</v>
      </c>
      <c r="N168" s="0" t="n">
        <v>2</v>
      </c>
      <c r="P168" s="0" t="n">
        <v>0</v>
      </c>
      <c r="Q168" s="0" t="n">
        <v>26884</v>
      </c>
      <c r="R168" s="54" t="s">
        <v>180</v>
      </c>
      <c r="S168" s="0" t="n">
        <v>0.08</v>
      </c>
      <c r="U168" s="31" t="n">
        <f aca="false">IF($B168='設定（最初に1回）'!$C$4,N(U167)+1,N(U167))</f>
        <v>134</v>
      </c>
    </row>
    <row r="169" customFormat="false" ht="15" hidden="false" customHeight="false" outlineLevel="0" collapsed="false">
      <c r="A169" s="0" t="n">
        <v>20260501</v>
      </c>
      <c r="B169" s="53" t="s">
        <v>486</v>
      </c>
      <c r="C169" s="54" t="s">
        <v>487</v>
      </c>
      <c r="D169" s="55" t="s">
        <v>191</v>
      </c>
      <c r="E169" s="54" t="s">
        <v>192</v>
      </c>
      <c r="F169" s="55" t="s">
        <v>175</v>
      </c>
      <c r="G169" s="55" t="s">
        <v>230</v>
      </c>
      <c r="H169" s="54" t="s">
        <v>231</v>
      </c>
      <c r="I169" s="53" t="s">
        <v>246</v>
      </c>
      <c r="J169" s="54" t="s">
        <v>247</v>
      </c>
      <c r="K169" s="0" t="n">
        <v>1</v>
      </c>
      <c r="L169" s="0" t="n">
        <v>21</v>
      </c>
      <c r="M169" s="0" t="n">
        <v>0</v>
      </c>
      <c r="N169" s="0" t="n">
        <v>21</v>
      </c>
      <c r="P169" s="0" t="n">
        <v>0</v>
      </c>
      <c r="Q169" s="0" t="n">
        <v>26884</v>
      </c>
      <c r="R169" s="54" t="s">
        <v>180</v>
      </c>
      <c r="S169" s="0" t="n">
        <v>0.08</v>
      </c>
      <c r="U169" s="31" t="n">
        <f aca="false">IF($B169='設定（最初に1回）'!$C$4,N(U168)+1,N(U168))</f>
        <v>134</v>
      </c>
    </row>
    <row r="170" customFormat="false" ht="15" hidden="false" customHeight="false" outlineLevel="0" collapsed="false">
      <c r="A170" s="0" t="n">
        <v>20260501</v>
      </c>
      <c r="B170" s="53" t="s">
        <v>486</v>
      </c>
      <c r="C170" s="54" t="s">
        <v>487</v>
      </c>
      <c r="D170" s="55" t="s">
        <v>191</v>
      </c>
      <c r="E170" s="54" t="s">
        <v>192</v>
      </c>
      <c r="F170" s="55" t="s">
        <v>175</v>
      </c>
      <c r="G170" s="55" t="s">
        <v>230</v>
      </c>
      <c r="H170" s="54" t="s">
        <v>231</v>
      </c>
      <c r="I170" s="53" t="s">
        <v>248</v>
      </c>
      <c r="J170" s="54" t="s">
        <v>249</v>
      </c>
      <c r="K170" s="0" t="n">
        <v>1</v>
      </c>
      <c r="L170" s="0" t="n">
        <v>11</v>
      </c>
      <c r="M170" s="0" t="n">
        <v>0</v>
      </c>
      <c r="N170" s="0" t="n">
        <v>11</v>
      </c>
      <c r="P170" s="0" t="n">
        <v>0</v>
      </c>
      <c r="Q170" s="0" t="n">
        <v>1386</v>
      </c>
      <c r="R170" s="54" t="s">
        <v>180</v>
      </c>
      <c r="S170" s="0" t="n">
        <v>0.08</v>
      </c>
      <c r="U170" s="31" t="n">
        <f aca="false">IF($B170='設定（最初に1回）'!$C$4,N(U169)+1,N(U169))</f>
        <v>134</v>
      </c>
    </row>
    <row r="171" customFormat="false" ht="15" hidden="false" customHeight="false" outlineLevel="0" collapsed="false">
      <c r="A171" s="0" t="n">
        <v>20260501</v>
      </c>
      <c r="B171" s="53" t="s">
        <v>486</v>
      </c>
      <c r="C171" s="54" t="s">
        <v>487</v>
      </c>
      <c r="D171" s="55" t="s">
        <v>191</v>
      </c>
      <c r="E171" s="54" t="s">
        <v>192</v>
      </c>
      <c r="F171" s="55" t="s">
        <v>175</v>
      </c>
      <c r="G171" s="55" t="s">
        <v>230</v>
      </c>
      <c r="H171" s="54" t="s">
        <v>231</v>
      </c>
      <c r="I171" s="53" t="s">
        <v>250</v>
      </c>
      <c r="J171" s="54" t="s">
        <v>251</v>
      </c>
      <c r="K171" s="0" t="n">
        <v>24</v>
      </c>
      <c r="L171" s="0" t="n">
        <v>7</v>
      </c>
      <c r="M171" s="0" t="n">
        <v>2</v>
      </c>
      <c r="N171" s="0" t="n">
        <v>170</v>
      </c>
      <c r="P171" s="0" t="n">
        <v>0</v>
      </c>
      <c r="Q171" s="0" t="n">
        <v>87</v>
      </c>
      <c r="R171" s="54" t="s">
        <v>180</v>
      </c>
      <c r="S171" s="0" t="n">
        <v>0.08</v>
      </c>
      <c r="U171" s="31" t="n">
        <f aca="false">IF($B171='設定（最初に1回）'!$C$4,N(U170)+1,N(U170))</f>
        <v>134</v>
      </c>
    </row>
    <row r="172" customFormat="false" ht="15" hidden="false" customHeight="false" outlineLevel="0" collapsed="false">
      <c r="A172" s="0" t="n">
        <v>20260501</v>
      </c>
      <c r="B172" s="53" t="s">
        <v>486</v>
      </c>
      <c r="C172" s="54" t="s">
        <v>487</v>
      </c>
      <c r="D172" s="55" t="s">
        <v>191</v>
      </c>
      <c r="E172" s="54" t="s">
        <v>192</v>
      </c>
      <c r="F172" s="55" t="s">
        <v>175</v>
      </c>
      <c r="G172" s="55" t="s">
        <v>252</v>
      </c>
      <c r="H172" s="54" t="s">
        <v>253</v>
      </c>
      <c r="I172" s="53" t="s">
        <v>254</v>
      </c>
      <c r="J172" s="54" t="s">
        <v>255</v>
      </c>
      <c r="K172" s="0" t="n">
        <v>1</v>
      </c>
      <c r="L172" s="0" t="n">
        <v>33</v>
      </c>
      <c r="M172" s="0" t="n">
        <v>0</v>
      </c>
      <c r="N172" s="0" t="n">
        <v>33</v>
      </c>
      <c r="P172" s="0" t="n">
        <v>0</v>
      </c>
      <c r="Q172" s="0" t="n">
        <v>12046</v>
      </c>
      <c r="R172" s="54" t="s">
        <v>180</v>
      </c>
      <c r="S172" s="0" t="n">
        <v>0.08</v>
      </c>
      <c r="U172" s="31" t="n">
        <f aca="false">IF($B172='設定（最初に1回）'!$C$4,N(U171)+1,N(U171))</f>
        <v>134</v>
      </c>
    </row>
    <row r="173" customFormat="false" ht="15" hidden="false" customHeight="false" outlineLevel="0" collapsed="false">
      <c r="A173" s="0" t="n">
        <v>20260501</v>
      </c>
      <c r="B173" s="53" t="s">
        <v>486</v>
      </c>
      <c r="C173" s="54" t="s">
        <v>487</v>
      </c>
      <c r="D173" s="55" t="s">
        <v>191</v>
      </c>
      <c r="E173" s="54" t="s">
        <v>192</v>
      </c>
      <c r="F173" s="55" t="s">
        <v>175</v>
      </c>
      <c r="G173" s="55" t="s">
        <v>252</v>
      </c>
      <c r="H173" s="54" t="s">
        <v>253</v>
      </c>
      <c r="I173" s="53" t="s">
        <v>256</v>
      </c>
      <c r="J173" s="54" t="s">
        <v>257</v>
      </c>
      <c r="K173" s="0" t="n">
        <v>1</v>
      </c>
      <c r="L173" s="0" t="n">
        <v>123</v>
      </c>
      <c r="M173" s="0" t="n">
        <v>0</v>
      </c>
      <c r="N173" s="0" t="n">
        <v>123</v>
      </c>
      <c r="P173" s="0" t="n">
        <v>0</v>
      </c>
      <c r="Q173" s="0" t="n">
        <v>5841</v>
      </c>
      <c r="R173" s="54" t="s">
        <v>180</v>
      </c>
      <c r="S173" s="0" t="n">
        <v>0.08</v>
      </c>
      <c r="U173" s="31" t="n">
        <f aca="false">IF($B173='設定（最初に1回）'!$C$4,N(U172)+1,N(U172))</f>
        <v>134</v>
      </c>
    </row>
    <row r="174" customFormat="false" ht="15" hidden="false" customHeight="false" outlineLevel="0" collapsed="false">
      <c r="A174" s="0" t="n">
        <v>20260501</v>
      </c>
      <c r="B174" s="53" t="s">
        <v>486</v>
      </c>
      <c r="C174" s="54" t="s">
        <v>487</v>
      </c>
      <c r="D174" s="55" t="s">
        <v>191</v>
      </c>
      <c r="E174" s="54" t="s">
        <v>192</v>
      </c>
      <c r="F174" s="55" t="s">
        <v>175</v>
      </c>
      <c r="G174" s="55" t="s">
        <v>252</v>
      </c>
      <c r="H174" s="54" t="s">
        <v>253</v>
      </c>
      <c r="I174" s="53" t="s">
        <v>258</v>
      </c>
      <c r="J174" s="54" t="s">
        <v>259</v>
      </c>
      <c r="K174" s="0" t="n">
        <v>6</v>
      </c>
      <c r="L174" s="0" t="n">
        <v>66</v>
      </c>
      <c r="M174" s="0" t="n">
        <v>4</v>
      </c>
      <c r="N174" s="0" t="n">
        <v>400</v>
      </c>
      <c r="P174" s="0" t="n">
        <v>0</v>
      </c>
      <c r="Q174" s="0" t="n">
        <v>786</v>
      </c>
      <c r="R174" s="54" t="s">
        <v>180</v>
      </c>
      <c r="S174" s="0" t="n">
        <v>0.08</v>
      </c>
      <c r="U174" s="31" t="n">
        <f aca="false">IF($B174='設定（最初に1回）'!$C$4,N(U173)+1,N(U173))</f>
        <v>134</v>
      </c>
    </row>
    <row r="175" customFormat="false" ht="15" hidden="false" customHeight="false" outlineLevel="0" collapsed="false">
      <c r="A175" s="0" t="n">
        <v>20260501</v>
      </c>
      <c r="B175" s="53" t="s">
        <v>486</v>
      </c>
      <c r="C175" s="54" t="s">
        <v>487</v>
      </c>
      <c r="D175" s="55" t="s">
        <v>191</v>
      </c>
      <c r="E175" s="54" t="s">
        <v>192</v>
      </c>
      <c r="F175" s="55" t="s">
        <v>175</v>
      </c>
      <c r="G175" s="55" t="s">
        <v>252</v>
      </c>
      <c r="H175" s="54" t="s">
        <v>253</v>
      </c>
      <c r="I175" s="53" t="s">
        <v>260</v>
      </c>
      <c r="J175" s="54" t="s">
        <v>261</v>
      </c>
      <c r="K175" s="0" t="n">
        <v>1</v>
      </c>
      <c r="L175" s="0" t="n">
        <v>88</v>
      </c>
      <c r="M175" s="0" t="n">
        <v>0</v>
      </c>
      <c r="N175" s="0" t="n">
        <v>88</v>
      </c>
      <c r="P175" s="0" t="n">
        <v>0</v>
      </c>
      <c r="Q175" s="0" t="n">
        <v>1024</v>
      </c>
      <c r="R175" s="54" t="s">
        <v>180</v>
      </c>
      <c r="S175" s="0" t="n">
        <v>0.08</v>
      </c>
      <c r="U175" s="31" t="n">
        <f aca="false">IF($B175='設定（最初に1回）'!$C$4,N(U174)+1,N(U174))</f>
        <v>134</v>
      </c>
    </row>
    <row r="176" customFormat="false" ht="15" hidden="false" customHeight="false" outlineLevel="0" collapsed="false">
      <c r="A176" s="0" t="n">
        <v>20260501</v>
      </c>
      <c r="B176" s="53" t="s">
        <v>486</v>
      </c>
      <c r="C176" s="54" t="s">
        <v>487</v>
      </c>
      <c r="D176" s="55" t="s">
        <v>191</v>
      </c>
      <c r="E176" s="54" t="s">
        <v>192</v>
      </c>
      <c r="F176" s="55" t="s">
        <v>175</v>
      </c>
      <c r="G176" s="55" t="s">
        <v>252</v>
      </c>
      <c r="H176" s="54" t="s">
        <v>253</v>
      </c>
      <c r="I176" s="53" t="s">
        <v>262</v>
      </c>
      <c r="J176" s="54" t="s">
        <v>263</v>
      </c>
      <c r="K176" s="0" t="n">
        <v>1</v>
      </c>
      <c r="L176" s="0" t="n">
        <v>66</v>
      </c>
      <c r="M176" s="0" t="n">
        <v>0</v>
      </c>
      <c r="N176" s="0" t="n">
        <v>66</v>
      </c>
      <c r="P176" s="0" t="n">
        <v>0</v>
      </c>
      <c r="Q176" s="0" t="n">
        <v>1074</v>
      </c>
      <c r="R176" s="54" t="s">
        <v>180</v>
      </c>
      <c r="S176" s="0" t="n">
        <v>0.08</v>
      </c>
      <c r="U176" s="31" t="n">
        <f aca="false">IF($B176='設定（最初に1回）'!$C$4,N(U175)+1,N(U175))</f>
        <v>134</v>
      </c>
    </row>
    <row r="177" customFormat="false" ht="15" hidden="false" customHeight="false" outlineLevel="0" collapsed="false">
      <c r="A177" s="0" t="n">
        <v>20260501</v>
      </c>
      <c r="B177" s="53" t="s">
        <v>486</v>
      </c>
      <c r="C177" s="54" t="s">
        <v>487</v>
      </c>
      <c r="D177" s="55" t="s">
        <v>191</v>
      </c>
      <c r="E177" s="54" t="s">
        <v>192</v>
      </c>
      <c r="F177" s="55" t="s">
        <v>175</v>
      </c>
      <c r="G177" s="55" t="s">
        <v>252</v>
      </c>
      <c r="H177" s="54" t="s">
        <v>253</v>
      </c>
      <c r="I177" s="53" t="s">
        <v>264</v>
      </c>
      <c r="J177" s="54" t="s">
        <v>265</v>
      </c>
      <c r="K177" s="0" t="n">
        <v>1</v>
      </c>
      <c r="L177" s="0" t="n">
        <v>16</v>
      </c>
      <c r="M177" s="0" t="n">
        <v>0</v>
      </c>
      <c r="N177" s="0" t="n">
        <v>16</v>
      </c>
      <c r="P177" s="0" t="n">
        <v>0</v>
      </c>
      <c r="Q177" s="0" t="n">
        <v>1396</v>
      </c>
      <c r="R177" s="54" t="s">
        <v>180</v>
      </c>
      <c r="S177" s="0" t="n">
        <v>0.08</v>
      </c>
      <c r="U177" s="31" t="n">
        <f aca="false">IF($B177='設定（最初に1回）'!$C$4,N(U176)+1,N(U176))</f>
        <v>134</v>
      </c>
    </row>
    <row r="178" customFormat="false" ht="15" hidden="false" customHeight="false" outlineLevel="0" collapsed="false">
      <c r="A178" s="0" t="n">
        <v>20260501</v>
      </c>
      <c r="B178" s="53" t="s">
        <v>486</v>
      </c>
      <c r="C178" s="54" t="s">
        <v>487</v>
      </c>
      <c r="D178" s="55" t="s">
        <v>191</v>
      </c>
      <c r="E178" s="54" t="s">
        <v>192</v>
      </c>
      <c r="F178" s="55" t="s">
        <v>175</v>
      </c>
      <c r="G178" s="55" t="s">
        <v>252</v>
      </c>
      <c r="H178" s="54" t="s">
        <v>253</v>
      </c>
      <c r="I178" s="53" t="s">
        <v>266</v>
      </c>
      <c r="J178" s="54" t="s">
        <v>267</v>
      </c>
      <c r="K178" s="0" t="n">
        <v>48</v>
      </c>
      <c r="L178" s="0" t="n">
        <v>13</v>
      </c>
      <c r="M178" s="0" t="n">
        <v>29</v>
      </c>
      <c r="N178" s="0" t="n">
        <v>653</v>
      </c>
      <c r="P178" s="0" t="n">
        <v>0</v>
      </c>
      <c r="Q178" s="0" t="n">
        <v>114</v>
      </c>
      <c r="R178" s="54" t="s">
        <v>180</v>
      </c>
      <c r="S178" s="0" t="n">
        <v>0.08</v>
      </c>
      <c r="U178" s="31" t="n">
        <f aca="false">IF($B178='設定（最初に1回）'!$C$4,N(U177)+1,N(U177))</f>
        <v>134</v>
      </c>
    </row>
    <row r="179" customFormat="false" ht="15" hidden="false" customHeight="false" outlineLevel="0" collapsed="false">
      <c r="A179" s="0" t="n">
        <v>20260501</v>
      </c>
      <c r="B179" s="53" t="s">
        <v>486</v>
      </c>
      <c r="C179" s="54" t="s">
        <v>487</v>
      </c>
      <c r="D179" s="55" t="s">
        <v>191</v>
      </c>
      <c r="E179" s="54" t="s">
        <v>192</v>
      </c>
      <c r="F179" s="55" t="s">
        <v>175</v>
      </c>
      <c r="G179" s="55" t="s">
        <v>252</v>
      </c>
      <c r="H179" s="54" t="s">
        <v>253</v>
      </c>
      <c r="I179" s="53" t="s">
        <v>268</v>
      </c>
      <c r="J179" s="54" t="s">
        <v>269</v>
      </c>
      <c r="K179" s="0" t="n">
        <v>1</v>
      </c>
      <c r="L179" s="0" t="n">
        <v>195</v>
      </c>
      <c r="M179" s="0" t="n">
        <v>0</v>
      </c>
      <c r="N179" s="0" t="n">
        <v>195</v>
      </c>
      <c r="P179" s="0" t="n">
        <v>0</v>
      </c>
      <c r="Q179" s="0" t="n">
        <v>4420</v>
      </c>
      <c r="R179" s="54" t="s">
        <v>180</v>
      </c>
      <c r="S179" s="0" t="n">
        <v>0.08</v>
      </c>
      <c r="U179" s="31" t="n">
        <f aca="false">IF($B179='設定（最初に1回）'!$C$4,N(U178)+1,N(U178))</f>
        <v>134</v>
      </c>
    </row>
    <row r="180" customFormat="false" ht="15" hidden="false" customHeight="false" outlineLevel="0" collapsed="false">
      <c r="A180" s="0" t="n">
        <v>20260501</v>
      </c>
      <c r="B180" s="53" t="s">
        <v>486</v>
      </c>
      <c r="C180" s="54" t="s">
        <v>487</v>
      </c>
      <c r="D180" s="55" t="s">
        <v>191</v>
      </c>
      <c r="E180" s="54" t="s">
        <v>192</v>
      </c>
      <c r="F180" s="55" t="s">
        <v>175</v>
      </c>
      <c r="G180" s="55" t="s">
        <v>252</v>
      </c>
      <c r="H180" s="54" t="s">
        <v>253</v>
      </c>
      <c r="I180" s="53" t="s">
        <v>270</v>
      </c>
      <c r="J180" s="54" t="s">
        <v>271</v>
      </c>
      <c r="K180" s="0" t="n">
        <v>1</v>
      </c>
      <c r="L180" s="0" t="n">
        <v>2</v>
      </c>
      <c r="M180" s="0" t="n">
        <v>0</v>
      </c>
      <c r="N180" s="0" t="n">
        <v>2</v>
      </c>
      <c r="P180" s="0" t="n">
        <v>0</v>
      </c>
      <c r="Q180" s="0" t="n">
        <v>1099</v>
      </c>
      <c r="R180" s="54" t="s">
        <v>180</v>
      </c>
      <c r="S180" s="0" t="n">
        <v>0.08</v>
      </c>
      <c r="U180" s="31" t="n">
        <f aca="false">IF($B180='設定（最初に1回）'!$C$4,N(U179)+1,N(U179))</f>
        <v>134</v>
      </c>
    </row>
    <row r="181" customFormat="false" ht="15" hidden="false" customHeight="false" outlineLevel="0" collapsed="false">
      <c r="A181" s="0" t="n">
        <v>20260501</v>
      </c>
      <c r="B181" s="53" t="s">
        <v>486</v>
      </c>
      <c r="C181" s="54" t="s">
        <v>487</v>
      </c>
      <c r="D181" s="55" t="s">
        <v>191</v>
      </c>
      <c r="E181" s="54" t="s">
        <v>192</v>
      </c>
      <c r="F181" s="55" t="s">
        <v>175</v>
      </c>
      <c r="G181" s="55" t="s">
        <v>252</v>
      </c>
      <c r="H181" s="54" t="s">
        <v>253</v>
      </c>
      <c r="I181" s="53" t="s">
        <v>272</v>
      </c>
      <c r="J181" s="54" t="s">
        <v>273</v>
      </c>
      <c r="K181" s="0" t="n">
        <v>1</v>
      </c>
      <c r="L181" s="0" t="n">
        <v>1</v>
      </c>
      <c r="M181" s="0" t="n">
        <v>0</v>
      </c>
      <c r="N181" s="0" t="n">
        <v>1</v>
      </c>
      <c r="P181" s="0" t="n">
        <v>0</v>
      </c>
      <c r="Q181" s="0" t="n">
        <v>955</v>
      </c>
      <c r="R181" s="54" t="s">
        <v>180</v>
      </c>
      <c r="S181" s="0" t="n">
        <v>0.08</v>
      </c>
      <c r="U181" s="31" t="n">
        <f aca="false">IF($B181='設定（最初に1回）'!$C$4,N(U180)+1,N(U180))</f>
        <v>134</v>
      </c>
    </row>
    <row r="182" customFormat="false" ht="15" hidden="false" customHeight="false" outlineLevel="0" collapsed="false">
      <c r="A182" s="0" t="n">
        <v>20260501</v>
      </c>
      <c r="B182" s="53" t="s">
        <v>486</v>
      </c>
      <c r="C182" s="54" t="s">
        <v>487</v>
      </c>
      <c r="D182" s="55" t="s">
        <v>191</v>
      </c>
      <c r="E182" s="54" t="s">
        <v>192</v>
      </c>
      <c r="F182" s="55" t="s">
        <v>175</v>
      </c>
      <c r="G182" s="55" t="s">
        <v>252</v>
      </c>
      <c r="H182" s="54" t="s">
        <v>253</v>
      </c>
      <c r="I182" s="53" t="s">
        <v>274</v>
      </c>
      <c r="J182" s="54" t="s">
        <v>275</v>
      </c>
      <c r="K182" s="0" t="n">
        <v>1</v>
      </c>
      <c r="L182" s="0" t="n">
        <v>107</v>
      </c>
      <c r="M182" s="0" t="n">
        <v>0</v>
      </c>
      <c r="N182" s="0" t="n">
        <v>107</v>
      </c>
      <c r="P182" s="0" t="n">
        <v>0</v>
      </c>
      <c r="Q182" s="0" t="n">
        <v>6887</v>
      </c>
      <c r="R182" s="54" t="s">
        <v>180</v>
      </c>
      <c r="S182" s="0" t="n">
        <v>0.08</v>
      </c>
      <c r="U182" s="31" t="n">
        <f aca="false">IF($B182='設定（最初に1回）'!$C$4,N(U181)+1,N(U181))</f>
        <v>134</v>
      </c>
    </row>
    <row r="183" customFormat="false" ht="15" hidden="false" customHeight="false" outlineLevel="0" collapsed="false">
      <c r="A183" s="0" t="n">
        <v>20260501</v>
      </c>
      <c r="B183" s="53" t="s">
        <v>486</v>
      </c>
      <c r="C183" s="54" t="s">
        <v>487</v>
      </c>
      <c r="D183" s="55" t="s">
        <v>191</v>
      </c>
      <c r="E183" s="54" t="s">
        <v>192</v>
      </c>
      <c r="F183" s="55" t="s">
        <v>175</v>
      </c>
      <c r="G183" s="55" t="s">
        <v>252</v>
      </c>
      <c r="H183" s="54" t="s">
        <v>253</v>
      </c>
      <c r="I183" s="53" t="s">
        <v>276</v>
      </c>
      <c r="J183" s="54" t="s">
        <v>277</v>
      </c>
      <c r="K183" s="0" t="n">
        <v>1</v>
      </c>
      <c r="L183" s="0" t="n">
        <v>28</v>
      </c>
      <c r="M183" s="0" t="n">
        <v>0</v>
      </c>
      <c r="N183" s="0" t="n">
        <v>28</v>
      </c>
      <c r="P183" s="0" t="n">
        <v>0</v>
      </c>
      <c r="Q183" s="0" t="n">
        <v>1180</v>
      </c>
      <c r="R183" s="54" t="s">
        <v>180</v>
      </c>
      <c r="S183" s="0" t="n">
        <v>0.08</v>
      </c>
      <c r="U183" s="31" t="n">
        <f aca="false">IF($B183='設定（最初に1回）'!$C$4,N(U182)+1,N(U182))</f>
        <v>134</v>
      </c>
    </row>
    <row r="184" customFormat="false" ht="15" hidden="false" customHeight="false" outlineLevel="0" collapsed="false">
      <c r="A184" s="0" t="n">
        <v>20260501</v>
      </c>
      <c r="B184" s="53" t="s">
        <v>486</v>
      </c>
      <c r="C184" s="54" t="s">
        <v>487</v>
      </c>
      <c r="D184" s="55" t="s">
        <v>191</v>
      </c>
      <c r="E184" s="54" t="s">
        <v>192</v>
      </c>
      <c r="F184" s="55" t="s">
        <v>175</v>
      </c>
      <c r="G184" s="55" t="s">
        <v>252</v>
      </c>
      <c r="H184" s="54" t="s">
        <v>253</v>
      </c>
      <c r="I184" s="53" t="s">
        <v>278</v>
      </c>
      <c r="J184" s="54" t="s">
        <v>279</v>
      </c>
      <c r="K184" s="0" t="n">
        <v>1</v>
      </c>
      <c r="L184" s="0" t="n">
        <v>21</v>
      </c>
      <c r="M184" s="0" t="n">
        <v>0</v>
      </c>
      <c r="N184" s="0" t="n">
        <v>21</v>
      </c>
      <c r="P184" s="0" t="n">
        <v>0</v>
      </c>
      <c r="Q184" s="0" t="n">
        <v>1294</v>
      </c>
      <c r="R184" s="54" t="s">
        <v>180</v>
      </c>
      <c r="S184" s="0" t="n">
        <v>0.08</v>
      </c>
      <c r="U184" s="31" t="n">
        <f aca="false">IF($B184='設定（最初に1回）'!$C$4,N(U183)+1,N(U183))</f>
        <v>134</v>
      </c>
    </row>
    <row r="185" customFormat="false" ht="15" hidden="false" customHeight="false" outlineLevel="0" collapsed="false">
      <c r="A185" s="0" t="n">
        <v>20260501</v>
      </c>
      <c r="B185" s="53" t="s">
        <v>486</v>
      </c>
      <c r="C185" s="54" t="s">
        <v>487</v>
      </c>
      <c r="D185" s="55" t="s">
        <v>191</v>
      </c>
      <c r="E185" s="54" t="s">
        <v>192</v>
      </c>
      <c r="F185" s="55" t="s">
        <v>175</v>
      </c>
      <c r="G185" s="55" t="s">
        <v>280</v>
      </c>
      <c r="H185" s="54" t="s">
        <v>281</v>
      </c>
      <c r="I185" s="53" t="s">
        <v>282</v>
      </c>
      <c r="J185" s="54" t="s">
        <v>283</v>
      </c>
      <c r="K185" s="0" t="n">
        <v>96</v>
      </c>
      <c r="L185" s="0" t="n">
        <v>20</v>
      </c>
      <c r="M185" s="0" t="n">
        <v>41</v>
      </c>
      <c r="N185" s="0" t="n">
        <v>1961</v>
      </c>
      <c r="P185" s="0" t="n">
        <v>0</v>
      </c>
      <c r="Q185" s="0" t="n">
        <v>176</v>
      </c>
      <c r="R185" s="54" t="s">
        <v>180</v>
      </c>
      <c r="S185" s="0" t="n">
        <v>0.08</v>
      </c>
      <c r="U185" s="31" t="n">
        <f aca="false">IF($B185='設定（最初に1回）'!$C$4,N(U184)+1,N(U184))</f>
        <v>134</v>
      </c>
    </row>
    <row r="186" customFormat="false" ht="15" hidden="false" customHeight="false" outlineLevel="0" collapsed="false">
      <c r="A186" s="0" t="n">
        <v>20260501</v>
      </c>
      <c r="B186" s="53" t="s">
        <v>486</v>
      </c>
      <c r="C186" s="54" t="s">
        <v>487</v>
      </c>
      <c r="D186" s="55" t="s">
        <v>191</v>
      </c>
      <c r="E186" s="54" t="s">
        <v>192</v>
      </c>
      <c r="F186" s="55" t="s">
        <v>175</v>
      </c>
      <c r="G186" s="55" t="s">
        <v>280</v>
      </c>
      <c r="H186" s="54" t="s">
        <v>281</v>
      </c>
      <c r="I186" s="53" t="s">
        <v>284</v>
      </c>
      <c r="J186" s="54" t="s">
        <v>285</v>
      </c>
      <c r="K186" s="0" t="n">
        <v>96</v>
      </c>
      <c r="L186" s="0" t="n">
        <v>2</v>
      </c>
      <c r="M186" s="0" t="n">
        <v>24</v>
      </c>
      <c r="N186" s="0" t="n">
        <v>216</v>
      </c>
      <c r="P186" s="0" t="n">
        <v>0</v>
      </c>
      <c r="Q186" s="0" t="n">
        <v>242</v>
      </c>
      <c r="R186" s="54" t="s">
        <v>180</v>
      </c>
      <c r="S186" s="0" t="n">
        <v>0.08</v>
      </c>
      <c r="U186" s="31" t="n">
        <f aca="false">IF($B186='設定（最初に1回）'!$C$4,N(U185)+1,N(U185))</f>
        <v>134</v>
      </c>
    </row>
    <row r="187" customFormat="false" ht="15" hidden="false" customHeight="false" outlineLevel="0" collapsed="false">
      <c r="A187" s="0" t="n">
        <v>20260501</v>
      </c>
      <c r="B187" s="53" t="s">
        <v>486</v>
      </c>
      <c r="C187" s="54" t="s">
        <v>487</v>
      </c>
      <c r="D187" s="55" t="s">
        <v>191</v>
      </c>
      <c r="E187" s="54" t="s">
        <v>192</v>
      </c>
      <c r="F187" s="55" t="s">
        <v>175</v>
      </c>
      <c r="G187" s="55" t="s">
        <v>280</v>
      </c>
      <c r="H187" s="54" t="s">
        <v>281</v>
      </c>
      <c r="I187" s="53" t="s">
        <v>286</v>
      </c>
      <c r="J187" s="54" t="s">
        <v>287</v>
      </c>
      <c r="K187" s="0" t="n">
        <v>96</v>
      </c>
      <c r="L187" s="0" t="n">
        <v>1</v>
      </c>
      <c r="M187" s="0" t="n">
        <v>15</v>
      </c>
      <c r="N187" s="0" t="n">
        <v>111</v>
      </c>
      <c r="P187" s="0" t="n">
        <v>0</v>
      </c>
      <c r="Q187" s="0" t="n">
        <v>239</v>
      </c>
      <c r="R187" s="54" t="s">
        <v>180</v>
      </c>
      <c r="S187" s="0" t="n">
        <v>0.08</v>
      </c>
      <c r="U187" s="31" t="n">
        <f aca="false">IF($B187='設定（最初に1回）'!$C$4,N(U186)+1,N(U186))</f>
        <v>134</v>
      </c>
    </row>
    <row r="188" customFormat="false" ht="15" hidden="false" customHeight="false" outlineLevel="0" collapsed="false">
      <c r="A188" s="0" t="n">
        <v>20260501</v>
      </c>
      <c r="B188" s="53" t="s">
        <v>486</v>
      </c>
      <c r="C188" s="54" t="s">
        <v>487</v>
      </c>
      <c r="D188" s="55" t="s">
        <v>191</v>
      </c>
      <c r="E188" s="54" t="s">
        <v>192</v>
      </c>
      <c r="F188" s="55" t="s">
        <v>175</v>
      </c>
      <c r="G188" s="55" t="s">
        <v>280</v>
      </c>
      <c r="H188" s="54" t="s">
        <v>281</v>
      </c>
      <c r="I188" s="53" t="s">
        <v>288</v>
      </c>
      <c r="J188" s="54" t="s">
        <v>289</v>
      </c>
      <c r="K188" s="0" t="n">
        <v>96</v>
      </c>
      <c r="L188" s="0" t="n">
        <v>4</v>
      </c>
      <c r="M188" s="0" t="n">
        <v>26</v>
      </c>
      <c r="N188" s="0" t="n">
        <v>410</v>
      </c>
      <c r="P188" s="0" t="n">
        <v>0</v>
      </c>
      <c r="Q188" s="0" t="n">
        <v>244</v>
      </c>
      <c r="R188" s="54" t="s">
        <v>180</v>
      </c>
      <c r="S188" s="0" t="n">
        <v>0.08</v>
      </c>
      <c r="U188" s="31" t="n">
        <f aca="false">IF($B188='設定（最初に1回）'!$C$4,N(U187)+1,N(U187))</f>
        <v>134</v>
      </c>
    </row>
    <row r="189" customFormat="false" ht="15" hidden="false" customHeight="false" outlineLevel="0" collapsed="false">
      <c r="A189" s="0" t="n">
        <v>20260501</v>
      </c>
      <c r="B189" s="53" t="s">
        <v>486</v>
      </c>
      <c r="C189" s="54" t="s">
        <v>487</v>
      </c>
      <c r="D189" s="55" t="s">
        <v>191</v>
      </c>
      <c r="E189" s="54" t="s">
        <v>192</v>
      </c>
      <c r="F189" s="55" t="s">
        <v>175</v>
      </c>
      <c r="G189" s="55" t="s">
        <v>290</v>
      </c>
      <c r="H189" s="54" t="s">
        <v>291</v>
      </c>
      <c r="I189" s="53" t="s">
        <v>292</v>
      </c>
      <c r="J189" s="54" t="s">
        <v>293</v>
      </c>
      <c r="K189" s="0" t="n">
        <v>1</v>
      </c>
      <c r="L189" s="0" t="n">
        <v>0</v>
      </c>
      <c r="M189" s="0" t="n">
        <v>0</v>
      </c>
      <c r="N189" s="0" t="n">
        <v>0</v>
      </c>
      <c r="P189" s="0" t="n">
        <v>0</v>
      </c>
      <c r="Q189" s="0" t="n">
        <v>1755</v>
      </c>
      <c r="R189" s="54" t="s">
        <v>180</v>
      </c>
      <c r="S189" s="0" t="n">
        <v>0.08</v>
      </c>
      <c r="U189" s="31" t="n">
        <f aca="false">IF($B189='設定（最初に1回）'!$C$4,N(U188)+1,N(U188))</f>
        <v>134</v>
      </c>
    </row>
    <row r="190" customFormat="false" ht="15" hidden="false" customHeight="false" outlineLevel="0" collapsed="false">
      <c r="A190" s="0" t="n">
        <v>20260501</v>
      </c>
      <c r="B190" s="53" t="s">
        <v>486</v>
      </c>
      <c r="C190" s="54" t="s">
        <v>487</v>
      </c>
      <c r="D190" s="55" t="s">
        <v>191</v>
      </c>
      <c r="E190" s="54" t="s">
        <v>192</v>
      </c>
      <c r="F190" s="55" t="s">
        <v>175</v>
      </c>
      <c r="G190" s="55" t="s">
        <v>290</v>
      </c>
      <c r="H190" s="54" t="s">
        <v>291</v>
      </c>
      <c r="I190" s="53" t="s">
        <v>294</v>
      </c>
      <c r="J190" s="54" t="s">
        <v>295</v>
      </c>
      <c r="K190" s="0" t="n">
        <v>40</v>
      </c>
      <c r="L190" s="0" t="n">
        <v>19</v>
      </c>
      <c r="M190" s="0" t="n">
        <v>18</v>
      </c>
      <c r="N190" s="0" t="n">
        <v>778</v>
      </c>
      <c r="P190" s="0" t="n">
        <v>0</v>
      </c>
      <c r="Q190" s="0" t="n">
        <v>96.25</v>
      </c>
      <c r="R190" s="54" t="s">
        <v>180</v>
      </c>
      <c r="S190" s="0" t="n">
        <v>0.08</v>
      </c>
      <c r="U190" s="31" t="n">
        <f aca="false">IF($B190='設定（最初に1回）'!$C$4,N(U189)+1,N(U189))</f>
        <v>134</v>
      </c>
    </row>
    <row r="191" customFormat="false" ht="15" hidden="false" customHeight="false" outlineLevel="0" collapsed="false">
      <c r="A191" s="0" t="n">
        <v>20260501</v>
      </c>
      <c r="B191" s="53" t="s">
        <v>486</v>
      </c>
      <c r="C191" s="54" t="s">
        <v>487</v>
      </c>
      <c r="D191" s="55" t="s">
        <v>191</v>
      </c>
      <c r="E191" s="54" t="s">
        <v>192</v>
      </c>
      <c r="F191" s="55" t="s">
        <v>175</v>
      </c>
      <c r="G191" s="55" t="s">
        <v>290</v>
      </c>
      <c r="H191" s="54" t="s">
        <v>291</v>
      </c>
      <c r="I191" s="53" t="s">
        <v>296</v>
      </c>
      <c r="J191" s="54" t="s">
        <v>297</v>
      </c>
      <c r="K191" s="0" t="n">
        <v>96</v>
      </c>
      <c r="L191" s="0" t="n">
        <v>4</v>
      </c>
      <c r="M191" s="0" t="n">
        <v>73</v>
      </c>
      <c r="N191" s="0" t="n">
        <v>457</v>
      </c>
      <c r="P191" s="0" t="n">
        <v>0</v>
      </c>
      <c r="Q191" s="0" t="n">
        <v>164</v>
      </c>
      <c r="R191" s="54" t="s">
        <v>180</v>
      </c>
      <c r="S191" s="0" t="n">
        <v>0.08</v>
      </c>
      <c r="U191" s="31" t="n">
        <f aca="false">IF($B191='設定（最初に1回）'!$C$4,N(U190)+1,N(U190))</f>
        <v>134</v>
      </c>
    </row>
    <row r="192" customFormat="false" ht="15" hidden="false" customHeight="false" outlineLevel="0" collapsed="false">
      <c r="A192" s="0" t="n">
        <v>20260501</v>
      </c>
      <c r="B192" s="53" t="s">
        <v>486</v>
      </c>
      <c r="C192" s="54" t="s">
        <v>487</v>
      </c>
      <c r="D192" s="55" t="s">
        <v>191</v>
      </c>
      <c r="E192" s="54" t="s">
        <v>192</v>
      </c>
      <c r="F192" s="55" t="s">
        <v>175</v>
      </c>
      <c r="G192" s="55" t="s">
        <v>298</v>
      </c>
      <c r="H192" s="54" t="s">
        <v>299</v>
      </c>
      <c r="I192" s="53" t="s">
        <v>300</v>
      </c>
      <c r="J192" s="54" t="s">
        <v>301</v>
      </c>
      <c r="K192" s="0" t="n">
        <v>100</v>
      </c>
      <c r="L192" s="0" t="n">
        <v>12</v>
      </c>
      <c r="M192" s="0" t="n">
        <v>99</v>
      </c>
      <c r="N192" s="0" t="n">
        <v>1299</v>
      </c>
      <c r="P192" s="0" t="n">
        <v>0</v>
      </c>
      <c r="Q192" s="0" t="n">
        <v>109</v>
      </c>
      <c r="R192" s="54" t="s">
        <v>180</v>
      </c>
      <c r="S192" s="0" t="n">
        <v>0.08</v>
      </c>
      <c r="U192" s="31" t="n">
        <f aca="false">IF($B192='設定（最初に1回）'!$C$4,N(U191)+1,N(U191))</f>
        <v>134</v>
      </c>
    </row>
    <row r="193" customFormat="false" ht="15" hidden="false" customHeight="false" outlineLevel="0" collapsed="false">
      <c r="A193" s="0" t="n">
        <v>20260501</v>
      </c>
      <c r="B193" s="53" t="s">
        <v>486</v>
      </c>
      <c r="C193" s="54" t="s">
        <v>487</v>
      </c>
      <c r="D193" s="55" t="s">
        <v>191</v>
      </c>
      <c r="E193" s="54" t="s">
        <v>192</v>
      </c>
      <c r="F193" s="55" t="s">
        <v>175</v>
      </c>
      <c r="G193" s="55" t="s">
        <v>298</v>
      </c>
      <c r="H193" s="54" t="s">
        <v>299</v>
      </c>
      <c r="I193" s="53" t="s">
        <v>302</v>
      </c>
      <c r="J193" s="54" t="s">
        <v>303</v>
      </c>
      <c r="K193" s="0" t="n">
        <v>100</v>
      </c>
      <c r="L193" s="0" t="n">
        <v>14</v>
      </c>
      <c r="M193" s="0" t="n">
        <v>49</v>
      </c>
      <c r="N193" s="0" t="n">
        <v>1449</v>
      </c>
      <c r="P193" s="0" t="n">
        <v>0</v>
      </c>
      <c r="Q193" s="0" t="n">
        <v>107</v>
      </c>
      <c r="R193" s="54" t="s">
        <v>180</v>
      </c>
      <c r="S193" s="0" t="n">
        <v>0.08</v>
      </c>
      <c r="U193" s="31" t="n">
        <f aca="false">IF($B193='設定（最初に1回）'!$C$4,N(U192)+1,N(U192))</f>
        <v>134</v>
      </c>
    </row>
    <row r="194" customFormat="false" ht="15" hidden="false" customHeight="false" outlineLevel="0" collapsed="false">
      <c r="A194" s="0" t="n">
        <v>20260501</v>
      </c>
      <c r="B194" s="53" t="s">
        <v>486</v>
      </c>
      <c r="C194" s="54" t="s">
        <v>487</v>
      </c>
      <c r="D194" s="55" t="s">
        <v>191</v>
      </c>
      <c r="E194" s="54" t="s">
        <v>192</v>
      </c>
      <c r="F194" s="55" t="s">
        <v>175</v>
      </c>
      <c r="G194" s="55" t="s">
        <v>298</v>
      </c>
      <c r="H194" s="54" t="s">
        <v>299</v>
      </c>
      <c r="I194" s="53" t="s">
        <v>304</v>
      </c>
      <c r="J194" s="54" t="s">
        <v>305</v>
      </c>
      <c r="K194" s="0" t="n">
        <v>1</v>
      </c>
      <c r="L194" s="0" t="n">
        <v>10</v>
      </c>
      <c r="M194" s="0" t="n">
        <v>0</v>
      </c>
      <c r="N194" s="0" t="n">
        <v>10</v>
      </c>
      <c r="P194" s="0" t="n">
        <v>0</v>
      </c>
      <c r="Q194" s="0" t="n">
        <v>1181</v>
      </c>
      <c r="R194" s="54" t="s">
        <v>180</v>
      </c>
      <c r="S194" s="0" t="n">
        <v>0.08</v>
      </c>
      <c r="U194" s="31" t="n">
        <f aca="false">IF($B194='設定（最初に1回）'!$C$4,N(U193)+1,N(U193))</f>
        <v>134</v>
      </c>
    </row>
    <row r="195" customFormat="false" ht="15" hidden="false" customHeight="false" outlineLevel="0" collapsed="false">
      <c r="A195" s="0" t="n">
        <v>20260501</v>
      </c>
      <c r="B195" s="53" t="s">
        <v>486</v>
      </c>
      <c r="C195" s="54" t="s">
        <v>487</v>
      </c>
      <c r="D195" s="55" t="s">
        <v>191</v>
      </c>
      <c r="E195" s="54" t="s">
        <v>192</v>
      </c>
      <c r="F195" s="55" t="s">
        <v>175</v>
      </c>
      <c r="G195" s="55" t="s">
        <v>298</v>
      </c>
      <c r="H195" s="54" t="s">
        <v>299</v>
      </c>
      <c r="I195" s="53" t="s">
        <v>306</v>
      </c>
      <c r="J195" s="54" t="s">
        <v>307</v>
      </c>
      <c r="K195" s="0" t="n">
        <v>1</v>
      </c>
      <c r="L195" s="0" t="n">
        <v>1</v>
      </c>
      <c r="M195" s="0" t="n">
        <v>0</v>
      </c>
      <c r="N195" s="0" t="n">
        <v>1</v>
      </c>
      <c r="P195" s="0" t="n">
        <v>0</v>
      </c>
      <c r="Q195" s="0" t="n">
        <v>1181</v>
      </c>
      <c r="R195" s="54" t="s">
        <v>180</v>
      </c>
      <c r="S195" s="0" t="n">
        <v>0.08</v>
      </c>
      <c r="U195" s="31" t="n">
        <f aca="false">IF($B195='設定（最初に1回）'!$C$4,N(U194)+1,N(U194))</f>
        <v>134</v>
      </c>
    </row>
    <row r="196" customFormat="false" ht="15" hidden="false" customHeight="false" outlineLevel="0" collapsed="false">
      <c r="A196" s="0" t="n">
        <v>20260501</v>
      </c>
      <c r="B196" s="53" t="s">
        <v>486</v>
      </c>
      <c r="C196" s="54" t="s">
        <v>487</v>
      </c>
      <c r="D196" s="55" t="s">
        <v>191</v>
      </c>
      <c r="E196" s="54" t="s">
        <v>192</v>
      </c>
      <c r="F196" s="55" t="s">
        <v>175</v>
      </c>
      <c r="G196" s="55" t="s">
        <v>298</v>
      </c>
      <c r="H196" s="54" t="s">
        <v>299</v>
      </c>
      <c r="I196" s="53" t="s">
        <v>308</v>
      </c>
      <c r="J196" s="54" t="s">
        <v>309</v>
      </c>
      <c r="K196" s="0" t="n">
        <v>1</v>
      </c>
      <c r="L196" s="0" t="n">
        <v>12</v>
      </c>
      <c r="M196" s="0" t="n">
        <v>0</v>
      </c>
      <c r="N196" s="0" t="n">
        <v>12</v>
      </c>
      <c r="P196" s="0" t="n">
        <v>0</v>
      </c>
      <c r="Q196" s="0" t="n">
        <v>1181</v>
      </c>
      <c r="R196" s="54" t="s">
        <v>180</v>
      </c>
      <c r="S196" s="0" t="n">
        <v>0.08</v>
      </c>
      <c r="U196" s="31" t="n">
        <f aca="false">IF($B196='設定（最初に1回）'!$C$4,N(U195)+1,N(U195))</f>
        <v>134</v>
      </c>
    </row>
    <row r="197" customFormat="false" ht="15" hidden="false" customHeight="false" outlineLevel="0" collapsed="false">
      <c r="A197" s="0" t="n">
        <v>20260501</v>
      </c>
      <c r="B197" s="53" t="s">
        <v>486</v>
      </c>
      <c r="C197" s="54" t="s">
        <v>487</v>
      </c>
      <c r="D197" s="55" t="s">
        <v>191</v>
      </c>
      <c r="E197" s="54" t="s">
        <v>192</v>
      </c>
      <c r="F197" s="55" t="s">
        <v>175</v>
      </c>
      <c r="G197" s="55" t="s">
        <v>298</v>
      </c>
      <c r="H197" s="54" t="s">
        <v>299</v>
      </c>
      <c r="I197" s="53" t="s">
        <v>310</v>
      </c>
      <c r="J197" s="54" t="s">
        <v>311</v>
      </c>
      <c r="K197" s="0" t="n">
        <v>1</v>
      </c>
      <c r="L197" s="0" t="n">
        <v>1</v>
      </c>
      <c r="M197" s="0" t="n">
        <v>0</v>
      </c>
      <c r="N197" s="0" t="n">
        <v>1</v>
      </c>
      <c r="P197" s="0" t="n">
        <v>0</v>
      </c>
      <c r="Q197" s="0" t="n">
        <v>1181</v>
      </c>
      <c r="R197" s="54" t="s">
        <v>180</v>
      </c>
      <c r="S197" s="0" t="n">
        <v>0.08</v>
      </c>
      <c r="U197" s="31" t="n">
        <f aca="false">IF($B197='設定（最初に1回）'!$C$4,N(U196)+1,N(U196))</f>
        <v>134</v>
      </c>
    </row>
    <row r="198" customFormat="false" ht="15" hidden="false" customHeight="false" outlineLevel="0" collapsed="false">
      <c r="A198" s="0" t="n">
        <v>20260501</v>
      </c>
      <c r="B198" s="53" t="s">
        <v>486</v>
      </c>
      <c r="C198" s="54" t="s">
        <v>487</v>
      </c>
      <c r="D198" s="55" t="s">
        <v>191</v>
      </c>
      <c r="E198" s="54" t="s">
        <v>192</v>
      </c>
      <c r="F198" s="55" t="s">
        <v>175</v>
      </c>
      <c r="G198" s="55" t="s">
        <v>298</v>
      </c>
      <c r="H198" s="54" t="s">
        <v>299</v>
      </c>
      <c r="I198" s="53" t="s">
        <v>312</v>
      </c>
      <c r="J198" s="54" t="s">
        <v>313</v>
      </c>
      <c r="K198" s="0" t="n">
        <v>1</v>
      </c>
      <c r="L198" s="0" t="n">
        <v>48</v>
      </c>
      <c r="M198" s="0" t="n">
        <v>0</v>
      </c>
      <c r="N198" s="0" t="n">
        <v>48</v>
      </c>
      <c r="P198" s="0" t="n">
        <v>0</v>
      </c>
      <c r="Q198" s="0" t="n">
        <v>1181</v>
      </c>
      <c r="R198" s="54" t="s">
        <v>180</v>
      </c>
      <c r="S198" s="0" t="n">
        <v>0.08</v>
      </c>
      <c r="U198" s="31" t="n">
        <f aca="false">IF($B198='設定（最初に1回）'!$C$4,N(U197)+1,N(U197))</f>
        <v>134</v>
      </c>
    </row>
    <row r="199" customFormat="false" ht="15" hidden="false" customHeight="false" outlineLevel="0" collapsed="false">
      <c r="A199" s="0" t="n">
        <v>20260501</v>
      </c>
      <c r="B199" s="53" t="s">
        <v>486</v>
      </c>
      <c r="C199" s="54" t="s">
        <v>487</v>
      </c>
      <c r="D199" s="55" t="s">
        <v>191</v>
      </c>
      <c r="E199" s="54" t="s">
        <v>192</v>
      </c>
      <c r="F199" s="55" t="s">
        <v>175</v>
      </c>
      <c r="G199" s="55" t="s">
        <v>298</v>
      </c>
      <c r="H199" s="54" t="s">
        <v>299</v>
      </c>
      <c r="I199" s="53" t="s">
        <v>314</v>
      </c>
      <c r="J199" s="54" t="s">
        <v>315</v>
      </c>
      <c r="K199" s="0" t="n">
        <v>1</v>
      </c>
      <c r="L199" s="0" t="n">
        <v>2</v>
      </c>
      <c r="M199" s="0" t="n">
        <v>0</v>
      </c>
      <c r="N199" s="0" t="n">
        <v>2</v>
      </c>
      <c r="P199" s="0" t="n">
        <v>0</v>
      </c>
      <c r="Q199" s="0" t="n">
        <v>1181</v>
      </c>
      <c r="R199" s="54" t="s">
        <v>180</v>
      </c>
      <c r="S199" s="0" t="n">
        <v>0.08</v>
      </c>
      <c r="U199" s="31" t="n">
        <f aca="false">IF($B199='設定（最初に1回）'!$C$4,N(U198)+1,N(U198))</f>
        <v>134</v>
      </c>
    </row>
    <row r="200" customFormat="false" ht="15" hidden="false" customHeight="false" outlineLevel="0" collapsed="false">
      <c r="A200" s="0" t="n">
        <v>20260501</v>
      </c>
      <c r="B200" s="53" t="s">
        <v>486</v>
      </c>
      <c r="C200" s="54" t="s">
        <v>487</v>
      </c>
      <c r="D200" s="55" t="s">
        <v>191</v>
      </c>
      <c r="E200" s="54" t="s">
        <v>192</v>
      </c>
      <c r="F200" s="55" t="s">
        <v>175</v>
      </c>
      <c r="G200" s="55" t="s">
        <v>298</v>
      </c>
      <c r="H200" s="54" t="s">
        <v>299</v>
      </c>
      <c r="I200" s="53" t="s">
        <v>316</v>
      </c>
      <c r="J200" s="54" t="s">
        <v>317</v>
      </c>
      <c r="K200" s="0" t="n">
        <v>1</v>
      </c>
      <c r="L200" s="0" t="n">
        <v>1</v>
      </c>
      <c r="M200" s="0" t="n">
        <v>0</v>
      </c>
      <c r="N200" s="0" t="n">
        <v>1</v>
      </c>
      <c r="P200" s="0" t="n">
        <v>0</v>
      </c>
      <c r="Q200" s="0" t="n">
        <v>1181</v>
      </c>
      <c r="R200" s="54" t="s">
        <v>180</v>
      </c>
      <c r="S200" s="0" t="n">
        <v>0.08</v>
      </c>
      <c r="U200" s="31" t="n">
        <f aca="false">IF($B200='設定（最初に1回）'!$C$4,N(U199)+1,N(U199))</f>
        <v>134</v>
      </c>
    </row>
    <row r="201" customFormat="false" ht="15" hidden="false" customHeight="false" outlineLevel="0" collapsed="false">
      <c r="A201" s="0" t="n">
        <v>20260501</v>
      </c>
      <c r="B201" s="53" t="s">
        <v>486</v>
      </c>
      <c r="C201" s="54" t="s">
        <v>487</v>
      </c>
      <c r="D201" s="55" t="s">
        <v>191</v>
      </c>
      <c r="E201" s="54" t="s">
        <v>192</v>
      </c>
      <c r="F201" s="55" t="s">
        <v>175</v>
      </c>
      <c r="G201" s="55" t="s">
        <v>298</v>
      </c>
      <c r="H201" s="54" t="s">
        <v>299</v>
      </c>
      <c r="I201" s="53" t="s">
        <v>318</v>
      </c>
      <c r="J201" s="54" t="s">
        <v>319</v>
      </c>
      <c r="K201" s="0" t="n">
        <v>1</v>
      </c>
      <c r="L201" s="0" t="n">
        <v>48</v>
      </c>
      <c r="M201" s="0" t="n">
        <v>0</v>
      </c>
      <c r="N201" s="0" t="n">
        <v>48</v>
      </c>
      <c r="P201" s="0" t="n">
        <v>0</v>
      </c>
      <c r="Q201" s="0" t="n">
        <v>730</v>
      </c>
      <c r="R201" s="54" t="s">
        <v>180</v>
      </c>
      <c r="S201" s="0" t="n">
        <v>0.08</v>
      </c>
      <c r="U201" s="31" t="n">
        <f aca="false">IF($B201='設定（最初に1回）'!$C$4,N(U200)+1,N(U200))</f>
        <v>134</v>
      </c>
    </row>
    <row r="202" customFormat="false" ht="15" hidden="false" customHeight="false" outlineLevel="0" collapsed="false">
      <c r="A202" s="0" t="n">
        <v>20260501</v>
      </c>
      <c r="B202" s="53" t="s">
        <v>486</v>
      </c>
      <c r="C202" s="54" t="s">
        <v>487</v>
      </c>
      <c r="D202" s="55" t="s">
        <v>191</v>
      </c>
      <c r="E202" s="54" t="s">
        <v>192</v>
      </c>
      <c r="F202" s="55" t="s">
        <v>175</v>
      </c>
      <c r="G202" s="55" t="s">
        <v>298</v>
      </c>
      <c r="H202" s="54" t="s">
        <v>299</v>
      </c>
      <c r="I202" s="53" t="s">
        <v>320</v>
      </c>
      <c r="J202" s="54" t="s">
        <v>321</v>
      </c>
      <c r="K202" s="0" t="n">
        <v>1</v>
      </c>
      <c r="L202" s="0" t="n">
        <v>62</v>
      </c>
      <c r="M202" s="0" t="n">
        <v>0</v>
      </c>
      <c r="N202" s="0" t="n">
        <v>62</v>
      </c>
      <c r="P202" s="0" t="n">
        <v>0</v>
      </c>
      <c r="Q202" s="0" t="n">
        <v>804</v>
      </c>
      <c r="R202" s="54" t="s">
        <v>180</v>
      </c>
      <c r="S202" s="0" t="n">
        <v>0.08</v>
      </c>
      <c r="U202" s="31" t="n">
        <f aca="false">IF($B202='設定（最初に1回）'!$C$4,N(U201)+1,N(U201))</f>
        <v>134</v>
      </c>
    </row>
    <row r="203" customFormat="false" ht="15" hidden="false" customHeight="false" outlineLevel="0" collapsed="false">
      <c r="A203" s="0" t="n">
        <v>20260501</v>
      </c>
      <c r="B203" s="53" t="s">
        <v>486</v>
      </c>
      <c r="C203" s="54" t="s">
        <v>487</v>
      </c>
      <c r="D203" s="55" t="s">
        <v>191</v>
      </c>
      <c r="E203" s="54" t="s">
        <v>192</v>
      </c>
      <c r="F203" s="55" t="s">
        <v>175</v>
      </c>
      <c r="G203" s="55" t="s">
        <v>298</v>
      </c>
      <c r="H203" s="54" t="s">
        <v>299</v>
      </c>
      <c r="I203" s="53" t="s">
        <v>322</v>
      </c>
      <c r="J203" s="54" t="s">
        <v>323</v>
      </c>
      <c r="K203" s="0" t="n">
        <v>1</v>
      </c>
      <c r="L203" s="0" t="n">
        <v>31</v>
      </c>
      <c r="M203" s="0" t="n">
        <v>0</v>
      </c>
      <c r="N203" s="0" t="n">
        <v>31</v>
      </c>
      <c r="P203" s="0" t="n">
        <v>0</v>
      </c>
      <c r="Q203" s="0" t="n">
        <v>1181</v>
      </c>
      <c r="R203" s="54" t="s">
        <v>180</v>
      </c>
      <c r="S203" s="0" t="n">
        <v>0.08</v>
      </c>
      <c r="U203" s="31" t="n">
        <f aca="false">IF($B203='設定（最初に1回）'!$C$4,N(U202)+1,N(U202))</f>
        <v>134</v>
      </c>
    </row>
    <row r="204" customFormat="false" ht="15" hidden="false" customHeight="false" outlineLevel="0" collapsed="false">
      <c r="A204" s="0" t="n">
        <v>20260501</v>
      </c>
      <c r="B204" s="53" t="s">
        <v>486</v>
      </c>
      <c r="C204" s="54" t="s">
        <v>487</v>
      </c>
      <c r="D204" s="55" t="s">
        <v>191</v>
      </c>
      <c r="E204" s="54" t="s">
        <v>192</v>
      </c>
      <c r="F204" s="55" t="s">
        <v>175</v>
      </c>
      <c r="G204" s="55" t="s">
        <v>324</v>
      </c>
      <c r="H204" s="54" t="s">
        <v>325</v>
      </c>
      <c r="I204" s="53" t="s">
        <v>326</v>
      </c>
      <c r="J204" s="54" t="s">
        <v>327</v>
      </c>
      <c r="K204" s="0" t="n">
        <v>120</v>
      </c>
      <c r="L204" s="0" t="n">
        <v>2</v>
      </c>
      <c r="M204" s="0" t="n">
        <v>40</v>
      </c>
      <c r="N204" s="0" t="n">
        <v>280</v>
      </c>
      <c r="P204" s="0" t="n">
        <v>0</v>
      </c>
      <c r="Q204" s="0" t="n">
        <v>174</v>
      </c>
      <c r="R204" s="54" t="s">
        <v>180</v>
      </c>
      <c r="S204" s="0" t="n">
        <v>0.08</v>
      </c>
      <c r="U204" s="31" t="n">
        <f aca="false">IF($B204='設定（最初に1回）'!$C$4,N(U203)+1,N(U203))</f>
        <v>134</v>
      </c>
    </row>
    <row r="205" customFormat="false" ht="15" hidden="false" customHeight="false" outlineLevel="0" collapsed="false">
      <c r="A205" s="0" t="n">
        <v>20260501</v>
      </c>
      <c r="B205" s="53" t="s">
        <v>486</v>
      </c>
      <c r="C205" s="54" t="s">
        <v>487</v>
      </c>
      <c r="D205" s="55" t="s">
        <v>191</v>
      </c>
      <c r="E205" s="54" t="s">
        <v>192</v>
      </c>
      <c r="F205" s="55" t="s">
        <v>175</v>
      </c>
      <c r="G205" s="55" t="s">
        <v>324</v>
      </c>
      <c r="H205" s="54" t="s">
        <v>325</v>
      </c>
      <c r="I205" s="53" t="s">
        <v>328</v>
      </c>
      <c r="J205" s="54" t="s">
        <v>329</v>
      </c>
      <c r="K205" s="0" t="n">
        <v>120</v>
      </c>
      <c r="L205" s="0" t="n">
        <v>6</v>
      </c>
      <c r="M205" s="0" t="n">
        <v>111</v>
      </c>
      <c r="N205" s="0" t="n">
        <v>831</v>
      </c>
      <c r="P205" s="0" t="n">
        <v>0</v>
      </c>
      <c r="Q205" s="0" t="n">
        <v>162</v>
      </c>
      <c r="R205" s="54" t="s">
        <v>180</v>
      </c>
      <c r="S205" s="0" t="n">
        <v>0.08</v>
      </c>
      <c r="U205" s="31" t="n">
        <f aca="false">IF($B205='設定（最初に1回）'!$C$4,N(U204)+1,N(U204))</f>
        <v>134</v>
      </c>
    </row>
    <row r="206" customFormat="false" ht="15" hidden="false" customHeight="false" outlineLevel="0" collapsed="false">
      <c r="A206" s="0" t="n">
        <v>20260501</v>
      </c>
      <c r="B206" s="53" t="s">
        <v>486</v>
      </c>
      <c r="C206" s="54" t="s">
        <v>487</v>
      </c>
      <c r="D206" s="55" t="s">
        <v>191</v>
      </c>
      <c r="E206" s="54" t="s">
        <v>192</v>
      </c>
      <c r="F206" s="55" t="s">
        <v>175</v>
      </c>
      <c r="G206" s="55" t="s">
        <v>330</v>
      </c>
      <c r="H206" s="54" t="s">
        <v>331</v>
      </c>
      <c r="I206" s="53" t="s">
        <v>332</v>
      </c>
      <c r="J206" s="54" t="s">
        <v>333</v>
      </c>
      <c r="K206" s="0" t="n">
        <v>1</v>
      </c>
      <c r="L206" s="0" t="n">
        <v>226</v>
      </c>
      <c r="M206" s="0" t="n">
        <v>0</v>
      </c>
      <c r="N206" s="0" t="n">
        <v>226</v>
      </c>
      <c r="P206" s="0" t="n">
        <v>0</v>
      </c>
      <c r="Q206" s="0" t="n">
        <v>458</v>
      </c>
      <c r="R206" s="54" t="s">
        <v>180</v>
      </c>
      <c r="S206" s="0" t="n">
        <v>0.08</v>
      </c>
      <c r="U206" s="31" t="n">
        <f aca="false">IF($B206='設定（最初に1回）'!$C$4,N(U205)+1,N(U205))</f>
        <v>134</v>
      </c>
    </row>
    <row r="207" customFormat="false" ht="15" hidden="false" customHeight="false" outlineLevel="0" collapsed="false">
      <c r="A207" s="0" t="n">
        <v>20260501</v>
      </c>
      <c r="B207" s="53" t="s">
        <v>486</v>
      </c>
      <c r="C207" s="54" t="s">
        <v>487</v>
      </c>
      <c r="D207" s="55" t="s">
        <v>191</v>
      </c>
      <c r="E207" s="54" t="s">
        <v>192</v>
      </c>
      <c r="F207" s="55" t="s">
        <v>175</v>
      </c>
      <c r="G207" s="55" t="s">
        <v>330</v>
      </c>
      <c r="H207" s="54" t="s">
        <v>331</v>
      </c>
      <c r="I207" s="53" t="s">
        <v>334</v>
      </c>
      <c r="J207" s="54" t="s">
        <v>335</v>
      </c>
      <c r="K207" s="0" t="n">
        <v>1</v>
      </c>
      <c r="L207" s="0" t="n">
        <v>21</v>
      </c>
      <c r="M207" s="0" t="n">
        <v>0</v>
      </c>
      <c r="N207" s="0" t="n">
        <v>21</v>
      </c>
      <c r="P207" s="0" t="n">
        <v>0</v>
      </c>
      <c r="Q207" s="0" t="n">
        <v>452</v>
      </c>
      <c r="R207" s="54" t="s">
        <v>180</v>
      </c>
      <c r="S207" s="0" t="n">
        <v>0.08</v>
      </c>
      <c r="U207" s="31" t="n">
        <f aca="false">IF($B207='設定（最初に1回）'!$C$4,N(U206)+1,N(U206))</f>
        <v>134</v>
      </c>
    </row>
    <row r="208" customFormat="false" ht="15" hidden="false" customHeight="false" outlineLevel="0" collapsed="false">
      <c r="A208" s="0" t="n">
        <v>20260501</v>
      </c>
      <c r="B208" s="53" t="s">
        <v>486</v>
      </c>
      <c r="C208" s="54" t="s">
        <v>487</v>
      </c>
      <c r="D208" s="55" t="s">
        <v>191</v>
      </c>
      <c r="E208" s="54" t="s">
        <v>192</v>
      </c>
      <c r="F208" s="55" t="s">
        <v>175</v>
      </c>
      <c r="G208" s="55" t="s">
        <v>330</v>
      </c>
      <c r="H208" s="54" t="s">
        <v>331</v>
      </c>
      <c r="I208" s="53" t="s">
        <v>336</v>
      </c>
      <c r="J208" s="54" t="s">
        <v>337</v>
      </c>
      <c r="K208" s="0" t="n">
        <v>1</v>
      </c>
      <c r="L208" s="0" t="n">
        <v>79</v>
      </c>
      <c r="M208" s="0" t="n">
        <v>0</v>
      </c>
      <c r="N208" s="0" t="n">
        <v>79</v>
      </c>
      <c r="P208" s="0" t="n">
        <v>0</v>
      </c>
      <c r="Q208" s="0" t="n">
        <v>371</v>
      </c>
      <c r="R208" s="54" t="s">
        <v>180</v>
      </c>
      <c r="S208" s="0" t="n">
        <v>0.08</v>
      </c>
      <c r="U208" s="31" t="n">
        <f aca="false">IF($B208='設定（最初に1回）'!$C$4,N(U207)+1,N(U207))</f>
        <v>134</v>
      </c>
    </row>
    <row r="209" customFormat="false" ht="15" hidden="false" customHeight="false" outlineLevel="0" collapsed="false">
      <c r="A209" s="0" t="n">
        <v>20260501</v>
      </c>
      <c r="B209" s="53" t="s">
        <v>486</v>
      </c>
      <c r="C209" s="54" t="s">
        <v>487</v>
      </c>
      <c r="D209" s="55" t="s">
        <v>191</v>
      </c>
      <c r="E209" s="54" t="s">
        <v>192</v>
      </c>
      <c r="F209" s="55" t="s">
        <v>175</v>
      </c>
      <c r="G209" s="55" t="s">
        <v>330</v>
      </c>
      <c r="H209" s="54" t="s">
        <v>331</v>
      </c>
      <c r="I209" s="53" t="s">
        <v>338</v>
      </c>
      <c r="J209" s="54" t="s">
        <v>339</v>
      </c>
      <c r="K209" s="0" t="n">
        <v>1</v>
      </c>
      <c r="L209" s="0" t="n">
        <v>10</v>
      </c>
      <c r="M209" s="0" t="n">
        <v>0</v>
      </c>
      <c r="N209" s="0" t="n">
        <v>10</v>
      </c>
      <c r="P209" s="0" t="n">
        <v>0</v>
      </c>
      <c r="Q209" s="0" t="n">
        <v>822</v>
      </c>
      <c r="R209" s="54" t="s">
        <v>180</v>
      </c>
      <c r="S209" s="0" t="n">
        <v>0.08</v>
      </c>
      <c r="U209" s="31" t="n">
        <f aca="false">IF($B209='設定（最初に1回）'!$C$4,N(U208)+1,N(U208))</f>
        <v>134</v>
      </c>
    </row>
    <row r="210" customFormat="false" ht="15" hidden="false" customHeight="false" outlineLevel="0" collapsed="false">
      <c r="A210" s="0" t="n">
        <v>20260501</v>
      </c>
      <c r="B210" s="53" t="s">
        <v>486</v>
      </c>
      <c r="C210" s="54" t="s">
        <v>487</v>
      </c>
      <c r="D210" s="55" t="s">
        <v>191</v>
      </c>
      <c r="E210" s="54" t="s">
        <v>192</v>
      </c>
      <c r="F210" s="55" t="s">
        <v>175</v>
      </c>
      <c r="G210" s="55" t="s">
        <v>340</v>
      </c>
      <c r="H210" s="54" t="s">
        <v>341</v>
      </c>
      <c r="I210" s="53" t="s">
        <v>342</v>
      </c>
      <c r="J210" s="54" t="s">
        <v>343</v>
      </c>
      <c r="K210" s="0" t="n">
        <v>50</v>
      </c>
      <c r="L210" s="0" t="n">
        <v>0</v>
      </c>
      <c r="M210" s="0" t="n">
        <v>1</v>
      </c>
      <c r="N210" s="0" t="n">
        <v>1</v>
      </c>
      <c r="P210" s="0" t="n">
        <v>0</v>
      </c>
      <c r="Q210" s="0" t="n">
        <v>274</v>
      </c>
      <c r="R210" s="54" t="s">
        <v>180</v>
      </c>
      <c r="S210" s="0" t="n">
        <v>0.1</v>
      </c>
      <c r="U210" s="31" t="n">
        <f aca="false">IF($B210='設定（最初に1回）'!$C$4,N(U209)+1,N(U209))</f>
        <v>134</v>
      </c>
    </row>
    <row r="211" customFormat="false" ht="15" hidden="false" customHeight="false" outlineLevel="0" collapsed="false">
      <c r="A211" s="0" t="n">
        <v>20260501</v>
      </c>
      <c r="B211" s="53" t="s">
        <v>486</v>
      </c>
      <c r="C211" s="54" t="s">
        <v>487</v>
      </c>
      <c r="D211" s="55" t="s">
        <v>191</v>
      </c>
      <c r="E211" s="54" t="s">
        <v>192</v>
      </c>
      <c r="F211" s="55" t="s">
        <v>175</v>
      </c>
      <c r="G211" s="55" t="s">
        <v>340</v>
      </c>
      <c r="H211" s="54" t="s">
        <v>341</v>
      </c>
      <c r="I211" s="53" t="s">
        <v>344</v>
      </c>
      <c r="J211" s="54" t="s">
        <v>345</v>
      </c>
      <c r="K211" s="0" t="n">
        <v>50</v>
      </c>
      <c r="L211" s="0" t="n">
        <v>0</v>
      </c>
      <c r="M211" s="0" t="n">
        <v>6</v>
      </c>
      <c r="N211" s="0" t="n">
        <v>6</v>
      </c>
      <c r="P211" s="0" t="n">
        <v>0</v>
      </c>
      <c r="Q211" s="0" t="n">
        <v>393</v>
      </c>
      <c r="R211" s="54" t="s">
        <v>180</v>
      </c>
      <c r="S211" s="0" t="n">
        <v>0.1</v>
      </c>
      <c r="U211" s="31" t="n">
        <f aca="false">IF($B211='設定（最初に1回）'!$C$4,N(U210)+1,N(U210))</f>
        <v>134</v>
      </c>
    </row>
    <row r="212" customFormat="false" ht="15" hidden="false" customHeight="false" outlineLevel="0" collapsed="false">
      <c r="A212" s="0" t="n">
        <v>20260501</v>
      </c>
      <c r="B212" s="53" t="s">
        <v>486</v>
      </c>
      <c r="C212" s="54" t="s">
        <v>487</v>
      </c>
      <c r="D212" s="55" t="s">
        <v>191</v>
      </c>
      <c r="E212" s="54" t="s">
        <v>192</v>
      </c>
      <c r="F212" s="55" t="s">
        <v>175</v>
      </c>
      <c r="G212" s="55" t="s">
        <v>346</v>
      </c>
      <c r="H212" s="54" t="s">
        <v>347</v>
      </c>
      <c r="I212" s="53" t="s">
        <v>348</v>
      </c>
      <c r="J212" s="54" t="s">
        <v>349</v>
      </c>
      <c r="K212" s="0" t="n">
        <v>1000</v>
      </c>
      <c r="L212" s="0" t="n">
        <v>14</v>
      </c>
      <c r="M212" s="0" t="n">
        <v>303</v>
      </c>
      <c r="N212" s="0" t="n">
        <v>14303</v>
      </c>
      <c r="P212" s="0" t="n">
        <v>0</v>
      </c>
      <c r="Q212" s="0" t="n">
        <v>9</v>
      </c>
      <c r="R212" s="54" t="s">
        <v>180</v>
      </c>
      <c r="S212" s="0" t="n">
        <v>0.1</v>
      </c>
      <c r="U212" s="31" t="n">
        <f aca="false">IF($B212='設定（最初に1回）'!$C$4,N(U211)+1,N(U211))</f>
        <v>134</v>
      </c>
    </row>
    <row r="213" customFormat="false" ht="15" hidden="false" customHeight="false" outlineLevel="0" collapsed="false">
      <c r="A213" s="0" t="n">
        <v>20260501</v>
      </c>
      <c r="B213" s="53" t="s">
        <v>486</v>
      </c>
      <c r="C213" s="54" t="s">
        <v>487</v>
      </c>
      <c r="D213" s="55" t="s">
        <v>191</v>
      </c>
      <c r="E213" s="54" t="s">
        <v>192</v>
      </c>
      <c r="F213" s="55" t="s">
        <v>175</v>
      </c>
      <c r="G213" s="55" t="s">
        <v>346</v>
      </c>
      <c r="H213" s="54" t="s">
        <v>347</v>
      </c>
      <c r="I213" s="53" t="s">
        <v>350</v>
      </c>
      <c r="J213" s="54" t="s">
        <v>351</v>
      </c>
      <c r="K213" s="0" t="n">
        <v>2000</v>
      </c>
      <c r="L213" s="0" t="n">
        <v>8</v>
      </c>
      <c r="M213" s="0" t="n">
        <v>573</v>
      </c>
      <c r="N213" s="0" t="n">
        <v>16573</v>
      </c>
      <c r="P213" s="0" t="n">
        <v>0</v>
      </c>
      <c r="Q213" s="0" t="n">
        <v>5.6</v>
      </c>
      <c r="R213" s="54" t="s">
        <v>180</v>
      </c>
      <c r="S213" s="0" t="n">
        <v>0.1</v>
      </c>
      <c r="U213" s="31" t="n">
        <f aca="false">IF($B213='設定（最初に1回）'!$C$4,N(U212)+1,N(U212))</f>
        <v>134</v>
      </c>
    </row>
    <row r="214" customFormat="false" ht="15" hidden="false" customHeight="false" outlineLevel="0" collapsed="false">
      <c r="A214" s="0" t="n">
        <v>20260501</v>
      </c>
      <c r="B214" s="53" t="s">
        <v>486</v>
      </c>
      <c r="C214" s="54" t="s">
        <v>487</v>
      </c>
      <c r="D214" s="55" t="s">
        <v>191</v>
      </c>
      <c r="E214" s="54" t="s">
        <v>192</v>
      </c>
      <c r="F214" s="55" t="s">
        <v>175</v>
      </c>
      <c r="G214" s="55" t="s">
        <v>346</v>
      </c>
      <c r="H214" s="54" t="s">
        <v>347</v>
      </c>
      <c r="I214" s="53" t="s">
        <v>352</v>
      </c>
      <c r="J214" s="54" t="s">
        <v>353</v>
      </c>
      <c r="K214" s="0" t="n">
        <v>1500</v>
      </c>
      <c r="L214" s="0" t="n">
        <v>2</v>
      </c>
      <c r="M214" s="0" t="n">
        <v>12</v>
      </c>
      <c r="N214" s="0" t="n">
        <v>3012</v>
      </c>
      <c r="P214" s="0" t="n">
        <v>0</v>
      </c>
      <c r="Q214" s="0" t="n">
        <v>9</v>
      </c>
      <c r="R214" s="54" t="s">
        <v>180</v>
      </c>
      <c r="S214" s="0" t="n">
        <v>0.1</v>
      </c>
      <c r="U214" s="31" t="n">
        <f aca="false">IF($B214='設定（最初に1回）'!$C$4,N(U213)+1,N(U213))</f>
        <v>134</v>
      </c>
    </row>
    <row r="215" customFormat="false" ht="15" hidden="false" customHeight="false" outlineLevel="0" collapsed="false">
      <c r="A215" s="0" t="n">
        <v>20260501</v>
      </c>
      <c r="B215" s="53" t="s">
        <v>486</v>
      </c>
      <c r="C215" s="54" t="s">
        <v>487</v>
      </c>
      <c r="D215" s="55" t="s">
        <v>191</v>
      </c>
      <c r="E215" s="54" t="s">
        <v>192</v>
      </c>
      <c r="F215" s="55" t="s">
        <v>175</v>
      </c>
      <c r="G215" s="55" t="s">
        <v>346</v>
      </c>
      <c r="H215" s="54" t="s">
        <v>347</v>
      </c>
      <c r="I215" s="53" t="s">
        <v>354</v>
      </c>
      <c r="J215" s="54" t="s">
        <v>355</v>
      </c>
      <c r="K215" s="0" t="n">
        <v>3000</v>
      </c>
      <c r="L215" s="0" t="n">
        <v>0</v>
      </c>
      <c r="M215" s="0" t="n">
        <v>2349</v>
      </c>
      <c r="N215" s="0" t="n">
        <v>2349</v>
      </c>
      <c r="P215" s="0" t="n">
        <v>0</v>
      </c>
      <c r="Q215" s="0" t="n">
        <v>3.26</v>
      </c>
      <c r="R215" s="54" t="s">
        <v>180</v>
      </c>
      <c r="S215" s="0" t="n">
        <v>0.1</v>
      </c>
      <c r="U215" s="31" t="n">
        <f aca="false">IF($B215='設定（最初に1回）'!$C$4,N(U214)+1,N(U214))</f>
        <v>134</v>
      </c>
    </row>
    <row r="216" customFormat="false" ht="15" hidden="false" customHeight="false" outlineLevel="0" collapsed="false">
      <c r="A216" s="0" t="n">
        <v>20260501</v>
      </c>
      <c r="B216" s="53" t="s">
        <v>486</v>
      </c>
      <c r="C216" s="54" t="s">
        <v>487</v>
      </c>
      <c r="D216" s="55" t="s">
        <v>191</v>
      </c>
      <c r="E216" s="54" t="s">
        <v>192</v>
      </c>
      <c r="F216" s="55" t="s">
        <v>175</v>
      </c>
      <c r="G216" s="55" t="s">
        <v>346</v>
      </c>
      <c r="H216" s="54" t="s">
        <v>347</v>
      </c>
      <c r="I216" s="53" t="s">
        <v>356</v>
      </c>
      <c r="J216" s="54" t="s">
        <v>357</v>
      </c>
      <c r="K216" s="0" t="n">
        <v>10000</v>
      </c>
      <c r="L216" s="0" t="n">
        <v>0</v>
      </c>
      <c r="M216" s="0" t="n">
        <v>3</v>
      </c>
      <c r="N216" s="0" t="n">
        <v>3</v>
      </c>
      <c r="P216" s="0" t="n">
        <v>0</v>
      </c>
      <c r="Q216" s="0" t="n">
        <v>1.05</v>
      </c>
      <c r="R216" s="54" t="s">
        <v>180</v>
      </c>
      <c r="S216" s="0" t="n">
        <v>0.1</v>
      </c>
      <c r="U216" s="31" t="n">
        <f aca="false">IF($B216='設定（最初に1回）'!$C$4,N(U215)+1,N(U215))</f>
        <v>134</v>
      </c>
    </row>
    <row r="217" customFormat="false" ht="15" hidden="false" customHeight="false" outlineLevel="0" collapsed="false">
      <c r="A217" s="0" t="n">
        <v>20260501</v>
      </c>
      <c r="B217" s="53" t="s">
        <v>486</v>
      </c>
      <c r="C217" s="54" t="s">
        <v>487</v>
      </c>
      <c r="D217" s="55" t="s">
        <v>191</v>
      </c>
      <c r="E217" s="54" t="s">
        <v>192</v>
      </c>
      <c r="F217" s="55" t="s">
        <v>175</v>
      </c>
      <c r="G217" s="55" t="s">
        <v>346</v>
      </c>
      <c r="H217" s="54" t="s">
        <v>347</v>
      </c>
      <c r="I217" s="53" t="s">
        <v>358</v>
      </c>
      <c r="J217" s="54" t="s">
        <v>359</v>
      </c>
      <c r="K217" s="0" t="n">
        <v>10000</v>
      </c>
      <c r="L217" s="0" t="n">
        <v>0</v>
      </c>
      <c r="M217" s="0" t="n">
        <v>0</v>
      </c>
      <c r="N217" s="0" t="n">
        <v>0</v>
      </c>
      <c r="P217" s="0" t="n">
        <v>0</v>
      </c>
      <c r="Q217" s="0" t="n">
        <v>1.05</v>
      </c>
      <c r="R217" s="54" t="s">
        <v>180</v>
      </c>
      <c r="S217" s="0" t="n">
        <v>0.1</v>
      </c>
      <c r="U217" s="31" t="n">
        <f aca="false">IF($B217='設定（最初に1回）'!$C$4,N(U216)+1,N(U216))</f>
        <v>134</v>
      </c>
    </row>
    <row r="218" customFormat="false" ht="15" hidden="false" customHeight="false" outlineLevel="0" collapsed="false">
      <c r="A218" s="0" t="n">
        <v>20260501</v>
      </c>
      <c r="B218" s="53" t="s">
        <v>486</v>
      </c>
      <c r="C218" s="54" t="s">
        <v>487</v>
      </c>
      <c r="D218" s="55" t="s">
        <v>191</v>
      </c>
      <c r="E218" s="54" t="s">
        <v>192</v>
      </c>
      <c r="F218" s="55" t="s">
        <v>175</v>
      </c>
      <c r="G218" s="55" t="s">
        <v>346</v>
      </c>
      <c r="H218" s="54" t="s">
        <v>347</v>
      </c>
      <c r="I218" s="53" t="s">
        <v>360</v>
      </c>
      <c r="J218" s="54" t="s">
        <v>361</v>
      </c>
      <c r="K218" s="0" t="n">
        <v>200</v>
      </c>
      <c r="L218" s="0" t="n">
        <v>8</v>
      </c>
      <c r="M218" s="0" t="n">
        <v>107</v>
      </c>
      <c r="N218" s="0" t="n">
        <v>1707</v>
      </c>
      <c r="P218" s="0" t="n">
        <v>0</v>
      </c>
      <c r="Q218" s="0" t="n">
        <v>5.03</v>
      </c>
      <c r="R218" s="54" t="s">
        <v>180</v>
      </c>
      <c r="S218" s="0" t="n">
        <v>0.1</v>
      </c>
      <c r="U218" s="31" t="n">
        <f aca="false">IF($B218='設定（最初に1回）'!$C$4,N(U217)+1,N(U217))</f>
        <v>134</v>
      </c>
    </row>
    <row r="219" customFormat="false" ht="15" hidden="false" customHeight="false" outlineLevel="0" collapsed="false">
      <c r="A219" s="0" t="n">
        <v>20260501</v>
      </c>
      <c r="B219" s="53" t="s">
        <v>486</v>
      </c>
      <c r="C219" s="54" t="s">
        <v>487</v>
      </c>
      <c r="D219" s="55" t="s">
        <v>191</v>
      </c>
      <c r="E219" s="54" t="s">
        <v>192</v>
      </c>
      <c r="F219" s="55" t="s">
        <v>175</v>
      </c>
      <c r="G219" s="55" t="s">
        <v>346</v>
      </c>
      <c r="H219" s="54" t="s">
        <v>347</v>
      </c>
      <c r="I219" s="53" t="s">
        <v>362</v>
      </c>
      <c r="J219" s="54" t="s">
        <v>363</v>
      </c>
      <c r="K219" s="0" t="n">
        <v>1000</v>
      </c>
      <c r="L219" s="0" t="n">
        <v>2</v>
      </c>
      <c r="M219" s="0" t="n">
        <v>730</v>
      </c>
      <c r="N219" s="0" t="n">
        <v>2730</v>
      </c>
      <c r="P219" s="0" t="n">
        <v>0</v>
      </c>
      <c r="Q219" s="0" t="n">
        <v>4.56</v>
      </c>
      <c r="R219" s="54" t="s">
        <v>180</v>
      </c>
      <c r="S219" s="0" t="n">
        <v>0.1</v>
      </c>
      <c r="U219" s="31" t="n">
        <f aca="false">IF($B219='設定（最初に1回）'!$C$4,N(U218)+1,N(U218))</f>
        <v>134</v>
      </c>
    </row>
    <row r="220" customFormat="false" ht="15" hidden="false" customHeight="false" outlineLevel="0" collapsed="false">
      <c r="A220" s="0" t="n">
        <v>20260501</v>
      </c>
      <c r="B220" s="53" t="s">
        <v>486</v>
      </c>
      <c r="C220" s="54" t="s">
        <v>487</v>
      </c>
      <c r="D220" s="55" t="s">
        <v>191</v>
      </c>
      <c r="E220" s="54" t="s">
        <v>192</v>
      </c>
      <c r="F220" s="55" t="s">
        <v>175</v>
      </c>
      <c r="G220" s="55" t="s">
        <v>346</v>
      </c>
      <c r="H220" s="54" t="s">
        <v>347</v>
      </c>
      <c r="I220" s="53" t="s">
        <v>364</v>
      </c>
      <c r="J220" s="54" t="s">
        <v>365</v>
      </c>
      <c r="K220" s="0" t="n">
        <v>600</v>
      </c>
      <c r="L220" s="0" t="n">
        <v>21</v>
      </c>
      <c r="M220" s="0" t="n">
        <v>363</v>
      </c>
      <c r="N220" s="0" t="n">
        <v>12963</v>
      </c>
      <c r="P220" s="0" t="n">
        <v>0</v>
      </c>
      <c r="Q220" s="0" t="n">
        <v>8.93</v>
      </c>
      <c r="R220" s="54" t="s">
        <v>180</v>
      </c>
      <c r="S220" s="0" t="n">
        <v>0.1</v>
      </c>
      <c r="U220" s="31" t="n">
        <f aca="false">IF($B220='設定（最初に1回）'!$C$4,N(U219)+1,N(U219))</f>
        <v>134</v>
      </c>
    </row>
    <row r="221" customFormat="false" ht="15" hidden="false" customHeight="false" outlineLevel="0" collapsed="false">
      <c r="A221" s="0" t="n">
        <v>20260501</v>
      </c>
      <c r="B221" s="53" t="s">
        <v>486</v>
      </c>
      <c r="C221" s="54" t="s">
        <v>487</v>
      </c>
      <c r="D221" s="55" t="s">
        <v>191</v>
      </c>
      <c r="E221" s="54" t="s">
        <v>192</v>
      </c>
      <c r="F221" s="55" t="s">
        <v>175</v>
      </c>
      <c r="G221" s="55" t="s">
        <v>346</v>
      </c>
      <c r="H221" s="54" t="s">
        <v>347</v>
      </c>
      <c r="I221" s="53" t="s">
        <v>366</v>
      </c>
      <c r="J221" s="54" t="s">
        <v>367</v>
      </c>
      <c r="K221" s="0" t="n">
        <v>300</v>
      </c>
      <c r="L221" s="0" t="n">
        <v>57</v>
      </c>
      <c r="M221" s="0" t="n">
        <v>109</v>
      </c>
      <c r="N221" s="0" t="n">
        <v>17209</v>
      </c>
      <c r="P221" s="0" t="n">
        <v>0</v>
      </c>
      <c r="Q221" s="0" t="n">
        <v>15.66</v>
      </c>
      <c r="R221" s="54" t="s">
        <v>180</v>
      </c>
      <c r="S221" s="0" t="n">
        <v>0.1</v>
      </c>
      <c r="U221" s="31" t="n">
        <f aca="false">IF($B221='設定（最初に1回）'!$C$4,N(U220)+1,N(U220))</f>
        <v>134</v>
      </c>
    </row>
    <row r="222" customFormat="false" ht="15" hidden="false" customHeight="false" outlineLevel="0" collapsed="false">
      <c r="A222" s="0" t="n">
        <v>20260501</v>
      </c>
      <c r="B222" s="53" t="s">
        <v>486</v>
      </c>
      <c r="C222" s="54" t="s">
        <v>487</v>
      </c>
      <c r="D222" s="55" t="s">
        <v>191</v>
      </c>
      <c r="E222" s="54" t="s">
        <v>192</v>
      </c>
      <c r="F222" s="55" t="s">
        <v>175</v>
      </c>
      <c r="G222" s="55" t="s">
        <v>346</v>
      </c>
      <c r="H222" s="54" t="s">
        <v>347</v>
      </c>
      <c r="I222" s="53" t="s">
        <v>368</v>
      </c>
      <c r="J222" s="54" t="s">
        <v>369</v>
      </c>
      <c r="K222" s="0" t="n">
        <v>300</v>
      </c>
      <c r="L222" s="0" t="n">
        <v>29</v>
      </c>
      <c r="M222" s="0" t="n">
        <v>24</v>
      </c>
      <c r="N222" s="0" t="n">
        <v>8724</v>
      </c>
      <c r="P222" s="0" t="n">
        <v>0</v>
      </c>
      <c r="Q222" s="0" t="n">
        <v>18.55</v>
      </c>
      <c r="R222" s="54" t="s">
        <v>180</v>
      </c>
      <c r="S222" s="0" t="n">
        <v>0.1</v>
      </c>
      <c r="U222" s="31" t="n">
        <f aca="false">IF($B222='設定（最初に1回）'!$C$4,N(U221)+1,N(U221))</f>
        <v>134</v>
      </c>
    </row>
    <row r="223" customFormat="false" ht="15" hidden="false" customHeight="false" outlineLevel="0" collapsed="false">
      <c r="A223" s="0" t="n">
        <v>20260501</v>
      </c>
      <c r="B223" s="53" t="s">
        <v>486</v>
      </c>
      <c r="C223" s="54" t="s">
        <v>487</v>
      </c>
      <c r="D223" s="55" t="s">
        <v>191</v>
      </c>
      <c r="E223" s="54" t="s">
        <v>192</v>
      </c>
      <c r="F223" s="55" t="s">
        <v>175</v>
      </c>
      <c r="G223" s="55" t="s">
        <v>346</v>
      </c>
      <c r="H223" s="54" t="s">
        <v>347</v>
      </c>
      <c r="I223" s="53" t="s">
        <v>370</v>
      </c>
      <c r="J223" s="54" t="s">
        <v>371</v>
      </c>
      <c r="K223" s="0" t="n">
        <v>240</v>
      </c>
      <c r="L223" s="0" t="n">
        <v>3</v>
      </c>
      <c r="M223" s="0" t="n">
        <v>51</v>
      </c>
      <c r="N223" s="0" t="n">
        <v>771</v>
      </c>
      <c r="P223" s="0" t="n">
        <v>0</v>
      </c>
      <c r="Q223" s="0" t="n">
        <v>57.35</v>
      </c>
      <c r="R223" s="54" t="s">
        <v>180</v>
      </c>
      <c r="S223" s="0" t="n">
        <v>0.1</v>
      </c>
      <c r="U223" s="31" t="n">
        <f aca="false">IF($B223='設定（最初に1回）'!$C$4,N(U222)+1,N(U222))</f>
        <v>134</v>
      </c>
    </row>
    <row r="224" customFormat="false" ht="15" hidden="false" customHeight="false" outlineLevel="0" collapsed="false">
      <c r="A224" s="0" t="n">
        <v>20260501</v>
      </c>
      <c r="B224" s="53" t="s">
        <v>486</v>
      </c>
      <c r="C224" s="54" t="s">
        <v>487</v>
      </c>
      <c r="D224" s="55" t="s">
        <v>191</v>
      </c>
      <c r="E224" s="54" t="s">
        <v>192</v>
      </c>
      <c r="F224" s="55" t="s">
        <v>175</v>
      </c>
      <c r="G224" s="55" t="s">
        <v>346</v>
      </c>
      <c r="H224" s="54" t="s">
        <v>347</v>
      </c>
      <c r="I224" s="53" t="s">
        <v>372</v>
      </c>
      <c r="J224" s="54" t="s">
        <v>373</v>
      </c>
      <c r="K224" s="0" t="n">
        <v>100</v>
      </c>
      <c r="L224" s="0" t="n">
        <v>-1</v>
      </c>
      <c r="M224" s="0" t="n">
        <v>75</v>
      </c>
      <c r="N224" s="0" t="n">
        <v>-25</v>
      </c>
      <c r="P224" s="0" t="n">
        <v>0</v>
      </c>
      <c r="Q224" s="0" t="n">
        <v>6.67</v>
      </c>
      <c r="R224" s="54" t="s">
        <v>180</v>
      </c>
      <c r="S224" s="0" t="n">
        <v>0.1</v>
      </c>
      <c r="U224" s="31" t="n">
        <f aca="false">IF($B224='設定（最初に1回）'!$C$4,N(U223)+1,N(U223))</f>
        <v>134</v>
      </c>
    </row>
    <row r="225" customFormat="false" ht="15" hidden="false" customHeight="false" outlineLevel="0" collapsed="false">
      <c r="A225" s="0" t="n">
        <v>20260501</v>
      </c>
      <c r="B225" s="53" t="s">
        <v>486</v>
      </c>
      <c r="C225" s="54" t="s">
        <v>487</v>
      </c>
      <c r="D225" s="55" t="s">
        <v>191</v>
      </c>
      <c r="E225" s="54" t="s">
        <v>192</v>
      </c>
      <c r="F225" s="55" t="s">
        <v>175</v>
      </c>
      <c r="G225" s="55" t="s">
        <v>346</v>
      </c>
      <c r="H225" s="54" t="s">
        <v>347</v>
      </c>
      <c r="I225" s="53" t="s">
        <v>374</v>
      </c>
      <c r="J225" s="54" t="s">
        <v>375</v>
      </c>
      <c r="K225" s="0" t="n">
        <v>1500</v>
      </c>
      <c r="L225" s="0" t="n">
        <v>2</v>
      </c>
      <c r="M225" s="0" t="n">
        <v>1445</v>
      </c>
      <c r="N225" s="0" t="n">
        <v>4445</v>
      </c>
      <c r="P225" s="0" t="n">
        <v>0</v>
      </c>
      <c r="Q225" s="0" t="n">
        <v>5.71</v>
      </c>
      <c r="R225" s="54" t="s">
        <v>180</v>
      </c>
      <c r="S225" s="0" t="n">
        <v>0.1</v>
      </c>
      <c r="U225" s="31" t="n">
        <f aca="false">IF($B225='設定（最初に1回）'!$C$4,N(U224)+1,N(U224))</f>
        <v>134</v>
      </c>
    </row>
    <row r="226" customFormat="false" ht="15" hidden="false" customHeight="false" outlineLevel="0" collapsed="false">
      <c r="A226" s="0" t="n">
        <v>20260501</v>
      </c>
      <c r="B226" s="53" t="s">
        <v>486</v>
      </c>
      <c r="C226" s="54" t="s">
        <v>487</v>
      </c>
      <c r="D226" s="55" t="s">
        <v>191</v>
      </c>
      <c r="E226" s="54" t="s">
        <v>192</v>
      </c>
      <c r="F226" s="55" t="s">
        <v>175</v>
      </c>
      <c r="G226" s="55" t="s">
        <v>346</v>
      </c>
      <c r="H226" s="54" t="s">
        <v>347</v>
      </c>
      <c r="I226" s="53" t="s">
        <v>376</v>
      </c>
      <c r="J226" s="54" t="s">
        <v>377</v>
      </c>
      <c r="K226" s="0" t="n">
        <v>2000</v>
      </c>
      <c r="L226" s="0" t="n">
        <v>7</v>
      </c>
      <c r="M226" s="0" t="n">
        <v>309</v>
      </c>
      <c r="N226" s="0" t="n">
        <v>14309</v>
      </c>
      <c r="P226" s="0" t="n">
        <v>0</v>
      </c>
      <c r="Q226" s="0" t="n">
        <v>8.26</v>
      </c>
      <c r="R226" s="54" t="s">
        <v>180</v>
      </c>
      <c r="S226" s="0" t="n">
        <v>0.1</v>
      </c>
      <c r="U226" s="31" t="n">
        <f aca="false">IF($B226='設定（最初に1回）'!$C$4,N(U225)+1,N(U225))</f>
        <v>134</v>
      </c>
    </row>
    <row r="227" customFormat="false" ht="15" hidden="false" customHeight="false" outlineLevel="0" collapsed="false">
      <c r="A227" s="0" t="n">
        <v>20260501</v>
      </c>
      <c r="B227" s="53" t="s">
        <v>486</v>
      </c>
      <c r="C227" s="54" t="s">
        <v>487</v>
      </c>
      <c r="D227" s="55" t="s">
        <v>191</v>
      </c>
      <c r="E227" s="54" t="s">
        <v>192</v>
      </c>
      <c r="F227" s="55" t="s">
        <v>175</v>
      </c>
      <c r="G227" s="55" t="s">
        <v>346</v>
      </c>
      <c r="H227" s="54" t="s">
        <v>347</v>
      </c>
      <c r="I227" s="53" t="s">
        <v>378</v>
      </c>
      <c r="J227" s="54" t="s">
        <v>379</v>
      </c>
      <c r="K227" s="0" t="n">
        <v>300</v>
      </c>
      <c r="L227" s="0" t="n">
        <v>3</v>
      </c>
      <c r="M227" s="0" t="n">
        <v>21</v>
      </c>
      <c r="N227" s="0" t="n">
        <v>921</v>
      </c>
      <c r="P227" s="0" t="n">
        <v>0</v>
      </c>
      <c r="Q227" s="0" t="n">
        <v>23.2</v>
      </c>
      <c r="R227" s="54" t="s">
        <v>180</v>
      </c>
      <c r="S227" s="0" t="n">
        <v>0.1</v>
      </c>
      <c r="U227" s="31" t="n">
        <f aca="false">IF($B227='設定（最初に1回）'!$C$4,N(U226)+1,N(U226))</f>
        <v>134</v>
      </c>
    </row>
    <row r="228" customFormat="false" ht="15" hidden="false" customHeight="false" outlineLevel="0" collapsed="false">
      <c r="A228" s="0" t="n">
        <v>20260501</v>
      </c>
      <c r="B228" s="53" t="s">
        <v>486</v>
      </c>
      <c r="C228" s="54" t="s">
        <v>487</v>
      </c>
      <c r="D228" s="55" t="s">
        <v>191</v>
      </c>
      <c r="E228" s="54" t="s">
        <v>192</v>
      </c>
      <c r="F228" s="55" t="s">
        <v>175</v>
      </c>
      <c r="G228" s="55" t="s">
        <v>346</v>
      </c>
      <c r="H228" s="54" t="s">
        <v>347</v>
      </c>
      <c r="I228" s="53" t="s">
        <v>380</v>
      </c>
      <c r="J228" s="54" t="s">
        <v>381</v>
      </c>
      <c r="K228" s="0" t="n">
        <v>2000</v>
      </c>
      <c r="L228" s="0" t="n">
        <v>3</v>
      </c>
      <c r="M228" s="0" t="n">
        <v>1605</v>
      </c>
      <c r="N228" s="0" t="n">
        <v>7605</v>
      </c>
      <c r="P228" s="0" t="n">
        <v>0</v>
      </c>
      <c r="Q228" s="0" t="n">
        <v>4.41</v>
      </c>
      <c r="R228" s="54" t="s">
        <v>180</v>
      </c>
      <c r="S228" s="0" t="n">
        <v>0.1</v>
      </c>
      <c r="U228" s="31" t="n">
        <f aca="false">IF($B228='設定（最初に1回）'!$C$4,N(U227)+1,N(U227))</f>
        <v>134</v>
      </c>
    </row>
    <row r="229" customFormat="false" ht="15" hidden="false" customHeight="false" outlineLevel="0" collapsed="false">
      <c r="A229" s="0" t="n">
        <v>20260501</v>
      </c>
      <c r="B229" s="53" t="s">
        <v>486</v>
      </c>
      <c r="C229" s="54" t="s">
        <v>487</v>
      </c>
      <c r="D229" s="55" t="s">
        <v>191</v>
      </c>
      <c r="E229" s="54" t="s">
        <v>192</v>
      </c>
      <c r="F229" s="55" t="s">
        <v>175</v>
      </c>
      <c r="G229" s="55" t="s">
        <v>346</v>
      </c>
      <c r="H229" s="54" t="s">
        <v>347</v>
      </c>
      <c r="I229" s="53" t="s">
        <v>382</v>
      </c>
      <c r="J229" s="54" t="s">
        <v>383</v>
      </c>
      <c r="K229" s="0" t="n">
        <v>1000</v>
      </c>
      <c r="L229" s="0" t="n">
        <v>1</v>
      </c>
      <c r="M229" s="0" t="n">
        <v>847</v>
      </c>
      <c r="N229" s="0" t="n">
        <v>1847</v>
      </c>
      <c r="P229" s="0" t="n">
        <v>0</v>
      </c>
      <c r="Q229" s="0" t="n">
        <v>19.69</v>
      </c>
      <c r="R229" s="54" t="s">
        <v>180</v>
      </c>
      <c r="S229" s="0" t="n">
        <v>0.1</v>
      </c>
      <c r="U229" s="31" t="n">
        <f aca="false">IF($B229='設定（最初に1回）'!$C$4,N(U228)+1,N(U228))</f>
        <v>134</v>
      </c>
    </row>
    <row r="230" customFormat="false" ht="15" hidden="false" customHeight="false" outlineLevel="0" collapsed="false">
      <c r="A230" s="0" t="n">
        <v>20260501</v>
      </c>
      <c r="B230" s="53" t="s">
        <v>486</v>
      </c>
      <c r="C230" s="54" t="s">
        <v>487</v>
      </c>
      <c r="D230" s="55" t="s">
        <v>191</v>
      </c>
      <c r="E230" s="54" t="s">
        <v>192</v>
      </c>
      <c r="F230" s="55" t="s">
        <v>175</v>
      </c>
      <c r="G230" s="55" t="s">
        <v>346</v>
      </c>
      <c r="H230" s="54" t="s">
        <v>347</v>
      </c>
      <c r="I230" s="53" t="s">
        <v>384</v>
      </c>
      <c r="J230" s="54" t="s">
        <v>385</v>
      </c>
      <c r="K230" s="0" t="n">
        <v>1000</v>
      </c>
      <c r="L230" s="0" t="n">
        <v>0</v>
      </c>
      <c r="M230" s="0" t="n">
        <v>445</v>
      </c>
      <c r="N230" s="0" t="n">
        <v>445</v>
      </c>
      <c r="P230" s="0" t="n">
        <v>0</v>
      </c>
      <c r="Q230" s="0" t="n">
        <v>10.58</v>
      </c>
      <c r="R230" s="54" t="s">
        <v>180</v>
      </c>
      <c r="S230" s="0" t="n">
        <v>0.1</v>
      </c>
      <c r="U230" s="31" t="n">
        <f aca="false">IF($B230='設定（最初に1回）'!$C$4,N(U229)+1,N(U229))</f>
        <v>134</v>
      </c>
    </row>
    <row r="231" customFormat="false" ht="15" hidden="false" customHeight="false" outlineLevel="0" collapsed="false">
      <c r="A231" s="0" t="n">
        <v>20260501</v>
      </c>
      <c r="B231" s="53" t="s">
        <v>486</v>
      </c>
      <c r="C231" s="54" t="s">
        <v>487</v>
      </c>
      <c r="D231" s="55" t="s">
        <v>191</v>
      </c>
      <c r="E231" s="54" t="s">
        <v>192</v>
      </c>
      <c r="F231" s="55" t="s">
        <v>175</v>
      </c>
      <c r="G231" s="55" t="s">
        <v>346</v>
      </c>
      <c r="H231" s="54" t="s">
        <v>347</v>
      </c>
      <c r="I231" s="53" t="s">
        <v>386</v>
      </c>
      <c r="J231" s="54" t="s">
        <v>387</v>
      </c>
      <c r="K231" s="0" t="n">
        <v>5000</v>
      </c>
      <c r="L231" s="0" t="n">
        <v>1</v>
      </c>
      <c r="M231" s="0" t="n">
        <v>65</v>
      </c>
      <c r="N231" s="0" t="n">
        <v>5065</v>
      </c>
      <c r="P231" s="0" t="n">
        <v>0</v>
      </c>
      <c r="Q231" s="0" t="n">
        <v>5.39</v>
      </c>
      <c r="R231" s="54" t="s">
        <v>180</v>
      </c>
      <c r="S231" s="0" t="n">
        <v>0.1</v>
      </c>
      <c r="U231" s="31" t="n">
        <f aca="false">IF($B231='設定（最初に1回）'!$C$4,N(U230)+1,N(U230))</f>
        <v>134</v>
      </c>
    </row>
    <row r="232" customFormat="false" ht="15" hidden="false" customHeight="false" outlineLevel="0" collapsed="false">
      <c r="A232" s="0" t="n">
        <v>20260501</v>
      </c>
      <c r="B232" s="53" t="s">
        <v>486</v>
      </c>
      <c r="C232" s="54" t="s">
        <v>487</v>
      </c>
      <c r="D232" s="55" t="s">
        <v>191</v>
      </c>
      <c r="E232" s="54" t="s">
        <v>192</v>
      </c>
      <c r="F232" s="55" t="s">
        <v>175</v>
      </c>
      <c r="G232" s="55" t="s">
        <v>346</v>
      </c>
      <c r="H232" s="54" t="s">
        <v>347</v>
      </c>
      <c r="I232" s="53" t="s">
        <v>388</v>
      </c>
      <c r="J232" s="54" t="s">
        <v>389</v>
      </c>
      <c r="K232" s="0" t="n">
        <v>400</v>
      </c>
      <c r="L232" s="0" t="n">
        <v>32</v>
      </c>
      <c r="M232" s="0" t="n">
        <v>385</v>
      </c>
      <c r="N232" s="0" t="n">
        <v>13185</v>
      </c>
      <c r="P232" s="0" t="n">
        <v>0</v>
      </c>
      <c r="Q232" s="0" t="n">
        <v>52.02</v>
      </c>
      <c r="R232" s="54" t="s">
        <v>180</v>
      </c>
      <c r="S232" s="0" t="n">
        <v>0.1</v>
      </c>
      <c r="U232" s="31" t="n">
        <f aca="false">IF($B232='設定（最初に1回）'!$C$4,N(U231)+1,N(U231))</f>
        <v>134</v>
      </c>
    </row>
    <row r="233" customFormat="false" ht="15" hidden="false" customHeight="false" outlineLevel="0" collapsed="false">
      <c r="A233" s="0" t="n">
        <v>20260501</v>
      </c>
      <c r="B233" s="53" t="s">
        <v>486</v>
      </c>
      <c r="C233" s="54" t="s">
        <v>487</v>
      </c>
      <c r="D233" s="55" t="s">
        <v>191</v>
      </c>
      <c r="E233" s="54" t="s">
        <v>192</v>
      </c>
      <c r="F233" s="55" t="s">
        <v>175</v>
      </c>
      <c r="G233" s="55" t="s">
        <v>346</v>
      </c>
      <c r="H233" s="54" t="s">
        <v>347</v>
      </c>
      <c r="I233" s="53" t="s">
        <v>390</v>
      </c>
      <c r="J233" s="54" t="s">
        <v>391</v>
      </c>
      <c r="K233" s="0" t="n">
        <v>300</v>
      </c>
      <c r="L233" s="0" t="n">
        <v>-1</v>
      </c>
      <c r="M233" s="0" t="n">
        <v>282</v>
      </c>
      <c r="N233" s="0" t="n">
        <v>-18</v>
      </c>
      <c r="P233" s="0" t="n">
        <v>0</v>
      </c>
      <c r="Q233" s="0" t="n">
        <v>82.02</v>
      </c>
      <c r="R233" s="54" t="s">
        <v>180</v>
      </c>
      <c r="S233" s="0" t="n">
        <v>0.1</v>
      </c>
      <c r="U233" s="31" t="n">
        <f aca="false">IF($B233='設定（最初に1回）'!$C$4,N(U232)+1,N(U232))</f>
        <v>134</v>
      </c>
    </row>
    <row r="234" customFormat="false" ht="15" hidden="false" customHeight="false" outlineLevel="0" collapsed="false">
      <c r="A234" s="0" t="n">
        <v>20260501</v>
      </c>
      <c r="B234" s="53" t="s">
        <v>486</v>
      </c>
      <c r="C234" s="54" t="s">
        <v>487</v>
      </c>
      <c r="D234" s="55" t="s">
        <v>191</v>
      </c>
      <c r="E234" s="54" t="s">
        <v>192</v>
      </c>
      <c r="F234" s="55" t="s">
        <v>175</v>
      </c>
      <c r="G234" s="55" t="s">
        <v>346</v>
      </c>
      <c r="H234" s="54" t="s">
        <v>347</v>
      </c>
      <c r="I234" s="53" t="s">
        <v>392</v>
      </c>
      <c r="J234" s="54" t="s">
        <v>393</v>
      </c>
      <c r="K234" s="0" t="n">
        <v>50</v>
      </c>
      <c r="L234" s="0" t="n">
        <v>48</v>
      </c>
      <c r="M234" s="0" t="n">
        <v>38</v>
      </c>
      <c r="N234" s="0" t="n">
        <v>2438</v>
      </c>
      <c r="P234" s="0" t="n">
        <v>0</v>
      </c>
      <c r="Q234" s="0" t="n">
        <v>14.5</v>
      </c>
      <c r="R234" s="54" t="s">
        <v>180</v>
      </c>
      <c r="S234" s="0" t="n">
        <v>0.1</v>
      </c>
      <c r="U234" s="31" t="n">
        <f aca="false">IF($B234='設定（最初に1回）'!$C$4,N(U233)+1,N(U233))</f>
        <v>134</v>
      </c>
    </row>
    <row r="235" customFormat="false" ht="15" hidden="false" customHeight="false" outlineLevel="0" collapsed="false">
      <c r="A235" s="0" t="n">
        <v>20260501</v>
      </c>
      <c r="B235" s="53" t="s">
        <v>486</v>
      </c>
      <c r="C235" s="54" t="s">
        <v>487</v>
      </c>
      <c r="D235" s="55" t="s">
        <v>173</v>
      </c>
      <c r="E235" s="54" t="s">
        <v>174</v>
      </c>
      <c r="F235" s="55" t="s">
        <v>175</v>
      </c>
      <c r="G235" s="55" t="s">
        <v>176</v>
      </c>
      <c r="H235" s="54" t="s">
        <v>177</v>
      </c>
      <c r="I235" s="53" t="s">
        <v>488</v>
      </c>
      <c r="J235" s="54" t="s">
        <v>483</v>
      </c>
      <c r="K235" s="0" t="n">
        <v>1</v>
      </c>
      <c r="L235" s="0" t="n">
        <v>40</v>
      </c>
      <c r="M235" s="0" t="n">
        <v>0</v>
      </c>
      <c r="N235" s="0" t="n">
        <v>40</v>
      </c>
      <c r="P235" s="0" t="n">
        <v>0</v>
      </c>
      <c r="Q235" s="0" t="n">
        <v>118</v>
      </c>
      <c r="R235" s="54" t="s">
        <v>180</v>
      </c>
      <c r="S235" s="0" t="n">
        <v>0.1</v>
      </c>
      <c r="U235" s="31" t="n">
        <f aca="false">IF($B235='設定（最初に1回）'!$C$4,N(U234)+1,N(U234))</f>
        <v>134</v>
      </c>
    </row>
    <row r="236" customFormat="false" ht="15" hidden="false" customHeight="false" outlineLevel="0" collapsed="false">
      <c r="A236" s="0" t="n">
        <v>20260501</v>
      </c>
      <c r="B236" s="53" t="s">
        <v>486</v>
      </c>
      <c r="C236" s="54" t="s">
        <v>487</v>
      </c>
      <c r="D236" s="55" t="s">
        <v>173</v>
      </c>
      <c r="E236" s="54" t="s">
        <v>174</v>
      </c>
      <c r="F236" s="55" t="s">
        <v>175</v>
      </c>
      <c r="G236" s="55" t="s">
        <v>176</v>
      </c>
      <c r="H236" s="54" t="s">
        <v>177</v>
      </c>
      <c r="I236" s="53" t="s">
        <v>489</v>
      </c>
      <c r="J236" s="54" t="s">
        <v>485</v>
      </c>
      <c r="K236" s="0" t="n">
        <v>1</v>
      </c>
      <c r="L236" s="0" t="n">
        <v>65</v>
      </c>
      <c r="M236" s="0" t="n">
        <v>0</v>
      </c>
      <c r="N236" s="0" t="n">
        <v>65</v>
      </c>
      <c r="P236" s="0" t="n">
        <v>0</v>
      </c>
      <c r="Q236" s="0" t="n">
        <v>118</v>
      </c>
      <c r="R236" s="54" t="s">
        <v>180</v>
      </c>
      <c r="S236" s="0" t="n">
        <v>0.1</v>
      </c>
      <c r="U236" s="31" t="n">
        <f aca="false">IF($B236='設定（最初に1回）'!$C$4,N(U235)+1,N(U235))</f>
        <v>134</v>
      </c>
    </row>
    <row r="237" customFormat="false" ht="15" hidden="false" customHeight="false" outlineLevel="0" collapsed="false">
      <c r="A237" s="0" t="n">
        <v>20260501</v>
      </c>
      <c r="B237" s="53" t="s">
        <v>490</v>
      </c>
      <c r="C237" s="54" t="s">
        <v>491</v>
      </c>
      <c r="D237" s="55" t="s">
        <v>173</v>
      </c>
      <c r="E237" s="54" t="s">
        <v>174</v>
      </c>
      <c r="F237" s="55" t="s">
        <v>175</v>
      </c>
      <c r="G237" s="55" t="s">
        <v>176</v>
      </c>
      <c r="H237" s="54" t="s">
        <v>177</v>
      </c>
      <c r="I237" s="53" t="s">
        <v>178</v>
      </c>
      <c r="J237" s="54" t="s">
        <v>179</v>
      </c>
      <c r="K237" s="0" t="n">
        <v>1</v>
      </c>
      <c r="L237" s="0" t="n">
        <v>300</v>
      </c>
      <c r="M237" s="0" t="n">
        <v>0</v>
      </c>
      <c r="N237" s="0" t="n">
        <v>300</v>
      </c>
      <c r="P237" s="0" t="n">
        <v>0</v>
      </c>
      <c r="Q237" s="0" t="n">
        <v>11300</v>
      </c>
      <c r="R237" s="54" t="s">
        <v>180</v>
      </c>
      <c r="S237" s="0" t="n">
        <v>0.1</v>
      </c>
      <c r="U237" s="31" t="n">
        <f aca="false">IF($B237='設定（最初に1回）'!$C$4,N(U236)+1,N(U236))</f>
        <v>134</v>
      </c>
    </row>
    <row r="238" customFormat="false" ht="15" hidden="false" customHeight="false" outlineLevel="0" collapsed="false">
      <c r="A238" s="0" t="n">
        <v>20260501</v>
      </c>
      <c r="B238" s="53" t="s">
        <v>490</v>
      </c>
      <c r="C238" s="54" t="s">
        <v>491</v>
      </c>
      <c r="D238" s="55" t="s">
        <v>173</v>
      </c>
      <c r="E238" s="54" t="s">
        <v>174</v>
      </c>
      <c r="F238" s="55" t="s">
        <v>175</v>
      </c>
      <c r="G238" s="55" t="s">
        <v>176</v>
      </c>
      <c r="H238" s="54" t="s">
        <v>177</v>
      </c>
      <c r="I238" s="53" t="s">
        <v>181</v>
      </c>
      <c r="J238" s="54" t="s">
        <v>182</v>
      </c>
      <c r="K238" s="0" t="n">
        <v>24</v>
      </c>
      <c r="L238" s="0" t="n">
        <v>0</v>
      </c>
      <c r="M238" s="0" t="n">
        <v>2</v>
      </c>
      <c r="N238" s="0" t="n">
        <v>2</v>
      </c>
      <c r="P238" s="0" t="n">
        <v>0</v>
      </c>
      <c r="Q238" s="0" t="n">
        <v>587</v>
      </c>
      <c r="R238" s="54" t="s">
        <v>180</v>
      </c>
      <c r="S238" s="0" t="n">
        <v>0.1</v>
      </c>
      <c r="U238" s="31" t="n">
        <f aca="false">IF($B238='設定（最初に1回）'!$C$4,N(U237)+1,N(U237))</f>
        <v>134</v>
      </c>
    </row>
    <row r="239" customFormat="false" ht="15" hidden="false" customHeight="false" outlineLevel="0" collapsed="false">
      <c r="A239" s="0" t="n">
        <v>20260501</v>
      </c>
      <c r="B239" s="53" t="s">
        <v>490</v>
      </c>
      <c r="C239" s="54" t="s">
        <v>491</v>
      </c>
      <c r="D239" s="55" t="s">
        <v>173</v>
      </c>
      <c r="E239" s="54" t="s">
        <v>174</v>
      </c>
      <c r="F239" s="55" t="s">
        <v>175</v>
      </c>
      <c r="G239" s="55" t="s">
        <v>176</v>
      </c>
      <c r="H239" s="54" t="s">
        <v>177</v>
      </c>
      <c r="I239" s="53" t="s">
        <v>183</v>
      </c>
      <c r="J239" s="54" t="s">
        <v>184</v>
      </c>
      <c r="K239" s="0" t="n">
        <v>48</v>
      </c>
      <c r="L239" s="0" t="n">
        <v>0</v>
      </c>
      <c r="M239" s="0" t="n">
        <v>23</v>
      </c>
      <c r="N239" s="0" t="n">
        <v>23</v>
      </c>
      <c r="P239" s="0" t="n">
        <v>0</v>
      </c>
      <c r="Q239" s="0" t="n">
        <v>357</v>
      </c>
      <c r="R239" s="54" t="s">
        <v>180</v>
      </c>
      <c r="S239" s="0" t="n">
        <v>0.1</v>
      </c>
      <c r="U239" s="31" t="n">
        <f aca="false">IF($B239='設定（最初に1回）'!$C$4,N(U238)+1,N(U238))</f>
        <v>134</v>
      </c>
    </row>
    <row r="240" customFormat="false" ht="15" hidden="false" customHeight="false" outlineLevel="0" collapsed="false">
      <c r="A240" s="0" t="n">
        <v>20260501</v>
      </c>
      <c r="B240" s="53" t="s">
        <v>490</v>
      </c>
      <c r="C240" s="54" t="s">
        <v>491</v>
      </c>
      <c r="D240" s="55" t="s">
        <v>173</v>
      </c>
      <c r="E240" s="54" t="s">
        <v>174</v>
      </c>
      <c r="F240" s="55" t="s">
        <v>175</v>
      </c>
      <c r="G240" s="55" t="s">
        <v>176</v>
      </c>
      <c r="H240" s="54" t="s">
        <v>177</v>
      </c>
      <c r="I240" s="53" t="s">
        <v>185</v>
      </c>
      <c r="J240" s="54" t="s">
        <v>186</v>
      </c>
      <c r="K240" s="0" t="n">
        <v>48</v>
      </c>
      <c r="L240" s="0" t="n">
        <v>4</v>
      </c>
      <c r="M240" s="0" t="n">
        <v>6</v>
      </c>
      <c r="N240" s="0" t="n">
        <v>198</v>
      </c>
      <c r="P240" s="0" t="n">
        <v>0</v>
      </c>
      <c r="Q240" s="0" t="n">
        <v>357</v>
      </c>
      <c r="R240" s="54" t="s">
        <v>180</v>
      </c>
      <c r="S240" s="0" t="n">
        <v>0.1</v>
      </c>
      <c r="U240" s="31" t="n">
        <f aca="false">IF($B240='設定（最初に1回）'!$C$4,N(U239)+1,N(U239))</f>
        <v>134</v>
      </c>
    </row>
    <row r="241" customFormat="false" ht="15" hidden="false" customHeight="false" outlineLevel="0" collapsed="false">
      <c r="A241" s="0" t="n">
        <v>20260501</v>
      </c>
      <c r="B241" s="53" t="s">
        <v>490</v>
      </c>
      <c r="C241" s="54" t="s">
        <v>491</v>
      </c>
      <c r="D241" s="55" t="s">
        <v>173</v>
      </c>
      <c r="E241" s="54" t="s">
        <v>174</v>
      </c>
      <c r="F241" s="55" t="s">
        <v>175</v>
      </c>
      <c r="G241" s="55" t="s">
        <v>176</v>
      </c>
      <c r="H241" s="54" t="s">
        <v>177</v>
      </c>
      <c r="I241" s="53" t="s">
        <v>187</v>
      </c>
      <c r="J241" s="54" t="s">
        <v>188</v>
      </c>
      <c r="K241" s="0" t="n">
        <v>24</v>
      </c>
      <c r="L241" s="0" t="n">
        <v>3</v>
      </c>
      <c r="M241" s="0" t="n">
        <v>12</v>
      </c>
      <c r="N241" s="0" t="n">
        <v>84</v>
      </c>
      <c r="P241" s="0" t="n">
        <v>0</v>
      </c>
      <c r="Q241" s="0" t="n">
        <v>585</v>
      </c>
      <c r="R241" s="54" t="s">
        <v>180</v>
      </c>
      <c r="S241" s="0" t="n">
        <v>0.1</v>
      </c>
      <c r="U241" s="31" t="n">
        <f aca="false">IF($B241='設定（最初に1回）'!$C$4,N(U240)+1,N(U240))</f>
        <v>134</v>
      </c>
    </row>
    <row r="242" customFormat="false" ht="15" hidden="false" customHeight="false" outlineLevel="0" collapsed="false">
      <c r="A242" s="0" t="n">
        <v>20260501</v>
      </c>
      <c r="B242" s="53" t="s">
        <v>490</v>
      </c>
      <c r="C242" s="54" t="s">
        <v>491</v>
      </c>
      <c r="D242" s="55" t="s">
        <v>173</v>
      </c>
      <c r="E242" s="54" t="s">
        <v>174</v>
      </c>
      <c r="F242" s="55" t="s">
        <v>175</v>
      </c>
      <c r="G242" s="55" t="s">
        <v>176</v>
      </c>
      <c r="H242" s="54" t="s">
        <v>177</v>
      </c>
      <c r="I242" s="53" t="s">
        <v>189</v>
      </c>
      <c r="J242" s="54" t="s">
        <v>190</v>
      </c>
      <c r="K242" s="0" t="n">
        <v>30</v>
      </c>
      <c r="L242" s="0" t="n">
        <v>33</v>
      </c>
      <c r="M242" s="0" t="n">
        <v>15</v>
      </c>
      <c r="N242" s="0" t="n">
        <v>1005</v>
      </c>
      <c r="P242" s="0" t="n">
        <v>0</v>
      </c>
      <c r="Q242" s="0" t="n">
        <v>118</v>
      </c>
      <c r="R242" s="54" t="s">
        <v>180</v>
      </c>
      <c r="S242" s="0" t="n">
        <v>0.1</v>
      </c>
      <c r="U242" s="31" t="n">
        <f aca="false">IF($B242='設定（最初に1回）'!$C$4,N(U241)+1,N(U241))</f>
        <v>134</v>
      </c>
    </row>
    <row r="243" customFormat="false" ht="15" hidden="false" customHeight="false" outlineLevel="0" collapsed="false">
      <c r="A243" s="0" t="n">
        <v>20260501</v>
      </c>
      <c r="B243" s="53" t="s">
        <v>490</v>
      </c>
      <c r="C243" s="54" t="s">
        <v>491</v>
      </c>
      <c r="D243" s="55" t="s">
        <v>191</v>
      </c>
      <c r="E243" s="54" t="s">
        <v>192</v>
      </c>
      <c r="F243" s="55" t="s">
        <v>175</v>
      </c>
      <c r="G243" s="55" t="s">
        <v>175</v>
      </c>
      <c r="H243" s="54" t="s">
        <v>193</v>
      </c>
      <c r="I243" s="53" t="s">
        <v>194</v>
      </c>
      <c r="J243" s="54" t="s">
        <v>195</v>
      </c>
      <c r="K243" s="0" t="n">
        <v>1</v>
      </c>
      <c r="L243" s="0" t="n">
        <v>37</v>
      </c>
      <c r="M243" s="0" t="n">
        <v>0</v>
      </c>
      <c r="N243" s="0" t="n">
        <v>37</v>
      </c>
      <c r="P243" s="0" t="n">
        <v>0</v>
      </c>
      <c r="Q243" s="0" t="n">
        <v>3756</v>
      </c>
      <c r="R243" s="54" t="s">
        <v>180</v>
      </c>
      <c r="S243" s="0" t="n">
        <v>0.08</v>
      </c>
      <c r="U243" s="31" t="n">
        <f aca="false">IF($B243='設定（最初に1回）'!$C$4,N(U242)+1,N(U242))</f>
        <v>134</v>
      </c>
    </row>
    <row r="244" customFormat="false" ht="15" hidden="false" customHeight="false" outlineLevel="0" collapsed="false">
      <c r="A244" s="0" t="n">
        <v>20260501</v>
      </c>
      <c r="B244" s="53" t="s">
        <v>490</v>
      </c>
      <c r="C244" s="54" t="s">
        <v>491</v>
      </c>
      <c r="D244" s="55" t="s">
        <v>191</v>
      </c>
      <c r="E244" s="54" t="s">
        <v>192</v>
      </c>
      <c r="F244" s="55" t="s">
        <v>175</v>
      </c>
      <c r="G244" s="55" t="s">
        <v>175</v>
      </c>
      <c r="H244" s="54" t="s">
        <v>193</v>
      </c>
      <c r="I244" s="53" t="s">
        <v>196</v>
      </c>
      <c r="J244" s="54" t="s">
        <v>197</v>
      </c>
      <c r="K244" s="0" t="n">
        <v>1</v>
      </c>
      <c r="L244" s="0" t="n">
        <v>203</v>
      </c>
      <c r="M244" s="0" t="n">
        <v>0</v>
      </c>
      <c r="N244" s="0" t="n">
        <v>203</v>
      </c>
      <c r="P244" s="0" t="n">
        <v>0</v>
      </c>
      <c r="Q244" s="0" t="n">
        <v>4382</v>
      </c>
      <c r="R244" s="54" t="s">
        <v>180</v>
      </c>
      <c r="S244" s="0" t="n">
        <v>0.08</v>
      </c>
      <c r="U244" s="31" t="n">
        <f aca="false">IF($B244='設定（最初に1回）'!$C$4,N(U243)+1,N(U243))</f>
        <v>134</v>
      </c>
    </row>
    <row r="245" customFormat="false" ht="15" hidden="false" customHeight="false" outlineLevel="0" collapsed="false">
      <c r="A245" s="0" t="n">
        <v>20260501</v>
      </c>
      <c r="B245" s="53" t="s">
        <v>490</v>
      </c>
      <c r="C245" s="54" t="s">
        <v>491</v>
      </c>
      <c r="D245" s="55" t="s">
        <v>191</v>
      </c>
      <c r="E245" s="54" t="s">
        <v>192</v>
      </c>
      <c r="F245" s="55" t="s">
        <v>175</v>
      </c>
      <c r="G245" s="55" t="s">
        <v>175</v>
      </c>
      <c r="H245" s="54" t="s">
        <v>193</v>
      </c>
      <c r="I245" s="53" t="s">
        <v>198</v>
      </c>
      <c r="J245" s="54" t="s">
        <v>199</v>
      </c>
      <c r="K245" s="0" t="n">
        <v>1</v>
      </c>
      <c r="L245" s="0" t="n">
        <v>2</v>
      </c>
      <c r="M245" s="0" t="n">
        <v>0</v>
      </c>
      <c r="N245" s="0" t="n">
        <v>2</v>
      </c>
      <c r="P245" s="0" t="n">
        <v>0</v>
      </c>
      <c r="Q245" s="0" t="n">
        <v>2890</v>
      </c>
      <c r="R245" s="54" t="s">
        <v>180</v>
      </c>
      <c r="S245" s="0" t="n">
        <v>0.08</v>
      </c>
      <c r="U245" s="31" t="n">
        <f aca="false">IF($B245='設定（最初に1回）'!$C$4,N(U244)+1,N(U244))</f>
        <v>134</v>
      </c>
    </row>
    <row r="246" customFormat="false" ht="15" hidden="false" customHeight="false" outlineLevel="0" collapsed="false">
      <c r="A246" s="0" t="n">
        <v>20260501</v>
      </c>
      <c r="B246" s="53" t="s">
        <v>490</v>
      </c>
      <c r="C246" s="54" t="s">
        <v>491</v>
      </c>
      <c r="D246" s="55" t="s">
        <v>191</v>
      </c>
      <c r="E246" s="54" t="s">
        <v>192</v>
      </c>
      <c r="F246" s="55" t="s">
        <v>175</v>
      </c>
      <c r="G246" s="55" t="s">
        <v>175</v>
      </c>
      <c r="H246" s="54" t="s">
        <v>193</v>
      </c>
      <c r="I246" s="53" t="s">
        <v>200</v>
      </c>
      <c r="J246" s="54" t="s">
        <v>201</v>
      </c>
      <c r="K246" s="0" t="n">
        <v>1</v>
      </c>
      <c r="L246" s="0" t="n">
        <v>4</v>
      </c>
      <c r="M246" s="0" t="n">
        <v>0</v>
      </c>
      <c r="N246" s="0" t="n">
        <v>4</v>
      </c>
      <c r="P246" s="0" t="n">
        <v>0</v>
      </c>
      <c r="Q246" s="0" t="n">
        <v>3636</v>
      </c>
      <c r="R246" s="54" t="s">
        <v>180</v>
      </c>
      <c r="S246" s="0" t="n">
        <v>0.08</v>
      </c>
      <c r="U246" s="31" t="n">
        <f aca="false">IF($B246='設定（最初に1回）'!$C$4,N(U245)+1,N(U245))</f>
        <v>134</v>
      </c>
    </row>
    <row r="247" customFormat="false" ht="15" hidden="false" customHeight="false" outlineLevel="0" collapsed="false">
      <c r="A247" s="0" t="n">
        <v>20260501</v>
      </c>
      <c r="B247" s="53" t="s">
        <v>490</v>
      </c>
      <c r="C247" s="54" t="s">
        <v>491</v>
      </c>
      <c r="D247" s="55" t="s">
        <v>191</v>
      </c>
      <c r="E247" s="54" t="s">
        <v>192</v>
      </c>
      <c r="F247" s="55" t="s">
        <v>175</v>
      </c>
      <c r="G247" s="55" t="s">
        <v>175</v>
      </c>
      <c r="H247" s="54" t="s">
        <v>193</v>
      </c>
      <c r="I247" s="53" t="s">
        <v>202</v>
      </c>
      <c r="J247" s="54" t="s">
        <v>203</v>
      </c>
      <c r="K247" s="0" t="n">
        <v>1</v>
      </c>
      <c r="L247" s="0" t="n">
        <v>21</v>
      </c>
      <c r="M247" s="0" t="n">
        <v>0</v>
      </c>
      <c r="N247" s="0" t="n">
        <v>21</v>
      </c>
      <c r="P247" s="0" t="n">
        <v>0</v>
      </c>
      <c r="Q247" s="0" t="n">
        <v>3756</v>
      </c>
      <c r="R247" s="54" t="s">
        <v>180</v>
      </c>
      <c r="S247" s="0" t="n">
        <v>0.08</v>
      </c>
      <c r="U247" s="31" t="n">
        <f aca="false">IF($B247='設定（最初に1回）'!$C$4,N(U246)+1,N(U246))</f>
        <v>134</v>
      </c>
    </row>
    <row r="248" customFormat="false" ht="15" hidden="false" customHeight="false" outlineLevel="0" collapsed="false">
      <c r="A248" s="0" t="n">
        <v>20260501</v>
      </c>
      <c r="B248" s="53" t="s">
        <v>490</v>
      </c>
      <c r="C248" s="54" t="s">
        <v>491</v>
      </c>
      <c r="D248" s="55" t="s">
        <v>191</v>
      </c>
      <c r="E248" s="54" t="s">
        <v>192</v>
      </c>
      <c r="F248" s="55" t="s">
        <v>175</v>
      </c>
      <c r="G248" s="55" t="s">
        <v>175</v>
      </c>
      <c r="H248" s="54" t="s">
        <v>193</v>
      </c>
      <c r="I248" s="53" t="s">
        <v>204</v>
      </c>
      <c r="J248" s="54" t="s">
        <v>205</v>
      </c>
      <c r="K248" s="0" t="n">
        <v>1</v>
      </c>
      <c r="L248" s="0" t="n">
        <v>4</v>
      </c>
      <c r="M248" s="0" t="n">
        <v>0</v>
      </c>
      <c r="N248" s="0" t="n">
        <v>4</v>
      </c>
      <c r="P248" s="0" t="n">
        <v>0</v>
      </c>
      <c r="Q248" s="0" t="n">
        <v>7510</v>
      </c>
      <c r="R248" s="54" t="s">
        <v>180</v>
      </c>
      <c r="S248" s="0" t="n">
        <v>0.08</v>
      </c>
      <c r="U248" s="31" t="n">
        <f aca="false">IF($B248='設定（最初に1回）'!$C$4,N(U247)+1,N(U247))</f>
        <v>134</v>
      </c>
    </row>
    <row r="249" customFormat="false" ht="15" hidden="false" customHeight="false" outlineLevel="0" collapsed="false">
      <c r="A249" s="0" t="n">
        <v>20260501</v>
      </c>
      <c r="B249" s="53" t="s">
        <v>490</v>
      </c>
      <c r="C249" s="54" t="s">
        <v>491</v>
      </c>
      <c r="D249" s="55" t="s">
        <v>191</v>
      </c>
      <c r="E249" s="54" t="s">
        <v>192</v>
      </c>
      <c r="F249" s="55" t="s">
        <v>175</v>
      </c>
      <c r="G249" s="55" t="s">
        <v>175</v>
      </c>
      <c r="H249" s="54" t="s">
        <v>193</v>
      </c>
      <c r="I249" s="53" t="s">
        <v>206</v>
      </c>
      <c r="J249" s="54" t="s">
        <v>207</v>
      </c>
      <c r="K249" s="0" t="n">
        <v>1</v>
      </c>
      <c r="L249" s="0" t="n">
        <v>32</v>
      </c>
      <c r="M249" s="0" t="n">
        <v>0</v>
      </c>
      <c r="N249" s="0" t="n">
        <v>32</v>
      </c>
      <c r="P249" s="0" t="n">
        <v>0</v>
      </c>
      <c r="Q249" s="0" t="n">
        <v>8136</v>
      </c>
      <c r="R249" s="54" t="s">
        <v>180</v>
      </c>
      <c r="S249" s="0" t="n">
        <v>0.08</v>
      </c>
      <c r="U249" s="31" t="n">
        <f aca="false">IF($B249='設定（最初に1回）'!$C$4,N(U248)+1,N(U248))</f>
        <v>134</v>
      </c>
    </row>
    <row r="250" customFormat="false" ht="15" hidden="false" customHeight="false" outlineLevel="0" collapsed="false">
      <c r="A250" s="0" t="n">
        <v>20260501</v>
      </c>
      <c r="B250" s="53" t="s">
        <v>490</v>
      </c>
      <c r="C250" s="54" t="s">
        <v>491</v>
      </c>
      <c r="D250" s="55" t="s">
        <v>191</v>
      </c>
      <c r="E250" s="54" t="s">
        <v>192</v>
      </c>
      <c r="F250" s="55" t="s">
        <v>175</v>
      </c>
      <c r="G250" s="55" t="s">
        <v>175</v>
      </c>
      <c r="H250" s="54" t="s">
        <v>193</v>
      </c>
      <c r="I250" s="53" t="s">
        <v>208</v>
      </c>
      <c r="J250" s="54" t="s">
        <v>209</v>
      </c>
      <c r="K250" s="0" t="n">
        <v>1</v>
      </c>
      <c r="L250" s="0" t="n">
        <v>44</v>
      </c>
      <c r="M250" s="0" t="n">
        <v>0</v>
      </c>
      <c r="N250" s="0" t="n">
        <v>44</v>
      </c>
      <c r="P250" s="0" t="n">
        <v>0</v>
      </c>
      <c r="Q250" s="0" t="n">
        <v>8136</v>
      </c>
      <c r="R250" s="54" t="s">
        <v>180</v>
      </c>
      <c r="S250" s="0" t="n">
        <v>0.08</v>
      </c>
      <c r="U250" s="31" t="n">
        <f aca="false">IF($B250='設定（最初に1回）'!$C$4,N(U249)+1,N(U249))</f>
        <v>134</v>
      </c>
    </row>
    <row r="251" customFormat="false" ht="15" hidden="false" customHeight="false" outlineLevel="0" collapsed="false">
      <c r="A251" s="0" t="n">
        <v>20260501</v>
      </c>
      <c r="B251" s="53" t="s">
        <v>490</v>
      </c>
      <c r="C251" s="54" t="s">
        <v>491</v>
      </c>
      <c r="D251" s="55" t="s">
        <v>191</v>
      </c>
      <c r="E251" s="54" t="s">
        <v>192</v>
      </c>
      <c r="F251" s="55" t="s">
        <v>175</v>
      </c>
      <c r="G251" s="55" t="s">
        <v>175</v>
      </c>
      <c r="H251" s="54" t="s">
        <v>193</v>
      </c>
      <c r="I251" s="53" t="s">
        <v>210</v>
      </c>
      <c r="J251" s="54" t="s">
        <v>211</v>
      </c>
      <c r="K251" s="0" t="n">
        <v>1</v>
      </c>
      <c r="L251" s="0" t="n">
        <v>4</v>
      </c>
      <c r="M251" s="0" t="n">
        <v>0</v>
      </c>
      <c r="N251" s="0" t="n">
        <v>4</v>
      </c>
      <c r="P251" s="0" t="n">
        <v>0</v>
      </c>
      <c r="Q251" s="0" t="n">
        <v>8136</v>
      </c>
      <c r="R251" s="54" t="s">
        <v>180</v>
      </c>
      <c r="S251" s="0" t="n">
        <v>0.08</v>
      </c>
      <c r="U251" s="31" t="n">
        <f aca="false">IF($B251='設定（最初に1回）'!$C$4,N(U250)+1,N(U250))</f>
        <v>134</v>
      </c>
    </row>
    <row r="252" customFormat="false" ht="15" hidden="false" customHeight="false" outlineLevel="0" collapsed="false">
      <c r="A252" s="0" t="n">
        <v>20260501</v>
      </c>
      <c r="B252" s="53" t="s">
        <v>490</v>
      </c>
      <c r="C252" s="54" t="s">
        <v>491</v>
      </c>
      <c r="D252" s="55" t="s">
        <v>191</v>
      </c>
      <c r="E252" s="54" t="s">
        <v>192</v>
      </c>
      <c r="F252" s="55" t="s">
        <v>175</v>
      </c>
      <c r="G252" s="55" t="s">
        <v>175</v>
      </c>
      <c r="H252" s="54" t="s">
        <v>193</v>
      </c>
      <c r="I252" s="53" t="s">
        <v>212</v>
      </c>
      <c r="J252" s="54" t="s">
        <v>213</v>
      </c>
      <c r="K252" s="0" t="n">
        <v>1</v>
      </c>
      <c r="L252" s="0" t="n">
        <v>79</v>
      </c>
      <c r="M252" s="0" t="n">
        <v>0</v>
      </c>
      <c r="N252" s="0" t="n">
        <v>79</v>
      </c>
      <c r="P252" s="0" t="n">
        <v>0</v>
      </c>
      <c r="Q252" s="0" t="n">
        <v>8136</v>
      </c>
      <c r="R252" s="54" t="s">
        <v>180</v>
      </c>
      <c r="S252" s="0" t="n">
        <v>0.08</v>
      </c>
      <c r="U252" s="31" t="n">
        <f aca="false">IF($B252='設定（最初に1回）'!$C$4,N(U251)+1,N(U251))</f>
        <v>134</v>
      </c>
    </row>
    <row r="253" customFormat="false" ht="15" hidden="false" customHeight="false" outlineLevel="0" collapsed="false">
      <c r="A253" s="0" t="n">
        <v>20260501</v>
      </c>
      <c r="B253" s="53" t="s">
        <v>490</v>
      </c>
      <c r="C253" s="54" t="s">
        <v>491</v>
      </c>
      <c r="D253" s="55" t="s">
        <v>191</v>
      </c>
      <c r="E253" s="54" t="s">
        <v>192</v>
      </c>
      <c r="F253" s="55" t="s">
        <v>175</v>
      </c>
      <c r="G253" s="55" t="s">
        <v>175</v>
      </c>
      <c r="H253" s="54" t="s">
        <v>193</v>
      </c>
      <c r="I253" s="53" t="s">
        <v>214</v>
      </c>
      <c r="J253" s="54" t="s">
        <v>215</v>
      </c>
      <c r="K253" s="0" t="n">
        <v>1</v>
      </c>
      <c r="L253" s="0" t="n">
        <v>94</v>
      </c>
      <c r="M253" s="0" t="n">
        <v>0</v>
      </c>
      <c r="N253" s="0" t="n">
        <v>94</v>
      </c>
      <c r="P253" s="0" t="n">
        <v>0</v>
      </c>
      <c r="Q253" s="0" t="n">
        <v>8638</v>
      </c>
      <c r="R253" s="54" t="s">
        <v>180</v>
      </c>
      <c r="S253" s="0" t="n">
        <v>0.08</v>
      </c>
      <c r="U253" s="31" t="n">
        <f aca="false">IF($B253='設定（最初に1回）'!$C$4,N(U252)+1,N(U252))</f>
        <v>134</v>
      </c>
    </row>
    <row r="254" customFormat="false" ht="15" hidden="false" customHeight="false" outlineLevel="0" collapsed="false">
      <c r="A254" s="0" t="n">
        <v>20260501</v>
      </c>
      <c r="B254" s="53" t="s">
        <v>490</v>
      </c>
      <c r="C254" s="54" t="s">
        <v>491</v>
      </c>
      <c r="D254" s="55" t="s">
        <v>191</v>
      </c>
      <c r="E254" s="54" t="s">
        <v>192</v>
      </c>
      <c r="F254" s="55" t="s">
        <v>175</v>
      </c>
      <c r="G254" s="55" t="s">
        <v>216</v>
      </c>
      <c r="H254" s="54" t="s">
        <v>217</v>
      </c>
      <c r="I254" s="53" t="s">
        <v>218</v>
      </c>
      <c r="J254" s="54" t="s">
        <v>219</v>
      </c>
      <c r="K254" s="0" t="n">
        <v>10</v>
      </c>
      <c r="L254" s="0" t="n">
        <v>2</v>
      </c>
      <c r="M254" s="0" t="n">
        <v>2</v>
      </c>
      <c r="N254" s="0" t="n">
        <v>22</v>
      </c>
      <c r="P254" s="0" t="n">
        <v>0</v>
      </c>
      <c r="Q254" s="0" t="n">
        <v>4503.2</v>
      </c>
      <c r="R254" s="54" t="s">
        <v>180</v>
      </c>
      <c r="S254" s="0" t="n">
        <v>0.08</v>
      </c>
      <c r="U254" s="31" t="n">
        <f aca="false">IF($B254='設定（最初に1回）'!$C$4,N(U253)+1,N(U253))</f>
        <v>134</v>
      </c>
    </row>
    <row r="255" customFormat="false" ht="15" hidden="false" customHeight="false" outlineLevel="0" collapsed="false">
      <c r="A255" s="0" t="n">
        <v>20260501</v>
      </c>
      <c r="B255" s="53" t="s">
        <v>490</v>
      </c>
      <c r="C255" s="54" t="s">
        <v>491</v>
      </c>
      <c r="D255" s="55" t="s">
        <v>191</v>
      </c>
      <c r="E255" s="54" t="s">
        <v>192</v>
      </c>
      <c r="F255" s="55" t="s">
        <v>175</v>
      </c>
      <c r="G255" s="55" t="s">
        <v>216</v>
      </c>
      <c r="H255" s="54" t="s">
        <v>217</v>
      </c>
      <c r="I255" s="53" t="s">
        <v>220</v>
      </c>
      <c r="J255" s="54" t="s">
        <v>221</v>
      </c>
      <c r="K255" s="0" t="n">
        <v>12</v>
      </c>
      <c r="L255" s="0" t="n">
        <v>159</v>
      </c>
      <c r="M255" s="0" t="n">
        <v>3</v>
      </c>
      <c r="N255" s="0" t="n">
        <v>1911</v>
      </c>
      <c r="P255" s="0" t="n">
        <v>0</v>
      </c>
      <c r="Q255" s="0" t="n">
        <v>332</v>
      </c>
      <c r="R255" s="54" t="s">
        <v>180</v>
      </c>
      <c r="S255" s="0" t="n">
        <v>0.08</v>
      </c>
      <c r="U255" s="31" t="n">
        <f aca="false">IF($B255='設定（最初に1回）'!$C$4,N(U254)+1,N(U254))</f>
        <v>134</v>
      </c>
    </row>
    <row r="256" customFormat="false" ht="15" hidden="false" customHeight="false" outlineLevel="0" collapsed="false">
      <c r="A256" s="0" t="n">
        <v>20260501</v>
      </c>
      <c r="B256" s="53" t="s">
        <v>490</v>
      </c>
      <c r="C256" s="54" t="s">
        <v>491</v>
      </c>
      <c r="D256" s="55" t="s">
        <v>191</v>
      </c>
      <c r="E256" s="54" t="s">
        <v>192</v>
      </c>
      <c r="F256" s="55" t="s">
        <v>175</v>
      </c>
      <c r="G256" s="55" t="s">
        <v>222</v>
      </c>
      <c r="H256" s="54" t="s">
        <v>223</v>
      </c>
      <c r="I256" s="53" t="s">
        <v>224</v>
      </c>
      <c r="J256" s="54" t="s">
        <v>225</v>
      </c>
      <c r="K256" s="0" t="n">
        <v>1</v>
      </c>
      <c r="L256" s="0" t="n">
        <v>29</v>
      </c>
      <c r="M256" s="0" t="n">
        <v>0</v>
      </c>
      <c r="N256" s="0" t="n">
        <v>29</v>
      </c>
      <c r="P256" s="0" t="n">
        <v>0</v>
      </c>
      <c r="Q256" s="0" t="n">
        <v>2254</v>
      </c>
      <c r="R256" s="54" t="s">
        <v>180</v>
      </c>
      <c r="S256" s="0" t="n">
        <v>0.08</v>
      </c>
      <c r="U256" s="31" t="n">
        <f aca="false">IF($B256='設定（最初に1回）'!$C$4,N(U255)+1,N(U255))</f>
        <v>134</v>
      </c>
    </row>
    <row r="257" customFormat="false" ht="15" hidden="false" customHeight="false" outlineLevel="0" collapsed="false">
      <c r="A257" s="0" t="n">
        <v>20260501</v>
      </c>
      <c r="B257" s="53" t="s">
        <v>490</v>
      </c>
      <c r="C257" s="54" t="s">
        <v>491</v>
      </c>
      <c r="D257" s="55" t="s">
        <v>191</v>
      </c>
      <c r="E257" s="54" t="s">
        <v>192</v>
      </c>
      <c r="F257" s="55" t="s">
        <v>175</v>
      </c>
      <c r="G257" s="55" t="s">
        <v>222</v>
      </c>
      <c r="H257" s="54" t="s">
        <v>223</v>
      </c>
      <c r="I257" s="53" t="s">
        <v>226</v>
      </c>
      <c r="J257" s="54" t="s">
        <v>227</v>
      </c>
      <c r="K257" s="0" t="n">
        <v>1</v>
      </c>
      <c r="L257" s="0" t="n">
        <v>7</v>
      </c>
      <c r="M257" s="0" t="n">
        <v>0</v>
      </c>
      <c r="N257" s="0" t="n">
        <v>7</v>
      </c>
      <c r="P257" s="0" t="n">
        <v>0</v>
      </c>
      <c r="Q257" s="0" t="n">
        <v>2309</v>
      </c>
      <c r="R257" s="54" t="s">
        <v>180</v>
      </c>
      <c r="S257" s="0" t="n">
        <v>0.08</v>
      </c>
      <c r="U257" s="31" t="n">
        <f aca="false">IF($B257='設定（最初に1回）'!$C$4,N(U256)+1,N(U256))</f>
        <v>134</v>
      </c>
    </row>
    <row r="258" customFormat="false" ht="15" hidden="false" customHeight="false" outlineLevel="0" collapsed="false">
      <c r="A258" s="0" t="n">
        <v>20260501</v>
      </c>
      <c r="B258" s="53" t="s">
        <v>490</v>
      </c>
      <c r="C258" s="54" t="s">
        <v>491</v>
      </c>
      <c r="D258" s="55" t="s">
        <v>191</v>
      </c>
      <c r="E258" s="54" t="s">
        <v>192</v>
      </c>
      <c r="F258" s="55" t="s">
        <v>175</v>
      </c>
      <c r="G258" s="55" t="s">
        <v>222</v>
      </c>
      <c r="H258" s="54" t="s">
        <v>223</v>
      </c>
      <c r="I258" s="53" t="s">
        <v>228</v>
      </c>
      <c r="J258" s="54" t="s">
        <v>229</v>
      </c>
      <c r="K258" s="0" t="n">
        <v>1</v>
      </c>
      <c r="L258" s="0" t="n">
        <v>92</v>
      </c>
      <c r="M258" s="0" t="n">
        <v>0</v>
      </c>
      <c r="N258" s="0" t="n">
        <v>92</v>
      </c>
      <c r="P258" s="0" t="n">
        <v>0</v>
      </c>
      <c r="Q258" s="0" t="n">
        <v>2705</v>
      </c>
      <c r="R258" s="54" t="s">
        <v>180</v>
      </c>
      <c r="S258" s="0" t="n">
        <v>0.08</v>
      </c>
      <c r="U258" s="31" t="n">
        <f aca="false">IF($B258='設定（最初に1回）'!$C$4,N(U257)+1,N(U257))</f>
        <v>134</v>
      </c>
    </row>
    <row r="259" customFormat="false" ht="15" hidden="false" customHeight="false" outlineLevel="0" collapsed="false">
      <c r="A259" s="0" t="n">
        <v>20260501</v>
      </c>
      <c r="B259" s="53" t="s">
        <v>490</v>
      </c>
      <c r="C259" s="54" t="s">
        <v>491</v>
      </c>
      <c r="D259" s="55" t="s">
        <v>191</v>
      </c>
      <c r="E259" s="54" t="s">
        <v>192</v>
      </c>
      <c r="F259" s="55" t="s">
        <v>175</v>
      </c>
      <c r="G259" s="55" t="s">
        <v>230</v>
      </c>
      <c r="H259" s="54" t="s">
        <v>231</v>
      </c>
      <c r="I259" s="53" t="s">
        <v>232</v>
      </c>
      <c r="J259" s="54" t="s">
        <v>233</v>
      </c>
      <c r="K259" s="0" t="n">
        <v>120</v>
      </c>
      <c r="L259" s="0" t="n">
        <v>0</v>
      </c>
      <c r="M259" s="0" t="n">
        <v>18</v>
      </c>
      <c r="N259" s="0" t="n">
        <v>18</v>
      </c>
      <c r="P259" s="0" t="n">
        <v>0</v>
      </c>
      <c r="Q259" s="0" t="n">
        <v>142</v>
      </c>
      <c r="R259" s="54" t="s">
        <v>180</v>
      </c>
      <c r="S259" s="0" t="n">
        <v>0.08</v>
      </c>
      <c r="U259" s="31" t="n">
        <f aca="false">IF($B259='設定（最初に1回）'!$C$4,N(U258)+1,N(U258))</f>
        <v>134</v>
      </c>
    </row>
    <row r="260" customFormat="false" ht="15" hidden="false" customHeight="false" outlineLevel="0" collapsed="false">
      <c r="A260" s="0" t="n">
        <v>20260501</v>
      </c>
      <c r="B260" s="53" t="s">
        <v>490</v>
      </c>
      <c r="C260" s="54" t="s">
        <v>491</v>
      </c>
      <c r="D260" s="55" t="s">
        <v>191</v>
      </c>
      <c r="E260" s="54" t="s">
        <v>192</v>
      </c>
      <c r="F260" s="55" t="s">
        <v>175</v>
      </c>
      <c r="G260" s="55" t="s">
        <v>230</v>
      </c>
      <c r="H260" s="54" t="s">
        <v>231</v>
      </c>
      <c r="I260" s="53" t="s">
        <v>234</v>
      </c>
      <c r="J260" s="54" t="s">
        <v>235</v>
      </c>
      <c r="K260" s="0" t="n">
        <v>120</v>
      </c>
      <c r="L260" s="0" t="n">
        <v>8</v>
      </c>
      <c r="M260" s="0" t="n">
        <v>0</v>
      </c>
      <c r="N260" s="0" t="n">
        <v>960</v>
      </c>
      <c r="P260" s="0" t="n">
        <v>0</v>
      </c>
      <c r="Q260" s="0" t="n">
        <v>107</v>
      </c>
      <c r="R260" s="54" t="s">
        <v>180</v>
      </c>
      <c r="S260" s="0" t="n">
        <v>0.08</v>
      </c>
      <c r="U260" s="31" t="n">
        <f aca="false">IF($B260='設定（最初に1回）'!$C$4,N(U259)+1,N(U259))</f>
        <v>134</v>
      </c>
    </row>
    <row r="261" customFormat="false" ht="15" hidden="false" customHeight="false" outlineLevel="0" collapsed="false">
      <c r="A261" s="0" t="n">
        <v>20260501</v>
      </c>
      <c r="B261" s="53" t="s">
        <v>490</v>
      </c>
      <c r="C261" s="54" t="s">
        <v>491</v>
      </c>
      <c r="D261" s="55" t="s">
        <v>191</v>
      </c>
      <c r="E261" s="54" t="s">
        <v>192</v>
      </c>
      <c r="F261" s="55" t="s">
        <v>175</v>
      </c>
      <c r="G261" s="55" t="s">
        <v>230</v>
      </c>
      <c r="H261" s="54" t="s">
        <v>231</v>
      </c>
      <c r="I261" s="53" t="s">
        <v>236</v>
      </c>
      <c r="J261" s="54" t="s">
        <v>237</v>
      </c>
      <c r="K261" s="0" t="n">
        <v>90</v>
      </c>
      <c r="L261" s="0" t="n">
        <v>0</v>
      </c>
      <c r="M261" s="0" t="n">
        <v>1</v>
      </c>
      <c r="N261" s="0" t="n">
        <v>1</v>
      </c>
      <c r="P261" s="0" t="n">
        <v>0</v>
      </c>
      <c r="Q261" s="0" t="n">
        <v>166</v>
      </c>
      <c r="R261" s="54" t="s">
        <v>180</v>
      </c>
      <c r="S261" s="0" t="n">
        <v>0.08</v>
      </c>
      <c r="U261" s="31" t="n">
        <f aca="false">IF($B261='設定（最初に1回）'!$C$4,N(U260)+1,N(U260))</f>
        <v>134</v>
      </c>
    </row>
    <row r="262" customFormat="false" ht="15" hidden="false" customHeight="false" outlineLevel="0" collapsed="false">
      <c r="A262" s="0" t="n">
        <v>20260501</v>
      </c>
      <c r="B262" s="53" t="s">
        <v>490</v>
      </c>
      <c r="C262" s="54" t="s">
        <v>491</v>
      </c>
      <c r="D262" s="55" t="s">
        <v>191</v>
      </c>
      <c r="E262" s="54" t="s">
        <v>192</v>
      </c>
      <c r="F262" s="55" t="s">
        <v>175</v>
      </c>
      <c r="G262" s="55" t="s">
        <v>230</v>
      </c>
      <c r="H262" s="54" t="s">
        <v>231</v>
      </c>
      <c r="I262" s="53" t="s">
        <v>238</v>
      </c>
      <c r="J262" s="54" t="s">
        <v>239</v>
      </c>
      <c r="K262" s="0" t="n">
        <v>80</v>
      </c>
      <c r="L262" s="0" t="n">
        <v>2</v>
      </c>
      <c r="M262" s="0" t="n">
        <v>0</v>
      </c>
      <c r="N262" s="0" t="n">
        <v>160</v>
      </c>
      <c r="P262" s="0" t="n">
        <v>0</v>
      </c>
      <c r="Q262" s="0" t="n">
        <v>203</v>
      </c>
      <c r="R262" s="54" t="s">
        <v>180</v>
      </c>
      <c r="S262" s="0" t="n">
        <v>0.08</v>
      </c>
      <c r="U262" s="31" t="n">
        <f aca="false">IF($B262='設定（最初に1回）'!$C$4,N(U261)+1,N(U261))</f>
        <v>134</v>
      </c>
    </row>
    <row r="263" customFormat="false" ht="15" hidden="false" customHeight="false" outlineLevel="0" collapsed="false">
      <c r="A263" s="0" t="n">
        <v>20260501</v>
      </c>
      <c r="B263" s="53" t="s">
        <v>490</v>
      </c>
      <c r="C263" s="54" t="s">
        <v>491</v>
      </c>
      <c r="D263" s="55" t="s">
        <v>191</v>
      </c>
      <c r="E263" s="54" t="s">
        <v>192</v>
      </c>
      <c r="F263" s="55" t="s">
        <v>175</v>
      </c>
      <c r="G263" s="55" t="s">
        <v>230</v>
      </c>
      <c r="H263" s="54" t="s">
        <v>231</v>
      </c>
      <c r="I263" s="53" t="s">
        <v>240</v>
      </c>
      <c r="J263" s="54" t="s">
        <v>241</v>
      </c>
      <c r="K263" s="0" t="n">
        <v>80</v>
      </c>
      <c r="L263" s="0" t="n">
        <v>1</v>
      </c>
      <c r="M263" s="0" t="n">
        <v>42</v>
      </c>
      <c r="N263" s="0" t="n">
        <v>122</v>
      </c>
      <c r="P263" s="0" t="n">
        <v>0</v>
      </c>
      <c r="Q263" s="0" t="n">
        <v>203</v>
      </c>
      <c r="R263" s="54" t="s">
        <v>180</v>
      </c>
      <c r="S263" s="0" t="n">
        <v>0.08</v>
      </c>
      <c r="U263" s="31" t="n">
        <f aca="false">IF($B263='設定（最初に1回）'!$C$4,N(U262)+1,N(U262))</f>
        <v>134</v>
      </c>
    </row>
    <row r="264" customFormat="false" ht="15" hidden="false" customHeight="false" outlineLevel="0" collapsed="false">
      <c r="A264" s="0" t="n">
        <v>20260501</v>
      </c>
      <c r="B264" s="53" t="s">
        <v>490</v>
      </c>
      <c r="C264" s="54" t="s">
        <v>491</v>
      </c>
      <c r="D264" s="55" t="s">
        <v>191</v>
      </c>
      <c r="E264" s="54" t="s">
        <v>192</v>
      </c>
      <c r="F264" s="55" t="s">
        <v>175</v>
      </c>
      <c r="G264" s="55" t="s">
        <v>230</v>
      </c>
      <c r="H264" s="54" t="s">
        <v>231</v>
      </c>
      <c r="I264" s="53" t="s">
        <v>242</v>
      </c>
      <c r="J264" s="54" t="s">
        <v>243</v>
      </c>
      <c r="K264" s="0" t="n">
        <v>1</v>
      </c>
      <c r="L264" s="0" t="n">
        <v>16</v>
      </c>
      <c r="M264" s="0" t="n">
        <v>0</v>
      </c>
      <c r="N264" s="0" t="n">
        <v>16</v>
      </c>
      <c r="P264" s="0" t="n">
        <v>0</v>
      </c>
      <c r="Q264" s="0" t="n">
        <v>26884</v>
      </c>
      <c r="R264" s="54" t="s">
        <v>180</v>
      </c>
      <c r="S264" s="0" t="n">
        <v>0.08</v>
      </c>
      <c r="U264" s="31" t="n">
        <f aca="false">IF($B264='設定（最初に1回）'!$C$4,N(U263)+1,N(U263))</f>
        <v>134</v>
      </c>
    </row>
    <row r="265" customFormat="false" ht="15" hidden="false" customHeight="false" outlineLevel="0" collapsed="false">
      <c r="A265" s="0" t="n">
        <v>20260501</v>
      </c>
      <c r="B265" s="53" t="s">
        <v>490</v>
      </c>
      <c r="C265" s="54" t="s">
        <v>491</v>
      </c>
      <c r="D265" s="55" t="s">
        <v>191</v>
      </c>
      <c r="E265" s="54" t="s">
        <v>192</v>
      </c>
      <c r="F265" s="55" t="s">
        <v>175</v>
      </c>
      <c r="G265" s="55" t="s">
        <v>230</v>
      </c>
      <c r="H265" s="54" t="s">
        <v>231</v>
      </c>
      <c r="I265" s="53" t="s">
        <v>244</v>
      </c>
      <c r="J265" s="54" t="s">
        <v>245</v>
      </c>
      <c r="K265" s="0" t="n">
        <v>1</v>
      </c>
      <c r="L265" s="0" t="n">
        <v>22</v>
      </c>
      <c r="M265" s="0" t="n">
        <v>0</v>
      </c>
      <c r="N265" s="0" t="n">
        <v>22</v>
      </c>
      <c r="P265" s="0" t="n">
        <v>0</v>
      </c>
      <c r="Q265" s="0" t="n">
        <v>26884</v>
      </c>
      <c r="R265" s="54" t="s">
        <v>180</v>
      </c>
      <c r="S265" s="0" t="n">
        <v>0.08</v>
      </c>
      <c r="U265" s="31" t="n">
        <f aca="false">IF($B265='設定（最初に1回）'!$C$4,N(U264)+1,N(U264))</f>
        <v>134</v>
      </c>
    </row>
    <row r="266" customFormat="false" ht="15" hidden="false" customHeight="false" outlineLevel="0" collapsed="false">
      <c r="A266" s="0" t="n">
        <v>20260501</v>
      </c>
      <c r="B266" s="53" t="s">
        <v>490</v>
      </c>
      <c r="C266" s="54" t="s">
        <v>491</v>
      </c>
      <c r="D266" s="55" t="s">
        <v>191</v>
      </c>
      <c r="E266" s="54" t="s">
        <v>192</v>
      </c>
      <c r="F266" s="55" t="s">
        <v>175</v>
      </c>
      <c r="G266" s="55" t="s">
        <v>230</v>
      </c>
      <c r="H266" s="54" t="s">
        <v>231</v>
      </c>
      <c r="I266" s="53" t="s">
        <v>246</v>
      </c>
      <c r="J266" s="54" t="s">
        <v>247</v>
      </c>
      <c r="K266" s="0" t="n">
        <v>1</v>
      </c>
      <c r="L266" s="0" t="n">
        <v>8</v>
      </c>
      <c r="M266" s="0" t="n">
        <v>0</v>
      </c>
      <c r="N266" s="0" t="n">
        <v>8</v>
      </c>
      <c r="P266" s="0" t="n">
        <v>0</v>
      </c>
      <c r="Q266" s="0" t="n">
        <v>26884</v>
      </c>
      <c r="R266" s="54" t="s">
        <v>180</v>
      </c>
      <c r="S266" s="0" t="n">
        <v>0.08</v>
      </c>
      <c r="U266" s="31" t="n">
        <f aca="false">IF($B266='設定（最初に1回）'!$C$4,N(U265)+1,N(U265))</f>
        <v>134</v>
      </c>
    </row>
    <row r="267" customFormat="false" ht="15" hidden="false" customHeight="false" outlineLevel="0" collapsed="false">
      <c r="A267" s="0" t="n">
        <v>20260501</v>
      </c>
      <c r="B267" s="53" t="s">
        <v>490</v>
      </c>
      <c r="C267" s="54" t="s">
        <v>491</v>
      </c>
      <c r="D267" s="55" t="s">
        <v>191</v>
      </c>
      <c r="E267" s="54" t="s">
        <v>192</v>
      </c>
      <c r="F267" s="55" t="s">
        <v>175</v>
      </c>
      <c r="G267" s="55" t="s">
        <v>230</v>
      </c>
      <c r="H267" s="54" t="s">
        <v>231</v>
      </c>
      <c r="I267" s="53" t="s">
        <v>248</v>
      </c>
      <c r="J267" s="54" t="s">
        <v>249</v>
      </c>
      <c r="K267" s="0" t="n">
        <v>1</v>
      </c>
      <c r="L267" s="0" t="n">
        <v>17</v>
      </c>
      <c r="M267" s="0" t="n">
        <v>0</v>
      </c>
      <c r="N267" s="0" t="n">
        <v>17</v>
      </c>
      <c r="P267" s="0" t="n">
        <v>0</v>
      </c>
      <c r="Q267" s="0" t="n">
        <v>1386</v>
      </c>
      <c r="R267" s="54" t="s">
        <v>180</v>
      </c>
      <c r="S267" s="0" t="n">
        <v>0.08</v>
      </c>
      <c r="U267" s="31" t="n">
        <f aca="false">IF($B267='設定（最初に1回）'!$C$4,N(U266)+1,N(U266))</f>
        <v>134</v>
      </c>
    </row>
    <row r="268" customFormat="false" ht="15" hidden="false" customHeight="false" outlineLevel="0" collapsed="false">
      <c r="A268" s="0" t="n">
        <v>20260501</v>
      </c>
      <c r="B268" s="53" t="s">
        <v>490</v>
      </c>
      <c r="C268" s="54" t="s">
        <v>491</v>
      </c>
      <c r="D268" s="55" t="s">
        <v>191</v>
      </c>
      <c r="E268" s="54" t="s">
        <v>192</v>
      </c>
      <c r="F268" s="55" t="s">
        <v>175</v>
      </c>
      <c r="G268" s="55" t="s">
        <v>230</v>
      </c>
      <c r="H268" s="54" t="s">
        <v>231</v>
      </c>
      <c r="I268" s="53" t="s">
        <v>250</v>
      </c>
      <c r="J268" s="54" t="s">
        <v>251</v>
      </c>
      <c r="K268" s="0" t="n">
        <v>24</v>
      </c>
      <c r="L268" s="0" t="n">
        <v>1</v>
      </c>
      <c r="M268" s="0" t="n">
        <v>9</v>
      </c>
      <c r="N268" s="0" t="n">
        <v>33</v>
      </c>
      <c r="P268" s="0" t="n">
        <v>0</v>
      </c>
      <c r="Q268" s="0" t="n">
        <v>87</v>
      </c>
      <c r="R268" s="54" t="s">
        <v>180</v>
      </c>
      <c r="S268" s="0" t="n">
        <v>0.08</v>
      </c>
      <c r="U268" s="31" t="n">
        <f aca="false">IF($B268='設定（最初に1回）'!$C$4,N(U267)+1,N(U267))</f>
        <v>134</v>
      </c>
    </row>
    <row r="269" customFormat="false" ht="15" hidden="false" customHeight="false" outlineLevel="0" collapsed="false">
      <c r="A269" s="0" t="n">
        <v>20260501</v>
      </c>
      <c r="B269" s="53" t="s">
        <v>490</v>
      </c>
      <c r="C269" s="54" t="s">
        <v>491</v>
      </c>
      <c r="D269" s="55" t="s">
        <v>191</v>
      </c>
      <c r="E269" s="54" t="s">
        <v>192</v>
      </c>
      <c r="F269" s="55" t="s">
        <v>175</v>
      </c>
      <c r="G269" s="55" t="s">
        <v>252</v>
      </c>
      <c r="H269" s="54" t="s">
        <v>253</v>
      </c>
      <c r="I269" s="53" t="s">
        <v>254</v>
      </c>
      <c r="J269" s="54" t="s">
        <v>255</v>
      </c>
      <c r="K269" s="0" t="n">
        <v>1</v>
      </c>
      <c r="L269" s="0" t="n">
        <v>396</v>
      </c>
      <c r="M269" s="0" t="n">
        <v>0</v>
      </c>
      <c r="N269" s="0" t="n">
        <v>396</v>
      </c>
      <c r="P269" s="0" t="n">
        <v>0</v>
      </c>
      <c r="Q269" s="0" t="n">
        <v>12046</v>
      </c>
      <c r="R269" s="54" t="s">
        <v>180</v>
      </c>
      <c r="S269" s="0" t="n">
        <v>0.08</v>
      </c>
      <c r="U269" s="31" t="n">
        <f aca="false">IF($B269='設定（最初に1回）'!$C$4,N(U268)+1,N(U268))</f>
        <v>134</v>
      </c>
    </row>
    <row r="270" customFormat="false" ht="15" hidden="false" customHeight="false" outlineLevel="0" collapsed="false">
      <c r="A270" s="0" t="n">
        <v>20260501</v>
      </c>
      <c r="B270" s="53" t="s">
        <v>490</v>
      </c>
      <c r="C270" s="54" t="s">
        <v>491</v>
      </c>
      <c r="D270" s="55" t="s">
        <v>191</v>
      </c>
      <c r="E270" s="54" t="s">
        <v>192</v>
      </c>
      <c r="F270" s="55" t="s">
        <v>175</v>
      </c>
      <c r="G270" s="55" t="s">
        <v>252</v>
      </c>
      <c r="H270" s="54" t="s">
        <v>253</v>
      </c>
      <c r="I270" s="53" t="s">
        <v>256</v>
      </c>
      <c r="J270" s="54" t="s">
        <v>257</v>
      </c>
      <c r="K270" s="0" t="n">
        <v>1</v>
      </c>
      <c r="L270" s="0" t="n">
        <v>4</v>
      </c>
      <c r="M270" s="0" t="n">
        <v>0</v>
      </c>
      <c r="N270" s="0" t="n">
        <v>4</v>
      </c>
      <c r="P270" s="0" t="n">
        <v>0</v>
      </c>
      <c r="Q270" s="0" t="n">
        <v>5841</v>
      </c>
      <c r="R270" s="54" t="s">
        <v>180</v>
      </c>
      <c r="S270" s="0" t="n">
        <v>0.08</v>
      </c>
      <c r="U270" s="31" t="n">
        <f aca="false">IF($B270='設定（最初に1回）'!$C$4,N(U269)+1,N(U269))</f>
        <v>134</v>
      </c>
    </row>
    <row r="271" customFormat="false" ht="15" hidden="false" customHeight="false" outlineLevel="0" collapsed="false">
      <c r="A271" s="0" t="n">
        <v>20260501</v>
      </c>
      <c r="B271" s="53" t="s">
        <v>490</v>
      </c>
      <c r="C271" s="54" t="s">
        <v>491</v>
      </c>
      <c r="D271" s="55" t="s">
        <v>191</v>
      </c>
      <c r="E271" s="54" t="s">
        <v>192</v>
      </c>
      <c r="F271" s="55" t="s">
        <v>175</v>
      </c>
      <c r="G271" s="55" t="s">
        <v>252</v>
      </c>
      <c r="H271" s="54" t="s">
        <v>253</v>
      </c>
      <c r="I271" s="53" t="s">
        <v>258</v>
      </c>
      <c r="J271" s="54" t="s">
        <v>259</v>
      </c>
      <c r="K271" s="0" t="n">
        <v>6</v>
      </c>
      <c r="L271" s="0" t="n">
        <v>5</v>
      </c>
      <c r="M271" s="0" t="n">
        <v>1</v>
      </c>
      <c r="N271" s="0" t="n">
        <v>31</v>
      </c>
      <c r="P271" s="0" t="n">
        <v>0</v>
      </c>
      <c r="Q271" s="0" t="n">
        <v>786</v>
      </c>
      <c r="R271" s="54" t="s">
        <v>180</v>
      </c>
      <c r="S271" s="0" t="n">
        <v>0.08</v>
      </c>
      <c r="U271" s="31" t="n">
        <f aca="false">IF($B271='設定（最初に1回）'!$C$4,N(U270)+1,N(U270))</f>
        <v>134</v>
      </c>
    </row>
    <row r="272" customFormat="false" ht="15" hidden="false" customHeight="false" outlineLevel="0" collapsed="false">
      <c r="A272" s="0" t="n">
        <v>20260501</v>
      </c>
      <c r="B272" s="53" t="s">
        <v>490</v>
      </c>
      <c r="C272" s="54" t="s">
        <v>491</v>
      </c>
      <c r="D272" s="55" t="s">
        <v>191</v>
      </c>
      <c r="E272" s="54" t="s">
        <v>192</v>
      </c>
      <c r="F272" s="55" t="s">
        <v>175</v>
      </c>
      <c r="G272" s="55" t="s">
        <v>252</v>
      </c>
      <c r="H272" s="54" t="s">
        <v>253</v>
      </c>
      <c r="I272" s="53" t="s">
        <v>260</v>
      </c>
      <c r="J272" s="54" t="s">
        <v>261</v>
      </c>
      <c r="K272" s="0" t="n">
        <v>1</v>
      </c>
      <c r="L272" s="0" t="n">
        <v>55</v>
      </c>
      <c r="M272" s="0" t="n">
        <v>0</v>
      </c>
      <c r="N272" s="0" t="n">
        <v>55</v>
      </c>
      <c r="P272" s="0" t="n">
        <v>0</v>
      </c>
      <c r="Q272" s="0" t="n">
        <v>1024</v>
      </c>
      <c r="R272" s="54" t="s">
        <v>180</v>
      </c>
      <c r="S272" s="0" t="n">
        <v>0.08</v>
      </c>
      <c r="U272" s="31" t="n">
        <f aca="false">IF($B272='設定（最初に1回）'!$C$4,N(U271)+1,N(U271))</f>
        <v>134</v>
      </c>
    </row>
    <row r="273" customFormat="false" ht="15" hidden="false" customHeight="false" outlineLevel="0" collapsed="false">
      <c r="A273" s="0" t="n">
        <v>20260501</v>
      </c>
      <c r="B273" s="53" t="s">
        <v>490</v>
      </c>
      <c r="C273" s="54" t="s">
        <v>491</v>
      </c>
      <c r="D273" s="55" t="s">
        <v>191</v>
      </c>
      <c r="E273" s="54" t="s">
        <v>192</v>
      </c>
      <c r="F273" s="55" t="s">
        <v>175</v>
      </c>
      <c r="G273" s="55" t="s">
        <v>252</v>
      </c>
      <c r="H273" s="54" t="s">
        <v>253</v>
      </c>
      <c r="I273" s="53" t="s">
        <v>262</v>
      </c>
      <c r="J273" s="54" t="s">
        <v>263</v>
      </c>
      <c r="K273" s="0" t="n">
        <v>1</v>
      </c>
      <c r="L273" s="0" t="n">
        <v>389</v>
      </c>
      <c r="M273" s="0" t="n">
        <v>0</v>
      </c>
      <c r="N273" s="0" t="n">
        <v>389</v>
      </c>
      <c r="P273" s="0" t="n">
        <v>0</v>
      </c>
      <c r="Q273" s="0" t="n">
        <v>1074</v>
      </c>
      <c r="R273" s="54" t="s">
        <v>180</v>
      </c>
      <c r="S273" s="0" t="n">
        <v>0.08</v>
      </c>
      <c r="U273" s="31" t="n">
        <f aca="false">IF($B273='設定（最初に1回）'!$C$4,N(U272)+1,N(U272))</f>
        <v>134</v>
      </c>
    </row>
    <row r="274" customFormat="false" ht="15" hidden="false" customHeight="false" outlineLevel="0" collapsed="false">
      <c r="A274" s="0" t="n">
        <v>20260501</v>
      </c>
      <c r="B274" s="53" t="s">
        <v>490</v>
      </c>
      <c r="C274" s="54" t="s">
        <v>491</v>
      </c>
      <c r="D274" s="55" t="s">
        <v>191</v>
      </c>
      <c r="E274" s="54" t="s">
        <v>192</v>
      </c>
      <c r="F274" s="55" t="s">
        <v>175</v>
      </c>
      <c r="G274" s="55" t="s">
        <v>252</v>
      </c>
      <c r="H274" s="54" t="s">
        <v>253</v>
      </c>
      <c r="I274" s="53" t="s">
        <v>264</v>
      </c>
      <c r="J274" s="54" t="s">
        <v>265</v>
      </c>
      <c r="K274" s="0" t="n">
        <v>1</v>
      </c>
      <c r="L274" s="0" t="n">
        <v>18</v>
      </c>
      <c r="M274" s="0" t="n">
        <v>0</v>
      </c>
      <c r="N274" s="0" t="n">
        <v>18</v>
      </c>
      <c r="P274" s="0" t="n">
        <v>0</v>
      </c>
      <c r="Q274" s="0" t="n">
        <v>1396</v>
      </c>
      <c r="R274" s="54" t="s">
        <v>180</v>
      </c>
      <c r="S274" s="0" t="n">
        <v>0.08</v>
      </c>
      <c r="U274" s="31" t="n">
        <f aca="false">IF($B274='設定（最初に1回）'!$C$4,N(U273)+1,N(U273))</f>
        <v>134</v>
      </c>
    </row>
    <row r="275" customFormat="false" ht="15" hidden="false" customHeight="false" outlineLevel="0" collapsed="false">
      <c r="A275" s="0" t="n">
        <v>20260501</v>
      </c>
      <c r="B275" s="53" t="s">
        <v>490</v>
      </c>
      <c r="C275" s="54" t="s">
        <v>491</v>
      </c>
      <c r="D275" s="55" t="s">
        <v>191</v>
      </c>
      <c r="E275" s="54" t="s">
        <v>192</v>
      </c>
      <c r="F275" s="55" t="s">
        <v>175</v>
      </c>
      <c r="G275" s="55" t="s">
        <v>252</v>
      </c>
      <c r="H275" s="54" t="s">
        <v>253</v>
      </c>
      <c r="I275" s="53" t="s">
        <v>266</v>
      </c>
      <c r="J275" s="54" t="s">
        <v>267</v>
      </c>
      <c r="K275" s="0" t="n">
        <v>48</v>
      </c>
      <c r="L275" s="0" t="n">
        <v>6</v>
      </c>
      <c r="M275" s="0" t="n">
        <v>5</v>
      </c>
      <c r="N275" s="0" t="n">
        <v>293</v>
      </c>
      <c r="P275" s="0" t="n">
        <v>0</v>
      </c>
      <c r="Q275" s="0" t="n">
        <v>114</v>
      </c>
      <c r="R275" s="54" t="s">
        <v>180</v>
      </c>
      <c r="S275" s="0" t="n">
        <v>0.08</v>
      </c>
      <c r="U275" s="31" t="n">
        <f aca="false">IF($B275='設定（最初に1回）'!$C$4,N(U274)+1,N(U274))</f>
        <v>134</v>
      </c>
    </row>
    <row r="276" customFormat="false" ht="15" hidden="false" customHeight="false" outlineLevel="0" collapsed="false">
      <c r="A276" s="0" t="n">
        <v>20260501</v>
      </c>
      <c r="B276" s="53" t="s">
        <v>490</v>
      </c>
      <c r="C276" s="54" t="s">
        <v>491</v>
      </c>
      <c r="D276" s="55" t="s">
        <v>191</v>
      </c>
      <c r="E276" s="54" t="s">
        <v>192</v>
      </c>
      <c r="F276" s="55" t="s">
        <v>175</v>
      </c>
      <c r="G276" s="55" t="s">
        <v>252</v>
      </c>
      <c r="H276" s="54" t="s">
        <v>253</v>
      </c>
      <c r="I276" s="53" t="s">
        <v>268</v>
      </c>
      <c r="J276" s="54" t="s">
        <v>269</v>
      </c>
      <c r="K276" s="0" t="n">
        <v>1</v>
      </c>
      <c r="L276" s="0" t="n">
        <v>963</v>
      </c>
      <c r="M276" s="0" t="n">
        <v>0</v>
      </c>
      <c r="N276" s="0" t="n">
        <v>963</v>
      </c>
      <c r="P276" s="0" t="n">
        <v>0</v>
      </c>
      <c r="Q276" s="0" t="n">
        <v>4420</v>
      </c>
      <c r="R276" s="54" t="s">
        <v>180</v>
      </c>
      <c r="S276" s="0" t="n">
        <v>0.08</v>
      </c>
      <c r="U276" s="31" t="n">
        <f aca="false">IF($B276='設定（最初に1回）'!$C$4,N(U275)+1,N(U275))</f>
        <v>134</v>
      </c>
    </row>
    <row r="277" customFormat="false" ht="15" hidden="false" customHeight="false" outlineLevel="0" collapsed="false">
      <c r="A277" s="0" t="n">
        <v>20260501</v>
      </c>
      <c r="B277" s="53" t="s">
        <v>490</v>
      </c>
      <c r="C277" s="54" t="s">
        <v>491</v>
      </c>
      <c r="D277" s="55" t="s">
        <v>191</v>
      </c>
      <c r="E277" s="54" t="s">
        <v>192</v>
      </c>
      <c r="F277" s="55" t="s">
        <v>175</v>
      </c>
      <c r="G277" s="55" t="s">
        <v>252</v>
      </c>
      <c r="H277" s="54" t="s">
        <v>253</v>
      </c>
      <c r="I277" s="53" t="s">
        <v>270</v>
      </c>
      <c r="J277" s="54" t="s">
        <v>271</v>
      </c>
      <c r="K277" s="0" t="n">
        <v>1</v>
      </c>
      <c r="L277" s="0" t="n">
        <v>66</v>
      </c>
      <c r="M277" s="0" t="n">
        <v>0</v>
      </c>
      <c r="N277" s="0" t="n">
        <v>66</v>
      </c>
      <c r="P277" s="0" t="n">
        <v>0</v>
      </c>
      <c r="Q277" s="0" t="n">
        <v>1099</v>
      </c>
      <c r="R277" s="54" t="s">
        <v>180</v>
      </c>
      <c r="S277" s="0" t="n">
        <v>0.08</v>
      </c>
      <c r="U277" s="31" t="n">
        <f aca="false">IF($B277='設定（最初に1回）'!$C$4,N(U276)+1,N(U276))</f>
        <v>134</v>
      </c>
    </row>
    <row r="278" customFormat="false" ht="15" hidden="false" customHeight="false" outlineLevel="0" collapsed="false">
      <c r="A278" s="0" t="n">
        <v>20260501</v>
      </c>
      <c r="B278" s="53" t="s">
        <v>490</v>
      </c>
      <c r="C278" s="54" t="s">
        <v>491</v>
      </c>
      <c r="D278" s="55" t="s">
        <v>191</v>
      </c>
      <c r="E278" s="54" t="s">
        <v>192</v>
      </c>
      <c r="F278" s="55" t="s">
        <v>175</v>
      </c>
      <c r="G278" s="55" t="s">
        <v>252</v>
      </c>
      <c r="H278" s="54" t="s">
        <v>253</v>
      </c>
      <c r="I278" s="53" t="s">
        <v>272</v>
      </c>
      <c r="J278" s="54" t="s">
        <v>273</v>
      </c>
      <c r="K278" s="0" t="n">
        <v>1</v>
      </c>
      <c r="L278" s="0" t="n">
        <v>130</v>
      </c>
      <c r="M278" s="0" t="n">
        <v>0</v>
      </c>
      <c r="N278" s="0" t="n">
        <v>130</v>
      </c>
      <c r="P278" s="0" t="n">
        <v>0</v>
      </c>
      <c r="Q278" s="0" t="n">
        <v>955</v>
      </c>
      <c r="R278" s="54" t="s">
        <v>180</v>
      </c>
      <c r="S278" s="0" t="n">
        <v>0.08</v>
      </c>
      <c r="U278" s="31" t="n">
        <f aca="false">IF($B278='設定（最初に1回）'!$C$4,N(U277)+1,N(U277))</f>
        <v>134</v>
      </c>
    </row>
    <row r="279" customFormat="false" ht="15" hidden="false" customHeight="false" outlineLevel="0" collapsed="false">
      <c r="A279" s="0" t="n">
        <v>20260501</v>
      </c>
      <c r="B279" s="53" t="s">
        <v>490</v>
      </c>
      <c r="C279" s="54" t="s">
        <v>491</v>
      </c>
      <c r="D279" s="55" t="s">
        <v>191</v>
      </c>
      <c r="E279" s="54" t="s">
        <v>192</v>
      </c>
      <c r="F279" s="55" t="s">
        <v>175</v>
      </c>
      <c r="G279" s="55" t="s">
        <v>252</v>
      </c>
      <c r="H279" s="54" t="s">
        <v>253</v>
      </c>
      <c r="I279" s="53" t="s">
        <v>274</v>
      </c>
      <c r="J279" s="54" t="s">
        <v>275</v>
      </c>
      <c r="K279" s="0" t="n">
        <v>1</v>
      </c>
      <c r="L279" s="0" t="n">
        <v>363</v>
      </c>
      <c r="M279" s="0" t="n">
        <v>0</v>
      </c>
      <c r="N279" s="0" t="n">
        <v>363</v>
      </c>
      <c r="P279" s="0" t="n">
        <v>0</v>
      </c>
      <c r="Q279" s="0" t="n">
        <v>6887</v>
      </c>
      <c r="R279" s="54" t="s">
        <v>180</v>
      </c>
      <c r="S279" s="0" t="n">
        <v>0.08</v>
      </c>
      <c r="U279" s="31" t="n">
        <f aca="false">IF($B279='設定（最初に1回）'!$C$4,N(U278)+1,N(U278))</f>
        <v>134</v>
      </c>
    </row>
    <row r="280" customFormat="false" ht="15" hidden="false" customHeight="false" outlineLevel="0" collapsed="false">
      <c r="A280" s="0" t="n">
        <v>20260501</v>
      </c>
      <c r="B280" s="53" t="s">
        <v>490</v>
      </c>
      <c r="C280" s="54" t="s">
        <v>491</v>
      </c>
      <c r="D280" s="55" t="s">
        <v>191</v>
      </c>
      <c r="E280" s="54" t="s">
        <v>192</v>
      </c>
      <c r="F280" s="55" t="s">
        <v>175</v>
      </c>
      <c r="G280" s="55" t="s">
        <v>252</v>
      </c>
      <c r="H280" s="54" t="s">
        <v>253</v>
      </c>
      <c r="I280" s="53" t="s">
        <v>276</v>
      </c>
      <c r="J280" s="54" t="s">
        <v>277</v>
      </c>
      <c r="K280" s="0" t="n">
        <v>1</v>
      </c>
      <c r="L280" s="0" t="n">
        <v>12</v>
      </c>
      <c r="M280" s="0" t="n">
        <v>0</v>
      </c>
      <c r="N280" s="0" t="n">
        <v>12</v>
      </c>
      <c r="P280" s="0" t="n">
        <v>0</v>
      </c>
      <c r="Q280" s="0" t="n">
        <v>1180</v>
      </c>
      <c r="R280" s="54" t="s">
        <v>180</v>
      </c>
      <c r="S280" s="0" t="n">
        <v>0.08</v>
      </c>
      <c r="U280" s="31" t="n">
        <f aca="false">IF($B280='設定（最初に1回）'!$C$4,N(U279)+1,N(U279))</f>
        <v>134</v>
      </c>
    </row>
    <row r="281" customFormat="false" ht="15" hidden="false" customHeight="false" outlineLevel="0" collapsed="false">
      <c r="A281" s="0" t="n">
        <v>20260501</v>
      </c>
      <c r="B281" s="53" t="s">
        <v>490</v>
      </c>
      <c r="C281" s="54" t="s">
        <v>491</v>
      </c>
      <c r="D281" s="55" t="s">
        <v>191</v>
      </c>
      <c r="E281" s="54" t="s">
        <v>192</v>
      </c>
      <c r="F281" s="55" t="s">
        <v>175</v>
      </c>
      <c r="G281" s="55" t="s">
        <v>252</v>
      </c>
      <c r="H281" s="54" t="s">
        <v>253</v>
      </c>
      <c r="I281" s="53" t="s">
        <v>278</v>
      </c>
      <c r="J281" s="54" t="s">
        <v>279</v>
      </c>
      <c r="K281" s="0" t="n">
        <v>1</v>
      </c>
      <c r="L281" s="0" t="n">
        <v>72</v>
      </c>
      <c r="M281" s="0" t="n">
        <v>0</v>
      </c>
      <c r="N281" s="0" t="n">
        <v>72</v>
      </c>
      <c r="P281" s="0" t="n">
        <v>0</v>
      </c>
      <c r="Q281" s="0" t="n">
        <v>1294</v>
      </c>
      <c r="R281" s="54" t="s">
        <v>180</v>
      </c>
      <c r="S281" s="0" t="n">
        <v>0.08</v>
      </c>
      <c r="U281" s="31" t="n">
        <f aca="false">IF($B281='設定（最初に1回）'!$C$4,N(U280)+1,N(U280))</f>
        <v>134</v>
      </c>
    </row>
    <row r="282" customFormat="false" ht="15" hidden="false" customHeight="false" outlineLevel="0" collapsed="false">
      <c r="A282" s="0" t="n">
        <v>20260501</v>
      </c>
      <c r="B282" s="53" t="s">
        <v>490</v>
      </c>
      <c r="C282" s="54" t="s">
        <v>491</v>
      </c>
      <c r="D282" s="55" t="s">
        <v>191</v>
      </c>
      <c r="E282" s="54" t="s">
        <v>192</v>
      </c>
      <c r="F282" s="55" t="s">
        <v>175</v>
      </c>
      <c r="G282" s="55" t="s">
        <v>280</v>
      </c>
      <c r="H282" s="54" t="s">
        <v>281</v>
      </c>
      <c r="I282" s="53" t="s">
        <v>282</v>
      </c>
      <c r="J282" s="54" t="s">
        <v>283</v>
      </c>
      <c r="K282" s="0" t="n">
        <v>96</v>
      </c>
      <c r="L282" s="0" t="n">
        <v>32</v>
      </c>
      <c r="M282" s="0" t="n">
        <v>10</v>
      </c>
      <c r="N282" s="0" t="n">
        <v>3082</v>
      </c>
      <c r="P282" s="0" t="n">
        <v>0</v>
      </c>
      <c r="Q282" s="0" t="n">
        <v>176</v>
      </c>
      <c r="R282" s="54" t="s">
        <v>180</v>
      </c>
      <c r="S282" s="0" t="n">
        <v>0.08</v>
      </c>
      <c r="U282" s="31" t="n">
        <f aca="false">IF($B282='設定（最初に1回）'!$C$4,N(U281)+1,N(U281))</f>
        <v>134</v>
      </c>
    </row>
    <row r="283" customFormat="false" ht="15" hidden="false" customHeight="false" outlineLevel="0" collapsed="false">
      <c r="A283" s="0" t="n">
        <v>20260501</v>
      </c>
      <c r="B283" s="53" t="s">
        <v>490</v>
      </c>
      <c r="C283" s="54" t="s">
        <v>491</v>
      </c>
      <c r="D283" s="55" t="s">
        <v>191</v>
      </c>
      <c r="E283" s="54" t="s">
        <v>192</v>
      </c>
      <c r="F283" s="55" t="s">
        <v>175</v>
      </c>
      <c r="G283" s="55" t="s">
        <v>280</v>
      </c>
      <c r="H283" s="54" t="s">
        <v>281</v>
      </c>
      <c r="I283" s="53" t="s">
        <v>284</v>
      </c>
      <c r="J283" s="54" t="s">
        <v>285</v>
      </c>
      <c r="K283" s="0" t="n">
        <v>96</v>
      </c>
      <c r="L283" s="0" t="n">
        <v>2</v>
      </c>
      <c r="M283" s="0" t="n">
        <v>2</v>
      </c>
      <c r="N283" s="0" t="n">
        <v>194</v>
      </c>
      <c r="P283" s="0" t="n">
        <v>0</v>
      </c>
      <c r="Q283" s="0" t="n">
        <v>242</v>
      </c>
      <c r="R283" s="54" t="s">
        <v>180</v>
      </c>
      <c r="S283" s="0" t="n">
        <v>0.08</v>
      </c>
      <c r="U283" s="31" t="n">
        <f aca="false">IF($B283='設定（最初に1回）'!$C$4,N(U282)+1,N(U282))</f>
        <v>134</v>
      </c>
    </row>
    <row r="284" customFormat="false" ht="15" hidden="false" customHeight="false" outlineLevel="0" collapsed="false">
      <c r="A284" s="0" t="n">
        <v>20260501</v>
      </c>
      <c r="B284" s="53" t="s">
        <v>490</v>
      </c>
      <c r="C284" s="54" t="s">
        <v>491</v>
      </c>
      <c r="D284" s="55" t="s">
        <v>191</v>
      </c>
      <c r="E284" s="54" t="s">
        <v>192</v>
      </c>
      <c r="F284" s="55" t="s">
        <v>175</v>
      </c>
      <c r="G284" s="55" t="s">
        <v>280</v>
      </c>
      <c r="H284" s="54" t="s">
        <v>281</v>
      </c>
      <c r="I284" s="53" t="s">
        <v>286</v>
      </c>
      <c r="J284" s="54" t="s">
        <v>287</v>
      </c>
      <c r="K284" s="0" t="n">
        <v>96</v>
      </c>
      <c r="L284" s="0" t="n">
        <v>20</v>
      </c>
      <c r="M284" s="0" t="n">
        <v>6</v>
      </c>
      <c r="N284" s="0" t="n">
        <v>1926</v>
      </c>
      <c r="P284" s="0" t="n">
        <v>0</v>
      </c>
      <c r="Q284" s="0" t="n">
        <v>239</v>
      </c>
      <c r="R284" s="54" t="s">
        <v>180</v>
      </c>
      <c r="S284" s="0" t="n">
        <v>0.08</v>
      </c>
      <c r="U284" s="31" t="n">
        <f aca="false">IF($B284='設定（最初に1回）'!$C$4,N(U283)+1,N(U283))</f>
        <v>134</v>
      </c>
    </row>
    <row r="285" customFormat="false" ht="15" hidden="false" customHeight="false" outlineLevel="0" collapsed="false">
      <c r="A285" s="0" t="n">
        <v>20260501</v>
      </c>
      <c r="B285" s="53" t="s">
        <v>490</v>
      </c>
      <c r="C285" s="54" t="s">
        <v>491</v>
      </c>
      <c r="D285" s="55" t="s">
        <v>191</v>
      </c>
      <c r="E285" s="54" t="s">
        <v>192</v>
      </c>
      <c r="F285" s="55" t="s">
        <v>175</v>
      </c>
      <c r="G285" s="55" t="s">
        <v>280</v>
      </c>
      <c r="H285" s="54" t="s">
        <v>281</v>
      </c>
      <c r="I285" s="53" t="s">
        <v>288</v>
      </c>
      <c r="J285" s="54" t="s">
        <v>289</v>
      </c>
      <c r="K285" s="0" t="n">
        <v>96</v>
      </c>
      <c r="L285" s="0" t="n">
        <v>10</v>
      </c>
      <c r="M285" s="0" t="n">
        <v>6</v>
      </c>
      <c r="N285" s="0" t="n">
        <v>966</v>
      </c>
      <c r="P285" s="0" t="n">
        <v>0</v>
      </c>
      <c r="Q285" s="0" t="n">
        <v>244</v>
      </c>
      <c r="R285" s="54" t="s">
        <v>180</v>
      </c>
      <c r="S285" s="0" t="n">
        <v>0.08</v>
      </c>
      <c r="U285" s="31" t="n">
        <f aca="false">IF($B285='設定（最初に1回）'!$C$4,N(U284)+1,N(U284))</f>
        <v>134</v>
      </c>
    </row>
    <row r="286" customFormat="false" ht="15" hidden="false" customHeight="false" outlineLevel="0" collapsed="false">
      <c r="A286" s="0" t="n">
        <v>20260501</v>
      </c>
      <c r="B286" s="53" t="s">
        <v>490</v>
      </c>
      <c r="C286" s="54" t="s">
        <v>491</v>
      </c>
      <c r="D286" s="55" t="s">
        <v>191</v>
      </c>
      <c r="E286" s="54" t="s">
        <v>192</v>
      </c>
      <c r="F286" s="55" t="s">
        <v>175</v>
      </c>
      <c r="G286" s="55" t="s">
        <v>290</v>
      </c>
      <c r="H286" s="54" t="s">
        <v>291</v>
      </c>
      <c r="I286" s="53" t="s">
        <v>292</v>
      </c>
      <c r="J286" s="54" t="s">
        <v>293</v>
      </c>
      <c r="K286" s="0" t="n">
        <v>1</v>
      </c>
      <c r="L286" s="0" t="n">
        <v>2</v>
      </c>
      <c r="M286" s="0" t="n">
        <v>0</v>
      </c>
      <c r="N286" s="0" t="n">
        <v>2</v>
      </c>
      <c r="P286" s="0" t="n">
        <v>0</v>
      </c>
      <c r="Q286" s="0" t="n">
        <v>1755</v>
      </c>
      <c r="R286" s="54" t="s">
        <v>180</v>
      </c>
      <c r="S286" s="0" t="n">
        <v>0.08</v>
      </c>
      <c r="U286" s="31" t="n">
        <f aca="false">IF($B286='設定（最初に1回）'!$C$4,N(U285)+1,N(U285))</f>
        <v>134</v>
      </c>
    </row>
    <row r="287" customFormat="false" ht="15" hidden="false" customHeight="false" outlineLevel="0" collapsed="false">
      <c r="A287" s="0" t="n">
        <v>20260501</v>
      </c>
      <c r="B287" s="53" t="s">
        <v>490</v>
      </c>
      <c r="C287" s="54" t="s">
        <v>491</v>
      </c>
      <c r="D287" s="55" t="s">
        <v>191</v>
      </c>
      <c r="E287" s="54" t="s">
        <v>192</v>
      </c>
      <c r="F287" s="55" t="s">
        <v>175</v>
      </c>
      <c r="G287" s="55" t="s">
        <v>290</v>
      </c>
      <c r="H287" s="54" t="s">
        <v>291</v>
      </c>
      <c r="I287" s="53" t="s">
        <v>294</v>
      </c>
      <c r="J287" s="54" t="s">
        <v>295</v>
      </c>
      <c r="K287" s="0" t="n">
        <v>40</v>
      </c>
      <c r="L287" s="0" t="n">
        <v>8</v>
      </c>
      <c r="M287" s="0" t="n">
        <v>29</v>
      </c>
      <c r="N287" s="0" t="n">
        <v>349</v>
      </c>
      <c r="P287" s="0" t="n">
        <v>0</v>
      </c>
      <c r="Q287" s="0" t="n">
        <v>96.25</v>
      </c>
      <c r="R287" s="54" t="s">
        <v>180</v>
      </c>
      <c r="S287" s="0" t="n">
        <v>0.08</v>
      </c>
      <c r="U287" s="31" t="n">
        <f aca="false">IF($B287='設定（最初に1回）'!$C$4,N(U286)+1,N(U286))</f>
        <v>134</v>
      </c>
    </row>
    <row r="288" customFormat="false" ht="15" hidden="false" customHeight="false" outlineLevel="0" collapsed="false">
      <c r="A288" s="0" t="n">
        <v>20260501</v>
      </c>
      <c r="B288" s="53" t="s">
        <v>490</v>
      </c>
      <c r="C288" s="54" t="s">
        <v>491</v>
      </c>
      <c r="D288" s="55" t="s">
        <v>191</v>
      </c>
      <c r="E288" s="54" t="s">
        <v>192</v>
      </c>
      <c r="F288" s="55" t="s">
        <v>175</v>
      </c>
      <c r="G288" s="55" t="s">
        <v>290</v>
      </c>
      <c r="H288" s="54" t="s">
        <v>291</v>
      </c>
      <c r="I288" s="53" t="s">
        <v>296</v>
      </c>
      <c r="J288" s="54" t="s">
        <v>297</v>
      </c>
      <c r="K288" s="0" t="n">
        <v>96</v>
      </c>
      <c r="L288" s="0" t="n">
        <v>-1</v>
      </c>
      <c r="M288" s="0" t="n">
        <v>38</v>
      </c>
      <c r="N288" s="0" t="n">
        <v>-58</v>
      </c>
      <c r="P288" s="0" t="n">
        <v>0</v>
      </c>
      <c r="Q288" s="0" t="n">
        <v>164</v>
      </c>
      <c r="R288" s="54" t="s">
        <v>180</v>
      </c>
      <c r="S288" s="0" t="n">
        <v>0.08</v>
      </c>
      <c r="U288" s="31" t="n">
        <f aca="false">IF($B288='設定（最初に1回）'!$C$4,N(U287)+1,N(U287))</f>
        <v>134</v>
      </c>
    </row>
    <row r="289" customFormat="false" ht="15" hidden="false" customHeight="false" outlineLevel="0" collapsed="false">
      <c r="A289" s="0" t="n">
        <v>20260501</v>
      </c>
      <c r="B289" s="53" t="s">
        <v>490</v>
      </c>
      <c r="C289" s="54" t="s">
        <v>491</v>
      </c>
      <c r="D289" s="55" t="s">
        <v>191</v>
      </c>
      <c r="E289" s="54" t="s">
        <v>192</v>
      </c>
      <c r="F289" s="55" t="s">
        <v>175</v>
      </c>
      <c r="G289" s="55" t="s">
        <v>298</v>
      </c>
      <c r="H289" s="54" t="s">
        <v>299</v>
      </c>
      <c r="I289" s="53" t="s">
        <v>300</v>
      </c>
      <c r="J289" s="54" t="s">
        <v>301</v>
      </c>
      <c r="K289" s="0" t="n">
        <v>100</v>
      </c>
      <c r="L289" s="0" t="n">
        <v>10</v>
      </c>
      <c r="M289" s="0" t="n">
        <v>20</v>
      </c>
      <c r="N289" s="0" t="n">
        <v>1020</v>
      </c>
      <c r="P289" s="0" t="n">
        <v>0</v>
      </c>
      <c r="Q289" s="0" t="n">
        <v>109</v>
      </c>
      <c r="R289" s="54" t="s">
        <v>180</v>
      </c>
      <c r="S289" s="0" t="n">
        <v>0.08</v>
      </c>
      <c r="U289" s="31" t="n">
        <f aca="false">IF($B289='設定（最初に1回）'!$C$4,N(U288)+1,N(U288))</f>
        <v>134</v>
      </c>
    </row>
    <row r="290" customFormat="false" ht="15" hidden="false" customHeight="false" outlineLevel="0" collapsed="false">
      <c r="A290" s="0" t="n">
        <v>20260501</v>
      </c>
      <c r="B290" s="53" t="s">
        <v>490</v>
      </c>
      <c r="C290" s="54" t="s">
        <v>491</v>
      </c>
      <c r="D290" s="55" t="s">
        <v>191</v>
      </c>
      <c r="E290" s="54" t="s">
        <v>192</v>
      </c>
      <c r="F290" s="55" t="s">
        <v>175</v>
      </c>
      <c r="G290" s="55" t="s">
        <v>298</v>
      </c>
      <c r="H290" s="54" t="s">
        <v>299</v>
      </c>
      <c r="I290" s="53" t="s">
        <v>302</v>
      </c>
      <c r="J290" s="54" t="s">
        <v>303</v>
      </c>
      <c r="K290" s="0" t="n">
        <v>100</v>
      </c>
      <c r="L290" s="0" t="n">
        <v>33</v>
      </c>
      <c r="M290" s="0" t="n">
        <v>39</v>
      </c>
      <c r="N290" s="0" t="n">
        <v>3339</v>
      </c>
      <c r="P290" s="0" t="n">
        <v>0</v>
      </c>
      <c r="Q290" s="0" t="n">
        <v>107</v>
      </c>
      <c r="R290" s="54" t="s">
        <v>180</v>
      </c>
      <c r="S290" s="0" t="n">
        <v>0.08</v>
      </c>
      <c r="U290" s="31" t="n">
        <f aca="false">IF($B290='設定（最初に1回）'!$C$4,N(U289)+1,N(U289))</f>
        <v>134</v>
      </c>
    </row>
    <row r="291" customFormat="false" ht="15" hidden="false" customHeight="false" outlineLevel="0" collapsed="false">
      <c r="A291" s="0" t="n">
        <v>20260501</v>
      </c>
      <c r="B291" s="53" t="s">
        <v>490</v>
      </c>
      <c r="C291" s="54" t="s">
        <v>491</v>
      </c>
      <c r="D291" s="55" t="s">
        <v>191</v>
      </c>
      <c r="E291" s="54" t="s">
        <v>192</v>
      </c>
      <c r="F291" s="55" t="s">
        <v>175</v>
      </c>
      <c r="G291" s="55" t="s">
        <v>298</v>
      </c>
      <c r="H291" s="54" t="s">
        <v>299</v>
      </c>
      <c r="I291" s="53" t="s">
        <v>304</v>
      </c>
      <c r="J291" s="54" t="s">
        <v>305</v>
      </c>
      <c r="K291" s="0" t="n">
        <v>1</v>
      </c>
      <c r="L291" s="0" t="n">
        <v>24</v>
      </c>
      <c r="M291" s="0" t="n">
        <v>0</v>
      </c>
      <c r="N291" s="0" t="n">
        <v>24</v>
      </c>
      <c r="P291" s="0" t="n">
        <v>0</v>
      </c>
      <c r="Q291" s="0" t="n">
        <v>1181</v>
      </c>
      <c r="R291" s="54" t="s">
        <v>180</v>
      </c>
      <c r="S291" s="0" t="n">
        <v>0.08</v>
      </c>
      <c r="U291" s="31" t="n">
        <f aca="false">IF($B291='設定（最初に1回）'!$C$4,N(U290)+1,N(U290))</f>
        <v>134</v>
      </c>
    </row>
    <row r="292" customFormat="false" ht="15" hidden="false" customHeight="false" outlineLevel="0" collapsed="false">
      <c r="A292" s="0" t="n">
        <v>20260501</v>
      </c>
      <c r="B292" s="53" t="s">
        <v>490</v>
      </c>
      <c r="C292" s="54" t="s">
        <v>491</v>
      </c>
      <c r="D292" s="55" t="s">
        <v>191</v>
      </c>
      <c r="E292" s="54" t="s">
        <v>192</v>
      </c>
      <c r="F292" s="55" t="s">
        <v>175</v>
      </c>
      <c r="G292" s="55" t="s">
        <v>298</v>
      </c>
      <c r="H292" s="54" t="s">
        <v>299</v>
      </c>
      <c r="I292" s="53" t="s">
        <v>306</v>
      </c>
      <c r="J292" s="54" t="s">
        <v>307</v>
      </c>
      <c r="K292" s="0" t="n">
        <v>1</v>
      </c>
      <c r="L292" s="0" t="n">
        <v>48</v>
      </c>
      <c r="M292" s="0" t="n">
        <v>0</v>
      </c>
      <c r="N292" s="0" t="n">
        <v>48</v>
      </c>
      <c r="P292" s="0" t="n">
        <v>0</v>
      </c>
      <c r="Q292" s="0" t="n">
        <v>1181</v>
      </c>
      <c r="R292" s="54" t="s">
        <v>180</v>
      </c>
      <c r="S292" s="0" t="n">
        <v>0.08</v>
      </c>
      <c r="U292" s="31" t="n">
        <f aca="false">IF($B292='設定（最初に1回）'!$C$4,N(U291)+1,N(U291))</f>
        <v>134</v>
      </c>
    </row>
    <row r="293" customFormat="false" ht="15" hidden="false" customHeight="false" outlineLevel="0" collapsed="false">
      <c r="A293" s="0" t="n">
        <v>20260501</v>
      </c>
      <c r="B293" s="53" t="s">
        <v>490</v>
      </c>
      <c r="C293" s="54" t="s">
        <v>491</v>
      </c>
      <c r="D293" s="55" t="s">
        <v>191</v>
      </c>
      <c r="E293" s="54" t="s">
        <v>192</v>
      </c>
      <c r="F293" s="55" t="s">
        <v>175</v>
      </c>
      <c r="G293" s="55" t="s">
        <v>298</v>
      </c>
      <c r="H293" s="54" t="s">
        <v>299</v>
      </c>
      <c r="I293" s="53" t="s">
        <v>308</v>
      </c>
      <c r="J293" s="54" t="s">
        <v>309</v>
      </c>
      <c r="K293" s="0" t="n">
        <v>1</v>
      </c>
      <c r="L293" s="0" t="n">
        <v>1</v>
      </c>
      <c r="M293" s="0" t="n">
        <v>0</v>
      </c>
      <c r="N293" s="0" t="n">
        <v>1</v>
      </c>
      <c r="P293" s="0" t="n">
        <v>0</v>
      </c>
      <c r="Q293" s="0" t="n">
        <v>1181</v>
      </c>
      <c r="R293" s="54" t="s">
        <v>180</v>
      </c>
      <c r="S293" s="0" t="n">
        <v>0.08</v>
      </c>
      <c r="U293" s="31" t="n">
        <f aca="false">IF($B293='設定（最初に1回）'!$C$4,N(U292)+1,N(U292))</f>
        <v>134</v>
      </c>
    </row>
    <row r="294" customFormat="false" ht="15" hidden="false" customHeight="false" outlineLevel="0" collapsed="false">
      <c r="A294" s="0" t="n">
        <v>20260501</v>
      </c>
      <c r="B294" s="53" t="s">
        <v>490</v>
      </c>
      <c r="C294" s="54" t="s">
        <v>491</v>
      </c>
      <c r="D294" s="55" t="s">
        <v>191</v>
      </c>
      <c r="E294" s="54" t="s">
        <v>192</v>
      </c>
      <c r="F294" s="55" t="s">
        <v>175</v>
      </c>
      <c r="G294" s="55" t="s">
        <v>298</v>
      </c>
      <c r="H294" s="54" t="s">
        <v>299</v>
      </c>
      <c r="I294" s="53" t="s">
        <v>310</v>
      </c>
      <c r="J294" s="54" t="s">
        <v>311</v>
      </c>
      <c r="K294" s="0" t="n">
        <v>1</v>
      </c>
      <c r="L294" s="0" t="n">
        <v>9</v>
      </c>
      <c r="M294" s="0" t="n">
        <v>0</v>
      </c>
      <c r="N294" s="0" t="n">
        <v>9</v>
      </c>
      <c r="P294" s="0" t="n">
        <v>0</v>
      </c>
      <c r="Q294" s="0" t="n">
        <v>1181</v>
      </c>
      <c r="R294" s="54" t="s">
        <v>180</v>
      </c>
      <c r="S294" s="0" t="n">
        <v>0.08</v>
      </c>
      <c r="U294" s="31" t="n">
        <f aca="false">IF($B294='設定（最初に1回）'!$C$4,N(U293)+1,N(U293))</f>
        <v>134</v>
      </c>
    </row>
    <row r="295" customFormat="false" ht="15" hidden="false" customHeight="false" outlineLevel="0" collapsed="false">
      <c r="A295" s="0" t="n">
        <v>20260501</v>
      </c>
      <c r="B295" s="53" t="s">
        <v>490</v>
      </c>
      <c r="C295" s="54" t="s">
        <v>491</v>
      </c>
      <c r="D295" s="55" t="s">
        <v>191</v>
      </c>
      <c r="E295" s="54" t="s">
        <v>192</v>
      </c>
      <c r="F295" s="55" t="s">
        <v>175</v>
      </c>
      <c r="G295" s="55" t="s">
        <v>298</v>
      </c>
      <c r="H295" s="54" t="s">
        <v>299</v>
      </c>
      <c r="I295" s="53" t="s">
        <v>312</v>
      </c>
      <c r="J295" s="54" t="s">
        <v>313</v>
      </c>
      <c r="K295" s="0" t="n">
        <v>1</v>
      </c>
      <c r="L295" s="0" t="n">
        <v>111</v>
      </c>
      <c r="M295" s="0" t="n">
        <v>0</v>
      </c>
      <c r="N295" s="0" t="n">
        <v>111</v>
      </c>
      <c r="P295" s="0" t="n">
        <v>0</v>
      </c>
      <c r="Q295" s="0" t="n">
        <v>1181</v>
      </c>
      <c r="R295" s="54" t="s">
        <v>180</v>
      </c>
      <c r="S295" s="0" t="n">
        <v>0.08</v>
      </c>
      <c r="U295" s="31" t="n">
        <f aca="false">IF($B295='設定（最初に1回）'!$C$4,N(U294)+1,N(U294))</f>
        <v>134</v>
      </c>
    </row>
    <row r="296" customFormat="false" ht="15" hidden="false" customHeight="false" outlineLevel="0" collapsed="false">
      <c r="A296" s="0" t="n">
        <v>20260501</v>
      </c>
      <c r="B296" s="53" t="s">
        <v>490</v>
      </c>
      <c r="C296" s="54" t="s">
        <v>491</v>
      </c>
      <c r="D296" s="55" t="s">
        <v>191</v>
      </c>
      <c r="E296" s="54" t="s">
        <v>192</v>
      </c>
      <c r="F296" s="55" t="s">
        <v>175</v>
      </c>
      <c r="G296" s="55" t="s">
        <v>298</v>
      </c>
      <c r="H296" s="54" t="s">
        <v>299</v>
      </c>
      <c r="I296" s="53" t="s">
        <v>314</v>
      </c>
      <c r="J296" s="54" t="s">
        <v>315</v>
      </c>
      <c r="K296" s="0" t="n">
        <v>1</v>
      </c>
      <c r="L296" s="0" t="n">
        <v>2</v>
      </c>
      <c r="M296" s="0" t="n">
        <v>0</v>
      </c>
      <c r="N296" s="0" t="n">
        <v>2</v>
      </c>
      <c r="P296" s="0" t="n">
        <v>0</v>
      </c>
      <c r="Q296" s="0" t="n">
        <v>1181</v>
      </c>
      <c r="R296" s="54" t="s">
        <v>180</v>
      </c>
      <c r="S296" s="0" t="n">
        <v>0.08</v>
      </c>
      <c r="U296" s="31" t="n">
        <f aca="false">IF($B296='設定（最初に1回）'!$C$4,N(U295)+1,N(U295))</f>
        <v>134</v>
      </c>
    </row>
    <row r="297" customFormat="false" ht="15" hidden="false" customHeight="false" outlineLevel="0" collapsed="false">
      <c r="A297" s="0" t="n">
        <v>20260501</v>
      </c>
      <c r="B297" s="53" t="s">
        <v>490</v>
      </c>
      <c r="C297" s="54" t="s">
        <v>491</v>
      </c>
      <c r="D297" s="55" t="s">
        <v>191</v>
      </c>
      <c r="E297" s="54" t="s">
        <v>192</v>
      </c>
      <c r="F297" s="55" t="s">
        <v>175</v>
      </c>
      <c r="G297" s="55" t="s">
        <v>298</v>
      </c>
      <c r="H297" s="54" t="s">
        <v>299</v>
      </c>
      <c r="I297" s="53" t="s">
        <v>316</v>
      </c>
      <c r="J297" s="54" t="s">
        <v>317</v>
      </c>
      <c r="K297" s="0" t="n">
        <v>1</v>
      </c>
      <c r="L297" s="0" t="n">
        <v>6</v>
      </c>
      <c r="M297" s="0" t="n">
        <v>0</v>
      </c>
      <c r="N297" s="0" t="n">
        <v>6</v>
      </c>
      <c r="P297" s="0" t="n">
        <v>0</v>
      </c>
      <c r="Q297" s="0" t="n">
        <v>1181</v>
      </c>
      <c r="R297" s="54" t="s">
        <v>180</v>
      </c>
      <c r="S297" s="0" t="n">
        <v>0.08</v>
      </c>
      <c r="U297" s="31" t="n">
        <f aca="false">IF($B297='設定（最初に1回）'!$C$4,N(U296)+1,N(U296))</f>
        <v>134</v>
      </c>
    </row>
    <row r="298" customFormat="false" ht="15" hidden="false" customHeight="false" outlineLevel="0" collapsed="false">
      <c r="A298" s="0" t="n">
        <v>20260501</v>
      </c>
      <c r="B298" s="53" t="s">
        <v>490</v>
      </c>
      <c r="C298" s="54" t="s">
        <v>491</v>
      </c>
      <c r="D298" s="55" t="s">
        <v>191</v>
      </c>
      <c r="E298" s="54" t="s">
        <v>192</v>
      </c>
      <c r="F298" s="55" t="s">
        <v>175</v>
      </c>
      <c r="G298" s="55" t="s">
        <v>298</v>
      </c>
      <c r="H298" s="54" t="s">
        <v>299</v>
      </c>
      <c r="I298" s="53" t="s">
        <v>318</v>
      </c>
      <c r="J298" s="54" t="s">
        <v>319</v>
      </c>
      <c r="K298" s="0" t="n">
        <v>1</v>
      </c>
      <c r="L298" s="0" t="n">
        <v>237</v>
      </c>
      <c r="M298" s="0" t="n">
        <v>0</v>
      </c>
      <c r="N298" s="0" t="n">
        <v>237</v>
      </c>
      <c r="P298" s="0" t="n">
        <v>0</v>
      </c>
      <c r="Q298" s="0" t="n">
        <v>730</v>
      </c>
      <c r="R298" s="54" t="s">
        <v>180</v>
      </c>
      <c r="S298" s="0" t="n">
        <v>0.08</v>
      </c>
      <c r="U298" s="31" t="n">
        <f aca="false">IF($B298='設定（最初に1回）'!$C$4,N(U297)+1,N(U297))</f>
        <v>134</v>
      </c>
    </row>
    <row r="299" customFormat="false" ht="15" hidden="false" customHeight="false" outlineLevel="0" collapsed="false">
      <c r="A299" s="0" t="n">
        <v>20260501</v>
      </c>
      <c r="B299" s="53" t="s">
        <v>490</v>
      </c>
      <c r="C299" s="54" t="s">
        <v>491</v>
      </c>
      <c r="D299" s="55" t="s">
        <v>191</v>
      </c>
      <c r="E299" s="54" t="s">
        <v>192</v>
      </c>
      <c r="F299" s="55" t="s">
        <v>175</v>
      </c>
      <c r="G299" s="55" t="s">
        <v>298</v>
      </c>
      <c r="H299" s="54" t="s">
        <v>299</v>
      </c>
      <c r="I299" s="53" t="s">
        <v>320</v>
      </c>
      <c r="J299" s="54" t="s">
        <v>321</v>
      </c>
      <c r="K299" s="0" t="n">
        <v>1</v>
      </c>
      <c r="L299" s="0" t="n">
        <v>13</v>
      </c>
      <c r="M299" s="0" t="n">
        <v>0</v>
      </c>
      <c r="N299" s="0" t="n">
        <v>13</v>
      </c>
      <c r="P299" s="0" t="n">
        <v>0</v>
      </c>
      <c r="Q299" s="0" t="n">
        <v>804</v>
      </c>
      <c r="R299" s="54" t="s">
        <v>180</v>
      </c>
      <c r="S299" s="0" t="n">
        <v>0.08</v>
      </c>
      <c r="U299" s="31" t="n">
        <f aca="false">IF($B299='設定（最初に1回）'!$C$4,N(U298)+1,N(U298))</f>
        <v>134</v>
      </c>
    </row>
    <row r="300" customFormat="false" ht="15" hidden="false" customHeight="false" outlineLevel="0" collapsed="false">
      <c r="A300" s="0" t="n">
        <v>20260501</v>
      </c>
      <c r="B300" s="53" t="s">
        <v>490</v>
      </c>
      <c r="C300" s="54" t="s">
        <v>491</v>
      </c>
      <c r="D300" s="55" t="s">
        <v>191</v>
      </c>
      <c r="E300" s="54" t="s">
        <v>192</v>
      </c>
      <c r="F300" s="55" t="s">
        <v>175</v>
      </c>
      <c r="G300" s="55" t="s">
        <v>298</v>
      </c>
      <c r="H300" s="54" t="s">
        <v>299</v>
      </c>
      <c r="I300" s="53" t="s">
        <v>322</v>
      </c>
      <c r="J300" s="54" t="s">
        <v>323</v>
      </c>
      <c r="K300" s="0" t="n">
        <v>1</v>
      </c>
      <c r="L300" s="0" t="n">
        <v>23</v>
      </c>
      <c r="M300" s="0" t="n">
        <v>0</v>
      </c>
      <c r="N300" s="0" t="n">
        <v>23</v>
      </c>
      <c r="P300" s="0" t="n">
        <v>0</v>
      </c>
      <c r="Q300" s="0" t="n">
        <v>1181</v>
      </c>
      <c r="R300" s="54" t="s">
        <v>180</v>
      </c>
      <c r="S300" s="0" t="n">
        <v>0.08</v>
      </c>
      <c r="U300" s="31" t="n">
        <f aca="false">IF($B300='設定（最初に1回）'!$C$4,N(U299)+1,N(U299))</f>
        <v>134</v>
      </c>
    </row>
    <row r="301" customFormat="false" ht="15" hidden="false" customHeight="false" outlineLevel="0" collapsed="false">
      <c r="A301" s="0" t="n">
        <v>20260501</v>
      </c>
      <c r="B301" s="53" t="s">
        <v>490</v>
      </c>
      <c r="C301" s="54" t="s">
        <v>491</v>
      </c>
      <c r="D301" s="55" t="s">
        <v>191</v>
      </c>
      <c r="E301" s="54" t="s">
        <v>192</v>
      </c>
      <c r="F301" s="55" t="s">
        <v>175</v>
      </c>
      <c r="G301" s="55" t="s">
        <v>324</v>
      </c>
      <c r="H301" s="54" t="s">
        <v>325</v>
      </c>
      <c r="I301" s="53" t="s">
        <v>326</v>
      </c>
      <c r="J301" s="54" t="s">
        <v>327</v>
      </c>
      <c r="K301" s="0" t="n">
        <v>120</v>
      </c>
      <c r="L301" s="0" t="n">
        <v>3</v>
      </c>
      <c r="M301" s="0" t="n">
        <v>80</v>
      </c>
      <c r="N301" s="0" t="n">
        <v>440</v>
      </c>
      <c r="P301" s="0" t="n">
        <v>0</v>
      </c>
      <c r="Q301" s="0" t="n">
        <v>174</v>
      </c>
      <c r="R301" s="54" t="s">
        <v>180</v>
      </c>
      <c r="S301" s="0" t="n">
        <v>0.08</v>
      </c>
      <c r="U301" s="31" t="n">
        <f aca="false">IF($B301='設定（最初に1回）'!$C$4,N(U300)+1,N(U300))</f>
        <v>134</v>
      </c>
    </row>
    <row r="302" customFormat="false" ht="15" hidden="false" customHeight="false" outlineLevel="0" collapsed="false">
      <c r="A302" s="0" t="n">
        <v>20260501</v>
      </c>
      <c r="B302" s="53" t="s">
        <v>490</v>
      </c>
      <c r="C302" s="54" t="s">
        <v>491</v>
      </c>
      <c r="D302" s="55" t="s">
        <v>191</v>
      </c>
      <c r="E302" s="54" t="s">
        <v>192</v>
      </c>
      <c r="F302" s="55" t="s">
        <v>175</v>
      </c>
      <c r="G302" s="55" t="s">
        <v>324</v>
      </c>
      <c r="H302" s="54" t="s">
        <v>325</v>
      </c>
      <c r="I302" s="53" t="s">
        <v>328</v>
      </c>
      <c r="J302" s="54" t="s">
        <v>329</v>
      </c>
      <c r="K302" s="0" t="n">
        <v>120</v>
      </c>
      <c r="L302" s="0" t="n">
        <v>7</v>
      </c>
      <c r="M302" s="0" t="n">
        <v>31</v>
      </c>
      <c r="N302" s="0" t="n">
        <v>871</v>
      </c>
      <c r="P302" s="0" t="n">
        <v>0</v>
      </c>
      <c r="Q302" s="0" t="n">
        <v>162</v>
      </c>
      <c r="R302" s="54" t="s">
        <v>180</v>
      </c>
      <c r="S302" s="0" t="n">
        <v>0.08</v>
      </c>
      <c r="U302" s="31" t="n">
        <f aca="false">IF($B302='設定（最初に1回）'!$C$4,N(U301)+1,N(U301))</f>
        <v>134</v>
      </c>
    </row>
    <row r="303" customFormat="false" ht="15" hidden="false" customHeight="false" outlineLevel="0" collapsed="false">
      <c r="A303" s="0" t="n">
        <v>20260501</v>
      </c>
      <c r="B303" s="53" t="s">
        <v>490</v>
      </c>
      <c r="C303" s="54" t="s">
        <v>491</v>
      </c>
      <c r="D303" s="55" t="s">
        <v>191</v>
      </c>
      <c r="E303" s="54" t="s">
        <v>192</v>
      </c>
      <c r="F303" s="55" t="s">
        <v>175</v>
      </c>
      <c r="G303" s="55" t="s">
        <v>330</v>
      </c>
      <c r="H303" s="54" t="s">
        <v>331</v>
      </c>
      <c r="I303" s="53" t="s">
        <v>332</v>
      </c>
      <c r="J303" s="54" t="s">
        <v>333</v>
      </c>
      <c r="K303" s="0" t="n">
        <v>1</v>
      </c>
      <c r="L303" s="0" t="n">
        <v>-30</v>
      </c>
      <c r="M303" s="0" t="n">
        <v>0</v>
      </c>
      <c r="N303" s="0" t="n">
        <v>-30</v>
      </c>
      <c r="P303" s="0" t="n">
        <v>0</v>
      </c>
      <c r="Q303" s="0" t="n">
        <v>458</v>
      </c>
      <c r="R303" s="54" t="s">
        <v>180</v>
      </c>
      <c r="S303" s="0" t="n">
        <v>0.08</v>
      </c>
      <c r="U303" s="31" t="n">
        <f aca="false">IF($B303='設定（最初に1回）'!$C$4,N(U302)+1,N(U302))</f>
        <v>134</v>
      </c>
    </row>
    <row r="304" customFormat="false" ht="15" hidden="false" customHeight="false" outlineLevel="0" collapsed="false">
      <c r="A304" s="0" t="n">
        <v>20260501</v>
      </c>
      <c r="B304" s="53" t="s">
        <v>490</v>
      </c>
      <c r="C304" s="54" t="s">
        <v>491</v>
      </c>
      <c r="D304" s="55" t="s">
        <v>191</v>
      </c>
      <c r="E304" s="54" t="s">
        <v>192</v>
      </c>
      <c r="F304" s="55" t="s">
        <v>175</v>
      </c>
      <c r="G304" s="55" t="s">
        <v>330</v>
      </c>
      <c r="H304" s="54" t="s">
        <v>331</v>
      </c>
      <c r="I304" s="53" t="s">
        <v>334</v>
      </c>
      <c r="J304" s="54" t="s">
        <v>335</v>
      </c>
      <c r="K304" s="0" t="n">
        <v>1</v>
      </c>
      <c r="L304" s="0" t="n">
        <v>33</v>
      </c>
      <c r="M304" s="0" t="n">
        <v>0</v>
      </c>
      <c r="N304" s="0" t="n">
        <v>33</v>
      </c>
      <c r="P304" s="0" t="n">
        <v>0</v>
      </c>
      <c r="Q304" s="0" t="n">
        <v>452</v>
      </c>
      <c r="R304" s="54" t="s">
        <v>180</v>
      </c>
      <c r="S304" s="0" t="n">
        <v>0.08</v>
      </c>
      <c r="U304" s="31" t="n">
        <f aca="false">IF($B304='設定（最初に1回）'!$C$4,N(U303)+1,N(U303))</f>
        <v>134</v>
      </c>
    </row>
    <row r="305" customFormat="false" ht="15" hidden="false" customHeight="false" outlineLevel="0" collapsed="false">
      <c r="A305" s="0" t="n">
        <v>20260501</v>
      </c>
      <c r="B305" s="53" t="s">
        <v>490</v>
      </c>
      <c r="C305" s="54" t="s">
        <v>491</v>
      </c>
      <c r="D305" s="55" t="s">
        <v>191</v>
      </c>
      <c r="E305" s="54" t="s">
        <v>192</v>
      </c>
      <c r="F305" s="55" t="s">
        <v>175</v>
      </c>
      <c r="G305" s="55" t="s">
        <v>330</v>
      </c>
      <c r="H305" s="54" t="s">
        <v>331</v>
      </c>
      <c r="I305" s="53" t="s">
        <v>336</v>
      </c>
      <c r="J305" s="54" t="s">
        <v>337</v>
      </c>
      <c r="K305" s="0" t="n">
        <v>1</v>
      </c>
      <c r="L305" s="0" t="n">
        <v>58</v>
      </c>
      <c r="M305" s="0" t="n">
        <v>0</v>
      </c>
      <c r="N305" s="0" t="n">
        <v>58</v>
      </c>
      <c r="P305" s="0" t="n">
        <v>0</v>
      </c>
      <c r="Q305" s="0" t="n">
        <v>371</v>
      </c>
      <c r="R305" s="54" t="s">
        <v>180</v>
      </c>
      <c r="S305" s="0" t="n">
        <v>0.08</v>
      </c>
      <c r="U305" s="31" t="n">
        <f aca="false">IF($B305='設定（最初に1回）'!$C$4,N(U304)+1,N(U304))</f>
        <v>134</v>
      </c>
    </row>
    <row r="306" customFormat="false" ht="15" hidden="false" customHeight="false" outlineLevel="0" collapsed="false">
      <c r="A306" s="0" t="n">
        <v>20260501</v>
      </c>
      <c r="B306" s="53" t="s">
        <v>490</v>
      </c>
      <c r="C306" s="54" t="s">
        <v>491</v>
      </c>
      <c r="D306" s="55" t="s">
        <v>191</v>
      </c>
      <c r="E306" s="54" t="s">
        <v>192</v>
      </c>
      <c r="F306" s="55" t="s">
        <v>175</v>
      </c>
      <c r="G306" s="55" t="s">
        <v>330</v>
      </c>
      <c r="H306" s="54" t="s">
        <v>331</v>
      </c>
      <c r="I306" s="53" t="s">
        <v>338</v>
      </c>
      <c r="J306" s="54" t="s">
        <v>339</v>
      </c>
      <c r="K306" s="0" t="n">
        <v>1</v>
      </c>
      <c r="L306" s="0" t="n">
        <v>83</v>
      </c>
      <c r="M306" s="0" t="n">
        <v>0</v>
      </c>
      <c r="N306" s="0" t="n">
        <v>83</v>
      </c>
      <c r="P306" s="0" t="n">
        <v>0</v>
      </c>
      <c r="Q306" s="0" t="n">
        <v>822</v>
      </c>
      <c r="R306" s="54" t="s">
        <v>180</v>
      </c>
      <c r="S306" s="0" t="n">
        <v>0.08</v>
      </c>
      <c r="U306" s="31" t="n">
        <f aca="false">IF($B306='設定（最初に1回）'!$C$4,N(U305)+1,N(U305))</f>
        <v>134</v>
      </c>
    </row>
    <row r="307" customFormat="false" ht="15" hidden="false" customHeight="false" outlineLevel="0" collapsed="false">
      <c r="A307" s="0" t="n">
        <v>20260501</v>
      </c>
      <c r="B307" s="53" t="s">
        <v>490</v>
      </c>
      <c r="C307" s="54" t="s">
        <v>491</v>
      </c>
      <c r="D307" s="55" t="s">
        <v>191</v>
      </c>
      <c r="E307" s="54" t="s">
        <v>192</v>
      </c>
      <c r="F307" s="55" t="s">
        <v>175</v>
      </c>
      <c r="G307" s="55" t="s">
        <v>340</v>
      </c>
      <c r="H307" s="54" t="s">
        <v>341</v>
      </c>
      <c r="I307" s="53" t="s">
        <v>342</v>
      </c>
      <c r="J307" s="54" t="s">
        <v>343</v>
      </c>
      <c r="K307" s="0" t="n">
        <v>50</v>
      </c>
      <c r="L307" s="0" t="n">
        <v>0</v>
      </c>
      <c r="M307" s="0" t="n">
        <v>6</v>
      </c>
      <c r="N307" s="0" t="n">
        <v>6</v>
      </c>
      <c r="P307" s="0" t="n">
        <v>0</v>
      </c>
      <c r="Q307" s="0" t="n">
        <v>274</v>
      </c>
      <c r="R307" s="54" t="s">
        <v>180</v>
      </c>
      <c r="S307" s="0" t="n">
        <v>0.1</v>
      </c>
      <c r="U307" s="31" t="n">
        <f aca="false">IF($B307='設定（最初に1回）'!$C$4,N(U306)+1,N(U306))</f>
        <v>134</v>
      </c>
    </row>
    <row r="308" customFormat="false" ht="15" hidden="false" customHeight="false" outlineLevel="0" collapsed="false">
      <c r="A308" s="0" t="n">
        <v>20260501</v>
      </c>
      <c r="B308" s="53" t="s">
        <v>490</v>
      </c>
      <c r="C308" s="54" t="s">
        <v>491</v>
      </c>
      <c r="D308" s="55" t="s">
        <v>191</v>
      </c>
      <c r="E308" s="54" t="s">
        <v>192</v>
      </c>
      <c r="F308" s="55" t="s">
        <v>175</v>
      </c>
      <c r="G308" s="55" t="s">
        <v>340</v>
      </c>
      <c r="H308" s="54" t="s">
        <v>341</v>
      </c>
      <c r="I308" s="53" t="s">
        <v>344</v>
      </c>
      <c r="J308" s="54" t="s">
        <v>345</v>
      </c>
      <c r="K308" s="0" t="n">
        <v>50</v>
      </c>
      <c r="L308" s="0" t="n">
        <v>0</v>
      </c>
      <c r="M308" s="0" t="n">
        <v>6</v>
      </c>
      <c r="N308" s="0" t="n">
        <v>6</v>
      </c>
      <c r="P308" s="0" t="n">
        <v>0</v>
      </c>
      <c r="Q308" s="0" t="n">
        <v>393</v>
      </c>
      <c r="R308" s="54" t="s">
        <v>180</v>
      </c>
      <c r="S308" s="0" t="n">
        <v>0.1</v>
      </c>
      <c r="U308" s="31" t="n">
        <f aca="false">IF($B308='設定（最初に1回）'!$C$4,N(U307)+1,N(U307))</f>
        <v>134</v>
      </c>
    </row>
    <row r="309" customFormat="false" ht="15" hidden="false" customHeight="false" outlineLevel="0" collapsed="false">
      <c r="A309" s="0" t="n">
        <v>20260501</v>
      </c>
      <c r="B309" s="53" t="s">
        <v>490</v>
      </c>
      <c r="C309" s="54" t="s">
        <v>491</v>
      </c>
      <c r="D309" s="55" t="s">
        <v>173</v>
      </c>
      <c r="E309" s="54" t="s">
        <v>174</v>
      </c>
      <c r="F309" s="55" t="s">
        <v>175</v>
      </c>
      <c r="G309" s="55" t="s">
        <v>176</v>
      </c>
      <c r="H309" s="54" t="s">
        <v>177</v>
      </c>
      <c r="I309" s="53" t="s">
        <v>492</v>
      </c>
      <c r="J309" s="54" t="s">
        <v>483</v>
      </c>
      <c r="K309" s="0" t="n">
        <v>1</v>
      </c>
      <c r="L309" s="0" t="n">
        <v>40</v>
      </c>
      <c r="M309" s="0" t="n">
        <v>0</v>
      </c>
      <c r="N309" s="0" t="n">
        <v>40</v>
      </c>
      <c r="P309" s="0" t="n">
        <v>0</v>
      </c>
      <c r="Q309" s="0" t="n">
        <v>118</v>
      </c>
      <c r="R309" s="54" t="s">
        <v>180</v>
      </c>
      <c r="S309" s="0" t="n">
        <v>0.1</v>
      </c>
      <c r="U309" s="31" t="n">
        <f aca="false">IF($B309='設定（最初に1回）'!$C$4,N(U308)+1,N(U308))</f>
        <v>134</v>
      </c>
    </row>
    <row r="310" customFormat="false" ht="15" hidden="false" customHeight="false" outlineLevel="0" collapsed="false">
      <c r="A310" s="0" t="n">
        <v>20260501</v>
      </c>
      <c r="B310" s="53" t="s">
        <v>490</v>
      </c>
      <c r="C310" s="54" t="s">
        <v>491</v>
      </c>
      <c r="D310" s="55" t="s">
        <v>173</v>
      </c>
      <c r="E310" s="54" t="s">
        <v>174</v>
      </c>
      <c r="F310" s="55" t="s">
        <v>175</v>
      </c>
      <c r="G310" s="55" t="s">
        <v>176</v>
      </c>
      <c r="H310" s="54" t="s">
        <v>177</v>
      </c>
      <c r="I310" s="53" t="s">
        <v>493</v>
      </c>
      <c r="J310" s="54" t="s">
        <v>485</v>
      </c>
      <c r="K310" s="0" t="n">
        <v>1</v>
      </c>
      <c r="L310" s="0" t="n">
        <v>65</v>
      </c>
      <c r="M310" s="0" t="n">
        <v>0</v>
      </c>
      <c r="N310" s="0" t="n">
        <v>65</v>
      </c>
      <c r="P310" s="0" t="n">
        <v>0</v>
      </c>
      <c r="Q310" s="0" t="n">
        <v>118</v>
      </c>
      <c r="R310" s="54" t="s">
        <v>180</v>
      </c>
      <c r="S310" s="0" t="n">
        <v>0.1</v>
      </c>
      <c r="U310" s="31" t="n">
        <f aca="false">IF($B310='設定（最初に1回）'!$C$4,N(U309)+1,N(U309))</f>
        <v>134</v>
      </c>
    </row>
    <row r="311" customFormat="false" ht="15" hidden="false" customHeight="false" outlineLevel="0" collapsed="false">
      <c r="B311" s="53"/>
      <c r="I311" s="53"/>
      <c r="U311" s="31" t="n">
        <f aca="false">IF($B311='設定（最初に1回）'!$C$4,N(U310)+1,N(U310))</f>
        <v>134</v>
      </c>
    </row>
    <row r="312" customFormat="false" ht="15" hidden="false" customHeight="false" outlineLevel="0" collapsed="false">
      <c r="B312" s="53"/>
      <c r="I312" s="53"/>
      <c r="U312" s="31" t="n">
        <f aca="false">IF($B312='設定（最初に1回）'!$C$4,N(U311)+1,N(U311))</f>
        <v>134</v>
      </c>
    </row>
    <row r="313" customFormat="false" ht="15" hidden="false" customHeight="false" outlineLevel="0" collapsed="false">
      <c r="B313" s="53"/>
      <c r="I313" s="53"/>
      <c r="U313" s="31" t="n">
        <f aca="false">IF($B313='設定（最初に1回）'!$C$4,N(U312)+1,N(U312))</f>
        <v>134</v>
      </c>
    </row>
    <row r="314" customFormat="false" ht="15" hidden="false" customHeight="false" outlineLevel="0" collapsed="false">
      <c r="B314" s="53"/>
      <c r="I314" s="53"/>
      <c r="U314" s="31" t="n">
        <f aca="false">IF($B314='設定（最初に1回）'!$C$4,N(U313)+1,N(U313))</f>
        <v>134</v>
      </c>
    </row>
    <row r="315" customFormat="false" ht="15" hidden="false" customHeight="false" outlineLevel="0" collapsed="false">
      <c r="B315" s="53"/>
      <c r="I315" s="53"/>
      <c r="U315" s="31" t="n">
        <f aca="false">IF($B315='設定（最初に1回）'!$C$4,N(U314)+1,N(U314))</f>
        <v>134</v>
      </c>
    </row>
    <row r="316" customFormat="false" ht="15" hidden="false" customHeight="false" outlineLevel="0" collapsed="false">
      <c r="B316" s="53"/>
      <c r="I316" s="53"/>
      <c r="U316" s="31" t="n">
        <f aca="false">IF($B316='設定（最初に1回）'!$C$4,N(U315)+1,N(U315))</f>
        <v>134</v>
      </c>
    </row>
    <row r="317" customFormat="false" ht="15" hidden="false" customHeight="false" outlineLevel="0" collapsed="false">
      <c r="B317" s="53"/>
      <c r="I317" s="53"/>
      <c r="U317" s="31" t="n">
        <f aca="false">IF($B317='設定（最初に1回）'!$C$4,N(U316)+1,N(U316))</f>
        <v>134</v>
      </c>
    </row>
    <row r="318" customFormat="false" ht="15" hidden="false" customHeight="false" outlineLevel="0" collapsed="false">
      <c r="B318" s="53"/>
      <c r="I318" s="53"/>
      <c r="U318" s="31" t="n">
        <f aca="false">IF($B318='設定（最初に1回）'!$C$4,N(U317)+1,N(U317))</f>
        <v>134</v>
      </c>
    </row>
    <row r="319" customFormat="false" ht="15" hidden="false" customHeight="false" outlineLevel="0" collapsed="false">
      <c r="B319" s="53"/>
      <c r="I319" s="53"/>
      <c r="U319" s="31" t="n">
        <f aca="false">IF($B319='設定（最初に1回）'!$C$4,N(U318)+1,N(U318))</f>
        <v>134</v>
      </c>
    </row>
    <row r="320" customFormat="false" ht="15" hidden="false" customHeight="false" outlineLevel="0" collapsed="false">
      <c r="B320" s="53"/>
      <c r="I320" s="53"/>
      <c r="U320" s="31" t="n">
        <f aca="false">IF($B320='設定（最初に1回）'!$C$4,N(U319)+1,N(U319))</f>
        <v>134</v>
      </c>
    </row>
    <row r="321" customFormat="false" ht="15" hidden="false" customHeight="false" outlineLevel="0" collapsed="false">
      <c r="B321" s="53"/>
      <c r="I321" s="53"/>
      <c r="U321" s="31" t="n">
        <f aca="false">IF($B321='設定（最初に1回）'!$C$4,N(U320)+1,N(U320))</f>
        <v>134</v>
      </c>
    </row>
    <row r="322" customFormat="false" ht="15" hidden="false" customHeight="false" outlineLevel="0" collapsed="false">
      <c r="B322" s="53"/>
      <c r="I322" s="53"/>
      <c r="U322" s="31" t="n">
        <f aca="false">IF($B322='設定（最初に1回）'!$C$4,N(U321)+1,N(U321))</f>
        <v>134</v>
      </c>
    </row>
    <row r="323" customFormat="false" ht="15" hidden="false" customHeight="false" outlineLevel="0" collapsed="false">
      <c r="B323" s="53"/>
      <c r="I323" s="53"/>
      <c r="U323" s="31" t="n">
        <f aca="false">IF($B323='設定（最初に1回）'!$C$4,N(U322)+1,N(U322))</f>
        <v>134</v>
      </c>
    </row>
    <row r="324" customFormat="false" ht="15" hidden="false" customHeight="false" outlineLevel="0" collapsed="false">
      <c r="B324" s="53"/>
      <c r="I324" s="53"/>
      <c r="U324" s="31" t="n">
        <f aca="false">IF($B324='設定（最初に1回）'!$C$4,N(U323)+1,N(U323))</f>
        <v>134</v>
      </c>
    </row>
    <row r="325" customFormat="false" ht="15" hidden="false" customHeight="false" outlineLevel="0" collapsed="false">
      <c r="B325" s="53"/>
      <c r="I325" s="53"/>
      <c r="U325" s="31" t="n">
        <f aca="false">IF($B325='設定（最初に1回）'!$C$4,N(U324)+1,N(U324))</f>
        <v>134</v>
      </c>
    </row>
    <row r="326" customFormat="false" ht="15" hidden="false" customHeight="false" outlineLevel="0" collapsed="false">
      <c r="B326" s="53"/>
      <c r="I326" s="53"/>
      <c r="U326" s="31" t="n">
        <f aca="false">IF($B326='設定（最初に1回）'!$C$4,N(U325)+1,N(U325))</f>
        <v>134</v>
      </c>
    </row>
    <row r="327" customFormat="false" ht="15" hidden="false" customHeight="false" outlineLevel="0" collapsed="false">
      <c r="B327" s="53"/>
      <c r="I327" s="53"/>
      <c r="U327" s="31" t="n">
        <f aca="false">IF($B327='設定（最初に1回）'!$C$4,N(U326)+1,N(U326))</f>
        <v>134</v>
      </c>
    </row>
    <row r="328" customFormat="false" ht="15" hidden="false" customHeight="false" outlineLevel="0" collapsed="false">
      <c r="B328" s="53"/>
      <c r="I328" s="53"/>
      <c r="U328" s="31" t="n">
        <f aca="false">IF($B328='設定（最初に1回）'!$C$4,N(U327)+1,N(U327))</f>
        <v>134</v>
      </c>
    </row>
    <row r="329" customFormat="false" ht="15" hidden="false" customHeight="false" outlineLevel="0" collapsed="false">
      <c r="B329" s="53"/>
      <c r="I329" s="53"/>
      <c r="U329" s="31" t="n">
        <f aca="false">IF($B329='設定（最初に1回）'!$C$4,N(U328)+1,N(U328))</f>
        <v>134</v>
      </c>
    </row>
    <row r="330" customFormat="false" ht="15" hidden="false" customHeight="false" outlineLevel="0" collapsed="false">
      <c r="B330" s="53"/>
      <c r="I330" s="53"/>
      <c r="U330" s="31" t="n">
        <f aca="false">IF($B330='設定（最初に1回）'!$C$4,N(U329)+1,N(U329))</f>
        <v>134</v>
      </c>
    </row>
    <row r="331" customFormat="false" ht="15" hidden="false" customHeight="false" outlineLevel="0" collapsed="false">
      <c r="B331" s="53"/>
      <c r="I331" s="53"/>
      <c r="U331" s="31" t="n">
        <f aca="false">IF($B331='設定（最初に1回）'!$C$4,N(U330)+1,N(U330))</f>
        <v>134</v>
      </c>
    </row>
    <row r="332" customFormat="false" ht="15" hidden="false" customHeight="false" outlineLevel="0" collapsed="false">
      <c r="B332" s="53"/>
      <c r="I332" s="53"/>
      <c r="U332" s="31" t="n">
        <f aca="false">IF($B332='設定（最初に1回）'!$C$4,N(U331)+1,N(U331))</f>
        <v>134</v>
      </c>
    </row>
    <row r="333" customFormat="false" ht="15" hidden="false" customHeight="false" outlineLevel="0" collapsed="false">
      <c r="B333" s="53"/>
      <c r="I333" s="53"/>
      <c r="U333" s="31" t="n">
        <f aca="false">IF($B333='設定（最初に1回）'!$C$4,N(U332)+1,N(U332))</f>
        <v>134</v>
      </c>
    </row>
    <row r="334" customFormat="false" ht="15" hidden="false" customHeight="false" outlineLevel="0" collapsed="false">
      <c r="B334" s="53"/>
      <c r="I334" s="53"/>
      <c r="U334" s="31" t="n">
        <f aca="false">IF($B334='設定（最初に1回）'!$C$4,N(U333)+1,N(U333))</f>
        <v>134</v>
      </c>
    </row>
    <row r="335" customFormat="false" ht="15" hidden="false" customHeight="false" outlineLevel="0" collapsed="false">
      <c r="B335" s="53"/>
      <c r="I335" s="53"/>
      <c r="U335" s="31" t="n">
        <f aca="false">IF($B335='設定（最初に1回）'!$C$4,N(U334)+1,N(U334))</f>
        <v>134</v>
      </c>
    </row>
    <row r="336" customFormat="false" ht="15" hidden="false" customHeight="false" outlineLevel="0" collapsed="false">
      <c r="B336" s="53"/>
      <c r="I336" s="53"/>
      <c r="U336" s="31" t="n">
        <f aca="false">IF($B336='設定（最初に1回）'!$C$4,N(U335)+1,N(U335))</f>
        <v>134</v>
      </c>
    </row>
    <row r="337" customFormat="false" ht="15" hidden="false" customHeight="false" outlineLevel="0" collapsed="false">
      <c r="B337" s="53"/>
      <c r="I337" s="53"/>
      <c r="U337" s="31" t="n">
        <f aca="false">IF($B337='設定（最初に1回）'!$C$4,N(U336)+1,N(U336))</f>
        <v>134</v>
      </c>
    </row>
    <row r="338" customFormat="false" ht="15" hidden="false" customHeight="false" outlineLevel="0" collapsed="false">
      <c r="B338" s="53"/>
      <c r="I338" s="53"/>
      <c r="U338" s="31" t="n">
        <f aca="false">IF($B338='設定（最初に1回）'!$C$4,N(U337)+1,N(U337))</f>
        <v>134</v>
      </c>
    </row>
    <row r="339" customFormat="false" ht="15" hidden="false" customHeight="false" outlineLevel="0" collapsed="false">
      <c r="B339" s="53"/>
      <c r="I339" s="53"/>
      <c r="U339" s="31" t="n">
        <f aca="false">IF($B339='設定（最初に1回）'!$C$4,N(U338)+1,N(U338))</f>
        <v>134</v>
      </c>
    </row>
    <row r="340" customFormat="false" ht="15" hidden="false" customHeight="false" outlineLevel="0" collapsed="false">
      <c r="B340" s="53"/>
      <c r="I340" s="53"/>
      <c r="U340" s="31" t="n">
        <f aca="false">IF($B340='設定（最初に1回）'!$C$4,N(U339)+1,N(U339))</f>
        <v>134</v>
      </c>
    </row>
    <row r="341" customFormat="false" ht="15" hidden="false" customHeight="false" outlineLevel="0" collapsed="false">
      <c r="B341" s="53"/>
      <c r="I341" s="53"/>
      <c r="U341" s="31" t="n">
        <f aca="false">IF($B341='設定（最初に1回）'!$C$4,N(U340)+1,N(U340))</f>
        <v>134</v>
      </c>
    </row>
    <row r="342" customFormat="false" ht="15" hidden="false" customHeight="false" outlineLevel="0" collapsed="false">
      <c r="B342" s="53"/>
      <c r="I342" s="53"/>
      <c r="U342" s="31" t="n">
        <f aca="false">IF($B342='設定（最初に1回）'!$C$4,N(U341)+1,N(U341))</f>
        <v>134</v>
      </c>
    </row>
    <row r="343" customFormat="false" ht="15" hidden="false" customHeight="false" outlineLevel="0" collapsed="false">
      <c r="B343" s="53"/>
      <c r="I343" s="53"/>
      <c r="U343" s="31" t="n">
        <f aca="false">IF($B343='設定（最初に1回）'!$C$4,N(U342)+1,N(U342))</f>
        <v>134</v>
      </c>
    </row>
    <row r="344" customFormat="false" ht="15" hidden="false" customHeight="false" outlineLevel="0" collapsed="false">
      <c r="B344" s="53"/>
      <c r="I344" s="53"/>
      <c r="U344" s="31" t="n">
        <f aca="false">IF($B344='設定（最初に1回）'!$C$4,N(U343)+1,N(U343))</f>
        <v>134</v>
      </c>
    </row>
    <row r="345" customFormat="false" ht="15" hidden="false" customHeight="false" outlineLevel="0" collapsed="false">
      <c r="B345" s="53"/>
      <c r="I345" s="53"/>
      <c r="U345" s="31" t="n">
        <f aca="false">IF($B345='設定（最初に1回）'!$C$4,N(U344)+1,N(U344))</f>
        <v>134</v>
      </c>
    </row>
    <row r="346" customFormat="false" ht="15" hidden="false" customHeight="false" outlineLevel="0" collapsed="false">
      <c r="B346" s="53"/>
      <c r="I346" s="53"/>
      <c r="U346" s="31" t="n">
        <f aca="false">IF($B346='設定（最初に1回）'!$C$4,N(U345)+1,N(U345))</f>
        <v>134</v>
      </c>
    </row>
    <row r="347" customFormat="false" ht="15" hidden="false" customHeight="false" outlineLevel="0" collapsed="false">
      <c r="B347" s="53"/>
      <c r="I347" s="53"/>
      <c r="U347" s="31" t="n">
        <f aca="false">IF($B347='設定（最初に1回）'!$C$4,N(U346)+1,N(U346))</f>
        <v>134</v>
      </c>
    </row>
    <row r="348" customFormat="false" ht="15" hidden="false" customHeight="false" outlineLevel="0" collapsed="false">
      <c r="B348" s="53"/>
      <c r="I348" s="53"/>
      <c r="U348" s="31" t="n">
        <f aca="false">IF($B348='設定（最初に1回）'!$C$4,N(U347)+1,N(U347))</f>
        <v>134</v>
      </c>
    </row>
    <row r="349" customFormat="false" ht="15" hidden="false" customHeight="false" outlineLevel="0" collapsed="false">
      <c r="B349" s="53"/>
      <c r="I349" s="53"/>
      <c r="U349" s="31" t="n">
        <f aca="false">IF($B349='設定（最初に1回）'!$C$4,N(U348)+1,N(U348))</f>
        <v>134</v>
      </c>
    </row>
    <row r="350" customFormat="false" ht="15" hidden="false" customHeight="false" outlineLevel="0" collapsed="false">
      <c r="B350" s="53"/>
      <c r="I350" s="53"/>
      <c r="U350" s="31" t="n">
        <f aca="false">IF($B350='設定（最初に1回）'!$C$4,N(U349)+1,N(U349))</f>
        <v>134</v>
      </c>
    </row>
    <row r="351" customFormat="false" ht="15" hidden="false" customHeight="false" outlineLevel="0" collapsed="false">
      <c r="B351" s="53"/>
      <c r="I351" s="53"/>
      <c r="U351" s="31" t="n">
        <f aca="false">IF($B351='設定（最初に1回）'!$C$4,N(U350)+1,N(U350))</f>
        <v>134</v>
      </c>
    </row>
    <row r="352" customFormat="false" ht="15" hidden="false" customHeight="false" outlineLevel="0" collapsed="false">
      <c r="B352" s="53"/>
      <c r="I352" s="53"/>
      <c r="U352" s="31" t="n">
        <f aca="false">IF($B352='設定（最初に1回）'!$C$4,N(U351)+1,N(U351))</f>
        <v>134</v>
      </c>
    </row>
    <row r="353" customFormat="false" ht="15" hidden="false" customHeight="false" outlineLevel="0" collapsed="false">
      <c r="B353" s="53"/>
      <c r="I353" s="53"/>
      <c r="U353" s="31" t="n">
        <f aca="false">IF($B353='設定（最初に1回）'!$C$4,N(U352)+1,N(U352))</f>
        <v>134</v>
      </c>
    </row>
    <row r="354" customFormat="false" ht="15" hidden="false" customHeight="false" outlineLevel="0" collapsed="false">
      <c r="B354" s="53"/>
      <c r="I354" s="53"/>
      <c r="U354" s="31" t="n">
        <f aca="false">IF($B354='設定（最初に1回）'!$C$4,N(U353)+1,N(U353))</f>
        <v>134</v>
      </c>
    </row>
    <row r="355" customFormat="false" ht="15" hidden="false" customHeight="false" outlineLevel="0" collapsed="false">
      <c r="B355" s="53"/>
      <c r="I355" s="53"/>
      <c r="U355" s="31" t="n">
        <f aca="false">IF($B355='設定（最初に1回）'!$C$4,N(U354)+1,N(U354))</f>
        <v>134</v>
      </c>
    </row>
    <row r="356" customFormat="false" ht="15" hidden="false" customHeight="false" outlineLevel="0" collapsed="false">
      <c r="B356" s="53"/>
      <c r="I356" s="53"/>
      <c r="U356" s="31" t="n">
        <f aca="false">IF($B356='設定（最初に1回）'!$C$4,N(U355)+1,N(U355))</f>
        <v>134</v>
      </c>
    </row>
    <row r="357" customFormat="false" ht="15" hidden="false" customHeight="false" outlineLevel="0" collapsed="false">
      <c r="B357" s="53"/>
      <c r="I357" s="53"/>
      <c r="U357" s="31" t="n">
        <f aca="false">IF($B357='設定（最初に1回）'!$C$4,N(U356)+1,N(U356))</f>
        <v>134</v>
      </c>
    </row>
    <row r="358" customFormat="false" ht="15" hidden="false" customHeight="false" outlineLevel="0" collapsed="false">
      <c r="B358" s="53"/>
      <c r="I358" s="53"/>
      <c r="U358" s="31" t="n">
        <f aca="false">IF($B358='設定（最初に1回）'!$C$4,N(U357)+1,N(U357))</f>
        <v>134</v>
      </c>
    </row>
    <row r="359" customFormat="false" ht="15" hidden="false" customHeight="false" outlineLevel="0" collapsed="false">
      <c r="B359" s="53"/>
      <c r="I359" s="53"/>
      <c r="U359" s="31" t="n">
        <f aca="false">IF($B359='設定（最初に1回）'!$C$4,N(U358)+1,N(U358))</f>
        <v>134</v>
      </c>
    </row>
    <row r="360" customFormat="false" ht="15" hidden="false" customHeight="false" outlineLevel="0" collapsed="false">
      <c r="B360" s="53"/>
      <c r="I360" s="53"/>
      <c r="U360" s="31" t="n">
        <f aca="false">IF($B360='設定（最初に1回）'!$C$4,N(U359)+1,N(U359))</f>
        <v>134</v>
      </c>
    </row>
    <row r="361" customFormat="false" ht="15" hidden="false" customHeight="false" outlineLevel="0" collapsed="false">
      <c r="B361" s="53"/>
      <c r="I361" s="53"/>
      <c r="U361" s="31" t="n">
        <f aca="false">IF($B361='設定（最初に1回）'!$C$4,N(U360)+1,N(U360))</f>
        <v>134</v>
      </c>
    </row>
    <row r="362" customFormat="false" ht="15" hidden="false" customHeight="false" outlineLevel="0" collapsed="false">
      <c r="B362" s="53"/>
      <c r="I362" s="53"/>
      <c r="U362" s="31" t="n">
        <f aca="false">IF($B362='設定（最初に1回）'!$C$4,N(U361)+1,N(U361))</f>
        <v>134</v>
      </c>
    </row>
    <row r="363" customFormat="false" ht="15" hidden="false" customHeight="false" outlineLevel="0" collapsed="false">
      <c r="B363" s="53"/>
      <c r="I363" s="53"/>
      <c r="U363" s="31" t="n">
        <f aca="false">IF($B363='設定（最初に1回）'!$C$4,N(U362)+1,N(U362))</f>
        <v>134</v>
      </c>
    </row>
    <row r="364" customFormat="false" ht="15" hidden="false" customHeight="false" outlineLevel="0" collapsed="false">
      <c r="B364" s="53"/>
      <c r="I364" s="53"/>
      <c r="U364" s="31" t="n">
        <f aca="false">IF($B364='設定（最初に1回）'!$C$4,N(U363)+1,N(U363))</f>
        <v>134</v>
      </c>
    </row>
    <row r="365" customFormat="false" ht="15" hidden="false" customHeight="false" outlineLevel="0" collapsed="false">
      <c r="B365" s="53"/>
      <c r="I365" s="53"/>
      <c r="U365" s="31" t="n">
        <f aca="false">IF($B365='設定（最初に1回）'!$C$4,N(U364)+1,N(U364))</f>
        <v>134</v>
      </c>
    </row>
    <row r="366" customFormat="false" ht="15" hidden="false" customHeight="false" outlineLevel="0" collapsed="false">
      <c r="B366" s="53"/>
      <c r="I366" s="53"/>
      <c r="U366" s="31" t="n">
        <f aca="false">IF($B366='設定（最初に1回）'!$C$4,N(U365)+1,N(U365))</f>
        <v>134</v>
      </c>
    </row>
    <row r="367" customFormat="false" ht="15" hidden="false" customHeight="false" outlineLevel="0" collapsed="false">
      <c r="B367" s="53"/>
      <c r="I367" s="53"/>
      <c r="U367" s="31" t="n">
        <f aca="false">IF($B367='設定（最初に1回）'!$C$4,N(U366)+1,N(U366))</f>
        <v>134</v>
      </c>
    </row>
    <row r="368" customFormat="false" ht="15" hidden="false" customHeight="false" outlineLevel="0" collapsed="false">
      <c r="B368" s="53"/>
      <c r="I368" s="53"/>
      <c r="U368" s="31" t="n">
        <f aca="false">IF($B368='設定（最初に1回）'!$C$4,N(U367)+1,N(U367))</f>
        <v>134</v>
      </c>
    </row>
    <row r="369" customFormat="false" ht="15" hidden="false" customHeight="false" outlineLevel="0" collapsed="false">
      <c r="B369" s="53"/>
      <c r="I369" s="53"/>
      <c r="U369" s="31" t="n">
        <f aca="false">IF($B369='設定（最初に1回）'!$C$4,N(U368)+1,N(U368))</f>
        <v>134</v>
      </c>
    </row>
    <row r="370" customFormat="false" ht="15" hidden="false" customHeight="false" outlineLevel="0" collapsed="false">
      <c r="B370" s="53"/>
      <c r="I370" s="53"/>
      <c r="U370" s="31" t="n">
        <f aca="false">IF($B370='設定（最初に1回）'!$C$4,N(U369)+1,N(U369))</f>
        <v>134</v>
      </c>
    </row>
    <row r="371" customFormat="false" ht="15" hidden="false" customHeight="false" outlineLevel="0" collapsed="false">
      <c r="B371" s="53"/>
      <c r="I371" s="53"/>
      <c r="U371" s="31" t="n">
        <f aca="false">IF($B371='設定（最初に1回）'!$C$4,N(U370)+1,N(U370))</f>
        <v>134</v>
      </c>
    </row>
    <row r="372" customFormat="false" ht="15" hidden="false" customHeight="false" outlineLevel="0" collapsed="false">
      <c r="B372" s="53"/>
      <c r="I372" s="53"/>
      <c r="U372" s="31" t="n">
        <f aca="false">IF($B372='設定（最初に1回）'!$C$4,N(U371)+1,N(U371))</f>
        <v>134</v>
      </c>
    </row>
    <row r="373" customFormat="false" ht="15" hidden="false" customHeight="false" outlineLevel="0" collapsed="false">
      <c r="B373" s="53"/>
      <c r="I373" s="53"/>
      <c r="U373" s="31" t="n">
        <f aca="false">IF($B373='設定（最初に1回）'!$C$4,N(U372)+1,N(U372))</f>
        <v>134</v>
      </c>
    </row>
    <row r="374" customFormat="false" ht="15" hidden="false" customHeight="false" outlineLevel="0" collapsed="false">
      <c r="B374" s="53"/>
      <c r="I374" s="53"/>
      <c r="U374" s="31" t="n">
        <f aca="false">IF($B374='設定（最初に1回）'!$C$4,N(U373)+1,N(U373))</f>
        <v>134</v>
      </c>
    </row>
    <row r="375" customFormat="false" ht="15" hidden="false" customHeight="false" outlineLevel="0" collapsed="false">
      <c r="B375" s="53"/>
      <c r="I375" s="53"/>
      <c r="U375" s="31" t="n">
        <f aca="false">IF($B375='設定（最初に1回）'!$C$4,N(U374)+1,N(U374))</f>
        <v>134</v>
      </c>
    </row>
    <row r="376" customFormat="false" ht="15" hidden="false" customHeight="false" outlineLevel="0" collapsed="false">
      <c r="B376" s="53"/>
      <c r="I376" s="53"/>
      <c r="U376" s="31" t="n">
        <f aca="false">IF($B376='設定（最初に1回）'!$C$4,N(U375)+1,N(U375))</f>
        <v>134</v>
      </c>
    </row>
    <row r="377" customFormat="false" ht="15" hidden="false" customHeight="false" outlineLevel="0" collapsed="false">
      <c r="B377" s="53"/>
      <c r="I377" s="53"/>
      <c r="U377" s="31" t="n">
        <f aca="false">IF($B377='設定（最初に1回）'!$C$4,N(U376)+1,N(U376))</f>
        <v>134</v>
      </c>
    </row>
    <row r="378" customFormat="false" ht="15" hidden="false" customHeight="false" outlineLevel="0" collapsed="false">
      <c r="B378" s="53"/>
      <c r="I378" s="53"/>
      <c r="U378" s="31" t="n">
        <f aca="false">IF($B378='設定（最初に1回）'!$C$4,N(U377)+1,N(U377))</f>
        <v>134</v>
      </c>
    </row>
    <row r="379" customFormat="false" ht="15" hidden="false" customHeight="false" outlineLevel="0" collapsed="false">
      <c r="B379" s="53"/>
      <c r="I379" s="53"/>
      <c r="U379" s="31" t="n">
        <f aca="false">IF($B379='設定（最初に1回）'!$C$4,N(U378)+1,N(U378))</f>
        <v>134</v>
      </c>
    </row>
    <row r="380" customFormat="false" ht="15" hidden="false" customHeight="false" outlineLevel="0" collapsed="false">
      <c r="B380" s="53"/>
      <c r="I380" s="53"/>
      <c r="U380" s="31" t="n">
        <f aca="false">IF($B380='設定（最初に1回）'!$C$4,N(U379)+1,N(U379))</f>
        <v>134</v>
      </c>
    </row>
    <row r="381" customFormat="false" ht="15" hidden="false" customHeight="false" outlineLevel="0" collapsed="false">
      <c r="B381" s="53"/>
      <c r="I381" s="53"/>
      <c r="U381" s="31" t="n">
        <f aca="false">IF($B381='設定（最初に1回）'!$C$4,N(U380)+1,N(U380))</f>
        <v>134</v>
      </c>
    </row>
    <row r="382" customFormat="false" ht="15" hidden="false" customHeight="false" outlineLevel="0" collapsed="false">
      <c r="B382" s="53"/>
      <c r="I382" s="53"/>
      <c r="U382" s="31" t="n">
        <f aca="false">IF($B382='設定（最初に1回）'!$C$4,N(U381)+1,N(U381))</f>
        <v>134</v>
      </c>
    </row>
    <row r="383" customFormat="false" ht="15" hidden="false" customHeight="false" outlineLevel="0" collapsed="false">
      <c r="B383" s="53"/>
      <c r="I383" s="53"/>
      <c r="U383" s="31" t="n">
        <f aca="false">IF($B383='設定（最初に1回）'!$C$4,N(U382)+1,N(U382))</f>
        <v>134</v>
      </c>
    </row>
    <row r="384" customFormat="false" ht="15" hidden="false" customHeight="false" outlineLevel="0" collapsed="false">
      <c r="B384" s="53"/>
      <c r="I384" s="53"/>
      <c r="U384" s="31" t="n">
        <f aca="false">IF($B384='設定（最初に1回）'!$C$4,N(U383)+1,N(U383))</f>
        <v>134</v>
      </c>
    </row>
    <row r="385" customFormat="false" ht="15" hidden="false" customHeight="false" outlineLevel="0" collapsed="false">
      <c r="B385" s="53"/>
      <c r="I385" s="53"/>
      <c r="U385" s="31" t="n">
        <f aca="false">IF($B385='設定（最初に1回）'!$C$4,N(U384)+1,N(U384))</f>
        <v>134</v>
      </c>
    </row>
    <row r="386" customFormat="false" ht="15" hidden="false" customHeight="false" outlineLevel="0" collapsed="false">
      <c r="B386" s="53"/>
      <c r="I386" s="53"/>
      <c r="U386" s="31" t="n">
        <f aca="false">IF($B386='設定（最初に1回）'!$C$4,N(U385)+1,N(U385))</f>
        <v>134</v>
      </c>
    </row>
    <row r="387" customFormat="false" ht="15" hidden="false" customHeight="false" outlineLevel="0" collapsed="false">
      <c r="B387" s="53"/>
      <c r="I387" s="53"/>
      <c r="U387" s="31" t="n">
        <f aca="false">IF($B387='設定（最初に1回）'!$C$4,N(U386)+1,N(U386))</f>
        <v>134</v>
      </c>
    </row>
    <row r="388" customFormat="false" ht="15" hidden="false" customHeight="false" outlineLevel="0" collapsed="false">
      <c r="B388" s="53"/>
      <c r="I388" s="53"/>
      <c r="U388" s="31" t="n">
        <f aca="false">IF($B388='設定（最初に1回）'!$C$4,N(U387)+1,N(U387))</f>
        <v>134</v>
      </c>
    </row>
    <row r="389" customFormat="false" ht="15" hidden="false" customHeight="false" outlineLevel="0" collapsed="false">
      <c r="B389" s="53"/>
      <c r="I389" s="53"/>
      <c r="U389" s="31" t="n">
        <f aca="false">IF($B389='設定（最初に1回）'!$C$4,N(U388)+1,N(U388))</f>
        <v>134</v>
      </c>
    </row>
    <row r="390" customFormat="false" ht="15" hidden="false" customHeight="false" outlineLevel="0" collapsed="false">
      <c r="B390" s="53"/>
      <c r="I390" s="53"/>
      <c r="U390" s="31" t="n">
        <f aca="false">IF($B390='設定（最初に1回）'!$C$4,N(U389)+1,N(U389))</f>
        <v>134</v>
      </c>
    </row>
    <row r="391" customFormat="false" ht="15" hidden="false" customHeight="false" outlineLevel="0" collapsed="false">
      <c r="B391" s="53"/>
      <c r="I391" s="53"/>
      <c r="U391" s="31" t="n">
        <f aca="false">IF($B391='設定（最初に1回）'!$C$4,N(U390)+1,N(U390))</f>
        <v>134</v>
      </c>
    </row>
    <row r="392" customFormat="false" ht="15" hidden="false" customHeight="false" outlineLevel="0" collapsed="false">
      <c r="B392" s="53"/>
      <c r="I392" s="53"/>
      <c r="U392" s="31" t="n">
        <f aca="false">IF($B392='設定（最初に1回）'!$C$4,N(U391)+1,N(U391))</f>
        <v>134</v>
      </c>
    </row>
    <row r="393" customFormat="false" ht="15" hidden="false" customHeight="false" outlineLevel="0" collapsed="false">
      <c r="B393" s="53"/>
      <c r="I393" s="53"/>
      <c r="U393" s="31" t="n">
        <f aca="false">IF($B393='設定（最初に1回）'!$C$4,N(U392)+1,N(U392))</f>
        <v>134</v>
      </c>
    </row>
    <row r="394" customFormat="false" ht="15" hidden="false" customHeight="false" outlineLevel="0" collapsed="false">
      <c r="B394" s="53"/>
      <c r="I394" s="53"/>
      <c r="U394" s="31" t="n">
        <f aca="false">IF($B394='設定（最初に1回）'!$C$4,N(U393)+1,N(U393))</f>
        <v>134</v>
      </c>
    </row>
    <row r="395" customFormat="false" ht="15" hidden="false" customHeight="false" outlineLevel="0" collapsed="false">
      <c r="B395" s="53"/>
      <c r="I395" s="53"/>
      <c r="U395" s="31" t="n">
        <f aca="false">IF($B395='設定（最初に1回）'!$C$4,N(U394)+1,N(U394))</f>
        <v>134</v>
      </c>
    </row>
    <row r="396" customFormat="false" ht="15" hidden="false" customHeight="false" outlineLevel="0" collapsed="false">
      <c r="B396" s="53"/>
      <c r="I396" s="53"/>
      <c r="U396" s="31" t="n">
        <f aca="false">IF($B396='設定（最初に1回）'!$C$4,N(U395)+1,N(U395))</f>
        <v>134</v>
      </c>
    </row>
    <row r="397" customFormat="false" ht="15" hidden="false" customHeight="false" outlineLevel="0" collapsed="false">
      <c r="B397" s="53"/>
      <c r="I397" s="53"/>
      <c r="U397" s="31" t="n">
        <f aca="false">IF($B397='設定（最初に1回）'!$C$4,N(U396)+1,N(U396))</f>
        <v>134</v>
      </c>
    </row>
    <row r="398" customFormat="false" ht="15" hidden="false" customHeight="false" outlineLevel="0" collapsed="false">
      <c r="B398" s="53"/>
      <c r="I398" s="53"/>
      <c r="U398" s="31" t="n">
        <f aca="false">IF($B398='設定（最初に1回）'!$C$4,N(U397)+1,N(U397))</f>
        <v>134</v>
      </c>
    </row>
    <row r="399" customFormat="false" ht="15" hidden="false" customHeight="false" outlineLevel="0" collapsed="false">
      <c r="B399" s="53"/>
      <c r="I399" s="53"/>
      <c r="U399" s="31" t="n">
        <f aca="false">IF($B399='設定（最初に1回）'!$C$4,N(U398)+1,N(U398))</f>
        <v>134</v>
      </c>
    </row>
    <row r="400" customFormat="false" ht="15" hidden="false" customHeight="false" outlineLevel="0" collapsed="false">
      <c r="B400" s="53"/>
      <c r="I400" s="53"/>
      <c r="U400" s="31" t="n">
        <f aca="false">IF($B400='設定（最初に1回）'!$C$4,N(U399)+1,N(U399))</f>
        <v>134</v>
      </c>
    </row>
    <row r="401" customFormat="false" ht="15" hidden="false" customHeight="false" outlineLevel="0" collapsed="false">
      <c r="B401" s="53"/>
      <c r="I401" s="53"/>
      <c r="U401" s="31" t="n">
        <f aca="false">IF($B401='設定（最初に1回）'!$C$4,N(U400)+1,N(U400))</f>
        <v>134</v>
      </c>
    </row>
    <row r="402" customFormat="false" ht="15" hidden="false" customHeight="false" outlineLevel="0" collapsed="false">
      <c r="B402" s="53"/>
      <c r="I402" s="53"/>
      <c r="U402" s="31" t="n">
        <f aca="false">IF($B402='設定（最初に1回）'!$C$4,N(U401)+1,N(U401))</f>
        <v>134</v>
      </c>
    </row>
    <row r="403" customFormat="false" ht="15" hidden="false" customHeight="false" outlineLevel="0" collapsed="false">
      <c r="B403" s="53"/>
      <c r="I403" s="53"/>
      <c r="U403" s="31" t="n">
        <f aca="false">IF($B403='設定（最初に1回）'!$C$4,N(U402)+1,N(U402))</f>
        <v>134</v>
      </c>
    </row>
    <row r="404" customFormat="false" ht="15" hidden="false" customHeight="false" outlineLevel="0" collapsed="false">
      <c r="B404" s="53"/>
      <c r="I404" s="53"/>
      <c r="U404" s="31" t="n">
        <f aca="false">IF($B404='設定（最初に1回）'!$C$4,N(U403)+1,N(U403))</f>
        <v>134</v>
      </c>
    </row>
    <row r="405" customFormat="false" ht="15" hidden="false" customHeight="false" outlineLevel="0" collapsed="false">
      <c r="B405" s="53"/>
      <c r="I405" s="53"/>
      <c r="U405" s="31" t="n">
        <f aca="false">IF($B405='設定（最初に1回）'!$C$4,N(U404)+1,N(U404))</f>
        <v>134</v>
      </c>
    </row>
    <row r="406" customFormat="false" ht="15" hidden="false" customHeight="false" outlineLevel="0" collapsed="false">
      <c r="B406" s="53"/>
      <c r="I406" s="53"/>
      <c r="U406" s="31" t="n">
        <f aca="false">IF($B406='設定（最初に1回）'!$C$4,N(U405)+1,N(U405))</f>
        <v>134</v>
      </c>
    </row>
    <row r="407" customFormat="false" ht="15" hidden="false" customHeight="false" outlineLevel="0" collapsed="false">
      <c r="B407" s="53"/>
      <c r="I407" s="53"/>
      <c r="U407" s="31" t="n">
        <f aca="false">IF($B407='設定（最初に1回）'!$C$4,N(U406)+1,N(U406))</f>
        <v>134</v>
      </c>
    </row>
    <row r="408" customFormat="false" ht="15" hidden="false" customHeight="false" outlineLevel="0" collapsed="false">
      <c r="B408" s="53"/>
      <c r="I408" s="53"/>
      <c r="U408" s="31" t="n">
        <f aca="false">IF($B408='設定（最初に1回）'!$C$4,N(U407)+1,N(U407))</f>
        <v>134</v>
      </c>
    </row>
    <row r="409" customFormat="false" ht="15" hidden="false" customHeight="false" outlineLevel="0" collapsed="false">
      <c r="B409" s="53"/>
      <c r="I409" s="53"/>
      <c r="U409" s="31" t="n">
        <f aca="false">IF($B409='設定（最初に1回）'!$C$4,N(U408)+1,N(U408))</f>
        <v>134</v>
      </c>
    </row>
    <row r="410" customFormat="false" ht="15" hidden="false" customHeight="false" outlineLevel="0" collapsed="false">
      <c r="B410" s="53"/>
      <c r="I410" s="53"/>
      <c r="U410" s="31" t="n">
        <f aca="false">IF($B410='設定（最初に1回）'!$C$4,N(U409)+1,N(U409))</f>
        <v>134</v>
      </c>
    </row>
    <row r="411" customFormat="false" ht="15" hidden="false" customHeight="false" outlineLevel="0" collapsed="false">
      <c r="B411" s="53"/>
      <c r="I411" s="53"/>
      <c r="U411" s="31" t="n">
        <f aca="false">IF($B411='設定（最初に1回）'!$C$4,N(U410)+1,N(U410))</f>
        <v>134</v>
      </c>
    </row>
    <row r="412" customFormat="false" ht="15" hidden="false" customHeight="false" outlineLevel="0" collapsed="false">
      <c r="B412" s="53"/>
      <c r="I412" s="53"/>
      <c r="U412" s="31" t="n">
        <f aca="false">IF($B412='設定（最初に1回）'!$C$4,N(U411)+1,N(U411))</f>
        <v>134</v>
      </c>
    </row>
    <row r="413" customFormat="false" ht="15" hidden="false" customHeight="false" outlineLevel="0" collapsed="false">
      <c r="B413" s="53"/>
      <c r="I413" s="53"/>
      <c r="U413" s="31" t="n">
        <f aca="false">IF($B413='設定（最初に1回）'!$C$4,N(U412)+1,N(U412))</f>
        <v>134</v>
      </c>
    </row>
    <row r="414" customFormat="false" ht="15" hidden="false" customHeight="false" outlineLevel="0" collapsed="false">
      <c r="B414" s="53"/>
      <c r="I414" s="53"/>
      <c r="U414" s="31" t="n">
        <f aca="false">IF($B414='設定（最初に1回）'!$C$4,N(U413)+1,N(U413))</f>
        <v>134</v>
      </c>
    </row>
    <row r="415" customFormat="false" ht="15" hidden="false" customHeight="false" outlineLevel="0" collapsed="false">
      <c r="B415" s="53"/>
      <c r="I415" s="53"/>
      <c r="U415" s="31" t="n">
        <f aca="false">IF($B415='設定（最初に1回）'!$C$4,N(U414)+1,N(U414))</f>
        <v>134</v>
      </c>
    </row>
    <row r="416" customFormat="false" ht="15" hidden="false" customHeight="false" outlineLevel="0" collapsed="false">
      <c r="B416" s="53"/>
      <c r="I416" s="53"/>
      <c r="U416" s="31" t="n">
        <f aca="false">IF($B416='設定（最初に1回）'!$C$4,N(U415)+1,N(U415))</f>
        <v>134</v>
      </c>
    </row>
    <row r="417" customFormat="false" ht="15" hidden="false" customHeight="false" outlineLevel="0" collapsed="false">
      <c r="B417" s="53"/>
      <c r="I417" s="53"/>
      <c r="U417" s="31" t="n">
        <f aca="false">IF($B417='設定（最初に1回）'!$C$4,N(U416)+1,N(U416))</f>
        <v>134</v>
      </c>
    </row>
    <row r="418" customFormat="false" ht="15" hidden="false" customHeight="false" outlineLevel="0" collapsed="false">
      <c r="B418" s="53"/>
      <c r="I418" s="53"/>
      <c r="U418" s="31" t="n">
        <f aca="false">IF($B418='設定（最初に1回）'!$C$4,N(U417)+1,N(U417))</f>
        <v>134</v>
      </c>
    </row>
    <row r="419" customFormat="false" ht="15" hidden="false" customHeight="false" outlineLevel="0" collapsed="false">
      <c r="B419" s="53"/>
      <c r="I419" s="53"/>
      <c r="U419" s="31" t="n">
        <f aca="false">IF($B419='設定（最初に1回）'!$C$4,N(U418)+1,N(U418))</f>
        <v>134</v>
      </c>
    </row>
    <row r="420" customFormat="false" ht="15" hidden="false" customHeight="false" outlineLevel="0" collapsed="false">
      <c r="B420" s="53"/>
      <c r="I420" s="53"/>
      <c r="U420" s="31" t="n">
        <f aca="false">IF($B420='設定（最初に1回）'!$C$4,N(U419)+1,N(U419))</f>
        <v>134</v>
      </c>
    </row>
    <row r="421" customFormat="false" ht="15" hidden="false" customHeight="false" outlineLevel="0" collapsed="false">
      <c r="B421" s="53"/>
      <c r="I421" s="53"/>
      <c r="U421" s="31" t="n">
        <f aca="false">IF($B421='設定（最初に1回）'!$C$4,N(U420)+1,N(U420))</f>
        <v>134</v>
      </c>
    </row>
    <row r="422" customFormat="false" ht="15" hidden="false" customHeight="false" outlineLevel="0" collapsed="false">
      <c r="B422" s="53"/>
      <c r="I422" s="53"/>
      <c r="U422" s="31" t="n">
        <f aca="false">IF($B422='設定（最初に1回）'!$C$4,N(U421)+1,N(U421))</f>
        <v>134</v>
      </c>
    </row>
    <row r="423" customFormat="false" ht="15" hidden="false" customHeight="false" outlineLevel="0" collapsed="false">
      <c r="B423" s="53"/>
      <c r="I423" s="53"/>
      <c r="U423" s="31" t="n">
        <f aca="false">IF($B423='設定（最初に1回）'!$C$4,N(U422)+1,N(U422))</f>
        <v>134</v>
      </c>
    </row>
    <row r="424" customFormat="false" ht="15" hidden="false" customHeight="false" outlineLevel="0" collapsed="false">
      <c r="B424" s="53"/>
      <c r="I424" s="53"/>
      <c r="U424" s="31" t="n">
        <f aca="false">IF($B424='設定（最初に1回）'!$C$4,N(U423)+1,N(U423))</f>
        <v>134</v>
      </c>
    </row>
    <row r="425" customFormat="false" ht="15" hidden="false" customHeight="false" outlineLevel="0" collapsed="false">
      <c r="B425" s="53"/>
      <c r="I425" s="53"/>
      <c r="U425" s="31" t="n">
        <f aca="false">IF($B425='設定（最初に1回）'!$C$4,N(U424)+1,N(U424))</f>
        <v>134</v>
      </c>
    </row>
    <row r="426" customFormat="false" ht="15" hidden="false" customHeight="false" outlineLevel="0" collapsed="false">
      <c r="B426" s="53"/>
      <c r="I426" s="53"/>
      <c r="U426" s="31" t="n">
        <f aca="false">IF($B426='設定（最初に1回）'!$C$4,N(U425)+1,N(U425))</f>
        <v>134</v>
      </c>
    </row>
    <row r="427" customFormat="false" ht="15" hidden="false" customHeight="false" outlineLevel="0" collapsed="false">
      <c r="B427" s="53"/>
      <c r="I427" s="53"/>
      <c r="U427" s="31" t="n">
        <f aca="false">IF($B427='設定（最初に1回）'!$C$4,N(U426)+1,N(U426))</f>
        <v>134</v>
      </c>
    </row>
    <row r="428" customFormat="false" ht="15" hidden="false" customHeight="false" outlineLevel="0" collapsed="false">
      <c r="B428" s="53"/>
      <c r="I428" s="53"/>
      <c r="U428" s="31" t="n">
        <f aca="false">IF($B428='設定（最初に1回）'!$C$4,N(U427)+1,N(U427))</f>
        <v>134</v>
      </c>
    </row>
    <row r="429" customFormat="false" ht="15" hidden="false" customHeight="false" outlineLevel="0" collapsed="false">
      <c r="B429" s="53"/>
      <c r="I429" s="53"/>
      <c r="U429" s="31" t="n">
        <f aca="false">IF($B429='設定（最初に1回）'!$C$4,N(U428)+1,N(U428))</f>
        <v>134</v>
      </c>
    </row>
    <row r="430" customFormat="false" ht="15" hidden="false" customHeight="false" outlineLevel="0" collapsed="false">
      <c r="B430" s="53"/>
      <c r="I430" s="53"/>
      <c r="U430" s="31" t="n">
        <f aca="false">IF($B430='設定（最初に1回）'!$C$4,N(U429)+1,N(U429))</f>
        <v>134</v>
      </c>
    </row>
    <row r="431" customFormat="false" ht="15" hidden="false" customHeight="false" outlineLevel="0" collapsed="false">
      <c r="B431" s="53"/>
      <c r="I431" s="53"/>
      <c r="U431" s="31" t="n">
        <f aca="false">IF($B431='設定（最初に1回）'!$C$4,N(U430)+1,N(U430))</f>
        <v>134</v>
      </c>
    </row>
    <row r="432" customFormat="false" ht="15" hidden="false" customHeight="false" outlineLevel="0" collapsed="false">
      <c r="B432" s="53"/>
      <c r="I432" s="53"/>
      <c r="U432" s="31" t="n">
        <f aca="false">IF($B432='設定（最初に1回）'!$C$4,N(U431)+1,N(U431))</f>
        <v>134</v>
      </c>
    </row>
    <row r="433" customFormat="false" ht="15" hidden="false" customHeight="false" outlineLevel="0" collapsed="false">
      <c r="B433" s="53"/>
      <c r="I433" s="53"/>
      <c r="U433" s="31" t="n">
        <f aca="false">IF($B433='設定（最初に1回）'!$C$4,N(U432)+1,N(U432))</f>
        <v>134</v>
      </c>
    </row>
    <row r="434" customFormat="false" ht="15" hidden="false" customHeight="false" outlineLevel="0" collapsed="false">
      <c r="B434" s="53"/>
      <c r="I434" s="53"/>
      <c r="U434" s="31" t="n">
        <f aca="false">IF($B434='設定（最初に1回）'!$C$4,N(U433)+1,N(U433))</f>
        <v>134</v>
      </c>
    </row>
    <row r="435" customFormat="false" ht="15" hidden="false" customHeight="false" outlineLevel="0" collapsed="false">
      <c r="B435" s="53"/>
      <c r="I435" s="53"/>
      <c r="U435" s="31" t="n">
        <f aca="false">IF($B435='設定（最初に1回）'!$C$4,N(U434)+1,N(U434))</f>
        <v>134</v>
      </c>
    </row>
    <row r="436" customFormat="false" ht="15" hidden="false" customHeight="false" outlineLevel="0" collapsed="false">
      <c r="B436" s="53"/>
      <c r="I436" s="53"/>
      <c r="U436" s="31" t="n">
        <f aca="false">IF($B436='設定（最初に1回）'!$C$4,N(U435)+1,N(U435))</f>
        <v>134</v>
      </c>
    </row>
    <row r="437" customFormat="false" ht="15" hidden="false" customHeight="false" outlineLevel="0" collapsed="false">
      <c r="B437" s="53"/>
      <c r="I437" s="53"/>
      <c r="U437" s="31" t="n">
        <f aca="false">IF($B437='設定（最初に1回）'!$C$4,N(U436)+1,N(U436))</f>
        <v>134</v>
      </c>
    </row>
    <row r="438" customFormat="false" ht="15" hidden="false" customHeight="false" outlineLevel="0" collapsed="false">
      <c r="B438" s="53"/>
      <c r="I438" s="53"/>
      <c r="U438" s="31" t="n">
        <f aca="false">IF($B438='設定（最初に1回）'!$C$4,N(U437)+1,N(U437))</f>
        <v>134</v>
      </c>
    </row>
    <row r="439" customFormat="false" ht="15" hidden="false" customHeight="false" outlineLevel="0" collapsed="false">
      <c r="B439" s="53"/>
      <c r="I439" s="53"/>
      <c r="U439" s="31" t="n">
        <f aca="false">IF($B439='設定（最初に1回）'!$C$4,N(U438)+1,N(U438))</f>
        <v>134</v>
      </c>
    </row>
    <row r="440" customFormat="false" ht="15" hidden="false" customHeight="false" outlineLevel="0" collapsed="false">
      <c r="B440" s="53"/>
      <c r="I440" s="53"/>
      <c r="U440" s="31" t="n">
        <f aca="false">IF($B440='設定（最初に1回）'!$C$4,N(U439)+1,N(U439))</f>
        <v>134</v>
      </c>
    </row>
    <row r="441" customFormat="false" ht="15" hidden="false" customHeight="false" outlineLevel="0" collapsed="false">
      <c r="B441" s="53"/>
      <c r="I441" s="53"/>
      <c r="U441" s="31" t="n">
        <f aca="false">IF($B441='設定（最初に1回）'!$C$4,N(U440)+1,N(U440))</f>
        <v>134</v>
      </c>
    </row>
    <row r="442" customFormat="false" ht="15" hidden="false" customHeight="false" outlineLevel="0" collapsed="false">
      <c r="B442" s="53"/>
      <c r="I442" s="53"/>
      <c r="U442" s="31" t="n">
        <f aca="false">IF($B442='設定（最初に1回）'!$C$4,N(U441)+1,N(U441))</f>
        <v>134</v>
      </c>
    </row>
    <row r="443" customFormat="false" ht="15" hidden="false" customHeight="false" outlineLevel="0" collapsed="false">
      <c r="B443" s="53"/>
      <c r="I443" s="53"/>
      <c r="U443" s="31" t="n">
        <f aca="false">IF($B443='設定（最初に1回）'!$C$4,N(U442)+1,N(U442))</f>
        <v>134</v>
      </c>
    </row>
    <row r="444" customFormat="false" ht="15" hidden="false" customHeight="false" outlineLevel="0" collapsed="false">
      <c r="B444" s="53"/>
      <c r="I444" s="53"/>
      <c r="U444" s="31" t="n">
        <f aca="false">IF($B444='設定（最初に1回）'!$C$4,N(U443)+1,N(U443))</f>
        <v>134</v>
      </c>
    </row>
    <row r="445" customFormat="false" ht="15" hidden="false" customHeight="false" outlineLevel="0" collapsed="false">
      <c r="B445" s="53"/>
      <c r="I445" s="53"/>
      <c r="U445" s="31" t="n">
        <f aca="false">IF($B445='設定（最初に1回）'!$C$4,N(U444)+1,N(U444))</f>
        <v>134</v>
      </c>
    </row>
    <row r="446" customFormat="false" ht="15" hidden="false" customHeight="false" outlineLevel="0" collapsed="false">
      <c r="B446" s="53"/>
      <c r="I446" s="53"/>
      <c r="U446" s="31" t="n">
        <f aca="false">IF($B446='設定（最初に1回）'!$C$4,N(U445)+1,N(U445))</f>
        <v>134</v>
      </c>
    </row>
    <row r="447" customFormat="false" ht="15" hidden="false" customHeight="false" outlineLevel="0" collapsed="false">
      <c r="B447" s="53"/>
      <c r="I447" s="53"/>
      <c r="U447" s="31" t="n">
        <f aca="false">IF($B447='設定（最初に1回）'!$C$4,N(U446)+1,N(U446))</f>
        <v>134</v>
      </c>
    </row>
    <row r="448" customFormat="false" ht="15" hidden="false" customHeight="false" outlineLevel="0" collapsed="false">
      <c r="B448" s="53"/>
      <c r="I448" s="53"/>
      <c r="U448" s="31" t="n">
        <f aca="false">IF($B448='設定（最初に1回）'!$C$4,N(U447)+1,N(U447))</f>
        <v>134</v>
      </c>
    </row>
    <row r="449" customFormat="false" ht="15" hidden="false" customHeight="false" outlineLevel="0" collapsed="false">
      <c r="B449" s="53"/>
      <c r="I449" s="53"/>
      <c r="U449" s="31" t="n">
        <f aca="false">IF($B449='設定（最初に1回）'!$C$4,N(U448)+1,N(U448))</f>
        <v>134</v>
      </c>
    </row>
    <row r="450" customFormat="false" ht="15" hidden="false" customHeight="false" outlineLevel="0" collapsed="false">
      <c r="B450" s="53"/>
      <c r="I450" s="53"/>
      <c r="U450" s="31" t="n">
        <f aca="false">IF($B450='設定（最初に1回）'!$C$4,N(U449)+1,N(U449))</f>
        <v>134</v>
      </c>
    </row>
    <row r="451" customFormat="false" ht="15" hidden="false" customHeight="false" outlineLevel="0" collapsed="false">
      <c r="B451" s="53"/>
      <c r="I451" s="53"/>
      <c r="U451" s="31" t="n">
        <f aca="false">IF($B451='設定（最初に1回）'!$C$4,N(U450)+1,N(U450))</f>
        <v>134</v>
      </c>
    </row>
    <row r="452" customFormat="false" ht="15" hidden="false" customHeight="false" outlineLevel="0" collapsed="false">
      <c r="B452" s="53"/>
      <c r="I452" s="53"/>
      <c r="U452" s="31" t="n">
        <f aca="false">IF($B452='設定（最初に1回）'!$C$4,N(U451)+1,N(U451))</f>
        <v>134</v>
      </c>
    </row>
    <row r="453" customFormat="false" ht="15" hidden="false" customHeight="false" outlineLevel="0" collapsed="false">
      <c r="B453" s="53"/>
      <c r="I453" s="53"/>
      <c r="U453" s="31" t="n">
        <f aca="false">IF($B453='設定（最初に1回）'!$C$4,N(U452)+1,N(U452))</f>
        <v>134</v>
      </c>
    </row>
    <row r="454" customFormat="false" ht="15" hidden="false" customHeight="false" outlineLevel="0" collapsed="false">
      <c r="B454" s="53"/>
      <c r="I454" s="53"/>
      <c r="U454" s="31" t="n">
        <f aca="false">IF($B454='設定（最初に1回）'!$C$4,N(U453)+1,N(U453))</f>
        <v>134</v>
      </c>
    </row>
    <row r="455" customFormat="false" ht="15" hidden="false" customHeight="false" outlineLevel="0" collapsed="false">
      <c r="B455" s="53"/>
      <c r="I455" s="53"/>
      <c r="U455" s="31" t="n">
        <f aca="false">IF($B455='設定（最初に1回）'!$C$4,N(U454)+1,N(U454))</f>
        <v>134</v>
      </c>
    </row>
    <row r="456" customFormat="false" ht="15" hidden="false" customHeight="false" outlineLevel="0" collapsed="false">
      <c r="B456" s="53"/>
      <c r="I456" s="53"/>
      <c r="U456" s="31" t="n">
        <f aca="false">IF($B456='設定（最初に1回）'!$C$4,N(U455)+1,N(U455))</f>
        <v>134</v>
      </c>
    </row>
    <row r="457" customFormat="false" ht="15" hidden="false" customHeight="false" outlineLevel="0" collapsed="false">
      <c r="B457" s="53"/>
      <c r="I457" s="53"/>
      <c r="U457" s="31" t="n">
        <f aca="false">IF($B457='設定（最初に1回）'!$C$4,N(U456)+1,N(U456))</f>
        <v>134</v>
      </c>
    </row>
    <row r="458" customFormat="false" ht="15" hidden="false" customHeight="false" outlineLevel="0" collapsed="false">
      <c r="B458" s="53"/>
      <c r="I458" s="53"/>
      <c r="U458" s="31" t="n">
        <f aca="false">IF($B458='設定（最初に1回）'!$C$4,N(U457)+1,N(U457))</f>
        <v>134</v>
      </c>
    </row>
    <row r="459" customFormat="false" ht="15" hidden="false" customHeight="false" outlineLevel="0" collapsed="false">
      <c r="B459" s="53"/>
      <c r="I459" s="53"/>
      <c r="U459" s="31" t="n">
        <f aca="false">IF($B459='設定（最初に1回）'!$C$4,N(U458)+1,N(U458))</f>
        <v>134</v>
      </c>
    </row>
    <row r="460" customFormat="false" ht="15" hidden="false" customHeight="false" outlineLevel="0" collapsed="false">
      <c r="B460" s="53"/>
      <c r="I460" s="53"/>
      <c r="U460" s="31" t="n">
        <f aca="false">IF($B460='設定（最初に1回）'!$C$4,N(U459)+1,N(U459))</f>
        <v>134</v>
      </c>
    </row>
    <row r="461" customFormat="false" ht="15" hidden="false" customHeight="false" outlineLevel="0" collapsed="false">
      <c r="B461" s="53"/>
      <c r="I461" s="53"/>
      <c r="U461" s="31" t="n">
        <f aca="false">IF($B461='設定（最初に1回）'!$C$4,N(U460)+1,N(U460))</f>
        <v>134</v>
      </c>
    </row>
    <row r="462" customFormat="false" ht="15" hidden="false" customHeight="false" outlineLevel="0" collapsed="false">
      <c r="B462" s="53"/>
      <c r="I462" s="53"/>
      <c r="U462" s="31" t="n">
        <f aca="false">IF($B462='設定（最初に1回）'!$C$4,N(U461)+1,N(U461))</f>
        <v>134</v>
      </c>
    </row>
    <row r="463" customFormat="false" ht="15" hidden="false" customHeight="false" outlineLevel="0" collapsed="false">
      <c r="B463" s="53"/>
      <c r="I463" s="53"/>
      <c r="U463" s="31" t="n">
        <f aca="false">IF($B463='設定（最初に1回）'!$C$4,N(U462)+1,N(U462))</f>
        <v>134</v>
      </c>
    </row>
    <row r="464" customFormat="false" ht="15" hidden="false" customHeight="false" outlineLevel="0" collapsed="false">
      <c r="B464" s="53"/>
      <c r="I464" s="53"/>
      <c r="U464" s="31" t="n">
        <f aca="false">IF($B464='設定（最初に1回）'!$C$4,N(U463)+1,N(U463))</f>
        <v>134</v>
      </c>
    </row>
    <row r="465" customFormat="false" ht="15" hidden="false" customHeight="false" outlineLevel="0" collapsed="false">
      <c r="B465" s="53"/>
      <c r="I465" s="53"/>
      <c r="U465" s="31" t="n">
        <f aca="false">IF($B465='設定（最初に1回）'!$C$4,N(U464)+1,N(U464))</f>
        <v>134</v>
      </c>
    </row>
    <row r="466" customFormat="false" ht="15" hidden="false" customHeight="false" outlineLevel="0" collapsed="false">
      <c r="B466" s="53"/>
      <c r="I466" s="53"/>
      <c r="U466" s="31" t="n">
        <f aca="false">IF($B466='設定（最初に1回）'!$C$4,N(U465)+1,N(U465))</f>
        <v>134</v>
      </c>
    </row>
    <row r="467" customFormat="false" ht="15" hidden="false" customHeight="false" outlineLevel="0" collapsed="false">
      <c r="B467" s="53"/>
      <c r="I467" s="53"/>
      <c r="U467" s="31" t="n">
        <f aca="false">IF($B467='設定（最初に1回）'!$C$4,N(U466)+1,N(U466))</f>
        <v>134</v>
      </c>
    </row>
    <row r="468" customFormat="false" ht="15" hidden="false" customHeight="false" outlineLevel="0" collapsed="false">
      <c r="B468" s="53"/>
      <c r="I468" s="53"/>
      <c r="U468" s="31" t="n">
        <f aca="false">IF($B468='設定（最初に1回）'!$C$4,N(U467)+1,N(U467))</f>
        <v>134</v>
      </c>
    </row>
    <row r="469" customFormat="false" ht="15" hidden="false" customHeight="false" outlineLevel="0" collapsed="false">
      <c r="B469" s="53"/>
      <c r="I469" s="53"/>
      <c r="U469" s="31" t="n">
        <f aca="false">IF($B469='設定（最初に1回）'!$C$4,N(U468)+1,N(U468))</f>
        <v>134</v>
      </c>
    </row>
    <row r="470" customFormat="false" ht="15" hidden="false" customHeight="false" outlineLevel="0" collapsed="false">
      <c r="B470" s="53"/>
      <c r="I470" s="53"/>
      <c r="U470" s="31" t="n">
        <f aca="false">IF($B470='設定（最初に1回）'!$C$4,N(U469)+1,N(U469))</f>
        <v>134</v>
      </c>
    </row>
    <row r="471" customFormat="false" ht="15" hidden="false" customHeight="false" outlineLevel="0" collapsed="false">
      <c r="B471" s="53"/>
      <c r="I471" s="53"/>
      <c r="U471" s="31" t="n">
        <f aca="false">IF($B471='設定（最初に1回）'!$C$4,N(U470)+1,N(U470))</f>
        <v>134</v>
      </c>
    </row>
    <row r="472" customFormat="false" ht="15" hidden="false" customHeight="false" outlineLevel="0" collapsed="false">
      <c r="B472" s="53"/>
      <c r="I472" s="53"/>
      <c r="U472" s="31" t="n">
        <f aca="false">IF($B472='設定（最初に1回）'!$C$4,N(U471)+1,N(U471))</f>
        <v>134</v>
      </c>
    </row>
    <row r="473" customFormat="false" ht="15" hidden="false" customHeight="false" outlineLevel="0" collapsed="false">
      <c r="B473" s="53"/>
      <c r="I473" s="53"/>
      <c r="U473" s="31" t="n">
        <f aca="false">IF($B473='設定（最初に1回）'!$C$4,N(U472)+1,N(U472))</f>
        <v>134</v>
      </c>
    </row>
    <row r="474" customFormat="false" ht="15" hidden="false" customHeight="false" outlineLevel="0" collapsed="false">
      <c r="B474" s="53"/>
      <c r="I474" s="53"/>
      <c r="U474" s="31" t="n">
        <f aca="false">IF($B474='設定（最初に1回）'!$C$4,N(U473)+1,N(U473))</f>
        <v>134</v>
      </c>
    </row>
    <row r="475" customFormat="false" ht="15" hidden="false" customHeight="false" outlineLevel="0" collapsed="false">
      <c r="B475" s="53"/>
      <c r="I475" s="53"/>
      <c r="U475" s="31" t="n">
        <f aca="false">IF($B475='設定（最初に1回）'!$C$4,N(U474)+1,N(U474))</f>
        <v>134</v>
      </c>
    </row>
    <row r="476" customFormat="false" ht="15" hidden="false" customHeight="false" outlineLevel="0" collapsed="false">
      <c r="B476" s="53"/>
      <c r="I476" s="53"/>
      <c r="U476" s="31" t="n">
        <f aca="false">IF($B476='設定（最初に1回）'!$C$4,N(U475)+1,N(U475))</f>
        <v>134</v>
      </c>
    </row>
    <row r="477" customFormat="false" ht="15" hidden="false" customHeight="false" outlineLevel="0" collapsed="false">
      <c r="B477" s="53"/>
      <c r="I477" s="53"/>
      <c r="U477" s="31" t="n">
        <f aca="false">IF($B477='設定（最初に1回）'!$C$4,N(U476)+1,N(U476))</f>
        <v>134</v>
      </c>
    </row>
    <row r="478" customFormat="false" ht="15" hidden="false" customHeight="false" outlineLevel="0" collapsed="false">
      <c r="B478" s="53"/>
      <c r="I478" s="53"/>
      <c r="U478" s="31" t="n">
        <f aca="false">IF($B478='設定（最初に1回）'!$C$4,N(U477)+1,N(U477))</f>
        <v>134</v>
      </c>
    </row>
    <row r="479" customFormat="false" ht="15" hidden="false" customHeight="false" outlineLevel="0" collapsed="false">
      <c r="B479" s="53"/>
      <c r="I479" s="53"/>
      <c r="U479" s="31" t="n">
        <f aca="false">IF($B479='設定（最初に1回）'!$C$4,N(U478)+1,N(U478))</f>
        <v>134</v>
      </c>
    </row>
    <row r="480" customFormat="false" ht="15" hidden="false" customHeight="false" outlineLevel="0" collapsed="false">
      <c r="B480" s="53"/>
      <c r="I480" s="53"/>
      <c r="U480" s="31" t="n">
        <f aca="false">IF($B480='設定（最初に1回）'!$C$4,N(U479)+1,N(U479))</f>
        <v>134</v>
      </c>
    </row>
    <row r="481" customFormat="false" ht="15" hidden="false" customHeight="false" outlineLevel="0" collapsed="false">
      <c r="B481" s="53"/>
      <c r="I481" s="53"/>
      <c r="U481" s="31" t="n">
        <f aca="false">IF($B481='設定（最初に1回）'!$C$4,N(U480)+1,N(U480))</f>
        <v>134</v>
      </c>
    </row>
    <row r="482" customFormat="false" ht="15" hidden="false" customHeight="false" outlineLevel="0" collapsed="false">
      <c r="B482" s="53"/>
      <c r="I482" s="53"/>
      <c r="U482" s="31" t="n">
        <f aca="false">IF($B482='設定（最初に1回）'!$C$4,N(U481)+1,N(U481))</f>
        <v>134</v>
      </c>
    </row>
    <row r="483" customFormat="false" ht="15" hidden="false" customHeight="false" outlineLevel="0" collapsed="false">
      <c r="B483" s="53"/>
      <c r="I483" s="53"/>
      <c r="U483" s="31" t="n">
        <f aca="false">IF($B483='設定（最初に1回）'!$C$4,N(U482)+1,N(U482))</f>
        <v>134</v>
      </c>
    </row>
    <row r="484" customFormat="false" ht="15" hidden="false" customHeight="false" outlineLevel="0" collapsed="false">
      <c r="B484" s="53"/>
      <c r="I484" s="53"/>
      <c r="U484" s="31" t="n">
        <f aca="false">IF($B484='設定（最初に1回）'!$C$4,N(U483)+1,N(U483))</f>
        <v>134</v>
      </c>
    </row>
    <row r="485" customFormat="false" ht="15" hidden="false" customHeight="false" outlineLevel="0" collapsed="false">
      <c r="B485" s="53"/>
      <c r="I485" s="53"/>
      <c r="U485" s="31" t="n">
        <f aca="false">IF($B485='設定（最初に1回）'!$C$4,N(U484)+1,N(U484))</f>
        <v>134</v>
      </c>
    </row>
    <row r="486" customFormat="false" ht="15" hidden="false" customHeight="false" outlineLevel="0" collapsed="false">
      <c r="B486" s="53"/>
      <c r="I486" s="53"/>
      <c r="U486" s="31" t="n">
        <f aca="false">IF($B486='設定（最初に1回）'!$C$4,N(U485)+1,N(U485))</f>
        <v>134</v>
      </c>
    </row>
    <row r="487" customFormat="false" ht="15" hidden="false" customHeight="false" outlineLevel="0" collapsed="false">
      <c r="B487" s="53"/>
      <c r="I487" s="53"/>
      <c r="U487" s="31" t="n">
        <f aca="false">IF($B487='設定（最初に1回）'!$C$4,N(U486)+1,N(U486))</f>
        <v>134</v>
      </c>
    </row>
    <row r="488" customFormat="false" ht="15" hidden="false" customHeight="false" outlineLevel="0" collapsed="false">
      <c r="B488" s="53"/>
      <c r="I488" s="53"/>
      <c r="U488" s="31" t="n">
        <f aca="false">IF($B488='設定（最初に1回）'!$C$4,N(U487)+1,N(U487))</f>
        <v>134</v>
      </c>
    </row>
    <row r="489" customFormat="false" ht="15" hidden="false" customHeight="false" outlineLevel="0" collapsed="false">
      <c r="B489" s="53"/>
      <c r="I489" s="53"/>
      <c r="U489" s="31" t="n">
        <f aca="false">IF($B489='設定（最初に1回）'!$C$4,N(U488)+1,N(U488))</f>
        <v>134</v>
      </c>
    </row>
    <row r="490" customFormat="false" ht="15" hidden="false" customHeight="false" outlineLevel="0" collapsed="false">
      <c r="B490" s="53"/>
      <c r="I490" s="53"/>
      <c r="U490" s="31" t="n">
        <f aca="false">IF($B490='設定（最初に1回）'!$C$4,N(U489)+1,N(U489))</f>
        <v>134</v>
      </c>
    </row>
    <row r="491" customFormat="false" ht="15" hidden="false" customHeight="false" outlineLevel="0" collapsed="false">
      <c r="B491" s="53"/>
      <c r="I491" s="53"/>
      <c r="U491" s="31" t="n">
        <f aca="false">IF($B491='設定（最初に1回）'!$C$4,N(U490)+1,N(U490))</f>
        <v>134</v>
      </c>
    </row>
    <row r="492" customFormat="false" ht="15" hidden="false" customHeight="false" outlineLevel="0" collapsed="false">
      <c r="B492" s="53"/>
      <c r="I492" s="53"/>
      <c r="U492" s="31" t="n">
        <f aca="false">IF($B492='設定（最初に1回）'!$C$4,N(U491)+1,N(U491))</f>
        <v>134</v>
      </c>
    </row>
    <row r="493" customFormat="false" ht="15" hidden="false" customHeight="false" outlineLevel="0" collapsed="false">
      <c r="B493" s="53"/>
      <c r="I493" s="53"/>
      <c r="U493" s="31" t="n">
        <f aca="false">IF($B493='設定（最初に1回）'!$C$4,N(U492)+1,N(U492))</f>
        <v>134</v>
      </c>
    </row>
    <row r="494" customFormat="false" ht="15" hidden="false" customHeight="false" outlineLevel="0" collapsed="false">
      <c r="B494" s="53"/>
      <c r="I494" s="53"/>
      <c r="U494" s="31" t="n">
        <f aca="false">IF($B494='設定（最初に1回）'!$C$4,N(U493)+1,N(U493))</f>
        <v>134</v>
      </c>
    </row>
    <row r="495" customFormat="false" ht="15" hidden="false" customHeight="false" outlineLevel="0" collapsed="false">
      <c r="B495" s="53"/>
      <c r="I495" s="53"/>
      <c r="U495" s="31" t="n">
        <f aca="false">IF($B495='設定（最初に1回）'!$C$4,N(U494)+1,N(U494))</f>
        <v>134</v>
      </c>
    </row>
    <row r="496" customFormat="false" ht="15" hidden="false" customHeight="false" outlineLevel="0" collapsed="false">
      <c r="B496" s="53"/>
      <c r="I496" s="53"/>
      <c r="U496" s="31" t="n">
        <f aca="false">IF($B496='設定（最初に1回）'!$C$4,N(U495)+1,N(U495))</f>
        <v>134</v>
      </c>
    </row>
    <row r="497" customFormat="false" ht="15" hidden="false" customHeight="false" outlineLevel="0" collapsed="false">
      <c r="B497" s="53"/>
      <c r="I497" s="53"/>
      <c r="U497" s="31" t="n">
        <f aca="false">IF($B497='設定（最初に1回）'!$C$4,N(U496)+1,N(U496))</f>
        <v>134</v>
      </c>
    </row>
    <row r="498" customFormat="false" ht="15" hidden="false" customHeight="false" outlineLevel="0" collapsed="false">
      <c r="B498" s="53"/>
      <c r="I498" s="53"/>
      <c r="U498" s="31" t="n">
        <f aca="false">IF($B498='設定（最初に1回）'!$C$4,N(U497)+1,N(U497))</f>
        <v>134</v>
      </c>
    </row>
    <row r="499" customFormat="false" ht="15" hidden="false" customHeight="false" outlineLevel="0" collapsed="false">
      <c r="B499" s="53"/>
      <c r="I499" s="53"/>
      <c r="U499" s="31" t="n">
        <f aca="false">IF($B499='設定（最初に1回）'!$C$4,N(U498)+1,N(U498))</f>
        <v>134</v>
      </c>
    </row>
    <row r="500" customFormat="false" ht="15" hidden="false" customHeight="false" outlineLevel="0" collapsed="false">
      <c r="B500" s="53"/>
      <c r="I500" s="53"/>
      <c r="U500" s="31" t="n">
        <f aca="false">IF($B500='設定（最初に1回）'!$C$4,N(U499)+1,N(U499))</f>
        <v>134</v>
      </c>
    </row>
    <row r="501" customFormat="false" ht="15" hidden="false" customHeight="false" outlineLevel="0" collapsed="false">
      <c r="B501" s="53"/>
      <c r="I501" s="53"/>
      <c r="U501" s="31" t="n">
        <f aca="false">IF($B501='設定（最初に1回）'!$C$4,N(U500)+1,N(U500))</f>
        <v>134</v>
      </c>
    </row>
    <row r="502" customFormat="false" ht="15" hidden="false" customHeight="false" outlineLevel="0" collapsed="false">
      <c r="B502" s="53"/>
      <c r="I502" s="53"/>
      <c r="U502" s="31" t="n">
        <f aca="false">IF($B502='設定（最初に1回）'!$C$4,N(U501)+1,N(U501))</f>
        <v>134</v>
      </c>
    </row>
    <row r="503" customFormat="false" ht="15" hidden="false" customHeight="false" outlineLevel="0" collapsed="false">
      <c r="B503" s="53"/>
      <c r="I503" s="53"/>
      <c r="U503" s="31" t="n">
        <f aca="false">IF($B503='設定（最初に1回）'!$C$4,N(U502)+1,N(U502))</f>
        <v>134</v>
      </c>
    </row>
    <row r="504" customFormat="false" ht="15" hidden="false" customHeight="false" outlineLevel="0" collapsed="false">
      <c r="B504" s="53"/>
      <c r="I504" s="53"/>
      <c r="U504" s="31" t="n">
        <f aca="false">IF($B504='設定（最初に1回）'!$C$4,N(U503)+1,N(U503))</f>
        <v>134</v>
      </c>
    </row>
    <row r="505" customFormat="false" ht="15" hidden="false" customHeight="false" outlineLevel="0" collapsed="false">
      <c r="B505" s="53"/>
      <c r="I505" s="53"/>
      <c r="U505" s="31" t="n">
        <f aca="false">IF($B505='設定（最初に1回）'!$C$4,N(U504)+1,N(U504))</f>
        <v>134</v>
      </c>
    </row>
    <row r="506" customFormat="false" ht="15" hidden="false" customHeight="false" outlineLevel="0" collapsed="false">
      <c r="B506" s="53"/>
      <c r="I506" s="53"/>
      <c r="U506" s="31" t="n">
        <f aca="false">IF($B506='設定（最初に1回）'!$C$4,N(U505)+1,N(U505))</f>
        <v>134</v>
      </c>
    </row>
    <row r="507" customFormat="false" ht="15" hidden="false" customHeight="false" outlineLevel="0" collapsed="false">
      <c r="B507" s="53"/>
      <c r="I507" s="53"/>
      <c r="U507" s="31" t="n">
        <f aca="false">IF($B507='設定（最初に1回）'!$C$4,N(U506)+1,N(U506))</f>
        <v>134</v>
      </c>
    </row>
    <row r="508" customFormat="false" ht="15" hidden="false" customHeight="false" outlineLevel="0" collapsed="false">
      <c r="B508" s="53"/>
      <c r="I508" s="53"/>
      <c r="U508" s="31" t="n">
        <f aca="false">IF($B508='設定（最初に1回）'!$C$4,N(U507)+1,N(U507))</f>
        <v>134</v>
      </c>
    </row>
    <row r="509" customFormat="false" ht="15" hidden="false" customHeight="false" outlineLevel="0" collapsed="false">
      <c r="B509" s="53"/>
      <c r="I509" s="53"/>
      <c r="U509" s="31" t="n">
        <f aca="false">IF($B509='設定（最初に1回）'!$C$4,N(U508)+1,N(U508))</f>
        <v>134</v>
      </c>
    </row>
    <row r="510" customFormat="false" ht="15" hidden="false" customHeight="false" outlineLevel="0" collapsed="false">
      <c r="B510" s="53"/>
      <c r="I510" s="53"/>
      <c r="U510" s="31" t="n">
        <f aca="false">IF($B510='設定（最初に1回）'!$C$4,N(U509)+1,N(U509))</f>
        <v>134</v>
      </c>
    </row>
    <row r="511" customFormat="false" ht="15" hidden="false" customHeight="false" outlineLevel="0" collapsed="false">
      <c r="B511" s="53"/>
      <c r="I511" s="53"/>
      <c r="U511" s="31" t="n">
        <f aca="false">IF($B511='設定（最初に1回）'!$C$4,N(U510)+1,N(U510))</f>
        <v>134</v>
      </c>
    </row>
    <row r="512" customFormat="false" ht="15" hidden="false" customHeight="false" outlineLevel="0" collapsed="false">
      <c r="B512" s="53"/>
      <c r="I512" s="53"/>
      <c r="U512" s="31" t="n">
        <f aca="false">IF($B512='設定（最初に1回）'!$C$4,N(U511)+1,N(U511))</f>
        <v>134</v>
      </c>
    </row>
    <row r="513" customFormat="false" ht="15" hidden="false" customHeight="false" outlineLevel="0" collapsed="false">
      <c r="B513" s="53"/>
      <c r="I513" s="53"/>
      <c r="U513" s="31" t="n">
        <f aca="false">IF($B513='設定（最初に1回）'!$C$4,N(U512)+1,N(U512))</f>
        <v>134</v>
      </c>
    </row>
    <row r="514" customFormat="false" ht="15" hidden="false" customHeight="false" outlineLevel="0" collapsed="false">
      <c r="B514" s="53"/>
      <c r="I514" s="53"/>
      <c r="U514" s="31" t="n">
        <f aca="false">IF($B514='設定（最初に1回）'!$C$4,N(U513)+1,N(U513))</f>
        <v>134</v>
      </c>
    </row>
    <row r="515" customFormat="false" ht="15" hidden="false" customHeight="false" outlineLevel="0" collapsed="false">
      <c r="B515" s="53"/>
      <c r="I515" s="53"/>
      <c r="U515" s="31" t="n">
        <f aca="false">IF($B515='設定（最初に1回）'!$C$4,N(U514)+1,N(U514))</f>
        <v>134</v>
      </c>
    </row>
    <row r="516" customFormat="false" ht="15" hidden="false" customHeight="false" outlineLevel="0" collapsed="false">
      <c r="B516" s="53"/>
      <c r="I516" s="53"/>
      <c r="U516" s="31" t="n">
        <f aca="false">IF($B516='設定（最初に1回）'!$C$4,N(U515)+1,N(U515))</f>
        <v>134</v>
      </c>
    </row>
    <row r="517" customFormat="false" ht="15" hidden="false" customHeight="false" outlineLevel="0" collapsed="false">
      <c r="B517" s="53"/>
      <c r="I517" s="53"/>
      <c r="U517" s="31" t="n">
        <f aca="false">IF($B517='設定（最初に1回）'!$C$4,N(U516)+1,N(U516))</f>
        <v>134</v>
      </c>
    </row>
    <row r="518" customFormat="false" ht="15" hidden="false" customHeight="false" outlineLevel="0" collapsed="false">
      <c r="B518" s="53"/>
      <c r="I518" s="53"/>
      <c r="U518" s="31" t="n">
        <f aca="false">IF($B518='設定（最初に1回）'!$C$4,N(U517)+1,N(U517))</f>
        <v>134</v>
      </c>
    </row>
    <row r="519" customFormat="false" ht="15" hidden="false" customHeight="false" outlineLevel="0" collapsed="false">
      <c r="B519" s="53"/>
      <c r="I519" s="53"/>
      <c r="U519" s="31" t="n">
        <f aca="false">IF($B519='設定（最初に1回）'!$C$4,N(U518)+1,N(U518))</f>
        <v>134</v>
      </c>
    </row>
    <row r="520" customFormat="false" ht="15" hidden="false" customHeight="false" outlineLevel="0" collapsed="false">
      <c r="B520" s="53"/>
      <c r="I520" s="53"/>
      <c r="U520" s="31" t="n">
        <f aca="false">IF($B520='設定（最初に1回）'!$C$4,N(U519)+1,N(U519))</f>
        <v>134</v>
      </c>
    </row>
    <row r="521" customFormat="false" ht="15" hidden="false" customHeight="false" outlineLevel="0" collapsed="false">
      <c r="B521" s="53"/>
      <c r="I521" s="53"/>
      <c r="U521" s="31" t="n">
        <f aca="false">IF($B521='設定（最初に1回）'!$C$4,N(U520)+1,N(U520))</f>
        <v>134</v>
      </c>
    </row>
    <row r="522" customFormat="false" ht="15" hidden="false" customHeight="false" outlineLevel="0" collapsed="false">
      <c r="B522" s="53"/>
      <c r="I522" s="53"/>
      <c r="U522" s="31" t="n">
        <f aca="false">IF($B522='設定（最初に1回）'!$C$4,N(U521)+1,N(U521))</f>
        <v>134</v>
      </c>
    </row>
    <row r="523" customFormat="false" ht="15" hidden="false" customHeight="false" outlineLevel="0" collapsed="false">
      <c r="B523" s="53"/>
      <c r="I523" s="53"/>
      <c r="U523" s="31" t="n">
        <f aca="false">IF($B523='設定（最初に1回）'!$C$4,N(U522)+1,N(U522))</f>
        <v>134</v>
      </c>
    </row>
    <row r="524" customFormat="false" ht="15" hidden="false" customHeight="false" outlineLevel="0" collapsed="false">
      <c r="B524" s="53"/>
      <c r="I524" s="53"/>
      <c r="U524" s="31" t="n">
        <f aca="false">IF($B524='設定（最初に1回）'!$C$4,N(U523)+1,N(U523))</f>
        <v>134</v>
      </c>
    </row>
    <row r="525" customFormat="false" ht="15" hidden="false" customHeight="false" outlineLevel="0" collapsed="false">
      <c r="B525" s="53"/>
      <c r="I525" s="53"/>
      <c r="U525" s="31" t="n">
        <f aca="false">IF($B525='設定（最初に1回）'!$C$4,N(U524)+1,N(U524))</f>
        <v>134</v>
      </c>
    </row>
    <row r="526" customFormat="false" ht="15" hidden="false" customHeight="false" outlineLevel="0" collapsed="false">
      <c r="B526" s="53"/>
      <c r="I526" s="53"/>
      <c r="U526" s="31" t="n">
        <f aca="false">IF($B526='設定（最初に1回）'!$C$4,N(U525)+1,N(U525))</f>
        <v>134</v>
      </c>
    </row>
    <row r="527" customFormat="false" ht="15" hidden="false" customHeight="false" outlineLevel="0" collapsed="false">
      <c r="B527" s="53"/>
      <c r="I527" s="53"/>
      <c r="U527" s="31" t="n">
        <f aca="false">IF($B527='設定（最初に1回）'!$C$4,N(U526)+1,N(U526))</f>
        <v>134</v>
      </c>
    </row>
    <row r="528" customFormat="false" ht="15" hidden="false" customHeight="false" outlineLevel="0" collapsed="false">
      <c r="B528" s="53"/>
      <c r="I528" s="53"/>
      <c r="U528" s="31" t="n">
        <f aca="false">IF($B528='設定（最初に1回）'!$C$4,N(U527)+1,N(U527))</f>
        <v>134</v>
      </c>
    </row>
    <row r="529" customFormat="false" ht="15" hidden="false" customHeight="false" outlineLevel="0" collapsed="false">
      <c r="B529" s="53"/>
      <c r="I529" s="53"/>
      <c r="U529" s="31" t="n">
        <f aca="false">IF($B529='設定（最初に1回）'!$C$4,N(U528)+1,N(U528))</f>
        <v>134</v>
      </c>
    </row>
    <row r="530" customFormat="false" ht="15" hidden="false" customHeight="false" outlineLevel="0" collapsed="false">
      <c r="B530" s="53"/>
      <c r="I530" s="53"/>
      <c r="U530" s="31" t="n">
        <f aca="false">IF($B530='設定（最初に1回）'!$C$4,N(U529)+1,N(U529))</f>
        <v>134</v>
      </c>
    </row>
    <row r="531" customFormat="false" ht="15" hidden="false" customHeight="false" outlineLevel="0" collapsed="false">
      <c r="B531" s="53"/>
      <c r="I531" s="53"/>
      <c r="U531" s="31" t="n">
        <f aca="false">IF($B531='設定（最初に1回）'!$C$4,N(U530)+1,N(U530))</f>
        <v>134</v>
      </c>
    </row>
    <row r="532" customFormat="false" ht="15" hidden="false" customHeight="false" outlineLevel="0" collapsed="false">
      <c r="B532" s="53"/>
      <c r="I532" s="53"/>
      <c r="U532" s="31" t="n">
        <f aca="false">IF($B532='設定（最初に1回）'!$C$4,N(U531)+1,N(U531))</f>
        <v>134</v>
      </c>
    </row>
    <row r="533" customFormat="false" ht="15" hidden="false" customHeight="false" outlineLevel="0" collapsed="false">
      <c r="B533" s="53"/>
      <c r="I533" s="53"/>
      <c r="U533" s="31" t="n">
        <f aca="false">IF($B533='設定（最初に1回）'!$C$4,N(U532)+1,N(U532))</f>
        <v>134</v>
      </c>
    </row>
    <row r="534" customFormat="false" ht="15" hidden="false" customHeight="false" outlineLevel="0" collapsed="false">
      <c r="B534" s="53"/>
      <c r="I534" s="53"/>
      <c r="U534" s="31" t="n">
        <f aca="false">IF($B534='設定（最初に1回）'!$C$4,N(U533)+1,N(U533))</f>
        <v>134</v>
      </c>
    </row>
    <row r="535" customFormat="false" ht="15" hidden="false" customHeight="false" outlineLevel="0" collapsed="false">
      <c r="B535" s="53"/>
      <c r="I535" s="53"/>
      <c r="U535" s="31" t="n">
        <f aca="false">IF($B535='設定（最初に1回）'!$C$4,N(U534)+1,N(U534))</f>
        <v>134</v>
      </c>
    </row>
    <row r="536" customFormat="false" ht="15" hidden="false" customHeight="false" outlineLevel="0" collapsed="false">
      <c r="B536" s="53"/>
      <c r="I536" s="53"/>
      <c r="U536" s="31" t="n">
        <f aca="false">IF($B536='設定（最初に1回）'!$C$4,N(U535)+1,N(U535))</f>
        <v>134</v>
      </c>
    </row>
    <row r="537" customFormat="false" ht="15" hidden="false" customHeight="false" outlineLevel="0" collapsed="false">
      <c r="B537" s="53"/>
      <c r="I537" s="53"/>
      <c r="U537" s="31" t="n">
        <f aca="false">IF($B537='設定（最初に1回）'!$C$4,N(U536)+1,N(U536))</f>
        <v>134</v>
      </c>
    </row>
    <row r="538" customFormat="false" ht="15" hidden="false" customHeight="false" outlineLevel="0" collapsed="false">
      <c r="B538" s="53"/>
      <c r="I538" s="53"/>
      <c r="U538" s="31" t="n">
        <f aca="false">IF($B538='設定（最初に1回）'!$C$4,N(U537)+1,N(U537))</f>
        <v>134</v>
      </c>
    </row>
    <row r="539" customFormat="false" ht="15" hidden="false" customHeight="false" outlineLevel="0" collapsed="false">
      <c r="B539" s="53"/>
      <c r="I539" s="53"/>
      <c r="U539" s="31" t="n">
        <f aca="false">IF($B539='設定（最初に1回）'!$C$4,N(U538)+1,N(U538))</f>
        <v>134</v>
      </c>
    </row>
    <row r="540" customFormat="false" ht="15" hidden="false" customHeight="false" outlineLevel="0" collapsed="false">
      <c r="B540" s="53"/>
      <c r="I540" s="53"/>
      <c r="U540" s="31" t="n">
        <f aca="false">IF($B540='設定（最初に1回）'!$C$4,N(U539)+1,N(U539))</f>
        <v>134</v>
      </c>
    </row>
    <row r="541" customFormat="false" ht="15" hidden="false" customHeight="false" outlineLevel="0" collapsed="false">
      <c r="B541" s="53"/>
      <c r="I541" s="53"/>
      <c r="U541" s="31" t="n">
        <f aca="false">IF($B541='設定（最初に1回）'!$C$4,N(U540)+1,N(U540))</f>
        <v>134</v>
      </c>
    </row>
    <row r="542" customFormat="false" ht="15" hidden="false" customHeight="false" outlineLevel="0" collapsed="false">
      <c r="B542" s="53"/>
      <c r="I542" s="53"/>
      <c r="U542" s="31" t="n">
        <f aca="false">IF($B542='設定（最初に1回）'!$C$4,N(U541)+1,N(U541))</f>
        <v>134</v>
      </c>
    </row>
    <row r="543" customFormat="false" ht="15" hidden="false" customHeight="false" outlineLevel="0" collapsed="false">
      <c r="B543" s="53"/>
      <c r="I543" s="53"/>
      <c r="U543" s="31" t="n">
        <f aca="false">IF($B543='設定（最初に1回）'!$C$4,N(U542)+1,N(U542))</f>
        <v>134</v>
      </c>
    </row>
    <row r="544" customFormat="false" ht="15" hidden="false" customHeight="false" outlineLevel="0" collapsed="false">
      <c r="B544" s="53"/>
      <c r="I544" s="53"/>
      <c r="U544" s="31" t="n">
        <f aca="false">IF($B544='設定（最初に1回）'!$C$4,N(U543)+1,N(U543))</f>
        <v>134</v>
      </c>
    </row>
    <row r="545" customFormat="false" ht="15" hidden="false" customHeight="false" outlineLevel="0" collapsed="false">
      <c r="B545" s="53"/>
      <c r="I545" s="53"/>
      <c r="U545" s="31" t="n">
        <f aca="false">IF($B545='設定（最初に1回）'!$C$4,N(U544)+1,N(U544))</f>
        <v>134</v>
      </c>
    </row>
    <row r="546" customFormat="false" ht="15" hidden="false" customHeight="false" outlineLevel="0" collapsed="false">
      <c r="B546" s="53"/>
      <c r="I546" s="53"/>
      <c r="U546" s="31" t="n">
        <f aca="false">IF($B546='設定（最初に1回）'!$C$4,N(U545)+1,N(U545))</f>
        <v>134</v>
      </c>
    </row>
    <row r="547" customFormat="false" ht="15" hidden="false" customHeight="false" outlineLevel="0" collapsed="false">
      <c r="B547" s="53"/>
      <c r="I547" s="53"/>
      <c r="U547" s="31" t="n">
        <f aca="false">IF($B547='設定（最初に1回）'!$C$4,N(U546)+1,N(U546))</f>
        <v>134</v>
      </c>
    </row>
    <row r="548" customFormat="false" ht="15" hidden="false" customHeight="false" outlineLevel="0" collapsed="false">
      <c r="B548" s="53"/>
      <c r="I548" s="53"/>
      <c r="U548" s="31" t="n">
        <f aca="false">IF($B548='設定（最初に1回）'!$C$4,N(U547)+1,N(U547))</f>
        <v>134</v>
      </c>
    </row>
    <row r="549" customFormat="false" ht="15" hidden="false" customHeight="false" outlineLevel="0" collapsed="false">
      <c r="B549" s="53"/>
      <c r="I549" s="53"/>
      <c r="U549" s="31" t="n">
        <f aca="false">IF($B549='設定（最初に1回）'!$C$4,N(U548)+1,N(U548))</f>
        <v>134</v>
      </c>
    </row>
    <row r="550" customFormat="false" ht="15" hidden="false" customHeight="false" outlineLevel="0" collapsed="false">
      <c r="B550" s="53"/>
      <c r="I550" s="53"/>
      <c r="U550" s="31" t="n">
        <f aca="false">IF($B550='設定（最初に1回）'!$C$4,N(U549)+1,N(U549))</f>
        <v>134</v>
      </c>
    </row>
    <row r="551" customFormat="false" ht="15" hidden="false" customHeight="false" outlineLevel="0" collapsed="false">
      <c r="B551" s="53"/>
      <c r="I551" s="53"/>
      <c r="U551" s="31" t="n">
        <f aca="false">IF($B551='設定（最初に1回）'!$C$4,N(U550)+1,N(U550))</f>
        <v>134</v>
      </c>
    </row>
    <row r="552" customFormat="false" ht="15" hidden="false" customHeight="false" outlineLevel="0" collapsed="false">
      <c r="B552" s="53"/>
      <c r="I552" s="53"/>
      <c r="U552" s="31" t="n">
        <f aca="false">IF($B552='設定（最初に1回）'!$C$4,N(U551)+1,N(U551))</f>
        <v>134</v>
      </c>
    </row>
    <row r="553" customFormat="false" ht="15" hidden="false" customHeight="false" outlineLevel="0" collapsed="false">
      <c r="B553" s="53"/>
      <c r="I553" s="53"/>
      <c r="U553" s="31" t="n">
        <f aca="false">IF($B553='設定（最初に1回）'!$C$4,N(U552)+1,N(U552))</f>
        <v>134</v>
      </c>
    </row>
    <row r="554" customFormat="false" ht="15" hidden="false" customHeight="false" outlineLevel="0" collapsed="false">
      <c r="B554" s="53"/>
      <c r="I554" s="53"/>
      <c r="U554" s="31" t="n">
        <f aca="false">IF($B554='設定（最初に1回）'!$C$4,N(U553)+1,N(U553))</f>
        <v>134</v>
      </c>
    </row>
    <row r="555" customFormat="false" ht="15" hidden="false" customHeight="false" outlineLevel="0" collapsed="false">
      <c r="B555" s="53"/>
      <c r="I555" s="53"/>
      <c r="U555" s="31" t="n">
        <f aca="false">IF($B555='設定（最初に1回）'!$C$4,N(U554)+1,N(U554))</f>
        <v>134</v>
      </c>
    </row>
    <row r="556" customFormat="false" ht="15" hidden="false" customHeight="false" outlineLevel="0" collapsed="false">
      <c r="B556" s="53"/>
      <c r="I556" s="53"/>
      <c r="U556" s="31" t="n">
        <f aca="false">IF($B556='設定（最初に1回）'!$C$4,N(U555)+1,N(U555))</f>
        <v>134</v>
      </c>
    </row>
    <row r="557" customFormat="false" ht="15" hidden="false" customHeight="false" outlineLevel="0" collapsed="false">
      <c r="B557" s="53"/>
      <c r="I557" s="53"/>
      <c r="U557" s="31" t="n">
        <f aca="false">IF($B557='設定（最初に1回）'!$C$4,N(U556)+1,N(U556))</f>
        <v>134</v>
      </c>
    </row>
    <row r="558" customFormat="false" ht="15" hidden="false" customHeight="false" outlineLevel="0" collapsed="false">
      <c r="B558" s="53"/>
      <c r="I558" s="53"/>
      <c r="U558" s="31" t="n">
        <f aca="false">IF($B558='設定（最初に1回）'!$C$4,N(U557)+1,N(U557))</f>
        <v>134</v>
      </c>
    </row>
    <row r="559" customFormat="false" ht="15" hidden="false" customHeight="false" outlineLevel="0" collapsed="false">
      <c r="B559" s="53"/>
      <c r="I559" s="53"/>
      <c r="U559" s="31" t="n">
        <f aca="false">IF($B559='設定（最初に1回）'!$C$4,N(U558)+1,N(U558))</f>
        <v>134</v>
      </c>
    </row>
    <row r="560" customFormat="false" ht="15" hidden="false" customHeight="false" outlineLevel="0" collapsed="false">
      <c r="B560" s="53"/>
      <c r="I560" s="53"/>
      <c r="U560" s="31" t="n">
        <f aca="false">IF($B560='設定（最初に1回）'!$C$4,N(U559)+1,N(U559))</f>
        <v>134</v>
      </c>
    </row>
    <row r="561" customFormat="false" ht="15" hidden="false" customHeight="false" outlineLevel="0" collapsed="false">
      <c r="B561" s="53"/>
      <c r="I561" s="53"/>
      <c r="U561" s="31" t="n">
        <f aca="false">IF($B561='設定（最初に1回）'!$C$4,N(U560)+1,N(U560))</f>
        <v>134</v>
      </c>
    </row>
    <row r="562" customFormat="false" ht="15" hidden="false" customHeight="false" outlineLevel="0" collapsed="false">
      <c r="B562" s="53"/>
      <c r="I562" s="53"/>
      <c r="U562" s="31" t="n">
        <f aca="false">IF($B562='設定（最初に1回）'!$C$4,N(U561)+1,N(U561))</f>
        <v>134</v>
      </c>
    </row>
    <row r="563" customFormat="false" ht="15" hidden="false" customHeight="false" outlineLevel="0" collapsed="false">
      <c r="B563" s="53"/>
      <c r="I563" s="53"/>
      <c r="U563" s="31" t="n">
        <f aca="false">IF($B563='設定（最初に1回）'!$C$4,N(U562)+1,N(U562))</f>
        <v>134</v>
      </c>
    </row>
    <row r="564" customFormat="false" ht="15" hidden="false" customHeight="false" outlineLevel="0" collapsed="false">
      <c r="B564" s="53"/>
      <c r="I564" s="53"/>
      <c r="U564" s="31" t="n">
        <f aca="false">IF($B564='設定（最初に1回）'!$C$4,N(U563)+1,N(U563))</f>
        <v>134</v>
      </c>
    </row>
    <row r="565" customFormat="false" ht="15" hidden="false" customHeight="false" outlineLevel="0" collapsed="false">
      <c r="B565" s="53"/>
      <c r="I565" s="53"/>
      <c r="U565" s="31" t="n">
        <f aca="false">IF($B565='設定（最初に1回）'!$C$4,N(U564)+1,N(U564))</f>
        <v>134</v>
      </c>
    </row>
    <row r="566" customFormat="false" ht="15" hidden="false" customHeight="false" outlineLevel="0" collapsed="false">
      <c r="B566" s="53"/>
      <c r="I566" s="53"/>
      <c r="U566" s="31" t="n">
        <f aca="false">IF($B566='設定（最初に1回）'!$C$4,N(U565)+1,N(U565))</f>
        <v>134</v>
      </c>
    </row>
    <row r="567" customFormat="false" ht="15" hidden="false" customHeight="false" outlineLevel="0" collapsed="false">
      <c r="B567" s="53"/>
      <c r="I567" s="53"/>
      <c r="U567" s="31" t="n">
        <f aca="false">IF($B567='設定（最初に1回）'!$C$4,N(U566)+1,N(U566))</f>
        <v>134</v>
      </c>
    </row>
    <row r="568" customFormat="false" ht="15" hidden="false" customHeight="false" outlineLevel="0" collapsed="false">
      <c r="B568" s="53"/>
      <c r="I568" s="53"/>
      <c r="U568" s="31" t="n">
        <f aca="false">IF($B568='設定（最初に1回）'!$C$4,N(U567)+1,N(U567))</f>
        <v>134</v>
      </c>
    </row>
    <row r="569" customFormat="false" ht="15" hidden="false" customHeight="false" outlineLevel="0" collapsed="false">
      <c r="B569" s="53"/>
      <c r="I569" s="53"/>
      <c r="U569" s="31" t="n">
        <f aca="false">IF($B569='設定（最初に1回）'!$C$4,N(U568)+1,N(U568))</f>
        <v>134</v>
      </c>
    </row>
    <row r="570" customFormat="false" ht="15" hidden="false" customHeight="false" outlineLevel="0" collapsed="false">
      <c r="B570" s="53"/>
      <c r="I570" s="53"/>
      <c r="U570" s="31" t="n">
        <f aca="false">IF($B570='設定（最初に1回）'!$C$4,N(U569)+1,N(U569))</f>
        <v>134</v>
      </c>
    </row>
    <row r="571" customFormat="false" ht="15" hidden="false" customHeight="false" outlineLevel="0" collapsed="false">
      <c r="B571" s="53"/>
      <c r="I571" s="53"/>
      <c r="U571" s="31" t="n">
        <f aca="false">IF($B571='設定（最初に1回）'!$C$4,N(U570)+1,N(U570))</f>
        <v>134</v>
      </c>
    </row>
    <row r="572" customFormat="false" ht="15" hidden="false" customHeight="false" outlineLevel="0" collapsed="false">
      <c r="B572" s="53"/>
      <c r="I572" s="53"/>
      <c r="U572" s="31" t="n">
        <f aca="false">IF($B572='設定（最初に1回）'!$C$4,N(U571)+1,N(U571))</f>
        <v>134</v>
      </c>
    </row>
    <row r="573" customFormat="false" ht="15" hidden="false" customHeight="false" outlineLevel="0" collapsed="false">
      <c r="B573" s="53"/>
      <c r="I573" s="53"/>
      <c r="U573" s="31" t="n">
        <f aca="false">IF($B573='設定（最初に1回）'!$C$4,N(U572)+1,N(U572))</f>
        <v>134</v>
      </c>
    </row>
    <row r="574" customFormat="false" ht="15" hidden="false" customHeight="false" outlineLevel="0" collapsed="false">
      <c r="B574" s="53"/>
      <c r="I574" s="53"/>
      <c r="U574" s="31" t="n">
        <f aca="false">IF($B574='設定（最初に1回）'!$C$4,N(U573)+1,N(U573))</f>
        <v>134</v>
      </c>
    </row>
    <row r="575" customFormat="false" ht="15" hidden="false" customHeight="false" outlineLevel="0" collapsed="false">
      <c r="B575" s="53"/>
      <c r="I575" s="53"/>
      <c r="U575" s="31" t="n">
        <f aca="false">IF($B575='設定（最初に1回）'!$C$4,N(U574)+1,N(U574))</f>
        <v>134</v>
      </c>
    </row>
    <row r="576" customFormat="false" ht="15" hidden="false" customHeight="false" outlineLevel="0" collapsed="false">
      <c r="B576" s="53"/>
      <c r="I576" s="53"/>
      <c r="U576" s="31" t="n">
        <f aca="false">IF($B576='設定（最初に1回）'!$C$4,N(U575)+1,N(U575))</f>
        <v>134</v>
      </c>
    </row>
    <row r="577" customFormat="false" ht="15" hidden="false" customHeight="false" outlineLevel="0" collapsed="false">
      <c r="B577" s="53"/>
      <c r="I577" s="53"/>
      <c r="U577" s="31" t="n">
        <f aca="false">IF($B577='設定（最初に1回）'!$C$4,N(U576)+1,N(U576))</f>
        <v>134</v>
      </c>
    </row>
    <row r="578" customFormat="false" ht="15" hidden="false" customHeight="false" outlineLevel="0" collapsed="false">
      <c r="B578" s="53"/>
      <c r="I578" s="53"/>
      <c r="U578" s="31" t="n">
        <f aca="false">IF($B578='設定（最初に1回）'!$C$4,N(U577)+1,N(U577))</f>
        <v>134</v>
      </c>
    </row>
    <row r="579" customFormat="false" ht="15" hidden="false" customHeight="false" outlineLevel="0" collapsed="false">
      <c r="B579" s="53"/>
      <c r="I579" s="53"/>
      <c r="U579" s="31" t="n">
        <f aca="false">IF($B579='設定（最初に1回）'!$C$4,N(U578)+1,N(U578))</f>
        <v>134</v>
      </c>
    </row>
    <row r="580" customFormat="false" ht="15" hidden="false" customHeight="false" outlineLevel="0" collapsed="false">
      <c r="B580" s="53"/>
      <c r="I580" s="53"/>
      <c r="U580" s="31" t="n">
        <f aca="false">IF($B580='設定（最初に1回）'!$C$4,N(U579)+1,N(U579))</f>
        <v>134</v>
      </c>
    </row>
    <row r="581" customFormat="false" ht="15" hidden="false" customHeight="false" outlineLevel="0" collapsed="false">
      <c r="B581" s="53"/>
      <c r="I581" s="53"/>
      <c r="U581" s="31" t="n">
        <f aca="false">IF($B581='設定（最初に1回）'!$C$4,N(U580)+1,N(U580))</f>
        <v>134</v>
      </c>
    </row>
    <row r="582" customFormat="false" ht="15" hidden="false" customHeight="false" outlineLevel="0" collapsed="false">
      <c r="B582" s="53"/>
      <c r="I582" s="53"/>
      <c r="U582" s="31" t="n">
        <f aca="false">IF($B582='設定（最初に1回）'!$C$4,N(U581)+1,N(U581))</f>
        <v>134</v>
      </c>
    </row>
    <row r="583" customFormat="false" ht="15" hidden="false" customHeight="false" outlineLevel="0" collapsed="false">
      <c r="B583" s="53"/>
      <c r="I583" s="53"/>
      <c r="U583" s="31" t="n">
        <f aca="false">IF($B583='設定（最初に1回）'!$C$4,N(U582)+1,N(U582))</f>
        <v>134</v>
      </c>
    </row>
    <row r="584" customFormat="false" ht="15" hidden="false" customHeight="false" outlineLevel="0" collapsed="false">
      <c r="B584" s="53"/>
      <c r="I584" s="53"/>
      <c r="U584" s="31" t="n">
        <f aca="false">IF($B584='設定（最初に1回）'!$C$4,N(U583)+1,N(U583))</f>
        <v>134</v>
      </c>
    </row>
    <row r="585" customFormat="false" ht="15" hidden="false" customHeight="false" outlineLevel="0" collapsed="false">
      <c r="B585" s="53"/>
      <c r="I585" s="53"/>
      <c r="U585" s="31" t="n">
        <f aca="false">IF($B585='設定（最初に1回）'!$C$4,N(U584)+1,N(U584))</f>
        <v>134</v>
      </c>
    </row>
    <row r="586" customFormat="false" ht="15" hidden="false" customHeight="false" outlineLevel="0" collapsed="false">
      <c r="B586" s="53"/>
      <c r="I586" s="53"/>
      <c r="U586" s="31" t="n">
        <f aca="false">IF($B586='設定（最初に1回）'!$C$4,N(U585)+1,N(U585))</f>
        <v>134</v>
      </c>
    </row>
    <row r="587" customFormat="false" ht="15" hidden="false" customHeight="false" outlineLevel="0" collapsed="false">
      <c r="B587" s="53"/>
      <c r="I587" s="53"/>
      <c r="U587" s="31" t="n">
        <f aca="false">IF($B587='設定（最初に1回）'!$C$4,N(U586)+1,N(U586))</f>
        <v>134</v>
      </c>
    </row>
    <row r="588" customFormat="false" ht="15" hidden="false" customHeight="false" outlineLevel="0" collapsed="false">
      <c r="B588" s="53"/>
      <c r="I588" s="53"/>
      <c r="U588" s="31" t="n">
        <f aca="false">IF($B588='設定（最初に1回）'!$C$4,N(U587)+1,N(U587))</f>
        <v>134</v>
      </c>
    </row>
    <row r="589" customFormat="false" ht="15" hidden="false" customHeight="false" outlineLevel="0" collapsed="false">
      <c r="B589" s="53"/>
      <c r="I589" s="53"/>
      <c r="U589" s="31" t="n">
        <f aca="false">IF($B589='設定（最初に1回）'!$C$4,N(U588)+1,N(U588))</f>
        <v>134</v>
      </c>
    </row>
    <row r="590" customFormat="false" ht="15" hidden="false" customHeight="false" outlineLevel="0" collapsed="false">
      <c r="B590" s="53"/>
      <c r="I590" s="53"/>
      <c r="U590" s="31" t="n">
        <f aca="false">IF($B590='設定（最初に1回）'!$C$4,N(U589)+1,N(U589))</f>
        <v>134</v>
      </c>
    </row>
    <row r="591" customFormat="false" ht="15" hidden="false" customHeight="false" outlineLevel="0" collapsed="false">
      <c r="B591" s="53"/>
      <c r="I591" s="53"/>
      <c r="U591" s="31" t="n">
        <f aca="false">IF($B591='設定（最初に1回）'!$C$4,N(U590)+1,N(U590))</f>
        <v>134</v>
      </c>
    </row>
    <row r="592" customFormat="false" ht="15" hidden="false" customHeight="false" outlineLevel="0" collapsed="false">
      <c r="B592" s="53"/>
      <c r="I592" s="53"/>
      <c r="U592" s="31" t="n">
        <f aca="false">IF($B592='設定（最初に1回）'!$C$4,N(U591)+1,N(U591))</f>
        <v>134</v>
      </c>
    </row>
    <row r="593" customFormat="false" ht="15" hidden="false" customHeight="false" outlineLevel="0" collapsed="false">
      <c r="B593" s="53"/>
      <c r="I593" s="53"/>
      <c r="U593" s="31" t="n">
        <f aca="false">IF($B593='設定（最初に1回）'!$C$4,N(U592)+1,N(U592))</f>
        <v>134</v>
      </c>
    </row>
    <row r="594" customFormat="false" ht="15" hidden="false" customHeight="false" outlineLevel="0" collapsed="false">
      <c r="B594" s="53"/>
      <c r="I594" s="53"/>
      <c r="U594" s="31" t="n">
        <f aca="false">IF($B594='設定（最初に1回）'!$C$4,N(U593)+1,N(U593))</f>
        <v>134</v>
      </c>
    </row>
    <row r="595" customFormat="false" ht="15" hidden="false" customHeight="false" outlineLevel="0" collapsed="false">
      <c r="B595" s="53"/>
      <c r="I595" s="53"/>
      <c r="U595" s="31" t="n">
        <f aca="false">IF($B595='設定（最初に1回）'!$C$4,N(U594)+1,N(U594))</f>
        <v>134</v>
      </c>
    </row>
    <row r="596" customFormat="false" ht="15" hidden="false" customHeight="false" outlineLevel="0" collapsed="false">
      <c r="B596" s="53"/>
      <c r="I596" s="53"/>
      <c r="U596" s="31" t="n">
        <f aca="false">IF($B596='設定（最初に1回）'!$C$4,N(U595)+1,N(U595))</f>
        <v>134</v>
      </c>
    </row>
    <row r="597" customFormat="false" ht="15" hidden="false" customHeight="false" outlineLevel="0" collapsed="false">
      <c r="B597" s="53"/>
      <c r="I597" s="53"/>
      <c r="U597" s="31" t="n">
        <f aca="false">IF($B597='設定（最初に1回）'!$C$4,N(U596)+1,N(U596))</f>
        <v>134</v>
      </c>
    </row>
    <row r="598" customFormat="false" ht="15" hidden="false" customHeight="false" outlineLevel="0" collapsed="false">
      <c r="B598" s="53"/>
      <c r="I598" s="53"/>
      <c r="U598" s="31" t="n">
        <f aca="false">IF($B598='設定（最初に1回）'!$C$4,N(U597)+1,N(U597))</f>
        <v>134</v>
      </c>
    </row>
    <row r="599" customFormat="false" ht="15" hidden="false" customHeight="false" outlineLevel="0" collapsed="false">
      <c r="B599" s="53"/>
      <c r="I599" s="53"/>
      <c r="U599" s="31" t="n">
        <f aca="false">IF($B599='設定（最初に1回）'!$C$4,N(U598)+1,N(U598))</f>
        <v>134</v>
      </c>
    </row>
    <row r="600" customFormat="false" ht="15" hidden="false" customHeight="false" outlineLevel="0" collapsed="false">
      <c r="B600" s="53"/>
      <c r="I600" s="53"/>
      <c r="U600" s="31" t="n">
        <f aca="false">IF($B600='設定（最初に1回）'!$C$4,N(U599)+1,N(U599))</f>
        <v>134</v>
      </c>
    </row>
    <row r="601" customFormat="false" ht="15" hidden="false" customHeight="false" outlineLevel="0" collapsed="false">
      <c r="B601" s="53"/>
      <c r="I601" s="53"/>
      <c r="U601" s="31" t="n">
        <f aca="false">IF($B601='設定（最初に1回）'!$C$4,N(U600)+1,N(U600))</f>
        <v>134</v>
      </c>
    </row>
    <row r="602" customFormat="false" ht="15" hidden="false" customHeight="false" outlineLevel="0" collapsed="false">
      <c r="B602" s="53"/>
      <c r="I602" s="53"/>
      <c r="U602" s="31" t="n">
        <f aca="false">IF($B602='設定（最初に1回）'!$C$4,N(U601)+1,N(U601))</f>
        <v>134</v>
      </c>
    </row>
    <row r="603" customFormat="false" ht="15" hidden="false" customHeight="false" outlineLevel="0" collapsed="false">
      <c r="B603" s="53"/>
      <c r="I603" s="53"/>
      <c r="U603" s="31" t="n">
        <f aca="false">IF($B603='設定（最初に1回）'!$C$4,N(U602)+1,N(U602))</f>
        <v>134</v>
      </c>
    </row>
    <row r="604" customFormat="false" ht="15" hidden="false" customHeight="false" outlineLevel="0" collapsed="false">
      <c r="B604" s="53"/>
      <c r="I604" s="53"/>
      <c r="U604" s="31" t="n">
        <f aca="false">IF($B604='設定（最初に1回）'!$C$4,N(U603)+1,N(U603))</f>
        <v>134</v>
      </c>
    </row>
    <row r="605" customFormat="false" ht="15" hidden="false" customHeight="false" outlineLevel="0" collapsed="false">
      <c r="B605" s="53"/>
      <c r="I605" s="53"/>
      <c r="U605" s="31" t="n">
        <f aca="false">IF($B605='設定（最初に1回）'!$C$4,N(U604)+1,N(U604))</f>
        <v>134</v>
      </c>
    </row>
    <row r="606" customFormat="false" ht="15" hidden="false" customHeight="false" outlineLevel="0" collapsed="false">
      <c r="B606" s="53"/>
      <c r="I606" s="53"/>
      <c r="U606" s="31" t="n">
        <f aca="false">IF($B606='設定（最初に1回）'!$C$4,N(U605)+1,N(U605))</f>
        <v>134</v>
      </c>
    </row>
    <row r="607" customFormat="false" ht="15" hidden="false" customHeight="false" outlineLevel="0" collapsed="false">
      <c r="B607" s="53"/>
      <c r="I607" s="53"/>
      <c r="U607" s="31" t="n">
        <f aca="false">IF($B607='設定（最初に1回）'!$C$4,N(U606)+1,N(U606))</f>
        <v>134</v>
      </c>
    </row>
    <row r="608" customFormat="false" ht="15" hidden="false" customHeight="false" outlineLevel="0" collapsed="false">
      <c r="B608" s="53"/>
      <c r="I608" s="53"/>
      <c r="U608" s="31" t="n">
        <f aca="false">IF($B608='設定（最初に1回）'!$C$4,N(U607)+1,N(U607))</f>
        <v>134</v>
      </c>
    </row>
    <row r="609" customFormat="false" ht="15" hidden="false" customHeight="false" outlineLevel="0" collapsed="false">
      <c r="B609" s="53"/>
      <c r="I609" s="53"/>
      <c r="U609" s="31" t="n">
        <f aca="false">IF($B609='設定（最初に1回）'!$C$4,N(U608)+1,N(U608))</f>
        <v>134</v>
      </c>
    </row>
    <row r="610" customFormat="false" ht="15" hidden="false" customHeight="false" outlineLevel="0" collapsed="false">
      <c r="B610" s="53"/>
      <c r="I610" s="53"/>
      <c r="U610" s="31" t="n">
        <f aca="false">IF($B610='設定（最初に1回）'!$C$4,N(U609)+1,N(U609))</f>
        <v>134</v>
      </c>
    </row>
    <row r="611" customFormat="false" ht="15" hidden="false" customHeight="false" outlineLevel="0" collapsed="false">
      <c r="B611" s="53"/>
      <c r="I611" s="53"/>
      <c r="U611" s="31" t="n">
        <f aca="false">IF($B611='設定（最初に1回）'!$C$4,N(U610)+1,N(U610))</f>
        <v>134</v>
      </c>
    </row>
    <row r="612" customFormat="false" ht="15" hidden="false" customHeight="false" outlineLevel="0" collapsed="false">
      <c r="B612" s="53"/>
      <c r="I612" s="53"/>
      <c r="U612" s="31" t="n">
        <f aca="false">IF($B612='設定（最初に1回）'!$C$4,N(U611)+1,N(U611))</f>
        <v>134</v>
      </c>
    </row>
    <row r="613" customFormat="false" ht="15" hidden="false" customHeight="false" outlineLevel="0" collapsed="false">
      <c r="B613" s="53"/>
      <c r="I613" s="53"/>
      <c r="U613" s="31" t="n">
        <f aca="false">IF($B613='設定（最初に1回）'!$C$4,N(U612)+1,N(U612))</f>
        <v>134</v>
      </c>
    </row>
    <row r="614" customFormat="false" ht="15" hidden="false" customHeight="false" outlineLevel="0" collapsed="false">
      <c r="B614" s="53"/>
      <c r="I614" s="53"/>
      <c r="U614" s="31" t="n">
        <f aca="false">IF($B614='設定（最初に1回）'!$C$4,N(U613)+1,N(U613))</f>
        <v>134</v>
      </c>
    </row>
    <row r="615" customFormat="false" ht="15" hidden="false" customHeight="false" outlineLevel="0" collapsed="false">
      <c r="B615" s="53"/>
      <c r="I615" s="53"/>
      <c r="U615" s="31" t="n">
        <f aca="false">IF($B615='設定（最初に1回）'!$C$4,N(U614)+1,N(U614))</f>
        <v>134</v>
      </c>
    </row>
    <row r="616" customFormat="false" ht="15" hidden="false" customHeight="false" outlineLevel="0" collapsed="false">
      <c r="B616" s="53"/>
      <c r="I616" s="53"/>
      <c r="U616" s="31" t="n">
        <f aca="false">IF($B616='設定（最初に1回）'!$C$4,N(U615)+1,N(U615))</f>
        <v>134</v>
      </c>
    </row>
    <row r="617" customFormat="false" ht="15" hidden="false" customHeight="false" outlineLevel="0" collapsed="false">
      <c r="B617" s="53"/>
      <c r="I617" s="53"/>
      <c r="U617" s="31" t="n">
        <f aca="false">IF($B617='設定（最初に1回）'!$C$4,N(U616)+1,N(U616))</f>
        <v>134</v>
      </c>
    </row>
    <row r="618" customFormat="false" ht="15" hidden="false" customHeight="false" outlineLevel="0" collapsed="false">
      <c r="B618" s="53"/>
      <c r="I618" s="53"/>
      <c r="U618" s="31" t="n">
        <f aca="false">IF($B618='設定（最初に1回）'!$C$4,N(U617)+1,N(U617))</f>
        <v>134</v>
      </c>
    </row>
    <row r="619" customFormat="false" ht="15" hidden="false" customHeight="false" outlineLevel="0" collapsed="false">
      <c r="B619" s="53"/>
      <c r="I619" s="53"/>
      <c r="U619" s="31" t="n">
        <f aca="false">IF($B619='設定（最初に1回）'!$C$4,N(U618)+1,N(U618))</f>
        <v>134</v>
      </c>
    </row>
    <row r="620" customFormat="false" ht="15" hidden="false" customHeight="false" outlineLevel="0" collapsed="false">
      <c r="B620" s="53"/>
      <c r="I620" s="53"/>
      <c r="U620" s="31" t="n">
        <f aca="false">IF($B620='設定（最初に1回）'!$C$4,N(U619)+1,N(U619))</f>
        <v>134</v>
      </c>
    </row>
    <row r="621" customFormat="false" ht="15" hidden="false" customHeight="false" outlineLevel="0" collapsed="false">
      <c r="B621" s="53"/>
      <c r="I621" s="53"/>
      <c r="U621" s="31" t="n">
        <f aca="false">IF($B621='設定（最初に1回）'!$C$4,N(U620)+1,N(U620))</f>
        <v>134</v>
      </c>
    </row>
    <row r="622" customFormat="false" ht="15" hidden="false" customHeight="false" outlineLevel="0" collapsed="false">
      <c r="B622" s="53"/>
      <c r="I622" s="53"/>
      <c r="U622" s="31" t="n">
        <f aca="false">IF($B622='設定（最初に1回）'!$C$4,N(U621)+1,N(U621))</f>
        <v>134</v>
      </c>
    </row>
    <row r="623" customFormat="false" ht="15" hidden="false" customHeight="false" outlineLevel="0" collapsed="false">
      <c r="B623" s="53"/>
      <c r="I623" s="53"/>
      <c r="U623" s="31" t="n">
        <f aca="false">IF($B623='設定（最初に1回）'!$C$4,N(U622)+1,N(U622))</f>
        <v>134</v>
      </c>
    </row>
    <row r="624" customFormat="false" ht="15" hidden="false" customHeight="false" outlineLevel="0" collapsed="false">
      <c r="B624" s="53"/>
      <c r="I624" s="53"/>
      <c r="U624" s="31" t="n">
        <f aca="false">IF($B624='設定（最初に1回）'!$C$4,N(U623)+1,N(U623))</f>
        <v>134</v>
      </c>
    </row>
    <row r="625" customFormat="false" ht="15" hidden="false" customHeight="false" outlineLevel="0" collapsed="false">
      <c r="B625" s="53"/>
      <c r="I625" s="53"/>
      <c r="U625" s="31" t="n">
        <f aca="false">IF($B625='設定（最初に1回）'!$C$4,N(U624)+1,N(U624))</f>
        <v>134</v>
      </c>
    </row>
    <row r="626" customFormat="false" ht="15" hidden="false" customHeight="false" outlineLevel="0" collapsed="false">
      <c r="B626" s="53"/>
      <c r="I626" s="53"/>
      <c r="U626" s="31" t="n">
        <f aca="false">IF($B626='設定（最初に1回）'!$C$4,N(U625)+1,N(U625))</f>
        <v>134</v>
      </c>
    </row>
    <row r="627" customFormat="false" ht="15" hidden="false" customHeight="false" outlineLevel="0" collapsed="false">
      <c r="B627" s="53"/>
      <c r="I627" s="53"/>
      <c r="U627" s="31" t="n">
        <f aca="false">IF($B627='設定（最初に1回）'!$C$4,N(U626)+1,N(U626))</f>
        <v>134</v>
      </c>
    </row>
    <row r="628" customFormat="false" ht="15" hidden="false" customHeight="false" outlineLevel="0" collapsed="false">
      <c r="B628" s="53"/>
      <c r="I628" s="53"/>
      <c r="U628" s="31" t="n">
        <f aca="false">IF($B628='設定（最初に1回）'!$C$4,N(U627)+1,N(U627))</f>
        <v>134</v>
      </c>
    </row>
    <row r="629" customFormat="false" ht="15" hidden="false" customHeight="false" outlineLevel="0" collapsed="false">
      <c r="B629" s="53"/>
      <c r="I629" s="53"/>
      <c r="U629" s="31" t="n">
        <f aca="false">IF($B629='設定（最初に1回）'!$C$4,N(U628)+1,N(U628))</f>
        <v>134</v>
      </c>
    </row>
    <row r="630" customFormat="false" ht="15" hidden="false" customHeight="false" outlineLevel="0" collapsed="false">
      <c r="B630" s="53"/>
      <c r="I630" s="53"/>
      <c r="U630" s="31" t="n">
        <f aca="false">IF($B630='設定（最初に1回）'!$C$4,N(U629)+1,N(U629))</f>
        <v>134</v>
      </c>
    </row>
    <row r="631" customFormat="false" ht="15" hidden="false" customHeight="false" outlineLevel="0" collapsed="false">
      <c r="B631" s="53"/>
      <c r="I631" s="53"/>
      <c r="U631" s="31" t="n">
        <f aca="false">IF($B631='設定（最初に1回）'!$C$4,N(U630)+1,N(U630))</f>
        <v>134</v>
      </c>
    </row>
    <row r="632" customFormat="false" ht="15" hidden="false" customHeight="false" outlineLevel="0" collapsed="false">
      <c r="B632" s="53"/>
      <c r="I632" s="53"/>
      <c r="U632" s="31" t="n">
        <f aca="false">IF($B632='設定（最初に1回）'!$C$4,N(U631)+1,N(U631))</f>
        <v>134</v>
      </c>
    </row>
    <row r="633" customFormat="false" ht="15" hidden="false" customHeight="false" outlineLevel="0" collapsed="false">
      <c r="B633" s="53"/>
      <c r="I633" s="53"/>
      <c r="U633" s="31" t="n">
        <f aca="false">IF($B633='設定（最初に1回）'!$C$4,N(U632)+1,N(U632))</f>
        <v>134</v>
      </c>
    </row>
    <row r="634" customFormat="false" ht="15" hidden="false" customHeight="false" outlineLevel="0" collapsed="false">
      <c r="B634" s="53"/>
      <c r="I634" s="53"/>
      <c r="U634" s="31" t="n">
        <f aca="false">IF($B634='設定（最初に1回）'!$C$4,N(U633)+1,N(U633))</f>
        <v>134</v>
      </c>
    </row>
    <row r="635" customFormat="false" ht="15" hidden="false" customHeight="false" outlineLevel="0" collapsed="false">
      <c r="B635" s="53"/>
      <c r="I635" s="53"/>
      <c r="U635" s="31" t="n">
        <f aca="false">IF($B635='設定（最初に1回）'!$C$4,N(U634)+1,N(U634))</f>
        <v>134</v>
      </c>
    </row>
    <row r="636" customFormat="false" ht="15" hidden="false" customHeight="false" outlineLevel="0" collapsed="false">
      <c r="B636" s="53"/>
      <c r="I636" s="53"/>
      <c r="U636" s="31" t="n">
        <f aca="false">IF($B636='設定（最初に1回）'!$C$4,N(U635)+1,N(U635))</f>
        <v>134</v>
      </c>
    </row>
    <row r="637" customFormat="false" ht="15" hidden="false" customHeight="false" outlineLevel="0" collapsed="false">
      <c r="B637" s="53"/>
      <c r="I637" s="53"/>
      <c r="U637" s="31" t="n">
        <f aca="false">IF($B637='設定（最初に1回）'!$C$4,N(U636)+1,N(U636))</f>
        <v>134</v>
      </c>
    </row>
    <row r="638" customFormat="false" ht="15" hidden="false" customHeight="false" outlineLevel="0" collapsed="false">
      <c r="B638" s="53"/>
      <c r="I638" s="53"/>
      <c r="U638" s="31" t="n">
        <f aca="false">IF($B638='設定（最初に1回）'!$C$4,N(U637)+1,N(U637))</f>
        <v>134</v>
      </c>
    </row>
    <row r="639" customFormat="false" ht="15" hidden="false" customHeight="false" outlineLevel="0" collapsed="false">
      <c r="B639" s="53"/>
      <c r="I639" s="53"/>
      <c r="U639" s="31" t="n">
        <f aca="false">IF($B639='設定（最初に1回）'!$C$4,N(U638)+1,N(U638))</f>
        <v>134</v>
      </c>
    </row>
    <row r="640" customFormat="false" ht="15" hidden="false" customHeight="false" outlineLevel="0" collapsed="false">
      <c r="B640" s="53"/>
      <c r="I640" s="53"/>
      <c r="U640" s="31" t="n">
        <f aca="false">IF($B640='設定（最初に1回）'!$C$4,N(U639)+1,N(U639))</f>
        <v>134</v>
      </c>
    </row>
    <row r="641" customFormat="false" ht="15" hidden="false" customHeight="false" outlineLevel="0" collapsed="false">
      <c r="B641" s="53"/>
      <c r="I641" s="53"/>
      <c r="U641" s="31" t="n">
        <f aca="false">IF($B641='設定（最初に1回）'!$C$4,N(U640)+1,N(U640))</f>
        <v>134</v>
      </c>
    </row>
    <row r="642" customFormat="false" ht="15" hidden="false" customHeight="false" outlineLevel="0" collapsed="false">
      <c r="B642" s="53"/>
      <c r="I642" s="53"/>
      <c r="U642" s="31" t="n">
        <f aca="false">IF($B642='設定（最初に1回）'!$C$4,N(U641)+1,N(U641))</f>
        <v>134</v>
      </c>
    </row>
    <row r="643" customFormat="false" ht="15" hidden="false" customHeight="false" outlineLevel="0" collapsed="false">
      <c r="B643" s="53"/>
      <c r="I643" s="53"/>
      <c r="U643" s="31" t="n">
        <f aca="false">IF($B643='設定（最初に1回）'!$C$4,N(U642)+1,N(U642))</f>
        <v>134</v>
      </c>
    </row>
    <row r="644" customFormat="false" ht="15" hidden="false" customHeight="false" outlineLevel="0" collapsed="false">
      <c r="B644" s="53"/>
      <c r="I644" s="53"/>
      <c r="U644" s="31" t="n">
        <f aca="false">IF($B644='設定（最初に1回）'!$C$4,N(U643)+1,N(U643))</f>
        <v>134</v>
      </c>
    </row>
    <row r="645" customFormat="false" ht="15" hidden="false" customHeight="false" outlineLevel="0" collapsed="false">
      <c r="B645" s="53"/>
      <c r="I645" s="53"/>
      <c r="U645" s="31" t="n">
        <f aca="false">IF($B645='設定（最初に1回）'!$C$4,N(U644)+1,N(U644))</f>
        <v>134</v>
      </c>
    </row>
    <row r="646" customFormat="false" ht="15" hidden="false" customHeight="false" outlineLevel="0" collapsed="false">
      <c r="B646" s="53"/>
      <c r="I646" s="53"/>
      <c r="U646" s="31" t="n">
        <f aca="false">IF($B646='設定（最初に1回）'!$C$4,N(U645)+1,N(U645))</f>
        <v>134</v>
      </c>
    </row>
    <row r="647" customFormat="false" ht="15" hidden="false" customHeight="false" outlineLevel="0" collapsed="false">
      <c r="B647" s="53"/>
      <c r="I647" s="53"/>
      <c r="U647" s="31" t="n">
        <f aca="false">IF($B647='設定（最初に1回）'!$C$4,N(U646)+1,N(U646))</f>
        <v>134</v>
      </c>
    </row>
    <row r="648" customFormat="false" ht="15" hidden="false" customHeight="false" outlineLevel="0" collapsed="false">
      <c r="B648" s="53"/>
      <c r="I648" s="53"/>
      <c r="U648" s="31" t="n">
        <f aca="false">IF($B648='設定（最初に1回）'!$C$4,N(U647)+1,N(U647))</f>
        <v>134</v>
      </c>
    </row>
    <row r="649" customFormat="false" ht="15" hidden="false" customHeight="false" outlineLevel="0" collapsed="false">
      <c r="B649" s="53"/>
      <c r="I649" s="53"/>
      <c r="U649" s="31" t="n">
        <f aca="false">IF($B649='設定（最初に1回）'!$C$4,N(U648)+1,N(U648))</f>
        <v>134</v>
      </c>
    </row>
    <row r="650" customFormat="false" ht="15" hidden="false" customHeight="false" outlineLevel="0" collapsed="false">
      <c r="B650" s="53"/>
      <c r="I650" s="53"/>
      <c r="U650" s="31" t="n">
        <f aca="false">IF($B650='設定（最初に1回）'!$C$4,N(U649)+1,N(U649))</f>
        <v>134</v>
      </c>
    </row>
    <row r="651" customFormat="false" ht="15" hidden="false" customHeight="false" outlineLevel="0" collapsed="false">
      <c r="B651" s="53"/>
      <c r="I651" s="53"/>
      <c r="U651" s="31" t="n">
        <f aca="false">IF($B651='設定（最初に1回）'!$C$4,N(U650)+1,N(U650))</f>
        <v>134</v>
      </c>
    </row>
    <row r="652" customFormat="false" ht="15" hidden="false" customHeight="false" outlineLevel="0" collapsed="false">
      <c r="B652" s="53"/>
      <c r="I652" s="53"/>
      <c r="U652" s="31" t="n">
        <f aca="false">IF($B652='設定（最初に1回）'!$C$4,N(U651)+1,N(U651))</f>
        <v>134</v>
      </c>
    </row>
    <row r="653" customFormat="false" ht="15" hidden="false" customHeight="false" outlineLevel="0" collapsed="false">
      <c r="B653" s="53"/>
      <c r="I653" s="53"/>
      <c r="U653" s="31" t="n">
        <f aca="false">IF($B653='設定（最初に1回）'!$C$4,N(U652)+1,N(U652))</f>
        <v>134</v>
      </c>
    </row>
    <row r="654" customFormat="false" ht="15" hidden="false" customHeight="false" outlineLevel="0" collapsed="false">
      <c r="B654" s="53"/>
      <c r="I654" s="53"/>
      <c r="U654" s="31" t="n">
        <f aca="false">IF($B654='設定（最初に1回）'!$C$4,N(U653)+1,N(U653))</f>
        <v>134</v>
      </c>
    </row>
    <row r="655" customFormat="false" ht="15" hidden="false" customHeight="false" outlineLevel="0" collapsed="false">
      <c r="B655" s="53"/>
      <c r="I655" s="53"/>
      <c r="U655" s="31" t="n">
        <f aca="false">IF($B655='設定（最初に1回）'!$C$4,N(U654)+1,N(U654))</f>
        <v>134</v>
      </c>
    </row>
    <row r="656" customFormat="false" ht="15" hidden="false" customHeight="false" outlineLevel="0" collapsed="false">
      <c r="B656" s="53"/>
      <c r="I656" s="53"/>
      <c r="U656" s="31" t="n">
        <f aca="false">IF($B656='設定（最初に1回）'!$C$4,N(U655)+1,N(U655))</f>
        <v>134</v>
      </c>
    </row>
    <row r="657" customFormat="false" ht="15" hidden="false" customHeight="false" outlineLevel="0" collapsed="false">
      <c r="B657" s="53"/>
      <c r="I657" s="53"/>
      <c r="U657" s="31" t="n">
        <f aca="false">IF($B657='設定（最初に1回）'!$C$4,N(U656)+1,N(U656))</f>
        <v>134</v>
      </c>
    </row>
    <row r="658" customFormat="false" ht="15" hidden="false" customHeight="false" outlineLevel="0" collapsed="false">
      <c r="B658" s="53"/>
      <c r="I658" s="53"/>
      <c r="U658" s="31" t="n">
        <f aca="false">IF($B658='設定（最初に1回）'!$C$4,N(U657)+1,N(U657))</f>
        <v>134</v>
      </c>
    </row>
    <row r="659" customFormat="false" ht="15" hidden="false" customHeight="false" outlineLevel="0" collapsed="false">
      <c r="B659" s="53"/>
      <c r="I659" s="53"/>
      <c r="U659" s="31" t="n">
        <f aca="false">IF($B659='設定（最初に1回）'!$C$4,N(U658)+1,N(U658))</f>
        <v>134</v>
      </c>
    </row>
    <row r="660" customFormat="false" ht="15" hidden="false" customHeight="false" outlineLevel="0" collapsed="false">
      <c r="B660" s="53"/>
      <c r="I660" s="53"/>
      <c r="U660" s="31" t="n">
        <f aca="false">IF($B660='設定（最初に1回）'!$C$4,N(U659)+1,N(U659))</f>
        <v>134</v>
      </c>
    </row>
    <row r="661" customFormat="false" ht="15" hidden="false" customHeight="false" outlineLevel="0" collapsed="false">
      <c r="B661" s="53"/>
      <c r="I661" s="53"/>
      <c r="U661" s="31" t="n">
        <f aca="false">IF($B661='設定（最初に1回）'!$C$4,N(U660)+1,N(U660))</f>
        <v>134</v>
      </c>
    </row>
    <row r="662" customFormat="false" ht="15" hidden="false" customHeight="false" outlineLevel="0" collapsed="false">
      <c r="B662" s="53"/>
      <c r="I662" s="53"/>
      <c r="U662" s="31" t="n">
        <f aca="false">IF($B662='設定（最初に1回）'!$C$4,N(U661)+1,N(U661))</f>
        <v>134</v>
      </c>
    </row>
    <row r="663" customFormat="false" ht="15" hidden="false" customHeight="false" outlineLevel="0" collapsed="false">
      <c r="B663" s="53"/>
      <c r="I663" s="53"/>
      <c r="U663" s="31" t="n">
        <f aca="false">IF($B663='設定（最初に1回）'!$C$4,N(U662)+1,N(U662))</f>
        <v>134</v>
      </c>
    </row>
    <row r="664" customFormat="false" ht="15" hidden="false" customHeight="false" outlineLevel="0" collapsed="false">
      <c r="B664" s="53"/>
      <c r="I664" s="53"/>
      <c r="U664" s="31" t="n">
        <f aca="false">IF($B664='設定（最初に1回）'!$C$4,N(U663)+1,N(U663))</f>
        <v>134</v>
      </c>
    </row>
    <row r="665" customFormat="false" ht="15" hidden="false" customHeight="false" outlineLevel="0" collapsed="false">
      <c r="B665" s="53"/>
      <c r="I665" s="53"/>
      <c r="U665" s="31" t="n">
        <f aca="false">IF($B665='設定（最初に1回）'!$C$4,N(U664)+1,N(U664))</f>
        <v>134</v>
      </c>
    </row>
    <row r="666" customFormat="false" ht="15" hidden="false" customHeight="false" outlineLevel="0" collapsed="false">
      <c r="B666" s="53"/>
      <c r="I666" s="53"/>
      <c r="U666" s="31" t="n">
        <f aca="false">IF($B666='設定（最初に1回）'!$C$4,N(U665)+1,N(U665))</f>
        <v>134</v>
      </c>
    </row>
    <row r="667" customFormat="false" ht="15" hidden="false" customHeight="false" outlineLevel="0" collapsed="false">
      <c r="B667" s="53"/>
      <c r="I667" s="53"/>
      <c r="U667" s="31" t="n">
        <f aca="false">IF($B667='設定（最初に1回）'!$C$4,N(U666)+1,N(U666))</f>
        <v>134</v>
      </c>
    </row>
    <row r="668" customFormat="false" ht="15" hidden="false" customHeight="false" outlineLevel="0" collapsed="false">
      <c r="B668" s="53"/>
      <c r="I668" s="53"/>
      <c r="U668" s="31" t="n">
        <f aca="false">IF($B668='設定（最初に1回）'!$C$4,N(U667)+1,N(U667))</f>
        <v>134</v>
      </c>
    </row>
    <row r="669" customFormat="false" ht="15" hidden="false" customHeight="false" outlineLevel="0" collapsed="false">
      <c r="B669" s="53"/>
      <c r="I669" s="53"/>
      <c r="U669" s="31" t="n">
        <f aca="false">IF($B669='設定（最初に1回）'!$C$4,N(U668)+1,N(U668))</f>
        <v>134</v>
      </c>
    </row>
    <row r="670" customFormat="false" ht="15" hidden="false" customHeight="false" outlineLevel="0" collapsed="false">
      <c r="B670" s="53"/>
      <c r="I670" s="53"/>
      <c r="U670" s="31" t="n">
        <f aca="false">IF($B670='設定（最初に1回）'!$C$4,N(U669)+1,N(U669))</f>
        <v>134</v>
      </c>
    </row>
    <row r="671" customFormat="false" ht="15" hidden="false" customHeight="false" outlineLevel="0" collapsed="false">
      <c r="B671" s="53"/>
      <c r="I671" s="53"/>
      <c r="U671" s="31" t="n">
        <f aca="false">IF($B671='設定（最初に1回）'!$C$4,N(U670)+1,N(U670))</f>
        <v>134</v>
      </c>
    </row>
    <row r="672" customFormat="false" ht="15" hidden="false" customHeight="false" outlineLevel="0" collapsed="false">
      <c r="B672" s="53"/>
      <c r="I672" s="53"/>
      <c r="U672" s="31" t="n">
        <f aca="false">IF($B672='設定（最初に1回）'!$C$4,N(U671)+1,N(U671))</f>
        <v>134</v>
      </c>
    </row>
    <row r="673" customFormat="false" ht="15" hidden="false" customHeight="false" outlineLevel="0" collapsed="false">
      <c r="B673" s="53"/>
      <c r="I673" s="53"/>
      <c r="U673" s="31" t="n">
        <f aca="false">IF($B673='設定（最初に1回）'!$C$4,N(U672)+1,N(U672))</f>
        <v>134</v>
      </c>
    </row>
    <row r="674" customFormat="false" ht="15" hidden="false" customHeight="false" outlineLevel="0" collapsed="false">
      <c r="B674" s="53"/>
      <c r="I674" s="53"/>
      <c r="U674" s="31" t="n">
        <f aca="false">IF($B674='設定（最初に1回）'!$C$4,N(U673)+1,N(U673))</f>
        <v>134</v>
      </c>
    </row>
    <row r="675" customFormat="false" ht="15" hidden="false" customHeight="false" outlineLevel="0" collapsed="false">
      <c r="B675" s="53"/>
      <c r="I675" s="53"/>
      <c r="U675" s="31" t="n">
        <f aca="false">IF($B675='設定（最初に1回）'!$C$4,N(U674)+1,N(U674))</f>
        <v>134</v>
      </c>
    </row>
    <row r="676" customFormat="false" ht="15" hidden="false" customHeight="false" outlineLevel="0" collapsed="false">
      <c r="B676" s="53"/>
      <c r="I676" s="53"/>
      <c r="U676" s="31" t="n">
        <f aca="false">IF($B676='設定（最初に1回）'!$C$4,N(U675)+1,N(U675))</f>
        <v>134</v>
      </c>
    </row>
    <row r="677" customFormat="false" ht="15" hidden="false" customHeight="false" outlineLevel="0" collapsed="false">
      <c r="B677" s="53"/>
      <c r="I677" s="53"/>
      <c r="U677" s="31" t="n">
        <f aca="false">IF($B677='設定（最初に1回）'!$C$4,N(U676)+1,N(U676))</f>
        <v>134</v>
      </c>
    </row>
    <row r="678" customFormat="false" ht="15" hidden="false" customHeight="false" outlineLevel="0" collapsed="false">
      <c r="B678" s="53"/>
      <c r="I678" s="53"/>
      <c r="U678" s="31" t="n">
        <f aca="false">IF($B678='設定（最初に1回）'!$C$4,N(U677)+1,N(U677))</f>
        <v>134</v>
      </c>
    </row>
    <row r="679" customFormat="false" ht="15" hidden="false" customHeight="false" outlineLevel="0" collapsed="false">
      <c r="B679" s="53"/>
      <c r="I679" s="53"/>
      <c r="U679" s="31" t="n">
        <f aca="false">IF($B679='設定（最初に1回）'!$C$4,N(U678)+1,N(U678))</f>
        <v>134</v>
      </c>
    </row>
    <row r="680" customFormat="false" ht="15" hidden="false" customHeight="false" outlineLevel="0" collapsed="false">
      <c r="B680" s="53"/>
      <c r="I680" s="53"/>
      <c r="U680" s="31" t="n">
        <f aca="false">IF($B680='設定（最初に1回）'!$C$4,N(U679)+1,N(U679))</f>
        <v>134</v>
      </c>
    </row>
    <row r="681" customFormat="false" ht="15" hidden="false" customHeight="false" outlineLevel="0" collapsed="false">
      <c r="B681" s="53"/>
      <c r="I681" s="53"/>
      <c r="U681" s="31" t="n">
        <f aca="false">IF($B681='設定（最初に1回）'!$C$4,N(U680)+1,N(U680))</f>
        <v>134</v>
      </c>
    </row>
    <row r="682" customFormat="false" ht="15" hidden="false" customHeight="false" outlineLevel="0" collapsed="false">
      <c r="B682" s="53"/>
      <c r="I682" s="53"/>
      <c r="U682" s="31" t="n">
        <f aca="false">IF($B682='設定（最初に1回）'!$C$4,N(U681)+1,N(U681))</f>
        <v>134</v>
      </c>
    </row>
    <row r="683" customFormat="false" ht="15" hidden="false" customHeight="false" outlineLevel="0" collapsed="false">
      <c r="B683" s="53"/>
      <c r="I683" s="53"/>
      <c r="U683" s="31" t="n">
        <f aca="false">IF($B683='設定（最初に1回）'!$C$4,N(U682)+1,N(U682))</f>
        <v>134</v>
      </c>
    </row>
    <row r="684" customFormat="false" ht="15" hidden="false" customHeight="false" outlineLevel="0" collapsed="false">
      <c r="B684" s="53"/>
      <c r="I684" s="53"/>
      <c r="U684" s="31" t="n">
        <f aca="false">IF($B684='設定（最初に1回）'!$C$4,N(U683)+1,N(U683))</f>
        <v>134</v>
      </c>
    </row>
    <row r="685" customFormat="false" ht="15" hidden="false" customHeight="false" outlineLevel="0" collapsed="false">
      <c r="B685" s="53"/>
      <c r="I685" s="53"/>
      <c r="U685" s="31" t="n">
        <f aca="false">IF($B685='設定（最初に1回）'!$C$4,N(U684)+1,N(U684))</f>
        <v>134</v>
      </c>
    </row>
    <row r="686" customFormat="false" ht="15" hidden="false" customHeight="false" outlineLevel="0" collapsed="false">
      <c r="B686" s="53"/>
      <c r="I686" s="53"/>
      <c r="U686" s="31" t="n">
        <f aca="false">IF($B686='設定（最初に1回）'!$C$4,N(U685)+1,N(U685))</f>
        <v>134</v>
      </c>
    </row>
    <row r="687" customFormat="false" ht="15" hidden="false" customHeight="false" outlineLevel="0" collapsed="false">
      <c r="B687" s="53"/>
      <c r="I687" s="53"/>
      <c r="U687" s="31" t="n">
        <f aca="false">IF($B687='設定（最初に1回）'!$C$4,N(U686)+1,N(U686))</f>
        <v>134</v>
      </c>
    </row>
    <row r="688" customFormat="false" ht="15" hidden="false" customHeight="false" outlineLevel="0" collapsed="false">
      <c r="B688" s="53"/>
      <c r="I688" s="53"/>
      <c r="U688" s="31" t="n">
        <f aca="false">IF($B688='設定（最初に1回）'!$C$4,N(U687)+1,N(U687))</f>
        <v>134</v>
      </c>
    </row>
    <row r="689" customFormat="false" ht="15" hidden="false" customHeight="false" outlineLevel="0" collapsed="false">
      <c r="B689" s="53"/>
      <c r="I689" s="53"/>
      <c r="U689" s="31" t="n">
        <f aca="false">IF($B689='設定（最初に1回）'!$C$4,N(U688)+1,N(U688))</f>
        <v>134</v>
      </c>
    </row>
    <row r="690" customFormat="false" ht="15" hidden="false" customHeight="false" outlineLevel="0" collapsed="false">
      <c r="B690" s="53"/>
      <c r="I690" s="53"/>
      <c r="U690" s="31" t="n">
        <f aca="false">IF($B690='設定（最初に1回）'!$C$4,N(U689)+1,N(U689))</f>
        <v>134</v>
      </c>
    </row>
    <row r="691" customFormat="false" ht="15" hidden="false" customHeight="false" outlineLevel="0" collapsed="false">
      <c r="B691" s="53"/>
      <c r="I691" s="53"/>
      <c r="U691" s="31" t="n">
        <f aca="false">IF($B691='設定（最初に1回）'!$C$4,N(U690)+1,N(U690))</f>
        <v>134</v>
      </c>
    </row>
    <row r="692" customFormat="false" ht="15" hidden="false" customHeight="false" outlineLevel="0" collapsed="false">
      <c r="B692" s="53"/>
      <c r="I692" s="53"/>
      <c r="U692" s="31" t="n">
        <f aca="false">IF($B692='設定（最初に1回）'!$C$4,N(U691)+1,N(U691))</f>
        <v>134</v>
      </c>
    </row>
    <row r="693" customFormat="false" ht="15" hidden="false" customHeight="false" outlineLevel="0" collapsed="false">
      <c r="B693" s="53"/>
      <c r="I693" s="53"/>
      <c r="U693" s="31" t="n">
        <f aca="false">IF($B693='設定（最初に1回）'!$C$4,N(U692)+1,N(U692))</f>
        <v>134</v>
      </c>
    </row>
    <row r="694" customFormat="false" ht="15" hidden="false" customHeight="false" outlineLevel="0" collapsed="false">
      <c r="B694" s="53"/>
      <c r="I694" s="53"/>
      <c r="U694" s="31" t="n">
        <f aca="false">IF($B694='設定（最初に1回）'!$C$4,N(U693)+1,N(U693))</f>
        <v>134</v>
      </c>
    </row>
    <row r="695" customFormat="false" ht="15" hidden="false" customHeight="false" outlineLevel="0" collapsed="false">
      <c r="B695" s="53"/>
      <c r="I695" s="53"/>
      <c r="U695" s="31" t="n">
        <f aca="false">IF($B695='設定（最初に1回）'!$C$4,N(U694)+1,N(U694))</f>
        <v>134</v>
      </c>
    </row>
    <row r="696" customFormat="false" ht="15" hidden="false" customHeight="false" outlineLevel="0" collapsed="false">
      <c r="B696" s="53"/>
      <c r="I696" s="53"/>
      <c r="U696" s="31" t="n">
        <f aca="false">IF($B696='設定（最初に1回）'!$C$4,N(U695)+1,N(U695))</f>
        <v>134</v>
      </c>
    </row>
    <row r="697" customFormat="false" ht="15" hidden="false" customHeight="false" outlineLevel="0" collapsed="false">
      <c r="B697" s="53"/>
      <c r="I697" s="53"/>
      <c r="U697" s="31" t="n">
        <f aca="false">IF($B697='設定（最初に1回）'!$C$4,N(U696)+1,N(U696))</f>
        <v>134</v>
      </c>
    </row>
    <row r="698" customFormat="false" ht="15" hidden="false" customHeight="false" outlineLevel="0" collapsed="false">
      <c r="B698" s="53"/>
      <c r="I698" s="53"/>
      <c r="U698" s="31" t="n">
        <f aca="false">IF($B698='設定（最初に1回）'!$C$4,N(U697)+1,N(U697))</f>
        <v>134</v>
      </c>
    </row>
    <row r="699" customFormat="false" ht="15" hidden="false" customHeight="false" outlineLevel="0" collapsed="false">
      <c r="B699" s="53"/>
      <c r="I699" s="53"/>
      <c r="U699" s="31" t="n">
        <f aca="false">IF($B699='設定（最初に1回）'!$C$4,N(U698)+1,N(U698))</f>
        <v>134</v>
      </c>
    </row>
    <row r="700" customFormat="false" ht="15" hidden="false" customHeight="false" outlineLevel="0" collapsed="false">
      <c r="B700" s="53"/>
      <c r="I700" s="53"/>
      <c r="U700" s="31" t="n">
        <f aca="false">IF($B700='設定（最初に1回）'!$C$4,N(U699)+1,N(U699))</f>
        <v>134</v>
      </c>
    </row>
    <row r="701" customFormat="false" ht="15" hidden="false" customHeight="false" outlineLevel="0" collapsed="false">
      <c r="B701" s="53"/>
      <c r="I701" s="53"/>
      <c r="U701" s="31" t="n">
        <f aca="false">IF($B701='設定（最初に1回）'!$C$4,N(U700)+1,N(U700))</f>
        <v>134</v>
      </c>
    </row>
    <row r="702" customFormat="false" ht="15" hidden="false" customHeight="false" outlineLevel="0" collapsed="false">
      <c r="B702" s="53"/>
      <c r="I702" s="53"/>
      <c r="U702" s="31" t="n">
        <f aca="false">IF($B702='設定（最初に1回）'!$C$4,N(U701)+1,N(U701))</f>
        <v>134</v>
      </c>
    </row>
    <row r="703" customFormat="false" ht="15" hidden="false" customHeight="false" outlineLevel="0" collapsed="false">
      <c r="B703" s="53"/>
      <c r="I703" s="53"/>
      <c r="U703" s="31" t="n">
        <f aca="false">IF($B703='設定（最初に1回）'!$C$4,N(U702)+1,N(U702))</f>
        <v>134</v>
      </c>
    </row>
    <row r="704" customFormat="false" ht="15" hidden="false" customHeight="false" outlineLevel="0" collapsed="false">
      <c r="B704" s="53"/>
      <c r="I704" s="53"/>
      <c r="U704" s="31" t="n">
        <f aca="false">IF($B704='設定（最初に1回）'!$C$4,N(U703)+1,N(U703))</f>
        <v>134</v>
      </c>
    </row>
    <row r="705" customFormat="false" ht="15" hidden="false" customHeight="false" outlineLevel="0" collapsed="false">
      <c r="B705" s="53"/>
      <c r="I705" s="53"/>
      <c r="U705" s="31" t="n">
        <f aca="false">IF($B705='設定（最初に1回）'!$C$4,N(U704)+1,N(U704))</f>
        <v>134</v>
      </c>
    </row>
    <row r="706" customFormat="false" ht="15" hidden="false" customHeight="false" outlineLevel="0" collapsed="false">
      <c r="B706" s="53"/>
      <c r="I706" s="53"/>
      <c r="U706" s="31" t="n">
        <f aca="false">IF($B706='設定（最初に1回）'!$C$4,N(U705)+1,N(U705))</f>
        <v>134</v>
      </c>
    </row>
    <row r="707" customFormat="false" ht="15" hidden="false" customHeight="false" outlineLevel="0" collapsed="false">
      <c r="B707" s="53"/>
      <c r="I707" s="53"/>
      <c r="U707" s="31" t="n">
        <f aca="false">IF($B707='設定（最初に1回）'!$C$4,N(U706)+1,N(U706))</f>
        <v>134</v>
      </c>
    </row>
    <row r="708" customFormat="false" ht="15" hidden="false" customHeight="false" outlineLevel="0" collapsed="false">
      <c r="B708" s="53"/>
      <c r="I708" s="53"/>
      <c r="U708" s="31" t="n">
        <f aca="false">IF($B708='設定（最初に1回）'!$C$4,N(U707)+1,N(U707))</f>
        <v>134</v>
      </c>
    </row>
    <row r="709" customFormat="false" ht="15" hidden="false" customHeight="false" outlineLevel="0" collapsed="false">
      <c r="B709" s="53"/>
      <c r="I709" s="53"/>
      <c r="U709" s="31" t="n">
        <f aca="false">IF($B709='設定（最初に1回）'!$C$4,N(U708)+1,N(U708))</f>
        <v>134</v>
      </c>
    </row>
    <row r="710" customFormat="false" ht="15" hidden="false" customHeight="false" outlineLevel="0" collapsed="false">
      <c r="B710" s="53"/>
      <c r="I710" s="53"/>
      <c r="U710" s="31" t="n">
        <f aca="false">IF($B710='設定（最初に1回）'!$C$4,N(U709)+1,N(U709))</f>
        <v>134</v>
      </c>
    </row>
    <row r="711" customFormat="false" ht="15" hidden="false" customHeight="false" outlineLevel="0" collapsed="false">
      <c r="B711" s="53"/>
      <c r="I711" s="53"/>
      <c r="U711" s="31" t="n">
        <f aca="false">IF($B711='設定（最初に1回）'!$C$4,N(U710)+1,N(U710))</f>
        <v>134</v>
      </c>
    </row>
    <row r="712" customFormat="false" ht="15" hidden="false" customHeight="false" outlineLevel="0" collapsed="false">
      <c r="B712" s="53"/>
      <c r="I712" s="53"/>
      <c r="U712" s="31" t="n">
        <f aca="false">IF($B712='設定（最初に1回）'!$C$4,N(U711)+1,N(U711))</f>
        <v>134</v>
      </c>
    </row>
    <row r="713" customFormat="false" ht="15" hidden="false" customHeight="false" outlineLevel="0" collapsed="false">
      <c r="B713" s="53"/>
      <c r="I713" s="53"/>
      <c r="U713" s="31" t="n">
        <f aca="false">IF($B713='設定（最初に1回）'!$C$4,N(U712)+1,N(U712))</f>
        <v>134</v>
      </c>
    </row>
    <row r="714" customFormat="false" ht="15" hidden="false" customHeight="false" outlineLevel="0" collapsed="false">
      <c r="B714" s="53"/>
      <c r="I714" s="53"/>
      <c r="U714" s="31" t="n">
        <f aca="false">IF($B714='設定（最初に1回）'!$C$4,N(U713)+1,N(U713))</f>
        <v>134</v>
      </c>
    </row>
    <row r="715" customFormat="false" ht="15" hidden="false" customHeight="false" outlineLevel="0" collapsed="false">
      <c r="B715" s="53"/>
      <c r="I715" s="53"/>
      <c r="U715" s="31" t="n">
        <f aca="false">IF($B715='設定（最初に1回）'!$C$4,N(U714)+1,N(U714))</f>
        <v>134</v>
      </c>
    </row>
    <row r="716" customFormat="false" ht="15" hidden="false" customHeight="false" outlineLevel="0" collapsed="false">
      <c r="B716" s="53"/>
      <c r="I716" s="53"/>
      <c r="U716" s="31" t="n">
        <f aca="false">IF($B716='設定（最初に1回）'!$C$4,N(U715)+1,N(U715))</f>
        <v>134</v>
      </c>
    </row>
    <row r="717" customFormat="false" ht="15" hidden="false" customHeight="false" outlineLevel="0" collapsed="false">
      <c r="B717" s="53"/>
      <c r="I717" s="53"/>
      <c r="U717" s="31" t="n">
        <f aca="false">IF($B717='設定（最初に1回）'!$C$4,N(U716)+1,N(U716))</f>
        <v>134</v>
      </c>
    </row>
    <row r="718" customFormat="false" ht="15" hidden="false" customHeight="false" outlineLevel="0" collapsed="false">
      <c r="B718" s="53"/>
      <c r="I718" s="53"/>
      <c r="U718" s="31" t="n">
        <f aca="false">IF($B718='設定（最初に1回）'!$C$4,N(U717)+1,N(U717))</f>
        <v>134</v>
      </c>
    </row>
    <row r="719" customFormat="false" ht="15" hidden="false" customHeight="false" outlineLevel="0" collapsed="false">
      <c r="B719" s="53"/>
      <c r="I719" s="53"/>
      <c r="U719" s="31" t="n">
        <f aca="false">IF($B719='設定（最初に1回）'!$C$4,N(U718)+1,N(U718))</f>
        <v>134</v>
      </c>
    </row>
    <row r="720" customFormat="false" ht="15" hidden="false" customHeight="false" outlineLevel="0" collapsed="false">
      <c r="B720" s="53"/>
      <c r="I720" s="53"/>
      <c r="U720" s="31" t="n">
        <f aca="false">IF($B720='設定（最初に1回）'!$C$4,N(U719)+1,N(U719))</f>
        <v>134</v>
      </c>
    </row>
    <row r="721" customFormat="false" ht="15" hidden="false" customHeight="false" outlineLevel="0" collapsed="false">
      <c r="B721" s="53"/>
      <c r="I721" s="53"/>
      <c r="U721" s="31" t="n">
        <f aca="false">IF($B721='設定（最初に1回）'!$C$4,N(U720)+1,N(U720))</f>
        <v>134</v>
      </c>
    </row>
    <row r="722" customFormat="false" ht="15" hidden="false" customHeight="false" outlineLevel="0" collapsed="false">
      <c r="B722" s="53"/>
      <c r="I722" s="53"/>
      <c r="U722" s="31" t="n">
        <f aca="false">IF($B722='設定（最初に1回）'!$C$4,N(U721)+1,N(U721))</f>
        <v>134</v>
      </c>
    </row>
    <row r="723" customFormat="false" ht="15" hidden="false" customHeight="false" outlineLevel="0" collapsed="false">
      <c r="B723" s="53"/>
      <c r="I723" s="53"/>
      <c r="U723" s="31" t="n">
        <f aca="false">IF($B723='設定（最初に1回）'!$C$4,N(U722)+1,N(U722))</f>
        <v>134</v>
      </c>
    </row>
    <row r="724" customFormat="false" ht="15" hidden="false" customHeight="false" outlineLevel="0" collapsed="false">
      <c r="B724" s="53"/>
      <c r="I724" s="53"/>
      <c r="U724" s="31" t="n">
        <f aca="false">IF($B724='設定（最初に1回）'!$C$4,N(U723)+1,N(U723))</f>
        <v>134</v>
      </c>
    </row>
    <row r="725" customFormat="false" ht="15" hidden="false" customHeight="false" outlineLevel="0" collapsed="false">
      <c r="B725" s="53"/>
      <c r="I725" s="53"/>
      <c r="U725" s="31" t="n">
        <f aca="false">IF($B725='設定（最初に1回）'!$C$4,N(U724)+1,N(U724))</f>
        <v>134</v>
      </c>
    </row>
    <row r="726" customFormat="false" ht="15" hidden="false" customHeight="false" outlineLevel="0" collapsed="false">
      <c r="B726" s="53"/>
      <c r="I726" s="53"/>
      <c r="U726" s="31" t="n">
        <f aca="false">IF($B726='設定（最初に1回）'!$C$4,N(U725)+1,N(U725))</f>
        <v>134</v>
      </c>
    </row>
    <row r="727" customFormat="false" ht="15" hidden="false" customHeight="false" outlineLevel="0" collapsed="false">
      <c r="B727" s="53"/>
      <c r="I727" s="53"/>
      <c r="U727" s="31" t="n">
        <f aca="false">IF($B727='設定（最初に1回）'!$C$4,N(U726)+1,N(U726))</f>
        <v>134</v>
      </c>
    </row>
    <row r="728" customFormat="false" ht="15" hidden="false" customHeight="false" outlineLevel="0" collapsed="false">
      <c r="B728" s="53"/>
      <c r="I728" s="53"/>
      <c r="U728" s="31" t="n">
        <f aca="false">IF($B728='設定（最初に1回）'!$C$4,N(U727)+1,N(U727))</f>
        <v>134</v>
      </c>
    </row>
    <row r="729" customFormat="false" ht="15" hidden="false" customHeight="false" outlineLevel="0" collapsed="false">
      <c r="B729" s="53"/>
      <c r="I729" s="53"/>
      <c r="U729" s="31" t="n">
        <f aca="false">IF($B729='設定（最初に1回）'!$C$4,N(U728)+1,N(U728))</f>
        <v>134</v>
      </c>
    </row>
    <row r="730" customFormat="false" ht="15" hidden="false" customHeight="false" outlineLevel="0" collapsed="false">
      <c r="B730" s="53"/>
      <c r="I730" s="53"/>
      <c r="U730" s="31" t="n">
        <f aca="false">IF($B730='設定（最初に1回）'!$C$4,N(U729)+1,N(U729))</f>
        <v>134</v>
      </c>
    </row>
    <row r="731" customFormat="false" ht="15" hidden="false" customHeight="false" outlineLevel="0" collapsed="false">
      <c r="B731" s="53"/>
      <c r="I731" s="53"/>
      <c r="U731" s="31" t="n">
        <f aca="false">IF($B731='設定（最初に1回）'!$C$4,N(U730)+1,N(U730))</f>
        <v>134</v>
      </c>
    </row>
    <row r="732" customFormat="false" ht="15" hidden="false" customHeight="false" outlineLevel="0" collapsed="false">
      <c r="B732" s="53"/>
      <c r="I732" s="53"/>
      <c r="U732" s="31" t="n">
        <f aca="false">IF($B732='設定（最初に1回）'!$C$4,N(U731)+1,N(U731))</f>
        <v>134</v>
      </c>
    </row>
    <row r="733" customFormat="false" ht="15" hidden="false" customHeight="false" outlineLevel="0" collapsed="false">
      <c r="B733" s="53"/>
      <c r="I733" s="53"/>
      <c r="U733" s="31" t="n">
        <f aca="false">IF($B733='設定（最初に1回）'!$C$4,N(U732)+1,N(U732))</f>
        <v>134</v>
      </c>
    </row>
    <row r="734" customFormat="false" ht="15" hidden="false" customHeight="false" outlineLevel="0" collapsed="false">
      <c r="B734" s="53"/>
      <c r="I734" s="53"/>
      <c r="U734" s="31" t="n">
        <f aca="false">IF($B734='設定（最初に1回）'!$C$4,N(U733)+1,N(U733))</f>
        <v>134</v>
      </c>
    </row>
    <row r="735" customFormat="false" ht="15" hidden="false" customHeight="false" outlineLevel="0" collapsed="false">
      <c r="B735" s="53"/>
      <c r="I735" s="53"/>
      <c r="U735" s="31" t="n">
        <f aca="false">IF($B735='設定（最初に1回）'!$C$4,N(U734)+1,N(U734))</f>
        <v>134</v>
      </c>
    </row>
    <row r="736" customFormat="false" ht="15" hidden="false" customHeight="false" outlineLevel="0" collapsed="false">
      <c r="B736" s="53"/>
      <c r="I736" s="53"/>
      <c r="U736" s="31" t="n">
        <f aca="false">IF($B736='設定（最初に1回）'!$C$4,N(U735)+1,N(U735))</f>
        <v>134</v>
      </c>
    </row>
    <row r="737" customFormat="false" ht="15" hidden="false" customHeight="false" outlineLevel="0" collapsed="false">
      <c r="B737" s="53"/>
      <c r="I737" s="53"/>
      <c r="U737" s="31" t="n">
        <f aca="false">IF($B737='設定（最初に1回）'!$C$4,N(U736)+1,N(U736))</f>
        <v>134</v>
      </c>
    </row>
    <row r="738" customFormat="false" ht="15" hidden="false" customHeight="false" outlineLevel="0" collapsed="false">
      <c r="B738" s="53"/>
      <c r="I738" s="53"/>
      <c r="U738" s="31" t="n">
        <f aca="false">IF($B738='設定（最初に1回）'!$C$4,N(U737)+1,N(U737))</f>
        <v>134</v>
      </c>
    </row>
    <row r="739" customFormat="false" ht="15" hidden="false" customHeight="false" outlineLevel="0" collapsed="false">
      <c r="B739" s="53"/>
      <c r="I739" s="53"/>
      <c r="U739" s="31" t="n">
        <f aca="false">IF($B739='設定（最初に1回）'!$C$4,N(U738)+1,N(U738))</f>
        <v>134</v>
      </c>
    </row>
    <row r="740" customFormat="false" ht="15" hidden="false" customHeight="false" outlineLevel="0" collapsed="false">
      <c r="B740" s="53"/>
      <c r="I740" s="53"/>
      <c r="U740" s="31" t="n">
        <f aca="false">IF($B740='設定（最初に1回）'!$C$4,N(U739)+1,N(U739))</f>
        <v>134</v>
      </c>
    </row>
    <row r="741" customFormat="false" ht="15" hidden="false" customHeight="false" outlineLevel="0" collapsed="false">
      <c r="B741" s="53"/>
      <c r="I741" s="53"/>
      <c r="U741" s="31" t="n">
        <f aca="false">IF($B741='設定（最初に1回）'!$C$4,N(U740)+1,N(U740))</f>
        <v>134</v>
      </c>
    </row>
    <row r="742" customFormat="false" ht="15" hidden="false" customHeight="false" outlineLevel="0" collapsed="false">
      <c r="B742" s="53"/>
      <c r="I742" s="53"/>
      <c r="U742" s="31" t="n">
        <f aca="false">IF($B742='設定（最初に1回）'!$C$4,N(U741)+1,N(U741))</f>
        <v>134</v>
      </c>
    </row>
    <row r="743" customFormat="false" ht="15" hidden="false" customHeight="false" outlineLevel="0" collapsed="false">
      <c r="B743" s="53"/>
      <c r="I743" s="53"/>
      <c r="U743" s="31" t="n">
        <f aca="false">IF($B743='設定（最初に1回）'!$C$4,N(U742)+1,N(U742))</f>
        <v>134</v>
      </c>
    </row>
    <row r="744" customFormat="false" ht="15" hidden="false" customHeight="false" outlineLevel="0" collapsed="false">
      <c r="B744" s="53"/>
      <c r="I744" s="53"/>
      <c r="U744" s="31" t="n">
        <f aca="false">IF($B744='設定（最初に1回）'!$C$4,N(U743)+1,N(U743))</f>
        <v>134</v>
      </c>
    </row>
    <row r="745" customFormat="false" ht="15" hidden="false" customHeight="false" outlineLevel="0" collapsed="false">
      <c r="B745" s="53"/>
      <c r="I745" s="53"/>
      <c r="U745" s="31" t="n">
        <f aca="false">IF($B745='設定（最初に1回）'!$C$4,N(U744)+1,N(U744))</f>
        <v>134</v>
      </c>
    </row>
    <row r="746" customFormat="false" ht="15" hidden="false" customHeight="false" outlineLevel="0" collapsed="false">
      <c r="B746" s="53"/>
      <c r="I746" s="53"/>
      <c r="U746" s="31" t="n">
        <f aca="false">IF($B746='設定（最初に1回）'!$C$4,N(U745)+1,N(U745))</f>
        <v>134</v>
      </c>
    </row>
    <row r="747" customFormat="false" ht="15" hidden="false" customHeight="false" outlineLevel="0" collapsed="false">
      <c r="B747" s="53"/>
      <c r="I747" s="53"/>
      <c r="U747" s="31" t="n">
        <f aca="false">IF($B747='設定（最初に1回）'!$C$4,N(U746)+1,N(U746))</f>
        <v>134</v>
      </c>
    </row>
    <row r="748" customFormat="false" ht="15" hidden="false" customHeight="false" outlineLevel="0" collapsed="false">
      <c r="B748" s="53"/>
      <c r="I748" s="53"/>
      <c r="U748" s="31" t="n">
        <f aca="false">IF($B748='設定（最初に1回）'!$C$4,N(U747)+1,N(U747))</f>
        <v>134</v>
      </c>
    </row>
    <row r="749" customFormat="false" ht="15" hidden="false" customHeight="false" outlineLevel="0" collapsed="false">
      <c r="B749" s="53"/>
      <c r="I749" s="53"/>
      <c r="U749" s="31" t="n">
        <f aca="false">IF($B749='設定（最初に1回）'!$C$4,N(U748)+1,N(U748))</f>
        <v>134</v>
      </c>
    </row>
    <row r="750" customFormat="false" ht="15" hidden="false" customHeight="false" outlineLevel="0" collapsed="false">
      <c r="B750" s="53"/>
      <c r="I750" s="53"/>
      <c r="U750" s="31" t="n">
        <f aca="false">IF($B750='設定（最初に1回）'!$C$4,N(U749)+1,N(U749))</f>
        <v>134</v>
      </c>
    </row>
    <row r="751" customFormat="false" ht="15" hidden="false" customHeight="false" outlineLevel="0" collapsed="false">
      <c r="B751" s="53"/>
      <c r="I751" s="53"/>
      <c r="U751" s="31" t="n">
        <f aca="false">IF($B751='設定（最初に1回）'!$C$4,N(U750)+1,N(U750))</f>
        <v>134</v>
      </c>
    </row>
    <row r="752" customFormat="false" ht="15" hidden="false" customHeight="false" outlineLevel="0" collapsed="false">
      <c r="B752" s="53"/>
      <c r="I752" s="53"/>
      <c r="U752" s="31" t="n">
        <f aca="false">IF($B752='設定（最初に1回）'!$C$4,N(U751)+1,N(U751))</f>
        <v>134</v>
      </c>
    </row>
    <row r="753" customFormat="false" ht="15" hidden="false" customHeight="false" outlineLevel="0" collapsed="false">
      <c r="B753" s="53"/>
      <c r="I753" s="53"/>
      <c r="U753" s="31" t="n">
        <f aca="false">IF($B753='設定（最初に1回）'!$C$4,N(U752)+1,N(U752))</f>
        <v>134</v>
      </c>
    </row>
    <row r="754" customFormat="false" ht="15" hidden="false" customHeight="false" outlineLevel="0" collapsed="false">
      <c r="B754" s="53"/>
      <c r="I754" s="53"/>
      <c r="U754" s="31" t="n">
        <f aca="false">IF($B754='設定（最初に1回）'!$C$4,N(U753)+1,N(U753))</f>
        <v>134</v>
      </c>
    </row>
    <row r="755" customFormat="false" ht="15" hidden="false" customHeight="false" outlineLevel="0" collapsed="false">
      <c r="B755" s="53"/>
      <c r="I755" s="53"/>
      <c r="U755" s="31" t="n">
        <f aca="false">IF($B755='設定（最初に1回）'!$C$4,N(U754)+1,N(U754))</f>
        <v>134</v>
      </c>
    </row>
    <row r="756" customFormat="false" ht="15" hidden="false" customHeight="false" outlineLevel="0" collapsed="false">
      <c r="B756" s="53"/>
      <c r="I756" s="53"/>
      <c r="U756" s="31" t="n">
        <f aca="false">IF($B756='設定（最初に1回）'!$C$4,N(U755)+1,N(U755))</f>
        <v>134</v>
      </c>
    </row>
    <row r="757" customFormat="false" ht="15" hidden="false" customHeight="false" outlineLevel="0" collapsed="false">
      <c r="B757" s="53"/>
      <c r="I757" s="53"/>
      <c r="U757" s="31" t="n">
        <f aca="false">IF($B757='設定（最初に1回）'!$C$4,N(U756)+1,N(U756))</f>
        <v>134</v>
      </c>
    </row>
    <row r="758" customFormat="false" ht="15" hidden="false" customHeight="false" outlineLevel="0" collapsed="false">
      <c r="B758" s="53"/>
      <c r="I758" s="53"/>
      <c r="U758" s="31" t="n">
        <f aca="false">IF($B758='設定（最初に1回）'!$C$4,N(U757)+1,N(U757))</f>
        <v>134</v>
      </c>
    </row>
    <row r="759" customFormat="false" ht="15" hidden="false" customHeight="false" outlineLevel="0" collapsed="false">
      <c r="B759" s="53"/>
      <c r="I759" s="53"/>
      <c r="U759" s="31" t="n">
        <f aca="false">IF($B759='設定（最初に1回）'!$C$4,N(U758)+1,N(U758))</f>
        <v>134</v>
      </c>
    </row>
    <row r="760" customFormat="false" ht="15" hidden="false" customHeight="false" outlineLevel="0" collapsed="false">
      <c r="B760" s="53"/>
      <c r="I760" s="53"/>
      <c r="U760" s="31" t="n">
        <f aca="false">IF($B760='設定（最初に1回）'!$C$4,N(U759)+1,N(U759))</f>
        <v>134</v>
      </c>
    </row>
    <row r="761" customFormat="false" ht="15" hidden="false" customHeight="false" outlineLevel="0" collapsed="false">
      <c r="B761" s="53"/>
      <c r="I761" s="53"/>
      <c r="U761" s="31" t="n">
        <f aca="false">IF($B761='設定（最初に1回）'!$C$4,N(U760)+1,N(U760))</f>
        <v>134</v>
      </c>
    </row>
    <row r="762" customFormat="false" ht="15" hidden="false" customHeight="false" outlineLevel="0" collapsed="false">
      <c r="B762" s="53"/>
      <c r="I762" s="53"/>
      <c r="U762" s="31" t="n">
        <f aca="false">IF($B762='設定（最初に1回）'!$C$4,N(U761)+1,N(U761))</f>
        <v>134</v>
      </c>
    </row>
    <row r="763" customFormat="false" ht="15" hidden="false" customHeight="false" outlineLevel="0" collapsed="false">
      <c r="B763" s="53"/>
      <c r="I763" s="53"/>
      <c r="U763" s="31" t="n">
        <f aca="false">IF($B763='設定（最初に1回）'!$C$4,N(U762)+1,N(U762))</f>
        <v>134</v>
      </c>
    </row>
    <row r="764" customFormat="false" ht="15" hidden="false" customHeight="false" outlineLevel="0" collapsed="false">
      <c r="B764" s="53"/>
      <c r="I764" s="53"/>
      <c r="U764" s="31" t="n">
        <f aca="false">IF($B764='設定（最初に1回）'!$C$4,N(U763)+1,N(U763))</f>
        <v>134</v>
      </c>
    </row>
    <row r="765" customFormat="false" ht="15" hidden="false" customHeight="false" outlineLevel="0" collapsed="false">
      <c r="B765" s="53"/>
      <c r="I765" s="53"/>
      <c r="U765" s="31" t="n">
        <f aca="false">IF($B765='設定（最初に1回）'!$C$4,N(U764)+1,N(U764))</f>
        <v>134</v>
      </c>
    </row>
    <row r="766" customFormat="false" ht="15" hidden="false" customHeight="false" outlineLevel="0" collapsed="false">
      <c r="B766" s="53"/>
      <c r="I766" s="53"/>
      <c r="U766" s="31" t="n">
        <f aca="false">IF($B766='設定（最初に1回）'!$C$4,N(U765)+1,N(U765))</f>
        <v>134</v>
      </c>
    </row>
    <row r="767" customFormat="false" ht="15" hidden="false" customHeight="false" outlineLevel="0" collapsed="false">
      <c r="B767" s="53"/>
      <c r="I767" s="53"/>
      <c r="U767" s="31" t="n">
        <f aca="false">IF($B767='設定（最初に1回）'!$C$4,N(U766)+1,N(U766))</f>
        <v>134</v>
      </c>
    </row>
    <row r="768" customFormat="false" ht="15" hidden="false" customHeight="false" outlineLevel="0" collapsed="false">
      <c r="B768" s="53"/>
      <c r="I768" s="53"/>
      <c r="U768" s="31" t="n">
        <f aca="false">IF($B768='設定（最初に1回）'!$C$4,N(U767)+1,N(U767))</f>
        <v>134</v>
      </c>
    </row>
    <row r="769" customFormat="false" ht="15" hidden="false" customHeight="false" outlineLevel="0" collapsed="false">
      <c r="B769" s="53"/>
      <c r="I769" s="53"/>
      <c r="U769" s="31" t="n">
        <f aca="false">IF($B769='設定（最初に1回）'!$C$4,N(U768)+1,N(U768))</f>
        <v>134</v>
      </c>
    </row>
    <row r="770" customFormat="false" ht="15" hidden="false" customHeight="false" outlineLevel="0" collapsed="false">
      <c r="B770" s="53"/>
      <c r="I770" s="53"/>
      <c r="U770" s="31" t="n">
        <f aca="false">IF($B770='設定（最初に1回）'!$C$4,N(U769)+1,N(U769))</f>
        <v>134</v>
      </c>
    </row>
    <row r="771" customFormat="false" ht="15" hidden="false" customHeight="false" outlineLevel="0" collapsed="false">
      <c r="B771" s="53"/>
      <c r="I771" s="53"/>
      <c r="U771" s="31" t="n">
        <f aca="false">IF($B771='設定（最初に1回）'!$C$4,N(U770)+1,N(U770))</f>
        <v>134</v>
      </c>
    </row>
    <row r="772" customFormat="false" ht="15" hidden="false" customHeight="false" outlineLevel="0" collapsed="false">
      <c r="B772" s="53"/>
      <c r="I772" s="53"/>
      <c r="U772" s="31" t="n">
        <f aca="false">IF($B772='設定（最初に1回）'!$C$4,N(U771)+1,N(U771))</f>
        <v>134</v>
      </c>
    </row>
    <row r="773" customFormat="false" ht="15" hidden="false" customHeight="false" outlineLevel="0" collapsed="false">
      <c r="B773" s="53"/>
      <c r="I773" s="53"/>
      <c r="U773" s="31" t="n">
        <f aca="false">IF($B773='設定（最初に1回）'!$C$4,N(U772)+1,N(U772))</f>
        <v>134</v>
      </c>
    </row>
    <row r="774" customFormat="false" ht="15" hidden="false" customHeight="false" outlineLevel="0" collapsed="false">
      <c r="B774" s="53"/>
      <c r="I774" s="53"/>
      <c r="U774" s="31" t="n">
        <f aca="false">IF($B774='設定（最初に1回）'!$C$4,N(U773)+1,N(U773))</f>
        <v>134</v>
      </c>
    </row>
    <row r="775" customFormat="false" ht="15" hidden="false" customHeight="false" outlineLevel="0" collapsed="false">
      <c r="B775" s="53"/>
      <c r="I775" s="53"/>
      <c r="U775" s="31" t="n">
        <f aca="false">IF($B775='設定（最初に1回）'!$C$4,N(U774)+1,N(U774))</f>
        <v>134</v>
      </c>
    </row>
    <row r="776" customFormat="false" ht="15" hidden="false" customHeight="false" outlineLevel="0" collapsed="false">
      <c r="B776" s="53"/>
      <c r="I776" s="53"/>
      <c r="U776" s="31" t="n">
        <f aca="false">IF($B776='設定（最初に1回）'!$C$4,N(U775)+1,N(U775))</f>
        <v>134</v>
      </c>
    </row>
    <row r="777" customFormat="false" ht="15" hidden="false" customHeight="false" outlineLevel="0" collapsed="false">
      <c r="B777" s="53"/>
      <c r="I777" s="53"/>
      <c r="U777" s="31" t="n">
        <f aca="false">IF($B777='設定（最初に1回）'!$C$4,N(U776)+1,N(U776))</f>
        <v>134</v>
      </c>
    </row>
    <row r="778" customFormat="false" ht="15" hidden="false" customHeight="false" outlineLevel="0" collapsed="false">
      <c r="B778" s="53"/>
      <c r="I778" s="53"/>
      <c r="U778" s="31" t="n">
        <f aca="false">IF($B778='設定（最初に1回）'!$C$4,N(U777)+1,N(U777))</f>
        <v>134</v>
      </c>
    </row>
    <row r="779" customFormat="false" ht="15" hidden="false" customHeight="false" outlineLevel="0" collapsed="false">
      <c r="B779" s="53"/>
      <c r="I779" s="53"/>
      <c r="U779" s="31" t="n">
        <f aca="false">IF($B779='設定（最初に1回）'!$C$4,N(U778)+1,N(U778))</f>
        <v>134</v>
      </c>
    </row>
    <row r="780" customFormat="false" ht="15" hidden="false" customHeight="false" outlineLevel="0" collapsed="false">
      <c r="B780" s="53"/>
      <c r="I780" s="53"/>
      <c r="U780" s="31" t="n">
        <f aca="false">IF($B780='設定（最初に1回）'!$C$4,N(U779)+1,N(U779))</f>
        <v>134</v>
      </c>
    </row>
    <row r="781" customFormat="false" ht="15" hidden="false" customHeight="false" outlineLevel="0" collapsed="false">
      <c r="B781" s="53"/>
      <c r="I781" s="53"/>
      <c r="U781" s="31" t="n">
        <f aca="false">IF($B781='設定（最初に1回）'!$C$4,N(U780)+1,N(U780))</f>
        <v>134</v>
      </c>
    </row>
    <row r="782" customFormat="false" ht="15" hidden="false" customHeight="false" outlineLevel="0" collapsed="false">
      <c r="B782" s="53"/>
      <c r="I782" s="53"/>
      <c r="U782" s="31" t="n">
        <f aca="false">IF($B782='設定（最初に1回）'!$C$4,N(U781)+1,N(U781))</f>
        <v>134</v>
      </c>
    </row>
    <row r="783" customFormat="false" ht="15" hidden="false" customHeight="false" outlineLevel="0" collapsed="false">
      <c r="B783" s="53"/>
      <c r="I783" s="53"/>
      <c r="U783" s="31" t="n">
        <f aca="false">IF($B783='設定（最初に1回）'!$C$4,N(U782)+1,N(U782))</f>
        <v>134</v>
      </c>
    </row>
    <row r="784" customFormat="false" ht="15" hidden="false" customHeight="false" outlineLevel="0" collapsed="false">
      <c r="B784" s="53"/>
      <c r="I784" s="53"/>
      <c r="U784" s="31" t="n">
        <f aca="false">IF($B784='設定（最初に1回）'!$C$4,N(U783)+1,N(U783))</f>
        <v>134</v>
      </c>
    </row>
    <row r="785" customFormat="false" ht="15" hidden="false" customHeight="false" outlineLevel="0" collapsed="false">
      <c r="B785" s="53"/>
      <c r="I785" s="53"/>
      <c r="U785" s="31" t="n">
        <f aca="false">IF($B785='設定（最初に1回）'!$C$4,N(U784)+1,N(U784))</f>
        <v>134</v>
      </c>
    </row>
    <row r="786" customFormat="false" ht="15" hidden="false" customHeight="false" outlineLevel="0" collapsed="false">
      <c r="B786" s="53"/>
      <c r="I786" s="53"/>
      <c r="U786" s="31" t="n">
        <f aca="false">IF($B786='設定（最初に1回）'!$C$4,N(U785)+1,N(U785))</f>
        <v>134</v>
      </c>
    </row>
    <row r="787" customFormat="false" ht="15" hidden="false" customHeight="false" outlineLevel="0" collapsed="false">
      <c r="B787" s="53"/>
      <c r="I787" s="53"/>
      <c r="U787" s="31" t="n">
        <f aca="false">IF($B787='設定（最初に1回）'!$C$4,N(U786)+1,N(U786))</f>
        <v>134</v>
      </c>
    </row>
    <row r="788" customFormat="false" ht="15" hidden="false" customHeight="false" outlineLevel="0" collapsed="false">
      <c r="B788" s="53"/>
      <c r="I788" s="53"/>
      <c r="U788" s="31" t="n">
        <f aca="false">IF($B788='設定（最初に1回）'!$C$4,N(U787)+1,N(U787))</f>
        <v>134</v>
      </c>
    </row>
    <row r="789" customFormat="false" ht="15" hidden="false" customHeight="false" outlineLevel="0" collapsed="false">
      <c r="B789" s="53"/>
      <c r="I789" s="53"/>
      <c r="U789" s="31" t="n">
        <f aca="false">IF($B789='設定（最初に1回）'!$C$4,N(U788)+1,N(U788))</f>
        <v>134</v>
      </c>
    </row>
    <row r="790" customFormat="false" ht="15" hidden="false" customHeight="false" outlineLevel="0" collapsed="false">
      <c r="B790" s="53"/>
      <c r="I790" s="53"/>
      <c r="U790" s="31" t="n">
        <f aca="false">IF($B790='設定（最初に1回）'!$C$4,N(U789)+1,N(U789))</f>
        <v>134</v>
      </c>
    </row>
    <row r="791" customFormat="false" ht="15" hidden="false" customHeight="false" outlineLevel="0" collapsed="false">
      <c r="B791" s="53"/>
      <c r="I791" s="53"/>
      <c r="U791" s="31" t="n">
        <f aca="false">IF($B791='設定（最初に1回）'!$C$4,N(U790)+1,N(U790))</f>
        <v>134</v>
      </c>
    </row>
    <row r="792" customFormat="false" ht="15" hidden="false" customHeight="false" outlineLevel="0" collapsed="false">
      <c r="B792" s="53"/>
      <c r="I792" s="53"/>
      <c r="U792" s="31" t="n">
        <f aca="false">IF($B792='設定（最初に1回）'!$C$4,N(U791)+1,N(U791))</f>
        <v>134</v>
      </c>
    </row>
    <row r="793" customFormat="false" ht="15" hidden="false" customHeight="false" outlineLevel="0" collapsed="false">
      <c r="B793" s="53"/>
      <c r="I793" s="53"/>
      <c r="U793" s="31" t="n">
        <f aca="false">IF($B793='設定（最初に1回）'!$C$4,N(U792)+1,N(U792))</f>
        <v>134</v>
      </c>
    </row>
    <row r="794" customFormat="false" ht="15" hidden="false" customHeight="false" outlineLevel="0" collapsed="false">
      <c r="B794" s="53"/>
      <c r="I794" s="53"/>
      <c r="U794" s="31" t="n">
        <f aca="false">IF($B794='設定（最初に1回）'!$C$4,N(U793)+1,N(U793))</f>
        <v>134</v>
      </c>
    </row>
    <row r="795" customFormat="false" ht="15" hidden="false" customHeight="false" outlineLevel="0" collapsed="false">
      <c r="B795" s="53"/>
      <c r="I795" s="53"/>
      <c r="U795" s="31" t="n">
        <f aca="false">IF($B795='設定（最初に1回）'!$C$4,N(U794)+1,N(U794))</f>
        <v>134</v>
      </c>
    </row>
    <row r="796" customFormat="false" ht="15" hidden="false" customHeight="false" outlineLevel="0" collapsed="false">
      <c r="B796" s="53"/>
      <c r="I796" s="53"/>
      <c r="U796" s="31" t="n">
        <f aca="false">IF($B796='設定（最初に1回）'!$C$4,N(U795)+1,N(U795))</f>
        <v>134</v>
      </c>
    </row>
    <row r="797" customFormat="false" ht="15" hidden="false" customHeight="false" outlineLevel="0" collapsed="false">
      <c r="B797" s="53"/>
      <c r="I797" s="53"/>
      <c r="U797" s="31" t="n">
        <f aca="false">IF($B797='設定（最初に1回）'!$C$4,N(U796)+1,N(U796))</f>
        <v>134</v>
      </c>
    </row>
    <row r="798" customFormat="false" ht="15" hidden="false" customHeight="false" outlineLevel="0" collapsed="false">
      <c r="B798" s="53"/>
      <c r="I798" s="53"/>
      <c r="U798" s="31" t="n">
        <f aca="false">IF($B798='設定（最初に1回）'!$C$4,N(U797)+1,N(U797))</f>
        <v>134</v>
      </c>
    </row>
    <row r="799" customFormat="false" ht="15" hidden="false" customHeight="false" outlineLevel="0" collapsed="false">
      <c r="B799" s="53"/>
      <c r="I799" s="53"/>
      <c r="U799" s="31" t="n">
        <f aca="false">IF($B799='設定（最初に1回）'!$C$4,N(U798)+1,N(U798))</f>
        <v>134</v>
      </c>
    </row>
    <row r="800" customFormat="false" ht="15" hidden="false" customHeight="false" outlineLevel="0" collapsed="false">
      <c r="B800" s="53"/>
      <c r="I800" s="53"/>
      <c r="U800" s="31" t="n">
        <f aca="false">IF($B800='設定（最初に1回）'!$C$4,N(U799)+1,N(U799))</f>
        <v>134</v>
      </c>
    </row>
    <row r="801" customFormat="false" ht="15" hidden="false" customHeight="false" outlineLevel="0" collapsed="false">
      <c r="B801" s="53"/>
      <c r="I801" s="53"/>
      <c r="U801" s="31" t="n">
        <f aca="false">IF($B801='設定（最初に1回）'!$C$4,N(U800)+1,N(U800))</f>
        <v>134</v>
      </c>
    </row>
    <row r="802" customFormat="false" ht="15" hidden="false" customHeight="false" outlineLevel="0" collapsed="false">
      <c r="B802" s="53"/>
      <c r="I802" s="53"/>
      <c r="U802" s="31" t="n">
        <f aca="false">IF($B802='設定（最初に1回）'!$C$4,N(U801)+1,N(U801))</f>
        <v>134</v>
      </c>
    </row>
    <row r="803" customFormat="false" ht="15" hidden="false" customHeight="false" outlineLevel="0" collapsed="false">
      <c r="B803" s="53"/>
      <c r="I803" s="53"/>
      <c r="U803" s="31" t="n">
        <f aca="false">IF($B803='設定（最初に1回）'!$C$4,N(U802)+1,N(U802))</f>
        <v>134</v>
      </c>
    </row>
    <row r="804" customFormat="false" ht="15" hidden="false" customHeight="false" outlineLevel="0" collapsed="false">
      <c r="B804" s="53"/>
      <c r="I804" s="53"/>
      <c r="U804" s="31" t="n">
        <f aca="false">IF($B804='設定（最初に1回）'!$C$4,N(U803)+1,N(U803))</f>
        <v>134</v>
      </c>
    </row>
    <row r="805" customFormat="false" ht="15" hidden="false" customHeight="false" outlineLevel="0" collapsed="false">
      <c r="B805" s="53"/>
      <c r="I805" s="53"/>
      <c r="U805" s="31" t="n">
        <f aca="false">IF($B805='設定（最初に1回）'!$C$4,N(U804)+1,N(U804))</f>
        <v>134</v>
      </c>
    </row>
    <row r="806" customFormat="false" ht="15" hidden="false" customHeight="false" outlineLevel="0" collapsed="false">
      <c r="B806" s="53"/>
      <c r="I806" s="53"/>
      <c r="U806" s="31" t="n">
        <f aca="false">IF($B806='設定（最初に1回）'!$C$4,N(U805)+1,N(U805))</f>
        <v>134</v>
      </c>
    </row>
    <row r="807" customFormat="false" ht="15" hidden="false" customHeight="false" outlineLevel="0" collapsed="false">
      <c r="B807" s="53"/>
      <c r="I807" s="53"/>
      <c r="U807" s="31" t="n">
        <f aca="false">IF($B807='設定（最初に1回）'!$C$4,N(U806)+1,N(U806))</f>
        <v>134</v>
      </c>
    </row>
    <row r="808" customFormat="false" ht="15" hidden="false" customHeight="false" outlineLevel="0" collapsed="false">
      <c r="B808" s="53"/>
      <c r="I808" s="53"/>
      <c r="U808" s="31" t="n">
        <f aca="false">IF($B808='設定（最初に1回）'!$C$4,N(U807)+1,N(U807))</f>
        <v>134</v>
      </c>
    </row>
    <row r="809" customFormat="false" ht="15" hidden="false" customHeight="false" outlineLevel="0" collapsed="false">
      <c r="B809" s="53"/>
      <c r="I809" s="53"/>
      <c r="U809" s="31" t="n">
        <f aca="false">IF($B809='設定（最初に1回）'!$C$4,N(U808)+1,N(U808))</f>
        <v>134</v>
      </c>
    </row>
    <row r="810" customFormat="false" ht="15" hidden="false" customHeight="false" outlineLevel="0" collapsed="false">
      <c r="B810" s="53"/>
      <c r="I810" s="53"/>
      <c r="U810" s="31" t="n">
        <f aca="false">IF($B810='設定（最初に1回）'!$C$4,N(U809)+1,N(U809))</f>
        <v>134</v>
      </c>
    </row>
    <row r="811" customFormat="false" ht="15" hidden="false" customHeight="false" outlineLevel="0" collapsed="false">
      <c r="B811" s="53"/>
      <c r="I811" s="53"/>
      <c r="U811" s="31" t="n">
        <f aca="false">IF($B811='設定（最初に1回）'!$C$4,N(U810)+1,N(U810))</f>
        <v>134</v>
      </c>
    </row>
    <row r="812" customFormat="false" ht="15" hidden="false" customHeight="false" outlineLevel="0" collapsed="false">
      <c r="B812" s="53"/>
      <c r="I812" s="53"/>
      <c r="U812" s="31" t="n">
        <f aca="false">IF($B812='設定（最初に1回）'!$C$4,N(U811)+1,N(U811))</f>
        <v>134</v>
      </c>
    </row>
    <row r="813" customFormat="false" ht="15" hidden="false" customHeight="false" outlineLevel="0" collapsed="false">
      <c r="B813" s="53"/>
      <c r="I813" s="53"/>
      <c r="U813" s="31" t="n">
        <f aca="false">IF($B813='設定（最初に1回）'!$C$4,N(U812)+1,N(U812))</f>
        <v>134</v>
      </c>
    </row>
    <row r="814" customFormat="false" ht="15" hidden="false" customHeight="false" outlineLevel="0" collapsed="false">
      <c r="B814" s="53"/>
      <c r="I814" s="53"/>
      <c r="U814" s="31" t="n">
        <f aca="false">IF($B814='設定（最初に1回）'!$C$4,N(U813)+1,N(U813))</f>
        <v>134</v>
      </c>
    </row>
    <row r="815" customFormat="false" ht="15" hidden="false" customHeight="false" outlineLevel="0" collapsed="false">
      <c r="B815" s="53"/>
      <c r="I815" s="53"/>
      <c r="U815" s="31" t="n">
        <f aca="false">IF($B815='設定（最初に1回）'!$C$4,N(U814)+1,N(U814))</f>
        <v>134</v>
      </c>
    </row>
    <row r="816" customFormat="false" ht="15" hidden="false" customHeight="false" outlineLevel="0" collapsed="false">
      <c r="B816" s="53"/>
      <c r="I816" s="53"/>
      <c r="U816" s="31" t="n">
        <f aca="false">IF($B816='設定（最初に1回）'!$C$4,N(U815)+1,N(U815))</f>
        <v>134</v>
      </c>
    </row>
    <row r="817" customFormat="false" ht="15" hidden="false" customHeight="false" outlineLevel="0" collapsed="false">
      <c r="B817" s="53"/>
      <c r="I817" s="53"/>
      <c r="U817" s="31" t="n">
        <f aca="false">IF($B817='設定（最初に1回）'!$C$4,N(U816)+1,N(U816))</f>
        <v>134</v>
      </c>
    </row>
    <row r="818" customFormat="false" ht="15" hidden="false" customHeight="false" outlineLevel="0" collapsed="false">
      <c r="B818" s="53"/>
      <c r="I818" s="53"/>
      <c r="U818" s="31" t="n">
        <f aca="false">IF($B818='設定（最初に1回）'!$C$4,N(U817)+1,N(U817))</f>
        <v>134</v>
      </c>
    </row>
    <row r="819" customFormat="false" ht="15" hidden="false" customHeight="false" outlineLevel="0" collapsed="false">
      <c r="B819" s="53"/>
      <c r="I819" s="53"/>
      <c r="U819" s="31" t="n">
        <f aca="false">IF($B819='設定（最初に1回）'!$C$4,N(U818)+1,N(U818))</f>
        <v>134</v>
      </c>
    </row>
    <row r="820" customFormat="false" ht="15" hidden="false" customHeight="false" outlineLevel="0" collapsed="false">
      <c r="B820" s="53"/>
      <c r="I820" s="53"/>
      <c r="U820" s="31" t="n">
        <f aca="false">IF($B820='設定（最初に1回）'!$C$4,N(U819)+1,N(U819))</f>
        <v>134</v>
      </c>
    </row>
    <row r="821" customFormat="false" ht="15" hidden="false" customHeight="false" outlineLevel="0" collapsed="false">
      <c r="B821" s="53"/>
      <c r="I821" s="53"/>
      <c r="U821" s="31" t="n">
        <f aca="false">IF($B821='設定（最初に1回）'!$C$4,N(U820)+1,N(U820))</f>
        <v>134</v>
      </c>
    </row>
    <row r="822" customFormat="false" ht="15" hidden="false" customHeight="false" outlineLevel="0" collapsed="false">
      <c r="B822" s="53"/>
      <c r="I822" s="53"/>
      <c r="U822" s="31" t="n">
        <f aca="false">IF($B822='設定（最初に1回）'!$C$4,N(U821)+1,N(U821))</f>
        <v>134</v>
      </c>
    </row>
    <row r="823" customFormat="false" ht="15" hidden="false" customHeight="false" outlineLevel="0" collapsed="false">
      <c r="B823" s="53"/>
      <c r="I823" s="53"/>
      <c r="U823" s="31" t="n">
        <f aca="false">IF($B823='設定（最初に1回）'!$C$4,N(U822)+1,N(U822))</f>
        <v>134</v>
      </c>
    </row>
    <row r="824" customFormat="false" ht="15" hidden="false" customHeight="false" outlineLevel="0" collapsed="false">
      <c r="B824" s="53"/>
      <c r="I824" s="53"/>
      <c r="U824" s="31" t="n">
        <f aca="false">IF($B824='設定（最初に1回）'!$C$4,N(U823)+1,N(U823))</f>
        <v>134</v>
      </c>
    </row>
    <row r="825" customFormat="false" ht="15" hidden="false" customHeight="false" outlineLevel="0" collapsed="false">
      <c r="B825" s="53"/>
      <c r="I825" s="53"/>
      <c r="U825" s="31" t="n">
        <f aca="false">IF($B825='設定（最初に1回）'!$C$4,N(U824)+1,N(U824))</f>
        <v>134</v>
      </c>
    </row>
    <row r="826" customFormat="false" ht="15" hidden="false" customHeight="false" outlineLevel="0" collapsed="false">
      <c r="B826" s="53"/>
      <c r="I826" s="53"/>
      <c r="U826" s="31" t="n">
        <f aca="false">IF($B826='設定（最初に1回）'!$C$4,N(U825)+1,N(U825))</f>
        <v>134</v>
      </c>
    </row>
    <row r="827" customFormat="false" ht="15" hidden="false" customHeight="false" outlineLevel="0" collapsed="false">
      <c r="B827" s="53"/>
      <c r="I827" s="53"/>
      <c r="U827" s="31" t="n">
        <f aca="false">IF($B827='設定（最初に1回）'!$C$4,N(U826)+1,N(U826))</f>
        <v>134</v>
      </c>
    </row>
    <row r="828" customFormat="false" ht="15" hidden="false" customHeight="false" outlineLevel="0" collapsed="false">
      <c r="B828" s="53"/>
      <c r="I828" s="53"/>
      <c r="U828" s="31" t="n">
        <f aca="false">IF($B828='設定（最初に1回）'!$C$4,N(U827)+1,N(U827))</f>
        <v>134</v>
      </c>
    </row>
    <row r="829" customFormat="false" ht="15" hidden="false" customHeight="false" outlineLevel="0" collapsed="false">
      <c r="B829" s="53"/>
      <c r="I829" s="53"/>
      <c r="U829" s="31" t="n">
        <f aca="false">IF($B829='設定（最初に1回）'!$C$4,N(U828)+1,N(U828))</f>
        <v>134</v>
      </c>
    </row>
    <row r="830" customFormat="false" ht="15" hidden="false" customHeight="false" outlineLevel="0" collapsed="false">
      <c r="B830" s="53"/>
      <c r="I830" s="53"/>
      <c r="U830" s="31" t="n">
        <f aca="false">IF($B830='設定（最初に1回）'!$C$4,N(U829)+1,N(U829))</f>
        <v>134</v>
      </c>
    </row>
    <row r="831" customFormat="false" ht="15" hidden="false" customHeight="false" outlineLevel="0" collapsed="false">
      <c r="B831" s="53"/>
      <c r="I831" s="53"/>
      <c r="U831" s="31" t="n">
        <f aca="false">IF($B831='設定（最初に1回）'!$C$4,N(U830)+1,N(U830))</f>
        <v>134</v>
      </c>
    </row>
    <row r="832" customFormat="false" ht="15" hidden="false" customHeight="false" outlineLevel="0" collapsed="false">
      <c r="B832" s="53"/>
      <c r="I832" s="53"/>
      <c r="U832" s="31" t="n">
        <f aca="false">IF($B832='設定（最初に1回）'!$C$4,N(U831)+1,N(U831))</f>
        <v>134</v>
      </c>
    </row>
    <row r="833" customFormat="false" ht="15" hidden="false" customHeight="false" outlineLevel="0" collapsed="false">
      <c r="B833" s="53"/>
      <c r="I833" s="53"/>
      <c r="U833" s="31" t="n">
        <f aca="false">IF($B833='設定（最初に1回）'!$C$4,N(U832)+1,N(U832))</f>
        <v>134</v>
      </c>
    </row>
    <row r="834" customFormat="false" ht="15" hidden="false" customHeight="false" outlineLevel="0" collapsed="false">
      <c r="B834" s="53"/>
      <c r="I834" s="53"/>
      <c r="U834" s="31" t="n">
        <f aca="false">IF($B834='設定（最初に1回）'!$C$4,N(U833)+1,N(U833))</f>
        <v>134</v>
      </c>
    </row>
    <row r="835" customFormat="false" ht="15" hidden="false" customHeight="false" outlineLevel="0" collapsed="false">
      <c r="B835" s="53"/>
      <c r="I835" s="53"/>
      <c r="U835" s="31" t="n">
        <f aca="false">IF($B835='設定（最初に1回）'!$C$4,N(U834)+1,N(U834))</f>
        <v>134</v>
      </c>
    </row>
    <row r="836" customFormat="false" ht="15" hidden="false" customHeight="false" outlineLevel="0" collapsed="false">
      <c r="B836" s="53"/>
      <c r="I836" s="53"/>
      <c r="U836" s="31" t="n">
        <f aca="false">IF($B836='設定（最初に1回）'!$C$4,N(U835)+1,N(U835))</f>
        <v>134</v>
      </c>
    </row>
    <row r="837" customFormat="false" ht="15" hidden="false" customHeight="false" outlineLevel="0" collapsed="false">
      <c r="B837" s="53"/>
      <c r="I837" s="53"/>
      <c r="U837" s="31" t="n">
        <f aca="false">IF($B837='設定（最初に1回）'!$C$4,N(U836)+1,N(U836))</f>
        <v>134</v>
      </c>
    </row>
    <row r="838" customFormat="false" ht="15" hidden="false" customHeight="false" outlineLevel="0" collapsed="false">
      <c r="B838" s="53"/>
      <c r="I838" s="53"/>
      <c r="U838" s="31" t="n">
        <f aca="false">IF($B838='設定（最初に1回）'!$C$4,N(U837)+1,N(U837))</f>
        <v>134</v>
      </c>
    </row>
    <row r="839" customFormat="false" ht="15" hidden="false" customHeight="false" outlineLevel="0" collapsed="false">
      <c r="B839" s="53"/>
      <c r="I839" s="53"/>
      <c r="U839" s="31" t="n">
        <f aca="false">IF($B839='設定（最初に1回）'!$C$4,N(U838)+1,N(U838))</f>
        <v>134</v>
      </c>
    </row>
    <row r="840" customFormat="false" ht="15" hidden="false" customHeight="false" outlineLevel="0" collapsed="false">
      <c r="B840" s="53"/>
      <c r="I840" s="53"/>
      <c r="U840" s="31" t="n">
        <f aca="false">IF($B840='設定（最初に1回）'!$C$4,N(U839)+1,N(U839))</f>
        <v>134</v>
      </c>
    </row>
    <row r="841" customFormat="false" ht="15" hidden="false" customHeight="false" outlineLevel="0" collapsed="false">
      <c r="B841" s="53"/>
      <c r="I841" s="53"/>
      <c r="U841" s="31" t="n">
        <f aca="false">IF($B841='設定（最初に1回）'!$C$4,N(U840)+1,N(U840))</f>
        <v>134</v>
      </c>
    </row>
    <row r="842" customFormat="false" ht="15" hidden="false" customHeight="false" outlineLevel="0" collapsed="false">
      <c r="B842" s="53"/>
      <c r="I842" s="53"/>
      <c r="U842" s="31" t="n">
        <f aca="false">IF($B842='設定（最初に1回）'!$C$4,N(U841)+1,N(U841))</f>
        <v>134</v>
      </c>
    </row>
    <row r="843" customFormat="false" ht="15" hidden="false" customHeight="false" outlineLevel="0" collapsed="false">
      <c r="B843" s="53"/>
      <c r="I843" s="53"/>
      <c r="U843" s="31" t="n">
        <f aca="false">IF($B843='設定（最初に1回）'!$C$4,N(U842)+1,N(U842))</f>
        <v>134</v>
      </c>
    </row>
    <row r="844" customFormat="false" ht="15" hidden="false" customHeight="false" outlineLevel="0" collapsed="false">
      <c r="B844" s="53"/>
      <c r="I844" s="53"/>
      <c r="U844" s="31" t="n">
        <f aca="false">IF($B844='設定（最初に1回）'!$C$4,N(U843)+1,N(U843))</f>
        <v>134</v>
      </c>
    </row>
    <row r="845" customFormat="false" ht="15" hidden="false" customHeight="false" outlineLevel="0" collapsed="false">
      <c r="B845" s="53"/>
      <c r="I845" s="53"/>
      <c r="U845" s="31" t="n">
        <f aca="false">IF($B845='設定（最初に1回）'!$C$4,N(U844)+1,N(U844))</f>
        <v>134</v>
      </c>
    </row>
    <row r="846" customFormat="false" ht="15" hidden="false" customHeight="false" outlineLevel="0" collapsed="false">
      <c r="B846" s="53"/>
      <c r="I846" s="53"/>
      <c r="U846" s="31" t="n">
        <f aca="false">IF($B846='設定（最初に1回）'!$C$4,N(U845)+1,N(U845))</f>
        <v>134</v>
      </c>
    </row>
    <row r="847" customFormat="false" ht="15" hidden="false" customHeight="false" outlineLevel="0" collapsed="false">
      <c r="B847" s="53"/>
      <c r="I847" s="53"/>
      <c r="U847" s="31" t="n">
        <f aca="false">IF($B847='設定（最初に1回）'!$C$4,N(U846)+1,N(U846))</f>
        <v>134</v>
      </c>
    </row>
    <row r="848" customFormat="false" ht="15" hidden="false" customHeight="false" outlineLevel="0" collapsed="false">
      <c r="B848" s="53"/>
      <c r="I848" s="53"/>
      <c r="U848" s="31" t="n">
        <f aca="false">IF($B848='設定（最初に1回）'!$C$4,N(U847)+1,N(U847))</f>
        <v>134</v>
      </c>
    </row>
    <row r="849" customFormat="false" ht="15" hidden="false" customHeight="false" outlineLevel="0" collapsed="false">
      <c r="B849" s="53"/>
      <c r="I849" s="53"/>
      <c r="U849" s="31" t="n">
        <f aca="false">IF($B849='設定（最初に1回）'!$C$4,N(U848)+1,N(U848))</f>
        <v>134</v>
      </c>
    </row>
    <row r="850" customFormat="false" ht="15" hidden="false" customHeight="false" outlineLevel="0" collapsed="false">
      <c r="B850" s="53"/>
      <c r="I850" s="53"/>
      <c r="U850" s="31" t="n">
        <f aca="false">IF($B850='設定（最初に1回）'!$C$4,N(U849)+1,N(U849))</f>
        <v>134</v>
      </c>
    </row>
    <row r="851" customFormat="false" ht="15" hidden="false" customHeight="false" outlineLevel="0" collapsed="false">
      <c r="B851" s="53"/>
      <c r="I851" s="53"/>
      <c r="U851" s="31" t="n">
        <f aca="false">IF($B851='設定（最初に1回）'!$C$4,N(U850)+1,N(U850))</f>
        <v>134</v>
      </c>
    </row>
    <row r="852" customFormat="false" ht="15" hidden="false" customHeight="false" outlineLevel="0" collapsed="false">
      <c r="B852" s="53"/>
      <c r="I852" s="53"/>
      <c r="U852" s="31" t="n">
        <f aca="false">IF($B852='設定（最初に1回）'!$C$4,N(U851)+1,N(U851))</f>
        <v>134</v>
      </c>
    </row>
    <row r="853" customFormat="false" ht="15" hidden="false" customHeight="false" outlineLevel="0" collapsed="false">
      <c r="B853" s="53"/>
      <c r="I853" s="53"/>
      <c r="U853" s="31" t="n">
        <f aca="false">IF($B853='設定（最初に1回）'!$C$4,N(U852)+1,N(U852))</f>
        <v>134</v>
      </c>
    </row>
    <row r="854" customFormat="false" ht="15" hidden="false" customHeight="false" outlineLevel="0" collapsed="false">
      <c r="B854" s="53"/>
      <c r="I854" s="53"/>
      <c r="U854" s="31" t="n">
        <f aca="false">IF($B854='設定（最初に1回）'!$C$4,N(U853)+1,N(U853))</f>
        <v>134</v>
      </c>
    </row>
    <row r="855" customFormat="false" ht="15" hidden="false" customHeight="false" outlineLevel="0" collapsed="false">
      <c r="B855" s="53"/>
      <c r="I855" s="53"/>
      <c r="U855" s="31" t="n">
        <f aca="false">IF($B855='設定（最初に1回）'!$C$4,N(U854)+1,N(U854))</f>
        <v>134</v>
      </c>
    </row>
    <row r="856" customFormat="false" ht="15" hidden="false" customHeight="false" outlineLevel="0" collapsed="false">
      <c r="B856" s="53"/>
      <c r="I856" s="53"/>
      <c r="U856" s="31" t="n">
        <f aca="false">IF($B856='設定（最初に1回）'!$C$4,N(U855)+1,N(U855))</f>
        <v>134</v>
      </c>
    </row>
    <row r="857" customFormat="false" ht="15" hidden="false" customHeight="false" outlineLevel="0" collapsed="false">
      <c r="B857" s="53"/>
      <c r="I857" s="53"/>
      <c r="U857" s="31" t="n">
        <f aca="false">IF($B857='設定（最初に1回）'!$C$4,N(U856)+1,N(U856))</f>
        <v>134</v>
      </c>
    </row>
    <row r="858" customFormat="false" ht="15" hidden="false" customHeight="false" outlineLevel="0" collapsed="false">
      <c r="B858" s="53"/>
      <c r="I858" s="53"/>
      <c r="U858" s="31" t="n">
        <f aca="false">IF($B858='設定（最初に1回）'!$C$4,N(U857)+1,N(U857))</f>
        <v>134</v>
      </c>
    </row>
    <row r="859" customFormat="false" ht="15" hidden="false" customHeight="false" outlineLevel="0" collapsed="false">
      <c r="B859" s="53"/>
      <c r="I859" s="53"/>
      <c r="U859" s="31" t="n">
        <f aca="false">IF($B859='設定（最初に1回）'!$C$4,N(U858)+1,N(U858))</f>
        <v>134</v>
      </c>
    </row>
    <row r="860" customFormat="false" ht="15" hidden="false" customHeight="false" outlineLevel="0" collapsed="false">
      <c r="B860" s="53"/>
      <c r="I860" s="53"/>
      <c r="U860" s="31" t="n">
        <f aca="false">IF($B860='設定（最初に1回）'!$C$4,N(U859)+1,N(U859))</f>
        <v>134</v>
      </c>
    </row>
    <row r="861" customFormat="false" ht="15" hidden="false" customHeight="false" outlineLevel="0" collapsed="false">
      <c r="B861" s="53"/>
      <c r="I861" s="53"/>
      <c r="U861" s="31" t="n">
        <f aca="false">IF($B861='設定（最初に1回）'!$C$4,N(U860)+1,N(U860))</f>
        <v>134</v>
      </c>
    </row>
    <row r="862" customFormat="false" ht="15" hidden="false" customHeight="false" outlineLevel="0" collapsed="false">
      <c r="B862" s="53"/>
      <c r="I862" s="53"/>
      <c r="U862" s="31" t="n">
        <f aca="false">IF($B862='設定（最初に1回）'!$C$4,N(U861)+1,N(U861))</f>
        <v>134</v>
      </c>
    </row>
    <row r="863" customFormat="false" ht="15" hidden="false" customHeight="false" outlineLevel="0" collapsed="false">
      <c r="B863" s="53"/>
      <c r="I863" s="53"/>
      <c r="U863" s="31" t="n">
        <f aca="false">IF($B863='設定（最初に1回）'!$C$4,N(U862)+1,N(U862))</f>
        <v>134</v>
      </c>
    </row>
    <row r="864" customFormat="false" ht="15" hidden="false" customHeight="false" outlineLevel="0" collapsed="false">
      <c r="B864" s="53"/>
      <c r="I864" s="53"/>
      <c r="U864" s="31" t="n">
        <f aca="false">IF($B864='設定（最初に1回）'!$C$4,N(U863)+1,N(U863))</f>
        <v>134</v>
      </c>
    </row>
    <row r="865" customFormat="false" ht="15" hidden="false" customHeight="false" outlineLevel="0" collapsed="false">
      <c r="B865" s="53"/>
      <c r="I865" s="53"/>
      <c r="U865" s="31" t="n">
        <f aca="false">IF($B865='設定（最初に1回）'!$C$4,N(U864)+1,N(U864))</f>
        <v>134</v>
      </c>
    </row>
    <row r="866" customFormat="false" ht="15" hidden="false" customHeight="false" outlineLevel="0" collapsed="false">
      <c r="B866" s="53"/>
      <c r="I866" s="53"/>
      <c r="U866" s="31" t="n">
        <f aca="false">IF($B866='設定（最初に1回）'!$C$4,N(U865)+1,N(U865))</f>
        <v>134</v>
      </c>
    </row>
    <row r="867" customFormat="false" ht="15" hidden="false" customHeight="false" outlineLevel="0" collapsed="false">
      <c r="B867" s="53"/>
      <c r="I867" s="53"/>
      <c r="U867" s="31" t="n">
        <f aca="false">IF($B867='設定（最初に1回）'!$C$4,N(U866)+1,N(U866))</f>
        <v>134</v>
      </c>
    </row>
    <row r="868" customFormat="false" ht="15" hidden="false" customHeight="false" outlineLevel="0" collapsed="false">
      <c r="B868" s="53"/>
      <c r="I868" s="53"/>
      <c r="U868" s="31" t="n">
        <f aca="false">IF($B868='設定（最初に1回）'!$C$4,N(U867)+1,N(U867))</f>
        <v>134</v>
      </c>
    </row>
    <row r="869" customFormat="false" ht="15" hidden="false" customHeight="false" outlineLevel="0" collapsed="false">
      <c r="B869" s="53"/>
      <c r="I869" s="53"/>
      <c r="U869" s="31" t="n">
        <f aca="false">IF($B869='設定（最初に1回）'!$C$4,N(U868)+1,N(U868))</f>
        <v>134</v>
      </c>
    </row>
    <row r="870" customFormat="false" ht="15" hidden="false" customHeight="false" outlineLevel="0" collapsed="false">
      <c r="B870" s="53"/>
      <c r="I870" s="53"/>
      <c r="U870" s="31" t="n">
        <f aca="false">IF($B870='設定（最初に1回）'!$C$4,N(U869)+1,N(U869))</f>
        <v>134</v>
      </c>
    </row>
    <row r="871" customFormat="false" ht="15" hidden="false" customHeight="false" outlineLevel="0" collapsed="false">
      <c r="B871" s="53"/>
      <c r="I871" s="53"/>
      <c r="U871" s="31" t="n">
        <f aca="false">IF($B871='設定（最初に1回）'!$C$4,N(U870)+1,N(U870))</f>
        <v>134</v>
      </c>
    </row>
    <row r="872" customFormat="false" ht="15" hidden="false" customHeight="false" outlineLevel="0" collapsed="false">
      <c r="B872" s="53"/>
      <c r="I872" s="53"/>
      <c r="U872" s="31" t="n">
        <f aca="false">IF($B872='設定（最初に1回）'!$C$4,N(U871)+1,N(U871))</f>
        <v>134</v>
      </c>
    </row>
    <row r="873" customFormat="false" ht="15" hidden="false" customHeight="false" outlineLevel="0" collapsed="false">
      <c r="B873" s="53"/>
      <c r="I873" s="53"/>
      <c r="U873" s="31" t="n">
        <f aca="false">IF($B873='設定（最初に1回）'!$C$4,N(U872)+1,N(U872))</f>
        <v>134</v>
      </c>
    </row>
    <row r="874" customFormat="false" ht="15" hidden="false" customHeight="false" outlineLevel="0" collapsed="false">
      <c r="B874" s="53"/>
      <c r="I874" s="53"/>
      <c r="U874" s="31" t="n">
        <f aca="false">IF($B874='設定（最初に1回）'!$C$4,N(U873)+1,N(U873))</f>
        <v>134</v>
      </c>
    </row>
    <row r="875" customFormat="false" ht="15" hidden="false" customHeight="false" outlineLevel="0" collapsed="false">
      <c r="B875" s="53"/>
      <c r="I875" s="53"/>
      <c r="U875" s="31" t="n">
        <f aca="false">IF($B875='設定（最初に1回）'!$C$4,N(U874)+1,N(U874))</f>
        <v>134</v>
      </c>
    </row>
    <row r="876" customFormat="false" ht="15" hidden="false" customHeight="false" outlineLevel="0" collapsed="false">
      <c r="B876" s="53"/>
      <c r="I876" s="53"/>
      <c r="U876" s="31" t="n">
        <f aca="false">IF($B876='設定（最初に1回）'!$C$4,N(U875)+1,N(U875))</f>
        <v>134</v>
      </c>
    </row>
    <row r="877" customFormat="false" ht="15" hidden="false" customHeight="false" outlineLevel="0" collapsed="false">
      <c r="B877" s="53"/>
      <c r="I877" s="53"/>
      <c r="U877" s="31" t="n">
        <f aca="false">IF($B877='設定（最初に1回）'!$C$4,N(U876)+1,N(U876))</f>
        <v>134</v>
      </c>
    </row>
    <row r="878" customFormat="false" ht="15" hidden="false" customHeight="false" outlineLevel="0" collapsed="false">
      <c r="B878" s="53"/>
      <c r="I878" s="53"/>
      <c r="U878" s="31" t="n">
        <f aca="false">IF($B878='設定（最初に1回）'!$C$4,N(U877)+1,N(U877))</f>
        <v>134</v>
      </c>
    </row>
    <row r="879" customFormat="false" ht="15" hidden="false" customHeight="false" outlineLevel="0" collapsed="false">
      <c r="B879" s="53"/>
      <c r="I879" s="53"/>
      <c r="U879" s="31" t="n">
        <f aca="false">IF($B879='設定（最初に1回）'!$C$4,N(U878)+1,N(U878))</f>
        <v>134</v>
      </c>
    </row>
    <row r="880" customFormat="false" ht="15" hidden="false" customHeight="false" outlineLevel="0" collapsed="false">
      <c r="B880" s="53"/>
      <c r="I880" s="53"/>
      <c r="U880" s="31" t="n">
        <f aca="false">IF($B880='設定（最初に1回）'!$C$4,N(U879)+1,N(U879))</f>
        <v>134</v>
      </c>
    </row>
    <row r="881" customFormat="false" ht="15" hidden="false" customHeight="false" outlineLevel="0" collapsed="false">
      <c r="B881" s="53"/>
      <c r="I881" s="53"/>
      <c r="U881" s="31" t="n">
        <f aca="false">IF($B881='設定（最初に1回）'!$C$4,N(U880)+1,N(U880))</f>
        <v>134</v>
      </c>
    </row>
    <row r="882" customFormat="false" ht="15" hidden="false" customHeight="false" outlineLevel="0" collapsed="false">
      <c r="B882" s="53"/>
      <c r="I882" s="53"/>
      <c r="U882" s="31" t="n">
        <f aca="false">IF($B882='設定（最初に1回）'!$C$4,N(U881)+1,N(U881))</f>
        <v>134</v>
      </c>
    </row>
    <row r="883" customFormat="false" ht="15" hidden="false" customHeight="false" outlineLevel="0" collapsed="false">
      <c r="B883" s="53"/>
      <c r="I883" s="53"/>
      <c r="U883" s="31" t="n">
        <f aca="false">IF($B883='設定（最初に1回）'!$C$4,N(U882)+1,N(U882))</f>
        <v>134</v>
      </c>
    </row>
    <row r="884" customFormat="false" ht="15" hidden="false" customHeight="false" outlineLevel="0" collapsed="false">
      <c r="B884" s="53"/>
      <c r="I884" s="53"/>
      <c r="U884" s="31" t="n">
        <f aca="false">IF($B884='設定（最初に1回）'!$C$4,N(U883)+1,N(U883))</f>
        <v>134</v>
      </c>
    </row>
    <row r="885" customFormat="false" ht="15" hidden="false" customHeight="false" outlineLevel="0" collapsed="false">
      <c r="B885" s="53"/>
      <c r="I885" s="53"/>
      <c r="U885" s="31" t="n">
        <f aca="false">IF($B885='設定（最初に1回）'!$C$4,N(U884)+1,N(U884))</f>
        <v>134</v>
      </c>
    </row>
    <row r="886" customFormat="false" ht="15" hidden="false" customHeight="false" outlineLevel="0" collapsed="false">
      <c r="B886" s="53"/>
      <c r="I886" s="53"/>
      <c r="U886" s="31" t="n">
        <f aca="false">IF($B886='設定（最初に1回）'!$C$4,N(U885)+1,N(U885))</f>
        <v>134</v>
      </c>
    </row>
    <row r="887" customFormat="false" ht="15" hidden="false" customHeight="false" outlineLevel="0" collapsed="false">
      <c r="B887" s="53"/>
      <c r="I887" s="53"/>
      <c r="U887" s="31" t="n">
        <f aca="false">IF($B887='設定（最初に1回）'!$C$4,N(U886)+1,N(U886))</f>
        <v>134</v>
      </c>
    </row>
    <row r="888" customFormat="false" ht="15" hidden="false" customHeight="false" outlineLevel="0" collapsed="false">
      <c r="B888" s="53"/>
      <c r="I888" s="53"/>
      <c r="U888" s="31" t="n">
        <f aca="false">IF($B888='設定（最初に1回）'!$C$4,N(U887)+1,N(U887))</f>
        <v>134</v>
      </c>
    </row>
    <row r="889" customFormat="false" ht="15" hidden="false" customHeight="false" outlineLevel="0" collapsed="false">
      <c r="B889" s="53"/>
      <c r="I889" s="53"/>
      <c r="U889" s="31" t="n">
        <f aca="false">IF($B889='設定（最初に1回）'!$C$4,N(U888)+1,N(U888))</f>
        <v>134</v>
      </c>
    </row>
    <row r="890" customFormat="false" ht="15" hidden="false" customHeight="false" outlineLevel="0" collapsed="false">
      <c r="B890" s="53"/>
      <c r="I890" s="53"/>
      <c r="U890" s="31" t="n">
        <f aca="false">IF($B890='設定（最初に1回）'!$C$4,N(U889)+1,N(U889))</f>
        <v>134</v>
      </c>
    </row>
    <row r="891" customFormat="false" ht="15" hidden="false" customHeight="false" outlineLevel="0" collapsed="false">
      <c r="B891" s="53"/>
      <c r="I891" s="53"/>
      <c r="U891" s="31" t="n">
        <f aca="false">IF($B891='設定（最初に1回）'!$C$4,N(U890)+1,N(U890))</f>
        <v>134</v>
      </c>
    </row>
    <row r="892" customFormat="false" ht="15" hidden="false" customHeight="false" outlineLevel="0" collapsed="false">
      <c r="B892" s="53"/>
      <c r="I892" s="53"/>
      <c r="U892" s="31" t="n">
        <f aca="false">IF($B892='設定（最初に1回）'!$C$4,N(U891)+1,N(U891))</f>
        <v>134</v>
      </c>
    </row>
    <row r="893" customFormat="false" ht="15" hidden="false" customHeight="false" outlineLevel="0" collapsed="false">
      <c r="B893" s="53"/>
      <c r="I893" s="53"/>
      <c r="U893" s="31" t="n">
        <f aca="false">IF($B893='設定（最初に1回）'!$C$4,N(U892)+1,N(U892))</f>
        <v>134</v>
      </c>
    </row>
    <row r="894" customFormat="false" ht="15" hidden="false" customHeight="false" outlineLevel="0" collapsed="false">
      <c r="B894" s="53"/>
      <c r="I894" s="53"/>
      <c r="U894" s="31" t="n">
        <f aca="false">IF($B894='設定（最初に1回）'!$C$4,N(U893)+1,N(U893))</f>
        <v>134</v>
      </c>
    </row>
    <row r="895" customFormat="false" ht="15" hidden="false" customHeight="false" outlineLevel="0" collapsed="false">
      <c r="B895" s="53"/>
      <c r="I895" s="53"/>
      <c r="U895" s="31" t="n">
        <f aca="false">IF($B895='設定（最初に1回）'!$C$4,N(U894)+1,N(U894))</f>
        <v>134</v>
      </c>
    </row>
    <row r="896" customFormat="false" ht="15" hidden="false" customHeight="false" outlineLevel="0" collapsed="false">
      <c r="B896" s="53"/>
      <c r="I896" s="53"/>
      <c r="U896" s="31" t="n">
        <f aca="false">IF($B896='設定（最初に1回）'!$C$4,N(U895)+1,N(U895))</f>
        <v>134</v>
      </c>
    </row>
    <row r="897" customFormat="false" ht="15" hidden="false" customHeight="false" outlineLevel="0" collapsed="false">
      <c r="B897" s="53"/>
      <c r="I897" s="53"/>
      <c r="U897" s="31" t="n">
        <f aca="false">IF($B897='設定（最初に1回）'!$C$4,N(U896)+1,N(U896))</f>
        <v>134</v>
      </c>
    </row>
    <row r="898" customFormat="false" ht="15" hidden="false" customHeight="false" outlineLevel="0" collapsed="false">
      <c r="B898" s="53"/>
      <c r="I898" s="53"/>
      <c r="U898" s="31" t="n">
        <f aca="false">IF($B898='設定（最初に1回）'!$C$4,N(U897)+1,N(U897))</f>
        <v>134</v>
      </c>
    </row>
    <row r="899" customFormat="false" ht="15" hidden="false" customHeight="false" outlineLevel="0" collapsed="false">
      <c r="B899" s="53"/>
      <c r="I899" s="53"/>
      <c r="U899" s="31" t="n">
        <f aca="false">IF($B899='設定（最初に1回）'!$C$4,N(U898)+1,N(U898))</f>
        <v>134</v>
      </c>
    </row>
    <row r="900" customFormat="false" ht="15" hidden="false" customHeight="false" outlineLevel="0" collapsed="false">
      <c r="B900" s="53"/>
      <c r="I900" s="53"/>
      <c r="U900" s="31" t="n">
        <f aca="false">IF($B900='設定（最初に1回）'!$C$4,N(U899)+1,N(U899))</f>
        <v>134</v>
      </c>
    </row>
    <row r="901" customFormat="false" ht="15" hidden="false" customHeight="false" outlineLevel="0" collapsed="false">
      <c r="B901" s="53"/>
      <c r="I901" s="53"/>
      <c r="U901" s="31" t="n">
        <f aca="false">IF($B901='設定（最初に1回）'!$C$4,N(U900)+1,N(U900))</f>
        <v>134</v>
      </c>
    </row>
    <row r="902" customFormat="false" ht="15" hidden="false" customHeight="false" outlineLevel="0" collapsed="false">
      <c r="B902" s="53"/>
      <c r="I902" s="53"/>
      <c r="U902" s="31" t="n">
        <f aca="false">IF($B902='設定（最初に1回）'!$C$4,N(U901)+1,N(U901))</f>
        <v>134</v>
      </c>
    </row>
    <row r="903" customFormat="false" ht="15" hidden="false" customHeight="false" outlineLevel="0" collapsed="false">
      <c r="B903" s="53"/>
      <c r="I903" s="53"/>
      <c r="U903" s="31" t="n">
        <f aca="false">IF($B903='設定（最初に1回）'!$C$4,N(U902)+1,N(U902))</f>
        <v>134</v>
      </c>
    </row>
    <row r="904" customFormat="false" ht="15" hidden="false" customHeight="false" outlineLevel="0" collapsed="false">
      <c r="B904" s="53"/>
      <c r="I904" s="53"/>
      <c r="U904" s="31" t="n">
        <f aca="false">IF($B904='設定（最初に1回）'!$C$4,N(U903)+1,N(U903))</f>
        <v>134</v>
      </c>
    </row>
    <row r="905" customFormat="false" ht="15" hidden="false" customHeight="false" outlineLevel="0" collapsed="false">
      <c r="B905" s="53"/>
      <c r="I905" s="53"/>
      <c r="U905" s="31" t="n">
        <f aca="false">IF($B905='設定（最初に1回）'!$C$4,N(U904)+1,N(U904))</f>
        <v>134</v>
      </c>
    </row>
    <row r="906" customFormat="false" ht="15" hidden="false" customHeight="false" outlineLevel="0" collapsed="false">
      <c r="B906" s="53"/>
      <c r="I906" s="53"/>
      <c r="U906" s="31" t="n">
        <f aca="false">IF($B906='設定（最初に1回）'!$C$4,N(U905)+1,N(U905))</f>
        <v>134</v>
      </c>
    </row>
    <row r="907" customFormat="false" ht="15" hidden="false" customHeight="false" outlineLevel="0" collapsed="false">
      <c r="B907" s="53"/>
      <c r="I907" s="53"/>
      <c r="U907" s="31" t="n">
        <f aca="false">IF($B907='設定（最初に1回）'!$C$4,N(U906)+1,N(U906))</f>
        <v>134</v>
      </c>
    </row>
    <row r="908" customFormat="false" ht="15" hidden="false" customHeight="false" outlineLevel="0" collapsed="false">
      <c r="B908" s="53"/>
      <c r="I908" s="53"/>
      <c r="U908" s="31" t="n">
        <f aca="false">IF($B908='設定（最初に1回）'!$C$4,N(U907)+1,N(U907))</f>
        <v>134</v>
      </c>
    </row>
    <row r="909" customFormat="false" ht="15" hidden="false" customHeight="false" outlineLevel="0" collapsed="false">
      <c r="B909" s="53"/>
      <c r="I909" s="53"/>
      <c r="U909" s="31" t="n">
        <f aca="false">IF($B909='設定（最初に1回）'!$C$4,N(U908)+1,N(U908))</f>
        <v>134</v>
      </c>
    </row>
    <row r="910" customFormat="false" ht="15" hidden="false" customHeight="false" outlineLevel="0" collapsed="false">
      <c r="B910" s="53"/>
      <c r="I910" s="53"/>
      <c r="U910" s="31" t="n">
        <f aca="false">IF($B910='設定（最初に1回）'!$C$4,N(U909)+1,N(U909))</f>
        <v>134</v>
      </c>
    </row>
    <row r="911" customFormat="false" ht="15" hidden="false" customHeight="false" outlineLevel="0" collapsed="false">
      <c r="B911" s="53"/>
      <c r="I911" s="53"/>
      <c r="U911" s="31" t="n">
        <f aca="false">IF($B911='設定（最初に1回）'!$C$4,N(U910)+1,N(U910))</f>
        <v>134</v>
      </c>
    </row>
    <row r="912" customFormat="false" ht="15" hidden="false" customHeight="false" outlineLevel="0" collapsed="false">
      <c r="B912" s="53"/>
      <c r="I912" s="53"/>
      <c r="U912" s="31" t="n">
        <f aca="false">IF($B912='設定（最初に1回）'!$C$4,N(U911)+1,N(U911))</f>
        <v>134</v>
      </c>
    </row>
    <row r="913" customFormat="false" ht="15" hidden="false" customHeight="false" outlineLevel="0" collapsed="false">
      <c r="B913" s="53"/>
      <c r="I913" s="53"/>
      <c r="U913" s="31" t="n">
        <f aca="false">IF($B913='設定（最初に1回）'!$C$4,N(U912)+1,N(U912))</f>
        <v>134</v>
      </c>
    </row>
    <row r="914" customFormat="false" ht="15" hidden="false" customHeight="false" outlineLevel="0" collapsed="false">
      <c r="B914" s="53"/>
      <c r="I914" s="53"/>
      <c r="U914" s="31" t="n">
        <f aca="false">IF($B914='設定（最初に1回）'!$C$4,N(U913)+1,N(U913))</f>
        <v>134</v>
      </c>
    </row>
    <row r="915" customFormat="false" ht="15" hidden="false" customHeight="false" outlineLevel="0" collapsed="false">
      <c r="B915" s="53"/>
      <c r="I915" s="53"/>
      <c r="U915" s="31" t="n">
        <f aca="false">IF($B915='設定（最初に1回）'!$C$4,N(U914)+1,N(U914))</f>
        <v>134</v>
      </c>
    </row>
    <row r="916" customFormat="false" ht="15" hidden="false" customHeight="false" outlineLevel="0" collapsed="false">
      <c r="B916" s="53"/>
      <c r="I916" s="53"/>
      <c r="U916" s="31" t="n">
        <f aca="false">IF($B916='設定（最初に1回）'!$C$4,N(U915)+1,N(U915))</f>
        <v>134</v>
      </c>
    </row>
    <row r="917" customFormat="false" ht="15" hidden="false" customHeight="false" outlineLevel="0" collapsed="false">
      <c r="B917" s="53"/>
      <c r="I917" s="53"/>
      <c r="U917" s="31" t="n">
        <f aca="false">IF($B917='設定（最初に1回）'!$C$4,N(U916)+1,N(U916))</f>
        <v>134</v>
      </c>
    </row>
    <row r="918" customFormat="false" ht="15" hidden="false" customHeight="false" outlineLevel="0" collapsed="false">
      <c r="B918" s="53"/>
      <c r="I918" s="53"/>
      <c r="U918" s="31" t="n">
        <f aca="false">IF($B918='設定（最初に1回）'!$C$4,N(U917)+1,N(U917))</f>
        <v>134</v>
      </c>
    </row>
    <row r="919" customFormat="false" ht="15" hidden="false" customHeight="false" outlineLevel="0" collapsed="false">
      <c r="B919" s="53"/>
      <c r="I919" s="53"/>
      <c r="U919" s="31" t="n">
        <f aca="false">IF($B919='設定（最初に1回）'!$C$4,N(U918)+1,N(U918))</f>
        <v>134</v>
      </c>
    </row>
    <row r="920" customFormat="false" ht="15" hidden="false" customHeight="false" outlineLevel="0" collapsed="false">
      <c r="B920" s="53"/>
      <c r="I920" s="53"/>
      <c r="U920" s="31" t="n">
        <f aca="false">IF($B920='設定（最初に1回）'!$C$4,N(U919)+1,N(U919))</f>
        <v>134</v>
      </c>
    </row>
    <row r="921" customFormat="false" ht="15" hidden="false" customHeight="false" outlineLevel="0" collapsed="false">
      <c r="B921" s="53"/>
      <c r="I921" s="53"/>
      <c r="U921" s="31" t="n">
        <f aca="false">IF($B921='設定（最初に1回）'!$C$4,N(U920)+1,N(U920))</f>
        <v>134</v>
      </c>
    </row>
    <row r="922" customFormat="false" ht="15" hidden="false" customHeight="false" outlineLevel="0" collapsed="false">
      <c r="B922" s="53"/>
      <c r="I922" s="53"/>
      <c r="U922" s="31" t="n">
        <f aca="false">IF($B922='設定（最初に1回）'!$C$4,N(U921)+1,N(U921))</f>
        <v>134</v>
      </c>
    </row>
    <row r="923" customFormat="false" ht="15" hidden="false" customHeight="false" outlineLevel="0" collapsed="false">
      <c r="B923" s="53"/>
      <c r="I923" s="53"/>
      <c r="U923" s="31" t="n">
        <f aca="false">IF($B923='設定（最初に1回）'!$C$4,N(U922)+1,N(U922))</f>
        <v>134</v>
      </c>
    </row>
    <row r="924" customFormat="false" ht="15" hidden="false" customHeight="false" outlineLevel="0" collapsed="false">
      <c r="B924" s="53"/>
      <c r="I924" s="53"/>
      <c r="U924" s="31" t="n">
        <f aca="false">IF($B924='設定（最初に1回）'!$C$4,N(U923)+1,N(U923))</f>
        <v>134</v>
      </c>
    </row>
    <row r="925" customFormat="false" ht="15" hidden="false" customHeight="false" outlineLevel="0" collapsed="false">
      <c r="B925" s="53"/>
      <c r="I925" s="53"/>
      <c r="U925" s="31" t="n">
        <f aca="false">IF($B925='設定（最初に1回）'!$C$4,N(U924)+1,N(U924))</f>
        <v>134</v>
      </c>
    </row>
    <row r="926" customFormat="false" ht="15" hidden="false" customHeight="false" outlineLevel="0" collapsed="false">
      <c r="B926" s="53"/>
      <c r="I926" s="53"/>
      <c r="U926" s="31" t="n">
        <f aca="false">IF($B926='設定（最初に1回）'!$C$4,N(U925)+1,N(U925))</f>
        <v>134</v>
      </c>
    </row>
    <row r="927" customFormat="false" ht="15" hidden="false" customHeight="false" outlineLevel="0" collapsed="false">
      <c r="B927" s="53"/>
      <c r="I927" s="53"/>
      <c r="U927" s="31" t="n">
        <f aca="false">IF($B927='設定（最初に1回）'!$C$4,N(U926)+1,N(U926))</f>
        <v>134</v>
      </c>
    </row>
    <row r="928" customFormat="false" ht="15" hidden="false" customHeight="false" outlineLevel="0" collapsed="false">
      <c r="B928" s="53"/>
      <c r="I928" s="53"/>
      <c r="U928" s="31" t="n">
        <f aca="false">IF($B928='設定（最初に1回）'!$C$4,N(U927)+1,N(U927))</f>
        <v>134</v>
      </c>
    </row>
    <row r="929" customFormat="false" ht="15" hidden="false" customHeight="false" outlineLevel="0" collapsed="false">
      <c r="B929" s="53"/>
      <c r="I929" s="53"/>
      <c r="U929" s="31" t="n">
        <f aca="false">IF($B929='設定（最初に1回）'!$C$4,N(U928)+1,N(U928))</f>
        <v>134</v>
      </c>
    </row>
    <row r="930" customFormat="false" ht="15" hidden="false" customHeight="false" outlineLevel="0" collapsed="false">
      <c r="B930" s="53"/>
      <c r="I930" s="53"/>
      <c r="U930" s="31" t="n">
        <f aca="false">IF($B930='設定（最初に1回）'!$C$4,N(U929)+1,N(U929))</f>
        <v>134</v>
      </c>
    </row>
    <row r="931" customFormat="false" ht="15" hidden="false" customHeight="false" outlineLevel="0" collapsed="false">
      <c r="B931" s="53"/>
      <c r="I931" s="53"/>
      <c r="U931" s="31" t="n">
        <f aca="false">IF($B931='設定（最初に1回）'!$C$4,N(U930)+1,N(U930))</f>
        <v>134</v>
      </c>
    </row>
    <row r="932" customFormat="false" ht="15" hidden="false" customHeight="false" outlineLevel="0" collapsed="false">
      <c r="B932" s="53"/>
      <c r="I932" s="53"/>
      <c r="U932" s="31" t="n">
        <f aca="false">IF($B932='設定（最初に1回）'!$C$4,N(U931)+1,N(U931))</f>
        <v>134</v>
      </c>
    </row>
    <row r="933" customFormat="false" ht="15" hidden="false" customHeight="false" outlineLevel="0" collapsed="false">
      <c r="B933" s="53"/>
      <c r="I933" s="53"/>
      <c r="U933" s="31" t="n">
        <f aca="false">IF($B933='設定（最初に1回）'!$C$4,N(U932)+1,N(U932))</f>
        <v>134</v>
      </c>
    </row>
    <row r="934" customFormat="false" ht="15" hidden="false" customHeight="false" outlineLevel="0" collapsed="false">
      <c r="B934" s="53"/>
      <c r="I934" s="53"/>
      <c r="U934" s="31" t="n">
        <f aca="false">IF($B934='設定（最初に1回）'!$C$4,N(U933)+1,N(U933))</f>
        <v>134</v>
      </c>
    </row>
    <row r="935" customFormat="false" ht="15" hidden="false" customHeight="false" outlineLevel="0" collapsed="false">
      <c r="B935" s="53"/>
      <c r="I935" s="53"/>
      <c r="U935" s="31" t="n">
        <f aca="false">IF($B935='設定（最初に1回）'!$C$4,N(U934)+1,N(U934))</f>
        <v>134</v>
      </c>
    </row>
    <row r="936" customFormat="false" ht="15" hidden="false" customHeight="false" outlineLevel="0" collapsed="false">
      <c r="B936" s="53"/>
      <c r="I936" s="53"/>
      <c r="U936" s="31" t="n">
        <f aca="false">IF($B936='設定（最初に1回）'!$C$4,N(U935)+1,N(U935))</f>
        <v>134</v>
      </c>
    </row>
    <row r="937" customFormat="false" ht="15" hidden="false" customHeight="false" outlineLevel="0" collapsed="false">
      <c r="B937" s="53"/>
      <c r="I937" s="53"/>
      <c r="U937" s="31" t="n">
        <f aca="false">IF($B937='設定（最初に1回）'!$C$4,N(U936)+1,N(U936))</f>
        <v>134</v>
      </c>
    </row>
    <row r="938" customFormat="false" ht="15" hidden="false" customHeight="false" outlineLevel="0" collapsed="false">
      <c r="B938" s="53"/>
      <c r="I938" s="53"/>
      <c r="U938" s="31" t="n">
        <f aca="false">IF($B938='設定（最初に1回）'!$C$4,N(U937)+1,N(U937))</f>
        <v>134</v>
      </c>
    </row>
    <row r="939" customFormat="false" ht="15" hidden="false" customHeight="false" outlineLevel="0" collapsed="false">
      <c r="B939" s="53"/>
      <c r="I939" s="53"/>
      <c r="U939" s="31" t="n">
        <f aca="false">IF($B939='設定（最初に1回）'!$C$4,N(U938)+1,N(U938))</f>
        <v>134</v>
      </c>
    </row>
    <row r="940" customFormat="false" ht="15" hidden="false" customHeight="false" outlineLevel="0" collapsed="false">
      <c r="B940" s="53"/>
      <c r="I940" s="53"/>
      <c r="U940" s="31" t="n">
        <f aca="false">IF($B940='設定（最初に1回）'!$C$4,N(U939)+1,N(U939))</f>
        <v>134</v>
      </c>
    </row>
    <row r="941" customFormat="false" ht="15" hidden="false" customHeight="false" outlineLevel="0" collapsed="false">
      <c r="B941" s="53"/>
      <c r="I941" s="53"/>
      <c r="U941" s="31" t="n">
        <f aca="false">IF($B941='設定（最初に1回）'!$C$4,N(U940)+1,N(U940))</f>
        <v>134</v>
      </c>
    </row>
    <row r="942" customFormat="false" ht="15" hidden="false" customHeight="false" outlineLevel="0" collapsed="false">
      <c r="B942" s="53"/>
      <c r="I942" s="53"/>
      <c r="U942" s="31" t="n">
        <f aca="false">IF($B942='設定（最初に1回）'!$C$4,N(U941)+1,N(U941))</f>
        <v>134</v>
      </c>
    </row>
    <row r="943" customFormat="false" ht="15" hidden="false" customHeight="false" outlineLevel="0" collapsed="false">
      <c r="B943" s="53"/>
      <c r="I943" s="53"/>
      <c r="U943" s="31" t="n">
        <f aca="false">IF($B943='設定（最初に1回）'!$C$4,N(U942)+1,N(U942))</f>
        <v>134</v>
      </c>
    </row>
    <row r="944" customFormat="false" ht="15" hidden="false" customHeight="false" outlineLevel="0" collapsed="false">
      <c r="B944" s="53"/>
      <c r="I944" s="53"/>
      <c r="U944" s="31" t="n">
        <f aca="false">IF($B944='設定（最初に1回）'!$C$4,N(U943)+1,N(U943))</f>
        <v>134</v>
      </c>
    </row>
    <row r="945" customFormat="false" ht="15" hidden="false" customHeight="false" outlineLevel="0" collapsed="false">
      <c r="B945" s="53"/>
      <c r="I945" s="53"/>
      <c r="U945" s="31" t="n">
        <f aca="false">IF($B945='設定（最初に1回）'!$C$4,N(U944)+1,N(U944))</f>
        <v>134</v>
      </c>
    </row>
    <row r="946" customFormat="false" ht="15" hidden="false" customHeight="false" outlineLevel="0" collapsed="false">
      <c r="B946" s="53"/>
      <c r="I946" s="53"/>
      <c r="U946" s="31" t="n">
        <f aca="false">IF($B946='設定（最初に1回）'!$C$4,N(U945)+1,N(U945))</f>
        <v>134</v>
      </c>
    </row>
    <row r="947" customFormat="false" ht="15" hidden="false" customHeight="false" outlineLevel="0" collapsed="false">
      <c r="B947" s="53"/>
      <c r="I947" s="53"/>
      <c r="U947" s="31" t="n">
        <f aca="false">IF($B947='設定（最初に1回）'!$C$4,N(U946)+1,N(U946))</f>
        <v>134</v>
      </c>
    </row>
    <row r="948" customFormat="false" ht="15" hidden="false" customHeight="false" outlineLevel="0" collapsed="false">
      <c r="B948" s="53"/>
      <c r="I948" s="53"/>
      <c r="U948" s="31" t="n">
        <f aca="false">IF($B948='設定（最初に1回）'!$C$4,N(U947)+1,N(U947))</f>
        <v>134</v>
      </c>
    </row>
    <row r="949" customFormat="false" ht="15" hidden="false" customHeight="false" outlineLevel="0" collapsed="false">
      <c r="B949" s="53"/>
      <c r="I949" s="53"/>
      <c r="U949" s="31" t="n">
        <f aca="false">IF($B949='設定（最初に1回）'!$C$4,N(U948)+1,N(U948))</f>
        <v>134</v>
      </c>
    </row>
    <row r="950" customFormat="false" ht="15" hidden="false" customHeight="false" outlineLevel="0" collapsed="false">
      <c r="B950" s="53"/>
      <c r="I950" s="53"/>
      <c r="U950" s="31" t="n">
        <f aca="false">IF($B950='設定（最初に1回）'!$C$4,N(U949)+1,N(U949))</f>
        <v>134</v>
      </c>
    </row>
    <row r="951" customFormat="false" ht="15" hidden="false" customHeight="false" outlineLevel="0" collapsed="false">
      <c r="B951" s="53"/>
      <c r="I951" s="53"/>
      <c r="U951" s="31" t="n">
        <f aca="false">IF($B951='設定（最初に1回）'!$C$4,N(U950)+1,N(U950))</f>
        <v>134</v>
      </c>
    </row>
    <row r="952" customFormat="false" ht="15" hidden="false" customHeight="false" outlineLevel="0" collapsed="false">
      <c r="B952" s="53"/>
      <c r="I952" s="53"/>
      <c r="U952" s="31" t="n">
        <f aca="false">IF($B952='設定（最初に1回）'!$C$4,N(U951)+1,N(U951))</f>
        <v>134</v>
      </c>
    </row>
    <row r="953" customFormat="false" ht="15" hidden="false" customHeight="false" outlineLevel="0" collapsed="false">
      <c r="B953" s="53"/>
      <c r="I953" s="53"/>
      <c r="U953" s="31" t="n">
        <f aca="false">IF($B953='設定（最初に1回）'!$C$4,N(U952)+1,N(U952))</f>
        <v>134</v>
      </c>
    </row>
    <row r="954" customFormat="false" ht="15" hidden="false" customHeight="false" outlineLevel="0" collapsed="false">
      <c r="B954" s="53"/>
      <c r="I954" s="53"/>
      <c r="U954" s="31" t="n">
        <f aca="false">IF($B954='設定（最初に1回）'!$C$4,N(U953)+1,N(U953))</f>
        <v>134</v>
      </c>
    </row>
    <row r="955" customFormat="false" ht="15" hidden="false" customHeight="false" outlineLevel="0" collapsed="false">
      <c r="B955" s="53"/>
      <c r="I955" s="53"/>
      <c r="U955" s="31" t="n">
        <f aca="false">IF($B955='設定（最初に1回）'!$C$4,N(U954)+1,N(U954))</f>
        <v>134</v>
      </c>
    </row>
    <row r="956" customFormat="false" ht="15" hidden="false" customHeight="false" outlineLevel="0" collapsed="false">
      <c r="B956" s="53"/>
      <c r="I956" s="53"/>
      <c r="U956" s="31" t="n">
        <f aca="false">IF($B956='設定（最初に1回）'!$C$4,N(U955)+1,N(U955))</f>
        <v>134</v>
      </c>
    </row>
    <row r="957" customFormat="false" ht="15" hidden="false" customHeight="false" outlineLevel="0" collapsed="false">
      <c r="B957" s="53"/>
      <c r="I957" s="53"/>
      <c r="U957" s="31" t="n">
        <f aca="false">IF($B957='設定（最初に1回）'!$C$4,N(U956)+1,N(U956))</f>
        <v>134</v>
      </c>
    </row>
    <row r="958" customFormat="false" ht="15" hidden="false" customHeight="false" outlineLevel="0" collapsed="false">
      <c r="B958" s="53"/>
      <c r="I958" s="53"/>
      <c r="U958" s="31" t="n">
        <f aca="false">IF($B958='設定（最初に1回）'!$C$4,N(U957)+1,N(U957))</f>
        <v>134</v>
      </c>
    </row>
    <row r="959" customFormat="false" ht="15" hidden="false" customHeight="false" outlineLevel="0" collapsed="false">
      <c r="B959" s="53"/>
      <c r="I959" s="53"/>
      <c r="U959" s="31" t="n">
        <f aca="false">IF($B959='設定（最初に1回）'!$C$4,N(U958)+1,N(U958))</f>
        <v>134</v>
      </c>
    </row>
    <row r="960" customFormat="false" ht="15" hidden="false" customHeight="false" outlineLevel="0" collapsed="false">
      <c r="B960" s="53"/>
      <c r="I960" s="53"/>
      <c r="U960" s="31" t="n">
        <f aca="false">IF($B960='設定（最初に1回）'!$C$4,N(U959)+1,N(U959))</f>
        <v>134</v>
      </c>
    </row>
    <row r="961" customFormat="false" ht="15" hidden="false" customHeight="false" outlineLevel="0" collapsed="false">
      <c r="B961" s="53"/>
      <c r="I961" s="53"/>
      <c r="U961" s="31" t="n">
        <f aca="false">IF($B961='設定（最初に1回）'!$C$4,N(U960)+1,N(U960))</f>
        <v>134</v>
      </c>
    </row>
    <row r="962" customFormat="false" ht="15" hidden="false" customHeight="false" outlineLevel="0" collapsed="false">
      <c r="B962" s="53"/>
      <c r="I962" s="53"/>
      <c r="U962" s="31" t="n">
        <f aca="false">IF($B962='設定（最初に1回）'!$C$4,N(U961)+1,N(U961))</f>
        <v>134</v>
      </c>
    </row>
    <row r="963" customFormat="false" ht="15" hidden="false" customHeight="false" outlineLevel="0" collapsed="false">
      <c r="B963" s="53"/>
      <c r="I963" s="53"/>
      <c r="U963" s="31" t="n">
        <f aca="false">IF($B963='設定（最初に1回）'!$C$4,N(U962)+1,N(U962))</f>
        <v>134</v>
      </c>
    </row>
    <row r="964" customFormat="false" ht="15" hidden="false" customHeight="false" outlineLevel="0" collapsed="false">
      <c r="B964" s="53"/>
      <c r="I964" s="53"/>
      <c r="U964" s="31" t="n">
        <f aca="false">IF($B964='設定（最初に1回）'!$C$4,N(U963)+1,N(U963))</f>
        <v>134</v>
      </c>
    </row>
    <row r="965" customFormat="false" ht="15" hidden="false" customHeight="false" outlineLevel="0" collapsed="false">
      <c r="B965" s="53"/>
      <c r="I965" s="53"/>
      <c r="U965" s="31" t="n">
        <f aca="false">IF($B965='設定（最初に1回）'!$C$4,N(U964)+1,N(U964))</f>
        <v>134</v>
      </c>
    </row>
    <row r="966" customFormat="false" ht="15" hidden="false" customHeight="false" outlineLevel="0" collapsed="false">
      <c r="B966" s="53"/>
      <c r="I966" s="53"/>
      <c r="U966" s="31" t="n">
        <f aca="false">IF($B966='設定（最初に1回）'!$C$4,N(U965)+1,N(U965))</f>
        <v>134</v>
      </c>
    </row>
    <row r="967" customFormat="false" ht="15" hidden="false" customHeight="false" outlineLevel="0" collapsed="false">
      <c r="B967" s="53"/>
      <c r="I967" s="53"/>
      <c r="U967" s="31" t="n">
        <f aca="false">IF($B967='設定（最初に1回）'!$C$4,N(U966)+1,N(U966))</f>
        <v>134</v>
      </c>
    </row>
    <row r="968" customFormat="false" ht="15" hidden="false" customHeight="false" outlineLevel="0" collapsed="false">
      <c r="B968" s="53"/>
      <c r="I968" s="53"/>
      <c r="U968" s="31" t="n">
        <f aca="false">IF($B968='設定（最初に1回）'!$C$4,N(U967)+1,N(U967))</f>
        <v>134</v>
      </c>
    </row>
    <row r="969" customFormat="false" ht="15" hidden="false" customHeight="false" outlineLevel="0" collapsed="false">
      <c r="B969" s="53"/>
      <c r="I969" s="53"/>
      <c r="U969" s="31" t="n">
        <f aca="false">IF($B969='設定（最初に1回）'!$C$4,N(U968)+1,N(U968))</f>
        <v>134</v>
      </c>
    </row>
    <row r="970" customFormat="false" ht="15" hidden="false" customHeight="false" outlineLevel="0" collapsed="false">
      <c r="B970" s="53"/>
      <c r="I970" s="53"/>
      <c r="U970" s="31" t="n">
        <f aca="false">IF($B970='設定（最初に1回）'!$C$4,N(U969)+1,N(U969))</f>
        <v>134</v>
      </c>
    </row>
    <row r="971" customFormat="false" ht="15" hidden="false" customHeight="false" outlineLevel="0" collapsed="false">
      <c r="B971" s="53"/>
      <c r="I971" s="53"/>
      <c r="U971" s="31" t="n">
        <f aca="false">IF($B971='設定（最初に1回）'!$C$4,N(U970)+1,N(U970))</f>
        <v>134</v>
      </c>
    </row>
    <row r="972" customFormat="false" ht="15" hidden="false" customHeight="false" outlineLevel="0" collapsed="false">
      <c r="B972" s="53"/>
      <c r="I972" s="53"/>
      <c r="U972" s="31" t="n">
        <f aca="false">IF($B972='設定（最初に1回）'!$C$4,N(U971)+1,N(U971))</f>
        <v>134</v>
      </c>
    </row>
    <row r="973" customFormat="false" ht="15" hidden="false" customHeight="false" outlineLevel="0" collapsed="false">
      <c r="B973" s="53"/>
      <c r="I973" s="53"/>
      <c r="U973" s="31" t="n">
        <f aca="false">IF($B973='設定（最初に1回）'!$C$4,N(U972)+1,N(U972))</f>
        <v>134</v>
      </c>
    </row>
    <row r="974" customFormat="false" ht="15" hidden="false" customHeight="false" outlineLevel="0" collapsed="false">
      <c r="B974" s="53"/>
      <c r="I974" s="53"/>
      <c r="U974" s="31" t="n">
        <f aca="false">IF($B974='設定（最初に1回）'!$C$4,N(U973)+1,N(U973))</f>
        <v>134</v>
      </c>
    </row>
    <row r="975" customFormat="false" ht="15" hidden="false" customHeight="false" outlineLevel="0" collapsed="false">
      <c r="B975" s="53"/>
      <c r="I975" s="53"/>
      <c r="U975" s="31" t="n">
        <f aca="false">IF($B975='設定（最初に1回）'!$C$4,N(U974)+1,N(U974))</f>
        <v>134</v>
      </c>
    </row>
    <row r="976" customFormat="false" ht="15" hidden="false" customHeight="false" outlineLevel="0" collapsed="false">
      <c r="B976" s="53"/>
      <c r="I976" s="53"/>
      <c r="U976" s="31" t="n">
        <f aca="false">IF($B976='設定（最初に1回）'!$C$4,N(U975)+1,N(U975))</f>
        <v>134</v>
      </c>
    </row>
    <row r="977" customFormat="false" ht="15" hidden="false" customHeight="false" outlineLevel="0" collapsed="false">
      <c r="B977" s="53"/>
      <c r="I977" s="53"/>
      <c r="U977" s="31" t="n">
        <f aca="false">IF($B977='設定（最初に1回）'!$C$4,N(U976)+1,N(U976))</f>
        <v>134</v>
      </c>
    </row>
    <row r="978" customFormat="false" ht="15" hidden="false" customHeight="false" outlineLevel="0" collapsed="false">
      <c r="B978" s="53"/>
      <c r="I978" s="53"/>
      <c r="U978" s="31" t="n">
        <f aca="false">IF($B978='設定（最初に1回）'!$C$4,N(U977)+1,N(U977))</f>
        <v>134</v>
      </c>
    </row>
    <row r="979" customFormat="false" ht="15" hidden="false" customHeight="false" outlineLevel="0" collapsed="false">
      <c r="B979" s="53"/>
      <c r="I979" s="53"/>
      <c r="U979" s="31" t="n">
        <f aca="false">IF($B979='設定（最初に1回）'!$C$4,N(U978)+1,N(U978))</f>
        <v>134</v>
      </c>
    </row>
    <row r="980" customFormat="false" ht="15" hidden="false" customHeight="false" outlineLevel="0" collapsed="false">
      <c r="B980" s="53"/>
      <c r="I980" s="53"/>
      <c r="U980" s="31" t="n">
        <f aca="false">IF($B980='設定（最初に1回）'!$C$4,N(U979)+1,N(U979))</f>
        <v>134</v>
      </c>
    </row>
    <row r="981" customFormat="false" ht="15" hidden="false" customHeight="false" outlineLevel="0" collapsed="false">
      <c r="B981" s="53"/>
      <c r="I981" s="53"/>
      <c r="U981" s="31" t="n">
        <f aca="false">IF($B981='設定（最初に1回）'!$C$4,N(U980)+1,N(U980))</f>
        <v>134</v>
      </c>
    </row>
    <row r="982" customFormat="false" ht="15" hidden="false" customHeight="false" outlineLevel="0" collapsed="false">
      <c r="B982" s="53"/>
      <c r="I982" s="53"/>
      <c r="U982" s="31" t="n">
        <f aca="false">IF($B982='設定（最初に1回）'!$C$4,N(U981)+1,N(U981))</f>
        <v>134</v>
      </c>
    </row>
    <row r="983" customFormat="false" ht="15" hidden="false" customHeight="false" outlineLevel="0" collapsed="false">
      <c r="B983" s="53"/>
      <c r="I983" s="53"/>
      <c r="U983" s="31" t="n">
        <f aca="false">IF($B983='設定（最初に1回）'!$C$4,N(U982)+1,N(U982))</f>
        <v>134</v>
      </c>
    </row>
    <row r="984" customFormat="false" ht="15" hidden="false" customHeight="false" outlineLevel="0" collapsed="false">
      <c r="B984" s="53"/>
      <c r="I984" s="53"/>
      <c r="U984" s="31" t="n">
        <f aca="false">IF($B984='設定（最初に1回）'!$C$4,N(U983)+1,N(U983))</f>
        <v>134</v>
      </c>
    </row>
    <row r="985" customFormat="false" ht="15" hidden="false" customHeight="false" outlineLevel="0" collapsed="false">
      <c r="B985" s="53"/>
      <c r="I985" s="53"/>
      <c r="U985" s="31" t="n">
        <f aca="false">IF($B985='設定（最初に1回）'!$C$4,N(U984)+1,N(U984))</f>
        <v>134</v>
      </c>
    </row>
    <row r="986" customFormat="false" ht="15" hidden="false" customHeight="false" outlineLevel="0" collapsed="false">
      <c r="B986" s="53"/>
      <c r="I986" s="53"/>
      <c r="U986" s="31" t="n">
        <f aca="false">IF($B986='設定（最初に1回）'!$C$4,N(U985)+1,N(U985))</f>
        <v>134</v>
      </c>
    </row>
    <row r="987" customFormat="false" ht="15" hidden="false" customHeight="false" outlineLevel="0" collapsed="false">
      <c r="B987" s="53"/>
      <c r="I987" s="53"/>
      <c r="U987" s="31" t="n">
        <f aca="false">IF($B987='設定（最初に1回）'!$C$4,N(U986)+1,N(U986))</f>
        <v>134</v>
      </c>
    </row>
    <row r="988" customFormat="false" ht="15" hidden="false" customHeight="false" outlineLevel="0" collapsed="false">
      <c r="B988" s="53"/>
      <c r="I988" s="53"/>
      <c r="U988" s="31" t="n">
        <f aca="false">IF($B988='設定（最初に1回）'!$C$4,N(U987)+1,N(U987))</f>
        <v>134</v>
      </c>
    </row>
    <row r="989" customFormat="false" ht="15" hidden="false" customHeight="false" outlineLevel="0" collapsed="false">
      <c r="B989" s="53"/>
      <c r="I989" s="53"/>
      <c r="U989" s="31" t="n">
        <f aca="false">IF($B989='設定（最初に1回）'!$C$4,N(U988)+1,N(U988))</f>
        <v>134</v>
      </c>
    </row>
    <row r="990" customFormat="false" ht="15" hidden="false" customHeight="false" outlineLevel="0" collapsed="false">
      <c r="B990" s="53"/>
      <c r="I990" s="53"/>
      <c r="U990" s="31" t="n">
        <f aca="false">IF($B990='設定（最初に1回）'!$C$4,N(U989)+1,N(U989))</f>
        <v>134</v>
      </c>
    </row>
    <row r="991" customFormat="false" ht="15" hidden="false" customHeight="false" outlineLevel="0" collapsed="false">
      <c r="B991" s="53"/>
      <c r="I991" s="53"/>
      <c r="U991" s="31" t="n">
        <f aca="false">IF($B991='設定（最初に1回）'!$C$4,N(U990)+1,N(U990))</f>
        <v>134</v>
      </c>
    </row>
    <row r="992" customFormat="false" ht="15" hidden="false" customHeight="false" outlineLevel="0" collapsed="false">
      <c r="B992" s="53"/>
      <c r="I992" s="53"/>
      <c r="U992" s="31" t="n">
        <f aca="false">IF($B992='設定（最初に1回）'!$C$4,N(U991)+1,N(U991))</f>
        <v>134</v>
      </c>
    </row>
    <row r="993" customFormat="false" ht="15" hidden="false" customHeight="false" outlineLevel="0" collapsed="false">
      <c r="B993" s="53"/>
      <c r="I993" s="53"/>
      <c r="U993" s="31" t="n">
        <f aca="false">IF($B993='設定（最初に1回）'!$C$4,N(U992)+1,N(U992))</f>
        <v>134</v>
      </c>
    </row>
    <row r="994" customFormat="false" ht="15" hidden="false" customHeight="false" outlineLevel="0" collapsed="false">
      <c r="B994" s="53"/>
      <c r="I994" s="53"/>
      <c r="U994" s="31" t="n">
        <f aca="false">IF($B994='設定（最初に1回）'!$C$4,N(U993)+1,N(U993))</f>
        <v>134</v>
      </c>
    </row>
    <row r="995" customFormat="false" ht="15" hidden="false" customHeight="false" outlineLevel="0" collapsed="false">
      <c r="B995" s="53"/>
      <c r="I995" s="53"/>
      <c r="U995" s="31" t="n">
        <f aca="false">IF($B995='設定（最初に1回）'!$C$4,N(U994)+1,N(U994))</f>
        <v>134</v>
      </c>
    </row>
    <row r="996" customFormat="false" ht="15" hidden="false" customHeight="false" outlineLevel="0" collapsed="false">
      <c r="B996" s="53"/>
      <c r="I996" s="53"/>
      <c r="U996" s="31" t="n">
        <f aca="false">IF($B996='設定（最初に1回）'!$C$4,N(U995)+1,N(U995))</f>
        <v>134</v>
      </c>
    </row>
    <row r="997" customFormat="false" ht="15" hidden="false" customHeight="false" outlineLevel="0" collapsed="false">
      <c r="B997" s="53"/>
      <c r="I997" s="53"/>
      <c r="U997" s="31" t="n">
        <f aca="false">IF($B997='設定（最初に1回）'!$C$4,N(U996)+1,N(U996))</f>
        <v>134</v>
      </c>
    </row>
    <row r="998" customFormat="false" ht="15" hidden="false" customHeight="false" outlineLevel="0" collapsed="false">
      <c r="B998" s="53"/>
      <c r="I998" s="53"/>
      <c r="U998" s="31" t="n">
        <f aca="false">IF($B998='設定（最初に1回）'!$C$4,N(U997)+1,N(U997))</f>
        <v>134</v>
      </c>
    </row>
    <row r="999" customFormat="false" ht="15" hidden="false" customHeight="false" outlineLevel="0" collapsed="false">
      <c r="B999" s="53"/>
      <c r="I999" s="53"/>
      <c r="U999" s="31" t="n">
        <f aca="false">IF($B999='設定（最初に1回）'!$C$4,N(U998)+1,N(U998))</f>
        <v>134</v>
      </c>
    </row>
    <row r="1000" customFormat="false" ht="15" hidden="false" customHeight="false" outlineLevel="0" collapsed="false">
      <c r="B1000" s="53"/>
      <c r="I1000" s="53"/>
      <c r="U1000" s="31" t="n">
        <f aca="false">IF($B1000='設定（最初に1回）'!$C$4,N(U999)+1,N(U999))</f>
        <v>134</v>
      </c>
    </row>
    <row r="1001" customFormat="false" ht="15" hidden="false" customHeight="false" outlineLevel="0" collapsed="false">
      <c r="B1001" s="53"/>
      <c r="I1001" s="53"/>
      <c r="U1001" s="31" t="n">
        <f aca="false">IF($B1001='設定（最初に1回）'!$C$4,N(U1000)+1,N(U1000))</f>
        <v>134</v>
      </c>
    </row>
    <row r="1002" customFormat="false" ht="15" hidden="false" customHeight="false" outlineLevel="0" collapsed="false">
      <c r="B1002" s="53"/>
      <c r="I1002" s="53"/>
      <c r="U1002" s="31" t="n">
        <f aca="false">IF($B1002='設定（最初に1回）'!$C$4,N(U1001)+1,N(U1001))</f>
        <v>134</v>
      </c>
    </row>
    <row r="1003" customFormat="false" ht="15" hidden="false" customHeight="false" outlineLevel="0" collapsed="false">
      <c r="B1003" s="53"/>
      <c r="I1003" s="53"/>
      <c r="U1003" s="31" t="n">
        <f aca="false">IF($B1003='設定（最初に1回）'!$C$4,N(U1002)+1,N(U1002))</f>
        <v>134</v>
      </c>
    </row>
    <row r="1004" customFormat="false" ht="15" hidden="false" customHeight="false" outlineLevel="0" collapsed="false">
      <c r="B1004" s="53"/>
      <c r="I1004" s="53"/>
      <c r="U1004" s="31" t="n">
        <f aca="false">IF($B1004='設定（最初に1回）'!$C$4,N(U1003)+1,N(U1003))</f>
        <v>134</v>
      </c>
    </row>
    <row r="1005" customFormat="false" ht="15" hidden="false" customHeight="false" outlineLevel="0" collapsed="false">
      <c r="B1005" s="53"/>
      <c r="I1005" s="53"/>
      <c r="U1005" s="31" t="n">
        <f aca="false">IF($B1005='設定（最初に1回）'!$C$4,N(U1004)+1,N(U1004))</f>
        <v>134</v>
      </c>
    </row>
    <row r="1006" customFormat="false" ht="15" hidden="false" customHeight="false" outlineLevel="0" collapsed="false">
      <c r="B1006" s="53"/>
      <c r="I1006" s="53"/>
      <c r="U1006" s="31" t="n">
        <f aca="false">IF($B1006='設定（最初に1回）'!$C$4,N(U1005)+1,N(U1005))</f>
        <v>134</v>
      </c>
    </row>
    <row r="1007" customFormat="false" ht="15" hidden="false" customHeight="false" outlineLevel="0" collapsed="false">
      <c r="B1007" s="53"/>
      <c r="I1007" s="53"/>
      <c r="U1007" s="31" t="n">
        <f aca="false">IF($B1007='設定（最初に1回）'!$C$4,N(U1006)+1,N(U1006))</f>
        <v>134</v>
      </c>
    </row>
    <row r="1008" customFormat="false" ht="15" hidden="false" customHeight="false" outlineLevel="0" collapsed="false">
      <c r="B1008" s="53"/>
      <c r="I1008" s="53"/>
      <c r="U1008" s="31" t="n">
        <f aca="false">IF($B1008='設定（最初に1回）'!$C$4,N(U1007)+1,N(U1007))</f>
        <v>134</v>
      </c>
    </row>
    <row r="1009" customFormat="false" ht="15" hidden="false" customHeight="false" outlineLevel="0" collapsed="false">
      <c r="B1009" s="53"/>
      <c r="I1009" s="53"/>
      <c r="U1009" s="31" t="n">
        <f aca="false">IF($B1009='設定（最初に1回）'!$C$4,N(U1008)+1,N(U1008))</f>
        <v>134</v>
      </c>
    </row>
    <row r="1010" customFormat="false" ht="15" hidden="false" customHeight="false" outlineLevel="0" collapsed="false">
      <c r="B1010" s="53"/>
      <c r="I1010" s="53"/>
      <c r="U1010" s="31" t="n">
        <f aca="false">IF($B1010='設定（最初に1回）'!$C$4,N(U1009)+1,N(U1009))</f>
        <v>134</v>
      </c>
    </row>
    <row r="1011" customFormat="false" ht="15" hidden="false" customHeight="false" outlineLevel="0" collapsed="false">
      <c r="B1011" s="53"/>
      <c r="I1011" s="53"/>
      <c r="U1011" s="31" t="n">
        <f aca="false">IF($B1011='設定（最初に1回）'!$C$4,N(U1010)+1,N(U1010))</f>
        <v>134</v>
      </c>
    </row>
    <row r="1012" customFormat="false" ht="15" hidden="false" customHeight="false" outlineLevel="0" collapsed="false">
      <c r="B1012" s="53"/>
      <c r="I1012" s="53"/>
      <c r="U1012" s="31" t="n">
        <f aca="false">IF($B1012='設定（最初に1回）'!$C$4,N(U1011)+1,N(U1011))</f>
        <v>134</v>
      </c>
    </row>
    <row r="1013" customFormat="false" ht="15" hidden="false" customHeight="false" outlineLevel="0" collapsed="false">
      <c r="B1013" s="53"/>
      <c r="I1013" s="53"/>
      <c r="U1013" s="31" t="n">
        <f aca="false">IF($B1013='設定（最初に1回）'!$C$4,N(U1012)+1,N(U1012))</f>
        <v>134</v>
      </c>
    </row>
    <row r="1014" customFormat="false" ht="15" hidden="false" customHeight="false" outlineLevel="0" collapsed="false">
      <c r="B1014" s="53"/>
      <c r="I1014" s="53"/>
      <c r="U1014" s="31" t="n">
        <f aca="false">IF($B1014='設定（最初に1回）'!$C$4,N(U1013)+1,N(U1013))</f>
        <v>134</v>
      </c>
    </row>
    <row r="1015" customFormat="false" ht="15" hidden="false" customHeight="false" outlineLevel="0" collapsed="false">
      <c r="B1015" s="53"/>
      <c r="I1015" s="53"/>
      <c r="U1015" s="31" t="n">
        <f aca="false">IF($B1015='設定（最初に1回）'!$C$4,N(U1014)+1,N(U1014))</f>
        <v>134</v>
      </c>
    </row>
    <row r="1016" customFormat="false" ht="15" hidden="false" customHeight="false" outlineLevel="0" collapsed="false">
      <c r="B1016" s="53"/>
      <c r="I1016" s="53"/>
      <c r="U1016" s="31" t="n">
        <f aca="false">IF($B1016='設定（最初に1回）'!$C$4,N(U1015)+1,N(U1015))</f>
        <v>134</v>
      </c>
    </row>
    <row r="1017" customFormat="false" ht="15" hidden="false" customHeight="false" outlineLevel="0" collapsed="false">
      <c r="B1017" s="53"/>
      <c r="I1017" s="53"/>
      <c r="U1017" s="31" t="n">
        <f aca="false">IF($B1017='設定（最初に1回）'!$C$4,N(U1016)+1,N(U1016))</f>
        <v>134</v>
      </c>
    </row>
    <row r="1018" customFormat="false" ht="15" hidden="false" customHeight="false" outlineLevel="0" collapsed="false">
      <c r="B1018" s="53"/>
      <c r="I1018" s="53"/>
      <c r="U1018" s="31" t="n">
        <f aca="false">IF($B1018='設定（最初に1回）'!$C$4,N(U1017)+1,N(U1017))</f>
        <v>134</v>
      </c>
    </row>
    <row r="1019" customFormat="false" ht="15" hidden="false" customHeight="false" outlineLevel="0" collapsed="false">
      <c r="B1019" s="53"/>
      <c r="I1019" s="53"/>
      <c r="U1019" s="31" t="n">
        <f aca="false">IF($B1019='設定（最初に1回）'!$C$4,N(U1018)+1,N(U1018))</f>
        <v>134</v>
      </c>
    </row>
    <row r="1020" customFormat="false" ht="15" hidden="false" customHeight="false" outlineLevel="0" collapsed="false">
      <c r="B1020" s="53"/>
      <c r="I1020" s="53"/>
      <c r="U1020" s="31" t="n">
        <f aca="false">IF($B1020='設定（最初に1回）'!$C$4,N(U1019)+1,N(U1019))</f>
        <v>134</v>
      </c>
    </row>
    <row r="1021" customFormat="false" ht="15" hidden="false" customHeight="false" outlineLevel="0" collapsed="false">
      <c r="B1021" s="53"/>
      <c r="I1021" s="53"/>
      <c r="U1021" s="31" t="n">
        <f aca="false">IF($B1021='設定（最初に1回）'!$C$4,N(U1020)+1,N(U1020))</f>
        <v>134</v>
      </c>
    </row>
    <row r="1022" customFormat="false" ht="15" hidden="false" customHeight="false" outlineLevel="0" collapsed="false">
      <c r="B1022" s="53"/>
      <c r="I1022" s="53"/>
      <c r="U1022" s="31" t="n">
        <f aca="false">IF($B1022='設定（最初に1回）'!$C$4,N(U1021)+1,N(U1021))</f>
        <v>134</v>
      </c>
    </row>
    <row r="1023" customFormat="false" ht="15" hidden="false" customHeight="false" outlineLevel="0" collapsed="false">
      <c r="B1023" s="53"/>
      <c r="I1023" s="53"/>
      <c r="U1023" s="31" t="n">
        <f aca="false">IF($B1023='設定（最初に1回）'!$C$4,N(U1022)+1,N(U1022))</f>
        <v>134</v>
      </c>
    </row>
    <row r="1024" customFormat="false" ht="15" hidden="false" customHeight="false" outlineLevel="0" collapsed="false">
      <c r="B1024" s="53"/>
      <c r="I1024" s="53"/>
      <c r="U1024" s="31" t="n">
        <f aca="false">IF($B1024='設定（最初に1回）'!$C$4,N(U1023)+1,N(U1023))</f>
        <v>134</v>
      </c>
    </row>
    <row r="1025" customFormat="false" ht="15" hidden="false" customHeight="false" outlineLevel="0" collapsed="false">
      <c r="B1025" s="53"/>
      <c r="I1025" s="53"/>
      <c r="U1025" s="31" t="n">
        <f aca="false">IF($B1025='設定（最初に1回）'!$C$4,N(U1024)+1,N(U1024))</f>
        <v>134</v>
      </c>
    </row>
    <row r="1026" customFormat="false" ht="15" hidden="false" customHeight="false" outlineLevel="0" collapsed="false">
      <c r="B1026" s="53"/>
      <c r="I1026" s="53"/>
      <c r="U1026" s="31" t="n">
        <f aca="false">IF($B1026='設定（最初に1回）'!$C$4,N(U1025)+1,N(U1025))</f>
        <v>134</v>
      </c>
    </row>
    <row r="1027" customFormat="false" ht="15" hidden="false" customHeight="false" outlineLevel="0" collapsed="false">
      <c r="B1027" s="53"/>
      <c r="I1027" s="53"/>
      <c r="U1027" s="31" t="n">
        <f aca="false">IF($B1027='設定（最初に1回）'!$C$4,N(U1026)+1,N(U1026))</f>
        <v>134</v>
      </c>
    </row>
    <row r="1028" customFormat="false" ht="15" hidden="false" customHeight="false" outlineLevel="0" collapsed="false">
      <c r="B1028" s="53"/>
      <c r="I1028" s="53"/>
      <c r="U1028" s="31" t="n">
        <f aca="false">IF($B1028='設定（最初に1回）'!$C$4,N(U1027)+1,N(U1027))</f>
        <v>134</v>
      </c>
    </row>
    <row r="1029" customFormat="false" ht="15" hidden="false" customHeight="false" outlineLevel="0" collapsed="false">
      <c r="B1029" s="53"/>
      <c r="I1029" s="53"/>
      <c r="U1029" s="31" t="n">
        <f aca="false">IF($B1029='設定（最初に1回）'!$C$4,N(U1028)+1,N(U1028))</f>
        <v>134</v>
      </c>
    </row>
    <row r="1030" customFormat="false" ht="15" hidden="false" customHeight="false" outlineLevel="0" collapsed="false">
      <c r="B1030" s="53"/>
      <c r="I1030" s="53"/>
      <c r="U1030" s="31" t="n">
        <f aca="false">IF($B1030='設定（最初に1回）'!$C$4,N(U1029)+1,N(U1029))</f>
        <v>134</v>
      </c>
    </row>
    <row r="1031" customFormat="false" ht="15" hidden="false" customHeight="false" outlineLevel="0" collapsed="false">
      <c r="B1031" s="53"/>
      <c r="I1031" s="53"/>
      <c r="U1031" s="31" t="n">
        <f aca="false">IF($B1031='設定（最初に1回）'!$C$4,N(U1030)+1,N(U1030))</f>
        <v>134</v>
      </c>
    </row>
    <row r="1032" customFormat="false" ht="15" hidden="false" customHeight="false" outlineLevel="0" collapsed="false">
      <c r="B1032" s="53"/>
      <c r="I1032" s="53"/>
      <c r="U1032" s="31" t="n">
        <f aca="false">IF($B1032='設定（最初に1回）'!$C$4,N(U1031)+1,N(U1031))</f>
        <v>134</v>
      </c>
    </row>
    <row r="1033" customFormat="false" ht="15" hidden="false" customHeight="false" outlineLevel="0" collapsed="false">
      <c r="B1033" s="53"/>
      <c r="I1033" s="53"/>
      <c r="U1033" s="31" t="n">
        <f aca="false">IF($B1033='設定（最初に1回）'!$C$4,N(U1032)+1,N(U1032))</f>
        <v>134</v>
      </c>
    </row>
    <row r="1034" customFormat="false" ht="15" hidden="false" customHeight="false" outlineLevel="0" collapsed="false">
      <c r="B1034" s="53"/>
      <c r="I1034" s="53"/>
      <c r="U1034" s="31" t="n">
        <f aca="false">IF($B1034='設定（最初に1回）'!$C$4,N(U1033)+1,N(U1033))</f>
        <v>134</v>
      </c>
    </row>
    <row r="1035" customFormat="false" ht="15" hidden="false" customHeight="false" outlineLevel="0" collapsed="false">
      <c r="B1035" s="53"/>
      <c r="I1035" s="53"/>
      <c r="U1035" s="31" t="n">
        <f aca="false">IF($B1035='設定（最初に1回）'!$C$4,N(U1034)+1,N(U1034))</f>
        <v>134</v>
      </c>
    </row>
    <row r="1036" customFormat="false" ht="15" hidden="false" customHeight="false" outlineLevel="0" collapsed="false">
      <c r="B1036" s="53"/>
      <c r="I1036" s="53"/>
      <c r="U1036" s="31" t="n">
        <f aca="false">IF($B1036='設定（最初に1回）'!$C$4,N(U1035)+1,N(U1035))</f>
        <v>134</v>
      </c>
    </row>
    <row r="1037" customFormat="false" ht="15" hidden="false" customHeight="false" outlineLevel="0" collapsed="false">
      <c r="B1037" s="53"/>
      <c r="I1037" s="53"/>
      <c r="U1037" s="31" t="n">
        <f aca="false">IF($B1037='設定（最初に1回）'!$C$4,N(U1036)+1,N(U1036))</f>
        <v>134</v>
      </c>
    </row>
    <row r="1038" customFormat="false" ht="15" hidden="false" customHeight="false" outlineLevel="0" collapsed="false">
      <c r="B1038" s="53"/>
      <c r="I1038" s="53"/>
      <c r="U1038" s="31" t="n">
        <f aca="false">IF($B1038='設定（最初に1回）'!$C$4,N(U1037)+1,N(U1037))</f>
        <v>134</v>
      </c>
    </row>
    <row r="1039" customFormat="false" ht="15" hidden="false" customHeight="false" outlineLevel="0" collapsed="false">
      <c r="B1039" s="53"/>
      <c r="I1039" s="53"/>
      <c r="U1039" s="31" t="n">
        <f aca="false">IF($B1039='設定（最初に1回）'!$C$4,N(U1038)+1,N(U1038))</f>
        <v>134</v>
      </c>
    </row>
    <row r="1040" customFormat="false" ht="15" hidden="false" customHeight="false" outlineLevel="0" collapsed="false">
      <c r="B1040" s="53"/>
      <c r="I1040" s="53"/>
      <c r="U1040" s="31" t="n">
        <f aca="false">IF($B1040='設定（最初に1回）'!$C$4,N(U1039)+1,N(U1039))</f>
        <v>134</v>
      </c>
    </row>
    <row r="1041" customFormat="false" ht="15" hidden="false" customHeight="false" outlineLevel="0" collapsed="false">
      <c r="B1041" s="53"/>
      <c r="I1041" s="53"/>
      <c r="U1041" s="31" t="n">
        <f aca="false">IF($B1041='設定（最初に1回）'!$C$4,N(U1040)+1,N(U1040))</f>
        <v>134</v>
      </c>
    </row>
    <row r="1042" customFormat="false" ht="15" hidden="false" customHeight="false" outlineLevel="0" collapsed="false">
      <c r="B1042" s="53"/>
      <c r="I1042" s="53"/>
      <c r="U1042" s="31" t="n">
        <f aca="false">IF($B1042='設定（最初に1回）'!$C$4,N(U1041)+1,N(U1041))</f>
        <v>134</v>
      </c>
    </row>
    <row r="1043" customFormat="false" ht="15" hidden="false" customHeight="false" outlineLevel="0" collapsed="false">
      <c r="B1043" s="53"/>
      <c r="I1043" s="53"/>
      <c r="U1043" s="31" t="n">
        <f aca="false">IF($B1043='設定（最初に1回）'!$C$4,N(U1042)+1,N(U1042))</f>
        <v>134</v>
      </c>
    </row>
    <row r="1044" customFormat="false" ht="15" hidden="false" customHeight="false" outlineLevel="0" collapsed="false">
      <c r="B1044" s="53"/>
      <c r="I1044" s="53"/>
      <c r="U1044" s="31" t="n">
        <f aca="false">IF($B1044='設定（最初に1回）'!$C$4,N(U1043)+1,N(U1043))</f>
        <v>134</v>
      </c>
    </row>
    <row r="1045" customFormat="false" ht="15" hidden="false" customHeight="false" outlineLevel="0" collapsed="false">
      <c r="B1045" s="53"/>
      <c r="I1045" s="53"/>
      <c r="U1045" s="31" t="n">
        <f aca="false">IF($B1045='設定（最初に1回）'!$C$4,N(U1044)+1,N(U1044))</f>
        <v>134</v>
      </c>
    </row>
    <row r="1046" customFormat="false" ht="15" hidden="false" customHeight="false" outlineLevel="0" collapsed="false">
      <c r="B1046" s="53"/>
      <c r="I1046" s="53"/>
      <c r="U1046" s="31" t="n">
        <f aca="false">IF($B1046='設定（最初に1回）'!$C$4,N(U1045)+1,N(U1045))</f>
        <v>134</v>
      </c>
    </row>
    <row r="1047" customFormat="false" ht="15" hidden="false" customHeight="false" outlineLevel="0" collapsed="false">
      <c r="B1047" s="53"/>
      <c r="I1047" s="53"/>
      <c r="U1047" s="31" t="n">
        <f aca="false">IF($B1047='設定（最初に1回）'!$C$4,N(U1046)+1,N(U1046))</f>
        <v>134</v>
      </c>
    </row>
    <row r="1048" customFormat="false" ht="15" hidden="false" customHeight="false" outlineLevel="0" collapsed="false">
      <c r="B1048" s="53"/>
      <c r="I1048" s="53"/>
      <c r="U1048" s="31" t="n">
        <f aca="false">IF($B1048='設定（最初に1回）'!$C$4,N(U1047)+1,N(U1047))</f>
        <v>134</v>
      </c>
    </row>
    <row r="1049" customFormat="false" ht="15" hidden="false" customHeight="false" outlineLevel="0" collapsed="false">
      <c r="B1049" s="53"/>
      <c r="I1049" s="53"/>
      <c r="U1049" s="31" t="n">
        <f aca="false">IF($B1049='設定（最初に1回）'!$C$4,N(U1048)+1,N(U1048))</f>
        <v>134</v>
      </c>
    </row>
    <row r="1050" customFormat="false" ht="15" hidden="false" customHeight="false" outlineLevel="0" collapsed="false">
      <c r="B1050" s="53"/>
      <c r="I1050" s="53"/>
      <c r="U1050" s="31" t="n">
        <f aca="false">IF($B1050='設定（最初に1回）'!$C$4,N(U1049)+1,N(U1049))</f>
        <v>134</v>
      </c>
    </row>
    <row r="1051" customFormat="false" ht="15" hidden="false" customHeight="false" outlineLevel="0" collapsed="false">
      <c r="B1051" s="53"/>
      <c r="I1051" s="53"/>
      <c r="U1051" s="31" t="n">
        <f aca="false">IF($B1051='設定（最初に1回）'!$C$4,N(U1050)+1,N(U1050))</f>
        <v>134</v>
      </c>
    </row>
    <row r="1052" customFormat="false" ht="15" hidden="false" customHeight="false" outlineLevel="0" collapsed="false">
      <c r="B1052" s="53"/>
      <c r="I1052" s="53"/>
      <c r="U1052" s="31" t="n">
        <f aca="false">IF($B1052='設定（最初に1回）'!$C$4,N(U1051)+1,N(U1051))</f>
        <v>134</v>
      </c>
    </row>
    <row r="1053" customFormat="false" ht="15" hidden="false" customHeight="false" outlineLevel="0" collapsed="false">
      <c r="B1053" s="53"/>
      <c r="I1053" s="53"/>
      <c r="U1053" s="31" t="n">
        <f aca="false">IF($B1053='設定（最初に1回）'!$C$4,N(U1052)+1,N(U1052))</f>
        <v>134</v>
      </c>
    </row>
    <row r="1054" customFormat="false" ht="15" hidden="false" customHeight="false" outlineLevel="0" collapsed="false">
      <c r="B1054" s="53"/>
      <c r="I1054" s="53"/>
      <c r="U1054" s="31" t="n">
        <f aca="false">IF($B1054='設定（最初に1回）'!$C$4,N(U1053)+1,N(U1053))</f>
        <v>134</v>
      </c>
    </row>
    <row r="1055" customFormat="false" ht="15" hidden="false" customHeight="false" outlineLevel="0" collapsed="false">
      <c r="B1055" s="53"/>
      <c r="I1055" s="53"/>
      <c r="U1055" s="31" t="n">
        <f aca="false">IF($B1055='設定（最初に1回）'!$C$4,N(U1054)+1,N(U1054))</f>
        <v>134</v>
      </c>
    </row>
    <row r="1056" customFormat="false" ht="15" hidden="false" customHeight="false" outlineLevel="0" collapsed="false">
      <c r="B1056" s="53"/>
      <c r="I1056" s="53"/>
      <c r="U1056" s="31" t="n">
        <f aca="false">IF($B1056='設定（最初に1回）'!$C$4,N(U1055)+1,N(U1055))</f>
        <v>134</v>
      </c>
    </row>
    <row r="1057" customFormat="false" ht="15" hidden="false" customHeight="false" outlineLevel="0" collapsed="false">
      <c r="B1057" s="53"/>
      <c r="I1057" s="53"/>
      <c r="U1057" s="31" t="n">
        <f aca="false">IF($B1057='設定（最初に1回）'!$C$4,N(U1056)+1,N(U1056))</f>
        <v>134</v>
      </c>
    </row>
    <row r="1058" customFormat="false" ht="15" hidden="false" customHeight="false" outlineLevel="0" collapsed="false">
      <c r="B1058" s="53"/>
      <c r="I1058" s="53"/>
      <c r="U1058" s="31" t="n">
        <f aca="false">IF($B1058='設定（最初に1回）'!$C$4,N(U1057)+1,N(U1057))</f>
        <v>134</v>
      </c>
    </row>
    <row r="1059" customFormat="false" ht="15" hidden="false" customHeight="false" outlineLevel="0" collapsed="false">
      <c r="B1059" s="53"/>
      <c r="I1059" s="53"/>
      <c r="U1059" s="31" t="n">
        <f aca="false">IF($B1059='設定（最初に1回）'!$C$4,N(U1058)+1,N(U1058))</f>
        <v>134</v>
      </c>
    </row>
    <row r="1060" customFormat="false" ht="15" hidden="false" customHeight="false" outlineLevel="0" collapsed="false">
      <c r="B1060" s="53"/>
      <c r="I1060" s="53"/>
      <c r="U1060" s="31" t="n">
        <f aca="false">IF($B1060='設定（最初に1回）'!$C$4,N(U1059)+1,N(U1059))</f>
        <v>134</v>
      </c>
    </row>
    <row r="1061" customFormat="false" ht="15" hidden="false" customHeight="false" outlineLevel="0" collapsed="false">
      <c r="B1061" s="53"/>
      <c r="I1061" s="53"/>
      <c r="U1061" s="31" t="n">
        <f aca="false">IF($B1061='設定（最初に1回）'!$C$4,N(U1060)+1,N(U1060))</f>
        <v>134</v>
      </c>
    </row>
    <row r="1062" customFormat="false" ht="15" hidden="false" customHeight="false" outlineLevel="0" collapsed="false">
      <c r="B1062" s="53"/>
      <c r="I1062" s="53"/>
      <c r="U1062" s="31" t="n">
        <f aca="false">IF($B1062='設定（最初に1回）'!$C$4,N(U1061)+1,N(U1061))</f>
        <v>134</v>
      </c>
    </row>
    <row r="1063" customFormat="false" ht="15" hidden="false" customHeight="false" outlineLevel="0" collapsed="false">
      <c r="B1063" s="53"/>
      <c r="I1063" s="53"/>
      <c r="U1063" s="31" t="n">
        <f aca="false">IF($B1063='設定（最初に1回）'!$C$4,N(U1062)+1,N(U1062))</f>
        <v>134</v>
      </c>
    </row>
    <row r="1064" customFormat="false" ht="15" hidden="false" customHeight="false" outlineLevel="0" collapsed="false">
      <c r="B1064" s="53"/>
      <c r="I1064" s="53"/>
      <c r="U1064" s="31" t="n">
        <f aca="false">IF($B1064='設定（最初に1回）'!$C$4,N(U1063)+1,N(U1063))</f>
        <v>134</v>
      </c>
    </row>
    <row r="1065" customFormat="false" ht="15" hidden="false" customHeight="false" outlineLevel="0" collapsed="false">
      <c r="B1065" s="53"/>
      <c r="I1065" s="53"/>
      <c r="U1065" s="31" t="n">
        <f aca="false">IF($B1065='設定（最初に1回）'!$C$4,N(U1064)+1,N(U1064))</f>
        <v>134</v>
      </c>
    </row>
    <row r="1066" customFormat="false" ht="15" hidden="false" customHeight="false" outlineLevel="0" collapsed="false">
      <c r="B1066" s="53"/>
      <c r="I1066" s="53"/>
      <c r="U1066" s="31" t="n">
        <f aca="false">IF($B1066='設定（最初に1回）'!$C$4,N(U1065)+1,N(U1065))</f>
        <v>134</v>
      </c>
    </row>
    <row r="1067" customFormat="false" ht="15" hidden="false" customHeight="false" outlineLevel="0" collapsed="false">
      <c r="B1067" s="53"/>
      <c r="I1067" s="53"/>
      <c r="U1067" s="31" t="n">
        <f aca="false">IF($B1067='設定（最初に1回）'!$C$4,N(U1066)+1,N(U1066))</f>
        <v>134</v>
      </c>
    </row>
    <row r="1068" customFormat="false" ht="15" hidden="false" customHeight="false" outlineLevel="0" collapsed="false">
      <c r="B1068" s="53"/>
      <c r="I1068" s="53"/>
      <c r="U1068" s="31" t="n">
        <f aca="false">IF($B1068='設定（最初に1回）'!$C$4,N(U1067)+1,N(U1067))</f>
        <v>134</v>
      </c>
    </row>
    <row r="1069" customFormat="false" ht="15" hidden="false" customHeight="false" outlineLevel="0" collapsed="false">
      <c r="B1069" s="53"/>
      <c r="I1069" s="53"/>
      <c r="U1069" s="31" t="n">
        <f aca="false">IF($B1069='設定（最初に1回）'!$C$4,N(U1068)+1,N(U1068))</f>
        <v>134</v>
      </c>
    </row>
    <row r="1070" customFormat="false" ht="15" hidden="false" customHeight="false" outlineLevel="0" collapsed="false">
      <c r="B1070" s="53"/>
      <c r="I1070" s="53"/>
      <c r="U1070" s="31" t="n">
        <f aca="false">IF($B1070='設定（最初に1回）'!$C$4,N(U1069)+1,N(U1069))</f>
        <v>134</v>
      </c>
    </row>
    <row r="1071" customFormat="false" ht="15" hidden="false" customHeight="false" outlineLevel="0" collapsed="false">
      <c r="B1071" s="53"/>
      <c r="I1071" s="53"/>
      <c r="U1071" s="31" t="n">
        <f aca="false">IF($B1071='設定（最初に1回）'!$C$4,N(U1070)+1,N(U1070))</f>
        <v>134</v>
      </c>
    </row>
    <row r="1072" customFormat="false" ht="15" hidden="false" customHeight="false" outlineLevel="0" collapsed="false">
      <c r="B1072" s="53"/>
      <c r="I1072" s="53"/>
      <c r="U1072" s="31" t="n">
        <f aca="false">IF($B1072='設定（最初に1回）'!$C$4,N(U1071)+1,N(U1071))</f>
        <v>134</v>
      </c>
    </row>
    <row r="1073" customFormat="false" ht="15" hidden="false" customHeight="false" outlineLevel="0" collapsed="false">
      <c r="B1073" s="53"/>
      <c r="I1073" s="53"/>
      <c r="U1073" s="31" t="n">
        <f aca="false">IF($B1073='設定（最初に1回）'!$C$4,N(U1072)+1,N(U1072))</f>
        <v>134</v>
      </c>
    </row>
    <row r="1074" customFormat="false" ht="15" hidden="false" customHeight="false" outlineLevel="0" collapsed="false">
      <c r="B1074" s="53"/>
      <c r="I1074" s="53"/>
      <c r="U1074" s="31" t="n">
        <f aca="false">IF($B1074='設定（最初に1回）'!$C$4,N(U1073)+1,N(U1073))</f>
        <v>134</v>
      </c>
    </row>
    <row r="1075" customFormat="false" ht="15" hidden="false" customHeight="false" outlineLevel="0" collapsed="false">
      <c r="B1075" s="53"/>
      <c r="I1075" s="53"/>
      <c r="U1075" s="31" t="n">
        <f aca="false">IF($B1075='設定（最初に1回）'!$C$4,N(U1074)+1,N(U1074))</f>
        <v>134</v>
      </c>
    </row>
    <row r="1076" customFormat="false" ht="15" hidden="false" customHeight="false" outlineLevel="0" collapsed="false">
      <c r="B1076" s="53"/>
      <c r="I1076" s="53"/>
      <c r="U1076" s="31" t="n">
        <f aca="false">IF($B1076='設定（最初に1回）'!$C$4,N(U1075)+1,N(U1075))</f>
        <v>134</v>
      </c>
    </row>
    <row r="1077" customFormat="false" ht="15" hidden="false" customHeight="false" outlineLevel="0" collapsed="false">
      <c r="B1077" s="53"/>
      <c r="I1077" s="53"/>
      <c r="U1077" s="31" t="n">
        <f aca="false">IF($B1077='設定（最初に1回）'!$C$4,N(U1076)+1,N(U1076))</f>
        <v>134</v>
      </c>
    </row>
    <row r="1078" customFormat="false" ht="15" hidden="false" customHeight="false" outlineLevel="0" collapsed="false">
      <c r="B1078" s="53"/>
      <c r="I1078" s="53"/>
      <c r="U1078" s="31" t="n">
        <f aca="false">IF($B1078='設定（最初に1回）'!$C$4,N(U1077)+1,N(U1077))</f>
        <v>134</v>
      </c>
    </row>
    <row r="1079" customFormat="false" ht="15" hidden="false" customHeight="false" outlineLevel="0" collapsed="false">
      <c r="B1079" s="53"/>
      <c r="I1079" s="53"/>
      <c r="U1079" s="31" t="n">
        <f aca="false">IF($B1079='設定（最初に1回）'!$C$4,N(U1078)+1,N(U1078))</f>
        <v>134</v>
      </c>
    </row>
    <row r="1080" customFormat="false" ht="15" hidden="false" customHeight="false" outlineLevel="0" collapsed="false">
      <c r="B1080" s="53"/>
      <c r="I1080" s="53"/>
      <c r="U1080" s="31" t="n">
        <f aca="false">IF($B1080='設定（最初に1回）'!$C$4,N(U1079)+1,N(U1079))</f>
        <v>134</v>
      </c>
    </row>
    <row r="1081" customFormat="false" ht="15" hidden="false" customHeight="false" outlineLevel="0" collapsed="false">
      <c r="B1081" s="53"/>
      <c r="I1081" s="53"/>
      <c r="U1081" s="31" t="n">
        <f aca="false">IF($B1081='設定（最初に1回）'!$C$4,N(U1080)+1,N(U1080))</f>
        <v>134</v>
      </c>
    </row>
    <row r="1082" customFormat="false" ht="15" hidden="false" customHeight="false" outlineLevel="0" collapsed="false">
      <c r="B1082" s="53"/>
      <c r="I1082" s="53"/>
      <c r="U1082" s="31" t="n">
        <f aca="false">IF($B1082='設定（最初に1回）'!$C$4,N(U1081)+1,N(U1081))</f>
        <v>134</v>
      </c>
    </row>
    <row r="1083" customFormat="false" ht="15" hidden="false" customHeight="false" outlineLevel="0" collapsed="false">
      <c r="B1083" s="53"/>
      <c r="I1083" s="53"/>
      <c r="U1083" s="31" t="n">
        <f aca="false">IF($B1083='設定（最初に1回）'!$C$4,N(U1082)+1,N(U1082))</f>
        <v>134</v>
      </c>
    </row>
    <row r="1084" customFormat="false" ht="15" hidden="false" customHeight="false" outlineLevel="0" collapsed="false">
      <c r="B1084" s="53"/>
      <c r="I1084" s="53"/>
      <c r="U1084" s="31" t="n">
        <f aca="false">IF($B1084='設定（最初に1回）'!$C$4,N(U1083)+1,N(U1083))</f>
        <v>134</v>
      </c>
    </row>
    <row r="1085" customFormat="false" ht="15" hidden="false" customHeight="false" outlineLevel="0" collapsed="false">
      <c r="B1085" s="53"/>
      <c r="I1085" s="53"/>
      <c r="U1085" s="31" t="n">
        <f aca="false">IF($B1085='設定（最初に1回）'!$C$4,N(U1084)+1,N(U1084))</f>
        <v>134</v>
      </c>
    </row>
    <row r="1086" customFormat="false" ht="15" hidden="false" customHeight="false" outlineLevel="0" collapsed="false">
      <c r="B1086" s="53"/>
      <c r="I1086" s="53"/>
      <c r="U1086" s="31" t="n">
        <f aca="false">IF($B1086='設定（最初に1回）'!$C$4,N(U1085)+1,N(U1085))</f>
        <v>134</v>
      </c>
    </row>
    <row r="1087" customFormat="false" ht="15" hidden="false" customHeight="false" outlineLevel="0" collapsed="false">
      <c r="B1087" s="53"/>
      <c r="I1087" s="53"/>
      <c r="U1087" s="31" t="n">
        <f aca="false">IF($B1087='設定（最初に1回）'!$C$4,N(U1086)+1,N(U1086))</f>
        <v>134</v>
      </c>
    </row>
    <row r="1088" customFormat="false" ht="15" hidden="false" customHeight="false" outlineLevel="0" collapsed="false">
      <c r="B1088" s="53"/>
      <c r="I1088" s="53"/>
      <c r="U1088" s="31" t="n">
        <f aca="false">IF($B1088='設定（最初に1回）'!$C$4,N(U1087)+1,N(U1087))</f>
        <v>134</v>
      </c>
    </row>
    <row r="1089" customFormat="false" ht="15" hidden="false" customHeight="false" outlineLevel="0" collapsed="false">
      <c r="B1089" s="53"/>
      <c r="I1089" s="53"/>
      <c r="U1089" s="31" t="n">
        <f aca="false">IF($B1089='設定（最初に1回）'!$C$4,N(U1088)+1,N(U1088))</f>
        <v>134</v>
      </c>
    </row>
    <row r="1090" customFormat="false" ht="15" hidden="false" customHeight="false" outlineLevel="0" collapsed="false">
      <c r="B1090" s="53"/>
      <c r="I1090" s="53"/>
      <c r="U1090" s="31" t="n">
        <f aca="false">IF($B1090='設定（最初に1回）'!$C$4,N(U1089)+1,N(U1089))</f>
        <v>134</v>
      </c>
    </row>
    <row r="1091" customFormat="false" ht="15" hidden="false" customHeight="false" outlineLevel="0" collapsed="false">
      <c r="B1091" s="53"/>
      <c r="I1091" s="53"/>
      <c r="U1091" s="31" t="n">
        <f aca="false">IF($B1091='設定（最初に1回）'!$C$4,N(U1090)+1,N(U1090))</f>
        <v>134</v>
      </c>
    </row>
    <row r="1092" customFormat="false" ht="15" hidden="false" customHeight="false" outlineLevel="0" collapsed="false">
      <c r="B1092" s="53"/>
      <c r="I1092" s="53"/>
      <c r="U1092" s="31" t="n">
        <f aca="false">IF($B1092='設定（最初に1回）'!$C$4,N(U1091)+1,N(U1091))</f>
        <v>134</v>
      </c>
    </row>
    <row r="1093" customFormat="false" ht="15" hidden="false" customHeight="false" outlineLevel="0" collapsed="false">
      <c r="B1093" s="53"/>
      <c r="I1093" s="53"/>
      <c r="U1093" s="31" t="n">
        <f aca="false">IF($B1093='設定（最初に1回）'!$C$4,N(U1092)+1,N(U1092))</f>
        <v>134</v>
      </c>
    </row>
    <row r="1094" customFormat="false" ht="15" hidden="false" customHeight="false" outlineLevel="0" collapsed="false">
      <c r="B1094" s="53"/>
      <c r="I1094" s="53"/>
      <c r="U1094" s="31" t="n">
        <f aca="false">IF($B1094='設定（最初に1回）'!$C$4,N(U1093)+1,N(U1093))</f>
        <v>134</v>
      </c>
    </row>
    <row r="1095" customFormat="false" ht="15" hidden="false" customHeight="false" outlineLevel="0" collapsed="false">
      <c r="B1095" s="53"/>
      <c r="I1095" s="53"/>
      <c r="U1095" s="31" t="n">
        <f aca="false">IF($B1095='設定（最初に1回）'!$C$4,N(U1094)+1,N(U1094))</f>
        <v>134</v>
      </c>
    </row>
    <row r="1096" customFormat="false" ht="15" hidden="false" customHeight="false" outlineLevel="0" collapsed="false">
      <c r="B1096" s="53"/>
      <c r="I1096" s="53"/>
      <c r="U1096" s="31" t="n">
        <f aca="false">IF($B1096='設定（最初に1回）'!$C$4,N(U1095)+1,N(U1095))</f>
        <v>134</v>
      </c>
    </row>
    <row r="1097" customFormat="false" ht="15" hidden="false" customHeight="false" outlineLevel="0" collapsed="false">
      <c r="B1097" s="53"/>
      <c r="I1097" s="53"/>
      <c r="U1097" s="31" t="n">
        <f aca="false">IF($B1097='設定（最初に1回）'!$C$4,N(U1096)+1,N(U1096))</f>
        <v>134</v>
      </c>
    </row>
    <row r="1098" customFormat="false" ht="15" hidden="false" customHeight="false" outlineLevel="0" collapsed="false">
      <c r="B1098" s="53"/>
      <c r="I1098" s="53"/>
      <c r="U1098" s="31" t="n">
        <f aca="false">IF($B1098='設定（最初に1回）'!$C$4,N(U1097)+1,N(U1097))</f>
        <v>134</v>
      </c>
    </row>
    <row r="1099" customFormat="false" ht="15" hidden="false" customHeight="false" outlineLevel="0" collapsed="false">
      <c r="B1099" s="53"/>
      <c r="I1099" s="53"/>
      <c r="U1099" s="31" t="n">
        <f aca="false">IF($B1099='設定（最初に1回）'!$C$4,N(U1098)+1,N(U1098))</f>
        <v>134</v>
      </c>
    </row>
    <row r="1100" customFormat="false" ht="15" hidden="false" customHeight="false" outlineLevel="0" collapsed="false">
      <c r="B1100" s="53"/>
      <c r="I1100" s="53"/>
      <c r="U1100" s="31" t="n">
        <f aca="false">IF($B1100='設定（最初に1回）'!$C$4,N(U1099)+1,N(U1099))</f>
        <v>134</v>
      </c>
    </row>
    <row r="1101" customFormat="false" ht="15" hidden="false" customHeight="false" outlineLevel="0" collapsed="false">
      <c r="B1101" s="53"/>
      <c r="I1101" s="53"/>
      <c r="U1101" s="31" t="n">
        <f aca="false">IF($B1101='設定（最初に1回）'!$C$4,N(U1100)+1,N(U1100))</f>
        <v>134</v>
      </c>
    </row>
    <row r="1102" customFormat="false" ht="15" hidden="false" customHeight="false" outlineLevel="0" collapsed="false">
      <c r="B1102" s="53"/>
      <c r="I1102" s="53"/>
      <c r="U1102" s="31" t="n">
        <f aca="false">IF($B1102='設定（最初に1回）'!$C$4,N(U1101)+1,N(U1101))</f>
        <v>134</v>
      </c>
    </row>
    <row r="1103" customFormat="false" ht="15" hidden="false" customHeight="false" outlineLevel="0" collapsed="false">
      <c r="B1103" s="53"/>
      <c r="I1103" s="53"/>
      <c r="U1103" s="31" t="n">
        <f aca="false">IF($B1103='設定（最初に1回）'!$C$4,N(U1102)+1,N(U1102))</f>
        <v>134</v>
      </c>
    </row>
    <row r="1104" customFormat="false" ht="15" hidden="false" customHeight="false" outlineLevel="0" collapsed="false">
      <c r="B1104" s="53"/>
      <c r="I1104" s="53"/>
      <c r="U1104" s="31" t="n">
        <f aca="false">IF($B1104='設定（最初に1回）'!$C$4,N(U1103)+1,N(U1103))</f>
        <v>134</v>
      </c>
    </row>
    <row r="1105" customFormat="false" ht="15" hidden="false" customHeight="false" outlineLevel="0" collapsed="false">
      <c r="B1105" s="53"/>
      <c r="I1105" s="53"/>
      <c r="U1105" s="31" t="n">
        <f aca="false">IF($B1105='設定（最初に1回）'!$C$4,N(U1104)+1,N(U1104))</f>
        <v>134</v>
      </c>
    </row>
    <row r="1106" customFormat="false" ht="15" hidden="false" customHeight="false" outlineLevel="0" collapsed="false">
      <c r="B1106" s="53"/>
      <c r="I1106" s="53"/>
      <c r="U1106" s="31" t="n">
        <f aca="false">IF($B1106='設定（最初に1回）'!$C$4,N(U1105)+1,N(U1105))</f>
        <v>134</v>
      </c>
    </row>
    <row r="1107" customFormat="false" ht="15" hidden="false" customHeight="false" outlineLevel="0" collapsed="false">
      <c r="B1107" s="53"/>
      <c r="I1107" s="53"/>
      <c r="U1107" s="31" t="n">
        <f aca="false">IF($B1107='設定（最初に1回）'!$C$4,N(U1106)+1,N(U1106))</f>
        <v>134</v>
      </c>
    </row>
    <row r="1108" customFormat="false" ht="15" hidden="false" customHeight="false" outlineLevel="0" collapsed="false">
      <c r="B1108" s="53"/>
      <c r="I1108" s="53"/>
      <c r="U1108" s="31" t="n">
        <f aca="false">IF($B1108='設定（最初に1回）'!$C$4,N(U1107)+1,N(U1107))</f>
        <v>134</v>
      </c>
    </row>
    <row r="1109" customFormat="false" ht="15" hidden="false" customHeight="false" outlineLevel="0" collapsed="false">
      <c r="B1109" s="53"/>
      <c r="I1109" s="53"/>
      <c r="U1109" s="31" t="n">
        <f aca="false">IF($B1109='設定（最初に1回）'!$C$4,N(U1108)+1,N(U1108))</f>
        <v>134</v>
      </c>
    </row>
    <row r="1110" customFormat="false" ht="15" hidden="false" customHeight="false" outlineLevel="0" collapsed="false">
      <c r="B1110" s="53"/>
      <c r="I1110" s="53"/>
      <c r="U1110" s="31" t="n">
        <f aca="false">IF($B1110='設定（最初に1回）'!$C$4,N(U1109)+1,N(U1109))</f>
        <v>134</v>
      </c>
    </row>
    <row r="1111" customFormat="false" ht="15" hidden="false" customHeight="false" outlineLevel="0" collapsed="false">
      <c r="B1111" s="53"/>
      <c r="I1111" s="53"/>
      <c r="U1111" s="31" t="n">
        <f aca="false">IF($B1111='設定（最初に1回）'!$C$4,N(U1110)+1,N(U1110))</f>
        <v>134</v>
      </c>
    </row>
    <row r="1112" customFormat="false" ht="15" hidden="false" customHeight="false" outlineLevel="0" collapsed="false">
      <c r="B1112" s="53"/>
      <c r="I1112" s="53"/>
      <c r="U1112" s="31" t="n">
        <f aca="false">IF($B1112='設定（最初に1回）'!$C$4,N(U1111)+1,N(U1111))</f>
        <v>134</v>
      </c>
    </row>
    <row r="1113" customFormat="false" ht="15" hidden="false" customHeight="false" outlineLevel="0" collapsed="false">
      <c r="B1113" s="53"/>
      <c r="I1113" s="53"/>
      <c r="U1113" s="31" t="n">
        <f aca="false">IF($B1113='設定（最初に1回）'!$C$4,N(U1112)+1,N(U1112))</f>
        <v>134</v>
      </c>
    </row>
    <row r="1114" customFormat="false" ht="15" hidden="false" customHeight="false" outlineLevel="0" collapsed="false">
      <c r="B1114" s="53"/>
      <c r="I1114" s="53"/>
      <c r="U1114" s="31" t="n">
        <f aca="false">IF($B1114='設定（最初に1回）'!$C$4,N(U1113)+1,N(U1113))</f>
        <v>134</v>
      </c>
    </row>
    <row r="1115" customFormat="false" ht="15" hidden="false" customHeight="false" outlineLevel="0" collapsed="false">
      <c r="B1115" s="53"/>
      <c r="I1115" s="53"/>
      <c r="U1115" s="31" t="n">
        <f aca="false">IF($B1115='設定（最初に1回）'!$C$4,N(U1114)+1,N(U1114))</f>
        <v>134</v>
      </c>
    </row>
    <row r="1116" customFormat="false" ht="15" hidden="false" customHeight="false" outlineLevel="0" collapsed="false">
      <c r="B1116" s="53"/>
      <c r="I1116" s="53"/>
      <c r="U1116" s="31" t="n">
        <f aca="false">IF($B1116='設定（最初に1回）'!$C$4,N(U1115)+1,N(U1115))</f>
        <v>134</v>
      </c>
    </row>
    <row r="1117" customFormat="false" ht="15" hidden="false" customHeight="false" outlineLevel="0" collapsed="false">
      <c r="B1117" s="53"/>
      <c r="I1117" s="53"/>
      <c r="U1117" s="31" t="n">
        <f aca="false">IF($B1117='設定（最初に1回）'!$C$4,N(U1116)+1,N(U1116))</f>
        <v>134</v>
      </c>
    </row>
    <row r="1118" customFormat="false" ht="15" hidden="false" customHeight="false" outlineLevel="0" collapsed="false">
      <c r="B1118" s="53"/>
      <c r="I1118" s="53"/>
      <c r="U1118" s="31" t="n">
        <f aca="false">IF($B1118='設定（最初に1回）'!$C$4,N(U1117)+1,N(U1117))</f>
        <v>134</v>
      </c>
    </row>
    <row r="1119" customFormat="false" ht="15" hidden="false" customHeight="false" outlineLevel="0" collapsed="false">
      <c r="B1119" s="53"/>
      <c r="I1119" s="53"/>
      <c r="U1119" s="31" t="n">
        <f aca="false">IF($B1119='設定（最初に1回）'!$C$4,N(U1118)+1,N(U1118))</f>
        <v>134</v>
      </c>
    </row>
    <row r="1120" customFormat="false" ht="15" hidden="false" customHeight="false" outlineLevel="0" collapsed="false">
      <c r="B1120" s="53"/>
      <c r="I1120" s="53"/>
      <c r="U1120" s="31" t="n">
        <f aca="false">IF($B1120='設定（最初に1回）'!$C$4,N(U1119)+1,N(U1119))</f>
        <v>134</v>
      </c>
    </row>
    <row r="1121" customFormat="false" ht="15" hidden="false" customHeight="false" outlineLevel="0" collapsed="false">
      <c r="B1121" s="53"/>
      <c r="I1121" s="53"/>
      <c r="U1121" s="31" t="n">
        <f aca="false">IF($B1121='設定（最初に1回）'!$C$4,N(U1120)+1,N(U1120))</f>
        <v>134</v>
      </c>
    </row>
    <row r="1122" customFormat="false" ht="15" hidden="false" customHeight="false" outlineLevel="0" collapsed="false">
      <c r="B1122" s="53"/>
      <c r="I1122" s="53"/>
      <c r="U1122" s="31" t="n">
        <f aca="false">IF($B1122='設定（最初に1回）'!$C$4,N(U1121)+1,N(U1121))</f>
        <v>134</v>
      </c>
    </row>
    <row r="1123" customFormat="false" ht="15" hidden="false" customHeight="false" outlineLevel="0" collapsed="false">
      <c r="B1123" s="53"/>
      <c r="I1123" s="53"/>
      <c r="U1123" s="31" t="n">
        <f aca="false">IF($B1123='設定（最初に1回）'!$C$4,N(U1122)+1,N(U1122))</f>
        <v>134</v>
      </c>
    </row>
    <row r="1124" customFormat="false" ht="15" hidden="false" customHeight="false" outlineLevel="0" collapsed="false">
      <c r="B1124" s="53"/>
      <c r="I1124" s="53"/>
      <c r="U1124" s="31" t="n">
        <f aca="false">IF($B1124='設定（最初に1回）'!$C$4,N(U1123)+1,N(U1123))</f>
        <v>134</v>
      </c>
    </row>
    <row r="1125" customFormat="false" ht="15" hidden="false" customHeight="false" outlineLevel="0" collapsed="false">
      <c r="B1125" s="53"/>
      <c r="I1125" s="53"/>
      <c r="U1125" s="31" t="n">
        <f aca="false">IF($B1125='設定（最初に1回）'!$C$4,N(U1124)+1,N(U1124))</f>
        <v>134</v>
      </c>
    </row>
    <row r="1126" customFormat="false" ht="15" hidden="false" customHeight="false" outlineLevel="0" collapsed="false">
      <c r="B1126" s="53"/>
      <c r="I1126" s="53"/>
      <c r="U1126" s="31" t="n">
        <f aca="false">IF($B1126='設定（最初に1回）'!$C$4,N(U1125)+1,N(U1125))</f>
        <v>134</v>
      </c>
    </row>
    <row r="1127" customFormat="false" ht="15" hidden="false" customHeight="false" outlineLevel="0" collapsed="false">
      <c r="B1127" s="53"/>
      <c r="I1127" s="53"/>
      <c r="U1127" s="31" t="n">
        <f aca="false">IF($B1127='設定（最初に1回）'!$C$4,N(U1126)+1,N(U1126))</f>
        <v>134</v>
      </c>
    </row>
    <row r="1128" customFormat="false" ht="15" hidden="false" customHeight="false" outlineLevel="0" collapsed="false">
      <c r="B1128" s="53"/>
      <c r="I1128" s="53"/>
      <c r="U1128" s="31" t="n">
        <f aca="false">IF($B1128='設定（最初に1回）'!$C$4,N(U1127)+1,N(U1127))</f>
        <v>134</v>
      </c>
    </row>
    <row r="1129" customFormat="false" ht="15" hidden="false" customHeight="false" outlineLevel="0" collapsed="false">
      <c r="B1129" s="53"/>
      <c r="I1129" s="53"/>
      <c r="U1129" s="31" t="n">
        <f aca="false">IF($B1129='設定（最初に1回）'!$C$4,N(U1128)+1,N(U1128))</f>
        <v>134</v>
      </c>
    </row>
    <row r="1130" customFormat="false" ht="15" hidden="false" customHeight="false" outlineLevel="0" collapsed="false">
      <c r="B1130" s="53"/>
      <c r="I1130" s="53"/>
      <c r="U1130" s="31" t="n">
        <f aca="false">IF($B1130='設定（最初に1回）'!$C$4,N(U1129)+1,N(U1129))</f>
        <v>134</v>
      </c>
    </row>
    <row r="1131" customFormat="false" ht="15" hidden="false" customHeight="false" outlineLevel="0" collapsed="false">
      <c r="B1131" s="53"/>
      <c r="I1131" s="53"/>
      <c r="U1131" s="31" t="n">
        <f aca="false">IF($B1131='設定（最初に1回）'!$C$4,N(U1130)+1,N(U1130))</f>
        <v>134</v>
      </c>
    </row>
    <row r="1132" customFormat="false" ht="15" hidden="false" customHeight="false" outlineLevel="0" collapsed="false">
      <c r="B1132" s="53"/>
      <c r="I1132" s="53"/>
      <c r="U1132" s="31" t="n">
        <f aca="false">IF($B1132='設定（最初に1回）'!$C$4,N(U1131)+1,N(U1131))</f>
        <v>134</v>
      </c>
    </row>
    <row r="1133" customFormat="false" ht="15" hidden="false" customHeight="false" outlineLevel="0" collapsed="false">
      <c r="B1133" s="53"/>
      <c r="I1133" s="53"/>
      <c r="U1133" s="31" t="n">
        <f aca="false">IF($B1133='設定（最初に1回）'!$C$4,N(U1132)+1,N(U1132))</f>
        <v>134</v>
      </c>
    </row>
    <row r="1134" customFormat="false" ht="15" hidden="false" customHeight="false" outlineLevel="0" collapsed="false">
      <c r="B1134" s="53"/>
      <c r="I1134" s="53"/>
      <c r="U1134" s="31" t="n">
        <f aca="false">IF($B1134='設定（最初に1回）'!$C$4,N(U1133)+1,N(U1133))</f>
        <v>134</v>
      </c>
    </row>
    <row r="1135" customFormat="false" ht="15" hidden="false" customHeight="false" outlineLevel="0" collapsed="false">
      <c r="B1135" s="53"/>
      <c r="I1135" s="53"/>
      <c r="U1135" s="31" t="n">
        <f aca="false">IF($B1135='設定（最初に1回）'!$C$4,N(U1134)+1,N(U1134))</f>
        <v>134</v>
      </c>
    </row>
    <row r="1136" customFormat="false" ht="15" hidden="false" customHeight="false" outlineLevel="0" collapsed="false">
      <c r="B1136" s="53"/>
      <c r="I1136" s="53"/>
      <c r="U1136" s="31" t="n">
        <f aca="false">IF($B1136='設定（最初に1回）'!$C$4,N(U1135)+1,N(U1135))</f>
        <v>134</v>
      </c>
    </row>
    <row r="1137" customFormat="false" ht="15" hidden="false" customHeight="false" outlineLevel="0" collapsed="false">
      <c r="B1137" s="53"/>
      <c r="I1137" s="53"/>
      <c r="U1137" s="31" t="n">
        <f aca="false">IF($B1137='設定（最初に1回）'!$C$4,N(U1136)+1,N(U1136))</f>
        <v>134</v>
      </c>
    </row>
    <row r="1138" customFormat="false" ht="15" hidden="false" customHeight="false" outlineLevel="0" collapsed="false">
      <c r="B1138" s="53"/>
      <c r="I1138" s="53"/>
      <c r="U1138" s="31" t="n">
        <f aca="false">IF($B1138='設定（最初に1回）'!$C$4,N(U1137)+1,N(U1137))</f>
        <v>134</v>
      </c>
    </row>
    <row r="1139" customFormat="false" ht="15" hidden="false" customHeight="false" outlineLevel="0" collapsed="false">
      <c r="B1139" s="53"/>
      <c r="I1139" s="53"/>
      <c r="U1139" s="31" t="n">
        <f aca="false">IF($B1139='設定（最初に1回）'!$C$4,N(U1138)+1,N(U1138))</f>
        <v>134</v>
      </c>
    </row>
    <row r="1140" customFormat="false" ht="15" hidden="false" customHeight="false" outlineLevel="0" collapsed="false">
      <c r="B1140" s="53"/>
      <c r="I1140" s="53"/>
      <c r="U1140" s="31" t="n">
        <f aca="false">IF($B1140='設定（最初に1回）'!$C$4,N(U1139)+1,N(U1139))</f>
        <v>134</v>
      </c>
    </row>
    <row r="1141" customFormat="false" ht="15" hidden="false" customHeight="false" outlineLevel="0" collapsed="false">
      <c r="B1141" s="53"/>
      <c r="I1141" s="53"/>
      <c r="U1141" s="31" t="n">
        <f aca="false">IF($B1141='設定（最初に1回）'!$C$4,N(U1140)+1,N(U1140))</f>
        <v>134</v>
      </c>
    </row>
    <row r="1142" customFormat="false" ht="15" hidden="false" customHeight="false" outlineLevel="0" collapsed="false">
      <c r="B1142" s="53"/>
      <c r="I1142" s="53"/>
      <c r="U1142" s="31" t="n">
        <f aca="false">IF($B1142='設定（最初に1回）'!$C$4,N(U1141)+1,N(U1141))</f>
        <v>134</v>
      </c>
    </row>
    <row r="1143" customFormat="false" ht="15" hidden="false" customHeight="false" outlineLevel="0" collapsed="false">
      <c r="B1143" s="53"/>
      <c r="I1143" s="53"/>
      <c r="U1143" s="31" t="n">
        <f aca="false">IF($B1143='設定（最初に1回）'!$C$4,N(U1142)+1,N(U1142))</f>
        <v>134</v>
      </c>
    </row>
    <row r="1144" customFormat="false" ht="15" hidden="false" customHeight="false" outlineLevel="0" collapsed="false">
      <c r="B1144" s="53"/>
      <c r="I1144" s="53"/>
      <c r="U1144" s="31" t="n">
        <f aca="false">IF($B1144='設定（最初に1回）'!$C$4,N(U1143)+1,N(U1143))</f>
        <v>134</v>
      </c>
    </row>
    <row r="1145" customFormat="false" ht="15" hidden="false" customHeight="false" outlineLevel="0" collapsed="false">
      <c r="B1145" s="53"/>
      <c r="I1145" s="53"/>
      <c r="U1145" s="31" t="n">
        <f aca="false">IF($B1145='設定（最初に1回）'!$C$4,N(U1144)+1,N(U1144))</f>
        <v>134</v>
      </c>
    </row>
    <row r="1146" customFormat="false" ht="15" hidden="false" customHeight="false" outlineLevel="0" collapsed="false">
      <c r="B1146" s="53"/>
      <c r="I1146" s="53"/>
      <c r="U1146" s="31" t="n">
        <f aca="false">IF($B1146='設定（最初に1回）'!$C$4,N(U1145)+1,N(U1145))</f>
        <v>134</v>
      </c>
    </row>
    <row r="1147" customFormat="false" ht="15" hidden="false" customHeight="false" outlineLevel="0" collapsed="false">
      <c r="B1147" s="53"/>
      <c r="I1147" s="53"/>
      <c r="U1147" s="31" t="n">
        <f aca="false">IF($B1147='設定（最初に1回）'!$C$4,N(U1146)+1,N(U1146))</f>
        <v>134</v>
      </c>
    </row>
    <row r="1148" customFormat="false" ht="15" hidden="false" customHeight="false" outlineLevel="0" collapsed="false">
      <c r="B1148" s="53"/>
      <c r="I1148" s="53"/>
      <c r="U1148" s="31" t="n">
        <f aca="false">IF($B1148='設定（最初に1回）'!$C$4,N(U1147)+1,N(U1147))</f>
        <v>134</v>
      </c>
    </row>
    <row r="1149" customFormat="false" ht="15" hidden="false" customHeight="false" outlineLevel="0" collapsed="false">
      <c r="B1149" s="53"/>
      <c r="I1149" s="53"/>
      <c r="U1149" s="31" t="n">
        <f aca="false">IF($B1149='設定（最初に1回）'!$C$4,N(U1148)+1,N(U1148))</f>
        <v>134</v>
      </c>
    </row>
    <row r="1150" customFormat="false" ht="15" hidden="false" customHeight="false" outlineLevel="0" collapsed="false">
      <c r="B1150" s="53"/>
      <c r="I1150" s="53"/>
      <c r="U1150" s="31" t="n">
        <f aca="false">IF($B1150='設定（最初に1回）'!$C$4,N(U1149)+1,N(U1149))</f>
        <v>134</v>
      </c>
    </row>
    <row r="1151" customFormat="false" ht="15" hidden="false" customHeight="false" outlineLevel="0" collapsed="false">
      <c r="B1151" s="53"/>
      <c r="I1151" s="53"/>
      <c r="U1151" s="31" t="n">
        <f aca="false">IF($B1151='設定（最初に1回）'!$C$4,N(U1150)+1,N(U1150))</f>
        <v>134</v>
      </c>
    </row>
    <row r="1152" customFormat="false" ht="15" hidden="false" customHeight="false" outlineLevel="0" collapsed="false">
      <c r="B1152" s="53"/>
      <c r="I1152" s="53"/>
      <c r="U1152" s="31" t="n">
        <f aca="false">IF($B1152='設定（最初に1回）'!$C$4,N(U1151)+1,N(U1151))</f>
        <v>134</v>
      </c>
    </row>
    <row r="1153" customFormat="false" ht="15" hidden="false" customHeight="false" outlineLevel="0" collapsed="false">
      <c r="B1153" s="53"/>
      <c r="I1153" s="53"/>
      <c r="U1153" s="31" t="n">
        <f aca="false">IF($B1153='設定（最初に1回）'!$C$4,N(U1152)+1,N(U1152))</f>
        <v>134</v>
      </c>
    </row>
    <row r="1154" customFormat="false" ht="15" hidden="false" customHeight="false" outlineLevel="0" collapsed="false">
      <c r="B1154" s="53"/>
      <c r="I1154" s="53"/>
      <c r="U1154" s="31" t="n">
        <f aca="false">IF($B1154='設定（最初に1回）'!$C$4,N(U1153)+1,N(U1153))</f>
        <v>134</v>
      </c>
    </row>
    <row r="1155" customFormat="false" ht="15" hidden="false" customHeight="false" outlineLevel="0" collapsed="false">
      <c r="B1155" s="53"/>
      <c r="I1155" s="53"/>
      <c r="U1155" s="31" t="n">
        <f aca="false">IF($B1155='設定（最初に1回）'!$C$4,N(U1154)+1,N(U1154))</f>
        <v>134</v>
      </c>
    </row>
    <row r="1156" customFormat="false" ht="15" hidden="false" customHeight="false" outlineLevel="0" collapsed="false">
      <c r="B1156" s="53"/>
      <c r="I1156" s="53"/>
      <c r="U1156" s="31" t="n">
        <f aca="false">IF($B1156='設定（最初に1回）'!$C$4,N(U1155)+1,N(U1155))</f>
        <v>134</v>
      </c>
    </row>
    <row r="1157" customFormat="false" ht="15" hidden="false" customHeight="false" outlineLevel="0" collapsed="false">
      <c r="B1157" s="53"/>
      <c r="I1157" s="53"/>
      <c r="U1157" s="31" t="n">
        <f aca="false">IF($B1157='設定（最初に1回）'!$C$4,N(U1156)+1,N(U1156))</f>
        <v>134</v>
      </c>
    </row>
    <row r="1158" customFormat="false" ht="15" hidden="false" customHeight="false" outlineLevel="0" collapsed="false">
      <c r="B1158" s="53"/>
      <c r="I1158" s="53"/>
      <c r="U1158" s="31" t="n">
        <f aca="false">IF($B1158='設定（最初に1回）'!$C$4,N(U1157)+1,N(U1157))</f>
        <v>134</v>
      </c>
    </row>
    <row r="1159" customFormat="false" ht="15" hidden="false" customHeight="false" outlineLevel="0" collapsed="false">
      <c r="B1159" s="53"/>
      <c r="I1159" s="53"/>
      <c r="U1159" s="31" t="n">
        <f aca="false">IF($B1159='設定（最初に1回）'!$C$4,N(U1158)+1,N(U1158))</f>
        <v>134</v>
      </c>
    </row>
    <row r="1160" customFormat="false" ht="15" hidden="false" customHeight="false" outlineLevel="0" collapsed="false">
      <c r="B1160" s="53"/>
      <c r="I1160" s="53"/>
      <c r="U1160" s="31" t="n">
        <f aca="false">IF($B1160='設定（最初に1回）'!$C$4,N(U1159)+1,N(U1159))</f>
        <v>134</v>
      </c>
    </row>
    <row r="1161" customFormat="false" ht="15" hidden="false" customHeight="false" outlineLevel="0" collapsed="false">
      <c r="B1161" s="53"/>
      <c r="I1161" s="53"/>
      <c r="U1161" s="31" t="n">
        <f aca="false">IF($B1161='設定（最初に1回）'!$C$4,N(U1160)+1,N(U1160))</f>
        <v>134</v>
      </c>
    </row>
    <row r="1162" customFormat="false" ht="15" hidden="false" customHeight="false" outlineLevel="0" collapsed="false">
      <c r="B1162" s="53"/>
      <c r="I1162" s="53"/>
      <c r="U1162" s="31" t="n">
        <f aca="false">IF($B1162='設定（最初に1回）'!$C$4,N(U1161)+1,N(U1161))</f>
        <v>134</v>
      </c>
    </row>
    <row r="1163" customFormat="false" ht="15" hidden="false" customHeight="false" outlineLevel="0" collapsed="false">
      <c r="B1163" s="53"/>
      <c r="I1163" s="53"/>
      <c r="U1163" s="31" t="n">
        <f aca="false">IF($B1163='設定（最初に1回）'!$C$4,N(U1162)+1,N(U1162))</f>
        <v>134</v>
      </c>
    </row>
    <row r="1164" customFormat="false" ht="15" hidden="false" customHeight="false" outlineLevel="0" collapsed="false">
      <c r="B1164" s="53"/>
      <c r="I1164" s="53"/>
      <c r="U1164" s="31" t="n">
        <f aca="false">IF($B1164='設定（最初に1回）'!$C$4,N(U1163)+1,N(U1163))</f>
        <v>134</v>
      </c>
    </row>
    <row r="1165" customFormat="false" ht="15" hidden="false" customHeight="false" outlineLevel="0" collapsed="false">
      <c r="B1165" s="53"/>
      <c r="I1165" s="53"/>
      <c r="U1165" s="31" t="n">
        <f aca="false">IF($B1165='設定（最初に1回）'!$C$4,N(U1164)+1,N(U1164))</f>
        <v>134</v>
      </c>
    </row>
    <row r="1166" customFormat="false" ht="15" hidden="false" customHeight="false" outlineLevel="0" collapsed="false">
      <c r="B1166" s="53"/>
      <c r="I1166" s="53"/>
      <c r="U1166" s="31" t="n">
        <f aca="false">IF($B1166='設定（最初に1回）'!$C$4,N(U1165)+1,N(U1165))</f>
        <v>134</v>
      </c>
    </row>
    <row r="1167" customFormat="false" ht="15" hidden="false" customHeight="false" outlineLevel="0" collapsed="false">
      <c r="B1167" s="53"/>
      <c r="I1167" s="53"/>
      <c r="U1167" s="31" t="n">
        <f aca="false">IF($B1167='設定（最初に1回）'!$C$4,N(U1166)+1,N(U1166))</f>
        <v>134</v>
      </c>
    </row>
    <row r="1168" customFormat="false" ht="15" hidden="false" customHeight="false" outlineLevel="0" collapsed="false">
      <c r="B1168" s="53"/>
      <c r="I1168" s="53"/>
      <c r="U1168" s="31" t="n">
        <f aca="false">IF($B1168='設定（最初に1回）'!$C$4,N(U1167)+1,N(U1167))</f>
        <v>134</v>
      </c>
    </row>
    <row r="1169" customFormat="false" ht="15" hidden="false" customHeight="false" outlineLevel="0" collapsed="false">
      <c r="B1169" s="53"/>
      <c r="I1169" s="53"/>
      <c r="U1169" s="31" t="n">
        <f aca="false">IF($B1169='設定（最初に1回）'!$C$4,N(U1168)+1,N(U1168))</f>
        <v>134</v>
      </c>
    </row>
    <row r="1170" customFormat="false" ht="15" hidden="false" customHeight="false" outlineLevel="0" collapsed="false">
      <c r="B1170" s="53"/>
      <c r="I1170" s="53"/>
      <c r="U1170" s="31" t="n">
        <f aca="false">IF($B1170='設定（最初に1回）'!$C$4,N(U1169)+1,N(U1169))</f>
        <v>134</v>
      </c>
    </row>
    <row r="1171" customFormat="false" ht="15" hidden="false" customHeight="false" outlineLevel="0" collapsed="false">
      <c r="B1171" s="53"/>
      <c r="I1171" s="53"/>
      <c r="U1171" s="31" t="n">
        <f aca="false">IF($B1171='設定（最初に1回）'!$C$4,N(U1170)+1,N(U1170))</f>
        <v>134</v>
      </c>
    </row>
    <row r="1172" customFormat="false" ht="15" hidden="false" customHeight="false" outlineLevel="0" collapsed="false">
      <c r="B1172" s="53"/>
      <c r="I1172" s="53"/>
      <c r="U1172" s="31" t="n">
        <f aca="false">IF($B1172='設定（最初に1回）'!$C$4,N(U1171)+1,N(U1171))</f>
        <v>134</v>
      </c>
    </row>
    <row r="1173" customFormat="false" ht="15" hidden="false" customHeight="false" outlineLevel="0" collapsed="false">
      <c r="B1173" s="53"/>
      <c r="I1173" s="53"/>
      <c r="U1173" s="31" t="n">
        <f aca="false">IF($B1173='設定（最初に1回）'!$C$4,N(U1172)+1,N(U1172))</f>
        <v>134</v>
      </c>
    </row>
    <row r="1174" customFormat="false" ht="15" hidden="false" customHeight="false" outlineLevel="0" collapsed="false">
      <c r="B1174" s="53"/>
      <c r="I1174" s="53"/>
      <c r="U1174" s="31" t="n">
        <f aca="false">IF($B1174='設定（最初に1回）'!$C$4,N(U1173)+1,N(U1173))</f>
        <v>134</v>
      </c>
    </row>
    <row r="1175" customFormat="false" ht="15" hidden="false" customHeight="false" outlineLevel="0" collapsed="false">
      <c r="B1175" s="53"/>
      <c r="I1175" s="53"/>
      <c r="U1175" s="31" t="n">
        <f aca="false">IF($B1175='設定（最初に1回）'!$C$4,N(U1174)+1,N(U1174))</f>
        <v>134</v>
      </c>
    </row>
    <row r="1176" customFormat="false" ht="15" hidden="false" customHeight="false" outlineLevel="0" collapsed="false">
      <c r="B1176" s="53"/>
      <c r="I1176" s="53"/>
      <c r="U1176" s="31" t="n">
        <f aca="false">IF($B1176='設定（最初に1回）'!$C$4,N(U1175)+1,N(U1175))</f>
        <v>134</v>
      </c>
    </row>
    <row r="1177" customFormat="false" ht="15" hidden="false" customHeight="false" outlineLevel="0" collapsed="false">
      <c r="B1177" s="53"/>
      <c r="I1177" s="53"/>
      <c r="U1177" s="31" t="n">
        <f aca="false">IF($B1177='設定（最初に1回）'!$C$4,N(U1176)+1,N(U1176))</f>
        <v>134</v>
      </c>
    </row>
    <row r="1178" customFormat="false" ht="15" hidden="false" customHeight="false" outlineLevel="0" collapsed="false">
      <c r="B1178" s="53"/>
      <c r="I1178" s="53"/>
      <c r="U1178" s="31" t="n">
        <f aca="false">IF($B1178='設定（最初に1回）'!$C$4,N(U1177)+1,N(U1177))</f>
        <v>134</v>
      </c>
    </row>
    <row r="1179" customFormat="false" ht="15" hidden="false" customHeight="false" outlineLevel="0" collapsed="false">
      <c r="B1179" s="53"/>
      <c r="I1179" s="53"/>
      <c r="U1179" s="31" t="n">
        <f aca="false">IF($B1179='設定（最初に1回）'!$C$4,N(U1178)+1,N(U1178))</f>
        <v>134</v>
      </c>
    </row>
    <row r="1180" customFormat="false" ht="15" hidden="false" customHeight="false" outlineLevel="0" collapsed="false">
      <c r="B1180" s="53"/>
      <c r="I1180" s="53"/>
      <c r="U1180" s="31" t="n">
        <f aca="false">IF($B1180='設定（最初に1回）'!$C$4,N(U1179)+1,N(U1179))</f>
        <v>134</v>
      </c>
    </row>
    <row r="1181" customFormat="false" ht="15" hidden="false" customHeight="false" outlineLevel="0" collapsed="false">
      <c r="B1181" s="53"/>
      <c r="I1181" s="53"/>
      <c r="U1181" s="31" t="n">
        <f aca="false">IF($B1181='設定（最初に1回）'!$C$4,N(U1180)+1,N(U1180))</f>
        <v>134</v>
      </c>
    </row>
    <row r="1182" customFormat="false" ht="15" hidden="false" customHeight="false" outlineLevel="0" collapsed="false">
      <c r="B1182" s="53"/>
      <c r="I1182" s="53"/>
      <c r="U1182" s="31" t="n">
        <f aca="false">IF($B1182='設定（最初に1回）'!$C$4,N(U1181)+1,N(U1181))</f>
        <v>134</v>
      </c>
    </row>
    <row r="1183" customFormat="false" ht="15" hidden="false" customHeight="false" outlineLevel="0" collapsed="false">
      <c r="B1183" s="53"/>
      <c r="I1183" s="53"/>
      <c r="U1183" s="31" t="n">
        <f aca="false">IF($B1183='設定（最初に1回）'!$C$4,N(U1182)+1,N(U1182))</f>
        <v>134</v>
      </c>
    </row>
    <row r="1184" customFormat="false" ht="15" hidden="false" customHeight="false" outlineLevel="0" collapsed="false">
      <c r="B1184" s="53"/>
      <c r="I1184" s="53"/>
      <c r="U1184" s="31" t="n">
        <f aca="false">IF($B1184='設定（最初に1回）'!$C$4,N(U1183)+1,N(U1183))</f>
        <v>134</v>
      </c>
    </row>
    <row r="1185" customFormat="false" ht="15" hidden="false" customHeight="false" outlineLevel="0" collapsed="false">
      <c r="B1185" s="53"/>
      <c r="I1185" s="53"/>
      <c r="U1185" s="31" t="n">
        <f aca="false">IF($B1185='設定（最初に1回）'!$C$4,N(U1184)+1,N(U1184))</f>
        <v>134</v>
      </c>
    </row>
    <row r="1186" customFormat="false" ht="15" hidden="false" customHeight="false" outlineLevel="0" collapsed="false">
      <c r="B1186" s="53"/>
      <c r="I1186" s="53"/>
      <c r="U1186" s="31" t="n">
        <f aca="false">IF($B1186='設定（最初に1回）'!$C$4,N(U1185)+1,N(U1185))</f>
        <v>134</v>
      </c>
    </row>
    <row r="1187" customFormat="false" ht="15" hidden="false" customHeight="false" outlineLevel="0" collapsed="false">
      <c r="B1187" s="53"/>
      <c r="I1187" s="53"/>
      <c r="U1187" s="31" t="n">
        <f aca="false">IF($B1187='設定（最初に1回）'!$C$4,N(U1186)+1,N(U1186))</f>
        <v>134</v>
      </c>
    </row>
    <row r="1188" customFormat="false" ht="15" hidden="false" customHeight="false" outlineLevel="0" collapsed="false">
      <c r="B1188" s="53"/>
      <c r="I1188" s="53"/>
      <c r="U1188" s="31" t="n">
        <f aca="false">IF($B1188='設定（最初に1回）'!$C$4,N(U1187)+1,N(U1187))</f>
        <v>134</v>
      </c>
    </row>
    <row r="1189" customFormat="false" ht="15" hidden="false" customHeight="false" outlineLevel="0" collapsed="false">
      <c r="B1189" s="53"/>
      <c r="I1189" s="53"/>
      <c r="U1189" s="31" t="n">
        <f aca="false">IF($B1189='設定（最初に1回）'!$C$4,N(U1188)+1,N(U1188))</f>
        <v>134</v>
      </c>
    </row>
    <row r="1190" customFormat="false" ht="15" hidden="false" customHeight="false" outlineLevel="0" collapsed="false">
      <c r="B1190" s="53"/>
      <c r="I1190" s="53"/>
      <c r="U1190" s="31" t="n">
        <f aca="false">IF($B1190='設定（最初に1回）'!$C$4,N(U1189)+1,N(U1189))</f>
        <v>134</v>
      </c>
    </row>
    <row r="1191" customFormat="false" ht="15" hidden="false" customHeight="false" outlineLevel="0" collapsed="false">
      <c r="B1191" s="53"/>
      <c r="I1191" s="53"/>
      <c r="U1191" s="31" t="n">
        <f aca="false">IF($B1191='設定（最初に1回）'!$C$4,N(U1190)+1,N(U1190))</f>
        <v>134</v>
      </c>
    </row>
    <row r="1192" customFormat="false" ht="15" hidden="false" customHeight="false" outlineLevel="0" collapsed="false">
      <c r="B1192" s="53"/>
      <c r="I1192" s="53"/>
      <c r="U1192" s="31" t="n">
        <f aca="false">IF($B1192='設定（最初に1回）'!$C$4,N(U1191)+1,N(U1191))</f>
        <v>134</v>
      </c>
    </row>
    <row r="1193" customFormat="false" ht="15" hidden="false" customHeight="false" outlineLevel="0" collapsed="false">
      <c r="B1193" s="53"/>
      <c r="I1193" s="53"/>
      <c r="U1193" s="31" t="n">
        <f aca="false">IF($B1193='設定（最初に1回）'!$C$4,N(U1192)+1,N(U1192))</f>
        <v>134</v>
      </c>
    </row>
    <row r="1194" customFormat="false" ht="15" hidden="false" customHeight="false" outlineLevel="0" collapsed="false">
      <c r="B1194" s="53"/>
      <c r="I1194" s="53"/>
      <c r="U1194" s="31" t="n">
        <f aca="false">IF($B1194='設定（最初に1回）'!$C$4,N(U1193)+1,N(U1193))</f>
        <v>134</v>
      </c>
    </row>
    <row r="1195" customFormat="false" ht="15" hidden="false" customHeight="false" outlineLevel="0" collapsed="false">
      <c r="B1195" s="53"/>
      <c r="I1195" s="53"/>
      <c r="U1195" s="31" t="n">
        <f aca="false">IF($B1195='設定（最初に1回）'!$C$4,N(U1194)+1,N(U1194))</f>
        <v>134</v>
      </c>
    </row>
    <row r="1196" customFormat="false" ht="15" hidden="false" customHeight="false" outlineLevel="0" collapsed="false">
      <c r="B1196" s="53"/>
      <c r="I1196" s="53"/>
      <c r="U1196" s="31" t="n">
        <f aca="false">IF($B1196='設定（最初に1回）'!$C$4,N(U1195)+1,N(U1195))</f>
        <v>134</v>
      </c>
    </row>
    <row r="1197" customFormat="false" ht="15" hidden="false" customHeight="false" outlineLevel="0" collapsed="false">
      <c r="B1197" s="53"/>
      <c r="I1197" s="53"/>
      <c r="U1197" s="31" t="n">
        <f aca="false">IF($B1197='設定（最初に1回）'!$C$4,N(U1196)+1,N(U1196))</f>
        <v>134</v>
      </c>
    </row>
    <row r="1198" customFormat="false" ht="15" hidden="false" customHeight="false" outlineLevel="0" collapsed="false">
      <c r="B1198" s="53"/>
      <c r="I1198" s="53"/>
      <c r="U1198" s="31" t="n">
        <f aca="false">IF($B1198='設定（最初に1回）'!$C$4,N(U1197)+1,N(U1197))</f>
        <v>134</v>
      </c>
    </row>
    <row r="1199" customFormat="false" ht="15" hidden="false" customHeight="false" outlineLevel="0" collapsed="false">
      <c r="B1199" s="53"/>
      <c r="I1199" s="53"/>
      <c r="U1199" s="31" t="n">
        <f aca="false">IF($B1199='設定（最初に1回）'!$C$4,N(U1198)+1,N(U1198))</f>
        <v>134</v>
      </c>
    </row>
    <row r="1200" customFormat="false" ht="15" hidden="false" customHeight="false" outlineLevel="0" collapsed="false">
      <c r="B1200" s="53"/>
      <c r="I1200" s="53"/>
      <c r="U1200" s="31" t="n">
        <f aca="false">IF($B1200='設定（最初に1回）'!$C$4,N(U1199)+1,N(U1199))</f>
        <v>134</v>
      </c>
    </row>
    <row r="1201" customFormat="false" ht="15" hidden="false" customHeight="false" outlineLevel="0" collapsed="false">
      <c r="B1201" s="53"/>
      <c r="I1201" s="53"/>
      <c r="U1201" s="31" t="n">
        <f aca="false">IF($B1201='設定（最初に1回）'!$C$4,N(U1200)+1,N(U1200))</f>
        <v>134</v>
      </c>
    </row>
    <row r="1202" customFormat="false" ht="15" hidden="false" customHeight="false" outlineLevel="0" collapsed="false">
      <c r="B1202" s="53"/>
      <c r="I1202" s="53"/>
      <c r="U1202" s="31" t="n">
        <f aca="false">IF($B1202='設定（最初に1回）'!$C$4,N(U1201)+1,N(U1201))</f>
        <v>134</v>
      </c>
    </row>
    <row r="1203" customFormat="false" ht="15" hidden="false" customHeight="false" outlineLevel="0" collapsed="false">
      <c r="B1203" s="53"/>
      <c r="I1203" s="53"/>
      <c r="U1203" s="31" t="n">
        <f aca="false">IF($B1203='設定（最初に1回）'!$C$4,N(U1202)+1,N(U1202))</f>
        <v>134</v>
      </c>
    </row>
    <row r="1204" customFormat="false" ht="15" hidden="false" customHeight="false" outlineLevel="0" collapsed="false">
      <c r="B1204" s="53"/>
      <c r="I1204" s="53"/>
      <c r="U1204" s="31" t="n">
        <f aca="false">IF($B1204='設定（最初に1回）'!$C$4,N(U1203)+1,N(U1203))</f>
        <v>134</v>
      </c>
    </row>
    <row r="1205" customFormat="false" ht="15" hidden="false" customHeight="false" outlineLevel="0" collapsed="false">
      <c r="B1205" s="53"/>
      <c r="I1205" s="53"/>
      <c r="U1205" s="31" t="n">
        <f aca="false">IF($B1205='設定（最初に1回）'!$C$4,N(U1204)+1,N(U1204))</f>
        <v>134</v>
      </c>
    </row>
    <row r="1206" customFormat="false" ht="15" hidden="false" customHeight="false" outlineLevel="0" collapsed="false">
      <c r="B1206" s="53"/>
      <c r="I1206" s="53"/>
      <c r="U1206" s="31" t="n">
        <f aca="false">IF($B1206='設定（最初に1回）'!$C$4,N(U1205)+1,N(U1205))</f>
        <v>134</v>
      </c>
    </row>
    <row r="1207" customFormat="false" ht="15" hidden="false" customHeight="false" outlineLevel="0" collapsed="false">
      <c r="B1207" s="53"/>
      <c r="I1207" s="53"/>
      <c r="U1207" s="31" t="n">
        <f aca="false">IF($B1207='設定（最初に1回）'!$C$4,N(U1206)+1,N(U1206))</f>
        <v>134</v>
      </c>
    </row>
    <row r="1208" customFormat="false" ht="15" hidden="false" customHeight="false" outlineLevel="0" collapsed="false">
      <c r="B1208" s="53"/>
      <c r="I1208" s="53"/>
      <c r="U1208" s="31" t="n">
        <f aca="false">IF($B1208='設定（最初に1回）'!$C$4,N(U1207)+1,N(U1207))</f>
        <v>134</v>
      </c>
    </row>
    <row r="1209" customFormat="false" ht="15" hidden="false" customHeight="false" outlineLevel="0" collapsed="false">
      <c r="B1209" s="53"/>
      <c r="I1209" s="53"/>
      <c r="U1209" s="31" t="n">
        <f aca="false">IF($B1209='設定（最初に1回）'!$C$4,N(U1208)+1,N(U1208))</f>
        <v>134</v>
      </c>
    </row>
    <row r="1210" customFormat="false" ht="15" hidden="false" customHeight="false" outlineLevel="0" collapsed="false">
      <c r="B1210" s="53"/>
      <c r="I1210" s="53"/>
      <c r="U1210" s="31" t="n">
        <f aca="false">IF($B1210='設定（最初に1回）'!$C$4,N(U1209)+1,N(U1209))</f>
        <v>134</v>
      </c>
    </row>
    <row r="1211" customFormat="false" ht="15" hidden="false" customHeight="false" outlineLevel="0" collapsed="false">
      <c r="B1211" s="53"/>
      <c r="I1211" s="53"/>
      <c r="U1211" s="31" t="n">
        <f aca="false">IF($B1211='設定（最初に1回）'!$C$4,N(U1210)+1,N(U1210))</f>
        <v>134</v>
      </c>
    </row>
    <row r="1212" customFormat="false" ht="15" hidden="false" customHeight="false" outlineLevel="0" collapsed="false">
      <c r="B1212" s="53"/>
      <c r="I1212" s="53"/>
      <c r="U1212" s="31" t="n">
        <f aca="false">IF($B1212='設定（最初に1回）'!$C$4,N(U1211)+1,N(U1211))</f>
        <v>134</v>
      </c>
    </row>
    <row r="1213" customFormat="false" ht="15" hidden="false" customHeight="false" outlineLevel="0" collapsed="false">
      <c r="B1213" s="53"/>
      <c r="I1213" s="53"/>
      <c r="U1213" s="31" t="n">
        <f aca="false">IF($B1213='設定（最初に1回）'!$C$4,N(U1212)+1,N(U1212))</f>
        <v>134</v>
      </c>
    </row>
    <row r="1214" customFormat="false" ht="15" hidden="false" customHeight="false" outlineLevel="0" collapsed="false">
      <c r="B1214" s="53"/>
      <c r="I1214" s="53"/>
      <c r="U1214" s="31" t="n">
        <f aca="false">IF($B1214='設定（最初に1回）'!$C$4,N(U1213)+1,N(U1213))</f>
        <v>134</v>
      </c>
    </row>
    <row r="1215" customFormat="false" ht="15" hidden="false" customHeight="false" outlineLevel="0" collapsed="false">
      <c r="B1215" s="53"/>
      <c r="I1215" s="53"/>
      <c r="U1215" s="31" t="n">
        <f aca="false">IF($B1215='設定（最初に1回）'!$C$4,N(U1214)+1,N(U1214))</f>
        <v>134</v>
      </c>
    </row>
    <row r="1216" customFormat="false" ht="15" hidden="false" customHeight="false" outlineLevel="0" collapsed="false">
      <c r="B1216" s="53"/>
      <c r="I1216" s="53"/>
      <c r="U1216" s="31" t="n">
        <f aca="false">IF($B1216='設定（最初に1回）'!$C$4,N(U1215)+1,N(U1215))</f>
        <v>134</v>
      </c>
    </row>
    <row r="1217" customFormat="false" ht="15" hidden="false" customHeight="false" outlineLevel="0" collapsed="false">
      <c r="B1217" s="53"/>
      <c r="I1217" s="53"/>
      <c r="U1217" s="31" t="n">
        <f aca="false">IF($B1217='設定（最初に1回）'!$C$4,N(U1216)+1,N(U1216))</f>
        <v>134</v>
      </c>
    </row>
    <row r="1218" customFormat="false" ht="15" hidden="false" customHeight="false" outlineLevel="0" collapsed="false">
      <c r="B1218" s="53"/>
      <c r="I1218" s="53"/>
      <c r="U1218" s="31" t="n">
        <f aca="false">IF($B1218='設定（最初に1回）'!$C$4,N(U1217)+1,N(U1217))</f>
        <v>134</v>
      </c>
    </row>
    <row r="1219" customFormat="false" ht="15" hidden="false" customHeight="false" outlineLevel="0" collapsed="false">
      <c r="B1219" s="53"/>
      <c r="I1219" s="53"/>
      <c r="U1219" s="31" t="n">
        <f aca="false">IF($B1219='設定（最初に1回）'!$C$4,N(U1218)+1,N(U1218))</f>
        <v>134</v>
      </c>
    </row>
    <row r="1220" customFormat="false" ht="15" hidden="false" customHeight="false" outlineLevel="0" collapsed="false">
      <c r="B1220" s="53"/>
      <c r="I1220" s="53"/>
      <c r="U1220" s="31" t="n">
        <f aca="false">IF($B1220='設定（最初に1回）'!$C$4,N(U1219)+1,N(U1219))</f>
        <v>134</v>
      </c>
    </row>
    <row r="1221" customFormat="false" ht="15" hidden="false" customHeight="false" outlineLevel="0" collapsed="false">
      <c r="B1221" s="53"/>
      <c r="I1221" s="53"/>
      <c r="U1221" s="31" t="n">
        <f aca="false">IF($B1221='設定（最初に1回）'!$C$4,N(U1220)+1,N(U1220))</f>
        <v>134</v>
      </c>
    </row>
    <row r="1222" customFormat="false" ht="15" hidden="false" customHeight="false" outlineLevel="0" collapsed="false">
      <c r="B1222" s="53"/>
      <c r="I1222" s="53"/>
      <c r="U1222" s="31" t="n">
        <f aca="false">IF($B1222='設定（最初に1回）'!$C$4,N(U1221)+1,N(U1221))</f>
        <v>134</v>
      </c>
    </row>
    <row r="1223" customFormat="false" ht="15" hidden="false" customHeight="false" outlineLevel="0" collapsed="false">
      <c r="B1223" s="53"/>
      <c r="I1223" s="53"/>
      <c r="U1223" s="31" t="n">
        <f aca="false">IF($B1223='設定（最初に1回）'!$C$4,N(U1222)+1,N(U1222))</f>
        <v>134</v>
      </c>
    </row>
    <row r="1224" customFormat="false" ht="15" hidden="false" customHeight="false" outlineLevel="0" collapsed="false">
      <c r="B1224" s="53"/>
      <c r="I1224" s="53"/>
      <c r="U1224" s="31" t="n">
        <f aca="false">IF($B1224='設定（最初に1回）'!$C$4,N(U1223)+1,N(U1223))</f>
        <v>134</v>
      </c>
    </row>
    <row r="1225" customFormat="false" ht="15" hidden="false" customHeight="false" outlineLevel="0" collapsed="false">
      <c r="B1225" s="53"/>
      <c r="I1225" s="53"/>
      <c r="U1225" s="31" t="n">
        <f aca="false">IF($B1225='設定（最初に1回）'!$C$4,N(U1224)+1,N(U1224))</f>
        <v>134</v>
      </c>
    </row>
    <row r="1226" customFormat="false" ht="15" hidden="false" customHeight="false" outlineLevel="0" collapsed="false">
      <c r="B1226" s="53"/>
      <c r="I1226" s="53"/>
      <c r="U1226" s="31" t="n">
        <f aca="false">IF($B1226='設定（最初に1回）'!$C$4,N(U1225)+1,N(U1225))</f>
        <v>134</v>
      </c>
    </row>
    <row r="1227" customFormat="false" ht="15" hidden="false" customHeight="false" outlineLevel="0" collapsed="false">
      <c r="B1227" s="53"/>
      <c r="I1227" s="53"/>
      <c r="U1227" s="31" t="n">
        <f aca="false">IF($B1227='設定（最初に1回）'!$C$4,N(U1226)+1,N(U1226))</f>
        <v>134</v>
      </c>
    </row>
    <row r="1228" customFormat="false" ht="15" hidden="false" customHeight="false" outlineLevel="0" collapsed="false">
      <c r="B1228" s="53"/>
      <c r="I1228" s="53"/>
      <c r="U1228" s="31" t="n">
        <f aca="false">IF($B1228='設定（最初に1回）'!$C$4,N(U1227)+1,N(U1227))</f>
        <v>134</v>
      </c>
    </row>
    <row r="1229" customFormat="false" ht="15" hidden="false" customHeight="false" outlineLevel="0" collapsed="false">
      <c r="B1229" s="53"/>
      <c r="I1229" s="53"/>
      <c r="U1229" s="31" t="n">
        <f aca="false">IF($B1229='設定（最初に1回）'!$C$4,N(U1228)+1,N(U1228))</f>
        <v>134</v>
      </c>
    </row>
    <row r="1230" customFormat="false" ht="15" hidden="false" customHeight="false" outlineLevel="0" collapsed="false">
      <c r="B1230" s="53"/>
      <c r="I1230" s="53"/>
      <c r="U1230" s="31" t="n">
        <f aca="false">IF($B1230='設定（最初に1回）'!$C$4,N(U1229)+1,N(U1229))</f>
        <v>134</v>
      </c>
    </row>
    <row r="1231" customFormat="false" ht="15" hidden="false" customHeight="false" outlineLevel="0" collapsed="false">
      <c r="B1231" s="53"/>
      <c r="I1231" s="53"/>
      <c r="U1231" s="31" t="n">
        <f aca="false">IF($B1231='設定（最初に1回）'!$C$4,N(U1230)+1,N(U1230))</f>
        <v>134</v>
      </c>
    </row>
    <row r="1232" customFormat="false" ht="15" hidden="false" customHeight="false" outlineLevel="0" collapsed="false">
      <c r="B1232" s="53"/>
      <c r="I1232" s="53"/>
      <c r="U1232" s="31" t="n">
        <f aca="false">IF($B1232='設定（最初に1回）'!$C$4,N(U1231)+1,N(U1231))</f>
        <v>134</v>
      </c>
    </row>
    <row r="1233" customFormat="false" ht="15" hidden="false" customHeight="false" outlineLevel="0" collapsed="false">
      <c r="B1233" s="53"/>
      <c r="I1233" s="53"/>
      <c r="U1233" s="31" t="n">
        <f aca="false">IF($B1233='設定（最初に1回）'!$C$4,N(U1232)+1,N(U1232))</f>
        <v>134</v>
      </c>
    </row>
    <row r="1234" customFormat="false" ht="15" hidden="false" customHeight="false" outlineLevel="0" collapsed="false">
      <c r="B1234" s="53"/>
      <c r="I1234" s="53"/>
      <c r="U1234" s="31" t="n">
        <f aca="false">IF($B1234='設定（最初に1回）'!$C$4,N(U1233)+1,N(U1233))</f>
        <v>134</v>
      </c>
    </row>
    <row r="1235" customFormat="false" ht="15" hidden="false" customHeight="false" outlineLevel="0" collapsed="false">
      <c r="B1235" s="53"/>
      <c r="I1235" s="53"/>
      <c r="U1235" s="31" t="n">
        <f aca="false">IF($B1235='設定（最初に1回）'!$C$4,N(U1234)+1,N(U1234))</f>
        <v>134</v>
      </c>
    </row>
    <row r="1236" customFormat="false" ht="15" hidden="false" customHeight="false" outlineLevel="0" collapsed="false">
      <c r="B1236" s="53"/>
      <c r="I1236" s="53"/>
      <c r="U1236" s="31" t="n">
        <f aca="false">IF($B1236='設定（最初に1回）'!$C$4,N(U1235)+1,N(U1235))</f>
        <v>134</v>
      </c>
    </row>
    <row r="1237" customFormat="false" ht="15" hidden="false" customHeight="false" outlineLevel="0" collapsed="false">
      <c r="B1237" s="53"/>
      <c r="I1237" s="53"/>
      <c r="U1237" s="31" t="n">
        <f aca="false">IF($B1237='設定（最初に1回）'!$C$4,N(U1236)+1,N(U1236))</f>
        <v>134</v>
      </c>
    </row>
    <row r="1238" customFormat="false" ht="15" hidden="false" customHeight="false" outlineLevel="0" collapsed="false">
      <c r="B1238" s="53"/>
      <c r="I1238" s="53"/>
      <c r="U1238" s="31" t="n">
        <f aca="false">IF($B1238='設定（最初に1回）'!$C$4,N(U1237)+1,N(U1237))</f>
        <v>134</v>
      </c>
    </row>
    <row r="1239" customFormat="false" ht="15" hidden="false" customHeight="false" outlineLevel="0" collapsed="false">
      <c r="B1239" s="53"/>
      <c r="I1239" s="53"/>
      <c r="U1239" s="31" t="n">
        <f aca="false">IF($B1239='設定（最初に1回）'!$C$4,N(U1238)+1,N(U1238))</f>
        <v>134</v>
      </c>
    </row>
    <row r="1240" customFormat="false" ht="15" hidden="false" customHeight="false" outlineLevel="0" collapsed="false">
      <c r="B1240" s="53"/>
      <c r="I1240" s="53"/>
      <c r="U1240" s="31" t="n">
        <f aca="false">IF($B1240='設定（最初に1回）'!$C$4,N(U1239)+1,N(U1239))</f>
        <v>134</v>
      </c>
    </row>
    <row r="1241" customFormat="false" ht="15" hidden="false" customHeight="false" outlineLevel="0" collapsed="false">
      <c r="B1241" s="53"/>
      <c r="I1241" s="53"/>
      <c r="U1241" s="31" t="n">
        <f aca="false">IF($B1241='設定（最初に1回）'!$C$4,N(U1240)+1,N(U1240))</f>
        <v>134</v>
      </c>
    </row>
    <row r="1242" customFormat="false" ht="15" hidden="false" customHeight="false" outlineLevel="0" collapsed="false">
      <c r="B1242" s="53"/>
      <c r="I1242" s="53"/>
      <c r="U1242" s="31" t="n">
        <f aca="false">IF($B1242='設定（最初に1回）'!$C$4,N(U1241)+1,N(U1241))</f>
        <v>134</v>
      </c>
    </row>
    <row r="1243" customFormat="false" ht="15" hidden="false" customHeight="false" outlineLevel="0" collapsed="false">
      <c r="B1243" s="53"/>
      <c r="I1243" s="53"/>
      <c r="U1243" s="31" t="n">
        <f aca="false">IF($B1243='設定（最初に1回）'!$C$4,N(U1242)+1,N(U1242))</f>
        <v>134</v>
      </c>
    </row>
    <row r="1244" customFormat="false" ht="15" hidden="false" customHeight="false" outlineLevel="0" collapsed="false">
      <c r="B1244" s="53"/>
      <c r="I1244" s="53"/>
      <c r="U1244" s="31" t="n">
        <f aca="false">IF($B1244='設定（最初に1回）'!$C$4,N(U1243)+1,N(U1243))</f>
        <v>134</v>
      </c>
    </row>
    <row r="1245" customFormat="false" ht="15" hidden="false" customHeight="false" outlineLevel="0" collapsed="false">
      <c r="B1245" s="53"/>
      <c r="I1245" s="53"/>
      <c r="U1245" s="31" t="n">
        <f aca="false">IF($B1245='設定（最初に1回）'!$C$4,N(U1244)+1,N(U1244))</f>
        <v>134</v>
      </c>
    </row>
    <row r="1246" customFormat="false" ht="15" hidden="false" customHeight="false" outlineLevel="0" collapsed="false">
      <c r="B1246" s="53"/>
      <c r="I1246" s="53"/>
      <c r="U1246" s="31" t="n">
        <f aca="false">IF($B1246='設定（最初に1回）'!$C$4,N(U1245)+1,N(U1245))</f>
        <v>134</v>
      </c>
    </row>
    <row r="1247" customFormat="false" ht="15" hidden="false" customHeight="false" outlineLevel="0" collapsed="false">
      <c r="B1247" s="53"/>
      <c r="I1247" s="53"/>
      <c r="U1247" s="31" t="n">
        <f aca="false">IF($B1247='設定（最初に1回）'!$C$4,N(U1246)+1,N(U1246))</f>
        <v>134</v>
      </c>
    </row>
    <row r="1248" customFormat="false" ht="15" hidden="false" customHeight="false" outlineLevel="0" collapsed="false">
      <c r="B1248" s="53"/>
      <c r="I1248" s="53"/>
      <c r="U1248" s="31" t="n">
        <f aca="false">IF($B1248='設定（最初に1回）'!$C$4,N(U1247)+1,N(U1247))</f>
        <v>134</v>
      </c>
    </row>
    <row r="1249" customFormat="false" ht="15" hidden="false" customHeight="false" outlineLevel="0" collapsed="false">
      <c r="B1249" s="53"/>
      <c r="I1249" s="53"/>
      <c r="U1249" s="31" t="n">
        <f aca="false">IF($B1249='設定（最初に1回）'!$C$4,N(U1248)+1,N(U1248))</f>
        <v>134</v>
      </c>
    </row>
    <row r="1250" customFormat="false" ht="15" hidden="false" customHeight="false" outlineLevel="0" collapsed="false">
      <c r="B1250" s="53"/>
      <c r="I1250" s="53"/>
      <c r="U1250" s="31" t="n">
        <f aca="false">IF($B1250='設定（最初に1回）'!$C$4,N(U1249)+1,N(U1249))</f>
        <v>134</v>
      </c>
    </row>
    <row r="1251" customFormat="false" ht="15" hidden="false" customHeight="false" outlineLevel="0" collapsed="false">
      <c r="B1251" s="53"/>
      <c r="I1251" s="53"/>
      <c r="U1251" s="31" t="n">
        <f aca="false">IF($B1251='設定（最初に1回）'!$C$4,N(U1250)+1,N(U1250))</f>
        <v>134</v>
      </c>
    </row>
    <row r="1252" customFormat="false" ht="15" hidden="false" customHeight="false" outlineLevel="0" collapsed="false">
      <c r="B1252" s="53"/>
      <c r="I1252" s="53"/>
      <c r="U1252" s="31" t="n">
        <f aca="false">IF($B1252='設定（最初に1回）'!$C$4,N(U1251)+1,N(U1251))</f>
        <v>134</v>
      </c>
    </row>
    <row r="1253" customFormat="false" ht="15" hidden="false" customHeight="false" outlineLevel="0" collapsed="false">
      <c r="B1253" s="53"/>
      <c r="I1253" s="53"/>
      <c r="U1253" s="31" t="n">
        <f aca="false">IF($B1253='設定（最初に1回）'!$C$4,N(U1252)+1,N(U1252))</f>
        <v>134</v>
      </c>
    </row>
    <row r="1254" customFormat="false" ht="15" hidden="false" customHeight="false" outlineLevel="0" collapsed="false">
      <c r="B1254" s="53"/>
      <c r="I1254" s="53"/>
      <c r="U1254" s="31" t="n">
        <f aca="false">IF($B1254='設定（最初に1回）'!$C$4,N(U1253)+1,N(U1253))</f>
        <v>134</v>
      </c>
    </row>
    <row r="1255" customFormat="false" ht="15" hidden="false" customHeight="false" outlineLevel="0" collapsed="false">
      <c r="B1255" s="53"/>
      <c r="I1255" s="53"/>
      <c r="U1255" s="31" t="n">
        <f aca="false">IF($B1255='設定（最初に1回）'!$C$4,N(U1254)+1,N(U1254))</f>
        <v>134</v>
      </c>
    </row>
    <row r="1256" customFormat="false" ht="15" hidden="false" customHeight="false" outlineLevel="0" collapsed="false">
      <c r="B1256" s="53"/>
      <c r="I1256" s="53"/>
      <c r="U1256" s="31" t="n">
        <f aca="false">IF($B1256='設定（最初に1回）'!$C$4,N(U1255)+1,N(U1255))</f>
        <v>134</v>
      </c>
    </row>
    <row r="1257" customFormat="false" ht="15" hidden="false" customHeight="false" outlineLevel="0" collapsed="false">
      <c r="B1257" s="53"/>
      <c r="I1257" s="53"/>
      <c r="U1257" s="31" t="n">
        <f aca="false">IF($B1257='設定（最初に1回）'!$C$4,N(U1256)+1,N(U1256))</f>
        <v>134</v>
      </c>
    </row>
    <row r="1258" customFormat="false" ht="15" hidden="false" customHeight="false" outlineLevel="0" collapsed="false">
      <c r="B1258" s="53"/>
      <c r="I1258" s="53"/>
      <c r="U1258" s="31" t="n">
        <f aca="false">IF($B1258='設定（最初に1回）'!$C$4,N(U1257)+1,N(U1257))</f>
        <v>134</v>
      </c>
    </row>
    <row r="1259" customFormat="false" ht="15" hidden="false" customHeight="false" outlineLevel="0" collapsed="false">
      <c r="B1259" s="53"/>
      <c r="I1259" s="53"/>
      <c r="U1259" s="31" t="n">
        <f aca="false">IF($B1259='設定（最初に1回）'!$C$4,N(U1258)+1,N(U1258))</f>
        <v>134</v>
      </c>
    </row>
    <row r="1260" customFormat="false" ht="15" hidden="false" customHeight="false" outlineLevel="0" collapsed="false">
      <c r="B1260" s="53"/>
      <c r="I1260" s="53"/>
      <c r="U1260" s="31" t="n">
        <f aca="false">IF($B1260='設定（最初に1回）'!$C$4,N(U1259)+1,N(U1259))</f>
        <v>134</v>
      </c>
    </row>
    <row r="1261" customFormat="false" ht="15" hidden="false" customHeight="false" outlineLevel="0" collapsed="false">
      <c r="B1261" s="53"/>
      <c r="I1261" s="53"/>
      <c r="U1261" s="31" t="n">
        <f aca="false">IF($B1261='設定（最初に1回）'!$C$4,N(U1260)+1,N(U1260))</f>
        <v>134</v>
      </c>
    </row>
    <row r="1262" customFormat="false" ht="15" hidden="false" customHeight="false" outlineLevel="0" collapsed="false">
      <c r="B1262" s="53"/>
      <c r="I1262" s="53"/>
      <c r="U1262" s="31" t="n">
        <f aca="false">IF($B1262='設定（最初に1回）'!$C$4,N(U1261)+1,N(U1261))</f>
        <v>134</v>
      </c>
    </row>
    <row r="1263" customFormat="false" ht="15" hidden="false" customHeight="false" outlineLevel="0" collapsed="false">
      <c r="B1263" s="53"/>
      <c r="I1263" s="53"/>
      <c r="U1263" s="31" t="n">
        <f aca="false">IF($B1263='設定（最初に1回）'!$C$4,N(U1262)+1,N(U1262))</f>
        <v>134</v>
      </c>
    </row>
    <row r="1264" customFormat="false" ht="15" hidden="false" customHeight="false" outlineLevel="0" collapsed="false">
      <c r="B1264" s="53"/>
      <c r="I1264" s="53"/>
      <c r="U1264" s="31" t="n">
        <f aca="false">IF($B1264='設定（最初に1回）'!$C$4,N(U1263)+1,N(U1263))</f>
        <v>134</v>
      </c>
    </row>
    <row r="1265" customFormat="false" ht="15" hidden="false" customHeight="false" outlineLevel="0" collapsed="false">
      <c r="B1265" s="53"/>
      <c r="I1265" s="53"/>
      <c r="U1265" s="31" t="n">
        <f aca="false">IF($B1265='設定（最初に1回）'!$C$4,N(U1264)+1,N(U1264))</f>
        <v>134</v>
      </c>
    </row>
    <row r="1266" customFormat="false" ht="15" hidden="false" customHeight="false" outlineLevel="0" collapsed="false">
      <c r="B1266" s="53"/>
      <c r="I1266" s="53"/>
      <c r="U1266" s="31" t="n">
        <f aca="false">IF($B1266='設定（最初に1回）'!$C$4,N(U1265)+1,N(U1265))</f>
        <v>134</v>
      </c>
    </row>
    <row r="1267" customFormat="false" ht="15" hidden="false" customHeight="false" outlineLevel="0" collapsed="false">
      <c r="B1267" s="53"/>
      <c r="I1267" s="53"/>
      <c r="U1267" s="31" t="n">
        <f aca="false">IF($B1267='設定（最初に1回）'!$C$4,N(U1266)+1,N(U1266))</f>
        <v>134</v>
      </c>
    </row>
    <row r="1268" customFormat="false" ht="15" hidden="false" customHeight="false" outlineLevel="0" collapsed="false">
      <c r="B1268" s="53"/>
      <c r="I1268" s="53"/>
      <c r="U1268" s="31" t="n">
        <f aca="false">IF($B1268='設定（最初に1回）'!$C$4,N(U1267)+1,N(U1267))</f>
        <v>134</v>
      </c>
    </row>
    <row r="1269" customFormat="false" ht="15" hidden="false" customHeight="false" outlineLevel="0" collapsed="false">
      <c r="B1269" s="53"/>
      <c r="I1269" s="53"/>
      <c r="U1269" s="31" t="n">
        <f aca="false">IF($B1269='設定（最初に1回）'!$C$4,N(U1268)+1,N(U1268))</f>
        <v>134</v>
      </c>
    </row>
    <row r="1270" customFormat="false" ht="15" hidden="false" customHeight="false" outlineLevel="0" collapsed="false">
      <c r="B1270" s="53"/>
      <c r="I1270" s="53"/>
      <c r="U1270" s="31" t="n">
        <f aca="false">IF($B1270='設定（最初に1回）'!$C$4,N(U1269)+1,N(U1269))</f>
        <v>134</v>
      </c>
    </row>
    <row r="1271" customFormat="false" ht="15" hidden="false" customHeight="false" outlineLevel="0" collapsed="false">
      <c r="B1271" s="53"/>
      <c r="I1271" s="53"/>
      <c r="U1271" s="31" t="n">
        <f aca="false">IF($B1271='設定（最初に1回）'!$C$4,N(U1270)+1,N(U1270))</f>
        <v>134</v>
      </c>
    </row>
    <row r="1272" customFormat="false" ht="15" hidden="false" customHeight="false" outlineLevel="0" collapsed="false">
      <c r="B1272" s="53"/>
      <c r="I1272" s="53"/>
      <c r="U1272" s="31" t="n">
        <f aca="false">IF($B1272='設定（最初に1回）'!$C$4,N(U1271)+1,N(U1271))</f>
        <v>134</v>
      </c>
    </row>
    <row r="1273" customFormat="false" ht="15" hidden="false" customHeight="false" outlineLevel="0" collapsed="false">
      <c r="B1273" s="53"/>
      <c r="I1273" s="53"/>
      <c r="U1273" s="31" t="n">
        <f aca="false">IF($B1273='設定（最初に1回）'!$C$4,N(U1272)+1,N(U1272))</f>
        <v>134</v>
      </c>
    </row>
    <row r="1274" customFormat="false" ht="15" hidden="false" customHeight="false" outlineLevel="0" collapsed="false">
      <c r="B1274" s="53"/>
      <c r="I1274" s="53"/>
      <c r="U1274" s="31" t="n">
        <f aca="false">IF($B1274='設定（最初に1回）'!$C$4,N(U1273)+1,N(U1273))</f>
        <v>134</v>
      </c>
    </row>
    <row r="1275" customFormat="false" ht="15" hidden="false" customHeight="false" outlineLevel="0" collapsed="false">
      <c r="B1275" s="53"/>
      <c r="I1275" s="53"/>
      <c r="U1275" s="31" t="n">
        <f aca="false">IF($B1275='設定（最初に1回）'!$C$4,N(U1274)+1,N(U1274))</f>
        <v>134</v>
      </c>
    </row>
    <row r="1276" customFormat="false" ht="15" hidden="false" customHeight="false" outlineLevel="0" collapsed="false">
      <c r="B1276" s="53"/>
      <c r="I1276" s="53"/>
      <c r="U1276" s="31" t="n">
        <f aca="false">IF($B1276='設定（最初に1回）'!$C$4,N(U1275)+1,N(U1275))</f>
        <v>134</v>
      </c>
    </row>
    <row r="1277" customFormat="false" ht="15" hidden="false" customHeight="false" outlineLevel="0" collapsed="false">
      <c r="B1277" s="53"/>
      <c r="I1277" s="53"/>
      <c r="U1277" s="31" t="n">
        <f aca="false">IF($B1277='設定（最初に1回）'!$C$4,N(U1276)+1,N(U1276))</f>
        <v>134</v>
      </c>
    </row>
    <row r="1278" customFormat="false" ht="15" hidden="false" customHeight="false" outlineLevel="0" collapsed="false">
      <c r="B1278" s="53"/>
      <c r="I1278" s="53"/>
      <c r="U1278" s="31" t="n">
        <f aca="false">IF($B1278='設定（最初に1回）'!$C$4,N(U1277)+1,N(U1277))</f>
        <v>134</v>
      </c>
    </row>
    <row r="1279" customFormat="false" ht="15" hidden="false" customHeight="false" outlineLevel="0" collapsed="false">
      <c r="B1279" s="53"/>
      <c r="I1279" s="53"/>
      <c r="U1279" s="31" t="n">
        <f aca="false">IF($B1279='設定（最初に1回）'!$C$4,N(U1278)+1,N(U1278))</f>
        <v>134</v>
      </c>
    </row>
    <row r="1280" customFormat="false" ht="15" hidden="false" customHeight="false" outlineLevel="0" collapsed="false">
      <c r="B1280" s="53"/>
      <c r="I1280" s="53"/>
      <c r="U1280" s="31" t="n">
        <f aca="false">IF($B1280='設定（最初に1回）'!$C$4,N(U1279)+1,N(U1279))</f>
        <v>134</v>
      </c>
    </row>
    <row r="1281" customFormat="false" ht="15" hidden="false" customHeight="false" outlineLevel="0" collapsed="false">
      <c r="B1281" s="53"/>
      <c r="I1281" s="53"/>
      <c r="U1281" s="31" t="n">
        <f aca="false">IF($B1281='設定（最初に1回）'!$C$4,N(U1280)+1,N(U1280))</f>
        <v>134</v>
      </c>
    </row>
    <row r="1282" customFormat="false" ht="15" hidden="false" customHeight="false" outlineLevel="0" collapsed="false">
      <c r="B1282" s="53"/>
      <c r="I1282" s="53"/>
      <c r="U1282" s="31" t="n">
        <f aca="false">IF($B1282='設定（最初に1回）'!$C$4,N(U1281)+1,N(U1281))</f>
        <v>134</v>
      </c>
    </row>
    <row r="1283" customFormat="false" ht="15" hidden="false" customHeight="false" outlineLevel="0" collapsed="false">
      <c r="B1283" s="53"/>
      <c r="I1283" s="53"/>
      <c r="U1283" s="31" t="n">
        <f aca="false">IF($B1283='設定（最初に1回）'!$C$4,N(U1282)+1,N(U1282))</f>
        <v>134</v>
      </c>
    </row>
    <row r="1284" customFormat="false" ht="15" hidden="false" customHeight="false" outlineLevel="0" collapsed="false">
      <c r="B1284" s="53"/>
      <c r="I1284" s="53"/>
      <c r="U1284" s="31" t="n">
        <f aca="false">IF($B1284='設定（最初に1回）'!$C$4,N(U1283)+1,N(U1283))</f>
        <v>134</v>
      </c>
    </row>
    <row r="1285" customFormat="false" ht="15" hidden="false" customHeight="false" outlineLevel="0" collapsed="false">
      <c r="B1285" s="53"/>
      <c r="I1285" s="53"/>
      <c r="U1285" s="31" t="n">
        <f aca="false">IF($B1285='設定（最初に1回）'!$C$4,N(U1284)+1,N(U1284))</f>
        <v>134</v>
      </c>
    </row>
    <row r="1286" customFormat="false" ht="15" hidden="false" customHeight="false" outlineLevel="0" collapsed="false">
      <c r="B1286" s="53"/>
      <c r="I1286" s="53"/>
      <c r="U1286" s="31" t="n">
        <f aca="false">IF($B1286='設定（最初に1回）'!$C$4,N(U1285)+1,N(U1285))</f>
        <v>134</v>
      </c>
    </row>
    <row r="1287" customFormat="false" ht="15" hidden="false" customHeight="false" outlineLevel="0" collapsed="false">
      <c r="B1287" s="53"/>
      <c r="I1287" s="53"/>
      <c r="U1287" s="31" t="n">
        <f aca="false">IF($B1287='設定（最初に1回）'!$C$4,N(U1286)+1,N(U1286))</f>
        <v>134</v>
      </c>
    </row>
    <row r="1288" customFormat="false" ht="15" hidden="false" customHeight="false" outlineLevel="0" collapsed="false">
      <c r="B1288" s="53"/>
      <c r="I1288" s="53"/>
      <c r="U1288" s="31" t="n">
        <f aca="false">IF($B1288='設定（最初に1回）'!$C$4,N(U1287)+1,N(U1287))</f>
        <v>134</v>
      </c>
    </row>
    <row r="1289" customFormat="false" ht="15" hidden="false" customHeight="false" outlineLevel="0" collapsed="false">
      <c r="B1289" s="53"/>
      <c r="I1289" s="53"/>
      <c r="U1289" s="31" t="n">
        <f aca="false">IF($B1289='設定（最初に1回）'!$C$4,N(U1288)+1,N(U1288))</f>
        <v>134</v>
      </c>
    </row>
    <row r="1290" customFormat="false" ht="15" hidden="false" customHeight="false" outlineLevel="0" collapsed="false">
      <c r="B1290" s="53"/>
      <c r="I1290" s="53"/>
      <c r="U1290" s="31" t="n">
        <f aca="false">IF($B1290='設定（最初に1回）'!$C$4,N(U1289)+1,N(U1289))</f>
        <v>134</v>
      </c>
    </row>
    <row r="1291" customFormat="false" ht="15" hidden="false" customHeight="false" outlineLevel="0" collapsed="false">
      <c r="B1291" s="53"/>
      <c r="I1291" s="53"/>
      <c r="U1291" s="31" t="n">
        <f aca="false">IF($B1291='設定（最初に1回）'!$C$4,N(U1290)+1,N(U1290))</f>
        <v>134</v>
      </c>
    </row>
    <row r="1292" customFormat="false" ht="15" hidden="false" customHeight="false" outlineLevel="0" collapsed="false">
      <c r="B1292" s="53"/>
      <c r="I1292" s="53"/>
      <c r="U1292" s="31" t="n">
        <f aca="false">IF($B1292='設定（最初に1回）'!$C$4,N(U1291)+1,N(U1291))</f>
        <v>134</v>
      </c>
    </row>
    <row r="1293" customFormat="false" ht="15" hidden="false" customHeight="false" outlineLevel="0" collapsed="false">
      <c r="B1293" s="53"/>
      <c r="I1293" s="53"/>
      <c r="U1293" s="31" t="n">
        <f aca="false">IF($B1293='設定（最初に1回）'!$C$4,N(U1292)+1,N(U1292))</f>
        <v>134</v>
      </c>
    </row>
    <row r="1294" customFormat="false" ht="15" hidden="false" customHeight="false" outlineLevel="0" collapsed="false">
      <c r="B1294" s="53"/>
      <c r="I1294" s="53"/>
      <c r="U1294" s="31" t="n">
        <f aca="false">IF($B1294='設定（最初に1回）'!$C$4,N(U1293)+1,N(U1293))</f>
        <v>134</v>
      </c>
    </row>
    <row r="1295" customFormat="false" ht="15" hidden="false" customHeight="false" outlineLevel="0" collapsed="false">
      <c r="B1295" s="53"/>
      <c r="I1295" s="53"/>
      <c r="U1295" s="31" t="n">
        <f aca="false">IF($B1295='設定（最初に1回）'!$C$4,N(U1294)+1,N(U1294))</f>
        <v>134</v>
      </c>
    </row>
    <row r="1296" customFormat="false" ht="15" hidden="false" customHeight="false" outlineLevel="0" collapsed="false">
      <c r="B1296" s="53"/>
      <c r="I1296" s="53"/>
      <c r="U1296" s="31" t="n">
        <f aca="false">IF($B1296='設定（最初に1回）'!$C$4,N(U1295)+1,N(U1295))</f>
        <v>134</v>
      </c>
    </row>
    <row r="1297" customFormat="false" ht="15" hidden="false" customHeight="false" outlineLevel="0" collapsed="false">
      <c r="B1297" s="53"/>
      <c r="I1297" s="53"/>
      <c r="U1297" s="31" t="n">
        <f aca="false">IF($B1297='設定（最初に1回）'!$C$4,N(U1296)+1,N(U1296))</f>
        <v>134</v>
      </c>
    </row>
    <row r="1298" customFormat="false" ht="15" hidden="false" customHeight="false" outlineLevel="0" collapsed="false">
      <c r="B1298" s="53"/>
      <c r="I1298" s="53"/>
      <c r="U1298" s="31" t="n">
        <f aca="false">IF($B1298='設定（最初に1回）'!$C$4,N(U1297)+1,N(U1297))</f>
        <v>134</v>
      </c>
    </row>
    <row r="1299" customFormat="false" ht="15" hidden="false" customHeight="false" outlineLevel="0" collapsed="false">
      <c r="B1299" s="53"/>
      <c r="I1299" s="53"/>
      <c r="U1299" s="31" t="n">
        <f aca="false">IF($B1299='設定（最初に1回）'!$C$4,N(U1298)+1,N(U1298))</f>
        <v>134</v>
      </c>
    </row>
    <row r="1300" customFormat="false" ht="15" hidden="false" customHeight="false" outlineLevel="0" collapsed="false">
      <c r="B1300" s="53"/>
      <c r="I1300" s="53"/>
      <c r="U1300" s="31" t="n">
        <f aca="false">IF($B1300='設定（最初に1回）'!$C$4,N(U1299)+1,N(U1299))</f>
        <v>134</v>
      </c>
    </row>
    <row r="1301" customFormat="false" ht="15" hidden="false" customHeight="false" outlineLevel="0" collapsed="false">
      <c r="B1301" s="53"/>
      <c r="I1301" s="53"/>
      <c r="U1301" s="31" t="n">
        <f aca="false">IF($B1301='設定（最初に1回）'!$C$4,N(U1300)+1,N(U1300))</f>
        <v>134</v>
      </c>
    </row>
    <row r="1302" customFormat="false" ht="15" hidden="false" customHeight="false" outlineLevel="0" collapsed="false">
      <c r="B1302" s="53"/>
      <c r="I1302" s="53"/>
      <c r="U1302" s="31" t="n">
        <f aca="false">IF($B1302='設定（最初に1回）'!$C$4,N(U1301)+1,N(U1301))</f>
        <v>134</v>
      </c>
    </row>
    <row r="1303" customFormat="false" ht="15" hidden="false" customHeight="false" outlineLevel="0" collapsed="false">
      <c r="B1303" s="53"/>
      <c r="I1303" s="53"/>
      <c r="U1303" s="31" t="n">
        <f aca="false">IF($B1303='設定（最初に1回）'!$C$4,N(U1302)+1,N(U1302))</f>
        <v>134</v>
      </c>
    </row>
    <row r="1304" customFormat="false" ht="15" hidden="false" customHeight="false" outlineLevel="0" collapsed="false">
      <c r="B1304" s="53"/>
      <c r="I1304" s="53"/>
      <c r="U1304" s="31" t="n">
        <f aca="false">IF($B1304='設定（最初に1回）'!$C$4,N(U1303)+1,N(U1303))</f>
        <v>134</v>
      </c>
    </row>
    <row r="1305" customFormat="false" ht="15" hidden="false" customHeight="false" outlineLevel="0" collapsed="false">
      <c r="B1305" s="53"/>
      <c r="I1305" s="53"/>
      <c r="U1305" s="31" t="n">
        <f aca="false">IF($B1305='設定（最初に1回）'!$C$4,N(U1304)+1,N(U1304))</f>
        <v>134</v>
      </c>
    </row>
    <row r="1306" customFormat="false" ht="15" hidden="false" customHeight="false" outlineLevel="0" collapsed="false">
      <c r="B1306" s="53"/>
      <c r="I1306" s="53"/>
      <c r="U1306" s="31" t="n">
        <f aca="false">IF($B1306='設定（最初に1回）'!$C$4,N(U1305)+1,N(U1305))</f>
        <v>134</v>
      </c>
    </row>
    <row r="1307" customFormat="false" ht="15" hidden="false" customHeight="false" outlineLevel="0" collapsed="false">
      <c r="B1307" s="53"/>
      <c r="I1307" s="53"/>
      <c r="U1307" s="31" t="n">
        <f aca="false">IF($B1307='設定（最初に1回）'!$C$4,N(U1306)+1,N(U1306))</f>
        <v>134</v>
      </c>
    </row>
    <row r="1308" customFormat="false" ht="15" hidden="false" customHeight="false" outlineLevel="0" collapsed="false">
      <c r="B1308" s="53"/>
      <c r="I1308" s="53"/>
      <c r="U1308" s="31" t="n">
        <f aca="false">IF($B1308='設定（最初に1回）'!$C$4,N(U1307)+1,N(U1307))</f>
        <v>134</v>
      </c>
    </row>
    <row r="1309" customFormat="false" ht="15" hidden="false" customHeight="false" outlineLevel="0" collapsed="false">
      <c r="B1309" s="53"/>
      <c r="I1309" s="53"/>
      <c r="U1309" s="31" t="n">
        <f aca="false">IF($B1309='設定（最初に1回）'!$C$4,N(U1308)+1,N(U1308))</f>
        <v>134</v>
      </c>
    </row>
    <row r="1310" customFormat="false" ht="15" hidden="false" customHeight="false" outlineLevel="0" collapsed="false">
      <c r="B1310" s="53"/>
      <c r="I1310" s="53"/>
      <c r="U1310" s="31" t="n">
        <f aca="false">IF($B1310='設定（最初に1回）'!$C$4,N(U1309)+1,N(U1309))</f>
        <v>134</v>
      </c>
    </row>
    <row r="1311" customFormat="false" ht="15" hidden="false" customHeight="false" outlineLevel="0" collapsed="false">
      <c r="B1311" s="53"/>
      <c r="I1311" s="53"/>
      <c r="U1311" s="31" t="n">
        <f aca="false">IF($B1311='設定（最初に1回）'!$C$4,N(U1310)+1,N(U1310))</f>
        <v>134</v>
      </c>
    </row>
    <row r="1312" customFormat="false" ht="15" hidden="false" customHeight="false" outlineLevel="0" collapsed="false">
      <c r="B1312" s="53"/>
      <c r="I1312" s="53"/>
      <c r="U1312" s="31" t="n">
        <f aca="false">IF($B1312='設定（最初に1回）'!$C$4,N(U1311)+1,N(U1311))</f>
        <v>134</v>
      </c>
    </row>
    <row r="1313" customFormat="false" ht="15" hidden="false" customHeight="false" outlineLevel="0" collapsed="false">
      <c r="B1313" s="53"/>
      <c r="I1313" s="53"/>
      <c r="U1313" s="31" t="n">
        <f aca="false">IF($B1313='設定（最初に1回）'!$C$4,N(U1312)+1,N(U1312))</f>
        <v>134</v>
      </c>
    </row>
    <row r="1314" customFormat="false" ht="15" hidden="false" customHeight="false" outlineLevel="0" collapsed="false">
      <c r="B1314" s="53"/>
      <c r="I1314" s="53"/>
      <c r="U1314" s="31" t="n">
        <f aca="false">IF($B1314='設定（最初に1回）'!$C$4,N(U1313)+1,N(U1313))</f>
        <v>134</v>
      </c>
    </row>
    <row r="1315" customFormat="false" ht="15" hidden="false" customHeight="false" outlineLevel="0" collapsed="false">
      <c r="B1315" s="53"/>
      <c r="I1315" s="53"/>
      <c r="U1315" s="31" t="n">
        <f aca="false">IF($B1315='設定（最初に1回）'!$C$4,N(U1314)+1,N(U1314))</f>
        <v>134</v>
      </c>
    </row>
    <row r="1316" customFormat="false" ht="15" hidden="false" customHeight="false" outlineLevel="0" collapsed="false">
      <c r="B1316" s="53"/>
      <c r="I1316" s="53"/>
      <c r="U1316" s="31" t="n">
        <f aca="false">IF($B1316='設定（最初に1回）'!$C$4,N(U1315)+1,N(U1315))</f>
        <v>134</v>
      </c>
    </row>
    <row r="1317" customFormat="false" ht="15" hidden="false" customHeight="false" outlineLevel="0" collapsed="false">
      <c r="B1317" s="53"/>
      <c r="I1317" s="53"/>
      <c r="U1317" s="31" t="n">
        <f aca="false">IF($B1317='設定（最初に1回）'!$C$4,N(U1316)+1,N(U1316))</f>
        <v>134</v>
      </c>
    </row>
    <row r="1318" customFormat="false" ht="15" hidden="false" customHeight="false" outlineLevel="0" collapsed="false">
      <c r="B1318" s="53"/>
      <c r="I1318" s="53"/>
      <c r="U1318" s="31" t="n">
        <f aca="false">IF($B1318='設定（最初に1回）'!$C$4,N(U1317)+1,N(U1317))</f>
        <v>134</v>
      </c>
    </row>
    <row r="1319" customFormat="false" ht="15" hidden="false" customHeight="false" outlineLevel="0" collapsed="false">
      <c r="B1319" s="53"/>
      <c r="I1319" s="53"/>
      <c r="U1319" s="31" t="n">
        <f aca="false">IF($B1319='設定（最初に1回）'!$C$4,N(U1318)+1,N(U1318))</f>
        <v>134</v>
      </c>
    </row>
    <row r="1320" customFormat="false" ht="15" hidden="false" customHeight="false" outlineLevel="0" collapsed="false">
      <c r="B1320" s="53"/>
      <c r="I1320" s="53"/>
      <c r="U1320" s="31" t="n">
        <f aca="false">IF($B1320='設定（最初に1回）'!$C$4,N(U1319)+1,N(U1319))</f>
        <v>134</v>
      </c>
    </row>
    <row r="1321" customFormat="false" ht="15" hidden="false" customHeight="false" outlineLevel="0" collapsed="false">
      <c r="B1321" s="53"/>
      <c r="I1321" s="53"/>
      <c r="U1321" s="31" t="n">
        <f aca="false">IF($B1321='設定（最初に1回）'!$C$4,N(U1320)+1,N(U1320))</f>
        <v>134</v>
      </c>
    </row>
    <row r="1322" customFormat="false" ht="15" hidden="false" customHeight="false" outlineLevel="0" collapsed="false">
      <c r="B1322" s="53"/>
      <c r="I1322" s="53"/>
      <c r="U1322" s="31" t="n">
        <f aca="false">IF($B1322='設定（最初に1回）'!$C$4,N(U1321)+1,N(U1321))</f>
        <v>134</v>
      </c>
    </row>
    <row r="1323" customFormat="false" ht="15" hidden="false" customHeight="false" outlineLevel="0" collapsed="false">
      <c r="B1323" s="53"/>
      <c r="I1323" s="53"/>
      <c r="U1323" s="31" t="n">
        <f aca="false">IF($B1323='設定（最初に1回）'!$C$4,N(U1322)+1,N(U1322))</f>
        <v>134</v>
      </c>
    </row>
    <row r="1324" customFormat="false" ht="15" hidden="false" customHeight="false" outlineLevel="0" collapsed="false">
      <c r="B1324" s="53"/>
      <c r="I1324" s="53"/>
      <c r="U1324" s="31" t="n">
        <f aca="false">IF($B1324='設定（最初に1回）'!$C$4,N(U1323)+1,N(U1323))</f>
        <v>134</v>
      </c>
    </row>
    <row r="1325" customFormat="false" ht="15" hidden="false" customHeight="false" outlineLevel="0" collapsed="false">
      <c r="B1325" s="53"/>
      <c r="I1325" s="53"/>
      <c r="U1325" s="31" t="n">
        <f aca="false">IF($B1325='設定（最初に1回）'!$C$4,N(U1324)+1,N(U1324))</f>
        <v>134</v>
      </c>
    </row>
    <row r="1326" customFormat="false" ht="15" hidden="false" customHeight="false" outlineLevel="0" collapsed="false">
      <c r="B1326" s="53"/>
      <c r="I1326" s="53"/>
      <c r="U1326" s="31" t="n">
        <f aca="false">IF($B1326='設定（最初に1回）'!$C$4,N(U1325)+1,N(U1325))</f>
        <v>134</v>
      </c>
    </row>
    <row r="1327" customFormat="false" ht="15" hidden="false" customHeight="false" outlineLevel="0" collapsed="false">
      <c r="B1327" s="53"/>
      <c r="I1327" s="53"/>
      <c r="U1327" s="31" t="n">
        <f aca="false">IF($B1327='設定（最初に1回）'!$C$4,N(U1326)+1,N(U1326))</f>
        <v>134</v>
      </c>
    </row>
    <row r="1328" customFormat="false" ht="15" hidden="false" customHeight="false" outlineLevel="0" collapsed="false">
      <c r="B1328" s="53"/>
      <c r="I1328" s="53"/>
      <c r="U1328" s="31" t="n">
        <f aca="false">IF($B1328='設定（最初に1回）'!$C$4,N(U1327)+1,N(U1327))</f>
        <v>134</v>
      </c>
    </row>
    <row r="1329" customFormat="false" ht="15" hidden="false" customHeight="false" outlineLevel="0" collapsed="false">
      <c r="B1329" s="53"/>
      <c r="I1329" s="53"/>
      <c r="U1329" s="31" t="n">
        <f aca="false">IF($B1329='設定（最初に1回）'!$C$4,N(U1328)+1,N(U1328))</f>
        <v>134</v>
      </c>
    </row>
    <row r="1330" customFormat="false" ht="15" hidden="false" customHeight="false" outlineLevel="0" collapsed="false">
      <c r="B1330" s="53"/>
      <c r="I1330" s="53"/>
      <c r="U1330" s="31" t="n">
        <f aca="false">IF($B1330='設定（最初に1回）'!$C$4,N(U1329)+1,N(U1329))</f>
        <v>134</v>
      </c>
    </row>
    <row r="1331" customFormat="false" ht="15" hidden="false" customHeight="false" outlineLevel="0" collapsed="false">
      <c r="B1331" s="53"/>
      <c r="I1331" s="53"/>
      <c r="U1331" s="31" t="n">
        <f aca="false">IF($B1331='設定（最初に1回）'!$C$4,N(U1330)+1,N(U1330))</f>
        <v>134</v>
      </c>
    </row>
    <row r="1332" customFormat="false" ht="15" hidden="false" customHeight="false" outlineLevel="0" collapsed="false">
      <c r="B1332" s="53"/>
      <c r="I1332" s="53"/>
      <c r="U1332" s="31" t="n">
        <f aca="false">IF($B1332='設定（最初に1回）'!$C$4,N(U1331)+1,N(U1331))</f>
        <v>134</v>
      </c>
    </row>
    <row r="1333" customFormat="false" ht="15" hidden="false" customHeight="false" outlineLevel="0" collapsed="false">
      <c r="B1333" s="53"/>
      <c r="I1333" s="53"/>
      <c r="U1333" s="31" t="n">
        <f aca="false">IF($B1333='設定（最初に1回）'!$C$4,N(U1332)+1,N(U1332))</f>
        <v>134</v>
      </c>
    </row>
    <row r="1334" customFormat="false" ht="15" hidden="false" customHeight="false" outlineLevel="0" collapsed="false">
      <c r="B1334" s="53"/>
      <c r="I1334" s="53"/>
      <c r="U1334" s="31" t="n">
        <f aca="false">IF($B1334='設定（最初に1回）'!$C$4,N(U1333)+1,N(U1333))</f>
        <v>134</v>
      </c>
    </row>
    <row r="1335" customFormat="false" ht="15" hidden="false" customHeight="false" outlineLevel="0" collapsed="false">
      <c r="B1335" s="53"/>
      <c r="I1335" s="53"/>
      <c r="U1335" s="31" t="n">
        <f aca="false">IF($B1335='設定（最初に1回）'!$C$4,N(U1334)+1,N(U1334))</f>
        <v>134</v>
      </c>
    </row>
    <row r="1336" customFormat="false" ht="15" hidden="false" customHeight="false" outlineLevel="0" collapsed="false">
      <c r="B1336" s="53"/>
      <c r="I1336" s="53"/>
      <c r="U1336" s="31" t="n">
        <f aca="false">IF($B1336='設定（最初に1回）'!$C$4,N(U1335)+1,N(U1335))</f>
        <v>134</v>
      </c>
    </row>
    <row r="1337" customFormat="false" ht="15" hidden="false" customHeight="false" outlineLevel="0" collapsed="false">
      <c r="B1337" s="53"/>
      <c r="I1337" s="53"/>
      <c r="U1337" s="31" t="n">
        <f aca="false">IF($B1337='設定（最初に1回）'!$C$4,N(U1336)+1,N(U1336))</f>
        <v>134</v>
      </c>
    </row>
    <row r="1338" customFormat="false" ht="15" hidden="false" customHeight="false" outlineLevel="0" collapsed="false">
      <c r="B1338" s="53"/>
      <c r="I1338" s="53"/>
      <c r="U1338" s="31" t="n">
        <f aca="false">IF($B1338='設定（最初に1回）'!$C$4,N(U1337)+1,N(U1337))</f>
        <v>134</v>
      </c>
    </row>
    <row r="1339" customFormat="false" ht="15" hidden="false" customHeight="false" outlineLevel="0" collapsed="false">
      <c r="B1339" s="53"/>
      <c r="I1339" s="53"/>
      <c r="U1339" s="31" t="n">
        <f aca="false">IF($B1339='設定（最初に1回）'!$C$4,N(U1338)+1,N(U1338))</f>
        <v>134</v>
      </c>
    </row>
    <row r="1340" customFormat="false" ht="15" hidden="false" customHeight="false" outlineLevel="0" collapsed="false">
      <c r="B1340" s="53"/>
      <c r="I1340" s="53"/>
      <c r="U1340" s="31" t="n">
        <f aca="false">IF($B1340='設定（最初に1回）'!$C$4,N(U1339)+1,N(U1339))</f>
        <v>134</v>
      </c>
    </row>
    <row r="1341" customFormat="false" ht="15" hidden="false" customHeight="false" outlineLevel="0" collapsed="false">
      <c r="B1341" s="53"/>
      <c r="I1341" s="53"/>
      <c r="U1341" s="31" t="n">
        <f aca="false">IF($B1341='設定（最初に1回）'!$C$4,N(U1340)+1,N(U1340))</f>
        <v>134</v>
      </c>
    </row>
    <row r="1342" customFormat="false" ht="15" hidden="false" customHeight="false" outlineLevel="0" collapsed="false">
      <c r="B1342" s="53"/>
      <c r="I1342" s="53"/>
      <c r="U1342" s="31" t="n">
        <f aca="false">IF($B1342='設定（最初に1回）'!$C$4,N(U1341)+1,N(U1341))</f>
        <v>134</v>
      </c>
    </row>
    <row r="1343" customFormat="false" ht="15" hidden="false" customHeight="false" outlineLevel="0" collapsed="false">
      <c r="B1343" s="53"/>
      <c r="I1343" s="53"/>
      <c r="U1343" s="31" t="n">
        <f aca="false">IF($B1343='設定（最初に1回）'!$C$4,N(U1342)+1,N(U1342))</f>
        <v>134</v>
      </c>
    </row>
    <row r="1344" customFormat="false" ht="15" hidden="false" customHeight="false" outlineLevel="0" collapsed="false">
      <c r="B1344" s="53"/>
      <c r="I1344" s="53"/>
      <c r="U1344" s="31" t="n">
        <f aca="false">IF($B1344='設定（最初に1回）'!$C$4,N(U1343)+1,N(U1343))</f>
        <v>134</v>
      </c>
    </row>
    <row r="1345" customFormat="false" ht="15" hidden="false" customHeight="false" outlineLevel="0" collapsed="false">
      <c r="B1345" s="53"/>
      <c r="I1345" s="53"/>
      <c r="U1345" s="31" t="n">
        <f aca="false">IF($B1345='設定（最初に1回）'!$C$4,N(U1344)+1,N(U1344))</f>
        <v>134</v>
      </c>
    </row>
    <row r="1346" customFormat="false" ht="15" hidden="false" customHeight="false" outlineLevel="0" collapsed="false">
      <c r="B1346" s="53"/>
      <c r="I1346" s="53"/>
      <c r="U1346" s="31" t="n">
        <f aca="false">IF($B1346='設定（最初に1回）'!$C$4,N(U1345)+1,N(U1345))</f>
        <v>134</v>
      </c>
    </row>
    <row r="1347" customFormat="false" ht="15" hidden="false" customHeight="false" outlineLevel="0" collapsed="false">
      <c r="B1347" s="53"/>
      <c r="I1347" s="53"/>
      <c r="U1347" s="31" t="n">
        <f aca="false">IF($B1347='設定（最初に1回）'!$C$4,N(U1346)+1,N(U1346))</f>
        <v>134</v>
      </c>
    </row>
    <row r="1348" customFormat="false" ht="15" hidden="false" customHeight="false" outlineLevel="0" collapsed="false">
      <c r="B1348" s="53"/>
      <c r="I1348" s="53"/>
      <c r="U1348" s="31" t="n">
        <f aca="false">IF($B1348='設定（最初に1回）'!$C$4,N(U1347)+1,N(U1347))</f>
        <v>134</v>
      </c>
    </row>
    <row r="1349" customFormat="false" ht="15" hidden="false" customHeight="false" outlineLevel="0" collapsed="false">
      <c r="B1349" s="53"/>
      <c r="I1349" s="53"/>
      <c r="U1349" s="31" t="n">
        <f aca="false">IF($B1349='設定（最初に1回）'!$C$4,N(U1348)+1,N(U1348))</f>
        <v>134</v>
      </c>
    </row>
    <row r="1350" customFormat="false" ht="15" hidden="false" customHeight="false" outlineLevel="0" collapsed="false">
      <c r="B1350" s="53"/>
      <c r="I1350" s="53"/>
      <c r="U1350" s="31" t="n">
        <f aca="false">IF($B1350='設定（最初に1回）'!$C$4,N(U1349)+1,N(U1349))</f>
        <v>134</v>
      </c>
    </row>
    <row r="1351" customFormat="false" ht="15" hidden="false" customHeight="false" outlineLevel="0" collapsed="false">
      <c r="B1351" s="53"/>
      <c r="I1351" s="53"/>
      <c r="U1351" s="31" t="n">
        <f aca="false">IF($B1351='設定（最初に1回）'!$C$4,N(U1350)+1,N(U1350))</f>
        <v>134</v>
      </c>
    </row>
    <row r="1352" customFormat="false" ht="15" hidden="false" customHeight="false" outlineLevel="0" collapsed="false">
      <c r="B1352" s="53"/>
      <c r="I1352" s="53"/>
      <c r="U1352" s="31" t="n">
        <f aca="false">IF($B1352='設定（最初に1回）'!$C$4,N(U1351)+1,N(U1351))</f>
        <v>134</v>
      </c>
    </row>
    <row r="1353" customFormat="false" ht="15" hidden="false" customHeight="false" outlineLevel="0" collapsed="false">
      <c r="B1353" s="53"/>
      <c r="I1353" s="53"/>
      <c r="U1353" s="31" t="n">
        <f aca="false">IF($B1353='設定（最初に1回）'!$C$4,N(U1352)+1,N(U1352))</f>
        <v>134</v>
      </c>
    </row>
    <row r="1354" customFormat="false" ht="15" hidden="false" customHeight="false" outlineLevel="0" collapsed="false">
      <c r="B1354" s="53"/>
      <c r="I1354" s="53"/>
      <c r="U1354" s="31" t="n">
        <f aca="false">IF($B1354='設定（最初に1回）'!$C$4,N(U1353)+1,N(U1353))</f>
        <v>134</v>
      </c>
    </row>
    <row r="1355" customFormat="false" ht="15" hidden="false" customHeight="false" outlineLevel="0" collapsed="false">
      <c r="B1355" s="53"/>
      <c r="I1355" s="53"/>
      <c r="U1355" s="31" t="n">
        <f aca="false">IF($B1355='設定（最初に1回）'!$C$4,N(U1354)+1,N(U1354))</f>
        <v>134</v>
      </c>
    </row>
    <row r="1356" customFormat="false" ht="15" hidden="false" customHeight="false" outlineLevel="0" collapsed="false">
      <c r="B1356" s="53"/>
      <c r="I1356" s="53"/>
      <c r="U1356" s="31" t="n">
        <f aca="false">IF($B1356='設定（最初に1回）'!$C$4,N(U1355)+1,N(U1355))</f>
        <v>134</v>
      </c>
    </row>
    <row r="1357" customFormat="false" ht="15" hidden="false" customHeight="false" outlineLevel="0" collapsed="false">
      <c r="B1357" s="53"/>
      <c r="I1357" s="53"/>
      <c r="U1357" s="31" t="n">
        <f aca="false">IF($B1357='設定（最初に1回）'!$C$4,N(U1356)+1,N(U1356))</f>
        <v>134</v>
      </c>
    </row>
    <row r="1358" customFormat="false" ht="15" hidden="false" customHeight="false" outlineLevel="0" collapsed="false">
      <c r="B1358" s="53"/>
      <c r="I1358" s="53"/>
      <c r="U1358" s="31" t="n">
        <f aca="false">IF($B1358='設定（最初に1回）'!$C$4,N(U1357)+1,N(U1357))</f>
        <v>134</v>
      </c>
    </row>
    <row r="1359" customFormat="false" ht="15" hidden="false" customHeight="false" outlineLevel="0" collapsed="false">
      <c r="B1359" s="53"/>
      <c r="I1359" s="53"/>
      <c r="U1359" s="31" t="n">
        <f aca="false">IF($B1359='設定（最初に1回）'!$C$4,N(U1358)+1,N(U1358))</f>
        <v>134</v>
      </c>
    </row>
    <row r="1360" customFormat="false" ht="15" hidden="false" customHeight="false" outlineLevel="0" collapsed="false">
      <c r="B1360" s="53"/>
      <c r="I1360" s="53"/>
      <c r="U1360" s="31" t="n">
        <f aca="false">IF($B1360='設定（最初に1回）'!$C$4,N(U1359)+1,N(U1359))</f>
        <v>134</v>
      </c>
    </row>
    <row r="1361" customFormat="false" ht="15" hidden="false" customHeight="false" outlineLevel="0" collapsed="false">
      <c r="B1361" s="53"/>
      <c r="I1361" s="53"/>
      <c r="U1361" s="31" t="n">
        <f aca="false">IF($B1361='設定（最初に1回）'!$C$4,N(U1360)+1,N(U1360))</f>
        <v>134</v>
      </c>
    </row>
    <row r="1362" customFormat="false" ht="15" hidden="false" customHeight="false" outlineLevel="0" collapsed="false">
      <c r="B1362" s="53"/>
      <c r="I1362" s="53"/>
      <c r="U1362" s="31" t="n">
        <f aca="false">IF($B1362='設定（最初に1回）'!$C$4,N(U1361)+1,N(U1361))</f>
        <v>134</v>
      </c>
    </row>
    <row r="1363" customFormat="false" ht="15" hidden="false" customHeight="false" outlineLevel="0" collapsed="false">
      <c r="B1363" s="53"/>
      <c r="I1363" s="53"/>
      <c r="U1363" s="31" t="n">
        <f aca="false">IF($B1363='設定（最初に1回）'!$C$4,N(U1362)+1,N(U1362))</f>
        <v>134</v>
      </c>
    </row>
    <row r="1364" customFormat="false" ht="15" hidden="false" customHeight="false" outlineLevel="0" collapsed="false">
      <c r="B1364" s="53"/>
      <c r="I1364" s="53"/>
      <c r="U1364" s="31" t="n">
        <f aca="false">IF($B1364='設定（最初に1回）'!$C$4,N(U1363)+1,N(U1363))</f>
        <v>134</v>
      </c>
    </row>
    <row r="1365" customFormat="false" ht="15" hidden="false" customHeight="false" outlineLevel="0" collapsed="false">
      <c r="B1365" s="53"/>
      <c r="I1365" s="53"/>
      <c r="U1365" s="31" t="n">
        <f aca="false">IF($B1365='設定（最初に1回）'!$C$4,N(U1364)+1,N(U1364))</f>
        <v>134</v>
      </c>
    </row>
    <row r="1366" customFormat="false" ht="15" hidden="false" customHeight="false" outlineLevel="0" collapsed="false">
      <c r="B1366" s="53"/>
      <c r="I1366" s="53"/>
      <c r="U1366" s="31" t="n">
        <f aca="false">IF($B1366='設定（最初に1回）'!$C$4,N(U1365)+1,N(U1365))</f>
        <v>134</v>
      </c>
    </row>
    <row r="1367" customFormat="false" ht="15" hidden="false" customHeight="false" outlineLevel="0" collapsed="false">
      <c r="B1367" s="53"/>
      <c r="I1367" s="53"/>
      <c r="U1367" s="31" t="n">
        <f aca="false">IF($B1367='設定（最初に1回）'!$C$4,N(U1366)+1,N(U1366))</f>
        <v>134</v>
      </c>
    </row>
    <row r="1368" customFormat="false" ht="15" hidden="false" customHeight="false" outlineLevel="0" collapsed="false">
      <c r="B1368" s="53"/>
      <c r="I1368" s="53"/>
      <c r="U1368" s="31" t="n">
        <f aca="false">IF($B1368='設定（最初に1回）'!$C$4,N(U1367)+1,N(U1367))</f>
        <v>134</v>
      </c>
    </row>
    <row r="1369" customFormat="false" ht="15" hidden="false" customHeight="false" outlineLevel="0" collapsed="false">
      <c r="B1369" s="53"/>
      <c r="I1369" s="53"/>
      <c r="U1369" s="31" t="n">
        <f aca="false">IF($B1369='設定（最初に1回）'!$C$4,N(U1368)+1,N(U1368))</f>
        <v>134</v>
      </c>
    </row>
    <row r="1370" customFormat="false" ht="15" hidden="false" customHeight="false" outlineLevel="0" collapsed="false">
      <c r="B1370" s="53"/>
      <c r="I1370" s="53"/>
      <c r="U1370" s="31" t="n">
        <f aca="false">IF($B1370='設定（最初に1回）'!$C$4,N(U1369)+1,N(U1369))</f>
        <v>134</v>
      </c>
    </row>
    <row r="1371" customFormat="false" ht="15" hidden="false" customHeight="false" outlineLevel="0" collapsed="false">
      <c r="B1371" s="53"/>
      <c r="I1371" s="53"/>
      <c r="U1371" s="31" t="n">
        <f aca="false">IF($B1371='設定（最初に1回）'!$C$4,N(U1370)+1,N(U1370))</f>
        <v>134</v>
      </c>
    </row>
    <row r="1372" customFormat="false" ht="15" hidden="false" customHeight="false" outlineLevel="0" collapsed="false">
      <c r="B1372" s="53"/>
      <c r="I1372" s="53"/>
      <c r="U1372" s="31" t="n">
        <f aca="false">IF($B1372='設定（最初に1回）'!$C$4,N(U1371)+1,N(U1371))</f>
        <v>134</v>
      </c>
    </row>
    <row r="1373" customFormat="false" ht="15" hidden="false" customHeight="false" outlineLevel="0" collapsed="false">
      <c r="B1373" s="53"/>
      <c r="I1373" s="53"/>
      <c r="U1373" s="31" t="n">
        <f aca="false">IF($B1373='設定（最初に1回）'!$C$4,N(U1372)+1,N(U1372))</f>
        <v>134</v>
      </c>
    </row>
    <row r="1374" customFormat="false" ht="15" hidden="false" customHeight="false" outlineLevel="0" collapsed="false">
      <c r="B1374" s="53"/>
      <c r="I1374" s="53"/>
      <c r="U1374" s="31" t="n">
        <f aca="false">IF($B1374='設定（最初に1回）'!$C$4,N(U1373)+1,N(U1373))</f>
        <v>134</v>
      </c>
    </row>
    <row r="1375" customFormat="false" ht="15" hidden="false" customHeight="false" outlineLevel="0" collapsed="false">
      <c r="B1375" s="53"/>
      <c r="I1375" s="53"/>
      <c r="U1375" s="31" t="n">
        <f aca="false">IF($B1375='設定（最初に1回）'!$C$4,N(U1374)+1,N(U1374))</f>
        <v>134</v>
      </c>
    </row>
    <row r="1376" customFormat="false" ht="15" hidden="false" customHeight="false" outlineLevel="0" collapsed="false">
      <c r="B1376" s="53"/>
      <c r="I1376" s="53"/>
      <c r="U1376" s="31" t="n">
        <f aca="false">IF($B1376='設定（最初に1回）'!$C$4,N(U1375)+1,N(U1375))</f>
        <v>134</v>
      </c>
    </row>
    <row r="1377" customFormat="false" ht="15" hidden="false" customHeight="false" outlineLevel="0" collapsed="false">
      <c r="B1377" s="53"/>
      <c r="I1377" s="53"/>
      <c r="U1377" s="31" t="n">
        <f aca="false">IF($B1377='設定（最初に1回）'!$C$4,N(U1376)+1,N(U1376))</f>
        <v>134</v>
      </c>
    </row>
    <row r="1378" customFormat="false" ht="15" hidden="false" customHeight="false" outlineLevel="0" collapsed="false">
      <c r="B1378" s="53"/>
      <c r="I1378" s="53"/>
      <c r="U1378" s="31" t="n">
        <f aca="false">IF($B1378='設定（最初に1回）'!$C$4,N(U1377)+1,N(U1377))</f>
        <v>134</v>
      </c>
    </row>
    <row r="1379" customFormat="false" ht="15" hidden="false" customHeight="false" outlineLevel="0" collapsed="false">
      <c r="B1379" s="53"/>
      <c r="I1379" s="53"/>
      <c r="U1379" s="31" t="n">
        <f aca="false">IF($B1379='設定（最初に1回）'!$C$4,N(U1378)+1,N(U1378))</f>
        <v>134</v>
      </c>
    </row>
    <row r="1380" customFormat="false" ht="15" hidden="false" customHeight="false" outlineLevel="0" collapsed="false">
      <c r="B1380" s="53"/>
      <c r="I1380" s="53"/>
      <c r="U1380" s="31" t="n">
        <f aca="false">IF($B1380='設定（最初に1回）'!$C$4,N(U1379)+1,N(U1379))</f>
        <v>134</v>
      </c>
    </row>
    <row r="1381" customFormat="false" ht="15" hidden="false" customHeight="false" outlineLevel="0" collapsed="false">
      <c r="B1381" s="53"/>
      <c r="I1381" s="53"/>
      <c r="U1381" s="31" t="n">
        <f aca="false">IF($B1381='設定（最初に1回）'!$C$4,N(U1380)+1,N(U1380))</f>
        <v>134</v>
      </c>
    </row>
    <row r="1382" customFormat="false" ht="15" hidden="false" customHeight="false" outlineLevel="0" collapsed="false">
      <c r="B1382" s="53"/>
      <c r="I1382" s="53"/>
      <c r="U1382" s="31" t="n">
        <f aca="false">IF($B1382='設定（最初に1回）'!$C$4,N(U1381)+1,N(U1381))</f>
        <v>134</v>
      </c>
    </row>
    <row r="1383" customFormat="false" ht="15" hidden="false" customHeight="false" outlineLevel="0" collapsed="false">
      <c r="B1383" s="53"/>
      <c r="I1383" s="53"/>
      <c r="U1383" s="31" t="n">
        <f aca="false">IF($B1383='設定（最初に1回）'!$C$4,N(U1382)+1,N(U1382))</f>
        <v>134</v>
      </c>
    </row>
    <row r="1384" customFormat="false" ht="15" hidden="false" customHeight="false" outlineLevel="0" collapsed="false">
      <c r="B1384" s="53"/>
      <c r="I1384" s="53"/>
      <c r="U1384" s="31" t="n">
        <f aca="false">IF($B1384='設定（最初に1回）'!$C$4,N(U1383)+1,N(U1383))</f>
        <v>134</v>
      </c>
    </row>
    <row r="1385" customFormat="false" ht="15" hidden="false" customHeight="false" outlineLevel="0" collapsed="false">
      <c r="B1385" s="53"/>
      <c r="I1385" s="53"/>
      <c r="U1385" s="31" t="n">
        <f aca="false">IF($B1385='設定（最初に1回）'!$C$4,N(U1384)+1,N(U1384))</f>
        <v>134</v>
      </c>
    </row>
    <row r="1386" customFormat="false" ht="15" hidden="false" customHeight="false" outlineLevel="0" collapsed="false">
      <c r="B1386" s="53"/>
      <c r="I1386" s="53"/>
      <c r="U1386" s="31" t="n">
        <f aca="false">IF($B1386='設定（最初に1回）'!$C$4,N(U1385)+1,N(U1385))</f>
        <v>134</v>
      </c>
    </row>
    <row r="1387" customFormat="false" ht="15" hidden="false" customHeight="false" outlineLevel="0" collapsed="false">
      <c r="B1387" s="53"/>
      <c r="I1387" s="53"/>
      <c r="U1387" s="31" t="n">
        <f aca="false">IF($B1387='設定（最初に1回）'!$C$4,N(U1386)+1,N(U1386))</f>
        <v>134</v>
      </c>
    </row>
    <row r="1388" customFormat="false" ht="15" hidden="false" customHeight="false" outlineLevel="0" collapsed="false">
      <c r="B1388" s="53"/>
      <c r="I1388" s="53"/>
      <c r="U1388" s="31" t="n">
        <f aca="false">IF($B1388='設定（最初に1回）'!$C$4,N(U1387)+1,N(U1387))</f>
        <v>134</v>
      </c>
    </row>
    <row r="1389" customFormat="false" ht="15" hidden="false" customHeight="false" outlineLevel="0" collapsed="false">
      <c r="B1389" s="53"/>
      <c r="I1389" s="53"/>
      <c r="U1389" s="31" t="n">
        <f aca="false">IF($B1389='設定（最初に1回）'!$C$4,N(U1388)+1,N(U1388))</f>
        <v>134</v>
      </c>
    </row>
    <row r="1390" customFormat="false" ht="15" hidden="false" customHeight="false" outlineLevel="0" collapsed="false">
      <c r="B1390" s="53"/>
      <c r="I1390" s="53"/>
      <c r="U1390" s="31" t="n">
        <f aca="false">IF($B1390='設定（最初に1回）'!$C$4,N(U1389)+1,N(U1389))</f>
        <v>134</v>
      </c>
    </row>
    <row r="1391" customFormat="false" ht="15" hidden="false" customHeight="false" outlineLevel="0" collapsed="false">
      <c r="B1391" s="53"/>
      <c r="I1391" s="53"/>
      <c r="U1391" s="31" t="n">
        <f aca="false">IF($B1391='設定（最初に1回）'!$C$4,N(U1390)+1,N(U1390))</f>
        <v>134</v>
      </c>
    </row>
    <row r="1392" customFormat="false" ht="15" hidden="false" customHeight="false" outlineLevel="0" collapsed="false">
      <c r="B1392" s="53"/>
      <c r="I1392" s="53"/>
      <c r="U1392" s="31" t="n">
        <f aca="false">IF($B1392='設定（最初に1回）'!$C$4,N(U1391)+1,N(U1391))</f>
        <v>134</v>
      </c>
    </row>
    <row r="1393" customFormat="false" ht="15" hidden="false" customHeight="false" outlineLevel="0" collapsed="false">
      <c r="B1393" s="53"/>
      <c r="I1393" s="53"/>
      <c r="U1393" s="31" t="n">
        <f aca="false">IF($B1393='設定（最初に1回）'!$C$4,N(U1392)+1,N(U1392))</f>
        <v>134</v>
      </c>
    </row>
    <row r="1394" customFormat="false" ht="15" hidden="false" customHeight="false" outlineLevel="0" collapsed="false">
      <c r="B1394" s="53"/>
      <c r="I1394" s="53"/>
      <c r="U1394" s="31" t="n">
        <f aca="false">IF($B1394='設定（最初に1回）'!$C$4,N(U1393)+1,N(U1393))</f>
        <v>134</v>
      </c>
    </row>
    <row r="1395" customFormat="false" ht="15" hidden="false" customHeight="false" outlineLevel="0" collapsed="false">
      <c r="B1395" s="53"/>
      <c r="I1395" s="53"/>
      <c r="U1395" s="31" t="n">
        <f aca="false">IF($B1395='設定（最初に1回）'!$C$4,N(U1394)+1,N(U1394))</f>
        <v>134</v>
      </c>
    </row>
    <row r="1396" customFormat="false" ht="15" hidden="false" customHeight="false" outlineLevel="0" collapsed="false">
      <c r="B1396" s="53"/>
      <c r="I1396" s="53"/>
      <c r="U1396" s="31" t="n">
        <f aca="false">IF($B1396='設定（最初に1回）'!$C$4,N(U1395)+1,N(U1395))</f>
        <v>134</v>
      </c>
    </row>
    <row r="1397" customFormat="false" ht="15" hidden="false" customHeight="false" outlineLevel="0" collapsed="false">
      <c r="B1397" s="53"/>
      <c r="I1397" s="53"/>
      <c r="U1397" s="31" t="n">
        <f aca="false">IF($B1397='設定（最初に1回）'!$C$4,N(U1396)+1,N(U1396))</f>
        <v>134</v>
      </c>
    </row>
    <row r="1398" customFormat="false" ht="15" hidden="false" customHeight="false" outlineLevel="0" collapsed="false">
      <c r="B1398" s="53"/>
      <c r="I1398" s="53"/>
      <c r="U1398" s="31" t="n">
        <f aca="false">IF($B1398='設定（最初に1回）'!$C$4,N(U1397)+1,N(U1397))</f>
        <v>134</v>
      </c>
    </row>
    <row r="1399" customFormat="false" ht="15" hidden="false" customHeight="false" outlineLevel="0" collapsed="false">
      <c r="B1399" s="53"/>
      <c r="I1399" s="53"/>
      <c r="U1399" s="31" t="n">
        <f aca="false">IF($B1399='設定（最初に1回）'!$C$4,N(U1398)+1,N(U1398))</f>
        <v>134</v>
      </c>
    </row>
    <row r="1400" customFormat="false" ht="15" hidden="false" customHeight="false" outlineLevel="0" collapsed="false">
      <c r="B1400" s="53"/>
      <c r="I1400" s="53"/>
      <c r="U1400" s="31" t="n">
        <f aca="false">IF($B1400='設定（最初に1回）'!$C$4,N(U1399)+1,N(U1399))</f>
        <v>134</v>
      </c>
    </row>
    <row r="1401" customFormat="false" ht="15" hidden="false" customHeight="false" outlineLevel="0" collapsed="false">
      <c r="B1401" s="53"/>
      <c r="I1401" s="53"/>
      <c r="U1401" s="31" t="n">
        <f aca="false">IF($B1401='設定（最初に1回）'!$C$4,N(U1400)+1,N(U1400))</f>
        <v>134</v>
      </c>
    </row>
    <row r="1402" customFormat="false" ht="15" hidden="false" customHeight="false" outlineLevel="0" collapsed="false">
      <c r="B1402" s="53"/>
      <c r="I1402" s="53"/>
      <c r="U1402" s="31" t="n">
        <f aca="false">IF($B1402='設定（最初に1回）'!$C$4,N(U1401)+1,N(U1401))</f>
        <v>134</v>
      </c>
    </row>
    <row r="1403" customFormat="false" ht="15" hidden="false" customHeight="false" outlineLevel="0" collapsed="false">
      <c r="B1403" s="53"/>
      <c r="I1403" s="53"/>
      <c r="U1403" s="31" t="n">
        <f aca="false">IF($B1403='設定（最初に1回）'!$C$4,N(U1402)+1,N(U1402))</f>
        <v>134</v>
      </c>
    </row>
    <row r="1404" customFormat="false" ht="15" hidden="false" customHeight="false" outlineLevel="0" collapsed="false">
      <c r="B1404" s="53"/>
      <c r="I1404" s="53"/>
      <c r="U1404" s="31" t="n">
        <f aca="false">IF($B1404='設定（最初に1回）'!$C$4,N(U1403)+1,N(U1403))</f>
        <v>134</v>
      </c>
    </row>
    <row r="1405" customFormat="false" ht="15" hidden="false" customHeight="false" outlineLevel="0" collapsed="false">
      <c r="B1405" s="53"/>
      <c r="I1405" s="53"/>
      <c r="U1405" s="31" t="n">
        <f aca="false">IF($B1405='設定（最初に1回）'!$C$4,N(U1404)+1,N(U1404))</f>
        <v>134</v>
      </c>
    </row>
    <row r="1406" customFormat="false" ht="15" hidden="false" customHeight="false" outlineLevel="0" collapsed="false">
      <c r="B1406" s="53"/>
      <c r="I1406" s="53"/>
      <c r="U1406" s="31" t="n">
        <f aca="false">IF($B1406='設定（最初に1回）'!$C$4,N(U1405)+1,N(U1405))</f>
        <v>134</v>
      </c>
    </row>
    <row r="1407" customFormat="false" ht="15" hidden="false" customHeight="false" outlineLevel="0" collapsed="false">
      <c r="B1407" s="53"/>
      <c r="I1407" s="53"/>
      <c r="U1407" s="31" t="n">
        <f aca="false">IF($B1407='設定（最初に1回）'!$C$4,N(U1406)+1,N(U1406))</f>
        <v>134</v>
      </c>
    </row>
    <row r="1408" customFormat="false" ht="15" hidden="false" customHeight="false" outlineLevel="0" collapsed="false">
      <c r="B1408" s="53"/>
      <c r="I1408" s="53"/>
      <c r="U1408" s="31" t="n">
        <f aca="false">IF($B1408='設定（最初に1回）'!$C$4,N(U1407)+1,N(U1407))</f>
        <v>134</v>
      </c>
    </row>
    <row r="1409" customFormat="false" ht="15" hidden="false" customHeight="false" outlineLevel="0" collapsed="false">
      <c r="B1409" s="53"/>
      <c r="I1409" s="53"/>
      <c r="U1409" s="31" t="n">
        <f aca="false">IF($B1409='設定（最初に1回）'!$C$4,N(U1408)+1,N(U1408))</f>
        <v>134</v>
      </c>
    </row>
    <row r="1410" customFormat="false" ht="15" hidden="false" customHeight="false" outlineLevel="0" collapsed="false">
      <c r="B1410" s="53"/>
      <c r="I1410" s="53"/>
      <c r="U1410" s="31" t="n">
        <f aca="false">IF($B1410='設定（最初に1回）'!$C$4,N(U1409)+1,N(U1409))</f>
        <v>134</v>
      </c>
    </row>
    <row r="1411" customFormat="false" ht="15" hidden="false" customHeight="false" outlineLevel="0" collapsed="false">
      <c r="B1411" s="53"/>
      <c r="I1411" s="53"/>
      <c r="U1411" s="31" t="n">
        <f aca="false">IF($B1411='設定（最初に1回）'!$C$4,N(U1410)+1,N(U1410))</f>
        <v>134</v>
      </c>
    </row>
    <row r="1412" customFormat="false" ht="15" hidden="false" customHeight="false" outlineLevel="0" collapsed="false">
      <c r="B1412" s="53"/>
      <c r="I1412" s="53"/>
      <c r="U1412" s="31" t="n">
        <f aca="false">IF($B1412='設定（最初に1回）'!$C$4,N(U1411)+1,N(U1411))</f>
        <v>134</v>
      </c>
    </row>
    <row r="1413" customFormat="false" ht="15" hidden="false" customHeight="false" outlineLevel="0" collapsed="false">
      <c r="B1413" s="53"/>
      <c r="I1413" s="53"/>
      <c r="U1413" s="31" t="n">
        <f aca="false">IF($B1413='設定（最初に1回）'!$C$4,N(U1412)+1,N(U1412))</f>
        <v>134</v>
      </c>
    </row>
    <row r="1414" customFormat="false" ht="15" hidden="false" customHeight="false" outlineLevel="0" collapsed="false">
      <c r="B1414" s="53"/>
      <c r="I1414" s="53"/>
      <c r="U1414" s="31" t="n">
        <f aca="false">IF($B1414='設定（最初に1回）'!$C$4,N(U1413)+1,N(U1413))</f>
        <v>134</v>
      </c>
    </row>
    <row r="1415" customFormat="false" ht="15" hidden="false" customHeight="false" outlineLevel="0" collapsed="false">
      <c r="B1415" s="53"/>
      <c r="I1415" s="53"/>
      <c r="U1415" s="31" t="n">
        <f aca="false">IF($B1415='設定（最初に1回）'!$C$4,N(U1414)+1,N(U1414))</f>
        <v>134</v>
      </c>
    </row>
    <row r="1416" customFormat="false" ht="15" hidden="false" customHeight="false" outlineLevel="0" collapsed="false">
      <c r="B1416" s="53"/>
      <c r="I1416" s="53"/>
      <c r="U1416" s="31" t="n">
        <f aca="false">IF($B1416='設定（最初に1回）'!$C$4,N(U1415)+1,N(U1415))</f>
        <v>134</v>
      </c>
    </row>
    <row r="1417" customFormat="false" ht="15" hidden="false" customHeight="false" outlineLevel="0" collapsed="false">
      <c r="B1417" s="53"/>
      <c r="I1417" s="53"/>
      <c r="U1417" s="31" t="n">
        <f aca="false">IF($B1417='設定（最初に1回）'!$C$4,N(U1416)+1,N(U1416))</f>
        <v>134</v>
      </c>
    </row>
    <row r="1418" customFormat="false" ht="15" hidden="false" customHeight="false" outlineLevel="0" collapsed="false">
      <c r="B1418" s="53"/>
      <c r="I1418" s="53"/>
      <c r="U1418" s="31" t="n">
        <f aca="false">IF($B1418='設定（最初に1回）'!$C$4,N(U1417)+1,N(U1417))</f>
        <v>134</v>
      </c>
    </row>
    <row r="1419" customFormat="false" ht="15" hidden="false" customHeight="false" outlineLevel="0" collapsed="false">
      <c r="B1419" s="53"/>
      <c r="I1419" s="53"/>
      <c r="U1419" s="31" t="n">
        <f aca="false">IF($B1419='設定（最初に1回）'!$C$4,N(U1418)+1,N(U1418))</f>
        <v>134</v>
      </c>
    </row>
    <row r="1420" customFormat="false" ht="15" hidden="false" customHeight="false" outlineLevel="0" collapsed="false">
      <c r="B1420" s="53"/>
      <c r="I1420" s="53"/>
      <c r="U1420" s="31" t="n">
        <f aca="false">IF($B1420='設定（最初に1回）'!$C$4,N(U1419)+1,N(U1419))</f>
        <v>134</v>
      </c>
    </row>
    <row r="1421" customFormat="false" ht="15" hidden="false" customHeight="false" outlineLevel="0" collapsed="false">
      <c r="B1421" s="53"/>
      <c r="I1421" s="53"/>
      <c r="U1421" s="31" t="n">
        <f aca="false">IF($B1421='設定（最初に1回）'!$C$4,N(U1420)+1,N(U1420))</f>
        <v>134</v>
      </c>
    </row>
    <row r="1422" customFormat="false" ht="15" hidden="false" customHeight="false" outlineLevel="0" collapsed="false">
      <c r="B1422" s="53"/>
      <c r="I1422" s="53"/>
      <c r="U1422" s="31" t="n">
        <f aca="false">IF($B1422='設定（最初に1回）'!$C$4,N(U1421)+1,N(U1421))</f>
        <v>134</v>
      </c>
    </row>
    <row r="1423" customFormat="false" ht="15" hidden="false" customHeight="false" outlineLevel="0" collapsed="false">
      <c r="B1423" s="53"/>
      <c r="I1423" s="53"/>
      <c r="U1423" s="31" t="n">
        <f aca="false">IF($B1423='設定（最初に1回）'!$C$4,N(U1422)+1,N(U1422))</f>
        <v>134</v>
      </c>
    </row>
    <row r="1424" customFormat="false" ht="15" hidden="false" customHeight="false" outlineLevel="0" collapsed="false">
      <c r="B1424" s="53"/>
      <c r="I1424" s="53"/>
      <c r="U1424" s="31" t="n">
        <f aca="false">IF($B1424='設定（最初に1回）'!$C$4,N(U1423)+1,N(U1423))</f>
        <v>134</v>
      </c>
    </row>
    <row r="1425" customFormat="false" ht="15" hidden="false" customHeight="false" outlineLevel="0" collapsed="false">
      <c r="B1425" s="53"/>
      <c r="I1425" s="53"/>
      <c r="U1425" s="31" t="n">
        <f aca="false">IF($B1425='設定（最初に1回）'!$C$4,N(U1424)+1,N(U1424))</f>
        <v>134</v>
      </c>
    </row>
    <row r="1426" customFormat="false" ht="15" hidden="false" customHeight="false" outlineLevel="0" collapsed="false">
      <c r="B1426" s="53"/>
      <c r="I1426" s="53"/>
      <c r="U1426" s="31" t="n">
        <f aca="false">IF($B1426='設定（最初に1回）'!$C$4,N(U1425)+1,N(U1425))</f>
        <v>134</v>
      </c>
    </row>
    <row r="1427" customFormat="false" ht="15" hidden="false" customHeight="false" outlineLevel="0" collapsed="false">
      <c r="B1427" s="53"/>
      <c r="I1427" s="53"/>
      <c r="U1427" s="31" t="n">
        <f aca="false">IF($B1427='設定（最初に1回）'!$C$4,N(U1426)+1,N(U1426))</f>
        <v>134</v>
      </c>
    </row>
    <row r="1428" customFormat="false" ht="15" hidden="false" customHeight="false" outlineLevel="0" collapsed="false">
      <c r="B1428" s="53"/>
      <c r="I1428" s="53"/>
      <c r="U1428" s="31" t="n">
        <f aca="false">IF($B1428='設定（最初に1回）'!$C$4,N(U1427)+1,N(U1427))</f>
        <v>134</v>
      </c>
    </row>
    <row r="1429" customFormat="false" ht="15" hidden="false" customHeight="false" outlineLevel="0" collapsed="false">
      <c r="B1429" s="53"/>
      <c r="I1429" s="53"/>
      <c r="U1429" s="31" t="n">
        <f aca="false">IF($B1429='設定（最初に1回）'!$C$4,N(U1428)+1,N(U1428))</f>
        <v>134</v>
      </c>
    </row>
    <row r="1430" customFormat="false" ht="15" hidden="false" customHeight="false" outlineLevel="0" collapsed="false">
      <c r="B1430" s="53"/>
      <c r="I1430" s="53"/>
      <c r="U1430" s="31" t="n">
        <f aca="false">IF($B1430='設定（最初に1回）'!$C$4,N(U1429)+1,N(U1429))</f>
        <v>134</v>
      </c>
    </row>
    <row r="1431" customFormat="false" ht="15" hidden="false" customHeight="false" outlineLevel="0" collapsed="false">
      <c r="B1431" s="53"/>
      <c r="I1431" s="53"/>
      <c r="U1431" s="31" t="n">
        <f aca="false">IF($B1431='設定（最初に1回）'!$C$4,N(U1430)+1,N(U1430))</f>
        <v>134</v>
      </c>
    </row>
    <row r="1432" customFormat="false" ht="15" hidden="false" customHeight="false" outlineLevel="0" collapsed="false">
      <c r="B1432" s="53"/>
      <c r="I1432" s="53"/>
      <c r="U1432" s="31" t="n">
        <f aca="false">IF($B1432='設定（最初に1回）'!$C$4,N(U1431)+1,N(U1431))</f>
        <v>134</v>
      </c>
    </row>
    <row r="1433" customFormat="false" ht="15" hidden="false" customHeight="false" outlineLevel="0" collapsed="false">
      <c r="B1433" s="53"/>
      <c r="I1433" s="53"/>
      <c r="U1433" s="31" t="n">
        <f aca="false">IF($B1433='設定（最初に1回）'!$C$4,N(U1432)+1,N(U1432))</f>
        <v>134</v>
      </c>
    </row>
    <row r="1434" customFormat="false" ht="15" hidden="false" customHeight="false" outlineLevel="0" collapsed="false">
      <c r="B1434" s="53"/>
      <c r="I1434" s="53"/>
      <c r="U1434" s="31" t="n">
        <f aca="false">IF($B1434='設定（最初に1回）'!$C$4,N(U1433)+1,N(U1433))</f>
        <v>134</v>
      </c>
    </row>
    <row r="1435" customFormat="false" ht="15" hidden="false" customHeight="false" outlineLevel="0" collapsed="false">
      <c r="B1435" s="53"/>
      <c r="I1435" s="53"/>
      <c r="U1435" s="31" t="n">
        <f aca="false">IF($B1435='設定（最初に1回）'!$C$4,N(U1434)+1,N(U1434))</f>
        <v>134</v>
      </c>
    </row>
    <row r="1436" customFormat="false" ht="15" hidden="false" customHeight="false" outlineLevel="0" collapsed="false">
      <c r="B1436" s="53"/>
      <c r="I1436" s="53"/>
      <c r="U1436" s="31" t="n">
        <f aca="false">IF($B1436='設定（最初に1回）'!$C$4,N(U1435)+1,N(U1435))</f>
        <v>134</v>
      </c>
    </row>
    <row r="1437" customFormat="false" ht="15" hidden="false" customHeight="false" outlineLevel="0" collapsed="false">
      <c r="B1437" s="53"/>
      <c r="I1437" s="53"/>
      <c r="U1437" s="31" t="n">
        <f aca="false">IF($B1437='設定（最初に1回）'!$C$4,N(U1436)+1,N(U1436))</f>
        <v>134</v>
      </c>
    </row>
    <row r="1438" customFormat="false" ht="15" hidden="false" customHeight="false" outlineLevel="0" collapsed="false">
      <c r="B1438" s="53"/>
      <c r="I1438" s="53"/>
      <c r="U1438" s="31" t="n">
        <f aca="false">IF($B1438='設定（最初に1回）'!$C$4,N(U1437)+1,N(U1437))</f>
        <v>134</v>
      </c>
    </row>
    <row r="1439" customFormat="false" ht="15" hidden="false" customHeight="false" outlineLevel="0" collapsed="false">
      <c r="B1439" s="53"/>
      <c r="I1439" s="53"/>
      <c r="U1439" s="31" t="n">
        <f aca="false">IF($B1439='設定（最初に1回）'!$C$4,N(U1438)+1,N(U1438))</f>
        <v>134</v>
      </c>
    </row>
    <row r="1440" customFormat="false" ht="15" hidden="false" customHeight="false" outlineLevel="0" collapsed="false">
      <c r="B1440" s="53"/>
      <c r="I1440" s="53"/>
      <c r="U1440" s="31" t="n">
        <f aca="false">IF($B1440='設定（最初に1回）'!$C$4,N(U1439)+1,N(U1439))</f>
        <v>134</v>
      </c>
    </row>
    <row r="1441" customFormat="false" ht="15" hidden="false" customHeight="false" outlineLevel="0" collapsed="false">
      <c r="B1441" s="53"/>
      <c r="I1441" s="53"/>
      <c r="U1441" s="31" t="n">
        <f aca="false">IF($B1441='設定（最初に1回）'!$C$4,N(U1440)+1,N(U1440))</f>
        <v>134</v>
      </c>
    </row>
    <row r="1442" customFormat="false" ht="15" hidden="false" customHeight="false" outlineLevel="0" collapsed="false">
      <c r="B1442" s="53"/>
      <c r="I1442" s="53"/>
      <c r="U1442" s="31" t="n">
        <f aca="false">IF($B1442='設定（最初に1回）'!$C$4,N(U1441)+1,N(U1441))</f>
        <v>134</v>
      </c>
    </row>
    <row r="1443" customFormat="false" ht="15" hidden="false" customHeight="false" outlineLevel="0" collapsed="false">
      <c r="B1443" s="53"/>
      <c r="I1443" s="53"/>
      <c r="U1443" s="31" t="n">
        <f aca="false">IF($B1443='設定（最初に1回）'!$C$4,N(U1442)+1,N(U1442))</f>
        <v>134</v>
      </c>
    </row>
    <row r="1444" customFormat="false" ht="15" hidden="false" customHeight="false" outlineLevel="0" collapsed="false">
      <c r="B1444" s="53"/>
      <c r="I1444" s="53"/>
      <c r="U1444" s="31" t="n">
        <f aca="false">IF($B1444='設定（最初に1回）'!$C$4,N(U1443)+1,N(U1443))</f>
        <v>134</v>
      </c>
    </row>
    <row r="1445" customFormat="false" ht="15" hidden="false" customHeight="false" outlineLevel="0" collapsed="false">
      <c r="B1445" s="53"/>
      <c r="I1445" s="53"/>
      <c r="U1445" s="31" t="n">
        <f aca="false">IF($B1445='設定（最初に1回）'!$C$4,N(U1444)+1,N(U1444))</f>
        <v>134</v>
      </c>
    </row>
    <row r="1446" customFormat="false" ht="15" hidden="false" customHeight="false" outlineLevel="0" collapsed="false">
      <c r="B1446" s="53"/>
      <c r="I1446" s="53"/>
      <c r="U1446" s="31" t="n">
        <f aca="false">IF($B1446='設定（最初に1回）'!$C$4,N(U1445)+1,N(U1445))</f>
        <v>134</v>
      </c>
    </row>
    <row r="1447" customFormat="false" ht="15" hidden="false" customHeight="false" outlineLevel="0" collapsed="false">
      <c r="B1447" s="53"/>
      <c r="I1447" s="53"/>
      <c r="U1447" s="31" t="n">
        <f aca="false">IF($B1447='設定（最初に1回）'!$C$4,N(U1446)+1,N(U1446))</f>
        <v>134</v>
      </c>
    </row>
    <row r="1448" customFormat="false" ht="15" hidden="false" customHeight="false" outlineLevel="0" collapsed="false">
      <c r="B1448" s="53"/>
      <c r="I1448" s="53"/>
      <c r="U1448" s="31" t="n">
        <f aca="false">IF($B1448='設定（最初に1回）'!$C$4,N(U1447)+1,N(U1447))</f>
        <v>134</v>
      </c>
    </row>
    <row r="1449" customFormat="false" ht="15" hidden="false" customHeight="false" outlineLevel="0" collapsed="false">
      <c r="B1449" s="53"/>
      <c r="I1449" s="53"/>
      <c r="U1449" s="31" t="n">
        <f aca="false">IF($B1449='設定（最初に1回）'!$C$4,N(U1448)+1,N(U1448))</f>
        <v>134</v>
      </c>
    </row>
    <row r="1450" customFormat="false" ht="15" hidden="false" customHeight="false" outlineLevel="0" collapsed="false">
      <c r="B1450" s="53"/>
      <c r="I1450" s="53"/>
      <c r="U1450" s="31" t="n">
        <f aca="false">IF($B1450='設定（最初に1回）'!$C$4,N(U1449)+1,N(U1449))</f>
        <v>134</v>
      </c>
    </row>
    <row r="1451" customFormat="false" ht="15" hidden="false" customHeight="false" outlineLevel="0" collapsed="false">
      <c r="B1451" s="53"/>
      <c r="I1451" s="53"/>
      <c r="U1451" s="31" t="n">
        <f aca="false">IF($B1451='設定（最初に1回）'!$C$4,N(U1450)+1,N(U1450))</f>
        <v>134</v>
      </c>
    </row>
    <row r="1452" customFormat="false" ht="15" hidden="false" customHeight="false" outlineLevel="0" collapsed="false">
      <c r="B1452" s="53"/>
      <c r="I1452" s="53"/>
      <c r="U1452" s="31" t="n">
        <f aca="false">IF($B1452='設定（最初に1回）'!$C$4,N(U1451)+1,N(U1451))</f>
        <v>134</v>
      </c>
    </row>
    <row r="1453" customFormat="false" ht="15" hidden="false" customHeight="false" outlineLevel="0" collapsed="false">
      <c r="B1453" s="53"/>
      <c r="I1453" s="53"/>
      <c r="U1453" s="31" t="n">
        <f aca="false">IF($B1453='設定（最初に1回）'!$C$4,N(U1452)+1,N(U1452))</f>
        <v>134</v>
      </c>
    </row>
    <row r="1454" customFormat="false" ht="15" hidden="false" customHeight="false" outlineLevel="0" collapsed="false">
      <c r="B1454" s="53"/>
      <c r="I1454" s="53"/>
      <c r="U1454" s="31" t="n">
        <f aca="false">IF($B1454='設定（最初に1回）'!$C$4,N(U1453)+1,N(U1453))</f>
        <v>134</v>
      </c>
    </row>
    <row r="1455" customFormat="false" ht="15" hidden="false" customHeight="false" outlineLevel="0" collapsed="false">
      <c r="B1455" s="53"/>
      <c r="I1455" s="53"/>
      <c r="U1455" s="31" t="n">
        <f aca="false">IF($B1455='設定（最初に1回）'!$C$4,N(U1454)+1,N(U1454))</f>
        <v>134</v>
      </c>
    </row>
    <row r="1456" customFormat="false" ht="15" hidden="false" customHeight="false" outlineLevel="0" collapsed="false">
      <c r="B1456" s="53"/>
      <c r="I1456" s="53"/>
      <c r="U1456" s="31" t="n">
        <f aca="false">IF($B1456='設定（最初に1回）'!$C$4,N(U1455)+1,N(U1455))</f>
        <v>134</v>
      </c>
    </row>
    <row r="1457" customFormat="false" ht="15" hidden="false" customHeight="false" outlineLevel="0" collapsed="false">
      <c r="B1457" s="53"/>
      <c r="I1457" s="53"/>
      <c r="U1457" s="31" t="n">
        <f aca="false">IF($B1457='設定（最初に1回）'!$C$4,N(U1456)+1,N(U1456))</f>
        <v>134</v>
      </c>
    </row>
    <row r="1458" customFormat="false" ht="15" hidden="false" customHeight="false" outlineLevel="0" collapsed="false">
      <c r="B1458" s="53"/>
      <c r="I1458" s="53"/>
      <c r="U1458" s="31" t="n">
        <f aca="false">IF($B1458='設定（最初に1回）'!$C$4,N(U1457)+1,N(U1457))</f>
        <v>134</v>
      </c>
    </row>
    <row r="1459" customFormat="false" ht="15" hidden="false" customHeight="false" outlineLevel="0" collapsed="false">
      <c r="B1459" s="53"/>
      <c r="I1459" s="53"/>
      <c r="U1459" s="31" t="n">
        <f aca="false">IF($B1459='設定（最初に1回）'!$C$4,N(U1458)+1,N(U1458))</f>
        <v>134</v>
      </c>
    </row>
    <row r="1460" customFormat="false" ht="15" hidden="false" customHeight="false" outlineLevel="0" collapsed="false">
      <c r="B1460" s="53"/>
      <c r="I1460" s="53"/>
      <c r="U1460" s="31" t="n">
        <f aca="false">IF($B1460='設定（最初に1回）'!$C$4,N(U1459)+1,N(U1459))</f>
        <v>134</v>
      </c>
    </row>
    <row r="1461" customFormat="false" ht="15" hidden="false" customHeight="false" outlineLevel="0" collapsed="false">
      <c r="B1461" s="53"/>
      <c r="I1461" s="53"/>
      <c r="U1461" s="31" t="n">
        <f aca="false">IF($B1461='設定（最初に1回）'!$C$4,N(U1460)+1,N(U1460))</f>
        <v>134</v>
      </c>
    </row>
    <row r="1462" customFormat="false" ht="15" hidden="false" customHeight="false" outlineLevel="0" collapsed="false">
      <c r="B1462" s="53"/>
      <c r="I1462" s="53"/>
      <c r="U1462" s="31" t="n">
        <f aca="false">IF($B1462='設定（最初に1回）'!$C$4,N(U1461)+1,N(U1461))</f>
        <v>134</v>
      </c>
    </row>
    <row r="1463" customFormat="false" ht="15" hidden="false" customHeight="false" outlineLevel="0" collapsed="false">
      <c r="B1463" s="53"/>
      <c r="I1463" s="53"/>
      <c r="U1463" s="31" t="n">
        <f aca="false">IF($B1463='設定（最初に1回）'!$C$4,N(U1462)+1,N(U1462))</f>
        <v>134</v>
      </c>
    </row>
    <row r="1464" customFormat="false" ht="15" hidden="false" customHeight="false" outlineLevel="0" collapsed="false">
      <c r="B1464" s="53"/>
      <c r="I1464" s="53"/>
      <c r="U1464" s="31" t="n">
        <f aca="false">IF($B1464='設定（最初に1回）'!$C$4,N(U1463)+1,N(U1463))</f>
        <v>134</v>
      </c>
    </row>
    <row r="1465" customFormat="false" ht="15" hidden="false" customHeight="false" outlineLevel="0" collapsed="false">
      <c r="B1465" s="53"/>
      <c r="I1465" s="53"/>
      <c r="U1465" s="31" t="n">
        <f aca="false">IF($B1465='設定（最初に1回）'!$C$4,N(U1464)+1,N(U1464))</f>
        <v>134</v>
      </c>
    </row>
    <row r="1466" customFormat="false" ht="15" hidden="false" customHeight="false" outlineLevel="0" collapsed="false">
      <c r="B1466" s="53"/>
      <c r="I1466" s="53"/>
      <c r="U1466" s="31" t="n">
        <f aca="false">IF($B1466='設定（最初に1回）'!$C$4,N(U1465)+1,N(U1465))</f>
        <v>134</v>
      </c>
    </row>
    <row r="1467" customFormat="false" ht="15" hidden="false" customHeight="false" outlineLevel="0" collapsed="false">
      <c r="B1467" s="53"/>
      <c r="I1467" s="53"/>
      <c r="U1467" s="31" t="n">
        <f aca="false">IF($B1467='設定（最初に1回）'!$C$4,N(U1466)+1,N(U1466))</f>
        <v>134</v>
      </c>
    </row>
    <row r="1468" customFormat="false" ht="15" hidden="false" customHeight="false" outlineLevel="0" collapsed="false">
      <c r="B1468" s="53"/>
      <c r="I1468" s="53"/>
      <c r="U1468" s="31" t="n">
        <f aca="false">IF($B1468='設定（最初に1回）'!$C$4,N(U1467)+1,N(U1467))</f>
        <v>134</v>
      </c>
    </row>
    <row r="1469" customFormat="false" ht="15" hidden="false" customHeight="false" outlineLevel="0" collapsed="false">
      <c r="B1469" s="53"/>
      <c r="I1469" s="53"/>
      <c r="U1469" s="31" t="n">
        <f aca="false">IF($B1469='設定（最初に1回）'!$C$4,N(U1468)+1,N(U1468))</f>
        <v>134</v>
      </c>
    </row>
    <row r="1470" customFormat="false" ht="15" hidden="false" customHeight="false" outlineLevel="0" collapsed="false">
      <c r="B1470" s="53"/>
      <c r="I1470" s="53"/>
      <c r="U1470" s="31" t="n">
        <f aca="false">IF($B1470='設定（最初に1回）'!$C$4,N(U1469)+1,N(U1469))</f>
        <v>134</v>
      </c>
    </row>
    <row r="1471" customFormat="false" ht="15" hidden="false" customHeight="false" outlineLevel="0" collapsed="false">
      <c r="B1471" s="53"/>
      <c r="I1471" s="53"/>
      <c r="U1471" s="31" t="n">
        <f aca="false">IF($B1471='設定（最初に1回）'!$C$4,N(U1470)+1,N(U1470))</f>
        <v>134</v>
      </c>
    </row>
    <row r="1472" customFormat="false" ht="15" hidden="false" customHeight="false" outlineLevel="0" collapsed="false">
      <c r="B1472" s="53"/>
      <c r="I1472" s="53"/>
      <c r="U1472" s="31" t="n">
        <f aca="false">IF($B1472='設定（最初に1回）'!$C$4,N(U1471)+1,N(U1471))</f>
        <v>134</v>
      </c>
    </row>
    <row r="1473" customFormat="false" ht="15" hidden="false" customHeight="false" outlineLevel="0" collapsed="false">
      <c r="B1473" s="53"/>
      <c r="I1473" s="53"/>
      <c r="U1473" s="31" t="n">
        <f aca="false">IF($B1473='設定（最初に1回）'!$C$4,N(U1472)+1,N(U1472))</f>
        <v>134</v>
      </c>
    </row>
    <row r="1474" customFormat="false" ht="15" hidden="false" customHeight="false" outlineLevel="0" collapsed="false">
      <c r="B1474" s="53"/>
      <c r="I1474" s="53"/>
      <c r="U1474" s="31" t="n">
        <f aca="false">IF($B1474='設定（最初に1回）'!$C$4,N(U1473)+1,N(U1473))</f>
        <v>134</v>
      </c>
    </row>
    <row r="1475" customFormat="false" ht="15" hidden="false" customHeight="false" outlineLevel="0" collapsed="false">
      <c r="B1475" s="53"/>
      <c r="I1475" s="53"/>
      <c r="U1475" s="31" t="n">
        <f aca="false">IF($B1475='設定（最初に1回）'!$C$4,N(U1474)+1,N(U1474))</f>
        <v>134</v>
      </c>
    </row>
    <row r="1476" customFormat="false" ht="15" hidden="false" customHeight="false" outlineLevel="0" collapsed="false">
      <c r="B1476" s="53"/>
      <c r="I1476" s="53"/>
      <c r="U1476" s="31" t="n">
        <f aca="false">IF($B1476='設定（最初に1回）'!$C$4,N(U1475)+1,N(U1475))</f>
        <v>134</v>
      </c>
    </row>
    <row r="1477" customFormat="false" ht="15" hidden="false" customHeight="false" outlineLevel="0" collapsed="false">
      <c r="B1477" s="53"/>
      <c r="I1477" s="53"/>
      <c r="U1477" s="31" t="n">
        <f aca="false">IF($B1477='設定（最初に1回）'!$C$4,N(U1476)+1,N(U1476))</f>
        <v>134</v>
      </c>
    </row>
    <row r="1478" customFormat="false" ht="15" hidden="false" customHeight="false" outlineLevel="0" collapsed="false">
      <c r="B1478" s="53"/>
      <c r="I1478" s="53"/>
      <c r="U1478" s="31" t="n">
        <f aca="false">IF($B1478='設定（最初に1回）'!$C$4,N(U1477)+1,N(U1477))</f>
        <v>134</v>
      </c>
    </row>
    <row r="1479" customFormat="false" ht="15" hidden="false" customHeight="false" outlineLevel="0" collapsed="false">
      <c r="B1479" s="53"/>
      <c r="I1479" s="53"/>
      <c r="U1479" s="31" t="n">
        <f aca="false">IF($B1479='設定（最初に1回）'!$C$4,N(U1478)+1,N(U1478))</f>
        <v>134</v>
      </c>
    </row>
    <row r="1480" customFormat="false" ht="15" hidden="false" customHeight="false" outlineLevel="0" collapsed="false">
      <c r="B1480" s="53"/>
      <c r="I1480" s="53"/>
      <c r="U1480" s="31" t="n">
        <f aca="false">IF($B1480='設定（最初に1回）'!$C$4,N(U1479)+1,N(U1479))</f>
        <v>134</v>
      </c>
    </row>
    <row r="1481" customFormat="false" ht="15" hidden="false" customHeight="false" outlineLevel="0" collapsed="false">
      <c r="B1481" s="53"/>
      <c r="I1481" s="53"/>
      <c r="U1481" s="31" t="n">
        <f aca="false">IF($B1481='設定（最初に1回）'!$C$4,N(U1480)+1,N(U1480))</f>
        <v>134</v>
      </c>
    </row>
    <row r="1482" customFormat="false" ht="15" hidden="false" customHeight="false" outlineLevel="0" collapsed="false">
      <c r="B1482" s="53"/>
      <c r="I1482" s="53"/>
      <c r="U1482" s="31" t="n">
        <f aca="false">IF($B1482='設定（最初に1回）'!$C$4,N(U1481)+1,N(U1481))</f>
        <v>134</v>
      </c>
    </row>
    <row r="1483" customFormat="false" ht="15" hidden="false" customHeight="false" outlineLevel="0" collapsed="false">
      <c r="B1483" s="53"/>
      <c r="I1483" s="53"/>
      <c r="U1483" s="31" t="n">
        <f aca="false">IF($B1483='設定（最初に1回）'!$C$4,N(U1482)+1,N(U1482))</f>
        <v>134</v>
      </c>
    </row>
    <row r="1484" customFormat="false" ht="15" hidden="false" customHeight="false" outlineLevel="0" collapsed="false">
      <c r="B1484" s="53"/>
      <c r="I1484" s="53"/>
      <c r="U1484" s="31" t="n">
        <f aca="false">IF($B1484='設定（最初に1回）'!$C$4,N(U1483)+1,N(U1483))</f>
        <v>134</v>
      </c>
    </row>
    <row r="1485" customFormat="false" ht="15" hidden="false" customHeight="false" outlineLevel="0" collapsed="false">
      <c r="B1485" s="53"/>
      <c r="I1485" s="53"/>
      <c r="U1485" s="31" t="n">
        <f aca="false">IF($B1485='設定（最初に1回）'!$C$4,N(U1484)+1,N(U1484))</f>
        <v>134</v>
      </c>
    </row>
    <row r="1486" customFormat="false" ht="15" hidden="false" customHeight="false" outlineLevel="0" collapsed="false">
      <c r="B1486" s="53"/>
      <c r="I1486" s="53"/>
      <c r="U1486" s="31" t="n">
        <f aca="false">IF($B1486='設定（最初に1回）'!$C$4,N(U1485)+1,N(U1485))</f>
        <v>134</v>
      </c>
    </row>
    <row r="1487" customFormat="false" ht="15" hidden="false" customHeight="false" outlineLevel="0" collapsed="false">
      <c r="B1487" s="53"/>
      <c r="I1487" s="53"/>
      <c r="U1487" s="31" t="n">
        <f aca="false">IF($B1487='設定（最初に1回）'!$C$4,N(U1486)+1,N(U1486))</f>
        <v>134</v>
      </c>
    </row>
    <row r="1488" customFormat="false" ht="15" hidden="false" customHeight="false" outlineLevel="0" collapsed="false">
      <c r="B1488" s="53"/>
      <c r="I1488" s="53"/>
      <c r="U1488" s="31" t="n">
        <f aca="false">IF($B1488='設定（最初に1回）'!$C$4,N(U1487)+1,N(U1487))</f>
        <v>134</v>
      </c>
    </row>
    <row r="1489" customFormat="false" ht="15" hidden="false" customHeight="false" outlineLevel="0" collapsed="false">
      <c r="B1489" s="53"/>
      <c r="I1489" s="53"/>
      <c r="U1489" s="31" t="n">
        <f aca="false">IF($B1489='設定（最初に1回）'!$C$4,N(U1488)+1,N(U1488))</f>
        <v>134</v>
      </c>
    </row>
    <row r="1490" customFormat="false" ht="15" hidden="false" customHeight="false" outlineLevel="0" collapsed="false">
      <c r="B1490" s="53"/>
      <c r="I1490" s="53"/>
      <c r="U1490" s="31" t="n">
        <f aca="false">IF($B1490='設定（最初に1回）'!$C$4,N(U1489)+1,N(U1489))</f>
        <v>134</v>
      </c>
    </row>
    <row r="1491" customFormat="false" ht="15" hidden="false" customHeight="false" outlineLevel="0" collapsed="false">
      <c r="B1491" s="53"/>
      <c r="I1491" s="53"/>
      <c r="U1491" s="31" t="n">
        <f aca="false">IF($B1491='設定（最初に1回）'!$C$4,N(U1490)+1,N(U1490))</f>
        <v>134</v>
      </c>
    </row>
    <row r="1492" customFormat="false" ht="15" hidden="false" customHeight="false" outlineLevel="0" collapsed="false">
      <c r="B1492" s="53"/>
      <c r="I1492" s="53"/>
      <c r="U1492" s="31" t="n">
        <f aca="false">IF($B1492='設定（最初に1回）'!$C$4,N(U1491)+1,N(U1491))</f>
        <v>134</v>
      </c>
    </row>
    <row r="1493" customFormat="false" ht="15" hidden="false" customHeight="false" outlineLevel="0" collapsed="false">
      <c r="B1493" s="53"/>
      <c r="I1493" s="53"/>
      <c r="U1493" s="31" t="n">
        <f aca="false">IF($B1493='設定（最初に1回）'!$C$4,N(U1492)+1,N(U1492))</f>
        <v>134</v>
      </c>
    </row>
    <row r="1494" customFormat="false" ht="15" hidden="false" customHeight="false" outlineLevel="0" collapsed="false">
      <c r="B1494" s="53"/>
      <c r="I1494" s="53"/>
      <c r="U1494" s="31" t="n">
        <f aca="false">IF($B1494='設定（最初に1回）'!$C$4,N(U1493)+1,N(U1493))</f>
        <v>134</v>
      </c>
    </row>
    <row r="1495" customFormat="false" ht="15" hidden="false" customHeight="false" outlineLevel="0" collapsed="false">
      <c r="B1495" s="53"/>
      <c r="I1495" s="53"/>
      <c r="U1495" s="31" t="n">
        <f aca="false">IF($B1495='設定（最初に1回）'!$C$4,N(U1494)+1,N(U1494))</f>
        <v>134</v>
      </c>
    </row>
    <row r="1496" customFormat="false" ht="15" hidden="false" customHeight="false" outlineLevel="0" collapsed="false">
      <c r="B1496" s="53"/>
      <c r="I1496" s="53"/>
      <c r="U1496" s="31" t="n">
        <f aca="false">IF($B1496='設定（最初に1回）'!$C$4,N(U1495)+1,N(U1495))</f>
        <v>134</v>
      </c>
    </row>
    <row r="1497" customFormat="false" ht="15" hidden="false" customHeight="false" outlineLevel="0" collapsed="false">
      <c r="B1497" s="53"/>
      <c r="I1497" s="53"/>
      <c r="U1497" s="31" t="n">
        <f aca="false">IF($B1497='設定（最初に1回）'!$C$4,N(U1496)+1,N(U1496))</f>
        <v>134</v>
      </c>
    </row>
    <row r="1498" customFormat="false" ht="15" hidden="false" customHeight="false" outlineLevel="0" collapsed="false">
      <c r="B1498" s="53"/>
      <c r="I1498" s="53"/>
      <c r="U1498" s="31" t="n">
        <f aca="false">IF($B1498='設定（最初に1回）'!$C$4,N(U1497)+1,N(U1497))</f>
        <v>134</v>
      </c>
    </row>
    <row r="1499" customFormat="false" ht="15" hidden="false" customHeight="false" outlineLevel="0" collapsed="false">
      <c r="B1499" s="53"/>
      <c r="I1499" s="53"/>
      <c r="U1499" s="31" t="n">
        <f aca="false">IF($B1499='設定（最初に1回）'!$C$4,N(U1498)+1,N(U1498))</f>
        <v>134</v>
      </c>
    </row>
    <row r="1500" customFormat="false" ht="15" hidden="false" customHeight="false" outlineLevel="0" collapsed="false">
      <c r="B1500" s="53"/>
      <c r="I1500" s="53"/>
      <c r="U1500" s="31" t="n">
        <f aca="false">IF($B1500='設定（最初に1回）'!$C$4,N(U1499)+1,N(U1499))</f>
        <v>134</v>
      </c>
    </row>
    <row r="1501" customFormat="false" ht="15" hidden="false" customHeight="false" outlineLevel="0" collapsed="false">
      <c r="B1501" s="53"/>
      <c r="I1501" s="53"/>
      <c r="U1501" s="31" t="n">
        <f aca="false">IF($B1501='設定（最初に1回）'!$C$4,N(U1500)+1,N(U1500))</f>
        <v>134</v>
      </c>
    </row>
    <row r="1502" customFormat="false" ht="15" hidden="false" customHeight="false" outlineLevel="0" collapsed="false">
      <c r="B1502" s="53"/>
      <c r="I1502" s="53"/>
      <c r="U1502" s="31" t="n">
        <f aca="false">IF($B1502='設定（最初に1回）'!$C$4,N(U1501)+1,N(U1501))</f>
        <v>134</v>
      </c>
    </row>
    <row r="1503" customFormat="false" ht="15" hidden="false" customHeight="false" outlineLevel="0" collapsed="false">
      <c r="B1503" s="53"/>
      <c r="I1503" s="53"/>
      <c r="U1503" s="31" t="n">
        <f aca="false">IF($B1503='設定（最初に1回）'!$C$4,N(U1502)+1,N(U1502))</f>
        <v>134</v>
      </c>
    </row>
    <row r="1504" customFormat="false" ht="15" hidden="false" customHeight="false" outlineLevel="0" collapsed="false">
      <c r="B1504" s="53"/>
      <c r="I1504" s="53"/>
      <c r="U1504" s="31" t="n">
        <f aca="false">IF($B1504='設定（最初に1回）'!$C$4,N(U1503)+1,N(U1503))</f>
        <v>134</v>
      </c>
    </row>
    <row r="1505" customFormat="false" ht="15" hidden="false" customHeight="false" outlineLevel="0" collapsed="false">
      <c r="B1505" s="53"/>
      <c r="I1505" s="53"/>
      <c r="U1505" s="31" t="n">
        <f aca="false">IF($B1505='設定（最初に1回）'!$C$4,N(U1504)+1,N(U1504))</f>
        <v>134</v>
      </c>
    </row>
    <row r="1506" customFormat="false" ht="15" hidden="false" customHeight="false" outlineLevel="0" collapsed="false">
      <c r="B1506" s="53"/>
      <c r="I1506" s="53"/>
      <c r="U1506" s="31" t="n">
        <f aca="false">IF($B1506='設定（最初に1回）'!$C$4,N(U1505)+1,N(U1505))</f>
        <v>134</v>
      </c>
    </row>
    <row r="1507" customFormat="false" ht="15" hidden="false" customHeight="false" outlineLevel="0" collapsed="false">
      <c r="B1507" s="53"/>
      <c r="I1507" s="53"/>
      <c r="U1507" s="31" t="n">
        <f aca="false">IF($B1507='設定（最初に1回）'!$C$4,N(U1506)+1,N(U1506))</f>
        <v>134</v>
      </c>
    </row>
    <row r="1508" customFormat="false" ht="15" hidden="false" customHeight="false" outlineLevel="0" collapsed="false">
      <c r="B1508" s="53"/>
      <c r="I1508" s="53"/>
      <c r="U1508" s="31" t="n">
        <f aca="false">IF($B1508='設定（最初に1回）'!$C$4,N(U1507)+1,N(U1507))</f>
        <v>134</v>
      </c>
    </row>
    <row r="1509" customFormat="false" ht="15" hidden="false" customHeight="false" outlineLevel="0" collapsed="false">
      <c r="B1509" s="53"/>
      <c r="I1509" s="53"/>
      <c r="U1509" s="31" t="n">
        <f aca="false">IF($B1509='設定（最初に1回）'!$C$4,N(U1508)+1,N(U1508))</f>
        <v>134</v>
      </c>
    </row>
    <row r="1510" customFormat="false" ht="15" hidden="false" customHeight="false" outlineLevel="0" collapsed="false">
      <c r="B1510" s="53"/>
      <c r="I1510" s="53"/>
      <c r="U1510" s="31" t="n">
        <f aca="false">IF($B1510='設定（最初に1回）'!$C$4,N(U1509)+1,N(U1509))</f>
        <v>134</v>
      </c>
    </row>
    <row r="1511" customFormat="false" ht="15" hidden="false" customHeight="false" outlineLevel="0" collapsed="false">
      <c r="B1511" s="53"/>
      <c r="I1511" s="53"/>
      <c r="U1511" s="31" t="n">
        <f aca="false">IF($B1511='設定（最初に1回）'!$C$4,N(U1510)+1,N(U1510))</f>
        <v>134</v>
      </c>
    </row>
    <row r="1512" customFormat="false" ht="15" hidden="false" customHeight="false" outlineLevel="0" collapsed="false">
      <c r="B1512" s="53"/>
      <c r="I1512" s="53"/>
      <c r="U1512" s="31" t="n">
        <f aca="false">IF($B1512='設定（最初に1回）'!$C$4,N(U1511)+1,N(U1511))</f>
        <v>134</v>
      </c>
    </row>
    <row r="1513" customFormat="false" ht="15" hidden="false" customHeight="false" outlineLevel="0" collapsed="false">
      <c r="B1513" s="53"/>
      <c r="I1513" s="53"/>
      <c r="U1513" s="31" t="n">
        <f aca="false">IF($B1513='設定（最初に1回）'!$C$4,N(U1512)+1,N(U1512))</f>
        <v>134</v>
      </c>
    </row>
    <row r="1514" customFormat="false" ht="15" hidden="false" customHeight="false" outlineLevel="0" collapsed="false">
      <c r="B1514" s="53"/>
      <c r="I1514" s="53"/>
      <c r="U1514" s="31" t="n">
        <f aca="false">IF($B1514='設定（最初に1回）'!$C$4,N(U1513)+1,N(U1513))</f>
        <v>134</v>
      </c>
    </row>
    <row r="1515" customFormat="false" ht="15" hidden="false" customHeight="false" outlineLevel="0" collapsed="false">
      <c r="B1515" s="53"/>
      <c r="I1515" s="53"/>
      <c r="U1515" s="31" t="n">
        <f aca="false">IF($B1515='設定（最初に1回）'!$C$4,N(U1514)+1,N(U1514))</f>
        <v>134</v>
      </c>
    </row>
    <row r="1516" customFormat="false" ht="15" hidden="false" customHeight="false" outlineLevel="0" collapsed="false">
      <c r="B1516" s="53"/>
      <c r="I1516" s="53"/>
      <c r="U1516" s="31" t="n">
        <f aca="false">IF($B1516='設定（最初に1回）'!$C$4,N(U1515)+1,N(U1515))</f>
        <v>134</v>
      </c>
    </row>
    <row r="1517" customFormat="false" ht="15" hidden="false" customHeight="false" outlineLevel="0" collapsed="false">
      <c r="B1517" s="53"/>
      <c r="I1517" s="53"/>
      <c r="U1517" s="31" t="n">
        <f aca="false">IF($B1517='設定（最初に1回）'!$C$4,N(U1516)+1,N(U1516))</f>
        <v>134</v>
      </c>
    </row>
    <row r="1518" customFormat="false" ht="15" hidden="false" customHeight="false" outlineLevel="0" collapsed="false">
      <c r="B1518" s="53"/>
      <c r="I1518" s="53"/>
      <c r="U1518" s="31" t="n">
        <f aca="false">IF($B1518='設定（最初に1回）'!$C$4,N(U1517)+1,N(U1517))</f>
        <v>134</v>
      </c>
    </row>
    <row r="1519" customFormat="false" ht="15" hidden="false" customHeight="false" outlineLevel="0" collapsed="false">
      <c r="B1519" s="53"/>
      <c r="I1519" s="53"/>
      <c r="U1519" s="31" t="n">
        <f aca="false">IF($B1519='設定（最初に1回）'!$C$4,N(U1518)+1,N(U1518))</f>
        <v>134</v>
      </c>
    </row>
    <row r="1520" customFormat="false" ht="15" hidden="false" customHeight="false" outlineLevel="0" collapsed="false">
      <c r="B1520" s="53"/>
      <c r="I1520" s="53"/>
      <c r="U1520" s="31" t="n">
        <f aca="false">IF($B1520='設定（最初に1回）'!$C$4,N(U1519)+1,N(U1519))</f>
        <v>134</v>
      </c>
    </row>
    <row r="1521" customFormat="false" ht="15" hidden="false" customHeight="false" outlineLevel="0" collapsed="false">
      <c r="B1521" s="53"/>
      <c r="I1521" s="53"/>
      <c r="U1521" s="31" t="n">
        <f aca="false">IF($B1521='設定（最初に1回）'!$C$4,N(U1520)+1,N(U1520))</f>
        <v>134</v>
      </c>
    </row>
    <row r="1522" customFormat="false" ht="15" hidden="false" customHeight="false" outlineLevel="0" collapsed="false">
      <c r="B1522" s="53"/>
      <c r="I1522" s="53"/>
      <c r="U1522" s="31" t="n">
        <f aca="false">IF($B1522='設定（最初に1回）'!$C$4,N(U1521)+1,N(U1521))</f>
        <v>134</v>
      </c>
    </row>
    <row r="1523" customFormat="false" ht="15" hidden="false" customHeight="false" outlineLevel="0" collapsed="false">
      <c r="B1523" s="53"/>
      <c r="I1523" s="53"/>
      <c r="U1523" s="31" t="n">
        <f aca="false">IF($B1523='設定（最初に1回）'!$C$4,N(U1522)+1,N(U1522))</f>
        <v>134</v>
      </c>
    </row>
    <row r="1524" customFormat="false" ht="15" hidden="false" customHeight="false" outlineLevel="0" collapsed="false">
      <c r="B1524" s="53"/>
      <c r="I1524" s="53"/>
      <c r="U1524" s="31" t="n">
        <f aca="false">IF($B1524='設定（最初に1回）'!$C$4,N(U1523)+1,N(U1523))</f>
        <v>134</v>
      </c>
    </row>
    <row r="1525" customFormat="false" ht="15" hidden="false" customHeight="false" outlineLevel="0" collapsed="false">
      <c r="B1525" s="53"/>
      <c r="I1525" s="53"/>
      <c r="U1525" s="31" t="n">
        <f aca="false">IF($B1525='設定（最初に1回）'!$C$4,N(U1524)+1,N(U1524))</f>
        <v>134</v>
      </c>
    </row>
    <row r="1526" customFormat="false" ht="15" hidden="false" customHeight="false" outlineLevel="0" collapsed="false">
      <c r="B1526" s="53"/>
      <c r="I1526" s="53"/>
      <c r="U1526" s="31" t="n">
        <f aca="false">IF($B1526='設定（最初に1回）'!$C$4,N(U1525)+1,N(U1525))</f>
        <v>134</v>
      </c>
    </row>
    <row r="1527" customFormat="false" ht="15" hidden="false" customHeight="false" outlineLevel="0" collapsed="false">
      <c r="B1527" s="53"/>
      <c r="I1527" s="53"/>
      <c r="U1527" s="31" t="n">
        <f aca="false">IF($B1527='設定（最初に1回）'!$C$4,N(U1526)+1,N(U1526))</f>
        <v>134</v>
      </c>
    </row>
    <row r="1528" customFormat="false" ht="15" hidden="false" customHeight="false" outlineLevel="0" collapsed="false">
      <c r="B1528" s="53"/>
      <c r="I1528" s="53"/>
      <c r="U1528" s="31" t="n">
        <f aca="false">IF($B1528='設定（最初に1回）'!$C$4,N(U1527)+1,N(U1527))</f>
        <v>134</v>
      </c>
    </row>
    <row r="1529" customFormat="false" ht="15" hidden="false" customHeight="false" outlineLevel="0" collapsed="false">
      <c r="B1529" s="53"/>
      <c r="I1529" s="53"/>
      <c r="U1529" s="31" t="n">
        <f aca="false">IF($B1529='設定（最初に1回）'!$C$4,N(U1528)+1,N(U1528))</f>
        <v>134</v>
      </c>
    </row>
    <row r="1530" customFormat="false" ht="15" hidden="false" customHeight="false" outlineLevel="0" collapsed="false">
      <c r="B1530" s="53"/>
      <c r="I1530" s="53"/>
      <c r="U1530" s="31" t="n">
        <f aca="false">IF($B1530='設定（最初に1回）'!$C$4,N(U1529)+1,N(U1529))</f>
        <v>134</v>
      </c>
    </row>
    <row r="1531" customFormat="false" ht="15" hidden="false" customHeight="false" outlineLevel="0" collapsed="false">
      <c r="B1531" s="53"/>
      <c r="I1531" s="53"/>
      <c r="U1531" s="31" t="n">
        <f aca="false">IF($B1531='設定（最初に1回）'!$C$4,N(U1530)+1,N(U1530))</f>
        <v>134</v>
      </c>
    </row>
    <row r="1532" customFormat="false" ht="15" hidden="false" customHeight="false" outlineLevel="0" collapsed="false">
      <c r="B1532" s="53"/>
      <c r="I1532" s="53"/>
      <c r="U1532" s="31" t="n">
        <f aca="false">IF($B1532='設定（最初に1回）'!$C$4,N(U1531)+1,N(U1531))</f>
        <v>134</v>
      </c>
    </row>
    <row r="1533" customFormat="false" ht="15" hidden="false" customHeight="false" outlineLevel="0" collapsed="false">
      <c r="B1533" s="53"/>
      <c r="I1533" s="53"/>
      <c r="U1533" s="31" t="n">
        <f aca="false">IF($B1533='設定（最初に1回）'!$C$4,N(U1532)+1,N(U1532))</f>
        <v>134</v>
      </c>
    </row>
    <row r="1534" customFormat="false" ht="15" hidden="false" customHeight="false" outlineLevel="0" collapsed="false">
      <c r="B1534" s="53"/>
      <c r="I1534" s="53"/>
      <c r="U1534" s="31" t="n">
        <f aca="false">IF($B1534='設定（最初に1回）'!$C$4,N(U1533)+1,N(U1533))</f>
        <v>134</v>
      </c>
    </row>
    <row r="1535" customFormat="false" ht="15" hidden="false" customHeight="false" outlineLevel="0" collapsed="false">
      <c r="B1535" s="53"/>
      <c r="I1535" s="53"/>
      <c r="U1535" s="31" t="n">
        <f aca="false">IF($B1535='設定（最初に1回）'!$C$4,N(U1534)+1,N(U1534))</f>
        <v>134</v>
      </c>
    </row>
    <row r="1536" customFormat="false" ht="15" hidden="false" customHeight="false" outlineLevel="0" collapsed="false">
      <c r="B1536" s="53"/>
      <c r="I1536" s="53"/>
      <c r="U1536" s="31" t="n">
        <f aca="false">IF($B1536='設定（最初に1回）'!$C$4,N(U1535)+1,N(U1535))</f>
        <v>134</v>
      </c>
    </row>
    <row r="1537" customFormat="false" ht="15" hidden="false" customHeight="false" outlineLevel="0" collapsed="false">
      <c r="B1537" s="53"/>
      <c r="I1537" s="53"/>
      <c r="U1537" s="31" t="n">
        <f aca="false">IF($B1537='設定（最初に1回）'!$C$4,N(U1536)+1,N(U1536))</f>
        <v>134</v>
      </c>
    </row>
    <row r="1538" customFormat="false" ht="15" hidden="false" customHeight="false" outlineLevel="0" collapsed="false">
      <c r="B1538" s="53"/>
      <c r="I1538" s="53"/>
      <c r="U1538" s="31" t="n">
        <f aca="false">IF($B1538='設定（最初に1回）'!$C$4,N(U1537)+1,N(U1537))</f>
        <v>134</v>
      </c>
    </row>
    <row r="1539" customFormat="false" ht="15" hidden="false" customHeight="false" outlineLevel="0" collapsed="false">
      <c r="B1539" s="53"/>
      <c r="I1539" s="53"/>
      <c r="U1539" s="31" t="n">
        <f aca="false">IF($B1539='設定（最初に1回）'!$C$4,N(U1538)+1,N(U1538))</f>
        <v>134</v>
      </c>
    </row>
    <row r="1540" customFormat="false" ht="15" hidden="false" customHeight="false" outlineLevel="0" collapsed="false">
      <c r="B1540" s="53"/>
      <c r="I1540" s="53"/>
      <c r="U1540" s="31" t="n">
        <f aca="false">IF($B1540='設定（最初に1回）'!$C$4,N(U1539)+1,N(U1539))</f>
        <v>134</v>
      </c>
    </row>
    <row r="1541" customFormat="false" ht="15" hidden="false" customHeight="false" outlineLevel="0" collapsed="false">
      <c r="B1541" s="53"/>
      <c r="I1541" s="53"/>
      <c r="U1541" s="31" t="n">
        <f aca="false">IF($B1541='設定（最初に1回）'!$C$4,N(U1540)+1,N(U1540))</f>
        <v>134</v>
      </c>
    </row>
    <row r="1542" customFormat="false" ht="15" hidden="false" customHeight="false" outlineLevel="0" collapsed="false">
      <c r="B1542" s="53"/>
      <c r="I1542" s="53"/>
      <c r="U1542" s="31" t="n">
        <f aca="false">IF($B1542='設定（最初に1回）'!$C$4,N(U1541)+1,N(U1541))</f>
        <v>134</v>
      </c>
    </row>
    <row r="1543" customFormat="false" ht="15" hidden="false" customHeight="false" outlineLevel="0" collapsed="false">
      <c r="B1543" s="53"/>
      <c r="I1543" s="53"/>
      <c r="U1543" s="31" t="n">
        <f aca="false">IF($B1543='設定（最初に1回）'!$C$4,N(U1542)+1,N(U1542))</f>
        <v>134</v>
      </c>
    </row>
    <row r="1544" customFormat="false" ht="15" hidden="false" customHeight="false" outlineLevel="0" collapsed="false">
      <c r="B1544" s="53"/>
      <c r="I1544" s="53"/>
      <c r="U1544" s="31" t="n">
        <f aca="false">IF($B1544='設定（最初に1回）'!$C$4,N(U1543)+1,N(U1543))</f>
        <v>134</v>
      </c>
    </row>
    <row r="1545" customFormat="false" ht="15" hidden="false" customHeight="false" outlineLevel="0" collapsed="false">
      <c r="B1545" s="53"/>
      <c r="I1545" s="53"/>
      <c r="U1545" s="31" t="n">
        <f aca="false">IF($B1545='設定（最初に1回）'!$C$4,N(U1544)+1,N(U1544))</f>
        <v>134</v>
      </c>
    </row>
    <row r="1546" customFormat="false" ht="15" hidden="false" customHeight="false" outlineLevel="0" collapsed="false">
      <c r="B1546" s="53"/>
      <c r="I1546" s="53"/>
      <c r="U1546" s="31" t="n">
        <f aca="false">IF($B1546='設定（最初に1回）'!$C$4,N(U1545)+1,N(U1545))</f>
        <v>134</v>
      </c>
    </row>
    <row r="1547" customFormat="false" ht="15" hidden="false" customHeight="false" outlineLevel="0" collapsed="false">
      <c r="B1547" s="53"/>
      <c r="I1547" s="53"/>
      <c r="U1547" s="31" t="n">
        <f aca="false">IF($B1547='設定（最初に1回）'!$C$4,N(U1546)+1,N(U1546))</f>
        <v>134</v>
      </c>
    </row>
    <row r="1548" customFormat="false" ht="15" hidden="false" customHeight="false" outlineLevel="0" collapsed="false">
      <c r="B1548" s="53"/>
      <c r="I1548" s="53"/>
      <c r="U1548" s="31" t="n">
        <f aca="false">IF($B1548='設定（最初に1回）'!$C$4,N(U1547)+1,N(U1547))</f>
        <v>134</v>
      </c>
    </row>
    <row r="1549" customFormat="false" ht="15" hidden="false" customHeight="false" outlineLevel="0" collapsed="false">
      <c r="B1549" s="53"/>
      <c r="I1549" s="53"/>
      <c r="U1549" s="31" t="n">
        <f aca="false">IF($B1549='設定（最初に1回）'!$C$4,N(U1548)+1,N(U1548))</f>
        <v>134</v>
      </c>
    </row>
    <row r="1550" customFormat="false" ht="15" hidden="false" customHeight="false" outlineLevel="0" collapsed="false">
      <c r="B1550" s="53"/>
      <c r="I1550" s="53"/>
      <c r="U1550" s="31" t="n">
        <f aca="false">IF($B1550='設定（最初に1回）'!$C$4,N(U1549)+1,N(U1549))</f>
        <v>134</v>
      </c>
    </row>
    <row r="1551" customFormat="false" ht="15" hidden="false" customHeight="false" outlineLevel="0" collapsed="false">
      <c r="B1551" s="53"/>
      <c r="I1551" s="53"/>
      <c r="U1551" s="31" t="n">
        <f aca="false">IF($B1551='設定（最初に1回）'!$C$4,N(U1550)+1,N(U1550))</f>
        <v>134</v>
      </c>
    </row>
    <row r="1552" customFormat="false" ht="15" hidden="false" customHeight="false" outlineLevel="0" collapsed="false">
      <c r="B1552" s="53"/>
      <c r="I1552" s="53"/>
      <c r="U1552" s="31" t="n">
        <f aca="false">IF($B1552='設定（最初に1回）'!$C$4,N(U1551)+1,N(U1551))</f>
        <v>134</v>
      </c>
    </row>
    <row r="1553" customFormat="false" ht="15" hidden="false" customHeight="false" outlineLevel="0" collapsed="false">
      <c r="B1553" s="53"/>
      <c r="I1553" s="53"/>
      <c r="U1553" s="31" t="n">
        <f aca="false">IF($B1553='設定（最初に1回）'!$C$4,N(U1552)+1,N(U1552))</f>
        <v>134</v>
      </c>
    </row>
    <row r="1554" customFormat="false" ht="15" hidden="false" customHeight="false" outlineLevel="0" collapsed="false">
      <c r="B1554" s="53"/>
      <c r="I1554" s="53"/>
      <c r="U1554" s="31" t="n">
        <f aca="false">IF($B1554='設定（最初に1回）'!$C$4,N(U1553)+1,N(U1553))</f>
        <v>134</v>
      </c>
    </row>
    <row r="1555" customFormat="false" ht="15" hidden="false" customHeight="false" outlineLevel="0" collapsed="false">
      <c r="B1555" s="53"/>
      <c r="I1555" s="53"/>
      <c r="U1555" s="31" t="n">
        <f aca="false">IF($B1555='設定（最初に1回）'!$C$4,N(U1554)+1,N(U1554))</f>
        <v>134</v>
      </c>
    </row>
    <row r="1556" customFormat="false" ht="15" hidden="false" customHeight="false" outlineLevel="0" collapsed="false">
      <c r="B1556" s="53"/>
      <c r="I1556" s="53"/>
      <c r="U1556" s="31" t="n">
        <f aca="false">IF($B1556='設定（最初に1回）'!$C$4,N(U1555)+1,N(U1555))</f>
        <v>134</v>
      </c>
    </row>
    <row r="1557" customFormat="false" ht="15" hidden="false" customHeight="false" outlineLevel="0" collapsed="false">
      <c r="B1557" s="53"/>
      <c r="I1557" s="53"/>
      <c r="U1557" s="31" t="n">
        <f aca="false">IF($B1557='設定（最初に1回）'!$C$4,N(U1556)+1,N(U1556))</f>
        <v>134</v>
      </c>
    </row>
    <row r="1558" customFormat="false" ht="15" hidden="false" customHeight="false" outlineLevel="0" collapsed="false">
      <c r="B1558" s="53"/>
      <c r="I1558" s="53"/>
      <c r="U1558" s="31" t="n">
        <f aca="false">IF($B1558='設定（最初に1回）'!$C$4,N(U1557)+1,N(U1557))</f>
        <v>134</v>
      </c>
    </row>
    <row r="1559" customFormat="false" ht="15" hidden="false" customHeight="false" outlineLevel="0" collapsed="false">
      <c r="B1559" s="53"/>
      <c r="I1559" s="53"/>
      <c r="U1559" s="31" t="n">
        <f aca="false">IF($B1559='設定（最初に1回）'!$C$4,N(U1558)+1,N(U1558))</f>
        <v>134</v>
      </c>
    </row>
    <row r="1560" customFormat="false" ht="15" hidden="false" customHeight="false" outlineLevel="0" collapsed="false">
      <c r="B1560" s="53"/>
      <c r="I1560" s="53"/>
      <c r="U1560" s="31" t="n">
        <f aca="false">IF($B1560='設定（最初に1回）'!$C$4,N(U1559)+1,N(U1559))</f>
        <v>134</v>
      </c>
    </row>
    <row r="1561" customFormat="false" ht="15" hidden="false" customHeight="false" outlineLevel="0" collapsed="false">
      <c r="B1561" s="53"/>
      <c r="I1561" s="53"/>
      <c r="U1561" s="31" t="n">
        <f aca="false">IF($B1561='設定（最初に1回）'!$C$4,N(U1560)+1,N(U1560))</f>
        <v>134</v>
      </c>
    </row>
    <row r="1562" customFormat="false" ht="15" hidden="false" customHeight="false" outlineLevel="0" collapsed="false">
      <c r="B1562" s="53"/>
      <c r="I1562" s="53"/>
      <c r="U1562" s="31" t="n">
        <f aca="false">IF($B1562='設定（最初に1回）'!$C$4,N(U1561)+1,N(U1561))</f>
        <v>134</v>
      </c>
    </row>
    <row r="1563" customFormat="false" ht="15" hidden="false" customHeight="false" outlineLevel="0" collapsed="false">
      <c r="B1563" s="53"/>
      <c r="I1563" s="53"/>
      <c r="U1563" s="31" t="n">
        <f aca="false">IF($B1563='設定（最初に1回）'!$C$4,N(U1562)+1,N(U1562))</f>
        <v>134</v>
      </c>
    </row>
    <row r="1564" customFormat="false" ht="15" hidden="false" customHeight="false" outlineLevel="0" collapsed="false">
      <c r="B1564" s="53"/>
      <c r="I1564" s="53"/>
      <c r="U1564" s="31" t="n">
        <f aca="false">IF($B1564='設定（最初に1回）'!$C$4,N(U1563)+1,N(U1563))</f>
        <v>134</v>
      </c>
    </row>
    <row r="1565" customFormat="false" ht="15" hidden="false" customHeight="false" outlineLevel="0" collapsed="false">
      <c r="B1565" s="53"/>
      <c r="I1565" s="53"/>
      <c r="U1565" s="31" t="n">
        <f aca="false">IF($B1565='設定（最初に1回）'!$C$4,N(U1564)+1,N(U1564))</f>
        <v>134</v>
      </c>
    </row>
    <row r="1566" customFormat="false" ht="15" hidden="false" customHeight="false" outlineLevel="0" collapsed="false">
      <c r="B1566" s="53"/>
      <c r="I1566" s="53"/>
      <c r="U1566" s="31" t="n">
        <f aca="false">IF($B1566='設定（最初に1回）'!$C$4,N(U1565)+1,N(U1565))</f>
        <v>134</v>
      </c>
    </row>
    <row r="1567" customFormat="false" ht="15" hidden="false" customHeight="false" outlineLevel="0" collapsed="false">
      <c r="B1567" s="53"/>
      <c r="I1567" s="53"/>
      <c r="U1567" s="31" t="n">
        <f aca="false">IF($B1567='設定（最初に1回）'!$C$4,N(U1566)+1,N(U1566))</f>
        <v>134</v>
      </c>
    </row>
    <row r="1568" customFormat="false" ht="15" hidden="false" customHeight="false" outlineLevel="0" collapsed="false">
      <c r="B1568" s="53"/>
      <c r="I1568" s="53"/>
      <c r="U1568" s="31" t="n">
        <f aca="false">IF($B1568='設定（最初に1回）'!$C$4,N(U1567)+1,N(U1567))</f>
        <v>134</v>
      </c>
    </row>
    <row r="1569" customFormat="false" ht="15" hidden="false" customHeight="false" outlineLevel="0" collapsed="false">
      <c r="B1569" s="53"/>
      <c r="I1569" s="53"/>
      <c r="U1569" s="31" t="n">
        <f aca="false">IF($B1569='設定（最初に1回）'!$C$4,N(U1568)+1,N(U1568))</f>
        <v>134</v>
      </c>
    </row>
    <row r="1570" customFormat="false" ht="15" hidden="false" customHeight="false" outlineLevel="0" collapsed="false">
      <c r="B1570" s="53"/>
      <c r="I1570" s="53"/>
      <c r="U1570" s="31" t="n">
        <f aca="false">IF($B1570='設定（最初に1回）'!$C$4,N(U1569)+1,N(U1569))</f>
        <v>134</v>
      </c>
    </row>
    <row r="1571" customFormat="false" ht="15" hidden="false" customHeight="false" outlineLevel="0" collapsed="false">
      <c r="B1571" s="53"/>
      <c r="I1571" s="53"/>
      <c r="U1571" s="31" t="n">
        <f aca="false">IF($B1571='設定（最初に1回）'!$C$4,N(U1570)+1,N(U1570))</f>
        <v>134</v>
      </c>
    </row>
    <row r="1572" customFormat="false" ht="15" hidden="false" customHeight="false" outlineLevel="0" collapsed="false">
      <c r="B1572" s="53"/>
      <c r="I1572" s="53"/>
      <c r="U1572" s="31" t="n">
        <f aca="false">IF($B1572='設定（最初に1回）'!$C$4,N(U1571)+1,N(U1571))</f>
        <v>134</v>
      </c>
    </row>
    <row r="1573" customFormat="false" ht="15" hidden="false" customHeight="false" outlineLevel="0" collapsed="false">
      <c r="B1573" s="53"/>
      <c r="I1573" s="53"/>
      <c r="U1573" s="31" t="n">
        <f aca="false">IF($B1573='設定（最初に1回）'!$C$4,N(U1572)+1,N(U1572))</f>
        <v>134</v>
      </c>
    </row>
    <row r="1574" customFormat="false" ht="15" hidden="false" customHeight="false" outlineLevel="0" collapsed="false">
      <c r="B1574" s="53"/>
      <c r="I1574" s="53"/>
      <c r="U1574" s="31" t="n">
        <f aca="false">IF($B1574='設定（最初に1回）'!$C$4,N(U1573)+1,N(U1573))</f>
        <v>134</v>
      </c>
    </row>
    <row r="1575" customFormat="false" ht="15" hidden="false" customHeight="false" outlineLevel="0" collapsed="false">
      <c r="B1575" s="53"/>
      <c r="I1575" s="53"/>
      <c r="U1575" s="31" t="n">
        <f aca="false">IF($B1575='設定（最初に1回）'!$C$4,N(U1574)+1,N(U1574))</f>
        <v>134</v>
      </c>
    </row>
    <row r="1576" customFormat="false" ht="15" hidden="false" customHeight="false" outlineLevel="0" collapsed="false">
      <c r="B1576" s="53"/>
      <c r="I1576" s="53"/>
      <c r="U1576" s="31" t="n">
        <f aca="false">IF($B1576='設定（最初に1回）'!$C$4,N(U1575)+1,N(U1575))</f>
        <v>134</v>
      </c>
    </row>
    <row r="1577" customFormat="false" ht="15" hidden="false" customHeight="false" outlineLevel="0" collapsed="false">
      <c r="B1577" s="53"/>
      <c r="I1577" s="53"/>
      <c r="U1577" s="31" t="n">
        <f aca="false">IF($B1577='設定（最初に1回）'!$C$4,N(U1576)+1,N(U1576))</f>
        <v>134</v>
      </c>
    </row>
    <row r="1578" customFormat="false" ht="15" hidden="false" customHeight="false" outlineLevel="0" collapsed="false">
      <c r="B1578" s="53"/>
      <c r="I1578" s="53"/>
      <c r="U1578" s="31" t="n">
        <f aca="false">IF($B1578='設定（最初に1回）'!$C$4,N(U1577)+1,N(U1577))</f>
        <v>134</v>
      </c>
    </row>
    <row r="1579" customFormat="false" ht="15" hidden="false" customHeight="false" outlineLevel="0" collapsed="false">
      <c r="B1579" s="53"/>
      <c r="I1579" s="53"/>
      <c r="U1579" s="31" t="n">
        <f aca="false">IF($B1579='設定（最初に1回）'!$C$4,N(U1578)+1,N(U1578))</f>
        <v>134</v>
      </c>
    </row>
    <row r="1580" customFormat="false" ht="15" hidden="false" customHeight="false" outlineLevel="0" collapsed="false">
      <c r="B1580" s="53"/>
      <c r="I1580" s="53"/>
      <c r="U1580" s="31" t="n">
        <f aca="false">IF($B1580='設定（最初に1回）'!$C$4,N(U1579)+1,N(U1579))</f>
        <v>134</v>
      </c>
    </row>
    <row r="1581" customFormat="false" ht="15" hidden="false" customHeight="false" outlineLevel="0" collapsed="false">
      <c r="B1581" s="53"/>
      <c r="I1581" s="53"/>
      <c r="U1581" s="31" t="n">
        <f aca="false">IF($B1581='設定（最初に1回）'!$C$4,N(U1580)+1,N(U1580))</f>
        <v>134</v>
      </c>
    </row>
    <row r="1582" customFormat="false" ht="15" hidden="false" customHeight="false" outlineLevel="0" collapsed="false">
      <c r="B1582" s="53"/>
      <c r="I1582" s="53"/>
      <c r="U1582" s="31" t="n">
        <f aca="false">IF($B1582='設定（最初に1回）'!$C$4,N(U1581)+1,N(U1581))</f>
        <v>134</v>
      </c>
    </row>
    <row r="1583" customFormat="false" ht="15" hidden="false" customHeight="false" outlineLevel="0" collapsed="false">
      <c r="B1583" s="53"/>
      <c r="I1583" s="53"/>
      <c r="U1583" s="31" t="n">
        <f aca="false">IF($B1583='設定（最初に1回）'!$C$4,N(U1582)+1,N(U1582))</f>
        <v>134</v>
      </c>
    </row>
    <row r="1584" customFormat="false" ht="15" hidden="false" customHeight="false" outlineLevel="0" collapsed="false">
      <c r="B1584" s="53"/>
      <c r="I1584" s="53"/>
      <c r="U1584" s="31" t="n">
        <f aca="false">IF($B1584='設定（最初に1回）'!$C$4,N(U1583)+1,N(U1583))</f>
        <v>134</v>
      </c>
    </row>
    <row r="1585" customFormat="false" ht="15" hidden="false" customHeight="false" outlineLevel="0" collapsed="false">
      <c r="B1585" s="53"/>
      <c r="I1585" s="53"/>
      <c r="U1585" s="31" t="n">
        <f aca="false">IF($B1585='設定（最初に1回）'!$C$4,N(U1584)+1,N(U1584))</f>
        <v>134</v>
      </c>
    </row>
    <row r="1586" customFormat="false" ht="15" hidden="false" customHeight="false" outlineLevel="0" collapsed="false">
      <c r="B1586" s="53"/>
      <c r="I1586" s="53"/>
      <c r="U1586" s="31" t="n">
        <f aca="false">IF($B1586='設定（最初に1回）'!$C$4,N(U1585)+1,N(U1585))</f>
        <v>134</v>
      </c>
    </row>
    <row r="1587" customFormat="false" ht="15" hidden="false" customHeight="false" outlineLevel="0" collapsed="false">
      <c r="B1587" s="53"/>
      <c r="I1587" s="53"/>
      <c r="U1587" s="31" t="n">
        <f aca="false">IF($B1587='設定（最初に1回）'!$C$4,N(U1586)+1,N(U1586))</f>
        <v>134</v>
      </c>
    </row>
    <row r="1588" customFormat="false" ht="15" hidden="false" customHeight="false" outlineLevel="0" collapsed="false">
      <c r="B1588" s="53"/>
      <c r="I1588" s="53"/>
      <c r="U1588" s="31" t="n">
        <f aca="false">IF($B1588='設定（最初に1回）'!$C$4,N(U1587)+1,N(U1587))</f>
        <v>134</v>
      </c>
    </row>
    <row r="1589" customFormat="false" ht="15" hidden="false" customHeight="false" outlineLevel="0" collapsed="false">
      <c r="B1589" s="53"/>
      <c r="I1589" s="53"/>
      <c r="U1589" s="31" t="n">
        <f aca="false">IF($B1589='設定（最初に1回）'!$C$4,N(U1588)+1,N(U1588))</f>
        <v>134</v>
      </c>
    </row>
    <row r="1590" customFormat="false" ht="15" hidden="false" customHeight="false" outlineLevel="0" collapsed="false">
      <c r="B1590" s="53"/>
      <c r="I1590" s="53"/>
      <c r="U1590" s="31" t="n">
        <f aca="false">IF($B1590='設定（最初に1回）'!$C$4,N(U1589)+1,N(U1589))</f>
        <v>134</v>
      </c>
    </row>
    <row r="1591" customFormat="false" ht="15" hidden="false" customHeight="false" outlineLevel="0" collapsed="false">
      <c r="B1591" s="53"/>
      <c r="I1591" s="53"/>
      <c r="U1591" s="31" t="n">
        <f aca="false">IF($B1591='設定（最初に1回）'!$C$4,N(U1590)+1,N(U1590))</f>
        <v>134</v>
      </c>
    </row>
    <row r="1592" customFormat="false" ht="15" hidden="false" customHeight="false" outlineLevel="0" collapsed="false">
      <c r="B1592" s="53"/>
      <c r="I1592" s="53"/>
      <c r="U1592" s="31" t="n">
        <f aca="false">IF($B1592='設定（最初に1回）'!$C$4,N(U1591)+1,N(U1591))</f>
        <v>134</v>
      </c>
    </row>
    <row r="1593" customFormat="false" ht="15" hidden="false" customHeight="false" outlineLevel="0" collapsed="false">
      <c r="B1593" s="53"/>
      <c r="I1593" s="53"/>
      <c r="U1593" s="31" t="n">
        <f aca="false">IF($B1593='設定（最初に1回）'!$C$4,N(U1592)+1,N(U1592))</f>
        <v>134</v>
      </c>
    </row>
    <row r="1594" customFormat="false" ht="15" hidden="false" customHeight="false" outlineLevel="0" collapsed="false">
      <c r="B1594" s="53"/>
      <c r="I1594" s="53"/>
      <c r="U1594" s="31" t="n">
        <f aca="false">IF($B1594='設定（最初に1回）'!$C$4,N(U1593)+1,N(U1593))</f>
        <v>134</v>
      </c>
    </row>
    <row r="1595" customFormat="false" ht="15" hidden="false" customHeight="false" outlineLevel="0" collapsed="false">
      <c r="B1595" s="53"/>
      <c r="I1595" s="53"/>
      <c r="U1595" s="31" t="n">
        <f aca="false">IF($B1595='設定（最初に1回）'!$C$4,N(U1594)+1,N(U1594))</f>
        <v>134</v>
      </c>
    </row>
    <row r="1596" customFormat="false" ht="15" hidden="false" customHeight="false" outlineLevel="0" collapsed="false">
      <c r="B1596" s="53"/>
      <c r="I1596" s="53"/>
      <c r="U1596" s="31" t="n">
        <f aca="false">IF($B1596='設定（最初に1回）'!$C$4,N(U1595)+1,N(U1595))</f>
        <v>134</v>
      </c>
    </row>
    <row r="1597" customFormat="false" ht="15" hidden="false" customHeight="false" outlineLevel="0" collapsed="false">
      <c r="B1597" s="53"/>
      <c r="I1597" s="53"/>
      <c r="U1597" s="31" t="n">
        <f aca="false">IF($B1597='設定（最初に1回）'!$C$4,N(U1596)+1,N(U1596))</f>
        <v>134</v>
      </c>
    </row>
    <row r="1598" customFormat="false" ht="15" hidden="false" customHeight="false" outlineLevel="0" collapsed="false">
      <c r="B1598" s="53"/>
      <c r="I1598" s="53"/>
      <c r="U1598" s="31" t="n">
        <f aca="false">IF($B1598='設定（最初に1回）'!$C$4,N(U1597)+1,N(U1597))</f>
        <v>134</v>
      </c>
    </row>
    <row r="1599" customFormat="false" ht="15" hidden="false" customHeight="false" outlineLevel="0" collapsed="false">
      <c r="B1599" s="53"/>
      <c r="I1599" s="53"/>
      <c r="U1599" s="31" t="n">
        <f aca="false">IF($B1599='設定（最初に1回）'!$C$4,N(U1598)+1,N(U1598))</f>
        <v>134</v>
      </c>
    </row>
    <row r="1600" customFormat="false" ht="15" hidden="false" customHeight="false" outlineLevel="0" collapsed="false">
      <c r="B1600" s="53"/>
      <c r="I1600" s="53"/>
      <c r="U1600" s="31" t="n">
        <f aca="false">IF($B1600='設定（最初に1回）'!$C$4,N(U1599)+1,N(U1599))</f>
        <v>134</v>
      </c>
    </row>
    <row r="1601" customFormat="false" ht="15" hidden="false" customHeight="false" outlineLevel="0" collapsed="false">
      <c r="B1601" s="53"/>
      <c r="I1601" s="53"/>
      <c r="U1601" s="31" t="n">
        <f aca="false">IF($B1601='設定（最初に1回）'!$C$4,N(U1600)+1,N(U1600))</f>
        <v>134</v>
      </c>
    </row>
    <row r="1602" customFormat="false" ht="15" hidden="false" customHeight="false" outlineLevel="0" collapsed="false">
      <c r="B1602" s="53"/>
      <c r="I1602" s="53"/>
      <c r="U1602" s="31" t="n">
        <f aca="false">IF($B1602='設定（最初に1回）'!$C$4,N(U1601)+1,N(U1601))</f>
        <v>134</v>
      </c>
    </row>
    <row r="1603" customFormat="false" ht="15" hidden="false" customHeight="false" outlineLevel="0" collapsed="false">
      <c r="B1603" s="53"/>
      <c r="I1603" s="53"/>
      <c r="U1603" s="31" t="n">
        <f aca="false">IF($B1603='設定（最初に1回）'!$C$4,N(U1602)+1,N(U1602))</f>
        <v>134</v>
      </c>
    </row>
    <row r="1604" customFormat="false" ht="15" hidden="false" customHeight="false" outlineLevel="0" collapsed="false">
      <c r="B1604" s="53"/>
      <c r="I1604" s="53"/>
      <c r="U1604" s="31" t="n">
        <f aca="false">IF($B1604='設定（最初に1回）'!$C$4,N(U1603)+1,N(U1603))</f>
        <v>134</v>
      </c>
    </row>
    <row r="1605" customFormat="false" ht="15" hidden="false" customHeight="false" outlineLevel="0" collapsed="false">
      <c r="B1605" s="53"/>
      <c r="I1605" s="53"/>
      <c r="U1605" s="31" t="n">
        <f aca="false">IF($B1605='設定（最初に1回）'!$C$4,N(U1604)+1,N(U1604))</f>
        <v>134</v>
      </c>
    </row>
    <row r="1606" customFormat="false" ht="15" hidden="false" customHeight="false" outlineLevel="0" collapsed="false">
      <c r="B1606" s="53"/>
      <c r="I1606" s="53"/>
      <c r="U1606" s="31" t="n">
        <f aca="false">IF($B1606='設定（最初に1回）'!$C$4,N(U1605)+1,N(U1605))</f>
        <v>134</v>
      </c>
    </row>
    <row r="1607" customFormat="false" ht="15" hidden="false" customHeight="false" outlineLevel="0" collapsed="false">
      <c r="B1607" s="53"/>
      <c r="I1607" s="53"/>
      <c r="U1607" s="31" t="n">
        <f aca="false">IF($B1607='設定（最初に1回）'!$C$4,N(U1606)+1,N(U1606))</f>
        <v>134</v>
      </c>
    </row>
    <row r="1608" customFormat="false" ht="15" hidden="false" customHeight="false" outlineLevel="0" collapsed="false">
      <c r="B1608" s="53"/>
      <c r="I1608" s="53"/>
      <c r="U1608" s="31" t="n">
        <f aca="false">IF($B1608='設定（最初に1回）'!$C$4,N(U1607)+1,N(U1607))</f>
        <v>134</v>
      </c>
    </row>
    <row r="1609" customFormat="false" ht="15" hidden="false" customHeight="false" outlineLevel="0" collapsed="false">
      <c r="B1609" s="53"/>
      <c r="I1609" s="53"/>
      <c r="U1609" s="31" t="n">
        <f aca="false">IF($B1609='設定（最初に1回）'!$C$4,N(U1608)+1,N(U1608))</f>
        <v>134</v>
      </c>
    </row>
    <row r="1610" customFormat="false" ht="15" hidden="false" customHeight="false" outlineLevel="0" collapsed="false">
      <c r="B1610" s="53"/>
      <c r="I1610" s="53"/>
      <c r="U1610" s="31" t="n">
        <f aca="false">IF($B1610='設定（最初に1回）'!$C$4,N(U1609)+1,N(U1609))</f>
        <v>134</v>
      </c>
    </row>
    <row r="1611" customFormat="false" ht="15" hidden="false" customHeight="false" outlineLevel="0" collapsed="false">
      <c r="B1611" s="53"/>
      <c r="I1611" s="53"/>
      <c r="U1611" s="31" t="n">
        <f aca="false">IF($B1611='設定（最初に1回）'!$C$4,N(U1610)+1,N(U1610))</f>
        <v>134</v>
      </c>
    </row>
    <row r="1612" customFormat="false" ht="15" hidden="false" customHeight="false" outlineLevel="0" collapsed="false">
      <c r="B1612" s="53"/>
      <c r="I1612" s="53"/>
      <c r="U1612" s="31" t="n">
        <f aca="false">IF($B1612='設定（最初に1回）'!$C$4,N(U1611)+1,N(U1611))</f>
        <v>134</v>
      </c>
    </row>
    <row r="1613" customFormat="false" ht="15" hidden="false" customHeight="false" outlineLevel="0" collapsed="false">
      <c r="B1613" s="53"/>
      <c r="I1613" s="53"/>
      <c r="U1613" s="31" t="n">
        <f aca="false">IF($B1613='設定（最初に1回）'!$C$4,N(U1612)+1,N(U1612))</f>
        <v>134</v>
      </c>
    </row>
    <row r="1614" customFormat="false" ht="15" hidden="false" customHeight="false" outlineLevel="0" collapsed="false">
      <c r="B1614" s="53"/>
      <c r="I1614" s="53"/>
      <c r="U1614" s="31" t="n">
        <f aca="false">IF($B1614='設定（最初に1回）'!$C$4,N(U1613)+1,N(U1613))</f>
        <v>134</v>
      </c>
    </row>
    <row r="1615" customFormat="false" ht="15" hidden="false" customHeight="false" outlineLevel="0" collapsed="false">
      <c r="B1615" s="53"/>
      <c r="I1615" s="53"/>
      <c r="U1615" s="31" t="n">
        <f aca="false">IF($B1615='設定（最初に1回）'!$C$4,N(U1614)+1,N(U1614))</f>
        <v>134</v>
      </c>
    </row>
    <row r="1616" customFormat="false" ht="15" hidden="false" customHeight="false" outlineLevel="0" collapsed="false">
      <c r="B1616" s="53"/>
      <c r="I1616" s="53"/>
      <c r="U1616" s="31" t="n">
        <f aca="false">IF($B1616='設定（最初に1回）'!$C$4,N(U1615)+1,N(U1615))</f>
        <v>134</v>
      </c>
    </row>
    <row r="1617" customFormat="false" ht="15" hidden="false" customHeight="false" outlineLevel="0" collapsed="false">
      <c r="B1617" s="53"/>
      <c r="I1617" s="53"/>
      <c r="U1617" s="31" t="n">
        <f aca="false">IF($B1617='設定（最初に1回）'!$C$4,N(U1616)+1,N(U1616))</f>
        <v>134</v>
      </c>
    </row>
    <row r="1618" customFormat="false" ht="15" hidden="false" customHeight="false" outlineLevel="0" collapsed="false">
      <c r="B1618" s="53"/>
      <c r="I1618" s="53"/>
      <c r="U1618" s="31" t="n">
        <f aca="false">IF($B1618='設定（最初に1回）'!$C$4,N(U1617)+1,N(U1617))</f>
        <v>134</v>
      </c>
    </row>
    <row r="1619" customFormat="false" ht="15" hidden="false" customHeight="false" outlineLevel="0" collapsed="false">
      <c r="B1619" s="53"/>
      <c r="I1619" s="53"/>
      <c r="U1619" s="31" t="n">
        <f aca="false">IF($B1619='設定（最初に1回）'!$C$4,N(U1618)+1,N(U1618))</f>
        <v>134</v>
      </c>
    </row>
    <row r="1620" customFormat="false" ht="15" hidden="false" customHeight="false" outlineLevel="0" collapsed="false">
      <c r="B1620" s="53"/>
      <c r="I1620" s="53"/>
      <c r="U1620" s="31" t="n">
        <f aca="false">IF($B1620='設定（最初に1回）'!$C$4,N(U1619)+1,N(U1619))</f>
        <v>134</v>
      </c>
    </row>
    <row r="1621" customFormat="false" ht="15" hidden="false" customHeight="false" outlineLevel="0" collapsed="false">
      <c r="B1621" s="53"/>
      <c r="I1621" s="53"/>
      <c r="U1621" s="31" t="n">
        <f aca="false">IF($B1621='設定（最初に1回）'!$C$4,N(U1620)+1,N(U1620))</f>
        <v>134</v>
      </c>
    </row>
    <row r="1622" customFormat="false" ht="15" hidden="false" customHeight="false" outlineLevel="0" collapsed="false">
      <c r="B1622" s="53"/>
      <c r="I1622" s="53"/>
      <c r="U1622" s="31" t="n">
        <f aca="false">IF($B1622='設定（最初に1回）'!$C$4,N(U1621)+1,N(U1621))</f>
        <v>134</v>
      </c>
    </row>
    <row r="1623" customFormat="false" ht="15" hidden="false" customHeight="false" outlineLevel="0" collapsed="false">
      <c r="B1623" s="53"/>
      <c r="I1623" s="53"/>
      <c r="U1623" s="31" t="n">
        <f aca="false">IF($B1623='設定（最初に1回）'!$C$4,N(U1622)+1,N(U1622))</f>
        <v>134</v>
      </c>
    </row>
    <row r="1624" customFormat="false" ht="15" hidden="false" customHeight="false" outlineLevel="0" collapsed="false">
      <c r="B1624" s="53"/>
      <c r="I1624" s="53"/>
      <c r="U1624" s="31" t="n">
        <f aca="false">IF($B1624='設定（最初に1回）'!$C$4,N(U1623)+1,N(U1623))</f>
        <v>134</v>
      </c>
    </row>
    <row r="1625" customFormat="false" ht="15" hidden="false" customHeight="false" outlineLevel="0" collapsed="false">
      <c r="B1625" s="53"/>
      <c r="I1625" s="53"/>
      <c r="U1625" s="31" t="n">
        <f aca="false">IF($B1625='設定（最初に1回）'!$C$4,N(U1624)+1,N(U1624))</f>
        <v>134</v>
      </c>
    </row>
    <row r="1626" customFormat="false" ht="15" hidden="false" customHeight="false" outlineLevel="0" collapsed="false">
      <c r="B1626" s="53"/>
      <c r="I1626" s="53"/>
      <c r="U1626" s="31" t="n">
        <f aca="false">IF($B1626='設定（最初に1回）'!$C$4,N(U1625)+1,N(U1625))</f>
        <v>134</v>
      </c>
    </row>
    <row r="1627" customFormat="false" ht="15" hidden="false" customHeight="false" outlineLevel="0" collapsed="false">
      <c r="B1627" s="53"/>
      <c r="I1627" s="53"/>
      <c r="U1627" s="31" t="n">
        <f aca="false">IF($B1627='設定（最初に1回）'!$C$4,N(U1626)+1,N(U1626))</f>
        <v>134</v>
      </c>
    </row>
    <row r="1628" customFormat="false" ht="15" hidden="false" customHeight="false" outlineLevel="0" collapsed="false">
      <c r="B1628" s="53"/>
      <c r="I1628" s="53"/>
      <c r="U1628" s="31" t="n">
        <f aca="false">IF($B1628='設定（最初に1回）'!$C$4,N(U1627)+1,N(U1627))</f>
        <v>134</v>
      </c>
    </row>
    <row r="1629" customFormat="false" ht="15" hidden="false" customHeight="false" outlineLevel="0" collapsed="false">
      <c r="B1629" s="53"/>
      <c r="I1629" s="53"/>
      <c r="U1629" s="31" t="n">
        <f aca="false">IF($B1629='設定（最初に1回）'!$C$4,N(U1628)+1,N(U1628))</f>
        <v>134</v>
      </c>
    </row>
    <row r="1630" customFormat="false" ht="15" hidden="false" customHeight="false" outlineLevel="0" collapsed="false">
      <c r="B1630" s="53"/>
      <c r="I1630" s="53"/>
      <c r="U1630" s="31" t="n">
        <f aca="false">IF($B1630='設定（最初に1回）'!$C$4,N(U1629)+1,N(U1629))</f>
        <v>134</v>
      </c>
    </row>
    <row r="1631" customFormat="false" ht="15" hidden="false" customHeight="false" outlineLevel="0" collapsed="false">
      <c r="B1631" s="53"/>
      <c r="I1631" s="53"/>
      <c r="U1631" s="31" t="n">
        <f aca="false">IF($B1631='設定（最初に1回）'!$C$4,N(U1630)+1,N(U1630))</f>
        <v>134</v>
      </c>
    </row>
    <row r="1632" customFormat="false" ht="15" hidden="false" customHeight="false" outlineLevel="0" collapsed="false">
      <c r="B1632" s="53"/>
      <c r="I1632" s="53"/>
      <c r="U1632" s="31" t="n">
        <f aca="false">IF($B1632='設定（最初に1回）'!$C$4,N(U1631)+1,N(U1631))</f>
        <v>134</v>
      </c>
    </row>
    <row r="1633" customFormat="false" ht="15" hidden="false" customHeight="false" outlineLevel="0" collapsed="false">
      <c r="B1633" s="53"/>
      <c r="I1633" s="53"/>
      <c r="U1633" s="31" t="n">
        <f aca="false">IF($B1633='設定（最初に1回）'!$C$4,N(U1632)+1,N(U1632))</f>
        <v>134</v>
      </c>
    </row>
    <row r="1634" customFormat="false" ht="15" hidden="false" customHeight="false" outlineLevel="0" collapsed="false">
      <c r="B1634" s="53"/>
      <c r="I1634" s="53"/>
      <c r="U1634" s="31" t="n">
        <f aca="false">IF($B1634='設定（最初に1回）'!$C$4,N(U1633)+1,N(U1633))</f>
        <v>134</v>
      </c>
    </row>
    <row r="1635" customFormat="false" ht="15" hidden="false" customHeight="false" outlineLevel="0" collapsed="false">
      <c r="B1635" s="53"/>
      <c r="I1635" s="53"/>
      <c r="U1635" s="31" t="n">
        <f aca="false">IF($B1635='設定（最初に1回）'!$C$4,N(U1634)+1,N(U1634))</f>
        <v>134</v>
      </c>
    </row>
    <row r="1636" customFormat="false" ht="15" hidden="false" customHeight="false" outlineLevel="0" collapsed="false">
      <c r="B1636" s="53"/>
      <c r="I1636" s="53"/>
      <c r="U1636" s="31" t="n">
        <f aca="false">IF($B1636='設定（最初に1回）'!$C$4,N(U1635)+1,N(U1635))</f>
        <v>134</v>
      </c>
    </row>
    <row r="1637" customFormat="false" ht="15" hidden="false" customHeight="false" outlineLevel="0" collapsed="false">
      <c r="B1637" s="53"/>
      <c r="I1637" s="53"/>
      <c r="U1637" s="31" t="n">
        <f aca="false">IF($B1637='設定（最初に1回）'!$C$4,N(U1636)+1,N(U1636))</f>
        <v>134</v>
      </c>
    </row>
    <row r="1638" customFormat="false" ht="15" hidden="false" customHeight="false" outlineLevel="0" collapsed="false">
      <c r="B1638" s="53"/>
      <c r="I1638" s="53"/>
      <c r="U1638" s="31" t="n">
        <f aca="false">IF($B1638='設定（最初に1回）'!$C$4,N(U1637)+1,N(U1637))</f>
        <v>134</v>
      </c>
    </row>
    <row r="1639" customFormat="false" ht="15" hidden="false" customHeight="false" outlineLevel="0" collapsed="false">
      <c r="B1639" s="53"/>
      <c r="I1639" s="53"/>
      <c r="U1639" s="31" t="n">
        <f aca="false">IF($B1639='設定（最初に1回）'!$C$4,N(U1638)+1,N(U1638))</f>
        <v>134</v>
      </c>
    </row>
    <row r="1640" customFormat="false" ht="15" hidden="false" customHeight="false" outlineLevel="0" collapsed="false">
      <c r="B1640" s="53"/>
      <c r="I1640" s="53"/>
      <c r="U1640" s="31" t="n">
        <f aca="false">IF($B1640='設定（最初に1回）'!$C$4,N(U1639)+1,N(U1639))</f>
        <v>134</v>
      </c>
    </row>
    <row r="1641" customFormat="false" ht="15" hidden="false" customHeight="false" outlineLevel="0" collapsed="false">
      <c r="B1641" s="53"/>
      <c r="I1641" s="53"/>
      <c r="U1641" s="31" t="n">
        <f aca="false">IF($B1641='設定（最初に1回）'!$C$4,N(U1640)+1,N(U1640))</f>
        <v>134</v>
      </c>
    </row>
    <row r="1642" customFormat="false" ht="15" hidden="false" customHeight="false" outlineLevel="0" collapsed="false">
      <c r="B1642" s="53"/>
      <c r="I1642" s="53"/>
      <c r="U1642" s="31" t="n">
        <f aca="false">IF($B1642='設定（最初に1回）'!$C$4,N(U1641)+1,N(U1641))</f>
        <v>134</v>
      </c>
    </row>
    <row r="1643" customFormat="false" ht="15" hidden="false" customHeight="false" outlineLevel="0" collapsed="false">
      <c r="B1643" s="53"/>
      <c r="I1643" s="53"/>
      <c r="U1643" s="31" t="n">
        <f aca="false">IF($B1643='設定（最初に1回）'!$C$4,N(U1642)+1,N(U1642))</f>
        <v>134</v>
      </c>
    </row>
    <row r="1644" customFormat="false" ht="15" hidden="false" customHeight="false" outlineLevel="0" collapsed="false">
      <c r="B1644" s="53"/>
      <c r="I1644" s="53"/>
      <c r="U1644" s="31" t="n">
        <f aca="false">IF($B1644='設定（最初に1回）'!$C$4,N(U1643)+1,N(U1643))</f>
        <v>134</v>
      </c>
    </row>
    <row r="1645" customFormat="false" ht="15" hidden="false" customHeight="false" outlineLevel="0" collapsed="false">
      <c r="B1645" s="53"/>
      <c r="I1645" s="53"/>
      <c r="U1645" s="31" t="n">
        <f aca="false">IF($B1645='設定（最初に1回）'!$C$4,N(U1644)+1,N(U1644))</f>
        <v>134</v>
      </c>
    </row>
    <row r="1646" customFormat="false" ht="15" hidden="false" customHeight="false" outlineLevel="0" collapsed="false">
      <c r="B1646" s="53"/>
      <c r="I1646" s="53"/>
      <c r="U1646" s="31" t="n">
        <f aca="false">IF($B1646='設定（最初に1回）'!$C$4,N(U1645)+1,N(U1645))</f>
        <v>134</v>
      </c>
    </row>
    <row r="1647" customFormat="false" ht="15" hidden="false" customHeight="false" outlineLevel="0" collapsed="false">
      <c r="B1647" s="53"/>
      <c r="I1647" s="53"/>
      <c r="U1647" s="31" t="n">
        <f aca="false">IF($B1647='設定（最初に1回）'!$C$4,N(U1646)+1,N(U1646))</f>
        <v>134</v>
      </c>
    </row>
    <row r="1648" customFormat="false" ht="15" hidden="false" customHeight="false" outlineLevel="0" collapsed="false">
      <c r="B1648" s="53"/>
      <c r="I1648" s="53"/>
      <c r="U1648" s="31" t="n">
        <f aca="false">IF($B1648='設定（最初に1回）'!$C$4,N(U1647)+1,N(U1647))</f>
        <v>134</v>
      </c>
    </row>
    <row r="1649" customFormat="false" ht="15" hidden="false" customHeight="false" outlineLevel="0" collapsed="false">
      <c r="B1649" s="53"/>
      <c r="I1649" s="53"/>
      <c r="U1649" s="31" t="n">
        <f aca="false">IF($B1649='設定（最初に1回）'!$C$4,N(U1648)+1,N(U1648))</f>
        <v>134</v>
      </c>
    </row>
    <row r="1650" customFormat="false" ht="15" hidden="false" customHeight="false" outlineLevel="0" collapsed="false">
      <c r="B1650" s="53"/>
      <c r="I1650" s="53"/>
      <c r="U1650" s="31" t="n">
        <f aca="false">IF($B1650='設定（最初に1回）'!$C$4,N(U1649)+1,N(U1649))</f>
        <v>134</v>
      </c>
    </row>
    <row r="1651" customFormat="false" ht="15" hidden="false" customHeight="false" outlineLevel="0" collapsed="false">
      <c r="B1651" s="53"/>
      <c r="I1651" s="53"/>
      <c r="U1651" s="31" t="n">
        <f aca="false">IF($B1651='設定（最初に1回）'!$C$4,N(U1650)+1,N(U1650))</f>
        <v>134</v>
      </c>
    </row>
    <row r="1652" customFormat="false" ht="15" hidden="false" customHeight="false" outlineLevel="0" collapsed="false">
      <c r="B1652" s="53"/>
      <c r="I1652" s="53"/>
      <c r="U1652" s="31" t="n">
        <f aca="false">IF($B1652='設定（最初に1回）'!$C$4,N(U1651)+1,N(U1651))</f>
        <v>134</v>
      </c>
    </row>
    <row r="1653" customFormat="false" ht="15" hidden="false" customHeight="false" outlineLevel="0" collapsed="false">
      <c r="B1653" s="53"/>
      <c r="I1653" s="53"/>
      <c r="U1653" s="31" t="n">
        <f aca="false">IF($B1653='設定（最初に1回）'!$C$4,N(U1652)+1,N(U1652))</f>
        <v>134</v>
      </c>
    </row>
    <row r="1654" customFormat="false" ht="15" hidden="false" customHeight="false" outlineLevel="0" collapsed="false">
      <c r="B1654" s="53"/>
      <c r="I1654" s="53"/>
      <c r="U1654" s="31" t="n">
        <f aca="false">IF($B1654='設定（最初に1回）'!$C$4,N(U1653)+1,N(U1653))</f>
        <v>134</v>
      </c>
    </row>
    <row r="1655" customFormat="false" ht="15" hidden="false" customHeight="false" outlineLevel="0" collapsed="false">
      <c r="B1655" s="53"/>
      <c r="I1655" s="53"/>
      <c r="U1655" s="31" t="n">
        <f aca="false">IF($B1655='設定（最初に1回）'!$C$4,N(U1654)+1,N(U1654))</f>
        <v>134</v>
      </c>
    </row>
    <row r="1656" customFormat="false" ht="15" hidden="false" customHeight="false" outlineLevel="0" collapsed="false">
      <c r="B1656" s="53"/>
      <c r="I1656" s="53"/>
      <c r="U1656" s="31" t="n">
        <f aca="false">IF($B1656='設定（最初に1回）'!$C$4,N(U1655)+1,N(U1655))</f>
        <v>134</v>
      </c>
    </row>
    <row r="1657" customFormat="false" ht="15" hidden="false" customHeight="false" outlineLevel="0" collapsed="false">
      <c r="B1657" s="53"/>
      <c r="I1657" s="53"/>
      <c r="U1657" s="31" t="n">
        <f aca="false">IF($B1657='設定（最初に1回）'!$C$4,N(U1656)+1,N(U1656))</f>
        <v>134</v>
      </c>
    </row>
    <row r="1658" customFormat="false" ht="15" hidden="false" customHeight="false" outlineLevel="0" collapsed="false">
      <c r="B1658" s="53"/>
      <c r="I1658" s="53"/>
      <c r="U1658" s="31" t="n">
        <f aca="false">IF($B1658='設定（最初に1回）'!$C$4,N(U1657)+1,N(U1657))</f>
        <v>134</v>
      </c>
    </row>
    <row r="1659" customFormat="false" ht="15" hidden="false" customHeight="false" outlineLevel="0" collapsed="false">
      <c r="B1659" s="53"/>
      <c r="I1659" s="53"/>
      <c r="U1659" s="31" t="n">
        <f aca="false">IF($B1659='設定（最初に1回）'!$C$4,N(U1658)+1,N(U1658))</f>
        <v>134</v>
      </c>
    </row>
    <row r="1660" customFormat="false" ht="15" hidden="false" customHeight="false" outlineLevel="0" collapsed="false">
      <c r="B1660" s="53"/>
      <c r="I1660" s="53"/>
      <c r="U1660" s="31" t="n">
        <f aca="false">IF($B1660='設定（最初に1回）'!$C$4,N(U1659)+1,N(U1659))</f>
        <v>134</v>
      </c>
    </row>
    <row r="1661" customFormat="false" ht="15" hidden="false" customHeight="false" outlineLevel="0" collapsed="false">
      <c r="B1661" s="53"/>
      <c r="I1661" s="53"/>
      <c r="U1661" s="31" t="n">
        <f aca="false">IF($B1661='設定（最初に1回）'!$C$4,N(U1660)+1,N(U1660))</f>
        <v>134</v>
      </c>
    </row>
    <row r="1662" customFormat="false" ht="15" hidden="false" customHeight="false" outlineLevel="0" collapsed="false">
      <c r="B1662" s="53"/>
      <c r="I1662" s="53"/>
      <c r="U1662" s="31" t="n">
        <f aca="false">IF($B1662='設定（最初に1回）'!$C$4,N(U1661)+1,N(U1661))</f>
        <v>134</v>
      </c>
    </row>
    <row r="1663" customFormat="false" ht="15" hidden="false" customHeight="false" outlineLevel="0" collapsed="false">
      <c r="B1663" s="53"/>
      <c r="I1663" s="53"/>
      <c r="U1663" s="31" t="n">
        <f aca="false">IF($B1663='設定（最初に1回）'!$C$4,N(U1662)+1,N(U1662))</f>
        <v>134</v>
      </c>
    </row>
    <row r="1664" customFormat="false" ht="15" hidden="false" customHeight="false" outlineLevel="0" collapsed="false">
      <c r="B1664" s="53"/>
      <c r="I1664" s="53"/>
      <c r="U1664" s="31" t="n">
        <f aca="false">IF($B1664='設定（最初に1回）'!$C$4,N(U1663)+1,N(U1663))</f>
        <v>134</v>
      </c>
    </row>
    <row r="1665" customFormat="false" ht="15" hidden="false" customHeight="false" outlineLevel="0" collapsed="false">
      <c r="B1665" s="53"/>
      <c r="I1665" s="53"/>
      <c r="U1665" s="31" t="n">
        <f aca="false">IF($B1665='設定（最初に1回）'!$C$4,N(U1664)+1,N(U1664))</f>
        <v>134</v>
      </c>
    </row>
    <row r="1666" customFormat="false" ht="15" hidden="false" customHeight="false" outlineLevel="0" collapsed="false">
      <c r="B1666" s="53"/>
      <c r="I1666" s="53"/>
      <c r="U1666" s="31" t="n">
        <f aca="false">IF($B1666='設定（最初に1回）'!$C$4,N(U1665)+1,N(U1665))</f>
        <v>134</v>
      </c>
    </row>
    <row r="1667" customFormat="false" ht="15" hidden="false" customHeight="false" outlineLevel="0" collapsed="false">
      <c r="B1667" s="53"/>
      <c r="I1667" s="53"/>
      <c r="U1667" s="31" t="n">
        <f aca="false">IF($B1667='設定（最初に1回）'!$C$4,N(U1666)+1,N(U1666))</f>
        <v>134</v>
      </c>
    </row>
    <row r="1668" customFormat="false" ht="15" hidden="false" customHeight="false" outlineLevel="0" collapsed="false">
      <c r="B1668" s="53"/>
      <c r="I1668" s="53"/>
      <c r="U1668" s="31" t="n">
        <f aca="false">IF($B1668='設定（最初に1回）'!$C$4,N(U1667)+1,N(U1667))</f>
        <v>134</v>
      </c>
    </row>
    <row r="1669" customFormat="false" ht="15" hidden="false" customHeight="false" outlineLevel="0" collapsed="false">
      <c r="B1669" s="53"/>
      <c r="I1669" s="53"/>
      <c r="U1669" s="31" t="n">
        <f aca="false">IF($B1669='設定（最初に1回）'!$C$4,N(U1668)+1,N(U1668))</f>
        <v>134</v>
      </c>
    </row>
    <row r="1670" customFormat="false" ht="15" hidden="false" customHeight="false" outlineLevel="0" collapsed="false">
      <c r="B1670" s="53"/>
      <c r="I1670" s="53"/>
      <c r="U1670" s="31" t="n">
        <f aca="false">IF($B1670='設定（最初に1回）'!$C$4,N(U1669)+1,N(U1669))</f>
        <v>134</v>
      </c>
    </row>
    <row r="1671" customFormat="false" ht="15" hidden="false" customHeight="false" outlineLevel="0" collapsed="false">
      <c r="B1671" s="53"/>
      <c r="I1671" s="53"/>
      <c r="U1671" s="31" t="n">
        <f aca="false">IF($B1671='設定（最初に1回）'!$C$4,N(U1670)+1,N(U1670))</f>
        <v>134</v>
      </c>
    </row>
    <row r="1672" customFormat="false" ht="15" hidden="false" customHeight="false" outlineLevel="0" collapsed="false">
      <c r="B1672" s="53"/>
      <c r="I1672" s="53"/>
      <c r="U1672" s="31" t="n">
        <f aca="false">IF($B1672='設定（最初に1回）'!$C$4,N(U1671)+1,N(U1671))</f>
        <v>134</v>
      </c>
    </row>
    <row r="1673" customFormat="false" ht="15" hidden="false" customHeight="false" outlineLevel="0" collapsed="false">
      <c r="B1673" s="53"/>
      <c r="I1673" s="53"/>
      <c r="U1673" s="31" t="n">
        <f aca="false">IF($B1673='設定（最初に1回）'!$C$4,N(U1672)+1,N(U1672))</f>
        <v>134</v>
      </c>
    </row>
    <row r="1674" customFormat="false" ht="15" hidden="false" customHeight="false" outlineLevel="0" collapsed="false">
      <c r="B1674" s="53"/>
      <c r="I1674" s="53"/>
      <c r="U1674" s="31" t="n">
        <f aca="false">IF($B1674='設定（最初に1回）'!$C$4,N(U1673)+1,N(U1673))</f>
        <v>134</v>
      </c>
    </row>
    <row r="1675" customFormat="false" ht="15" hidden="false" customHeight="false" outlineLevel="0" collapsed="false">
      <c r="B1675" s="53"/>
      <c r="I1675" s="53"/>
      <c r="U1675" s="31" t="n">
        <f aca="false">IF($B1675='設定（最初に1回）'!$C$4,N(U1674)+1,N(U1674))</f>
        <v>134</v>
      </c>
    </row>
    <row r="1676" customFormat="false" ht="15" hidden="false" customHeight="false" outlineLevel="0" collapsed="false">
      <c r="B1676" s="53"/>
      <c r="I1676" s="53"/>
      <c r="U1676" s="31" t="n">
        <f aca="false">IF($B1676='設定（最初に1回）'!$C$4,N(U1675)+1,N(U1675))</f>
        <v>134</v>
      </c>
    </row>
    <row r="1677" customFormat="false" ht="15" hidden="false" customHeight="false" outlineLevel="0" collapsed="false">
      <c r="B1677" s="53"/>
      <c r="I1677" s="53"/>
      <c r="U1677" s="31" t="n">
        <f aca="false">IF($B1677='設定（最初に1回）'!$C$4,N(U1676)+1,N(U1676))</f>
        <v>134</v>
      </c>
    </row>
    <row r="1678" customFormat="false" ht="15" hidden="false" customHeight="false" outlineLevel="0" collapsed="false">
      <c r="B1678" s="53"/>
      <c r="I1678" s="53"/>
      <c r="U1678" s="31" t="n">
        <f aca="false">IF($B1678='設定（最初に1回）'!$C$4,N(U1677)+1,N(U1677))</f>
        <v>134</v>
      </c>
    </row>
    <row r="1679" customFormat="false" ht="15" hidden="false" customHeight="false" outlineLevel="0" collapsed="false">
      <c r="B1679" s="53"/>
      <c r="I1679" s="53"/>
      <c r="U1679" s="31" t="n">
        <f aca="false">IF($B1679='設定（最初に1回）'!$C$4,N(U1678)+1,N(U1678))</f>
        <v>134</v>
      </c>
    </row>
    <row r="1680" customFormat="false" ht="15" hidden="false" customHeight="false" outlineLevel="0" collapsed="false">
      <c r="B1680" s="53"/>
      <c r="I1680" s="53"/>
      <c r="U1680" s="31" t="n">
        <f aca="false">IF($B1680='設定（最初に1回）'!$C$4,N(U1679)+1,N(U1679))</f>
        <v>134</v>
      </c>
    </row>
    <row r="1681" customFormat="false" ht="15" hidden="false" customHeight="false" outlineLevel="0" collapsed="false">
      <c r="B1681" s="53"/>
      <c r="I1681" s="53"/>
      <c r="U1681" s="31" t="n">
        <f aca="false">IF($B1681='設定（最初に1回）'!$C$4,N(U1680)+1,N(U1680))</f>
        <v>134</v>
      </c>
    </row>
    <row r="1682" customFormat="false" ht="15" hidden="false" customHeight="false" outlineLevel="0" collapsed="false">
      <c r="B1682" s="53"/>
      <c r="I1682" s="53"/>
      <c r="U1682" s="31" t="n">
        <f aca="false">IF($B1682='設定（最初に1回）'!$C$4,N(U1681)+1,N(U1681))</f>
        <v>134</v>
      </c>
    </row>
    <row r="1683" customFormat="false" ht="15" hidden="false" customHeight="false" outlineLevel="0" collapsed="false">
      <c r="B1683" s="53"/>
      <c r="I1683" s="53"/>
      <c r="U1683" s="31" t="n">
        <f aca="false">IF($B1683='設定（最初に1回）'!$C$4,N(U1682)+1,N(U1682))</f>
        <v>134</v>
      </c>
    </row>
    <row r="1684" customFormat="false" ht="15" hidden="false" customHeight="false" outlineLevel="0" collapsed="false">
      <c r="B1684" s="53"/>
      <c r="I1684" s="53"/>
      <c r="U1684" s="31" t="n">
        <f aca="false">IF($B1684='設定（最初に1回）'!$C$4,N(U1683)+1,N(U1683))</f>
        <v>134</v>
      </c>
    </row>
    <row r="1685" customFormat="false" ht="15" hidden="false" customHeight="false" outlineLevel="0" collapsed="false">
      <c r="B1685" s="53"/>
      <c r="I1685" s="53"/>
      <c r="U1685" s="31" t="n">
        <f aca="false">IF($B1685='設定（最初に1回）'!$C$4,N(U1684)+1,N(U1684))</f>
        <v>134</v>
      </c>
    </row>
    <row r="1686" customFormat="false" ht="15" hidden="false" customHeight="false" outlineLevel="0" collapsed="false">
      <c r="B1686" s="53"/>
      <c r="I1686" s="53"/>
      <c r="U1686" s="31" t="n">
        <f aca="false">IF($B1686='設定（最初に1回）'!$C$4,N(U1685)+1,N(U1685))</f>
        <v>134</v>
      </c>
    </row>
    <row r="1687" customFormat="false" ht="15" hidden="false" customHeight="false" outlineLevel="0" collapsed="false">
      <c r="B1687" s="53"/>
      <c r="I1687" s="53"/>
      <c r="U1687" s="31" t="n">
        <f aca="false">IF($B1687='設定（最初に1回）'!$C$4,N(U1686)+1,N(U1686))</f>
        <v>134</v>
      </c>
    </row>
    <row r="1688" customFormat="false" ht="15" hidden="false" customHeight="false" outlineLevel="0" collapsed="false">
      <c r="B1688" s="53"/>
      <c r="I1688" s="53"/>
      <c r="U1688" s="31" t="n">
        <f aca="false">IF($B1688='設定（最初に1回）'!$C$4,N(U1687)+1,N(U1687))</f>
        <v>134</v>
      </c>
    </row>
    <row r="1689" customFormat="false" ht="15" hidden="false" customHeight="false" outlineLevel="0" collapsed="false">
      <c r="B1689" s="53"/>
      <c r="I1689" s="53"/>
      <c r="U1689" s="31" t="n">
        <f aca="false">IF($B1689='設定（最初に1回）'!$C$4,N(U1688)+1,N(U1688))</f>
        <v>134</v>
      </c>
    </row>
    <row r="1690" customFormat="false" ht="15" hidden="false" customHeight="false" outlineLevel="0" collapsed="false">
      <c r="B1690" s="53"/>
      <c r="I1690" s="53"/>
      <c r="U1690" s="31" t="n">
        <f aca="false">IF($B1690='設定（最初に1回）'!$C$4,N(U1689)+1,N(U1689))</f>
        <v>134</v>
      </c>
    </row>
    <row r="1691" customFormat="false" ht="15" hidden="false" customHeight="false" outlineLevel="0" collapsed="false">
      <c r="B1691" s="53"/>
      <c r="I1691" s="53"/>
      <c r="U1691" s="31" t="n">
        <f aca="false">IF($B1691='設定（最初に1回）'!$C$4,N(U1690)+1,N(U1690))</f>
        <v>134</v>
      </c>
    </row>
    <row r="1692" customFormat="false" ht="15" hidden="false" customHeight="false" outlineLevel="0" collapsed="false">
      <c r="B1692" s="53"/>
      <c r="I1692" s="53"/>
      <c r="U1692" s="31" t="n">
        <f aca="false">IF($B1692='設定（最初に1回）'!$C$4,N(U1691)+1,N(U1691))</f>
        <v>134</v>
      </c>
    </row>
    <row r="1693" customFormat="false" ht="15" hidden="false" customHeight="false" outlineLevel="0" collapsed="false">
      <c r="B1693" s="53"/>
      <c r="I1693" s="53"/>
      <c r="U1693" s="31" t="n">
        <f aca="false">IF($B1693='設定（最初に1回）'!$C$4,N(U1692)+1,N(U1692))</f>
        <v>134</v>
      </c>
    </row>
    <row r="1694" customFormat="false" ht="15" hidden="false" customHeight="false" outlineLevel="0" collapsed="false">
      <c r="B1694" s="53"/>
      <c r="I1694" s="53"/>
      <c r="U1694" s="31" t="n">
        <f aca="false">IF($B1694='設定（最初に1回）'!$C$4,N(U1693)+1,N(U1693))</f>
        <v>134</v>
      </c>
    </row>
    <row r="1695" customFormat="false" ht="15" hidden="false" customHeight="false" outlineLevel="0" collapsed="false">
      <c r="B1695" s="53"/>
      <c r="I1695" s="53"/>
      <c r="U1695" s="31" t="n">
        <f aca="false">IF($B1695='設定（最初に1回）'!$C$4,N(U1694)+1,N(U1694))</f>
        <v>134</v>
      </c>
    </row>
    <row r="1696" customFormat="false" ht="15" hidden="false" customHeight="false" outlineLevel="0" collapsed="false">
      <c r="B1696" s="53"/>
      <c r="I1696" s="53"/>
      <c r="U1696" s="31" t="n">
        <f aca="false">IF($B1696='設定（最初に1回）'!$C$4,N(U1695)+1,N(U1695))</f>
        <v>134</v>
      </c>
    </row>
    <row r="1697" customFormat="false" ht="15" hidden="false" customHeight="false" outlineLevel="0" collapsed="false">
      <c r="B1697" s="53"/>
      <c r="I1697" s="53"/>
      <c r="U1697" s="31" t="n">
        <f aca="false">IF($B1697='設定（最初に1回）'!$C$4,N(U1696)+1,N(U1696))</f>
        <v>134</v>
      </c>
    </row>
    <row r="1698" customFormat="false" ht="15" hidden="false" customHeight="false" outlineLevel="0" collapsed="false">
      <c r="B1698" s="53"/>
      <c r="I1698" s="53"/>
      <c r="U1698" s="31" t="n">
        <f aca="false">IF($B1698='設定（最初に1回）'!$C$4,N(U1697)+1,N(U1697))</f>
        <v>134</v>
      </c>
    </row>
    <row r="1699" customFormat="false" ht="15" hidden="false" customHeight="false" outlineLevel="0" collapsed="false">
      <c r="B1699" s="53"/>
      <c r="I1699" s="53"/>
      <c r="U1699" s="31" t="n">
        <f aca="false">IF($B1699='設定（最初に1回）'!$C$4,N(U1698)+1,N(U1698))</f>
        <v>134</v>
      </c>
    </row>
    <row r="1700" customFormat="false" ht="15" hidden="false" customHeight="false" outlineLevel="0" collapsed="false">
      <c r="B1700" s="53"/>
      <c r="I1700" s="53"/>
      <c r="U1700" s="31" t="n">
        <f aca="false">IF($B1700='設定（最初に1回）'!$C$4,N(U1699)+1,N(U1699))</f>
        <v>134</v>
      </c>
    </row>
    <row r="1701" customFormat="false" ht="15" hidden="false" customHeight="false" outlineLevel="0" collapsed="false">
      <c r="B1701" s="53"/>
      <c r="I1701" s="53"/>
      <c r="U1701" s="31" t="n">
        <f aca="false">IF($B1701='設定（最初に1回）'!$C$4,N(U1700)+1,N(U1700))</f>
        <v>134</v>
      </c>
    </row>
    <row r="1702" customFormat="false" ht="15" hidden="false" customHeight="false" outlineLevel="0" collapsed="false">
      <c r="B1702" s="53"/>
      <c r="I1702" s="53"/>
      <c r="U1702" s="31" t="n">
        <f aca="false">IF($B1702='設定（最初に1回）'!$C$4,N(U1701)+1,N(U1701))</f>
        <v>134</v>
      </c>
    </row>
    <row r="1703" customFormat="false" ht="15" hidden="false" customHeight="false" outlineLevel="0" collapsed="false">
      <c r="B1703" s="53"/>
      <c r="I1703" s="53"/>
      <c r="U1703" s="31" t="n">
        <f aca="false">IF($B1703='設定（最初に1回）'!$C$4,N(U1702)+1,N(U1702))</f>
        <v>134</v>
      </c>
    </row>
    <row r="1704" customFormat="false" ht="15" hidden="false" customHeight="false" outlineLevel="0" collapsed="false">
      <c r="B1704" s="53"/>
      <c r="I1704" s="53"/>
      <c r="U1704" s="31" t="n">
        <f aca="false">IF($B1704='設定（最初に1回）'!$C$4,N(U1703)+1,N(U1703))</f>
        <v>134</v>
      </c>
    </row>
    <row r="1705" customFormat="false" ht="15" hidden="false" customHeight="false" outlineLevel="0" collapsed="false">
      <c r="B1705" s="53"/>
      <c r="I1705" s="53"/>
      <c r="U1705" s="31" t="n">
        <f aca="false">IF($B1705='設定（最初に1回）'!$C$4,N(U1704)+1,N(U1704))</f>
        <v>134</v>
      </c>
    </row>
    <row r="1706" customFormat="false" ht="15" hidden="false" customHeight="false" outlineLevel="0" collapsed="false">
      <c r="B1706" s="53"/>
      <c r="I1706" s="53"/>
      <c r="U1706" s="31" t="n">
        <f aca="false">IF($B1706='設定（最初に1回）'!$C$4,N(U1705)+1,N(U1705))</f>
        <v>134</v>
      </c>
    </row>
    <row r="1707" customFormat="false" ht="15" hidden="false" customHeight="false" outlineLevel="0" collapsed="false">
      <c r="B1707" s="53"/>
      <c r="I1707" s="53"/>
      <c r="U1707" s="31" t="n">
        <f aca="false">IF($B1707='設定（最初に1回）'!$C$4,N(U1706)+1,N(U1706))</f>
        <v>134</v>
      </c>
    </row>
    <row r="1708" customFormat="false" ht="15" hidden="false" customHeight="false" outlineLevel="0" collapsed="false">
      <c r="B1708" s="53"/>
      <c r="I1708" s="53"/>
      <c r="U1708" s="31" t="n">
        <f aca="false">IF($B1708='設定（最初に1回）'!$C$4,N(U1707)+1,N(U1707))</f>
        <v>134</v>
      </c>
    </row>
    <row r="1709" customFormat="false" ht="15" hidden="false" customHeight="false" outlineLevel="0" collapsed="false">
      <c r="B1709" s="53"/>
      <c r="I1709" s="53"/>
      <c r="U1709" s="31" t="n">
        <f aca="false">IF($B1709='設定（最初に1回）'!$C$4,N(U1708)+1,N(U1708))</f>
        <v>134</v>
      </c>
    </row>
    <row r="1710" customFormat="false" ht="15" hidden="false" customHeight="false" outlineLevel="0" collapsed="false">
      <c r="B1710" s="53"/>
      <c r="I1710" s="53"/>
      <c r="U1710" s="31" t="n">
        <f aca="false">IF($B1710='設定（最初に1回）'!$C$4,N(U1709)+1,N(U1709))</f>
        <v>134</v>
      </c>
    </row>
    <row r="1711" customFormat="false" ht="15" hidden="false" customHeight="false" outlineLevel="0" collapsed="false">
      <c r="B1711" s="53"/>
      <c r="I1711" s="53"/>
      <c r="U1711" s="31" t="n">
        <f aca="false">IF($B1711='設定（最初に1回）'!$C$4,N(U1710)+1,N(U1710))</f>
        <v>134</v>
      </c>
    </row>
    <row r="1712" customFormat="false" ht="15" hidden="false" customHeight="false" outlineLevel="0" collapsed="false">
      <c r="B1712" s="53"/>
      <c r="I1712" s="53"/>
      <c r="U1712" s="31" t="n">
        <f aca="false">IF($B1712='設定（最初に1回）'!$C$4,N(U1711)+1,N(U1711))</f>
        <v>134</v>
      </c>
    </row>
    <row r="1713" customFormat="false" ht="15" hidden="false" customHeight="false" outlineLevel="0" collapsed="false">
      <c r="B1713" s="53"/>
      <c r="I1713" s="53"/>
      <c r="U1713" s="31" t="n">
        <f aca="false">IF($B1713='設定（最初に1回）'!$C$4,N(U1712)+1,N(U1712))</f>
        <v>134</v>
      </c>
    </row>
    <row r="1714" customFormat="false" ht="15" hidden="false" customHeight="false" outlineLevel="0" collapsed="false">
      <c r="B1714" s="53"/>
      <c r="I1714" s="53"/>
      <c r="U1714" s="31" t="n">
        <f aca="false">IF($B1714='設定（最初に1回）'!$C$4,N(U1713)+1,N(U1713))</f>
        <v>134</v>
      </c>
    </row>
    <row r="1715" customFormat="false" ht="15" hidden="false" customHeight="false" outlineLevel="0" collapsed="false">
      <c r="B1715" s="53"/>
      <c r="I1715" s="53"/>
      <c r="U1715" s="31" t="n">
        <f aca="false">IF($B1715='設定（最初に1回）'!$C$4,N(U1714)+1,N(U1714))</f>
        <v>134</v>
      </c>
    </row>
    <row r="1716" customFormat="false" ht="15" hidden="false" customHeight="false" outlineLevel="0" collapsed="false">
      <c r="B1716" s="53"/>
      <c r="I1716" s="53"/>
      <c r="U1716" s="31" t="n">
        <f aca="false">IF($B1716='設定（最初に1回）'!$C$4,N(U1715)+1,N(U1715))</f>
        <v>134</v>
      </c>
    </row>
    <row r="1717" customFormat="false" ht="15" hidden="false" customHeight="false" outlineLevel="0" collapsed="false">
      <c r="B1717" s="53"/>
      <c r="I1717" s="53"/>
      <c r="U1717" s="31" t="n">
        <f aca="false">IF($B1717='設定（最初に1回）'!$C$4,N(U1716)+1,N(U1716))</f>
        <v>134</v>
      </c>
    </row>
    <row r="1718" customFormat="false" ht="15" hidden="false" customHeight="false" outlineLevel="0" collapsed="false">
      <c r="B1718" s="53"/>
      <c r="I1718" s="53"/>
      <c r="U1718" s="31" t="n">
        <f aca="false">IF($B1718='設定（最初に1回）'!$C$4,N(U1717)+1,N(U1717))</f>
        <v>134</v>
      </c>
    </row>
    <row r="1719" customFormat="false" ht="15" hidden="false" customHeight="false" outlineLevel="0" collapsed="false">
      <c r="B1719" s="53"/>
      <c r="I1719" s="53"/>
      <c r="U1719" s="31" t="n">
        <f aca="false">IF($B1719='設定（最初に1回）'!$C$4,N(U1718)+1,N(U1718))</f>
        <v>134</v>
      </c>
    </row>
    <row r="1720" customFormat="false" ht="15" hidden="false" customHeight="false" outlineLevel="0" collapsed="false">
      <c r="B1720" s="53"/>
      <c r="I1720" s="53"/>
      <c r="U1720" s="31" t="n">
        <f aca="false">IF($B1720='設定（最初に1回）'!$C$4,N(U1719)+1,N(U1719))</f>
        <v>134</v>
      </c>
    </row>
    <row r="1721" customFormat="false" ht="15" hidden="false" customHeight="false" outlineLevel="0" collapsed="false">
      <c r="B1721" s="53"/>
      <c r="I1721" s="53"/>
      <c r="U1721" s="31" t="n">
        <f aca="false">IF($B1721='設定（最初に1回）'!$C$4,N(U1720)+1,N(U1720))</f>
        <v>134</v>
      </c>
    </row>
    <row r="1722" customFormat="false" ht="15" hidden="false" customHeight="false" outlineLevel="0" collapsed="false">
      <c r="B1722" s="53"/>
      <c r="I1722" s="53"/>
      <c r="U1722" s="31" t="n">
        <f aca="false">IF($B1722='設定（最初に1回）'!$C$4,N(U1721)+1,N(U1721))</f>
        <v>134</v>
      </c>
    </row>
    <row r="1723" customFormat="false" ht="15" hidden="false" customHeight="false" outlineLevel="0" collapsed="false">
      <c r="B1723" s="53"/>
      <c r="I1723" s="53"/>
      <c r="U1723" s="31" t="n">
        <f aca="false">IF($B1723='設定（最初に1回）'!$C$4,N(U1722)+1,N(U1722))</f>
        <v>134</v>
      </c>
    </row>
    <row r="1724" customFormat="false" ht="15" hidden="false" customHeight="false" outlineLevel="0" collapsed="false">
      <c r="B1724" s="53"/>
      <c r="I1724" s="53"/>
      <c r="U1724" s="31" t="n">
        <f aca="false">IF($B1724='設定（最初に1回）'!$C$4,N(U1723)+1,N(U1723))</f>
        <v>134</v>
      </c>
    </row>
    <row r="1725" customFormat="false" ht="15" hidden="false" customHeight="false" outlineLevel="0" collapsed="false">
      <c r="B1725" s="53"/>
      <c r="I1725" s="53"/>
      <c r="U1725" s="31" t="n">
        <f aca="false">IF($B1725='設定（最初に1回）'!$C$4,N(U1724)+1,N(U1724))</f>
        <v>134</v>
      </c>
    </row>
    <row r="1726" customFormat="false" ht="15" hidden="false" customHeight="false" outlineLevel="0" collapsed="false">
      <c r="B1726" s="53"/>
      <c r="I1726" s="53"/>
      <c r="U1726" s="31" t="n">
        <f aca="false">IF($B1726='設定（最初に1回）'!$C$4,N(U1725)+1,N(U1725))</f>
        <v>134</v>
      </c>
    </row>
    <row r="1727" customFormat="false" ht="15" hidden="false" customHeight="false" outlineLevel="0" collapsed="false">
      <c r="B1727" s="53"/>
      <c r="I1727" s="53"/>
      <c r="U1727" s="31" t="n">
        <f aca="false">IF($B1727='設定（最初に1回）'!$C$4,N(U1726)+1,N(U1726))</f>
        <v>134</v>
      </c>
    </row>
    <row r="1728" customFormat="false" ht="15" hidden="false" customHeight="false" outlineLevel="0" collapsed="false">
      <c r="B1728" s="53"/>
      <c r="I1728" s="53"/>
      <c r="U1728" s="31" t="n">
        <f aca="false">IF($B1728='設定（最初に1回）'!$C$4,N(U1727)+1,N(U1727))</f>
        <v>134</v>
      </c>
    </row>
    <row r="1729" customFormat="false" ht="15" hidden="false" customHeight="false" outlineLevel="0" collapsed="false">
      <c r="B1729" s="53"/>
      <c r="I1729" s="53"/>
      <c r="U1729" s="31" t="n">
        <f aca="false">IF($B1729='設定（最初に1回）'!$C$4,N(U1728)+1,N(U1728))</f>
        <v>134</v>
      </c>
    </row>
    <row r="1730" customFormat="false" ht="15" hidden="false" customHeight="false" outlineLevel="0" collapsed="false">
      <c r="B1730" s="53"/>
      <c r="I1730" s="53"/>
      <c r="U1730" s="31" t="n">
        <f aca="false">IF($B1730='設定（最初に1回）'!$C$4,N(U1729)+1,N(U1729))</f>
        <v>134</v>
      </c>
    </row>
    <row r="1731" customFormat="false" ht="15" hidden="false" customHeight="false" outlineLevel="0" collapsed="false">
      <c r="B1731" s="53"/>
      <c r="I1731" s="53"/>
      <c r="U1731" s="31" t="n">
        <f aca="false">IF($B1731='設定（最初に1回）'!$C$4,N(U1730)+1,N(U1730))</f>
        <v>134</v>
      </c>
    </row>
    <row r="1732" customFormat="false" ht="15" hidden="false" customHeight="false" outlineLevel="0" collapsed="false">
      <c r="B1732" s="53"/>
      <c r="I1732" s="53"/>
      <c r="U1732" s="31" t="n">
        <f aca="false">IF($B1732='設定（最初に1回）'!$C$4,N(U1731)+1,N(U1731))</f>
        <v>134</v>
      </c>
    </row>
    <row r="1733" customFormat="false" ht="15" hidden="false" customHeight="false" outlineLevel="0" collapsed="false">
      <c r="B1733" s="53"/>
      <c r="I1733" s="53"/>
      <c r="U1733" s="31" t="n">
        <f aca="false">IF($B1733='設定（最初に1回）'!$C$4,N(U1732)+1,N(U1732))</f>
        <v>134</v>
      </c>
    </row>
    <row r="1734" customFormat="false" ht="15" hidden="false" customHeight="false" outlineLevel="0" collapsed="false">
      <c r="B1734" s="53"/>
      <c r="I1734" s="53"/>
      <c r="U1734" s="31" t="n">
        <f aca="false">IF($B1734='設定（最初に1回）'!$C$4,N(U1733)+1,N(U1733))</f>
        <v>134</v>
      </c>
    </row>
    <row r="1735" customFormat="false" ht="15" hidden="false" customHeight="false" outlineLevel="0" collapsed="false">
      <c r="B1735" s="53"/>
      <c r="I1735" s="53"/>
      <c r="U1735" s="31" t="n">
        <f aca="false">IF($B1735='設定（最初に1回）'!$C$4,N(U1734)+1,N(U1734))</f>
        <v>134</v>
      </c>
    </row>
    <row r="1736" customFormat="false" ht="15" hidden="false" customHeight="false" outlineLevel="0" collapsed="false">
      <c r="B1736" s="53"/>
      <c r="I1736" s="53"/>
      <c r="U1736" s="31" t="n">
        <f aca="false">IF($B1736='設定（最初に1回）'!$C$4,N(U1735)+1,N(U1735))</f>
        <v>134</v>
      </c>
    </row>
    <row r="1737" customFormat="false" ht="15" hidden="false" customHeight="false" outlineLevel="0" collapsed="false">
      <c r="B1737" s="53"/>
      <c r="I1737" s="53"/>
      <c r="U1737" s="31" t="n">
        <f aca="false">IF($B1737='設定（最初に1回）'!$C$4,N(U1736)+1,N(U1736))</f>
        <v>134</v>
      </c>
    </row>
    <row r="1738" customFormat="false" ht="15" hidden="false" customHeight="false" outlineLevel="0" collapsed="false">
      <c r="B1738" s="53"/>
      <c r="I1738" s="53"/>
      <c r="U1738" s="31" t="n">
        <f aca="false">IF($B1738='設定（最初に1回）'!$C$4,N(U1737)+1,N(U1737))</f>
        <v>134</v>
      </c>
    </row>
    <row r="1739" customFormat="false" ht="15" hidden="false" customHeight="false" outlineLevel="0" collapsed="false">
      <c r="B1739" s="53"/>
      <c r="I1739" s="53"/>
      <c r="U1739" s="31" t="n">
        <f aca="false">IF($B1739='設定（最初に1回）'!$C$4,N(U1738)+1,N(U1738))</f>
        <v>134</v>
      </c>
    </row>
    <row r="1740" customFormat="false" ht="15" hidden="false" customHeight="false" outlineLevel="0" collapsed="false">
      <c r="B1740" s="53"/>
      <c r="I1740" s="53"/>
      <c r="U1740" s="31" t="n">
        <f aca="false">IF($B1740='設定（最初に1回）'!$C$4,N(U1739)+1,N(U1739))</f>
        <v>134</v>
      </c>
    </row>
    <row r="1741" customFormat="false" ht="15" hidden="false" customHeight="false" outlineLevel="0" collapsed="false">
      <c r="B1741" s="53"/>
      <c r="I1741" s="53"/>
      <c r="U1741" s="31" t="n">
        <f aca="false">IF($B1741='設定（最初に1回）'!$C$4,N(U1740)+1,N(U1740))</f>
        <v>134</v>
      </c>
    </row>
    <row r="1742" customFormat="false" ht="15" hidden="false" customHeight="false" outlineLevel="0" collapsed="false">
      <c r="B1742" s="53"/>
      <c r="I1742" s="53"/>
      <c r="U1742" s="31" t="n">
        <f aca="false">IF($B1742='設定（最初に1回）'!$C$4,N(U1741)+1,N(U1741))</f>
        <v>134</v>
      </c>
    </row>
    <row r="1743" customFormat="false" ht="15" hidden="false" customHeight="false" outlineLevel="0" collapsed="false">
      <c r="B1743" s="53"/>
      <c r="I1743" s="53"/>
      <c r="U1743" s="31" t="n">
        <f aca="false">IF($B1743='設定（最初に1回）'!$C$4,N(U1742)+1,N(U1742))</f>
        <v>134</v>
      </c>
    </row>
    <row r="1744" customFormat="false" ht="15" hidden="false" customHeight="false" outlineLevel="0" collapsed="false">
      <c r="B1744" s="53"/>
      <c r="I1744" s="53"/>
      <c r="U1744" s="31" t="n">
        <f aca="false">IF($B1744='設定（最初に1回）'!$C$4,N(U1743)+1,N(U1743))</f>
        <v>134</v>
      </c>
    </row>
    <row r="1745" customFormat="false" ht="15" hidden="false" customHeight="false" outlineLevel="0" collapsed="false">
      <c r="B1745" s="53"/>
      <c r="I1745" s="53"/>
      <c r="U1745" s="31" t="n">
        <f aca="false">IF($B1745='設定（最初に1回）'!$C$4,N(U1744)+1,N(U1744))</f>
        <v>134</v>
      </c>
    </row>
    <row r="1746" customFormat="false" ht="15" hidden="false" customHeight="false" outlineLevel="0" collapsed="false">
      <c r="B1746" s="53"/>
      <c r="I1746" s="53"/>
      <c r="U1746" s="31" t="n">
        <f aca="false">IF($B1746='設定（最初に1回）'!$C$4,N(U1745)+1,N(U1745))</f>
        <v>134</v>
      </c>
    </row>
    <row r="1747" customFormat="false" ht="15" hidden="false" customHeight="false" outlineLevel="0" collapsed="false">
      <c r="B1747" s="53"/>
      <c r="I1747" s="53"/>
      <c r="U1747" s="31" t="n">
        <f aca="false">IF($B1747='設定（最初に1回）'!$C$4,N(U1746)+1,N(U1746))</f>
        <v>134</v>
      </c>
    </row>
    <row r="1748" customFormat="false" ht="15" hidden="false" customHeight="false" outlineLevel="0" collapsed="false">
      <c r="B1748" s="53"/>
      <c r="I1748" s="53"/>
      <c r="U1748" s="31" t="n">
        <f aca="false">IF($B1748='設定（最初に1回）'!$C$4,N(U1747)+1,N(U1747))</f>
        <v>134</v>
      </c>
    </row>
    <row r="1749" customFormat="false" ht="15" hidden="false" customHeight="false" outlineLevel="0" collapsed="false">
      <c r="B1749" s="53"/>
      <c r="I1749" s="53"/>
      <c r="U1749" s="31" t="n">
        <f aca="false">IF($B1749='設定（最初に1回）'!$C$4,N(U1748)+1,N(U1748))</f>
        <v>134</v>
      </c>
    </row>
    <row r="1750" customFormat="false" ht="15" hidden="false" customHeight="false" outlineLevel="0" collapsed="false">
      <c r="B1750" s="53"/>
      <c r="I1750" s="53"/>
      <c r="U1750" s="31" t="n">
        <f aca="false">IF($B1750='設定（最初に1回）'!$C$4,N(U1749)+1,N(U1749))</f>
        <v>134</v>
      </c>
    </row>
    <row r="1751" customFormat="false" ht="15" hidden="false" customHeight="false" outlineLevel="0" collapsed="false">
      <c r="B1751" s="53"/>
      <c r="I1751" s="53"/>
      <c r="U1751" s="31" t="n">
        <f aca="false">IF($B1751='設定（最初に1回）'!$C$4,N(U1750)+1,N(U1750))</f>
        <v>134</v>
      </c>
    </row>
    <row r="1752" customFormat="false" ht="15" hidden="false" customHeight="false" outlineLevel="0" collapsed="false">
      <c r="B1752" s="53"/>
      <c r="I1752" s="53"/>
      <c r="U1752" s="31" t="n">
        <f aca="false">IF($B1752='設定（最初に1回）'!$C$4,N(U1751)+1,N(U1751))</f>
        <v>134</v>
      </c>
    </row>
    <row r="1753" customFormat="false" ht="15" hidden="false" customHeight="false" outlineLevel="0" collapsed="false">
      <c r="B1753" s="53"/>
      <c r="I1753" s="53"/>
      <c r="U1753" s="31" t="n">
        <f aca="false">IF($B1753='設定（最初に1回）'!$C$4,N(U1752)+1,N(U1752))</f>
        <v>134</v>
      </c>
    </row>
    <row r="1754" customFormat="false" ht="15" hidden="false" customHeight="false" outlineLevel="0" collapsed="false">
      <c r="B1754" s="53"/>
      <c r="I1754" s="53"/>
      <c r="U1754" s="31" t="n">
        <f aca="false">IF($B1754='設定（最初に1回）'!$C$4,N(U1753)+1,N(U1753))</f>
        <v>134</v>
      </c>
    </row>
    <row r="1755" customFormat="false" ht="15" hidden="false" customHeight="false" outlineLevel="0" collapsed="false">
      <c r="B1755" s="53"/>
      <c r="I1755" s="53"/>
      <c r="U1755" s="31" t="n">
        <f aca="false">IF($B1755='設定（最初に1回）'!$C$4,N(U1754)+1,N(U1754))</f>
        <v>134</v>
      </c>
    </row>
    <row r="1756" customFormat="false" ht="15" hidden="false" customHeight="false" outlineLevel="0" collapsed="false">
      <c r="B1756" s="53"/>
      <c r="I1756" s="53"/>
      <c r="U1756" s="31" t="n">
        <f aca="false">IF($B1756='設定（最初に1回）'!$C$4,N(U1755)+1,N(U1755))</f>
        <v>134</v>
      </c>
    </row>
    <row r="1757" customFormat="false" ht="15" hidden="false" customHeight="false" outlineLevel="0" collapsed="false">
      <c r="B1757" s="53"/>
      <c r="I1757" s="53"/>
      <c r="U1757" s="31" t="n">
        <f aca="false">IF($B1757='設定（最初に1回）'!$C$4,N(U1756)+1,N(U1756))</f>
        <v>134</v>
      </c>
    </row>
    <row r="1758" customFormat="false" ht="15" hidden="false" customHeight="false" outlineLevel="0" collapsed="false">
      <c r="B1758" s="53"/>
      <c r="I1758" s="53"/>
      <c r="U1758" s="31" t="n">
        <f aca="false">IF($B1758='設定（最初に1回）'!$C$4,N(U1757)+1,N(U1757))</f>
        <v>134</v>
      </c>
    </row>
    <row r="1759" customFormat="false" ht="15" hidden="false" customHeight="false" outlineLevel="0" collapsed="false">
      <c r="B1759" s="53"/>
      <c r="I1759" s="53"/>
      <c r="U1759" s="31" t="n">
        <f aca="false">IF($B1759='設定（最初に1回）'!$C$4,N(U1758)+1,N(U1758))</f>
        <v>134</v>
      </c>
    </row>
    <row r="1760" customFormat="false" ht="15" hidden="false" customHeight="false" outlineLevel="0" collapsed="false">
      <c r="B1760" s="53"/>
      <c r="I1760" s="53"/>
      <c r="U1760" s="31" t="n">
        <f aca="false">IF($B1760='設定（最初に1回）'!$C$4,N(U1759)+1,N(U1759))</f>
        <v>134</v>
      </c>
    </row>
    <row r="1761" customFormat="false" ht="15" hidden="false" customHeight="false" outlineLevel="0" collapsed="false">
      <c r="B1761" s="53"/>
      <c r="I1761" s="53"/>
      <c r="U1761" s="31" t="n">
        <f aca="false">IF($B1761='設定（最初に1回）'!$C$4,N(U1760)+1,N(U1760))</f>
        <v>134</v>
      </c>
    </row>
    <row r="1762" customFormat="false" ht="15" hidden="false" customHeight="false" outlineLevel="0" collapsed="false">
      <c r="B1762" s="53"/>
      <c r="I1762" s="53"/>
      <c r="U1762" s="31" t="n">
        <f aca="false">IF($B1762='設定（最初に1回）'!$C$4,N(U1761)+1,N(U1761))</f>
        <v>134</v>
      </c>
    </row>
    <row r="1763" customFormat="false" ht="15" hidden="false" customHeight="false" outlineLevel="0" collapsed="false">
      <c r="B1763" s="53"/>
      <c r="I1763" s="53"/>
      <c r="U1763" s="31" t="n">
        <f aca="false">IF($B1763='設定（最初に1回）'!$C$4,N(U1762)+1,N(U1762))</f>
        <v>134</v>
      </c>
    </row>
    <row r="1764" customFormat="false" ht="15" hidden="false" customHeight="false" outlineLevel="0" collapsed="false">
      <c r="B1764" s="53"/>
      <c r="I1764" s="53"/>
      <c r="U1764" s="31" t="n">
        <f aca="false">IF($B1764='設定（最初に1回）'!$C$4,N(U1763)+1,N(U1763))</f>
        <v>134</v>
      </c>
    </row>
    <row r="1765" customFormat="false" ht="15" hidden="false" customHeight="false" outlineLevel="0" collapsed="false">
      <c r="B1765" s="53"/>
      <c r="I1765" s="53"/>
      <c r="U1765" s="31" t="n">
        <f aca="false">IF($B1765='設定（最初に1回）'!$C$4,N(U1764)+1,N(U1764))</f>
        <v>134</v>
      </c>
    </row>
    <row r="1766" customFormat="false" ht="15" hidden="false" customHeight="false" outlineLevel="0" collapsed="false">
      <c r="B1766" s="53"/>
      <c r="I1766" s="53"/>
      <c r="U1766" s="31" t="n">
        <f aca="false">IF($B1766='設定（最初に1回）'!$C$4,N(U1765)+1,N(U1765))</f>
        <v>134</v>
      </c>
    </row>
    <row r="1767" customFormat="false" ht="15" hidden="false" customHeight="false" outlineLevel="0" collapsed="false">
      <c r="B1767" s="53"/>
      <c r="I1767" s="53"/>
      <c r="U1767" s="31" t="n">
        <f aca="false">IF($B1767='設定（最初に1回）'!$C$4,N(U1766)+1,N(U1766))</f>
        <v>134</v>
      </c>
    </row>
    <row r="1768" customFormat="false" ht="15" hidden="false" customHeight="false" outlineLevel="0" collapsed="false">
      <c r="B1768" s="53"/>
      <c r="I1768" s="53"/>
      <c r="U1768" s="31" t="n">
        <f aca="false">IF($B1768='設定（最初に1回）'!$C$4,N(U1767)+1,N(U1767))</f>
        <v>134</v>
      </c>
    </row>
    <row r="1769" customFormat="false" ht="15" hidden="false" customHeight="false" outlineLevel="0" collapsed="false">
      <c r="B1769" s="53"/>
      <c r="I1769" s="53"/>
      <c r="U1769" s="31" t="n">
        <f aca="false">IF($B1769='設定（最初に1回）'!$C$4,N(U1768)+1,N(U1768))</f>
        <v>134</v>
      </c>
    </row>
    <row r="1770" customFormat="false" ht="15" hidden="false" customHeight="false" outlineLevel="0" collapsed="false">
      <c r="B1770" s="53"/>
      <c r="I1770" s="53"/>
      <c r="U1770" s="31" t="n">
        <f aca="false">IF($B1770='設定（最初に1回）'!$C$4,N(U1769)+1,N(U1769))</f>
        <v>134</v>
      </c>
    </row>
    <row r="1771" customFormat="false" ht="15" hidden="false" customHeight="false" outlineLevel="0" collapsed="false">
      <c r="B1771" s="53"/>
      <c r="I1771" s="53"/>
      <c r="U1771" s="31" t="n">
        <f aca="false">IF($B1771='設定（最初に1回）'!$C$4,N(U1770)+1,N(U1770))</f>
        <v>134</v>
      </c>
    </row>
    <row r="1772" customFormat="false" ht="15" hidden="false" customHeight="false" outlineLevel="0" collapsed="false">
      <c r="B1772" s="53"/>
      <c r="I1772" s="53"/>
      <c r="U1772" s="31" t="n">
        <f aca="false">IF($B1772='設定（最初に1回）'!$C$4,N(U1771)+1,N(U1771))</f>
        <v>134</v>
      </c>
    </row>
    <row r="1773" customFormat="false" ht="15" hidden="false" customHeight="false" outlineLevel="0" collapsed="false">
      <c r="B1773" s="53"/>
      <c r="I1773" s="53"/>
      <c r="U1773" s="31" t="n">
        <f aca="false">IF($B1773='設定（最初に1回）'!$C$4,N(U1772)+1,N(U1772))</f>
        <v>134</v>
      </c>
    </row>
    <row r="1774" customFormat="false" ht="15" hidden="false" customHeight="false" outlineLevel="0" collapsed="false">
      <c r="B1774" s="53"/>
      <c r="I1774" s="53"/>
      <c r="U1774" s="31" t="n">
        <f aca="false">IF($B1774='設定（最初に1回）'!$C$4,N(U1773)+1,N(U1773))</f>
        <v>134</v>
      </c>
    </row>
    <row r="1775" customFormat="false" ht="15" hidden="false" customHeight="false" outlineLevel="0" collapsed="false">
      <c r="B1775" s="53"/>
      <c r="I1775" s="53"/>
      <c r="U1775" s="31" t="n">
        <f aca="false">IF($B1775='設定（最初に1回）'!$C$4,N(U1774)+1,N(U1774))</f>
        <v>134</v>
      </c>
    </row>
    <row r="1776" customFormat="false" ht="15" hidden="false" customHeight="false" outlineLevel="0" collapsed="false">
      <c r="B1776" s="53"/>
      <c r="I1776" s="53"/>
      <c r="U1776" s="31" t="n">
        <f aca="false">IF($B1776='設定（最初に1回）'!$C$4,N(U1775)+1,N(U1775))</f>
        <v>134</v>
      </c>
    </row>
    <row r="1777" customFormat="false" ht="15" hidden="false" customHeight="false" outlineLevel="0" collapsed="false">
      <c r="B1777" s="53"/>
      <c r="I1777" s="53"/>
      <c r="U1777" s="31" t="n">
        <f aca="false">IF($B1777='設定（最初に1回）'!$C$4,N(U1776)+1,N(U1776))</f>
        <v>134</v>
      </c>
    </row>
    <row r="1778" customFormat="false" ht="15" hidden="false" customHeight="false" outlineLevel="0" collapsed="false">
      <c r="B1778" s="53"/>
      <c r="I1778" s="53"/>
      <c r="U1778" s="31" t="n">
        <f aca="false">IF($B1778='設定（最初に1回）'!$C$4,N(U1777)+1,N(U1777))</f>
        <v>134</v>
      </c>
    </row>
    <row r="1779" customFormat="false" ht="15" hidden="false" customHeight="false" outlineLevel="0" collapsed="false">
      <c r="B1779" s="53"/>
      <c r="I1779" s="53"/>
      <c r="U1779" s="31" t="n">
        <f aca="false">IF($B1779='設定（最初に1回）'!$C$4,N(U1778)+1,N(U1778))</f>
        <v>134</v>
      </c>
    </row>
    <row r="1780" customFormat="false" ht="15" hidden="false" customHeight="false" outlineLevel="0" collapsed="false">
      <c r="B1780" s="53"/>
      <c r="I1780" s="53"/>
      <c r="U1780" s="31" t="n">
        <f aca="false">IF($B1780='設定（最初に1回）'!$C$4,N(U1779)+1,N(U1779))</f>
        <v>134</v>
      </c>
    </row>
    <row r="1781" customFormat="false" ht="15" hidden="false" customHeight="false" outlineLevel="0" collapsed="false">
      <c r="B1781" s="53"/>
      <c r="I1781" s="53"/>
      <c r="U1781" s="31" t="n">
        <f aca="false">IF($B1781='設定（最初に1回）'!$C$4,N(U1780)+1,N(U1780))</f>
        <v>134</v>
      </c>
    </row>
    <row r="1782" customFormat="false" ht="15" hidden="false" customHeight="false" outlineLevel="0" collapsed="false">
      <c r="B1782" s="53"/>
      <c r="I1782" s="53"/>
      <c r="U1782" s="31" t="n">
        <f aca="false">IF($B1782='設定（最初に1回）'!$C$4,N(U1781)+1,N(U1781))</f>
        <v>134</v>
      </c>
    </row>
    <row r="1783" customFormat="false" ht="15" hidden="false" customHeight="false" outlineLevel="0" collapsed="false">
      <c r="B1783" s="53"/>
      <c r="I1783" s="53"/>
      <c r="U1783" s="31" t="n">
        <f aca="false">IF($B1783='設定（最初に1回）'!$C$4,N(U1782)+1,N(U1782))</f>
        <v>134</v>
      </c>
    </row>
    <row r="1784" customFormat="false" ht="15" hidden="false" customHeight="false" outlineLevel="0" collapsed="false">
      <c r="B1784" s="53"/>
      <c r="I1784" s="53"/>
      <c r="U1784" s="31" t="n">
        <f aca="false">IF($B1784='設定（最初に1回）'!$C$4,N(U1783)+1,N(U1783))</f>
        <v>134</v>
      </c>
    </row>
    <row r="1785" customFormat="false" ht="15" hidden="false" customHeight="false" outlineLevel="0" collapsed="false">
      <c r="B1785" s="53"/>
      <c r="I1785" s="53"/>
      <c r="U1785" s="31" t="n">
        <f aca="false">IF($B1785='設定（最初に1回）'!$C$4,N(U1784)+1,N(U1784))</f>
        <v>134</v>
      </c>
    </row>
    <row r="1786" customFormat="false" ht="15" hidden="false" customHeight="false" outlineLevel="0" collapsed="false">
      <c r="B1786" s="53"/>
      <c r="I1786" s="53"/>
      <c r="U1786" s="31" t="n">
        <f aca="false">IF($B1786='設定（最初に1回）'!$C$4,N(U1785)+1,N(U1785))</f>
        <v>134</v>
      </c>
    </row>
    <row r="1787" customFormat="false" ht="15" hidden="false" customHeight="false" outlineLevel="0" collapsed="false">
      <c r="B1787" s="53"/>
      <c r="I1787" s="53"/>
      <c r="U1787" s="31" t="n">
        <f aca="false">IF($B1787='設定（最初に1回）'!$C$4,N(U1786)+1,N(U1786))</f>
        <v>134</v>
      </c>
    </row>
    <row r="1788" customFormat="false" ht="15" hidden="false" customHeight="false" outlineLevel="0" collapsed="false">
      <c r="B1788" s="53"/>
      <c r="I1788" s="53"/>
      <c r="U1788" s="31" t="n">
        <f aca="false">IF($B1788='設定（最初に1回）'!$C$4,N(U1787)+1,N(U1787))</f>
        <v>134</v>
      </c>
    </row>
    <row r="1789" customFormat="false" ht="15" hidden="false" customHeight="false" outlineLevel="0" collapsed="false">
      <c r="B1789" s="53"/>
      <c r="I1789" s="53"/>
      <c r="U1789" s="31" t="n">
        <f aca="false">IF($B1789='設定（最初に1回）'!$C$4,N(U1788)+1,N(U1788))</f>
        <v>134</v>
      </c>
    </row>
    <row r="1790" customFormat="false" ht="15" hidden="false" customHeight="false" outlineLevel="0" collapsed="false">
      <c r="B1790" s="53"/>
      <c r="I1790" s="53"/>
      <c r="U1790" s="31" t="n">
        <f aca="false">IF($B1790='設定（最初に1回）'!$C$4,N(U1789)+1,N(U1789))</f>
        <v>134</v>
      </c>
    </row>
    <row r="1791" customFormat="false" ht="15" hidden="false" customHeight="false" outlineLevel="0" collapsed="false">
      <c r="B1791" s="53"/>
      <c r="I1791" s="53"/>
      <c r="U1791" s="31" t="n">
        <f aca="false">IF($B1791='設定（最初に1回）'!$C$4,N(U1790)+1,N(U1790))</f>
        <v>134</v>
      </c>
    </row>
    <row r="1792" customFormat="false" ht="15" hidden="false" customHeight="false" outlineLevel="0" collapsed="false">
      <c r="B1792" s="53"/>
      <c r="I1792" s="53"/>
      <c r="U1792" s="31" t="n">
        <f aca="false">IF($B1792='設定（最初に1回）'!$C$4,N(U1791)+1,N(U1791))</f>
        <v>134</v>
      </c>
    </row>
    <row r="1793" customFormat="false" ht="15" hidden="false" customHeight="false" outlineLevel="0" collapsed="false">
      <c r="B1793" s="53"/>
      <c r="I1793" s="53"/>
      <c r="U1793" s="31" t="n">
        <f aca="false">IF($B1793='設定（最初に1回）'!$C$4,N(U1792)+1,N(U1792))</f>
        <v>134</v>
      </c>
    </row>
    <row r="1794" customFormat="false" ht="15" hidden="false" customHeight="false" outlineLevel="0" collapsed="false">
      <c r="B1794" s="53"/>
      <c r="I1794" s="53"/>
      <c r="U1794" s="31" t="n">
        <f aca="false">IF($B1794='設定（最初に1回）'!$C$4,N(U1793)+1,N(U1793))</f>
        <v>134</v>
      </c>
    </row>
    <row r="1795" customFormat="false" ht="15" hidden="false" customHeight="false" outlineLevel="0" collapsed="false">
      <c r="B1795" s="53"/>
      <c r="I1795" s="53"/>
      <c r="U1795" s="31" t="n">
        <f aca="false">IF($B1795='設定（最初に1回）'!$C$4,N(U1794)+1,N(U1794))</f>
        <v>134</v>
      </c>
    </row>
    <row r="1796" customFormat="false" ht="15" hidden="false" customHeight="false" outlineLevel="0" collapsed="false">
      <c r="B1796" s="53"/>
      <c r="I1796" s="53"/>
      <c r="U1796" s="31" t="n">
        <f aca="false">IF($B1796='設定（最初に1回）'!$C$4,N(U1795)+1,N(U1795))</f>
        <v>134</v>
      </c>
    </row>
    <row r="1797" customFormat="false" ht="15" hidden="false" customHeight="false" outlineLevel="0" collapsed="false">
      <c r="B1797" s="53"/>
      <c r="I1797" s="53"/>
      <c r="U1797" s="31" t="n">
        <f aca="false">IF($B1797='設定（最初に1回）'!$C$4,N(U1796)+1,N(U1796))</f>
        <v>134</v>
      </c>
    </row>
    <row r="1798" customFormat="false" ht="15" hidden="false" customHeight="false" outlineLevel="0" collapsed="false">
      <c r="B1798" s="53"/>
      <c r="I1798" s="53"/>
      <c r="U1798" s="31" t="n">
        <f aca="false">IF($B1798='設定（最初に1回）'!$C$4,N(U1797)+1,N(U1797))</f>
        <v>134</v>
      </c>
    </row>
    <row r="1799" customFormat="false" ht="15" hidden="false" customHeight="false" outlineLevel="0" collapsed="false">
      <c r="B1799" s="53"/>
      <c r="I1799" s="53"/>
      <c r="U1799" s="31" t="n">
        <f aca="false">IF($B1799='設定（最初に1回）'!$C$4,N(U1798)+1,N(U1798))</f>
        <v>134</v>
      </c>
    </row>
    <row r="1800" customFormat="false" ht="15" hidden="false" customHeight="false" outlineLevel="0" collapsed="false">
      <c r="B1800" s="53"/>
      <c r="I1800" s="53"/>
      <c r="U1800" s="31" t="n">
        <f aca="false">IF($B1800='設定（最初に1回）'!$C$4,N(U1799)+1,N(U1799))</f>
        <v>134</v>
      </c>
    </row>
    <row r="1801" customFormat="false" ht="15" hidden="false" customHeight="false" outlineLevel="0" collapsed="false">
      <c r="B1801" s="53"/>
      <c r="I1801" s="53"/>
      <c r="U1801" s="31" t="n">
        <f aca="false">IF($B1801='設定（最初に1回）'!$C$4,N(U1800)+1,N(U1800))</f>
        <v>134</v>
      </c>
    </row>
    <row r="1802" customFormat="false" ht="15" hidden="false" customHeight="false" outlineLevel="0" collapsed="false">
      <c r="B1802" s="53"/>
      <c r="I1802" s="53"/>
      <c r="U1802" s="31" t="n">
        <f aca="false">IF($B1802='設定（最初に1回）'!$C$4,N(U1801)+1,N(U1801))</f>
        <v>134</v>
      </c>
    </row>
    <row r="1803" customFormat="false" ht="15" hidden="false" customHeight="false" outlineLevel="0" collapsed="false">
      <c r="B1803" s="53"/>
      <c r="I1803" s="53"/>
      <c r="U1803" s="31" t="n">
        <f aca="false">IF($B1803='設定（最初に1回）'!$C$4,N(U1802)+1,N(U1802))</f>
        <v>134</v>
      </c>
    </row>
    <row r="1804" customFormat="false" ht="15" hidden="false" customHeight="false" outlineLevel="0" collapsed="false">
      <c r="B1804" s="53"/>
      <c r="I1804" s="53"/>
      <c r="U1804" s="31" t="n">
        <f aca="false">IF($B1804='設定（最初に1回）'!$C$4,N(U1803)+1,N(U1803))</f>
        <v>134</v>
      </c>
    </row>
    <row r="1805" customFormat="false" ht="15" hidden="false" customHeight="false" outlineLevel="0" collapsed="false">
      <c r="B1805" s="53"/>
      <c r="I1805" s="53"/>
      <c r="U1805" s="31" t="n">
        <f aca="false">IF($B1805='設定（最初に1回）'!$C$4,N(U1804)+1,N(U1804))</f>
        <v>134</v>
      </c>
    </row>
    <row r="1806" customFormat="false" ht="15" hidden="false" customHeight="false" outlineLevel="0" collapsed="false">
      <c r="B1806" s="53"/>
      <c r="I1806" s="53"/>
      <c r="U1806" s="31" t="n">
        <f aca="false">IF($B1806='設定（最初に1回）'!$C$4,N(U1805)+1,N(U1805))</f>
        <v>134</v>
      </c>
    </row>
    <row r="1807" customFormat="false" ht="15" hidden="false" customHeight="false" outlineLevel="0" collapsed="false">
      <c r="B1807" s="53"/>
      <c r="I1807" s="53"/>
      <c r="U1807" s="31" t="n">
        <f aca="false">IF($B1807='設定（最初に1回）'!$C$4,N(U1806)+1,N(U1806))</f>
        <v>134</v>
      </c>
    </row>
    <row r="1808" customFormat="false" ht="15" hidden="false" customHeight="false" outlineLevel="0" collapsed="false">
      <c r="B1808" s="53"/>
      <c r="I1808" s="53"/>
      <c r="U1808" s="31" t="n">
        <f aca="false">IF($B1808='設定（最初に1回）'!$C$4,N(U1807)+1,N(U1807))</f>
        <v>134</v>
      </c>
    </row>
    <row r="1809" customFormat="false" ht="15" hidden="false" customHeight="false" outlineLevel="0" collapsed="false">
      <c r="B1809" s="53"/>
      <c r="I1809" s="53"/>
      <c r="U1809" s="31" t="n">
        <f aca="false">IF($B1809='設定（最初に1回）'!$C$4,N(U1808)+1,N(U1808))</f>
        <v>134</v>
      </c>
    </row>
    <row r="1810" customFormat="false" ht="15" hidden="false" customHeight="false" outlineLevel="0" collapsed="false">
      <c r="B1810" s="53"/>
      <c r="I1810" s="53"/>
      <c r="U1810" s="31" t="n">
        <f aca="false">IF($B1810='設定（最初に1回）'!$C$4,N(U1809)+1,N(U1809))</f>
        <v>134</v>
      </c>
    </row>
    <row r="1811" customFormat="false" ht="15" hidden="false" customHeight="false" outlineLevel="0" collapsed="false">
      <c r="B1811" s="53"/>
      <c r="I1811" s="53"/>
      <c r="U1811" s="31" t="n">
        <f aca="false">IF($B1811='設定（最初に1回）'!$C$4,N(U1810)+1,N(U1810))</f>
        <v>134</v>
      </c>
    </row>
    <row r="1812" customFormat="false" ht="15" hidden="false" customHeight="false" outlineLevel="0" collapsed="false">
      <c r="B1812" s="53"/>
      <c r="I1812" s="53"/>
      <c r="U1812" s="31" t="n">
        <f aca="false">IF($B1812='設定（最初に1回）'!$C$4,N(U1811)+1,N(U1811))</f>
        <v>134</v>
      </c>
    </row>
    <row r="1813" customFormat="false" ht="15" hidden="false" customHeight="false" outlineLevel="0" collapsed="false">
      <c r="B1813" s="53"/>
      <c r="I1813" s="53"/>
      <c r="U1813" s="31" t="n">
        <f aca="false">IF($B1813='設定（最初に1回）'!$C$4,N(U1812)+1,N(U1812))</f>
        <v>134</v>
      </c>
    </row>
    <row r="1814" customFormat="false" ht="15" hidden="false" customHeight="false" outlineLevel="0" collapsed="false">
      <c r="B1814" s="53"/>
      <c r="I1814" s="53"/>
      <c r="U1814" s="31" t="n">
        <f aca="false">IF($B1814='設定（最初に1回）'!$C$4,N(U1813)+1,N(U1813))</f>
        <v>134</v>
      </c>
    </row>
    <row r="1815" customFormat="false" ht="15" hidden="false" customHeight="false" outlineLevel="0" collapsed="false">
      <c r="B1815" s="53"/>
      <c r="I1815" s="53"/>
      <c r="U1815" s="31" t="n">
        <f aca="false">IF($B1815='設定（最初に1回）'!$C$4,N(U1814)+1,N(U1814))</f>
        <v>134</v>
      </c>
    </row>
    <row r="1816" customFormat="false" ht="15" hidden="false" customHeight="false" outlineLevel="0" collapsed="false">
      <c r="B1816" s="53"/>
      <c r="I1816" s="53"/>
      <c r="U1816" s="31" t="n">
        <f aca="false">IF($B1816='設定（最初に1回）'!$C$4,N(U1815)+1,N(U1815))</f>
        <v>134</v>
      </c>
    </row>
    <row r="1817" customFormat="false" ht="15" hidden="false" customHeight="false" outlineLevel="0" collapsed="false">
      <c r="B1817" s="53"/>
      <c r="I1817" s="53"/>
      <c r="U1817" s="31" t="n">
        <f aca="false">IF($B1817='設定（最初に1回）'!$C$4,N(U1816)+1,N(U1816))</f>
        <v>134</v>
      </c>
    </row>
    <row r="1818" customFormat="false" ht="15" hidden="false" customHeight="false" outlineLevel="0" collapsed="false">
      <c r="B1818" s="53"/>
      <c r="I1818" s="53"/>
      <c r="U1818" s="31" t="n">
        <f aca="false">IF($B1818='設定（最初に1回）'!$C$4,N(U1817)+1,N(U1817))</f>
        <v>134</v>
      </c>
    </row>
    <row r="1819" customFormat="false" ht="15" hidden="false" customHeight="false" outlineLevel="0" collapsed="false">
      <c r="B1819" s="53"/>
      <c r="I1819" s="53"/>
      <c r="U1819" s="31" t="n">
        <f aca="false">IF($B1819='設定（最初に1回）'!$C$4,N(U1818)+1,N(U1818))</f>
        <v>134</v>
      </c>
    </row>
    <row r="1820" customFormat="false" ht="15" hidden="false" customHeight="false" outlineLevel="0" collapsed="false">
      <c r="B1820" s="53"/>
      <c r="I1820" s="53"/>
      <c r="U1820" s="31" t="n">
        <f aca="false">IF($B1820='設定（最初に1回）'!$C$4,N(U1819)+1,N(U1819))</f>
        <v>134</v>
      </c>
    </row>
    <row r="1821" customFormat="false" ht="15" hidden="false" customHeight="false" outlineLevel="0" collapsed="false">
      <c r="B1821" s="53"/>
      <c r="I1821" s="53"/>
      <c r="U1821" s="31" t="n">
        <f aca="false">IF($B1821='設定（最初に1回）'!$C$4,N(U1820)+1,N(U1820))</f>
        <v>134</v>
      </c>
    </row>
    <row r="1822" customFormat="false" ht="15" hidden="false" customHeight="false" outlineLevel="0" collapsed="false">
      <c r="B1822" s="53"/>
      <c r="I1822" s="53"/>
      <c r="U1822" s="31" t="n">
        <f aca="false">IF($B1822='設定（最初に1回）'!$C$4,N(U1821)+1,N(U1821))</f>
        <v>134</v>
      </c>
    </row>
    <row r="1823" customFormat="false" ht="15" hidden="false" customHeight="false" outlineLevel="0" collapsed="false">
      <c r="B1823" s="53"/>
      <c r="I1823" s="53"/>
      <c r="U1823" s="31" t="n">
        <f aca="false">IF($B1823='設定（最初に1回）'!$C$4,N(U1822)+1,N(U1822))</f>
        <v>134</v>
      </c>
    </row>
    <row r="1824" customFormat="false" ht="15" hidden="false" customHeight="false" outlineLevel="0" collapsed="false">
      <c r="B1824" s="53"/>
      <c r="I1824" s="53"/>
      <c r="U1824" s="31" t="n">
        <f aca="false">IF($B1824='設定（最初に1回）'!$C$4,N(U1823)+1,N(U1823))</f>
        <v>134</v>
      </c>
    </row>
    <row r="1825" customFormat="false" ht="15" hidden="false" customHeight="false" outlineLevel="0" collapsed="false">
      <c r="B1825" s="53"/>
      <c r="I1825" s="53"/>
      <c r="U1825" s="31" t="n">
        <f aca="false">IF($B1825='設定（最初に1回）'!$C$4,N(U1824)+1,N(U1824))</f>
        <v>134</v>
      </c>
    </row>
    <row r="1826" customFormat="false" ht="15" hidden="false" customHeight="false" outlineLevel="0" collapsed="false">
      <c r="B1826" s="53"/>
      <c r="I1826" s="53"/>
      <c r="U1826" s="31" t="n">
        <f aca="false">IF($B1826='設定（最初に1回）'!$C$4,N(U1825)+1,N(U1825))</f>
        <v>134</v>
      </c>
    </row>
    <row r="1827" customFormat="false" ht="15" hidden="false" customHeight="false" outlineLevel="0" collapsed="false">
      <c r="B1827" s="53"/>
      <c r="I1827" s="53"/>
      <c r="U1827" s="31" t="n">
        <f aca="false">IF($B1827='設定（最初に1回）'!$C$4,N(U1826)+1,N(U1826))</f>
        <v>134</v>
      </c>
    </row>
    <row r="1828" customFormat="false" ht="15" hidden="false" customHeight="false" outlineLevel="0" collapsed="false">
      <c r="B1828" s="53"/>
      <c r="I1828" s="53"/>
      <c r="U1828" s="31" t="n">
        <f aca="false">IF($B1828='設定（最初に1回）'!$C$4,N(U1827)+1,N(U1827))</f>
        <v>134</v>
      </c>
    </row>
    <row r="1829" customFormat="false" ht="15" hidden="false" customHeight="false" outlineLevel="0" collapsed="false">
      <c r="B1829" s="53"/>
      <c r="I1829" s="53"/>
      <c r="U1829" s="31" t="n">
        <f aca="false">IF($B1829='設定（最初に1回）'!$C$4,N(U1828)+1,N(U1828))</f>
        <v>134</v>
      </c>
    </row>
    <row r="1830" customFormat="false" ht="15" hidden="false" customHeight="false" outlineLevel="0" collapsed="false">
      <c r="B1830" s="53"/>
      <c r="I1830" s="53"/>
      <c r="U1830" s="31" t="n">
        <f aca="false">IF($B1830='設定（最初に1回）'!$C$4,N(U1829)+1,N(U1829))</f>
        <v>134</v>
      </c>
    </row>
    <row r="1831" customFormat="false" ht="15" hidden="false" customHeight="false" outlineLevel="0" collapsed="false">
      <c r="B1831" s="53"/>
      <c r="I1831" s="53"/>
      <c r="U1831" s="31" t="n">
        <f aca="false">IF($B1831='設定（最初に1回）'!$C$4,N(U1830)+1,N(U1830))</f>
        <v>134</v>
      </c>
    </row>
    <row r="1832" customFormat="false" ht="15" hidden="false" customHeight="false" outlineLevel="0" collapsed="false">
      <c r="B1832" s="53"/>
      <c r="I1832" s="53"/>
      <c r="U1832" s="31" t="n">
        <f aca="false">IF($B1832='設定（最初に1回）'!$C$4,N(U1831)+1,N(U1831))</f>
        <v>134</v>
      </c>
    </row>
    <row r="1833" customFormat="false" ht="15" hidden="false" customHeight="false" outlineLevel="0" collapsed="false">
      <c r="B1833" s="53"/>
      <c r="I1833" s="53"/>
      <c r="U1833" s="31" t="n">
        <f aca="false">IF($B1833='設定（最初に1回）'!$C$4,N(U1832)+1,N(U1832))</f>
        <v>134</v>
      </c>
    </row>
    <row r="1834" customFormat="false" ht="15" hidden="false" customHeight="false" outlineLevel="0" collapsed="false">
      <c r="B1834" s="53"/>
      <c r="I1834" s="53"/>
      <c r="U1834" s="31" t="n">
        <f aca="false">IF($B1834='設定（最初に1回）'!$C$4,N(U1833)+1,N(U1833))</f>
        <v>134</v>
      </c>
    </row>
    <row r="1835" customFormat="false" ht="15" hidden="false" customHeight="false" outlineLevel="0" collapsed="false">
      <c r="B1835" s="53"/>
      <c r="I1835" s="53"/>
      <c r="U1835" s="31" t="n">
        <f aca="false">IF($B1835='設定（最初に1回）'!$C$4,N(U1834)+1,N(U1834))</f>
        <v>134</v>
      </c>
    </row>
    <row r="1836" customFormat="false" ht="15" hidden="false" customHeight="false" outlineLevel="0" collapsed="false">
      <c r="B1836" s="53"/>
      <c r="I1836" s="53"/>
      <c r="U1836" s="31" t="n">
        <f aca="false">IF($B1836='設定（最初に1回）'!$C$4,N(U1835)+1,N(U1835))</f>
        <v>134</v>
      </c>
    </row>
    <row r="1837" customFormat="false" ht="15" hidden="false" customHeight="false" outlineLevel="0" collapsed="false">
      <c r="B1837" s="53"/>
      <c r="I1837" s="53"/>
      <c r="U1837" s="31" t="n">
        <f aca="false">IF($B1837='設定（最初に1回）'!$C$4,N(U1836)+1,N(U1836))</f>
        <v>134</v>
      </c>
    </row>
    <row r="1838" customFormat="false" ht="15" hidden="false" customHeight="false" outlineLevel="0" collapsed="false">
      <c r="B1838" s="53"/>
      <c r="I1838" s="53"/>
      <c r="U1838" s="31" t="n">
        <f aca="false">IF($B1838='設定（最初に1回）'!$C$4,N(U1837)+1,N(U1837))</f>
        <v>134</v>
      </c>
    </row>
    <row r="1839" customFormat="false" ht="15" hidden="false" customHeight="false" outlineLevel="0" collapsed="false">
      <c r="B1839" s="53"/>
      <c r="I1839" s="53"/>
      <c r="U1839" s="31" t="n">
        <f aca="false">IF($B1839='設定（最初に1回）'!$C$4,N(U1838)+1,N(U1838))</f>
        <v>134</v>
      </c>
    </row>
    <row r="1840" customFormat="false" ht="15" hidden="false" customHeight="false" outlineLevel="0" collapsed="false">
      <c r="B1840" s="53"/>
      <c r="I1840" s="53"/>
      <c r="U1840" s="31" t="n">
        <f aca="false">IF($B1840='設定（最初に1回）'!$C$4,N(U1839)+1,N(U1839))</f>
        <v>134</v>
      </c>
    </row>
    <row r="1841" customFormat="false" ht="15" hidden="false" customHeight="false" outlineLevel="0" collapsed="false">
      <c r="B1841" s="53"/>
      <c r="I1841" s="53"/>
      <c r="U1841" s="31" t="n">
        <f aca="false">IF($B1841='設定（最初に1回）'!$C$4,N(U1840)+1,N(U1840))</f>
        <v>134</v>
      </c>
    </row>
    <row r="1842" customFormat="false" ht="15" hidden="false" customHeight="false" outlineLevel="0" collapsed="false">
      <c r="B1842" s="53"/>
      <c r="I1842" s="53"/>
      <c r="U1842" s="31" t="n">
        <f aca="false">IF($B1842='設定（最初に1回）'!$C$4,N(U1841)+1,N(U1841))</f>
        <v>134</v>
      </c>
    </row>
    <row r="1843" customFormat="false" ht="15" hidden="false" customHeight="false" outlineLevel="0" collapsed="false">
      <c r="B1843" s="53"/>
      <c r="I1843" s="53"/>
      <c r="U1843" s="31" t="n">
        <f aca="false">IF($B1843='設定（最初に1回）'!$C$4,N(U1842)+1,N(U1842))</f>
        <v>134</v>
      </c>
    </row>
    <row r="1844" customFormat="false" ht="15" hidden="false" customHeight="false" outlineLevel="0" collapsed="false">
      <c r="B1844" s="53"/>
      <c r="I1844" s="53"/>
      <c r="U1844" s="31" t="n">
        <f aca="false">IF($B1844='設定（最初に1回）'!$C$4,N(U1843)+1,N(U1843))</f>
        <v>134</v>
      </c>
    </row>
    <row r="1845" customFormat="false" ht="15" hidden="false" customHeight="false" outlineLevel="0" collapsed="false">
      <c r="B1845" s="53"/>
      <c r="I1845" s="53"/>
      <c r="U1845" s="31" t="n">
        <f aca="false">IF($B1845='設定（最初に1回）'!$C$4,N(U1844)+1,N(U1844))</f>
        <v>134</v>
      </c>
    </row>
    <row r="1846" customFormat="false" ht="15" hidden="false" customHeight="false" outlineLevel="0" collapsed="false">
      <c r="B1846" s="53"/>
      <c r="I1846" s="53"/>
      <c r="U1846" s="31" t="n">
        <f aca="false">IF($B1846='設定（最初に1回）'!$C$4,N(U1845)+1,N(U1845))</f>
        <v>134</v>
      </c>
    </row>
    <row r="1847" customFormat="false" ht="15" hidden="false" customHeight="false" outlineLevel="0" collapsed="false">
      <c r="B1847" s="53"/>
      <c r="I1847" s="53"/>
      <c r="U1847" s="31" t="n">
        <f aca="false">IF($B1847='設定（最初に1回）'!$C$4,N(U1846)+1,N(U1846))</f>
        <v>134</v>
      </c>
    </row>
    <row r="1848" customFormat="false" ht="15" hidden="false" customHeight="false" outlineLevel="0" collapsed="false">
      <c r="B1848" s="53"/>
      <c r="I1848" s="53"/>
      <c r="U1848" s="31" t="n">
        <f aca="false">IF($B1848='設定（最初に1回）'!$C$4,N(U1847)+1,N(U1847))</f>
        <v>134</v>
      </c>
    </row>
    <row r="1849" customFormat="false" ht="15" hidden="false" customHeight="false" outlineLevel="0" collapsed="false">
      <c r="B1849" s="53"/>
      <c r="I1849" s="53"/>
      <c r="U1849" s="31" t="n">
        <f aca="false">IF($B1849='設定（最初に1回）'!$C$4,N(U1848)+1,N(U1848))</f>
        <v>134</v>
      </c>
    </row>
    <row r="1850" customFormat="false" ht="15" hidden="false" customHeight="false" outlineLevel="0" collapsed="false">
      <c r="B1850" s="53"/>
      <c r="I1850" s="53"/>
      <c r="U1850" s="31" t="n">
        <f aca="false">IF($B1850='設定（最初に1回）'!$C$4,N(U1849)+1,N(U1849))</f>
        <v>134</v>
      </c>
    </row>
    <row r="1851" customFormat="false" ht="15" hidden="false" customHeight="false" outlineLevel="0" collapsed="false">
      <c r="B1851" s="53"/>
      <c r="I1851" s="53"/>
      <c r="U1851" s="31" t="n">
        <f aca="false">IF($B1851='設定（最初に1回）'!$C$4,N(U1850)+1,N(U1850))</f>
        <v>134</v>
      </c>
    </row>
    <row r="1852" customFormat="false" ht="15" hidden="false" customHeight="false" outlineLevel="0" collapsed="false">
      <c r="B1852" s="53"/>
      <c r="I1852" s="53"/>
      <c r="U1852" s="31" t="n">
        <f aca="false">IF($B1852='設定（最初に1回）'!$C$4,N(U1851)+1,N(U1851))</f>
        <v>134</v>
      </c>
    </row>
    <row r="1853" customFormat="false" ht="15" hidden="false" customHeight="false" outlineLevel="0" collapsed="false">
      <c r="B1853" s="53"/>
      <c r="I1853" s="53"/>
      <c r="U1853" s="31" t="n">
        <f aca="false">IF($B1853='設定（最初に1回）'!$C$4,N(U1852)+1,N(U1852))</f>
        <v>134</v>
      </c>
    </row>
    <row r="1854" customFormat="false" ht="15" hidden="false" customHeight="false" outlineLevel="0" collapsed="false">
      <c r="B1854" s="53"/>
      <c r="I1854" s="53"/>
      <c r="U1854" s="31" t="n">
        <f aca="false">IF($B1854='設定（最初に1回）'!$C$4,N(U1853)+1,N(U1853))</f>
        <v>134</v>
      </c>
    </row>
    <row r="1855" customFormat="false" ht="15" hidden="false" customHeight="false" outlineLevel="0" collapsed="false">
      <c r="B1855" s="53"/>
      <c r="I1855" s="53"/>
      <c r="U1855" s="31" t="n">
        <f aca="false">IF($B1855='設定（最初に1回）'!$C$4,N(U1854)+1,N(U1854))</f>
        <v>134</v>
      </c>
    </row>
    <row r="1856" customFormat="false" ht="15" hidden="false" customHeight="false" outlineLevel="0" collapsed="false">
      <c r="B1856" s="53"/>
      <c r="I1856" s="53"/>
      <c r="U1856" s="31" t="n">
        <f aca="false">IF($B1856='設定（最初に1回）'!$C$4,N(U1855)+1,N(U1855))</f>
        <v>134</v>
      </c>
    </row>
    <row r="1857" customFormat="false" ht="15" hidden="false" customHeight="false" outlineLevel="0" collapsed="false">
      <c r="B1857" s="53"/>
      <c r="I1857" s="53"/>
      <c r="U1857" s="31" t="n">
        <f aca="false">IF($B1857='設定（最初に1回）'!$C$4,N(U1856)+1,N(U1856))</f>
        <v>134</v>
      </c>
    </row>
    <row r="1858" customFormat="false" ht="15" hidden="false" customHeight="false" outlineLevel="0" collapsed="false">
      <c r="B1858" s="53"/>
      <c r="I1858" s="53"/>
      <c r="U1858" s="31" t="n">
        <f aca="false">IF($B1858='設定（最初に1回）'!$C$4,N(U1857)+1,N(U1857))</f>
        <v>134</v>
      </c>
    </row>
    <row r="1859" customFormat="false" ht="15" hidden="false" customHeight="false" outlineLevel="0" collapsed="false">
      <c r="B1859" s="53"/>
      <c r="I1859" s="53"/>
      <c r="U1859" s="31" t="n">
        <f aca="false">IF($B1859='設定（最初に1回）'!$C$4,N(U1858)+1,N(U1858))</f>
        <v>134</v>
      </c>
    </row>
    <row r="1860" customFormat="false" ht="15" hidden="false" customHeight="false" outlineLevel="0" collapsed="false">
      <c r="B1860" s="53"/>
      <c r="I1860" s="53"/>
      <c r="U1860" s="31" t="n">
        <f aca="false">IF($B1860='設定（最初に1回）'!$C$4,N(U1859)+1,N(U1859))</f>
        <v>134</v>
      </c>
    </row>
    <row r="1861" customFormat="false" ht="15" hidden="false" customHeight="false" outlineLevel="0" collapsed="false">
      <c r="B1861" s="53"/>
      <c r="I1861" s="53"/>
      <c r="U1861" s="31" t="n">
        <f aca="false">IF($B1861='設定（最初に1回）'!$C$4,N(U1860)+1,N(U1860))</f>
        <v>134</v>
      </c>
    </row>
    <row r="1862" customFormat="false" ht="15" hidden="false" customHeight="false" outlineLevel="0" collapsed="false">
      <c r="B1862" s="53"/>
      <c r="I1862" s="53"/>
      <c r="U1862" s="31" t="n">
        <f aca="false">IF($B1862='設定（最初に1回）'!$C$4,N(U1861)+1,N(U1861))</f>
        <v>134</v>
      </c>
    </row>
    <row r="1863" customFormat="false" ht="15" hidden="false" customHeight="false" outlineLevel="0" collapsed="false">
      <c r="B1863" s="53"/>
      <c r="I1863" s="53"/>
      <c r="U1863" s="31" t="n">
        <f aca="false">IF($B1863='設定（最初に1回）'!$C$4,N(U1862)+1,N(U1862))</f>
        <v>134</v>
      </c>
    </row>
    <row r="1864" customFormat="false" ht="15" hidden="false" customHeight="false" outlineLevel="0" collapsed="false">
      <c r="B1864" s="53"/>
      <c r="I1864" s="53"/>
      <c r="U1864" s="31" t="n">
        <f aca="false">IF($B1864='設定（最初に1回）'!$C$4,N(U1863)+1,N(U1863))</f>
        <v>134</v>
      </c>
    </row>
    <row r="1865" customFormat="false" ht="15" hidden="false" customHeight="false" outlineLevel="0" collapsed="false">
      <c r="B1865" s="53"/>
      <c r="I1865" s="53"/>
      <c r="U1865" s="31" t="n">
        <f aca="false">IF($B1865='設定（最初に1回）'!$C$4,N(U1864)+1,N(U1864))</f>
        <v>134</v>
      </c>
    </row>
    <row r="1866" customFormat="false" ht="15" hidden="false" customHeight="false" outlineLevel="0" collapsed="false">
      <c r="B1866" s="53"/>
      <c r="I1866" s="53"/>
      <c r="U1866" s="31" t="n">
        <f aca="false">IF($B1866='設定（最初に1回）'!$C$4,N(U1865)+1,N(U1865))</f>
        <v>134</v>
      </c>
    </row>
    <row r="1867" customFormat="false" ht="15" hidden="false" customHeight="false" outlineLevel="0" collapsed="false">
      <c r="B1867" s="53"/>
      <c r="I1867" s="53"/>
      <c r="U1867" s="31" t="n">
        <f aca="false">IF($B1867='設定（最初に1回）'!$C$4,N(U1866)+1,N(U1866))</f>
        <v>134</v>
      </c>
    </row>
    <row r="1868" customFormat="false" ht="15" hidden="false" customHeight="false" outlineLevel="0" collapsed="false">
      <c r="B1868" s="53"/>
      <c r="I1868" s="53"/>
      <c r="U1868" s="31" t="n">
        <f aca="false">IF($B1868='設定（最初に1回）'!$C$4,N(U1867)+1,N(U1867))</f>
        <v>134</v>
      </c>
    </row>
    <row r="1869" customFormat="false" ht="15" hidden="false" customHeight="false" outlineLevel="0" collapsed="false">
      <c r="B1869" s="53"/>
      <c r="I1869" s="53"/>
      <c r="U1869" s="31" t="n">
        <f aca="false">IF($B1869='設定（最初に1回）'!$C$4,N(U1868)+1,N(U1868))</f>
        <v>134</v>
      </c>
    </row>
    <row r="1870" customFormat="false" ht="15" hidden="false" customHeight="false" outlineLevel="0" collapsed="false">
      <c r="B1870" s="53"/>
      <c r="I1870" s="53"/>
      <c r="U1870" s="31" t="n">
        <f aca="false">IF($B1870='設定（最初に1回）'!$C$4,N(U1869)+1,N(U1869))</f>
        <v>134</v>
      </c>
    </row>
    <row r="1871" customFormat="false" ht="15" hidden="false" customHeight="false" outlineLevel="0" collapsed="false">
      <c r="B1871" s="53"/>
      <c r="I1871" s="53"/>
      <c r="U1871" s="31" t="n">
        <f aca="false">IF($B1871='設定（最初に1回）'!$C$4,N(U1870)+1,N(U1870))</f>
        <v>134</v>
      </c>
    </row>
    <row r="1872" customFormat="false" ht="15" hidden="false" customHeight="false" outlineLevel="0" collapsed="false">
      <c r="B1872" s="53"/>
      <c r="I1872" s="53"/>
      <c r="U1872" s="31" t="n">
        <f aca="false">IF($B1872='設定（最初に1回）'!$C$4,N(U1871)+1,N(U1871))</f>
        <v>134</v>
      </c>
    </row>
    <row r="1873" customFormat="false" ht="15" hidden="false" customHeight="false" outlineLevel="0" collapsed="false">
      <c r="B1873" s="53"/>
      <c r="I1873" s="53"/>
      <c r="U1873" s="31" t="n">
        <f aca="false">IF($B1873='設定（最初に1回）'!$C$4,N(U1872)+1,N(U1872))</f>
        <v>134</v>
      </c>
    </row>
    <row r="1874" customFormat="false" ht="15" hidden="false" customHeight="false" outlineLevel="0" collapsed="false">
      <c r="B1874" s="53"/>
      <c r="I1874" s="53"/>
      <c r="U1874" s="31" t="n">
        <f aca="false">IF($B1874='設定（最初に1回）'!$C$4,N(U1873)+1,N(U1873))</f>
        <v>134</v>
      </c>
    </row>
    <row r="1875" customFormat="false" ht="15" hidden="false" customHeight="false" outlineLevel="0" collapsed="false">
      <c r="B1875" s="53"/>
      <c r="I1875" s="53"/>
      <c r="U1875" s="31" t="n">
        <f aca="false">IF($B1875='設定（最初に1回）'!$C$4,N(U1874)+1,N(U1874))</f>
        <v>134</v>
      </c>
    </row>
    <row r="1876" customFormat="false" ht="15" hidden="false" customHeight="false" outlineLevel="0" collapsed="false">
      <c r="B1876" s="53"/>
      <c r="I1876" s="53"/>
      <c r="U1876" s="31" t="n">
        <f aca="false">IF($B1876='設定（最初に1回）'!$C$4,N(U1875)+1,N(U1875))</f>
        <v>134</v>
      </c>
    </row>
    <row r="1877" customFormat="false" ht="15" hidden="false" customHeight="false" outlineLevel="0" collapsed="false">
      <c r="B1877" s="53"/>
      <c r="I1877" s="53"/>
      <c r="U1877" s="31" t="n">
        <f aca="false">IF($B1877='設定（最初に1回）'!$C$4,N(U1876)+1,N(U1876))</f>
        <v>134</v>
      </c>
    </row>
    <row r="1878" customFormat="false" ht="15" hidden="false" customHeight="false" outlineLevel="0" collapsed="false">
      <c r="B1878" s="53"/>
      <c r="I1878" s="53"/>
      <c r="U1878" s="31" t="n">
        <f aca="false">IF($B1878='設定（最初に1回）'!$C$4,N(U1877)+1,N(U1877))</f>
        <v>134</v>
      </c>
    </row>
    <row r="1879" customFormat="false" ht="15" hidden="false" customHeight="false" outlineLevel="0" collapsed="false">
      <c r="B1879" s="53"/>
      <c r="I1879" s="53"/>
      <c r="U1879" s="31" t="n">
        <f aca="false">IF($B1879='設定（最初に1回）'!$C$4,N(U1878)+1,N(U1878))</f>
        <v>134</v>
      </c>
    </row>
    <row r="1880" customFormat="false" ht="15" hidden="false" customHeight="false" outlineLevel="0" collapsed="false">
      <c r="B1880" s="53"/>
      <c r="I1880" s="53"/>
      <c r="U1880" s="31" t="n">
        <f aca="false">IF($B1880='設定（最初に1回）'!$C$4,N(U1879)+1,N(U1879))</f>
        <v>134</v>
      </c>
    </row>
    <row r="1881" customFormat="false" ht="15" hidden="false" customHeight="false" outlineLevel="0" collapsed="false">
      <c r="B1881" s="53"/>
      <c r="I1881" s="53"/>
      <c r="U1881" s="31" t="n">
        <f aca="false">IF($B1881='設定（最初に1回）'!$C$4,N(U1880)+1,N(U1880))</f>
        <v>134</v>
      </c>
    </row>
    <row r="1882" customFormat="false" ht="15" hidden="false" customHeight="false" outlineLevel="0" collapsed="false">
      <c r="B1882" s="53"/>
      <c r="I1882" s="53"/>
      <c r="U1882" s="31" t="n">
        <f aca="false">IF($B1882='設定（最初に1回）'!$C$4,N(U1881)+1,N(U1881))</f>
        <v>134</v>
      </c>
    </row>
    <row r="1883" customFormat="false" ht="15" hidden="false" customHeight="false" outlineLevel="0" collapsed="false">
      <c r="B1883" s="53"/>
      <c r="I1883" s="53"/>
      <c r="U1883" s="31" t="n">
        <f aca="false">IF($B1883='設定（最初に1回）'!$C$4,N(U1882)+1,N(U1882))</f>
        <v>134</v>
      </c>
    </row>
    <row r="1884" customFormat="false" ht="15" hidden="false" customHeight="false" outlineLevel="0" collapsed="false">
      <c r="B1884" s="53"/>
      <c r="I1884" s="53"/>
      <c r="U1884" s="31" t="n">
        <f aca="false">IF($B1884='設定（最初に1回）'!$C$4,N(U1883)+1,N(U1883))</f>
        <v>134</v>
      </c>
    </row>
    <row r="1885" customFormat="false" ht="15" hidden="false" customHeight="false" outlineLevel="0" collapsed="false">
      <c r="B1885" s="53"/>
      <c r="I1885" s="53"/>
      <c r="U1885" s="31" t="n">
        <f aca="false">IF($B1885='設定（最初に1回）'!$C$4,N(U1884)+1,N(U1884))</f>
        <v>134</v>
      </c>
    </row>
    <row r="1886" customFormat="false" ht="15" hidden="false" customHeight="false" outlineLevel="0" collapsed="false">
      <c r="B1886" s="53"/>
      <c r="I1886" s="53"/>
      <c r="U1886" s="31" t="n">
        <f aca="false">IF($B1886='設定（最初に1回）'!$C$4,N(U1885)+1,N(U1885))</f>
        <v>134</v>
      </c>
    </row>
    <row r="1887" customFormat="false" ht="15" hidden="false" customHeight="false" outlineLevel="0" collapsed="false">
      <c r="B1887" s="53"/>
      <c r="I1887" s="53"/>
      <c r="U1887" s="31" t="n">
        <f aca="false">IF($B1887='設定（最初に1回）'!$C$4,N(U1886)+1,N(U1886))</f>
        <v>134</v>
      </c>
    </row>
    <row r="1888" customFormat="false" ht="15" hidden="false" customHeight="false" outlineLevel="0" collapsed="false">
      <c r="B1888" s="53"/>
      <c r="I1888" s="53"/>
      <c r="U1888" s="31" t="n">
        <f aca="false">IF($B1888='設定（最初に1回）'!$C$4,N(U1887)+1,N(U1887))</f>
        <v>134</v>
      </c>
    </row>
    <row r="1889" customFormat="false" ht="15" hidden="false" customHeight="false" outlineLevel="0" collapsed="false">
      <c r="B1889" s="53"/>
      <c r="I1889" s="53"/>
      <c r="U1889" s="31" t="n">
        <f aca="false">IF($B1889='設定（最初に1回）'!$C$4,N(U1888)+1,N(U1888))</f>
        <v>134</v>
      </c>
    </row>
    <row r="1890" customFormat="false" ht="15" hidden="false" customHeight="false" outlineLevel="0" collapsed="false">
      <c r="B1890" s="53"/>
      <c r="I1890" s="53"/>
      <c r="U1890" s="31" t="n">
        <f aca="false">IF($B1890='設定（最初に1回）'!$C$4,N(U1889)+1,N(U1889))</f>
        <v>134</v>
      </c>
    </row>
    <row r="1891" customFormat="false" ht="15" hidden="false" customHeight="false" outlineLevel="0" collapsed="false">
      <c r="B1891" s="53"/>
      <c r="I1891" s="53"/>
      <c r="U1891" s="31" t="n">
        <f aca="false">IF($B1891='設定（最初に1回）'!$C$4,N(U1890)+1,N(U1890))</f>
        <v>134</v>
      </c>
    </row>
    <row r="1892" customFormat="false" ht="15" hidden="false" customHeight="false" outlineLevel="0" collapsed="false">
      <c r="B1892" s="53"/>
      <c r="I1892" s="53"/>
      <c r="U1892" s="31" t="n">
        <f aca="false">IF($B1892='設定（最初に1回）'!$C$4,N(U1891)+1,N(U1891))</f>
        <v>134</v>
      </c>
    </row>
    <row r="1893" customFormat="false" ht="15" hidden="false" customHeight="false" outlineLevel="0" collapsed="false">
      <c r="B1893" s="53"/>
      <c r="I1893" s="53"/>
      <c r="U1893" s="31" t="n">
        <f aca="false">IF($B1893='設定（最初に1回）'!$C$4,N(U1892)+1,N(U1892))</f>
        <v>134</v>
      </c>
    </row>
    <row r="1894" customFormat="false" ht="15" hidden="false" customHeight="false" outlineLevel="0" collapsed="false">
      <c r="B1894" s="53"/>
      <c r="I1894" s="53"/>
      <c r="U1894" s="31" t="n">
        <f aca="false">IF($B1894='設定（最初に1回）'!$C$4,N(U1893)+1,N(U1893))</f>
        <v>134</v>
      </c>
    </row>
    <row r="1895" customFormat="false" ht="15" hidden="false" customHeight="false" outlineLevel="0" collapsed="false">
      <c r="B1895" s="53"/>
      <c r="I1895" s="53"/>
      <c r="U1895" s="31" t="n">
        <f aca="false">IF($B1895='設定（最初に1回）'!$C$4,N(U1894)+1,N(U1894))</f>
        <v>134</v>
      </c>
    </row>
    <row r="1896" customFormat="false" ht="15" hidden="false" customHeight="false" outlineLevel="0" collapsed="false">
      <c r="B1896" s="53"/>
      <c r="I1896" s="53"/>
      <c r="U1896" s="31" t="n">
        <f aca="false">IF($B1896='設定（最初に1回）'!$C$4,N(U1895)+1,N(U1895))</f>
        <v>134</v>
      </c>
    </row>
    <row r="1897" customFormat="false" ht="15" hidden="false" customHeight="false" outlineLevel="0" collapsed="false">
      <c r="B1897" s="53"/>
      <c r="I1897" s="53"/>
      <c r="U1897" s="31" t="n">
        <f aca="false">IF($B1897='設定（最初に1回）'!$C$4,N(U1896)+1,N(U1896))</f>
        <v>134</v>
      </c>
    </row>
    <row r="1898" customFormat="false" ht="15" hidden="false" customHeight="false" outlineLevel="0" collapsed="false">
      <c r="B1898" s="53"/>
      <c r="I1898" s="53"/>
      <c r="U1898" s="31" t="n">
        <f aca="false">IF($B1898='設定（最初に1回）'!$C$4,N(U1897)+1,N(U1897))</f>
        <v>134</v>
      </c>
    </row>
    <row r="1899" customFormat="false" ht="15" hidden="false" customHeight="false" outlineLevel="0" collapsed="false">
      <c r="B1899" s="53"/>
      <c r="I1899" s="53"/>
      <c r="U1899" s="31" t="n">
        <f aca="false">IF($B1899='設定（最初に1回）'!$C$4,N(U1898)+1,N(U1898))</f>
        <v>134</v>
      </c>
    </row>
    <row r="1900" customFormat="false" ht="15" hidden="false" customHeight="false" outlineLevel="0" collapsed="false">
      <c r="B1900" s="53"/>
      <c r="I1900" s="53"/>
      <c r="U1900" s="31" t="n">
        <f aca="false">IF($B1900='設定（最初に1回）'!$C$4,N(U1899)+1,N(U1899))</f>
        <v>134</v>
      </c>
    </row>
    <row r="1901" customFormat="false" ht="15" hidden="false" customHeight="false" outlineLevel="0" collapsed="false">
      <c r="B1901" s="53"/>
      <c r="I1901" s="53"/>
      <c r="U1901" s="31" t="n">
        <f aca="false">IF($B1901='設定（最初に1回）'!$C$4,N(U1900)+1,N(U1900))</f>
        <v>134</v>
      </c>
    </row>
    <row r="1902" customFormat="false" ht="15" hidden="false" customHeight="false" outlineLevel="0" collapsed="false">
      <c r="B1902" s="53"/>
      <c r="I1902" s="53"/>
      <c r="U1902" s="31" t="n">
        <f aca="false">IF($B1902='設定（最初に1回）'!$C$4,N(U1901)+1,N(U1901))</f>
        <v>134</v>
      </c>
    </row>
    <row r="1903" customFormat="false" ht="15" hidden="false" customHeight="false" outlineLevel="0" collapsed="false">
      <c r="B1903" s="53"/>
      <c r="I1903" s="53"/>
      <c r="U1903" s="31" t="n">
        <f aca="false">IF($B1903='設定（最初に1回）'!$C$4,N(U1902)+1,N(U1902))</f>
        <v>134</v>
      </c>
    </row>
    <row r="1904" customFormat="false" ht="15" hidden="false" customHeight="false" outlineLevel="0" collapsed="false">
      <c r="B1904" s="53"/>
      <c r="I1904" s="53"/>
      <c r="U1904" s="31" t="n">
        <f aca="false">IF($B1904='設定（最初に1回）'!$C$4,N(U1903)+1,N(U1903))</f>
        <v>134</v>
      </c>
    </row>
    <row r="1905" customFormat="false" ht="15" hidden="false" customHeight="false" outlineLevel="0" collapsed="false">
      <c r="B1905" s="53"/>
      <c r="I1905" s="53"/>
      <c r="U1905" s="31" t="n">
        <f aca="false">IF($B1905='設定（最初に1回）'!$C$4,N(U1904)+1,N(U1904))</f>
        <v>134</v>
      </c>
    </row>
    <row r="1906" customFormat="false" ht="15" hidden="false" customHeight="false" outlineLevel="0" collapsed="false">
      <c r="B1906" s="53"/>
      <c r="I1906" s="53"/>
      <c r="U1906" s="31" t="n">
        <f aca="false">IF($B1906='設定（最初に1回）'!$C$4,N(U1905)+1,N(U1905))</f>
        <v>134</v>
      </c>
    </row>
    <row r="1907" customFormat="false" ht="15" hidden="false" customHeight="false" outlineLevel="0" collapsed="false">
      <c r="B1907" s="53"/>
      <c r="I1907" s="53"/>
      <c r="U1907" s="31" t="n">
        <f aca="false">IF($B1907='設定（最初に1回）'!$C$4,N(U1906)+1,N(U1906))</f>
        <v>134</v>
      </c>
    </row>
    <row r="1908" customFormat="false" ht="15" hidden="false" customHeight="false" outlineLevel="0" collapsed="false">
      <c r="B1908" s="53"/>
      <c r="I1908" s="53"/>
      <c r="U1908" s="31" t="n">
        <f aca="false">IF($B1908='設定（最初に1回）'!$C$4,N(U1907)+1,N(U1907))</f>
        <v>134</v>
      </c>
    </row>
    <row r="1909" customFormat="false" ht="15" hidden="false" customHeight="false" outlineLevel="0" collapsed="false">
      <c r="B1909" s="53"/>
      <c r="I1909" s="53"/>
      <c r="U1909" s="31" t="n">
        <f aca="false">IF($B1909='設定（最初に1回）'!$C$4,N(U1908)+1,N(U1908))</f>
        <v>134</v>
      </c>
    </row>
    <row r="1910" customFormat="false" ht="15" hidden="false" customHeight="false" outlineLevel="0" collapsed="false">
      <c r="B1910" s="53"/>
      <c r="I1910" s="53"/>
      <c r="U1910" s="31" t="n">
        <f aca="false">IF($B1910='設定（最初に1回）'!$C$4,N(U1909)+1,N(U1909))</f>
        <v>134</v>
      </c>
    </row>
    <row r="1911" customFormat="false" ht="15" hidden="false" customHeight="false" outlineLevel="0" collapsed="false">
      <c r="B1911" s="53"/>
      <c r="I1911" s="53"/>
      <c r="U1911" s="31" t="n">
        <f aca="false">IF($B1911='設定（最初に1回）'!$C$4,N(U1910)+1,N(U1910))</f>
        <v>134</v>
      </c>
    </row>
    <row r="1912" customFormat="false" ht="15" hidden="false" customHeight="false" outlineLevel="0" collapsed="false">
      <c r="B1912" s="53"/>
      <c r="I1912" s="53"/>
      <c r="U1912" s="31" t="n">
        <f aca="false">IF($B1912='設定（最初に1回）'!$C$4,N(U1911)+1,N(U1911))</f>
        <v>134</v>
      </c>
    </row>
    <row r="1913" customFormat="false" ht="15" hidden="false" customHeight="false" outlineLevel="0" collapsed="false">
      <c r="B1913" s="53"/>
      <c r="I1913" s="53"/>
      <c r="U1913" s="31" t="n">
        <f aca="false">IF($B1913='設定（最初に1回）'!$C$4,N(U1912)+1,N(U1912))</f>
        <v>134</v>
      </c>
    </row>
    <row r="1914" customFormat="false" ht="15" hidden="false" customHeight="false" outlineLevel="0" collapsed="false">
      <c r="B1914" s="53"/>
      <c r="I1914" s="53"/>
      <c r="U1914" s="31" t="n">
        <f aca="false">IF($B1914='設定（最初に1回）'!$C$4,N(U1913)+1,N(U1913))</f>
        <v>134</v>
      </c>
    </row>
    <row r="1915" customFormat="false" ht="15" hidden="false" customHeight="false" outlineLevel="0" collapsed="false">
      <c r="B1915" s="53"/>
      <c r="I1915" s="53"/>
      <c r="U1915" s="31" t="n">
        <f aca="false">IF($B1915='設定（最初に1回）'!$C$4,N(U1914)+1,N(U1914))</f>
        <v>134</v>
      </c>
    </row>
    <row r="1916" customFormat="false" ht="15" hidden="false" customHeight="false" outlineLevel="0" collapsed="false">
      <c r="B1916" s="53"/>
      <c r="I1916" s="53"/>
      <c r="U1916" s="31" t="n">
        <f aca="false">IF($B1916='設定（最初に1回）'!$C$4,N(U1915)+1,N(U1915))</f>
        <v>134</v>
      </c>
    </row>
    <row r="1917" customFormat="false" ht="15" hidden="false" customHeight="false" outlineLevel="0" collapsed="false">
      <c r="B1917" s="53"/>
      <c r="I1917" s="53"/>
      <c r="U1917" s="31" t="n">
        <f aca="false">IF($B1917='設定（最初に1回）'!$C$4,N(U1916)+1,N(U1916))</f>
        <v>134</v>
      </c>
    </row>
    <row r="1918" customFormat="false" ht="15" hidden="false" customHeight="false" outlineLevel="0" collapsed="false">
      <c r="B1918" s="53"/>
      <c r="I1918" s="53"/>
      <c r="U1918" s="31" t="n">
        <f aca="false">IF($B1918='設定（最初に1回）'!$C$4,N(U1917)+1,N(U1917))</f>
        <v>134</v>
      </c>
    </row>
    <row r="1919" customFormat="false" ht="15" hidden="false" customHeight="false" outlineLevel="0" collapsed="false">
      <c r="B1919" s="53"/>
      <c r="I1919" s="53"/>
      <c r="U1919" s="31" t="n">
        <f aca="false">IF($B1919='設定（最初に1回）'!$C$4,N(U1918)+1,N(U1918))</f>
        <v>134</v>
      </c>
    </row>
    <row r="1920" customFormat="false" ht="15" hidden="false" customHeight="false" outlineLevel="0" collapsed="false">
      <c r="B1920" s="53"/>
      <c r="I1920" s="53"/>
      <c r="U1920" s="31" t="n">
        <f aca="false">IF($B1920='設定（最初に1回）'!$C$4,N(U1919)+1,N(U1919))</f>
        <v>134</v>
      </c>
    </row>
    <row r="1921" customFormat="false" ht="15" hidden="false" customHeight="false" outlineLevel="0" collapsed="false">
      <c r="B1921" s="53"/>
      <c r="I1921" s="53"/>
      <c r="U1921" s="31" t="n">
        <f aca="false">IF($B1921='設定（最初に1回）'!$C$4,N(U1920)+1,N(U1920))</f>
        <v>134</v>
      </c>
    </row>
    <row r="1922" customFormat="false" ht="15" hidden="false" customHeight="false" outlineLevel="0" collapsed="false">
      <c r="B1922" s="53"/>
      <c r="I1922" s="53"/>
      <c r="U1922" s="31" t="n">
        <f aca="false">IF($B1922='設定（最初に1回）'!$C$4,N(U1921)+1,N(U1921))</f>
        <v>134</v>
      </c>
    </row>
    <row r="1923" customFormat="false" ht="15" hidden="false" customHeight="false" outlineLevel="0" collapsed="false">
      <c r="B1923" s="53"/>
      <c r="I1923" s="53"/>
      <c r="U1923" s="31" t="n">
        <f aca="false">IF($B1923='設定（最初に1回）'!$C$4,N(U1922)+1,N(U1922))</f>
        <v>134</v>
      </c>
    </row>
    <row r="1924" customFormat="false" ht="15" hidden="false" customHeight="false" outlineLevel="0" collapsed="false">
      <c r="B1924" s="53"/>
      <c r="I1924" s="53"/>
      <c r="U1924" s="31" t="n">
        <f aca="false">IF($B1924='設定（最初に1回）'!$C$4,N(U1923)+1,N(U1923))</f>
        <v>134</v>
      </c>
    </row>
    <row r="1925" customFormat="false" ht="15" hidden="false" customHeight="false" outlineLevel="0" collapsed="false">
      <c r="B1925" s="53"/>
      <c r="I1925" s="53"/>
      <c r="U1925" s="31" t="n">
        <f aca="false">IF($B1925='設定（最初に1回）'!$C$4,N(U1924)+1,N(U1924))</f>
        <v>134</v>
      </c>
    </row>
    <row r="1926" customFormat="false" ht="15" hidden="false" customHeight="false" outlineLevel="0" collapsed="false">
      <c r="B1926" s="53"/>
      <c r="I1926" s="53"/>
      <c r="U1926" s="31" t="n">
        <f aca="false">IF($B1926='設定（最初に1回）'!$C$4,N(U1925)+1,N(U1925))</f>
        <v>134</v>
      </c>
    </row>
    <row r="1927" customFormat="false" ht="15" hidden="false" customHeight="false" outlineLevel="0" collapsed="false">
      <c r="B1927" s="53"/>
      <c r="I1927" s="53"/>
      <c r="U1927" s="31" t="n">
        <f aca="false">IF($B1927='設定（最初に1回）'!$C$4,N(U1926)+1,N(U1926))</f>
        <v>134</v>
      </c>
    </row>
    <row r="1928" customFormat="false" ht="15" hidden="false" customHeight="false" outlineLevel="0" collapsed="false">
      <c r="B1928" s="53"/>
      <c r="I1928" s="53"/>
      <c r="U1928" s="31" t="n">
        <f aca="false">IF($B1928='設定（最初に1回）'!$C$4,N(U1927)+1,N(U1927))</f>
        <v>134</v>
      </c>
    </row>
    <row r="1929" customFormat="false" ht="15" hidden="false" customHeight="false" outlineLevel="0" collapsed="false">
      <c r="B1929" s="53"/>
      <c r="I1929" s="53"/>
      <c r="U1929" s="31" t="n">
        <f aca="false">IF($B1929='設定（最初に1回）'!$C$4,N(U1928)+1,N(U1928))</f>
        <v>134</v>
      </c>
    </row>
    <row r="1930" customFormat="false" ht="15" hidden="false" customHeight="false" outlineLevel="0" collapsed="false">
      <c r="B1930" s="53"/>
      <c r="I1930" s="53"/>
      <c r="U1930" s="31" t="n">
        <f aca="false">IF($B1930='設定（最初に1回）'!$C$4,N(U1929)+1,N(U1929))</f>
        <v>134</v>
      </c>
    </row>
    <row r="1931" customFormat="false" ht="15" hidden="false" customHeight="false" outlineLevel="0" collapsed="false">
      <c r="B1931" s="53"/>
      <c r="I1931" s="53"/>
      <c r="U1931" s="31" t="n">
        <f aca="false">IF($B1931='設定（最初に1回）'!$C$4,N(U1930)+1,N(U1930))</f>
        <v>134</v>
      </c>
    </row>
    <row r="1932" customFormat="false" ht="15" hidden="false" customHeight="false" outlineLevel="0" collapsed="false">
      <c r="B1932" s="53"/>
      <c r="I1932" s="53"/>
      <c r="U1932" s="31" t="n">
        <f aca="false">IF($B1932='設定（最初に1回）'!$C$4,N(U1931)+1,N(U1931))</f>
        <v>134</v>
      </c>
    </row>
    <row r="1933" customFormat="false" ht="15" hidden="false" customHeight="false" outlineLevel="0" collapsed="false">
      <c r="B1933" s="53"/>
      <c r="I1933" s="53"/>
      <c r="U1933" s="31" t="n">
        <f aca="false">IF($B1933='設定（最初に1回）'!$C$4,N(U1932)+1,N(U1932))</f>
        <v>134</v>
      </c>
    </row>
    <row r="1934" customFormat="false" ht="15" hidden="false" customHeight="false" outlineLevel="0" collapsed="false">
      <c r="B1934" s="53"/>
      <c r="I1934" s="53"/>
      <c r="U1934" s="31" t="n">
        <f aca="false">IF($B1934='設定（最初に1回）'!$C$4,N(U1933)+1,N(U1933))</f>
        <v>134</v>
      </c>
    </row>
    <row r="1935" customFormat="false" ht="15" hidden="false" customHeight="false" outlineLevel="0" collapsed="false">
      <c r="B1935" s="53"/>
      <c r="I1935" s="53"/>
      <c r="U1935" s="31" t="n">
        <f aca="false">IF($B1935='設定（最初に1回）'!$C$4,N(U1934)+1,N(U1934))</f>
        <v>134</v>
      </c>
    </row>
    <row r="1936" customFormat="false" ht="15" hidden="false" customHeight="false" outlineLevel="0" collapsed="false">
      <c r="B1936" s="53"/>
      <c r="I1936" s="53"/>
      <c r="U1936" s="31" t="n">
        <f aca="false">IF($B1936='設定（最初に1回）'!$C$4,N(U1935)+1,N(U1935))</f>
        <v>134</v>
      </c>
    </row>
    <row r="1937" customFormat="false" ht="15" hidden="false" customHeight="false" outlineLevel="0" collapsed="false">
      <c r="B1937" s="53"/>
      <c r="I1937" s="53"/>
      <c r="U1937" s="31" t="n">
        <f aca="false">IF($B1937='設定（最初に1回）'!$C$4,N(U1936)+1,N(U1936))</f>
        <v>134</v>
      </c>
    </row>
    <row r="1938" customFormat="false" ht="15" hidden="false" customHeight="false" outlineLevel="0" collapsed="false">
      <c r="B1938" s="53"/>
      <c r="I1938" s="53"/>
      <c r="U1938" s="31" t="n">
        <f aca="false">IF($B1938='設定（最初に1回）'!$C$4,N(U1937)+1,N(U1937))</f>
        <v>134</v>
      </c>
    </row>
    <row r="1939" customFormat="false" ht="15" hidden="false" customHeight="false" outlineLevel="0" collapsed="false">
      <c r="B1939" s="53"/>
      <c r="I1939" s="53"/>
      <c r="U1939" s="31" t="n">
        <f aca="false">IF($B1939='設定（最初に1回）'!$C$4,N(U1938)+1,N(U1938))</f>
        <v>134</v>
      </c>
    </row>
    <row r="1940" customFormat="false" ht="15" hidden="false" customHeight="false" outlineLevel="0" collapsed="false">
      <c r="B1940" s="53"/>
      <c r="I1940" s="53"/>
      <c r="U1940" s="31" t="n">
        <f aca="false">IF($B1940='設定（最初に1回）'!$C$4,N(U1939)+1,N(U1939))</f>
        <v>134</v>
      </c>
    </row>
    <row r="1941" customFormat="false" ht="15" hidden="false" customHeight="false" outlineLevel="0" collapsed="false">
      <c r="B1941" s="53"/>
      <c r="I1941" s="53"/>
      <c r="U1941" s="31" t="n">
        <f aca="false">IF($B1941='設定（最初に1回）'!$C$4,N(U1940)+1,N(U1940))</f>
        <v>134</v>
      </c>
    </row>
    <row r="1942" customFormat="false" ht="15" hidden="false" customHeight="false" outlineLevel="0" collapsed="false">
      <c r="B1942" s="53"/>
      <c r="I1942" s="53"/>
      <c r="U1942" s="31" t="n">
        <f aca="false">IF($B1942='設定（最初に1回）'!$C$4,N(U1941)+1,N(U1941))</f>
        <v>134</v>
      </c>
    </row>
    <row r="1943" customFormat="false" ht="15" hidden="false" customHeight="false" outlineLevel="0" collapsed="false">
      <c r="B1943" s="53"/>
      <c r="I1943" s="53"/>
      <c r="U1943" s="31" t="n">
        <f aca="false">IF($B1943='設定（最初に1回）'!$C$4,N(U1942)+1,N(U1942))</f>
        <v>134</v>
      </c>
    </row>
    <row r="1944" customFormat="false" ht="15" hidden="false" customHeight="false" outlineLevel="0" collapsed="false">
      <c r="B1944" s="53"/>
      <c r="I1944" s="53"/>
      <c r="U1944" s="31" t="n">
        <f aca="false">IF($B1944='設定（最初に1回）'!$C$4,N(U1943)+1,N(U1943))</f>
        <v>134</v>
      </c>
    </row>
    <row r="1945" customFormat="false" ht="15" hidden="false" customHeight="false" outlineLevel="0" collapsed="false">
      <c r="B1945" s="53"/>
      <c r="I1945" s="53"/>
      <c r="U1945" s="31" t="n">
        <f aca="false">IF($B1945='設定（最初に1回）'!$C$4,N(U1944)+1,N(U1944))</f>
        <v>134</v>
      </c>
    </row>
    <row r="1946" customFormat="false" ht="15" hidden="false" customHeight="false" outlineLevel="0" collapsed="false">
      <c r="B1946" s="53"/>
      <c r="I1946" s="53"/>
      <c r="U1946" s="31" t="n">
        <f aca="false">IF($B1946='設定（最初に1回）'!$C$4,N(U1945)+1,N(U1945))</f>
        <v>134</v>
      </c>
    </row>
    <row r="1947" customFormat="false" ht="15" hidden="false" customHeight="false" outlineLevel="0" collapsed="false">
      <c r="B1947" s="53"/>
      <c r="I1947" s="53"/>
      <c r="U1947" s="31" t="n">
        <f aca="false">IF($B1947='設定（最初に1回）'!$C$4,N(U1946)+1,N(U1946))</f>
        <v>134</v>
      </c>
    </row>
    <row r="1948" customFormat="false" ht="15" hidden="false" customHeight="false" outlineLevel="0" collapsed="false">
      <c r="B1948" s="53"/>
      <c r="I1948" s="53"/>
      <c r="U1948" s="31" t="n">
        <f aca="false">IF($B1948='設定（最初に1回）'!$C$4,N(U1947)+1,N(U1947))</f>
        <v>134</v>
      </c>
    </row>
    <row r="1949" customFormat="false" ht="15" hidden="false" customHeight="false" outlineLevel="0" collapsed="false">
      <c r="B1949" s="53"/>
      <c r="I1949" s="53"/>
      <c r="U1949" s="31" t="n">
        <f aca="false">IF($B1949='設定（最初に1回）'!$C$4,N(U1948)+1,N(U1948))</f>
        <v>134</v>
      </c>
    </row>
    <row r="1950" customFormat="false" ht="15" hidden="false" customHeight="false" outlineLevel="0" collapsed="false">
      <c r="B1950" s="53"/>
      <c r="I1950" s="53"/>
      <c r="U1950" s="31" t="n">
        <f aca="false">IF($B1950='設定（最初に1回）'!$C$4,N(U1949)+1,N(U1949))</f>
        <v>134</v>
      </c>
    </row>
    <row r="1951" customFormat="false" ht="15" hidden="false" customHeight="false" outlineLevel="0" collapsed="false">
      <c r="B1951" s="53"/>
      <c r="I1951" s="53"/>
      <c r="U1951" s="31" t="n">
        <f aca="false">IF($B1951='設定（最初に1回）'!$C$4,N(U1950)+1,N(U1950))</f>
        <v>134</v>
      </c>
    </row>
    <row r="1952" customFormat="false" ht="15" hidden="false" customHeight="false" outlineLevel="0" collapsed="false">
      <c r="B1952" s="53"/>
      <c r="I1952" s="53"/>
      <c r="U1952" s="31" t="n">
        <f aca="false">IF($B1952='設定（最初に1回）'!$C$4,N(U1951)+1,N(U1951))</f>
        <v>134</v>
      </c>
    </row>
    <row r="1953" customFormat="false" ht="15" hidden="false" customHeight="false" outlineLevel="0" collapsed="false">
      <c r="B1953" s="53"/>
      <c r="I1953" s="53"/>
      <c r="U1953" s="31" t="n">
        <f aca="false">IF($B1953='設定（最初に1回）'!$C$4,N(U1952)+1,N(U1952))</f>
        <v>134</v>
      </c>
    </row>
    <row r="1954" customFormat="false" ht="15" hidden="false" customHeight="false" outlineLevel="0" collapsed="false">
      <c r="B1954" s="53"/>
      <c r="I1954" s="53"/>
      <c r="U1954" s="31" t="n">
        <f aca="false">IF($B1954='設定（最初に1回）'!$C$4,N(U1953)+1,N(U1953))</f>
        <v>134</v>
      </c>
    </row>
    <row r="1955" customFormat="false" ht="15" hidden="false" customHeight="false" outlineLevel="0" collapsed="false">
      <c r="B1955" s="53"/>
      <c r="I1955" s="53"/>
      <c r="U1955" s="31" t="n">
        <f aca="false">IF($B1955='設定（最初に1回）'!$C$4,N(U1954)+1,N(U1954))</f>
        <v>134</v>
      </c>
    </row>
    <row r="1956" customFormat="false" ht="15" hidden="false" customHeight="false" outlineLevel="0" collapsed="false">
      <c r="B1956" s="53"/>
      <c r="I1956" s="53"/>
      <c r="U1956" s="31" t="n">
        <f aca="false">IF($B1956='設定（最初に1回）'!$C$4,N(U1955)+1,N(U1955))</f>
        <v>134</v>
      </c>
    </row>
    <row r="1957" customFormat="false" ht="15" hidden="false" customHeight="false" outlineLevel="0" collapsed="false">
      <c r="B1957" s="53"/>
      <c r="I1957" s="53"/>
      <c r="U1957" s="31" t="n">
        <f aca="false">IF($B1957='設定（最初に1回）'!$C$4,N(U1956)+1,N(U1956))</f>
        <v>134</v>
      </c>
    </row>
    <row r="1958" customFormat="false" ht="15" hidden="false" customHeight="false" outlineLevel="0" collapsed="false">
      <c r="B1958" s="53"/>
      <c r="I1958" s="53"/>
      <c r="U1958" s="31" t="n">
        <f aca="false">IF($B1958='設定（最初に1回）'!$C$4,N(U1957)+1,N(U1957))</f>
        <v>134</v>
      </c>
    </row>
    <row r="1959" customFormat="false" ht="15" hidden="false" customHeight="false" outlineLevel="0" collapsed="false">
      <c r="B1959" s="53"/>
      <c r="I1959" s="53"/>
      <c r="U1959" s="31" t="n">
        <f aca="false">IF($B1959='設定（最初に1回）'!$C$4,N(U1958)+1,N(U1958))</f>
        <v>134</v>
      </c>
    </row>
    <row r="1960" customFormat="false" ht="15" hidden="false" customHeight="false" outlineLevel="0" collapsed="false">
      <c r="B1960" s="53"/>
      <c r="I1960" s="53"/>
      <c r="U1960" s="31" t="n">
        <f aca="false">IF($B1960='設定（最初に1回）'!$C$4,N(U1959)+1,N(U1959))</f>
        <v>134</v>
      </c>
    </row>
    <row r="1961" customFormat="false" ht="15" hidden="false" customHeight="false" outlineLevel="0" collapsed="false">
      <c r="B1961" s="53"/>
      <c r="I1961" s="53"/>
      <c r="U1961" s="31" t="n">
        <f aca="false">IF($B1961='設定（最初に1回）'!$C$4,N(U1960)+1,N(U1960))</f>
        <v>134</v>
      </c>
    </row>
    <row r="1962" customFormat="false" ht="15" hidden="false" customHeight="false" outlineLevel="0" collapsed="false">
      <c r="B1962" s="53"/>
      <c r="I1962" s="53"/>
      <c r="U1962" s="31" t="n">
        <f aca="false">IF($B1962='設定（最初に1回）'!$C$4,N(U1961)+1,N(U1961))</f>
        <v>134</v>
      </c>
    </row>
    <row r="1963" customFormat="false" ht="15" hidden="false" customHeight="false" outlineLevel="0" collapsed="false">
      <c r="B1963" s="53"/>
      <c r="I1963" s="53"/>
      <c r="U1963" s="31" t="n">
        <f aca="false">IF($B1963='設定（最初に1回）'!$C$4,N(U1962)+1,N(U1962))</f>
        <v>134</v>
      </c>
    </row>
    <row r="1964" customFormat="false" ht="15" hidden="false" customHeight="false" outlineLevel="0" collapsed="false">
      <c r="B1964" s="53"/>
      <c r="I1964" s="53"/>
      <c r="U1964" s="31" t="n">
        <f aca="false">IF($B1964='設定（最初に1回）'!$C$4,N(U1963)+1,N(U1963))</f>
        <v>134</v>
      </c>
    </row>
    <row r="1965" customFormat="false" ht="15" hidden="false" customHeight="false" outlineLevel="0" collapsed="false">
      <c r="B1965" s="53"/>
      <c r="I1965" s="53"/>
      <c r="U1965" s="31" t="n">
        <f aca="false">IF($B1965='設定（最初に1回）'!$C$4,N(U1964)+1,N(U1964))</f>
        <v>134</v>
      </c>
    </row>
    <row r="1966" customFormat="false" ht="15" hidden="false" customHeight="false" outlineLevel="0" collapsed="false">
      <c r="B1966" s="53"/>
      <c r="I1966" s="53"/>
      <c r="U1966" s="31" t="n">
        <f aca="false">IF($B1966='設定（最初に1回）'!$C$4,N(U1965)+1,N(U1965))</f>
        <v>134</v>
      </c>
    </row>
    <row r="1967" customFormat="false" ht="15" hidden="false" customHeight="false" outlineLevel="0" collapsed="false">
      <c r="B1967" s="53"/>
      <c r="I1967" s="53"/>
      <c r="U1967" s="31" t="n">
        <f aca="false">IF($B1967='設定（最初に1回）'!$C$4,N(U1966)+1,N(U1966))</f>
        <v>134</v>
      </c>
    </row>
    <row r="1968" customFormat="false" ht="15" hidden="false" customHeight="false" outlineLevel="0" collapsed="false">
      <c r="B1968" s="53"/>
      <c r="I1968" s="53"/>
      <c r="U1968" s="31" t="n">
        <f aca="false">IF($B1968='設定（最初に1回）'!$C$4,N(U1967)+1,N(U1967))</f>
        <v>134</v>
      </c>
    </row>
    <row r="1969" customFormat="false" ht="15" hidden="false" customHeight="false" outlineLevel="0" collapsed="false">
      <c r="B1969" s="53"/>
      <c r="I1969" s="53"/>
      <c r="U1969" s="31" t="n">
        <f aca="false">IF($B1969='設定（最初に1回）'!$C$4,N(U1968)+1,N(U1968))</f>
        <v>134</v>
      </c>
    </row>
    <row r="1970" customFormat="false" ht="15" hidden="false" customHeight="false" outlineLevel="0" collapsed="false">
      <c r="B1970" s="53"/>
      <c r="I1970" s="53"/>
      <c r="U1970" s="31" t="n">
        <f aca="false">IF($B1970='設定（最初に1回）'!$C$4,N(U1969)+1,N(U1969))</f>
        <v>134</v>
      </c>
    </row>
    <row r="1971" customFormat="false" ht="15" hidden="false" customHeight="false" outlineLevel="0" collapsed="false">
      <c r="B1971" s="53"/>
      <c r="I1971" s="53"/>
      <c r="U1971" s="31" t="n">
        <f aca="false">IF($B1971='設定（最初に1回）'!$C$4,N(U1970)+1,N(U1970))</f>
        <v>134</v>
      </c>
    </row>
    <row r="1972" customFormat="false" ht="15" hidden="false" customHeight="false" outlineLevel="0" collapsed="false">
      <c r="B1972" s="53"/>
      <c r="I1972" s="53"/>
      <c r="U1972" s="31" t="n">
        <f aca="false">IF($B1972='設定（最初に1回）'!$C$4,N(U1971)+1,N(U1971))</f>
        <v>134</v>
      </c>
    </row>
    <row r="1973" customFormat="false" ht="15" hidden="false" customHeight="false" outlineLevel="0" collapsed="false">
      <c r="B1973" s="53"/>
      <c r="I1973" s="53"/>
      <c r="U1973" s="31" t="n">
        <f aca="false">IF($B1973='設定（最初に1回）'!$C$4,N(U1972)+1,N(U1972))</f>
        <v>134</v>
      </c>
    </row>
    <row r="1974" customFormat="false" ht="15" hidden="false" customHeight="false" outlineLevel="0" collapsed="false">
      <c r="B1974" s="53"/>
      <c r="I1974" s="53"/>
      <c r="U1974" s="31" t="n">
        <f aca="false">IF($B1974='設定（最初に1回）'!$C$4,N(U1973)+1,N(U1973))</f>
        <v>134</v>
      </c>
    </row>
    <row r="1975" customFormat="false" ht="15" hidden="false" customHeight="false" outlineLevel="0" collapsed="false">
      <c r="B1975" s="53"/>
      <c r="I1975" s="53"/>
      <c r="U1975" s="31" t="n">
        <f aca="false">IF($B1975='設定（最初に1回）'!$C$4,N(U1974)+1,N(U1974))</f>
        <v>134</v>
      </c>
    </row>
    <row r="1976" customFormat="false" ht="15" hidden="false" customHeight="false" outlineLevel="0" collapsed="false">
      <c r="B1976" s="53"/>
      <c r="I1976" s="53"/>
      <c r="U1976" s="31" t="n">
        <f aca="false">IF($B1976='設定（最初に1回）'!$C$4,N(U1975)+1,N(U1975))</f>
        <v>134</v>
      </c>
    </row>
    <row r="1977" customFormat="false" ht="15" hidden="false" customHeight="false" outlineLevel="0" collapsed="false">
      <c r="B1977" s="53"/>
      <c r="I1977" s="53"/>
      <c r="U1977" s="31" t="n">
        <f aca="false">IF($B1977='設定（最初に1回）'!$C$4,N(U1976)+1,N(U1976))</f>
        <v>134</v>
      </c>
    </row>
    <row r="1978" customFormat="false" ht="15" hidden="false" customHeight="false" outlineLevel="0" collapsed="false">
      <c r="B1978" s="53"/>
      <c r="I1978" s="53"/>
      <c r="U1978" s="31" t="n">
        <f aca="false">IF($B1978='設定（最初に1回）'!$C$4,N(U1977)+1,N(U1977))</f>
        <v>134</v>
      </c>
    </row>
    <row r="1979" customFormat="false" ht="15" hidden="false" customHeight="false" outlineLevel="0" collapsed="false">
      <c r="B1979" s="53"/>
      <c r="I1979" s="53"/>
      <c r="U1979" s="31" t="n">
        <f aca="false">IF($B1979='設定（最初に1回）'!$C$4,N(U1978)+1,N(U1978))</f>
        <v>134</v>
      </c>
    </row>
    <row r="1980" customFormat="false" ht="15" hidden="false" customHeight="false" outlineLevel="0" collapsed="false">
      <c r="B1980" s="53"/>
      <c r="I1980" s="53"/>
      <c r="U1980" s="31" t="n">
        <f aca="false">IF($B1980='設定（最初に1回）'!$C$4,N(U1979)+1,N(U1979))</f>
        <v>134</v>
      </c>
    </row>
    <row r="1981" customFormat="false" ht="15" hidden="false" customHeight="false" outlineLevel="0" collapsed="false">
      <c r="B1981" s="53"/>
      <c r="I1981" s="53"/>
      <c r="U1981" s="31" t="n">
        <f aca="false">IF($B1981='設定（最初に1回）'!$C$4,N(U1980)+1,N(U1980))</f>
        <v>134</v>
      </c>
    </row>
    <row r="1982" customFormat="false" ht="15" hidden="false" customHeight="false" outlineLevel="0" collapsed="false">
      <c r="B1982" s="53"/>
      <c r="I1982" s="53"/>
      <c r="U1982" s="31" t="n">
        <f aca="false">IF($B1982='設定（最初に1回）'!$C$4,N(U1981)+1,N(U1981))</f>
        <v>134</v>
      </c>
    </row>
    <row r="1983" customFormat="false" ht="15" hidden="false" customHeight="false" outlineLevel="0" collapsed="false">
      <c r="B1983" s="53"/>
      <c r="I1983" s="53"/>
      <c r="U1983" s="31" t="n">
        <f aca="false">IF($B1983='設定（最初に1回）'!$C$4,N(U1982)+1,N(U1982))</f>
        <v>134</v>
      </c>
    </row>
    <row r="1984" customFormat="false" ht="15" hidden="false" customHeight="false" outlineLevel="0" collapsed="false">
      <c r="B1984" s="53"/>
      <c r="I1984" s="53"/>
      <c r="U1984" s="31" t="n">
        <f aca="false">IF($B1984='設定（最初に1回）'!$C$4,N(U1983)+1,N(U1983))</f>
        <v>134</v>
      </c>
    </row>
    <row r="1985" customFormat="false" ht="15" hidden="false" customHeight="false" outlineLevel="0" collapsed="false">
      <c r="B1985" s="53"/>
      <c r="I1985" s="53"/>
      <c r="U1985" s="31" t="n">
        <f aca="false">IF($B1985='設定（最初に1回）'!$C$4,N(U1984)+1,N(U1984))</f>
        <v>134</v>
      </c>
    </row>
    <row r="1986" customFormat="false" ht="15" hidden="false" customHeight="false" outlineLevel="0" collapsed="false">
      <c r="B1986" s="53"/>
      <c r="I1986" s="53"/>
      <c r="U1986" s="31" t="n">
        <f aca="false">IF($B1986='設定（最初に1回）'!$C$4,N(U1985)+1,N(U1985))</f>
        <v>134</v>
      </c>
    </row>
    <row r="1987" customFormat="false" ht="15" hidden="false" customHeight="false" outlineLevel="0" collapsed="false">
      <c r="B1987" s="53"/>
      <c r="I1987" s="53"/>
      <c r="U1987" s="31" t="n">
        <f aca="false">IF($B1987='設定（最初に1回）'!$C$4,N(U1986)+1,N(U1986))</f>
        <v>134</v>
      </c>
    </row>
    <row r="1988" customFormat="false" ht="15" hidden="false" customHeight="false" outlineLevel="0" collapsed="false">
      <c r="B1988" s="53"/>
      <c r="I1988" s="53"/>
      <c r="U1988" s="31" t="n">
        <f aca="false">IF($B1988='設定（最初に1回）'!$C$4,N(U1987)+1,N(U1987))</f>
        <v>134</v>
      </c>
    </row>
    <row r="1989" customFormat="false" ht="15" hidden="false" customHeight="false" outlineLevel="0" collapsed="false">
      <c r="B1989" s="53"/>
      <c r="I1989" s="53"/>
      <c r="U1989" s="31" t="n">
        <f aca="false">IF($B1989='設定（最初に1回）'!$C$4,N(U1988)+1,N(U1988))</f>
        <v>134</v>
      </c>
    </row>
    <row r="1990" customFormat="false" ht="15" hidden="false" customHeight="false" outlineLevel="0" collapsed="false">
      <c r="B1990" s="53"/>
      <c r="I1990" s="53"/>
      <c r="U1990" s="31" t="n">
        <f aca="false">IF($B1990='設定（最初に1回）'!$C$4,N(U1989)+1,N(U1989))</f>
        <v>134</v>
      </c>
    </row>
    <row r="1991" customFormat="false" ht="15" hidden="false" customHeight="false" outlineLevel="0" collapsed="false">
      <c r="B1991" s="53"/>
      <c r="I1991" s="53"/>
      <c r="U1991" s="31" t="n">
        <f aca="false">IF($B1991='設定（最初に1回）'!$C$4,N(U1990)+1,N(U1990))</f>
        <v>134</v>
      </c>
    </row>
    <row r="1992" customFormat="false" ht="15" hidden="false" customHeight="false" outlineLevel="0" collapsed="false">
      <c r="B1992" s="53"/>
      <c r="I1992" s="53"/>
      <c r="U1992" s="31" t="n">
        <f aca="false">IF($B1992='設定（最初に1回）'!$C$4,N(U1991)+1,N(U1991))</f>
        <v>134</v>
      </c>
    </row>
    <row r="1993" customFormat="false" ht="15" hidden="false" customHeight="false" outlineLevel="0" collapsed="false">
      <c r="B1993" s="53"/>
      <c r="I1993" s="53"/>
      <c r="U1993" s="31" t="n">
        <f aca="false">IF($B1993='設定（最初に1回）'!$C$4,N(U1992)+1,N(U1992))</f>
        <v>134</v>
      </c>
    </row>
    <row r="1994" customFormat="false" ht="15" hidden="false" customHeight="false" outlineLevel="0" collapsed="false">
      <c r="B1994" s="53"/>
      <c r="I1994" s="53"/>
      <c r="U1994" s="31" t="n">
        <f aca="false">IF($B1994='設定（最初に1回）'!$C$4,N(U1993)+1,N(U1993))</f>
        <v>134</v>
      </c>
    </row>
    <row r="1995" customFormat="false" ht="15" hidden="false" customHeight="false" outlineLevel="0" collapsed="false">
      <c r="B1995" s="53"/>
      <c r="I1995" s="53"/>
      <c r="U1995" s="31" t="n">
        <f aca="false">IF($B1995='設定（最初に1回）'!$C$4,N(U1994)+1,N(U1994))</f>
        <v>134</v>
      </c>
    </row>
    <row r="1996" customFormat="false" ht="15" hidden="false" customHeight="false" outlineLevel="0" collapsed="false">
      <c r="B1996" s="53"/>
      <c r="I1996" s="53"/>
      <c r="U1996" s="31" t="n">
        <f aca="false">IF($B1996='設定（最初に1回）'!$C$4,N(U1995)+1,N(U1995))</f>
        <v>134</v>
      </c>
    </row>
    <row r="1997" customFormat="false" ht="15" hidden="false" customHeight="false" outlineLevel="0" collapsed="false">
      <c r="B1997" s="53"/>
      <c r="I1997" s="53"/>
      <c r="U1997" s="31" t="n">
        <f aca="false">IF($B1997='設定（最初に1回）'!$C$4,N(U1996)+1,N(U1996))</f>
        <v>134</v>
      </c>
    </row>
    <row r="1998" customFormat="false" ht="15" hidden="false" customHeight="false" outlineLevel="0" collapsed="false">
      <c r="B1998" s="53"/>
      <c r="I1998" s="53"/>
      <c r="U1998" s="31" t="n">
        <f aca="false">IF($B1998='設定（最初に1回）'!$C$4,N(U1997)+1,N(U1997))</f>
        <v>134</v>
      </c>
    </row>
    <row r="1999" customFormat="false" ht="15" hidden="false" customHeight="false" outlineLevel="0" collapsed="false">
      <c r="B1999" s="53"/>
      <c r="I1999" s="53"/>
      <c r="U1999" s="31" t="n">
        <f aca="false">IF($B1999='設定（最初に1回）'!$C$4,N(U1998)+1,N(U1998))</f>
        <v>134</v>
      </c>
    </row>
    <row r="2000" customFormat="false" ht="15" hidden="false" customHeight="false" outlineLevel="0" collapsed="false">
      <c r="B2000" s="53"/>
      <c r="I2000" s="53"/>
      <c r="U2000" s="31" t="n">
        <f aca="false">IF($B2000='設定（最初に1回）'!$C$4,N(U1999)+1,N(U1999))</f>
        <v>134</v>
      </c>
    </row>
    <row r="2001" customFormat="false" ht="15" hidden="false" customHeight="false" outlineLevel="0" collapsed="false">
      <c r="B2001" s="53"/>
      <c r="I2001" s="53"/>
      <c r="U2001" s="31" t="n">
        <f aca="false">IF($B2001='設定（最初に1回）'!$C$4,N(U2000)+1,N(U2000))</f>
        <v>134</v>
      </c>
    </row>
    <row r="2002" customFormat="false" ht="15" hidden="false" customHeight="false" outlineLevel="0" collapsed="false">
      <c r="B2002" s="53"/>
      <c r="I2002" s="53"/>
      <c r="U2002" s="31" t="n">
        <f aca="false">IF($B2002='設定（最初に1回）'!$C$4,N(U2001)+1,N(U2001))</f>
        <v>134</v>
      </c>
    </row>
    <row r="2003" customFormat="false" ht="15" hidden="false" customHeight="false" outlineLevel="0" collapsed="false">
      <c r="B2003" s="53"/>
      <c r="I2003" s="53"/>
      <c r="U2003" s="31" t="n">
        <f aca="false">IF($B2003='設定（最初に1回）'!$C$4,N(U2002)+1,N(U2002))</f>
        <v>134</v>
      </c>
    </row>
    <row r="2004" customFormat="false" ht="15" hidden="false" customHeight="false" outlineLevel="0" collapsed="false">
      <c r="B2004" s="53"/>
      <c r="I2004" s="53"/>
      <c r="U2004" s="31" t="n">
        <f aca="false">IF($B2004='設定（最初に1回）'!$C$4,N(U2003)+1,N(U2003))</f>
        <v>134</v>
      </c>
    </row>
    <row r="2005" customFormat="false" ht="15" hidden="false" customHeight="false" outlineLevel="0" collapsed="false">
      <c r="B2005" s="53"/>
      <c r="I2005" s="53"/>
      <c r="U2005" s="31" t="n">
        <f aca="false">IF($B2005='設定（最初に1回）'!$C$4,N(U2004)+1,N(U2004))</f>
        <v>134</v>
      </c>
    </row>
    <row r="2006" customFormat="false" ht="15" hidden="false" customHeight="false" outlineLevel="0" collapsed="false">
      <c r="B2006" s="53"/>
      <c r="I2006" s="53"/>
      <c r="U2006" s="31" t="n">
        <f aca="false">IF($B2006='設定（最初に1回）'!$C$4,N(U2005)+1,N(U2005))</f>
        <v>134</v>
      </c>
    </row>
    <row r="2007" customFormat="false" ht="15" hidden="false" customHeight="false" outlineLevel="0" collapsed="false">
      <c r="B2007" s="53"/>
      <c r="I2007" s="53"/>
      <c r="U2007" s="31" t="n">
        <f aca="false">IF($B2007='設定（最初に1回）'!$C$4,N(U2006)+1,N(U2006))</f>
        <v>134</v>
      </c>
    </row>
    <row r="2008" customFormat="false" ht="15" hidden="false" customHeight="false" outlineLevel="0" collapsed="false">
      <c r="B2008" s="53"/>
      <c r="I2008" s="53"/>
      <c r="U2008" s="31" t="n">
        <f aca="false">IF($B2008='設定（最初に1回）'!$C$4,N(U2007)+1,N(U2007))</f>
        <v>134</v>
      </c>
    </row>
    <row r="2009" customFormat="false" ht="15" hidden="false" customHeight="false" outlineLevel="0" collapsed="false">
      <c r="B2009" s="53"/>
      <c r="I2009" s="53"/>
      <c r="U2009" s="31" t="n">
        <f aca="false">IF($B2009='設定（最初に1回）'!$C$4,N(U2008)+1,N(U2008))</f>
        <v>134</v>
      </c>
    </row>
    <row r="2010" customFormat="false" ht="15" hidden="false" customHeight="false" outlineLevel="0" collapsed="false">
      <c r="B2010" s="53"/>
      <c r="I2010" s="53"/>
      <c r="U2010" s="31" t="n">
        <f aca="false">IF($B2010='設定（最初に1回）'!$C$4,N(U2009)+1,N(U2009))</f>
        <v>134</v>
      </c>
    </row>
    <row r="2011" customFormat="false" ht="15" hidden="false" customHeight="false" outlineLevel="0" collapsed="false">
      <c r="B2011" s="53"/>
      <c r="I2011" s="53"/>
      <c r="U2011" s="31" t="n">
        <f aca="false">IF($B2011='設定（最初に1回）'!$C$4,N(U2010)+1,N(U2010))</f>
        <v>134</v>
      </c>
    </row>
    <row r="2012" customFormat="false" ht="15" hidden="false" customHeight="false" outlineLevel="0" collapsed="false">
      <c r="B2012" s="53"/>
      <c r="I2012" s="53"/>
      <c r="U2012" s="31" t="n">
        <f aca="false">IF($B2012='設定（最初に1回）'!$C$4,N(U2011)+1,N(U2011))</f>
        <v>134</v>
      </c>
    </row>
    <row r="2013" customFormat="false" ht="15" hidden="false" customHeight="false" outlineLevel="0" collapsed="false">
      <c r="B2013" s="53"/>
      <c r="I2013" s="53"/>
      <c r="U2013" s="31" t="n">
        <f aca="false">IF($B2013='設定（最初に1回）'!$C$4,N(U2012)+1,N(U2012))</f>
        <v>134</v>
      </c>
    </row>
    <row r="2014" customFormat="false" ht="15" hidden="false" customHeight="false" outlineLevel="0" collapsed="false">
      <c r="B2014" s="53"/>
      <c r="I2014" s="53"/>
      <c r="U2014" s="31" t="n">
        <f aca="false">IF($B2014='設定（最初に1回）'!$C$4,N(U2013)+1,N(U2013))</f>
        <v>134</v>
      </c>
    </row>
    <row r="2015" customFormat="false" ht="15" hidden="false" customHeight="false" outlineLevel="0" collapsed="false">
      <c r="B2015" s="53"/>
      <c r="I2015" s="53"/>
      <c r="U2015" s="31" t="n">
        <f aca="false">IF($B2015='設定（最初に1回）'!$C$4,N(U2014)+1,N(U2014))</f>
        <v>134</v>
      </c>
    </row>
    <row r="2016" customFormat="false" ht="15" hidden="false" customHeight="false" outlineLevel="0" collapsed="false">
      <c r="B2016" s="53"/>
      <c r="I2016" s="53"/>
      <c r="U2016" s="31" t="n">
        <f aca="false">IF($B2016='設定（最初に1回）'!$C$4,N(U2015)+1,N(U2015))</f>
        <v>134</v>
      </c>
    </row>
    <row r="2017" customFormat="false" ht="15" hidden="false" customHeight="false" outlineLevel="0" collapsed="false">
      <c r="B2017" s="53"/>
      <c r="I2017" s="53"/>
      <c r="U2017" s="31" t="n">
        <f aca="false">IF($B2017='設定（最初に1回）'!$C$4,N(U2016)+1,N(U2016))</f>
        <v>134</v>
      </c>
    </row>
    <row r="2018" customFormat="false" ht="15" hidden="false" customHeight="false" outlineLevel="0" collapsed="false">
      <c r="B2018" s="53"/>
      <c r="I2018" s="53"/>
      <c r="U2018" s="31" t="n">
        <f aca="false">IF($B2018='設定（最初に1回）'!$C$4,N(U2017)+1,N(U2017))</f>
        <v>134</v>
      </c>
    </row>
    <row r="2019" customFormat="false" ht="15" hidden="false" customHeight="false" outlineLevel="0" collapsed="false">
      <c r="B2019" s="53"/>
      <c r="I2019" s="53"/>
      <c r="U2019" s="31" t="n">
        <f aca="false">IF($B2019='設定（最初に1回）'!$C$4,N(U2018)+1,N(U2018))</f>
        <v>134</v>
      </c>
    </row>
    <row r="2020" customFormat="false" ht="15" hidden="false" customHeight="false" outlineLevel="0" collapsed="false">
      <c r="B2020" s="53"/>
      <c r="I2020" s="53"/>
      <c r="U2020" s="31" t="n">
        <f aca="false">IF($B2020='設定（最初に1回）'!$C$4,N(U2019)+1,N(U2019))</f>
        <v>134</v>
      </c>
    </row>
    <row r="2021" customFormat="false" ht="15" hidden="false" customHeight="false" outlineLevel="0" collapsed="false">
      <c r="B2021" s="53"/>
      <c r="I2021" s="53"/>
      <c r="U2021" s="31" t="n">
        <f aca="false">IF($B2021='設定（最初に1回）'!$C$4,N(U2020)+1,N(U2020))</f>
        <v>134</v>
      </c>
    </row>
    <row r="2022" customFormat="false" ht="15" hidden="false" customHeight="false" outlineLevel="0" collapsed="false">
      <c r="B2022" s="53"/>
      <c r="I2022" s="53"/>
      <c r="U2022" s="31" t="n">
        <f aca="false">IF($B2022='設定（最初に1回）'!$C$4,N(U2021)+1,N(U2021))</f>
        <v>134</v>
      </c>
    </row>
    <row r="2023" customFormat="false" ht="15" hidden="false" customHeight="false" outlineLevel="0" collapsed="false">
      <c r="B2023" s="53"/>
      <c r="I2023" s="53"/>
      <c r="U2023" s="31" t="n">
        <f aca="false">IF($B2023='設定（最初に1回）'!$C$4,N(U2022)+1,N(U2022))</f>
        <v>134</v>
      </c>
    </row>
    <row r="2024" customFormat="false" ht="15" hidden="false" customHeight="false" outlineLevel="0" collapsed="false">
      <c r="B2024" s="53"/>
      <c r="I2024" s="53"/>
      <c r="U2024" s="31" t="n">
        <f aca="false">IF($B2024='設定（最初に1回）'!$C$4,N(U2023)+1,N(U2023))</f>
        <v>134</v>
      </c>
    </row>
    <row r="2025" customFormat="false" ht="15" hidden="false" customHeight="false" outlineLevel="0" collapsed="false">
      <c r="B2025" s="53"/>
      <c r="I2025" s="53"/>
      <c r="U2025" s="31" t="n">
        <f aca="false">IF($B2025='設定（最初に1回）'!$C$4,N(U2024)+1,N(U2024))</f>
        <v>134</v>
      </c>
    </row>
    <row r="2026" customFormat="false" ht="15" hidden="false" customHeight="false" outlineLevel="0" collapsed="false">
      <c r="B2026" s="53"/>
      <c r="I2026" s="53"/>
      <c r="U2026" s="31" t="n">
        <f aca="false">IF($B2026='設定（最初に1回）'!$C$4,N(U2025)+1,N(U2025))</f>
        <v>134</v>
      </c>
    </row>
    <row r="2027" customFormat="false" ht="15" hidden="false" customHeight="false" outlineLevel="0" collapsed="false">
      <c r="B2027" s="53"/>
      <c r="I2027" s="53"/>
      <c r="U2027" s="31" t="n">
        <f aca="false">IF($B2027='設定（最初に1回）'!$C$4,N(U2026)+1,N(U2026))</f>
        <v>134</v>
      </c>
    </row>
    <row r="2028" customFormat="false" ht="15" hidden="false" customHeight="false" outlineLevel="0" collapsed="false">
      <c r="B2028" s="53"/>
      <c r="I2028" s="53"/>
      <c r="U2028" s="31" t="n">
        <f aca="false">IF($B2028='設定（最初に1回）'!$C$4,N(U2027)+1,N(U2027))</f>
        <v>134</v>
      </c>
    </row>
    <row r="2029" customFormat="false" ht="15" hidden="false" customHeight="false" outlineLevel="0" collapsed="false">
      <c r="B2029" s="53"/>
      <c r="I2029" s="53"/>
      <c r="U2029" s="31" t="n">
        <f aca="false">IF($B2029='設定（最初に1回）'!$C$4,N(U2028)+1,N(U2028))</f>
        <v>134</v>
      </c>
    </row>
    <row r="2030" customFormat="false" ht="15" hidden="false" customHeight="false" outlineLevel="0" collapsed="false">
      <c r="B2030" s="53"/>
      <c r="I2030" s="53"/>
      <c r="U2030" s="31" t="n">
        <f aca="false">IF($B2030='設定（最初に1回）'!$C$4,N(U2029)+1,N(U2029))</f>
        <v>134</v>
      </c>
    </row>
    <row r="2031" customFormat="false" ht="15" hidden="false" customHeight="false" outlineLevel="0" collapsed="false">
      <c r="B2031" s="53"/>
      <c r="I2031" s="53"/>
      <c r="U2031" s="31" t="n">
        <f aca="false">IF($B2031='設定（最初に1回）'!$C$4,N(U2030)+1,N(U2030))</f>
        <v>134</v>
      </c>
    </row>
    <row r="2032" customFormat="false" ht="15" hidden="false" customHeight="false" outlineLevel="0" collapsed="false">
      <c r="B2032" s="53"/>
      <c r="I2032" s="53"/>
      <c r="U2032" s="31" t="n">
        <f aca="false">IF($B2032='設定（最初に1回）'!$C$4,N(U2031)+1,N(U2031))</f>
        <v>134</v>
      </c>
    </row>
    <row r="2033" customFormat="false" ht="15" hidden="false" customHeight="false" outlineLevel="0" collapsed="false">
      <c r="B2033" s="53"/>
      <c r="I2033" s="53"/>
      <c r="U2033" s="31" t="n">
        <f aca="false">IF($B2033='設定（最初に1回）'!$C$4,N(U2032)+1,N(U2032))</f>
        <v>134</v>
      </c>
    </row>
    <row r="2034" customFormat="false" ht="15" hidden="false" customHeight="false" outlineLevel="0" collapsed="false">
      <c r="B2034" s="53"/>
      <c r="I2034" s="53"/>
      <c r="U2034" s="31" t="n">
        <f aca="false">IF($B2034='設定（最初に1回）'!$C$4,N(U2033)+1,N(U2033))</f>
        <v>134</v>
      </c>
    </row>
    <row r="2035" customFormat="false" ht="15" hidden="false" customHeight="false" outlineLevel="0" collapsed="false">
      <c r="B2035" s="53"/>
      <c r="I2035" s="53"/>
      <c r="U2035" s="31" t="n">
        <f aca="false">IF($B2035='設定（最初に1回）'!$C$4,N(U2034)+1,N(U2034))</f>
        <v>134</v>
      </c>
    </row>
    <row r="2036" customFormat="false" ht="15" hidden="false" customHeight="false" outlineLevel="0" collapsed="false">
      <c r="B2036" s="53"/>
      <c r="I2036" s="53"/>
      <c r="U2036" s="31" t="n">
        <f aca="false">IF($B2036='設定（最初に1回）'!$C$4,N(U2035)+1,N(U2035))</f>
        <v>134</v>
      </c>
    </row>
    <row r="2037" customFormat="false" ht="15" hidden="false" customHeight="false" outlineLevel="0" collapsed="false">
      <c r="B2037" s="53"/>
      <c r="I2037" s="53"/>
      <c r="U2037" s="31" t="n">
        <f aca="false">IF($B2037='設定（最初に1回）'!$C$4,N(U2036)+1,N(U2036))</f>
        <v>134</v>
      </c>
    </row>
    <row r="2038" customFormat="false" ht="15" hidden="false" customHeight="false" outlineLevel="0" collapsed="false">
      <c r="B2038" s="53"/>
      <c r="I2038" s="53"/>
      <c r="U2038" s="31" t="n">
        <f aca="false">IF($B2038='設定（最初に1回）'!$C$4,N(U2037)+1,N(U2037))</f>
        <v>134</v>
      </c>
    </row>
    <row r="2039" customFormat="false" ht="15" hidden="false" customHeight="false" outlineLevel="0" collapsed="false">
      <c r="B2039" s="53"/>
      <c r="I2039" s="53"/>
      <c r="U2039" s="31" t="n">
        <f aca="false">IF($B2039='設定（最初に1回）'!$C$4,N(U2038)+1,N(U2038))</f>
        <v>134</v>
      </c>
    </row>
    <row r="2040" customFormat="false" ht="15" hidden="false" customHeight="false" outlineLevel="0" collapsed="false">
      <c r="B2040" s="53"/>
      <c r="I2040" s="53"/>
      <c r="U2040" s="31" t="n">
        <f aca="false">IF($B2040='設定（最初に1回）'!$C$4,N(U2039)+1,N(U2039))</f>
        <v>134</v>
      </c>
    </row>
    <row r="2041" customFormat="false" ht="15" hidden="false" customHeight="false" outlineLevel="0" collapsed="false">
      <c r="B2041" s="53"/>
      <c r="I2041" s="53"/>
      <c r="U2041" s="31" t="n">
        <f aca="false">IF($B2041='設定（最初に1回）'!$C$4,N(U2040)+1,N(U2040))</f>
        <v>134</v>
      </c>
    </row>
    <row r="2042" customFormat="false" ht="15" hidden="false" customHeight="false" outlineLevel="0" collapsed="false">
      <c r="B2042" s="53"/>
      <c r="I2042" s="53"/>
      <c r="U2042" s="31" t="n">
        <f aca="false">IF($B2042='設定（最初に1回）'!$C$4,N(U2041)+1,N(U2041))</f>
        <v>134</v>
      </c>
    </row>
    <row r="2043" customFormat="false" ht="15" hidden="false" customHeight="false" outlineLevel="0" collapsed="false">
      <c r="B2043" s="53"/>
      <c r="I2043" s="53"/>
      <c r="U2043" s="31" t="n">
        <f aca="false">IF($B2043='設定（最初に1回）'!$C$4,N(U2042)+1,N(U2042))</f>
        <v>134</v>
      </c>
    </row>
    <row r="2044" customFormat="false" ht="15" hidden="false" customHeight="false" outlineLevel="0" collapsed="false">
      <c r="B2044" s="53"/>
      <c r="I2044" s="53"/>
      <c r="U2044" s="31" t="n">
        <f aca="false">IF($B2044='設定（最初に1回）'!$C$4,N(U2043)+1,N(U2043))</f>
        <v>134</v>
      </c>
    </row>
    <row r="2045" customFormat="false" ht="15" hidden="false" customHeight="false" outlineLevel="0" collapsed="false">
      <c r="B2045" s="53"/>
      <c r="I2045" s="53"/>
      <c r="U2045" s="31" t="n">
        <f aca="false">IF($B2045='設定（最初に1回）'!$C$4,N(U2044)+1,N(U2044))</f>
        <v>134</v>
      </c>
    </row>
    <row r="2046" customFormat="false" ht="15" hidden="false" customHeight="false" outlineLevel="0" collapsed="false">
      <c r="B2046" s="53"/>
      <c r="I2046" s="53"/>
      <c r="U2046" s="31" t="n">
        <f aca="false">IF($B2046='設定（最初に1回）'!$C$4,N(U2045)+1,N(U2045))</f>
        <v>134</v>
      </c>
    </row>
    <row r="2047" customFormat="false" ht="15" hidden="false" customHeight="false" outlineLevel="0" collapsed="false">
      <c r="B2047" s="53"/>
      <c r="I2047" s="53"/>
      <c r="U2047" s="31" t="n">
        <f aca="false">IF($B2047='設定（最初に1回）'!$C$4,N(U2046)+1,N(U2046))</f>
        <v>134</v>
      </c>
    </row>
    <row r="2048" customFormat="false" ht="15" hidden="false" customHeight="false" outlineLevel="0" collapsed="false">
      <c r="B2048" s="53"/>
      <c r="I2048" s="53"/>
      <c r="U2048" s="31" t="n">
        <f aca="false">IF($B2048='設定（最初に1回）'!$C$4,N(U2047)+1,N(U2047))</f>
        <v>134</v>
      </c>
    </row>
    <row r="2049" customFormat="false" ht="15" hidden="false" customHeight="false" outlineLevel="0" collapsed="false">
      <c r="B2049" s="53"/>
      <c r="I2049" s="53"/>
      <c r="U2049" s="31" t="n">
        <f aca="false">IF($B2049='設定（最初に1回）'!$C$4,N(U2048)+1,N(U2048))</f>
        <v>134</v>
      </c>
    </row>
    <row r="2050" customFormat="false" ht="15" hidden="false" customHeight="false" outlineLevel="0" collapsed="false">
      <c r="B2050" s="53"/>
      <c r="I2050" s="53"/>
      <c r="U2050" s="31" t="n">
        <f aca="false">IF($B2050='設定（最初に1回）'!$C$4,N(U2049)+1,N(U2049))</f>
        <v>134</v>
      </c>
    </row>
    <row r="2051" customFormat="false" ht="15" hidden="false" customHeight="false" outlineLevel="0" collapsed="false">
      <c r="B2051" s="53"/>
      <c r="I2051" s="53"/>
      <c r="U2051" s="31" t="n">
        <f aca="false">IF($B2051='設定（最初に1回）'!$C$4,N(U2050)+1,N(U2050))</f>
        <v>134</v>
      </c>
    </row>
    <row r="2052" customFormat="false" ht="15" hidden="false" customHeight="false" outlineLevel="0" collapsed="false">
      <c r="B2052" s="53"/>
      <c r="I2052" s="53"/>
      <c r="U2052" s="31" t="n">
        <f aca="false">IF($B2052='設定（最初に1回）'!$C$4,N(U2051)+1,N(U2051))</f>
        <v>134</v>
      </c>
    </row>
    <row r="2053" customFormat="false" ht="15" hidden="false" customHeight="false" outlineLevel="0" collapsed="false">
      <c r="B2053" s="53"/>
      <c r="I2053" s="53"/>
      <c r="U2053" s="31" t="n">
        <f aca="false">IF($B2053='設定（最初に1回）'!$C$4,N(U2052)+1,N(U2052))</f>
        <v>134</v>
      </c>
    </row>
    <row r="2054" customFormat="false" ht="15" hidden="false" customHeight="false" outlineLevel="0" collapsed="false">
      <c r="B2054" s="53"/>
      <c r="I2054" s="53"/>
      <c r="U2054" s="31" t="n">
        <f aca="false">IF($B2054='設定（最初に1回）'!$C$4,N(U2053)+1,N(U2053))</f>
        <v>134</v>
      </c>
    </row>
    <row r="2055" customFormat="false" ht="15" hidden="false" customHeight="false" outlineLevel="0" collapsed="false">
      <c r="B2055" s="53"/>
      <c r="I2055" s="53"/>
      <c r="U2055" s="31" t="n">
        <f aca="false">IF($B2055='設定（最初に1回）'!$C$4,N(U2054)+1,N(U2054))</f>
        <v>134</v>
      </c>
    </row>
    <row r="2056" customFormat="false" ht="15" hidden="false" customHeight="false" outlineLevel="0" collapsed="false">
      <c r="B2056" s="53"/>
      <c r="I2056" s="53"/>
      <c r="U2056" s="31" t="n">
        <f aca="false">IF($B2056='設定（最初に1回）'!$C$4,N(U2055)+1,N(U2055))</f>
        <v>134</v>
      </c>
    </row>
    <row r="2057" customFormat="false" ht="15" hidden="false" customHeight="false" outlineLevel="0" collapsed="false">
      <c r="B2057" s="53"/>
      <c r="I2057" s="53"/>
      <c r="U2057" s="31" t="n">
        <f aca="false">IF($B2057='設定（最初に1回）'!$C$4,N(U2056)+1,N(U2056))</f>
        <v>134</v>
      </c>
    </row>
    <row r="2058" customFormat="false" ht="15" hidden="false" customHeight="false" outlineLevel="0" collapsed="false">
      <c r="B2058" s="53"/>
      <c r="I2058" s="53"/>
      <c r="U2058" s="31" t="n">
        <f aca="false">IF($B2058='設定（最初に1回）'!$C$4,N(U2057)+1,N(U2057))</f>
        <v>134</v>
      </c>
    </row>
    <row r="2059" customFormat="false" ht="15" hidden="false" customHeight="false" outlineLevel="0" collapsed="false">
      <c r="B2059" s="53"/>
      <c r="I2059" s="53"/>
      <c r="U2059" s="31" t="n">
        <f aca="false">IF($B2059='設定（最初に1回）'!$C$4,N(U2058)+1,N(U2058))</f>
        <v>134</v>
      </c>
    </row>
    <row r="2060" customFormat="false" ht="15" hidden="false" customHeight="false" outlineLevel="0" collapsed="false">
      <c r="B2060" s="53"/>
      <c r="I2060" s="53"/>
      <c r="U2060" s="31" t="n">
        <f aca="false">IF($B2060='設定（最初に1回）'!$C$4,N(U2059)+1,N(U2059))</f>
        <v>134</v>
      </c>
    </row>
    <row r="2061" customFormat="false" ht="15" hidden="false" customHeight="false" outlineLevel="0" collapsed="false">
      <c r="B2061" s="53"/>
      <c r="I2061" s="53"/>
      <c r="U2061" s="31" t="n">
        <f aca="false">IF($B2061='設定（最初に1回）'!$C$4,N(U2060)+1,N(U2060))</f>
        <v>134</v>
      </c>
    </row>
    <row r="2062" customFormat="false" ht="15" hidden="false" customHeight="false" outlineLevel="0" collapsed="false">
      <c r="B2062" s="53"/>
      <c r="I2062" s="53"/>
      <c r="U2062" s="31" t="n">
        <f aca="false">IF($B2062='設定（最初に1回）'!$C$4,N(U2061)+1,N(U2061))</f>
        <v>134</v>
      </c>
    </row>
    <row r="2063" customFormat="false" ht="15" hidden="false" customHeight="false" outlineLevel="0" collapsed="false">
      <c r="B2063" s="53"/>
      <c r="I2063" s="53"/>
      <c r="U2063" s="31" t="n">
        <f aca="false">IF($B2063='設定（最初に1回）'!$C$4,N(U2062)+1,N(U2062))</f>
        <v>134</v>
      </c>
    </row>
    <row r="2064" customFormat="false" ht="15" hidden="false" customHeight="false" outlineLevel="0" collapsed="false">
      <c r="B2064" s="53"/>
      <c r="I2064" s="53"/>
      <c r="U2064" s="31" t="n">
        <f aca="false">IF($B2064='設定（最初に1回）'!$C$4,N(U2063)+1,N(U2063))</f>
        <v>134</v>
      </c>
    </row>
    <row r="2065" customFormat="false" ht="15" hidden="false" customHeight="false" outlineLevel="0" collapsed="false">
      <c r="B2065" s="53"/>
      <c r="I2065" s="53"/>
      <c r="U2065" s="31" t="n">
        <f aca="false">IF($B2065='設定（最初に1回）'!$C$4,N(U2064)+1,N(U2064))</f>
        <v>134</v>
      </c>
    </row>
    <row r="2066" customFormat="false" ht="15" hidden="false" customHeight="false" outlineLevel="0" collapsed="false">
      <c r="B2066" s="53"/>
      <c r="I2066" s="53"/>
      <c r="U2066" s="31" t="n">
        <f aca="false">IF($B2066='設定（最初に1回）'!$C$4,N(U2065)+1,N(U2065))</f>
        <v>134</v>
      </c>
    </row>
    <row r="2067" customFormat="false" ht="15" hidden="false" customHeight="false" outlineLevel="0" collapsed="false">
      <c r="B2067" s="53"/>
      <c r="I2067" s="53"/>
      <c r="U2067" s="31" t="n">
        <f aca="false">IF($B2067='設定（最初に1回）'!$C$4,N(U2066)+1,N(U2066))</f>
        <v>134</v>
      </c>
    </row>
    <row r="2068" customFormat="false" ht="15" hidden="false" customHeight="false" outlineLevel="0" collapsed="false">
      <c r="B2068" s="53"/>
      <c r="I2068" s="53"/>
      <c r="U2068" s="31" t="n">
        <f aca="false">IF($B2068='設定（最初に1回）'!$C$4,N(U2067)+1,N(U2067))</f>
        <v>134</v>
      </c>
    </row>
    <row r="2069" customFormat="false" ht="15" hidden="false" customHeight="false" outlineLevel="0" collapsed="false">
      <c r="B2069" s="53"/>
      <c r="I2069" s="53"/>
      <c r="U2069" s="31" t="n">
        <f aca="false">IF($B2069='設定（最初に1回）'!$C$4,N(U2068)+1,N(U2068))</f>
        <v>134</v>
      </c>
    </row>
    <row r="2070" customFormat="false" ht="15" hidden="false" customHeight="false" outlineLevel="0" collapsed="false">
      <c r="B2070" s="53"/>
      <c r="I2070" s="53"/>
      <c r="U2070" s="31" t="n">
        <f aca="false">IF($B2070='設定（最初に1回）'!$C$4,N(U2069)+1,N(U2069))</f>
        <v>134</v>
      </c>
    </row>
    <row r="2071" customFormat="false" ht="15" hidden="false" customHeight="false" outlineLevel="0" collapsed="false">
      <c r="B2071" s="53"/>
      <c r="I2071" s="53"/>
      <c r="U2071" s="31" t="n">
        <f aca="false">IF($B2071='設定（最初に1回）'!$C$4,N(U2070)+1,N(U2070))</f>
        <v>134</v>
      </c>
    </row>
    <row r="2072" customFormat="false" ht="15" hidden="false" customHeight="false" outlineLevel="0" collapsed="false">
      <c r="B2072" s="53"/>
      <c r="I2072" s="53"/>
      <c r="U2072" s="31" t="n">
        <f aca="false">IF($B2072='設定（最初に1回）'!$C$4,N(U2071)+1,N(U2071))</f>
        <v>134</v>
      </c>
    </row>
    <row r="2073" customFormat="false" ht="15" hidden="false" customHeight="false" outlineLevel="0" collapsed="false">
      <c r="B2073" s="53"/>
      <c r="I2073" s="53"/>
      <c r="U2073" s="31" t="n">
        <f aca="false">IF($B2073='設定（最初に1回）'!$C$4,N(U2072)+1,N(U2072))</f>
        <v>134</v>
      </c>
    </row>
    <row r="2074" customFormat="false" ht="15" hidden="false" customHeight="false" outlineLevel="0" collapsed="false">
      <c r="B2074" s="53"/>
      <c r="I2074" s="53"/>
      <c r="U2074" s="31" t="n">
        <f aca="false">IF($B2074='設定（最初に1回）'!$C$4,N(U2073)+1,N(U2073))</f>
        <v>134</v>
      </c>
    </row>
    <row r="2075" customFormat="false" ht="15" hidden="false" customHeight="false" outlineLevel="0" collapsed="false">
      <c r="B2075" s="53"/>
      <c r="I2075" s="53"/>
      <c r="U2075" s="31" t="n">
        <f aca="false">IF($B2075='設定（最初に1回）'!$C$4,N(U2074)+1,N(U2074))</f>
        <v>134</v>
      </c>
    </row>
    <row r="2076" customFormat="false" ht="15" hidden="false" customHeight="false" outlineLevel="0" collapsed="false">
      <c r="B2076" s="53"/>
      <c r="I2076" s="53"/>
      <c r="U2076" s="31" t="n">
        <f aca="false">IF($B2076='設定（最初に1回）'!$C$4,N(U2075)+1,N(U2075))</f>
        <v>134</v>
      </c>
    </row>
    <row r="2077" customFormat="false" ht="15" hidden="false" customHeight="false" outlineLevel="0" collapsed="false">
      <c r="B2077" s="53"/>
      <c r="I2077" s="53"/>
      <c r="U2077" s="31" t="n">
        <f aca="false">IF($B2077='設定（最初に1回）'!$C$4,N(U2076)+1,N(U2076))</f>
        <v>134</v>
      </c>
    </row>
    <row r="2078" customFormat="false" ht="15" hidden="false" customHeight="false" outlineLevel="0" collapsed="false">
      <c r="B2078" s="53"/>
      <c r="I2078" s="53"/>
      <c r="U2078" s="31" t="n">
        <f aca="false">IF($B2078='設定（最初に1回）'!$C$4,N(U2077)+1,N(U2077))</f>
        <v>134</v>
      </c>
    </row>
    <row r="2079" customFormat="false" ht="15" hidden="false" customHeight="false" outlineLevel="0" collapsed="false">
      <c r="B2079" s="53"/>
      <c r="I2079" s="53"/>
      <c r="U2079" s="31" t="n">
        <f aca="false">IF($B2079='設定（最初に1回）'!$C$4,N(U2078)+1,N(U2078))</f>
        <v>134</v>
      </c>
    </row>
    <row r="2080" customFormat="false" ht="15" hidden="false" customHeight="false" outlineLevel="0" collapsed="false">
      <c r="B2080" s="53"/>
      <c r="I2080" s="53"/>
      <c r="U2080" s="31" t="n">
        <f aca="false">IF($B2080='設定（最初に1回）'!$C$4,N(U2079)+1,N(U2079))</f>
        <v>134</v>
      </c>
    </row>
    <row r="2081" customFormat="false" ht="15" hidden="false" customHeight="false" outlineLevel="0" collapsed="false">
      <c r="B2081" s="53"/>
      <c r="I2081" s="53"/>
      <c r="U2081" s="31" t="n">
        <f aca="false">IF($B2081='設定（最初に1回）'!$C$4,N(U2080)+1,N(U2080))</f>
        <v>134</v>
      </c>
    </row>
    <row r="2082" customFormat="false" ht="15" hidden="false" customHeight="false" outlineLevel="0" collapsed="false">
      <c r="B2082" s="53"/>
      <c r="I2082" s="53"/>
      <c r="U2082" s="31" t="n">
        <f aca="false">IF($B2082='設定（最初に1回）'!$C$4,N(U2081)+1,N(U2081))</f>
        <v>134</v>
      </c>
    </row>
    <row r="2083" customFormat="false" ht="15" hidden="false" customHeight="false" outlineLevel="0" collapsed="false">
      <c r="B2083" s="53"/>
      <c r="I2083" s="53"/>
      <c r="U2083" s="31" t="n">
        <f aca="false">IF($B2083='設定（最初に1回）'!$C$4,N(U2082)+1,N(U2082))</f>
        <v>134</v>
      </c>
    </row>
    <row r="2084" customFormat="false" ht="15" hidden="false" customHeight="false" outlineLevel="0" collapsed="false">
      <c r="B2084" s="53"/>
      <c r="I2084" s="53"/>
      <c r="U2084" s="31" t="n">
        <f aca="false">IF($B2084='設定（最初に1回）'!$C$4,N(U2083)+1,N(U2083))</f>
        <v>134</v>
      </c>
    </row>
    <row r="2085" customFormat="false" ht="15" hidden="false" customHeight="false" outlineLevel="0" collapsed="false">
      <c r="B2085" s="53"/>
      <c r="I2085" s="53"/>
      <c r="U2085" s="31" t="n">
        <f aca="false">IF($B2085='設定（最初に1回）'!$C$4,N(U2084)+1,N(U2084))</f>
        <v>134</v>
      </c>
    </row>
    <row r="2086" customFormat="false" ht="15" hidden="false" customHeight="false" outlineLevel="0" collapsed="false">
      <c r="B2086" s="53"/>
      <c r="I2086" s="53"/>
      <c r="U2086" s="31" t="n">
        <f aca="false">IF($B2086='設定（最初に1回）'!$C$4,N(U2085)+1,N(U2085))</f>
        <v>134</v>
      </c>
    </row>
    <row r="2087" customFormat="false" ht="15" hidden="false" customHeight="false" outlineLevel="0" collapsed="false">
      <c r="B2087" s="53"/>
      <c r="I2087" s="53"/>
      <c r="U2087" s="31" t="n">
        <f aca="false">IF($B2087='設定（最初に1回）'!$C$4,N(U2086)+1,N(U2086))</f>
        <v>134</v>
      </c>
    </row>
    <row r="2088" customFormat="false" ht="15" hidden="false" customHeight="false" outlineLevel="0" collapsed="false">
      <c r="B2088" s="53"/>
      <c r="I2088" s="53"/>
      <c r="U2088" s="31" t="n">
        <f aca="false">IF($B2088='設定（最初に1回）'!$C$4,N(U2087)+1,N(U2087))</f>
        <v>134</v>
      </c>
    </row>
    <row r="2089" customFormat="false" ht="15" hidden="false" customHeight="false" outlineLevel="0" collapsed="false">
      <c r="B2089" s="53"/>
      <c r="I2089" s="53"/>
      <c r="U2089" s="31" t="n">
        <f aca="false">IF($B2089='設定（最初に1回）'!$C$4,N(U2088)+1,N(U2088))</f>
        <v>134</v>
      </c>
    </row>
    <row r="2090" customFormat="false" ht="15" hidden="false" customHeight="false" outlineLevel="0" collapsed="false">
      <c r="B2090" s="53"/>
      <c r="I2090" s="53"/>
      <c r="U2090" s="31" t="n">
        <f aca="false">IF($B2090='設定（最初に1回）'!$C$4,N(U2089)+1,N(U2089))</f>
        <v>134</v>
      </c>
    </row>
    <row r="2091" customFormat="false" ht="15" hidden="false" customHeight="false" outlineLevel="0" collapsed="false">
      <c r="B2091" s="53"/>
      <c r="I2091" s="53"/>
      <c r="U2091" s="31" t="n">
        <f aca="false">IF($B2091='設定（最初に1回）'!$C$4,N(U2090)+1,N(U2090))</f>
        <v>134</v>
      </c>
    </row>
    <row r="2092" customFormat="false" ht="15" hidden="false" customHeight="false" outlineLevel="0" collapsed="false">
      <c r="B2092" s="53"/>
      <c r="I2092" s="53"/>
      <c r="U2092" s="31" t="n">
        <f aca="false">IF($B2092='設定（最初に1回）'!$C$4,N(U2091)+1,N(U2091))</f>
        <v>134</v>
      </c>
    </row>
    <row r="2093" customFormat="false" ht="15" hidden="false" customHeight="false" outlineLevel="0" collapsed="false">
      <c r="B2093" s="53"/>
      <c r="I2093" s="53"/>
      <c r="U2093" s="31" t="n">
        <f aca="false">IF($B2093='設定（最初に1回）'!$C$4,N(U2092)+1,N(U2092))</f>
        <v>134</v>
      </c>
    </row>
    <row r="2094" customFormat="false" ht="15" hidden="false" customHeight="false" outlineLevel="0" collapsed="false">
      <c r="B2094" s="53"/>
      <c r="I2094" s="53"/>
      <c r="U2094" s="31" t="n">
        <f aca="false">IF($B2094='設定（最初に1回）'!$C$4,N(U2093)+1,N(U2093))</f>
        <v>134</v>
      </c>
    </row>
    <row r="2095" customFormat="false" ht="15" hidden="false" customHeight="false" outlineLevel="0" collapsed="false">
      <c r="B2095" s="53"/>
      <c r="I2095" s="53"/>
      <c r="U2095" s="31" t="n">
        <f aca="false">IF($B2095='設定（最初に1回）'!$C$4,N(U2094)+1,N(U2094))</f>
        <v>134</v>
      </c>
    </row>
    <row r="2096" customFormat="false" ht="15" hidden="false" customHeight="false" outlineLevel="0" collapsed="false">
      <c r="B2096" s="53"/>
      <c r="I2096" s="53"/>
      <c r="U2096" s="31" t="n">
        <f aca="false">IF($B2096='設定（最初に1回）'!$C$4,N(U2095)+1,N(U2095))</f>
        <v>134</v>
      </c>
    </row>
    <row r="2097" customFormat="false" ht="15" hidden="false" customHeight="false" outlineLevel="0" collapsed="false">
      <c r="B2097" s="53"/>
      <c r="I2097" s="53"/>
      <c r="U2097" s="31" t="n">
        <f aca="false">IF($B2097='設定（最初に1回）'!$C$4,N(U2096)+1,N(U2096))</f>
        <v>134</v>
      </c>
    </row>
    <row r="2098" customFormat="false" ht="15" hidden="false" customHeight="false" outlineLevel="0" collapsed="false">
      <c r="B2098" s="53"/>
      <c r="I2098" s="53"/>
      <c r="U2098" s="31" t="n">
        <f aca="false">IF($B2098='設定（最初に1回）'!$C$4,N(U2097)+1,N(U2097))</f>
        <v>134</v>
      </c>
    </row>
    <row r="2099" customFormat="false" ht="15" hidden="false" customHeight="false" outlineLevel="0" collapsed="false">
      <c r="B2099" s="53"/>
      <c r="I2099" s="53"/>
      <c r="U2099" s="31" t="n">
        <f aca="false">IF($B2099='設定（最初に1回）'!$C$4,N(U2098)+1,N(U2098))</f>
        <v>134</v>
      </c>
    </row>
    <row r="2100" customFormat="false" ht="15" hidden="false" customHeight="false" outlineLevel="0" collapsed="false">
      <c r="B2100" s="53"/>
      <c r="I2100" s="53"/>
      <c r="U2100" s="31" t="n">
        <f aca="false">IF($B2100='設定（最初に1回）'!$C$4,N(U2099)+1,N(U2099))</f>
        <v>134</v>
      </c>
    </row>
    <row r="2101" customFormat="false" ht="15" hidden="false" customHeight="false" outlineLevel="0" collapsed="false">
      <c r="B2101" s="53"/>
      <c r="I2101" s="53"/>
      <c r="U2101" s="31" t="n">
        <f aca="false">IF($B2101='設定（最初に1回）'!$C$4,N(U2100)+1,N(U2100))</f>
        <v>134</v>
      </c>
    </row>
    <row r="2102" customFormat="false" ht="15" hidden="false" customHeight="false" outlineLevel="0" collapsed="false">
      <c r="B2102" s="53"/>
      <c r="I2102" s="53"/>
      <c r="U2102" s="31" t="n">
        <f aca="false">IF($B2102='設定（最初に1回）'!$C$4,N(U2101)+1,N(U2101))</f>
        <v>134</v>
      </c>
    </row>
    <row r="2103" customFormat="false" ht="15" hidden="false" customHeight="false" outlineLevel="0" collapsed="false">
      <c r="B2103" s="53"/>
      <c r="I2103" s="53"/>
      <c r="U2103" s="31" t="n">
        <f aca="false">IF($B2103='設定（最初に1回）'!$C$4,N(U2102)+1,N(U2102))</f>
        <v>134</v>
      </c>
    </row>
    <row r="2104" customFormat="false" ht="15" hidden="false" customHeight="false" outlineLevel="0" collapsed="false">
      <c r="B2104" s="53"/>
      <c r="I2104" s="53"/>
      <c r="U2104" s="31" t="n">
        <f aca="false">IF($B2104='設定（最初に1回）'!$C$4,N(U2103)+1,N(U2103))</f>
        <v>134</v>
      </c>
    </row>
    <row r="2105" customFormat="false" ht="15" hidden="false" customHeight="false" outlineLevel="0" collapsed="false">
      <c r="B2105" s="53"/>
      <c r="I2105" s="53"/>
      <c r="U2105" s="31" t="n">
        <f aca="false">IF($B2105='設定（最初に1回）'!$C$4,N(U2104)+1,N(U2104))</f>
        <v>134</v>
      </c>
    </row>
    <row r="2106" customFormat="false" ht="15" hidden="false" customHeight="false" outlineLevel="0" collapsed="false">
      <c r="B2106" s="53"/>
      <c r="I2106" s="53"/>
      <c r="U2106" s="31" t="n">
        <f aca="false">IF($B2106='設定（最初に1回）'!$C$4,N(U2105)+1,N(U2105))</f>
        <v>134</v>
      </c>
    </row>
    <row r="2107" customFormat="false" ht="15" hidden="false" customHeight="false" outlineLevel="0" collapsed="false">
      <c r="B2107" s="53"/>
      <c r="I2107" s="53"/>
      <c r="U2107" s="31" t="n">
        <f aca="false">IF($B2107='設定（最初に1回）'!$C$4,N(U2106)+1,N(U2106))</f>
        <v>134</v>
      </c>
    </row>
    <row r="2108" customFormat="false" ht="15" hidden="false" customHeight="false" outlineLevel="0" collapsed="false">
      <c r="B2108" s="53"/>
      <c r="I2108" s="53"/>
      <c r="U2108" s="31" t="n">
        <f aca="false">IF($B2108='設定（最初に1回）'!$C$4,N(U2107)+1,N(U2107))</f>
        <v>134</v>
      </c>
    </row>
    <row r="2109" customFormat="false" ht="15" hidden="false" customHeight="false" outlineLevel="0" collapsed="false">
      <c r="B2109" s="53"/>
      <c r="I2109" s="53"/>
      <c r="U2109" s="31" t="n">
        <f aca="false">IF($B2109='設定（最初に1回）'!$C$4,N(U2108)+1,N(U2108))</f>
        <v>134</v>
      </c>
    </row>
    <row r="2110" customFormat="false" ht="15" hidden="false" customHeight="false" outlineLevel="0" collapsed="false">
      <c r="B2110" s="53"/>
      <c r="I2110" s="53"/>
      <c r="U2110" s="31" t="n">
        <f aca="false">IF($B2110='設定（最初に1回）'!$C$4,N(U2109)+1,N(U2109))</f>
        <v>134</v>
      </c>
    </row>
    <row r="2111" customFormat="false" ht="15" hidden="false" customHeight="false" outlineLevel="0" collapsed="false">
      <c r="B2111" s="53"/>
      <c r="I2111" s="53"/>
      <c r="U2111" s="31" t="n">
        <f aca="false">IF($B2111='設定（最初に1回）'!$C$4,N(U2110)+1,N(U2110))</f>
        <v>134</v>
      </c>
    </row>
    <row r="2112" customFormat="false" ht="15" hidden="false" customHeight="false" outlineLevel="0" collapsed="false">
      <c r="B2112" s="53"/>
      <c r="I2112" s="53"/>
      <c r="U2112" s="31" t="n">
        <f aca="false">IF($B2112='設定（最初に1回）'!$C$4,N(U2111)+1,N(U2111))</f>
        <v>134</v>
      </c>
    </row>
    <row r="2113" customFormat="false" ht="15" hidden="false" customHeight="false" outlineLevel="0" collapsed="false">
      <c r="B2113" s="53"/>
      <c r="I2113" s="53"/>
      <c r="U2113" s="31" t="n">
        <f aca="false">IF($B2113='設定（最初に1回）'!$C$4,N(U2112)+1,N(U2112))</f>
        <v>134</v>
      </c>
    </row>
    <row r="2114" customFormat="false" ht="15" hidden="false" customHeight="false" outlineLevel="0" collapsed="false">
      <c r="B2114" s="53"/>
      <c r="I2114" s="53"/>
      <c r="U2114" s="31" t="n">
        <f aca="false">IF($B2114='設定（最初に1回）'!$C$4,N(U2113)+1,N(U2113))</f>
        <v>134</v>
      </c>
    </row>
    <row r="2115" customFormat="false" ht="15" hidden="false" customHeight="false" outlineLevel="0" collapsed="false">
      <c r="B2115" s="53"/>
      <c r="I2115" s="53"/>
      <c r="U2115" s="31" t="n">
        <f aca="false">IF($B2115='設定（最初に1回）'!$C$4,N(U2114)+1,N(U2114))</f>
        <v>134</v>
      </c>
    </row>
    <row r="2116" customFormat="false" ht="15" hidden="false" customHeight="false" outlineLevel="0" collapsed="false">
      <c r="B2116" s="53"/>
      <c r="I2116" s="53"/>
      <c r="U2116" s="31" t="n">
        <f aca="false">IF($B2116='設定（最初に1回）'!$C$4,N(U2115)+1,N(U2115))</f>
        <v>134</v>
      </c>
    </row>
    <row r="2117" customFormat="false" ht="15" hidden="false" customHeight="false" outlineLevel="0" collapsed="false">
      <c r="B2117" s="53"/>
      <c r="I2117" s="53"/>
      <c r="U2117" s="31" t="n">
        <f aca="false">IF($B2117='設定（最初に1回）'!$C$4,N(U2116)+1,N(U2116))</f>
        <v>134</v>
      </c>
    </row>
    <row r="2118" customFormat="false" ht="15" hidden="false" customHeight="false" outlineLevel="0" collapsed="false">
      <c r="B2118" s="53"/>
      <c r="I2118" s="53"/>
      <c r="U2118" s="31" t="n">
        <f aca="false">IF($B2118='設定（最初に1回）'!$C$4,N(U2117)+1,N(U2117))</f>
        <v>134</v>
      </c>
    </row>
    <row r="2119" customFormat="false" ht="15" hidden="false" customHeight="false" outlineLevel="0" collapsed="false">
      <c r="B2119" s="53"/>
      <c r="I2119" s="53"/>
      <c r="U2119" s="31" t="n">
        <f aca="false">IF($B2119='設定（最初に1回）'!$C$4,N(U2118)+1,N(U2118))</f>
        <v>134</v>
      </c>
    </row>
    <row r="2120" customFormat="false" ht="15" hidden="false" customHeight="false" outlineLevel="0" collapsed="false">
      <c r="B2120" s="53"/>
      <c r="I2120" s="53"/>
      <c r="U2120" s="31" t="n">
        <f aca="false">IF($B2120='設定（最初に1回）'!$C$4,N(U2119)+1,N(U2119))</f>
        <v>134</v>
      </c>
    </row>
    <row r="2121" customFormat="false" ht="15" hidden="false" customHeight="false" outlineLevel="0" collapsed="false">
      <c r="B2121" s="53"/>
      <c r="I2121" s="53"/>
      <c r="U2121" s="31" t="n">
        <f aca="false">IF($B2121='設定（最初に1回）'!$C$4,N(U2120)+1,N(U2120))</f>
        <v>134</v>
      </c>
    </row>
    <row r="2122" customFormat="false" ht="15" hidden="false" customHeight="false" outlineLevel="0" collapsed="false">
      <c r="B2122" s="53"/>
      <c r="I2122" s="53"/>
      <c r="U2122" s="31" t="n">
        <f aca="false">IF($B2122='設定（最初に1回）'!$C$4,N(U2121)+1,N(U2121))</f>
        <v>134</v>
      </c>
    </row>
    <row r="2123" customFormat="false" ht="15" hidden="false" customHeight="false" outlineLevel="0" collapsed="false">
      <c r="B2123" s="53"/>
      <c r="I2123" s="53"/>
      <c r="U2123" s="31" t="n">
        <f aca="false">IF($B2123='設定（最初に1回）'!$C$4,N(U2122)+1,N(U2122))</f>
        <v>134</v>
      </c>
    </row>
    <row r="2124" customFormat="false" ht="15" hidden="false" customHeight="false" outlineLevel="0" collapsed="false">
      <c r="B2124" s="53"/>
      <c r="I2124" s="53"/>
      <c r="U2124" s="31" t="n">
        <f aca="false">IF($B2124='設定（最初に1回）'!$C$4,N(U2123)+1,N(U2123))</f>
        <v>134</v>
      </c>
    </row>
    <row r="2125" customFormat="false" ht="15" hidden="false" customHeight="false" outlineLevel="0" collapsed="false">
      <c r="B2125" s="53"/>
      <c r="I2125" s="53"/>
      <c r="U2125" s="31" t="n">
        <f aca="false">IF($B2125='設定（最初に1回）'!$C$4,N(U2124)+1,N(U2124))</f>
        <v>134</v>
      </c>
    </row>
    <row r="2126" customFormat="false" ht="15" hidden="false" customHeight="false" outlineLevel="0" collapsed="false">
      <c r="B2126" s="53"/>
      <c r="I2126" s="53"/>
      <c r="U2126" s="31" t="n">
        <f aca="false">IF($B2126='設定（最初に1回）'!$C$4,N(U2125)+1,N(U2125))</f>
        <v>134</v>
      </c>
    </row>
    <row r="2127" customFormat="false" ht="15" hidden="false" customHeight="false" outlineLevel="0" collapsed="false">
      <c r="B2127" s="53"/>
      <c r="I2127" s="53"/>
      <c r="U2127" s="31" t="n">
        <f aca="false">IF($B2127='設定（最初に1回）'!$C$4,N(U2126)+1,N(U2126))</f>
        <v>134</v>
      </c>
    </row>
    <row r="2128" customFormat="false" ht="15" hidden="false" customHeight="false" outlineLevel="0" collapsed="false">
      <c r="B2128" s="53"/>
      <c r="I2128" s="53"/>
      <c r="U2128" s="31" t="n">
        <f aca="false">IF($B2128='設定（最初に1回）'!$C$4,N(U2127)+1,N(U2127))</f>
        <v>134</v>
      </c>
    </row>
    <row r="2129" customFormat="false" ht="15" hidden="false" customHeight="false" outlineLevel="0" collapsed="false">
      <c r="B2129" s="53"/>
      <c r="I2129" s="53"/>
      <c r="U2129" s="31" t="n">
        <f aca="false">IF($B2129='設定（最初に1回）'!$C$4,N(U2128)+1,N(U2128))</f>
        <v>134</v>
      </c>
    </row>
    <row r="2130" customFormat="false" ht="15" hidden="false" customHeight="false" outlineLevel="0" collapsed="false">
      <c r="B2130" s="53"/>
      <c r="I2130" s="53"/>
      <c r="U2130" s="31" t="n">
        <f aca="false">IF($B2130='設定（最初に1回）'!$C$4,N(U2129)+1,N(U2129))</f>
        <v>134</v>
      </c>
    </row>
    <row r="2131" customFormat="false" ht="15" hidden="false" customHeight="false" outlineLevel="0" collapsed="false">
      <c r="B2131" s="53"/>
      <c r="I2131" s="53"/>
      <c r="U2131" s="31" t="n">
        <f aca="false">IF($B2131='設定（最初に1回）'!$C$4,N(U2130)+1,N(U2130))</f>
        <v>134</v>
      </c>
    </row>
    <row r="2132" customFormat="false" ht="15" hidden="false" customHeight="false" outlineLevel="0" collapsed="false">
      <c r="B2132" s="53"/>
      <c r="I2132" s="53"/>
      <c r="U2132" s="31" t="n">
        <f aca="false">IF($B2132='設定（最初に1回）'!$C$4,N(U2131)+1,N(U2131))</f>
        <v>134</v>
      </c>
    </row>
    <row r="2133" customFormat="false" ht="15" hidden="false" customHeight="false" outlineLevel="0" collapsed="false">
      <c r="B2133" s="53"/>
      <c r="I2133" s="53"/>
      <c r="U2133" s="31" t="n">
        <f aca="false">IF($B2133='設定（最初に1回）'!$C$4,N(U2132)+1,N(U2132))</f>
        <v>134</v>
      </c>
    </row>
    <row r="2134" customFormat="false" ht="15" hidden="false" customHeight="false" outlineLevel="0" collapsed="false">
      <c r="B2134" s="53"/>
      <c r="I2134" s="53"/>
      <c r="U2134" s="31" t="n">
        <f aca="false">IF($B2134='設定（最初に1回）'!$C$4,N(U2133)+1,N(U2133))</f>
        <v>134</v>
      </c>
    </row>
    <row r="2135" customFormat="false" ht="15" hidden="false" customHeight="false" outlineLevel="0" collapsed="false">
      <c r="B2135" s="53"/>
      <c r="I2135" s="53"/>
      <c r="U2135" s="31" t="n">
        <f aca="false">IF($B2135='設定（最初に1回）'!$C$4,N(U2134)+1,N(U2134))</f>
        <v>134</v>
      </c>
    </row>
    <row r="2136" customFormat="false" ht="15" hidden="false" customHeight="false" outlineLevel="0" collapsed="false">
      <c r="B2136" s="53"/>
      <c r="I2136" s="53"/>
      <c r="U2136" s="31" t="n">
        <f aca="false">IF($B2136='設定（最初に1回）'!$C$4,N(U2135)+1,N(U2135))</f>
        <v>134</v>
      </c>
    </row>
    <row r="2137" customFormat="false" ht="15" hidden="false" customHeight="false" outlineLevel="0" collapsed="false">
      <c r="B2137" s="53"/>
      <c r="I2137" s="53"/>
      <c r="U2137" s="31" t="n">
        <f aca="false">IF($B2137='設定（最初に1回）'!$C$4,N(U2136)+1,N(U2136))</f>
        <v>134</v>
      </c>
    </row>
    <row r="2138" customFormat="false" ht="15" hidden="false" customHeight="false" outlineLevel="0" collapsed="false">
      <c r="B2138" s="53"/>
      <c r="I2138" s="53"/>
      <c r="U2138" s="31" t="n">
        <f aca="false">IF($B2138='設定（最初に1回）'!$C$4,N(U2137)+1,N(U2137))</f>
        <v>134</v>
      </c>
    </row>
    <row r="2139" customFormat="false" ht="15" hidden="false" customHeight="false" outlineLevel="0" collapsed="false">
      <c r="B2139" s="53"/>
      <c r="I2139" s="53"/>
      <c r="U2139" s="31" t="n">
        <f aca="false">IF($B2139='設定（最初に1回）'!$C$4,N(U2138)+1,N(U2138))</f>
        <v>134</v>
      </c>
    </row>
    <row r="2140" customFormat="false" ht="15" hidden="false" customHeight="false" outlineLevel="0" collapsed="false">
      <c r="B2140" s="53"/>
      <c r="I2140" s="53"/>
      <c r="U2140" s="31" t="n">
        <f aca="false">IF($B2140='設定（最初に1回）'!$C$4,N(U2139)+1,N(U2139))</f>
        <v>134</v>
      </c>
    </row>
    <row r="2141" customFormat="false" ht="15" hidden="false" customHeight="false" outlineLevel="0" collapsed="false">
      <c r="B2141" s="53"/>
      <c r="I2141" s="53"/>
      <c r="U2141" s="31" t="n">
        <f aca="false">IF($B2141='設定（最初に1回）'!$C$4,N(U2140)+1,N(U2140))</f>
        <v>134</v>
      </c>
    </row>
    <row r="2142" customFormat="false" ht="15" hidden="false" customHeight="false" outlineLevel="0" collapsed="false">
      <c r="B2142" s="53"/>
      <c r="I2142" s="53"/>
      <c r="U2142" s="31" t="n">
        <f aca="false">IF($B2142='設定（最初に1回）'!$C$4,N(U2141)+1,N(U2141))</f>
        <v>134</v>
      </c>
    </row>
    <row r="2143" customFormat="false" ht="15" hidden="false" customHeight="false" outlineLevel="0" collapsed="false">
      <c r="B2143" s="53"/>
      <c r="I2143" s="53"/>
      <c r="U2143" s="31" t="n">
        <f aca="false">IF($B2143='設定（最初に1回）'!$C$4,N(U2142)+1,N(U2142))</f>
        <v>134</v>
      </c>
    </row>
    <row r="2144" customFormat="false" ht="15" hidden="false" customHeight="false" outlineLevel="0" collapsed="false">
      <c r="B2144" s="53"/>
      <c r="I2144" s="53"/>
      <c r="U2144" s="31" t="n">
        <f aca="false">IF($B2144='設定（最初に1回）'!$C$4,N(U2143)+1,N(U2143))</f>
        <v>134</v>
      </c>
    </row>
    <row r="2145" customFormat="false" ht="15" hidden="false" customHeight="false" outlineLevel="0" collapsed="false">
      <c r="B2145" s="53"/>
      <c r="I2145" s="53"/>
      <c r="U2145" s="31" t="n">
        <f aca="false">IF($B2145='設定（最初に1回）'!$C$4,N(U2144)+1,N(U2144))</f>
        <v>134</v>
      </c>
    </row>
    <row r="2146" customFormat="false" ht="15" hidden="false" customHeight="false" outlineLevel="0" collapsed="false">
      <c r="B2146" s="53"/>
      <c r="I2146" s="53"/>
      <c r="U2146" s="31" t="n">
        <f aca="false">IF($B2146='設定（最初に1回）'!$C$4,N(U2145)+1,N(U2145))</f>
        <v>134</v>
      </c>
    </row>
    <row r="2147" customFormat="false" ht="15" hidden="false" customHeight="false" outlineLevel="0" collapsed="false">
      <c r="B2147" s="53"/>
      <c r="I2147" s="53"/>
      <c r="U2147" s="31" t="n">
        <f aca="false">IF($B2147='設定（最初に1回）'!$C$4,N(U2146)+1,N(U2146))</f>
        <v>134</v>
      </c>
    </row>
    <row r="2148" customFormat="false" ht="15" hidden="false" customHeight="false" outlineLevel="0" collapsed="false">
      <c r="B2148" s="53"/>
      <c r="I2148" s="53"/>
      <c r="U2148" s="31" t="n">
        <f aca="false">IF($B2148='設定（最初に1回）'!$C$4,N(U2147)+1,N(U2147))</f>
        <v>134</v>
      </c>
    </row>
    <row r="2149" customFormat="false" ht="15" hidden="false" customHeight="false" outlineLevel="0" collapsed="false">
      <c r="B2149" s="53"/>
      <c r="I2149" s="53"/>
      <c r="U2149" s="31" t="n">
        <f aca="false">IF($B2149='設定（最初に1回）'!$C$4,N(U2148)+1,N(U2148))</f>
        <v>134</v>
      </c>
    </row>
    <row r="2150" customFormat="false" ht="15" hidden="false" customHeight="false" outlineLevel="0" collapsed="false">
      <c r="B2150" s="53"/>
      <c r="I2150" s="53"/>
      <c r="U2150" s="31" t="n">
        <f aca="false">IF($B2150='設定（最初に1回）'!$C$4,N(U2149)+1,N(U2149))</f>
        <v>134</v>
      </c>
    </row>
    <row r="2151" customFormat="false" ht="15" hidden="false" customHeight="false" outlineLevel="0" collapsed="false">
      <c r="B2151" s="53"/>
      <c r="I2151" s="53"/>
      <c r="U2151" s="31" t="n">
        <f aca="false">IF($B2151='設定（最初に1回）'!$C$4,N(U2150)+1,N(U2150))</f>
        <v>134</v>
      </c>
    </row>
    <row r="2152" customFormat="false" ht="15" hidden="false" customHeight="false" outlineLevel="0" collapsed="false">
      <c r="B2152" s="53"/>
      <c r="I2152" s="53"/>
      <c r="U2152" s="31" t="n">
        <f aca="false">IF($B2152='設定（最初に1回）'!$C$4,N(U2151)+1,N(U2151))</f>
        <v>134</v>
      </c>
    </row>
    <row r="2153" customFormat="false" ht="15" hidden="false" customHeight="false" outlineLevel="0" collapsed="false">
      <c r="B2153" s="53"/>
      <c r="I2153" s="53"/>
      <c r="U2153" s="31" t="n">
        <f aca="false">IF($B2153='設定（最初に1回）'!$C$4,N(U2152)+1,N(U2152))</f>
        <v>134</v>
      </c>
    </row>
    <row r="2154" customFormat="false" ht="15" hidden="false" customHeight="false" outlineLevel="0" collapsed="false">
      <c r="B2154" s="53"/>
      <c r="I2154" s="53"/>
      <c r="U2154" s="31" t="n">
        <f aca="false">IF($B2154='設定（最初に1回）'!$C$4,N(U2153)+1,N(U2153))</f>
        <v>134</v>
      </c>
    </row>
    <row r="2155" customFormat="false" ht="15" hidden="false" customHeight="false" outlineLevel="0" collapsed="false">
      <c r="B2155" s="53"/>
      <c r="I2155" s="53"/>
      <c r="U2155" s="31" t="n">
        <f aca="false">IF($B2155='設定（最初に1回）'!$C$4,N(U2154)+1,N(U2154))</f>
        <v>134</v>
      </c>
    </row>
    <row r="2156" customFormat="false" ht="15" hidden="false" customHeight="false" outlineLevel="0" collapsed="false">
      <c r="B2156" s="53"/>
      <c r="I2156" s="53"/>
      <c r="U2156" s="31" t="n">
        <f aca="false">IF($B2156='設定（最初に1回）'!$C$4,N(U2155)+1,N(U2155))</f>
        <v>134</v>
      </c>
    </row>
    <row r="2157" customFormat="false" ht="15" hidden="false" customHeight="false" outlineLevel="0" collapsed="false">
      <c r="B2157" s="53"/>
      <c r="I2157" s="53"/>
      <c r="U2157" s="31" t="n">
        <f aca="false">IF($B2157='設定（最初に1回）'!$C$4,N(U2156)+1,N(U2156))</f>
        <v>134</v>
      </c>
    </row>
    <row r="2158" customFormat="false" ht="15" hidden="false" customHeight="false" outlineLevel="0" collapsed="false">
      <c r="B2158" s="53"/>
      <c r="I2158" s="53"/>
      <c r="U2158" s="31" t="n">
        <f aca="false">IF($B2158='設定（最初に1回）'!$C$4,N(U2157)+1,N(U2157))</f>
        <v>134</v>
      </c>
    </row>
    <row r="2159" customFormat="false" ht="15" hidden="false" customHeight="false" outlineLevel="0" collapsed="false">
      <c r="B2159" s="53"/>
      <c r="I2159" s="53"/>
      <c r="U2159" s="31" t="n">
        <f aca="false">IF($B2159='設定（最初に1回）'!$C$4,N(U2158)+1,N(U2158))</f>
        <v>134</v>
      </c>
    </row>
    <row r="2160" customFormat="false" ht="15" hidden="false" customHeight="false" outlineLevel="0" collapsed="false">
      <c r="B2160" s="53"/>
      <c r="I2160" s="53"/>
      <c r="U2160" s="31" t="n">
        <f aca="false">IF($B2160='設定（最初に1回）'!$C$4,N(U2159)+1,N(U2159))</f>
        <v>134</v>
      </c>
    </row>
    <row r="2161" customFormat="false" ht="15" hidden="false" customHeight="false" outlineLevel="0" collapsed="false">
      <c r="B2161" s="53"/>
      <c r="I2161" s="53"/>
      <c r="U2161" s="31" t="n">
        <f aca="false">IF($B2161='設定（最初に1回）'!$C$4,N(U2160)+1,N(U2160))</f>
        <v>134</v>
      </c>
    </row>
    <row r="2162" customFormat="false" ht="15" hidden="false" customHeight="false" outlineLevel="0" collapsed="false">
      <c r="B2162" s="53"/>
      <c r="I2162" s="53"/>
      <c r="U2162" s="31" t="n">
        <f aca="false">IF($B2162='設定（最初に1回）'!$C$4,N(U2161)+1,N(U2161))</f>
        <v>134</v>
      </c>
    </row>
    <row r="2163" customFormat="false" ht="15" hidden="false" customHeight="false" outlineLevel="0" collapsed="false">
      <c r="B2163" s="53"/>
      <c r="I2163" s="53"/>
      <c r="U2163" s="31" t="n">
        <f aca="false">IF($B2163='設定（最初に1回）'!$C$4,N(U2162)+1,N(U2162))</f>
        <v>134</v>
      </c>
    </row>
    <row r="2164" customFormat="false" ht="15" hidden="false" customHeight="false" outlineLevel="0" collapsed="false">
      <c r="B2164" s="53"/>
      <c r="I2164" s="53"/>
      <c r="U2164" s="31" t="n">
        <f aca="false">IF($B2164='設定（最初に1回）'!$C$4,N(U2163)+1,N(U2163))</f>
        <v>134</v>
      </c>
    </row>
    <row r="2165" customFormat="false" ht="15" hidden="false" customHeight="false" outlineLevel="0" collapsed="false">
      <c r="B2165" s="53"/>
      <c r="I2165" s="53"/>
      <c r="U2165" s="31" t="n">
        <f aca="false">IF($B2165='設定（最初に1回）'!$C$4,N(U2164)+1,N(U2164))</f>
        <v>134</v>
      </c>
    </row>
    <row r="2166" customFormat="false" ht="15" hidden="false" customHeight="false" outlineLevel="0" collapsed="false">
      <c r="B2166" s="53"/>
      <c r="I2166" s="53"/>
      <c r="U2166" s="31" t="n">
        <f aca="false">IF($B2166='設定（最初に1回）'!$C$4,N(U2165)+1,N(U2165))</f>
        <v>134</v>
      </c>
    </row>
    <row r="2167" customFormat="false" ht="15" hidden="false" customHeight="false" outlineLevel="0" collapsed="false">
      <c r="B2167" s="53"/>
      <c r="I2167" s="53"/>
      <c r="U2167" s="31" t="n">
        <f aca="false">IF($B2167='設定（最初に1回）'!$C$4,N(U2166)+1,N(U2166))</f>
        <v>134</v>
      </c>
    </row>
    <row r="2168" customFormat="false" ht="15" hidden="false" customHeight="false" outlineLevel="0" collapsed="false">
      <c r="B2168" s="53"/>
      <c r="I2168" s="53"/>
      <c r="U2168" s="31" t="n">
        <f aca="false">IF($B2168='設定（最初に1回）'!$C$4,N(U2167)+1,N(U2167))</f>
        <v>134</v>
      </c>
    </row>
    <row r="2169" customFormat="false" ht="15" hidden="false" customHeight="false" outlineLevel="0" collapsed="false">
      <c r="B2169" s="53"/>
      <c r="I2169" s="53"/>
      <c r="U2169" s="31" t="n">
        <f aca="false">IF($B2169='設定（最初に1回）'!$C$4,N(U2168)+1,N(U2168))</f>
        <v>134</v>
      </c>
    </row>
    <row r="2170" customFormat="false" ht="15" hidden="false" customHeight="false" outlineLevel="0" collapsed="false">
      <c r="B2170" s="53"/>
      <c r="I2170" s="53"/>
      <c r="U2170" s="31" t="n">
        <f aca="false">IF($B2170='設定（最初に1回）'!$C$4,N(U2169)+1,N(U2169))</f>
        <v>134</v>
      </c>
    </row>
    <row r="2171" customFormat="false" ht="15" hidden="false" customHeight="false" outlineLevel="0" collapsed="false">
      <c r="B2171" s="53"/>
      <c r="I2171" s="53"/>
      <c r="U2171" s="31" t="n">
        <f aca="false">IF($B2171='設定（最初に1回）'!$C$4,N(U2170)+1,N(U2170))</f>
        <v>134</v>
      </c>
    </row>
    <row r="2172" customFormat="false" ht="15" hidden="false" customHeight="false" outlineLevel="0" collapsed="false">
      <c r="B2172" s="53"/>
      <c r="I2172" s="53"/>
      <c r="U2172" s="31" t="n">
        <f aca="false">IF($B2172='設定（最初に1回）'!$C$4,N(U2171)+1,N(U2171))</f>
        <v>134</v>
      </c>
    </row>
    <row r="2173" customFormat="false" ht="15" hidden="false" customHeight="false" outlineLevel="0" collapsed="false">
      <c r="B2173" s="53"/>
      <c r="I2173" s="53"/>
      <c r="U2173" s="31" t="n">
        <f aca="false">IF($B2173='設定（最初に1回）'!$C$4,N(U2172)+1,N(U2172))</f>
        <v>134</v>
      </c>
    </row>
    <row r="2174" customFormat="false" ht="15" hidden="false" customHeight="false" outlineLevel="0" collapsed="false">
      <c r="B2174" s="53"/>
      <c r="I2174" s="53"/>
      <c r="U2174" s="31" t="n">
        <f aca="false">IF($B2174='設定（最初に1回）'!$C$4,N(U2173)+1,N(U2173))</f>
        <v>134</v>
      </c>
    </row>
    <row r="2175" customFormat="false" ht="15" hidden="false" customHeight="false" outlineLevel="0" collapsed="false">
      <c r="B2175" s="53"/>
      <c r="I2175" s="53"/>
      <c r="U2175" s="31" t="n">
        <f aca="false">IF($B2175='設定（最初に1回）'!$C$4,N(U2174)+1,N(U2174))</f>
        <v>134</v>
      </c>
    </row>
    <row r="2176" customFormat="false" ht="15" hidden="false" customHeight="false" outlineLevel="0" collapsed="false">
      <c r="B2176" s="53"/>
      <c r="I2176" s="53"/>
      <c r="U2176" s="31" t="n">
        <f aca="false">IF($B2176='設定（最初に1回）'!$C$4,N(U2175)+1,N(U2175))</f>
        <v>134</v>
      </c>
    </row>
    <row r="2177" customFormat="false" ht="15" hidden="false" customHeight="false" outlineLevel="0" collapsed="false">
      <c r="B2177" s="53"/>
      <c r="I2177" s="53"/>
      <c r="U2177" s="31" t="n">
        <f aca="false">IF($B2177='設定（最初に1回）'!$C$4,N(U2176)+1,N(U2176))</f>
        <v>134</v>
      </c>
    </row>
    <row r="2178" customFormat="false" ht="15" hidden="false" customHeight="false" outlineLevel="0" collapsed="false">
      <c r="B2178" s="53"/>
      <c r="I2178" s="53"/>
      <c r="U2178" s="31" t="n">
        <f aca="false">IF($B2178='設定（最初に1回）'!$C$4,N(U2177)+1,N(U2177))</f>
        <v>134</v>
      </c>
    </row>
    <row r="2179" customFormat="false" ht="15" hidden="false" customHeight="false" outlineLevel="0" collapsed="false">
      <c r="B2179" s="53"/>
      <c r="I2179" s="53"/>
      <c r="U2179" s="31" t="n">
        <f aca="false">IF($B2179='設定（最初に1回）'!$C$4,N(U2178)+1,N(U2178))</f>
        <v>134</v>
      </c>
    </row>
    <row r="2180" customFormat="false" ht="15" hidden="false" customHeight="false" outlineLevel="0" collapsed="false">
      <c r="B2180" s="53"/>
      <c r="I2180" s="53"/>
      <c r="U2180" s="31" t="n">
        <f aca="false">IF($B2180='設定（最初に1回）'!$C$4,N(U2179)+1,N(U2179))</f>
        <v>134</v>
      </c>
    </row>
    <row r="2181" customFormat="false" ht="15" hidden="false" customHeight="false" outlineLevel="0" collapsed="false">
      <c r="B2181" s="53"/>
      <c r="I2181" s="53"/>
      <c r="U2181" s="31" t="n">
        <f aca="false">IF($B2181='設定（最初に1回）'!$C$4,N(U2180)+1,N(U2180))</f>
        <v>134</v>
      </c>
    </row>
    <row r="2182" customFormat="false" ht="15" hidden="false" customHeight="false" outlineLevel="0" collapsed="false">
      <c r="B2182" s="53"/>
      <c r="I2182" s="53"/>
      <c r="U2182" s="31" t="n">
        <f aca="false">IF($B2182='設定（最初に1回）'!$C$4,N(U2181)+1,N(U2181))</f>
        <v>134</v>
      </c>
    </row>
    <row r="2183" customFormat="false" ht="15" hidden="false" customHeight="false" outlineLevel="0" collapsed="false">
      <c r="B2183" s="53"/>
      <c r="I2183" s="53"/>
      <c r="U2183" s="31" t="n">
        <f aca="false">IF($B2183='設定（最初に1回）'!$C$4,N(U2182)+1,N(U2182))</f>
        <v>134</v>
      </c>
    </row>
    <row r="2184" customFormat="false" ht="15" hidden="false" customHeight="false" outlineLevel="0" collapsed="false">
      <c r="B2184" s="53"/>
      <c r="I2184" s="53"/>
      <c r="U2184" s="31" t="n">
        <f aca="false">IF($B2184='設定（最初に1回）'!$C$4,N(U2183)+1,N(U2183))</f>
        <v>134</v>
      </c>
    </row>
    <row r="2185" customFormat="false" ht="15" hidden="false" customHeight="false" outlineLevel="0" collapsed="false">
      <c r="B2185" s="53"/>
      <c r="I2185" s="53"/>
      <c r="U2185" s="31" t="n">
        <f aca="false">IF($B2185='設定（最初に1回）'!$C$4,N(U2184)+1,N(U2184))</f>
        <v>134</v>
      </c>
    </row>
    <row r="2186" customFormat="false" ht="15" hidden="false" customHeight="false" outlineLevel="0" collapsed="false">
      <c r="B2186" s="53"/>
      <c r="I2186" s="53"/>
      <c r="U2186" s="31" t="n">
        <f aca="false">IF($B2186='設定（最初に1回）'!$C$4,N(U2185)+1,N(U2185))</f>
        <v>134</v>
      </c>
    </row>
    <row r="2187" customFormat="false" ht="15" hidden="false" customHeight="false" outlineLevel="0" collapsed="false">
      <c r="B2187" s="53"/>
      <c r="I2187" s="53"/>
      <c r="U2187" s="31" t="n">
        <f aca="false">IF($B2187='設定（最初に1回）'!$C$4,N(U2186)+1,N(U2186))</f>
        <v>134</v>
      </c>
    </row>
    <row r="2188" customFormat="false" ht="15" hidden="false" customHeight="false" outlineLevel="0" collapsed="false">
      <c r="B2188" s="53"/>
      <c r="I2188" s="53"/>
      <c r="U2188" s="31" t="n">
        <f aca="false">IF($B2188='設定（最初に1回）'!$C$4,N(U2187)+1,N(U2187))</f>
        <v>134</v>
      </c>
    </row>
    <row r="2189" customFormat="false" ht="15" hidden="false" customHeight="false" outlineLevel="0" collapsed="false">
      <c r="B2189" s="53"/>
      <c r="I2189" s="53"/>
      <c r="U2189" s="31" t="n">
        <f aca="false">IF($B2189='設定（最初に1回）'!$C$4,N(U2188)+1,N(U2188))</f>
        <v>134</v>
      </c>
    </row>
    <row r="2190" customFormat="false" ht="15" hidden="false" customHeight="false" outlineLevel="0" collapsed="false">
      <c r="B2190" s="53"/>
      <c r="I2190" s="53"/>
      <c r="U2190" s="31" t="n">
        <f aca="false">IF($B2190='設定（最初に1回）'!$C$4,N(U2189)+1,N(U2189))</f>
        <v>134</v>
      </c>
    </row>
    <row r="2191" customFormat="false" ht="15" hidden="false" customHeight="false" outlineLevel="0" collapsed="false">
      <c r="B2191" s="53"/>
      <c r="I2191" s="53"/>
      <c r="U2191" s="31" t="n">
        <f aca="false">IF($B2191='設定（最初に1回）'!$C$4,N(U2190)+1,N(U2190))</f>
        <v>134</v>
      </c>
    </row>
    <row r="2192" customFormat="false" ht="15" hidden="false" customHeight="false" outlineLevel="0" collapsed="false">
      <c r="B2192" s="53"/>
      <c r="I2192" s="53"/>
      <c r="U2192" s="31" t="n">
        <f aca="false">IF($B2192='設定（最初に1回）'!$C$4,N(U2191)+1,N(U2191))</f>
        <v>134</v>
      </c>
    </row>
    <row r="2193" customFormat="false" ht="15" hidden="false" customHeight="false" outlineLevel="0" collapsed="false">
      <c r="B2193" s="53"/>
      <c r="I2193" s="53"/>
      <c r="U2193" s="31" t="n">
        <f aca="false">IF($B2193='設定（最初に1回）'!$C$4,N(U2192)+1,N(U2192))</f>
        <v>134</v>
      </c>
    </row>
    <row r="2194" customFormat="false" ht="15" hidden="false" customHeight="false" outlineLevel="0" collapsed="false">
      <c r="B2194" s="53"/>
      <c r="I2194" s="53"/>
      <c r="U2194" s="31" t="n">
        <f aca="false">IF($B2194='設定（最初に1回）'!$C$4,N(U2193)+1,N(U2193))</f>
        <v>134</v>
      </c>
    </row>
    <row r="2195" customFormat="false" ht="15" hidden="false" customHeight="false" outlineLevel="0" collapsed="false">
      <c r="B2195" s="53"/>
      <c r="I2195" s="53"/>
      <c r="U2195" s="31" t="n">
        <f aca="false">IF($B2195='設定（最初に1回）'!$C$4,N(U2194)+1,N(U2194))</f>
        <v>134</v>
      </c>
    </row>
    <row r="2196" customFormat="false" ht="15" hidden="false" customHeight="false" outlineLevel="0" collapsed="false">
      <c r="B2196" s="53"/>
      <c r="I2196" s="53"/>
      <c r="U2196" s="31" t="n">
        <f aca="false">IF($B2196='設定（最初に1回）'!$C$4,N(U2195)+1,N(U2195))</f>
        <v>134</v>
      </c>
    </row>
    <row r="2197" customFormat="false" ht="15" hidden="false" customHeight="false" outlineLevel="0" collapsed="false">
      <c r="B2197" s="53"/>
      <c r="I2197" s="53"/>
      <c r="U2197" s="31" t="n">
        <f aca="false">IF($B2197='設定（最初に1回）'!$C$4,N(U2196)+1,N(U2196))</f>
        <v>134</v>
      </c>
    </row>
    <row r="2198" customFormat="false" ht="15" hidden="false" customHeight="false" outlineLevel="0" collapsed="false">
      <c r="B2198" s="53"/>
      <c r="I2198" s="53"/>
      <c r="U2198" s="31" t="n">
        <f aca="false">IF($B2198='設定（最初に1回）'!$C$4,N(U2197)+1,N(U2197))</f>
        <v>134</v>
      </c>
    </row>
    <row r="2199" customFormat="false" ht="15" hidden="false" customHeight="false" outlineLevel="0" collapsed="false">
      <c r="B2199" s="53"/>
      <c r="I2199" s="53"/>
      <c r="U2199" s="31" t="n">
        <f aca="false">IF($B2199='設定（最初に1回）'!$C$4,N(U2198)+1,N(U2198))</f>
        <v>134</v>
      </c>
    </row>
    <row r="2200" customFormat="false" ht="15" hidden="false" customHeight="false" outlineLevel="0" collapsed="false">
      <c r="B2200" s="53"/>
      <c r="I2200" s="53"/>
      <c r="U2200" s="31" t="n">
        <f aca="false">IF($B2200='設定（最初に1回）'!$C$4,N(U2199)+1,N(U2199))</f>
        <v>134</v>
      </c>
    </row>
    <row r="2201" customFormat="false" ht="15" hidden="false" customHeight="false" outlineLevel="0" collapsed="false">
      <c r="B2201" s="53"/>
      <c r="I2201" s="53"/>
      <c r="U2201" s="31" t="n">
        <f aca="false">IF($B2201='設定（最初に1回）'!$C$4,N(U2200)+1,N(U2200))</f>
        <v>134</v>
      </c>
    </row>
    <row r="2202" customFormat="false" ht="15" hidden="false" customHeight="false" outlineLevel="0" collapsed="false">
      <c r="B2202" s="53"/>
      <c r="I2202" s="53"/>
      <c r="U2202" s="31" t="n">
        <f aca="false">IF($B2202='設定（最初に1回）'!$C$4,N(U2201)+1,N(U2201))</f>
        <v>134</v>
      </c>
    </row>
    <row r="2203" customFormat="false" ht="15" hidden="false" customHeight="false" outlineLevel="0" collapsed="false">
      <c r="B2203" s="53"/>
      <c r="I2203" s="53"/>
      <c r="U2203" s="31" t="n">
        <f aca="false">IF($B2203='設定（最初に1回）'!$C$4,N(U2202)+1,N(U2202))</f>
        <v>134</v>
      </c>
    </row>
    <row r="2204" customFormat="false" ht="15" hidden="false" customHeight="false" outlineLevel="0" collapsed="false">
      <c r="B2204" s="53"/>
      <c r="I2204" s="53"/>
      <c r="U2204" s="31" t="n">
        <f aca="false">IF($B2204='設定（最初に1回）'!$C$4,N(U2203)+1,N(U2203))</f>
        <v>134</v>
      </c>
    </row>
    <row r="2205" customFormat="false" ht="15" hidden="false" customHeight="false" outlineLevel="0" collapsed="false">
      <c r="B2205" s="53"/>
      <c r="I2205" s="53"/>
      <c r="U2205" s="31" t="n">
        <f aca="false">IF($B2205='設定（最初に1回）'!$C$4,N(U2204)+1,N(U2204))</f>
        <v>134</v>
      </c>
    </row>
    <row r="2206" customFormat="false" ht="15" hidden="false" customHeight="false" outlineLevel="0" collapsed="false">
      <c r="B2206" s="53"/>
      <c r="I2206" s="53"/>
      <c r="U2206" s="31" t="n">
        <f aca="false">IF($B2206='設定（最初に1回）'!$C$4,N(U2205)+1,N(U2205))</f>
        <v>134</v>
      </c>
    </row>
    <row r="2207" customFormat="false" ht="15" hidden="false" customHeight="false" outlineLevel="0" collapsed="false">
      <c r="B2207" s="53"/>
      <c r="I2207" s="53"/>
      <c r="U2207" s="31" t="n">
        <f aca="false">IF($B2207='設定（最初に1回）'!$C$4,N(U2206)+1,N(U2206))</f>
        <v>134</v>
      </c>
    </row>
    <row r="2208" customFormat="false" ht="15" hidden="false" customHeight="false" outlineLevel="0" collapsed="false">
      <c r="B2208" s="53"/>
      <c r="I2208" s="53"/>
      <c r="U2208" s="31" t="n">
        <f aca="false">IF($B2208='設定（最初に1回）'!$C$4,N(U2207)+1,N(U2207))</f>
        <v>134</v>
      </c>
    </row>
    <row r="2209" customFormat="false" ht="15" hidden="false" customHeight="false" outlineLevel="0" collapsed="false">
      <c r="B2209" s="53"/>
      <c r="I2209" s="53"/>
      <c r="U2209" s="31" t="n">
        <f aca="false">IF($B2209='設定（最初に1回）'!$C$4,N(U2208)+1,N(U2208))</f>
        <v>134</v>
      </c>
    </row>
    <row r="2210" customFormat="false" ht="15" hidden="false" customHeight="false" outlineLevel="0" collapsed="false">
      <c r="B2210" s="53"/>
      <c r="I2210" s="53"/>
      <c r="U2210" s="31" t="n">
        <f aca="false">IF($B2210='設定（最初に1回）'!$C$4,N(U2209)+1,N(U2209))</f>
        <v>134</v>
      </c>
    </row>
    <row r="2211" customFormat="false" ht="15" hidden="false" customHeight="false" outlineLevel="0" collapsed="false">
      <c r="B2211" s="53"/>
      <c r="I2211" s="53"/>
      <c r="U2211" s="31" t="n">
        <f aca="false">IF($B2211='設定（最初に1回）'!$C$4,N(U2210)+1,N(U2210))</f>
        <v>134</v>
      </c>
    </row>
    <row r="2212" customFormat="false" ht="15" hidden="false" customHeight="false" outlineLevel="0" collapsed="false">
      <c r="B2212" s="53"/>
      <c r="I2212" s="53"/>
      <c r="U2212" s="31" t="n">
        <f aca="false">IF($B2212='設定（最初に1回）'!$C$4,N(U2211)+1,N(U2211))</f>
        <v>134</v>
      </c>
    </row>
    <row r="2213" customFormat="false" ht="15" hidden="false" customHeight="false" outlineLevel="0" collapsed="false">
      <c r="B2213" s="53"/>
      <c r="I2213" s="53"/>
      <c r="U2213" s="31" t="n">
        <f aca="false">IF($B2213='設定（最初に1回）'!$C$4,N(U2212)+1,N(U2212))</f>
        <v>134</v>
      </c>
    </row>
    <row r="2214" customFormat="false" ht="15" hidden="false" customHeight="false" outlineLevel="0" collapsed="false">
      <c r="B2214" s="53"/>
      <c r="I2214" s="53"/>
      <c r="U2214" s="31" t="n">
        <f aca="false">IF($B2214='設定（最初に1回）'!$C$4,N(U2213)+1,N(U2213))</f>
        <v>134</v>
      </c>
    </row>
    <row r="2215" customFormat="false" ht="15" hidden="false" customHeight="false" outlineLevel="0" collapsed="false">
      <c r="B2215" s="53"/>
      <c r="I2215" s="53"/>
      <c r="U2215" s="31" t="n">
        <f aca="false">IF($B2215='設定（最初に1回）'!$C$4,N(U2214)+1,N(U2214))</f>
        <v>134</v>
      </c>
    </row>
    <row r="2216" customFormat="false" ht="15" hidden="false" customHeight="false" outlineLevel="0" collapsed="false">
      <c r="B2216" s="53"/>
      <c r="I2216" s="53"/>
      <c r="U2216" s="31" t="n">
        <f aca="false">IF($B2216='設定（最初に1回）'!$C$4,N(U2215)+1,N(U2215))</f>
        <v>134</v>
      </c>
    </row>
    <row r="2217" customFormat="false" ht="15" hidden="false" customHeight="false" outlineLevel="0" collapsed="false">
      <c r="B2217" s="53"/>
      <c r="I2217" s="53"/>
      <c r="U2217" s="31" t="n">
        <f aca="false">IF($B2217='設定（最初に1回）'!$C$4,N(U2216)+1,N(U2216))</f>
        <v>134</v>
      </c>
    </row>
    <row r="2218" customFormat="false" ht="15" hidden="false" customHeight="false" outlineLevel="0" collapsed="false">
      <c r="B2218" s="53"/>
      <c r="I2218" s="53"/>
      <c r="U2218" s="31" t="n">
        <f aca="false">IF($B2218='設定（最初に1回）'!$C$4,N(U2217)+1,N(U2217))</f>
        <v>134</v>
      </c>
    </row>
    <row r="2219" customFormat="false" ht="15" hidden="false" customHeight="false" outlineLevel="0" collapsed="false">
      <c r="B2219" s="53"/>
      <c r="I2219" s="53"/>
      <c r="U2219" s="31" t="n">
        <f aca="false">IF($B2219='設定（最初に1回）'!$C$4,N(U2218)+1,N(U2218))</f>
        <v>134</v>
      </c>
    </row>
    <row r="2220" customFormat="false" ht="15" hidden="false" customHeight="false" outlineLevel="0" collapsed="false">
      <c r="B2220" s="53"/>
      <c r="I2220" s="53"/>
      <c r="U2220" s="31" t="n">
        <f aca="false">IF($B2220='設定（最初に1回）'!$C$4,N(U2219)+1,N(U2219))</f>
        <v>134</v>
      </c>
    </row>
    <row r="2221" customFormat="false" ht="15" hidden="false" customHeight="false" outlineLevel="0" collapsed="false">
      <c r="B2221" s="53"/>
      <c r="I2221" s="53"/>
      <c r="U2221" s="31" t="n">
        <f aca="false">IF($B2221='設定（最初に1回）'!$C$4,N(U2220)+1,N(U2220))</f>
        <v>134</v>
      </c>
    </row>
    <row r="2222" customFormat="false" ht="15" hidden="false" customHeight="false" outlineLevel="0" collapsed="false">
      <c r="B2222" s="53"/>
      <c r="I2222" s="53"/>
      <c r="U2222" s="31" t="n">
        <f aca="false">IF($B2222='設定（最初に1回）'!$C$4,N(U2221)+1,N(U2221))</f>
        <v>134</v>
      </c>
    </row>
    <row r="2223" customFormat="false" ht="15" hidden="false" customHeight="false" outlineLevel="0" collapsed="false">
      <c r="B2223" s="53"/>
      <c r="I2223" s="53"/>
      <c r="U2223" s="31" t="n">
        <f aca="false">IF($B2223='設定（最初に1回）'!$C$4,N(U2222)+1,N(U2222))</f>
        <v>134</v>
      </c>
    </row>
    <row r="2224" customFormat="false" ht="15" hidden="false" customHeight="false" outlineLevel="0" collapsed="false">
      <c r="B2224" s="53"/>
      <c r="I2224" s="53"/>
      <c r="U2224" s="31" t="n">
        <f aca="false">IF($B2224='設定（最初に1回）'!$C$4,N(U2223)+1,N(U2223))</f>
        <v>134</v>
      </c>
    </row>
    <row r="2225" customFormat="false" ht="15" hidden="false" customHeight="false" outlineLevel="0" collapsed="false">
      <c r="B2225" s="53"/>
      <c r="I2225" s="53"/>
      <c r="U2225" s="31" t="n">
        <f aca="false">IF($B2225='設定（最初に1回）'!$C$4,N(U2224)+1,N(U2224))</f>
        <v>134</v>
      </c>
    </row>
    <row r="2226" customFormat="false" ht="15" hidden="false" customHeight="false" outlineLevel="0" collapsed="false">
      <c r="B2226" s="53"/>
      <c r="I2226" s="53"/>
      <c r="U2226" s="31" t="n">
        <f aca="false">IF($B2226='設定（最初に1回）'!$C$4,N(U2225)+1,N(U2225))</f>
        <v>134</v>
      </c>
    </row>
    <row r="2227" customFormat="false" ht="15" hidden="false" customHeight="false" outlineLevel="0" collapsed="false">
      <c r="B2227" s="53"/>
      <c r="I2227" s="53"/>
      <c r="U2227" s="31" t="n">
        <f aca="false">IF($B2227='設定（最初に1回）'!$C$4,N(U2226)+1,N(U2226))</f>
        <v>134</v>
      </c>
    </row>
    <row r="2228" customFormat="false" ht="15" hidden="false" customHeight="false" outlineLevel="0" collapsed="false">
      <c r="B2228" s="53"/>
      <c r="I2228" s="53"/>
      <c r="U2228" s="31" t="n">
        <f aca="false">IF($B2228='設定（最初に1回）'!$C$4,N(U2227)+1,N(U2227))</f>
        <v>134</v>
      </c>
    </row>
    <row r="2229" customFormat="false" ht="15" hidden="false" customHeight="false" outlineLevel="0" collapsed="false">
      <c r="B2229" s="53"/>
      <c r="I2229" s="53"/>
      <c r="U2229" s="31" t="n">
        <f aca="false">IF($B2229='設定（最初に1回）'!$C$4,N(U2228)+1,N(U2228))</f>
        <v>134</v>
      </c>
    </row>
    <row r="2230" customFormat="false" ht="15" hidden="false" customHeight="false" outlineLevel="0" collapsed="false">
      <c r="B2230" s="53"/>
      <c r="I2230" s="53"/>
      <c r="U2230" s="31" t="n">
        <f aca="false">IF($B2230='設定（最初に1回）'!$C$4,N(U2229)+1,N(U2229))</f>
        <v>134</v>
      </c>
    </row>
    <row r="2231" customFormat="false" ht="15" hidden="false" customHeight="false" outlineLevel="0" collapsed="false">
      <c r="B2231" s="53"/>
      <c r="I2231" s="53"/>
      <c r="U2231" s="31" t="n">
        <f aca="false">IF($B2231='設定（最初に1回）'!$C$4,N(U2230)+1,N(U2230))</f>
        <v>134</v>
      </c>
    </row>
    <row r="2232" customFormat="false" ht="15" hidden="false" customHeight="false" outlineLevel="0" collapsed="false">
      <c r="B2232" s="53"/>
      <c r="I2232" s="53"/>
      <c r="U2232" s="31" t="n">
        <f aca="false">IF($B2232='設定（最初に1回）'!$C$4,N(U2231)+1,N(U2231))</f>
        <v>134</v>
      </c>
    </row>
    <row r="2233" customFormat="false" ht="15" hidden="false" customHeight="false" outlineLevel="0" collapsed="false">
      <c r="B2233" s="53"/>
      <c r="I2233" s="53"/>
      <c r="U2233" s="31" t="n">
        <f aca="false">IF($B2233='設定（最初に1回）'!$C$4,N(U2232)+1,N(U2232))</f>
        <v>134</v>
      </c>
    </row>
    <row r="2234" customFormat="false" ht="15" hidden="false" customHeight="false" outlineLevel="0" collapsed="false">
      <c r="B2234" s="53"/>
      <c r="I2234" s="53"/>
      <c r="U2234" s="31" t="n">
        <f aca="false">IF($B2234='設定（最初に1回）'!$C$4,N(U2233)+1,N(U2233))</f>
        <v>134</v>
      </c>
    </row>
    <row r="2235" customFormat="false" ht="15" hidden="false" customHeight="false" outlineLevel="0" collapsed="false">
      <c r="B2235" s="53"/>
      <c r="I2235" s="53"/>
      <c r="U2235" s="31" t="n">
        <f aca="false">IF($B2235='設定（最初に1回）'!$C$4,N(U2234)+1,N(U2234))</f>
        <v>134</v>
      </c>
    </row>
    <row r="2236" customFormat="false" ht="15" hidden="false" customHeight="false" outlineLevel="0" collapsed="false">
      <c r="B2236" s="53"/>
      <c r="I2236" s="53"/>
      <c r="U2236" s="31" t="n">
        <f aca="false">IF($B2236='設定（最初に1回）'!$C$4,N(U2235)+1,N(U2235))</f>
        <v>134</v>
      </c>
    </row>
    <row r="2237" customFormat="false" ht="15" hidden="false" customHeight="false" outlineLevel="0" collapsed="false">
      <c r="B2237" s="53"/>
      <c r="I2237" s="53"/>
      <c r="U2237" s="31" t="n">
        <f aca="false">IF($B2237='設定（最初に1回）'!$C$4,N(U2236)+1,N(U2236))</f>
        <v>134</v>
      </c>
    </row>
    <row r="2238" customFormat="false" ht="15" hidden="false" customHeight="false" outlineLevel="0" collapsed="false">
      <c r="B2238" s="53"/>
      <c r="I2238" s="53"/>
      <c r="U2238" s="31" t="n">
        <f aca="false">IF($B2238='設定（最初に1回）'!$C$4,N(U2237)+1,N(U2237))</f>
        <v>134</v>
      </c>
    </row>
    <row r="2239" customFormat="false" ht="15" hidden="false" customHeight="false" outlineLevel="0" collapsed="false">
      <c r="B2239" s="53"/>
      <c r="I2239" s="53"/>
      <c r="U2239" s="31" t="n">
        <f aca="false">IF($B2239='設定（最初に1回）'!$C$4,N(U2238)+1,N(U2238))</f>
        <v>134</v>
      </c>
    </row>
    <row r="2240" customFormat="false" ht="15" hidden="false" customHeight="false" outlineLevel="0" collapsed="false">
      <c r="B2240" s="53"/>
      <c r="I2240" s="53"/>
      <c r="U2240" s="31" t="n">
        <f aca="false">IF($B2240='設定（最初に1回）'!$C$4,N(U2239)+1,N(U2239))</f>
        <v>134</v>
      </c>
    </row>
    <row r="2241" customFormat="false" ht="15" hidden="false" customHeight="false" outlineLevel="0" collapsed="false">
      <c r="B2241" s="53"/>
      <c r="I2241" s="53"/>
      <c r="U2241" s="31" t="n">
        <f aca="false">IF($B2241='設定（最初に1回）'!$C$4,N(U2240)+1,N(U2240))</f>
        <v>134</v>
      </c>
    </row>
    <row r="2242" customFormat="false" ht="15" hidden="false" customHeight="false" outlineLevel="0" collapsed="false">
      <c r="B2242" s="53"/>
      <c r="I2242" s="53"/>
      <c r="U2242" s="31" t="n">
        <f aca="false">IF($B2242='設定（最初に1回）'!$C$4,N(U2241)+1,N(U2241))</f>
        <v>134</v>
      </c>
    </row>
    <row r="2243" customFormat="false" ht="15" hidden="false" customHeight="false" outlineLevel="0" collapsed="false">
      <c r="B2243" s="53"/>
      <c r="I2243" s="53"/>
      <c r="U2243" s="31" t="n">
        <f aca="false">IF($B2243='設定（最初に1回）'!$C$4,N(U2242)+1,N(U2242))</f>
        <v>134</v>
      </c>
    </row>
    <row r="2244" customFormat="false" ht="15" hidden="false" customHeight="false" outlineLevel="0" collapsed="false">
      <c r="B2244" s="53"/>
      <c r="I2244" s="53"/>
      <c r="U2244" s="31" t="n">
        <f aca="false">IF($B2244='設定（最初に1回）'!$C$4,N(U2243)+1,N(U2243))</f>
        <v>134</v>
      </c>
    </row>
    <row r="2245" customFormat="false" ht="15" hidden="false" customHeight="false" outlineLevel="0" collapsed="false">
      <c r="B2245" s="53"/>
      <c r="I2245" s="53"/>
      <c r="U2245" s="31" t="n">
        <f aca="false">IF($B2245='設定（最初に1回）'!$C$4,N(U2244)+1,N(U2244))</f>
        <v>134</v>
      </c>
    </row>
    <row r="2246" customFormat="false" ht="15" hidden="false" customHeight="false" outlineLevel="0" collapsed="false">
      <c r="B2246" s="53"/>
      <c r="I2246" s="53"/>
      <c r="U2246" s="31" t="n">
        <f aca="false">IF($B2246='設定（最初に1回）'!$C$4,N(U2245)+1,N(U2245))</f>
        <v>134</v>
      </c>
    </row>
    <row r="2247" customFormat="false" ht="15" hidden="false" customHeight="false" outlineLevel="0" collapsed="false">
      <c r="B2247" s="53"/>
      <c r="I2247" s="53"/>
      <c r="U2247" s="31" t="n">
        <f aca="false">IF($B2247='設定（最初に1回）'!$C$4,N(U2246)+1,N(U2246))</f>
        <v>134</v>
      </c>
    </row>
    <row r="2248" customFormat="false" ht="15" hidden="false" customHeight="false" outlineLevel="0" collapsed="false">
      <c r="B2248" s="53"/>
      <c r="I2248" s="53"/>
      <c r="U2248" s="31" t="n">
        <f aca="false">IF($B2248='設定（最初に1回）'!$C$4,N(U2247)+1,N(U2247))</f>
        <v>134</v>
      </c>
    </row>
    <row r="2249" customFormat="false" ht="15" hidden="false" customHeight="false" outlineLevel="0" collapsed="false">
      <c r="B2249" s="53"/>
      <c r="I2249" s="53"/>
      <c r="U2249" s="31" t="n">
        <f aca="false">IF($B2249='設定（最初に1回）'!$C$4,N(U2248)+1,N(U2248))</f>
        <v>134</v>
      </c>
    </row>
    <row r="2250" customFormat="false" ht="15" hidden="false" customHeight="false" outlineLevel="0" collapsed="false">
      <c r="B2250" s="53"/>
      <c r="I2250" s="53"/>
      <c r="U2250" s="31" t="n">
        <f aca="false">IF($B2250='設定（最初に1回）'!$C$4,N(U2249)+1,N(U2249))</f>
        <v>134</v>
      </c>
    </row>
    <row r="2251" customFormat="false" ht="15" hidden="false" customHeight="false" outlineLevel="0" collapsed="false">
      <c r="B2251" s="53"/>
      <c r="I2251" s="53"/>
      <c r="U2251" s="31" t="n">
        <f aca="false">IF($B2251='設定（最初に1回）'!$C$4,N(U2250)+1,N(U2250))</f>
        <v>134</v>
      </c>
    </row>
    <row r="2252" customFormat="false" ht="15" hidden="false" customHeight="false" outlineLevel="0" collapsed="false">
      <c r="B2252" s="53"/>
      <c r="I2252" s="53"/>
      <c r="U2252" s="31" t="n">
        <f aca="false">IF($B2252='設定（最初に1回）'!$C$4,N(U2251)+1,N(U2251))</f>
        <v>134</v>
      </c>
    </row>
    <row r="2253" customFormat="false" ht="15" hidden="false" customHeight="false" outlineLevel="0" collapsed="false">
      <c r="B2253" s="53"/>
      <c r="I2253" s="53"/>
      <c r="U2253" s="31" t="n">
        <f aca="false">IF($B2253='設定（最初に1回）'!$C$4,N(U2252)+1,N(U2252))</f>
        <v>134</v>
      </c>
    </row>
    <row r="2254" customFormat="false" ht="15" hidden="false" customHeight="false" outlineLevel="0" collapsed="false">
      <c r="B2254" s="53"/>
      <c r="I2254" s="53"/>
      <c r="U2254" s="31" t="n">
        <f aca="false">IF($B2254='設定（最初に1回）'!$C$4,N(U2253)+1,N(U2253))</f>
        <v>134</v>
      </c>
    </row>
    <row r="2255" customFormat="false" ht="15" hidden="false" customHeight="false" outlineLevel="0" collapsed="false">
      <c r="B2255" s="53"/>
      <c r="I2255" s="53"/>
      <c r="U2255" s="31" t="n">
        <f aca="false">IF($B2255='設定（最初に1回）'!$C$4,N(U2254)+1,N(U2254))</f>
        <v>134</v>
      </c>
    </row>
    <row r="2256" customFormat="false" ht="15" hidden="false" customHeight="false" outlineLevel="0" collapsed="false">
      <c r="B2256" s="53"/>
      <c r="I2256" s="53"/>
      <c r="U2256" s="31" t="n">
        <f aca="false">IF($B2256='設定（最初に1回）'!$C$4,N(U2255)+1,N(U2255))</f>
        <v>134</v>
      </c>
    </row>
    <row r="2257" customFormat="false" ht="15" hidden="false" customHeight="false" outlineLevel="0" collapsed="false">
      <c r="B2257" s="53"/>
      <c r="I2257" s="53"/>
      <c r="U2257" s="31" t="n">
        <f aca="false">IF($B2257='設定（最初に1回）'!$C$4,N(U2256)+1,N(U2256))</f>
        <v>134</v>
      </c>
    </row>
    <row r="2258" customFormat="false" ht="15" hidden="false" customHeight="false" outlineLevel="0" collapsed="false">
      <c r="B2258" s="53"/>
      <c r="I2258" s="53"/>
      <c r="U2258" s="31" t="n">
        <f aca="false">IF($B2258='設定（最初に1回）'!$C$4,N(U2257)+1,N(U2257))</f>
        <v>134</v>
      </c>
    </row>
    <row r="2259" customFormat="false" ht="15" hidden="false" customHeight="false" outlineLevel="0" collapsed="false">
      <c r="B2259" s="53"/>
      <c r="I2259" s="53"/>
      <c r="U2259" s="31" t="n">
        <f aca="false">IF($B2259='設定（最初に1回）'!$C$4,N(U2258)+1,N(U2258))</f>
        <v>134</v>
      </c>
    </row>
    <row r="2260" customFormat="false" ht="15" hidden="false" customHeight="false" outlineLevel="0" collapsed="false">
      <c r="B2260" s="53"/>
      <c r="I2260" s="53"/>
      <c r="U2260" s="31" t="n">
        <f aca="false">IF($B2260='設定（最初に1回）'!$C$4,N(U2259)+1,N(U2259))</f>
        <v>134</v>
      </c>
    </row>
    <row r="2261" customFormat="false" ht="15" hidden="false" customHeight="false" outlineLevel="0" collapsed="false">
      <c r="B2261" s="53"/>
      <c r="I2261" s="53"/>
      <c r="U2261" s="31" t="n">
        <f aca="false">IF($B2261='設定（最初に1回）'!$C$4,N(U2260)+1,N(U2260))</f>
        <v>134</v>
      </c>
    </row>
    <row r="2262" customFormat="false" ht="15" hidden="false" customHeight="false" outlineLevel="0" collapsed="false">
      <c r="B2262" s="53"/>
      <c r="I2262" s="53"/>
      <c r="U2262" s="31" t="n">
        <f aca="false">IF($B2262='設定（最初に1回）'!$C$4,N(U2261)+1,N(U2261))</f>
        <v>134</v>
      </c>
    </row>
    <row r="2263" customFormat="false" ht="15" hidden="false" customHeight="false" outlineLevel="0" collapsed="false">
      <c r="B2263" s="53"/>
      <c r="I2263" s="53"/>
      <c r="U2263" s="31" t="n">
        <f aca="false">IF($B2263='設定（最初に1回）'!$C$4,N(U2262)+1,N(U2262))</f>
        <v>134</v>
      </c>
    </row>
    <row r="2264" customFormat="false" ht="15" hidden="false" customHeight="false" outlineLevel="0" collapsed="false">
      <c r="B2264" s="53"/>
      <c r="I2264" s="53"/>
      <c r="U2264" s="31" t="n">
        <f aca="false">IF($B2264='設定（最初に1回）'!$C$4,N(U2263)+1,N(U2263))</f>
        <v>134</v>
      </c>
    </row>
    <row r="2265" customFormat="false" ht="15" hidden="false" customHeight="false" outlineLevel="0" collapsed="false">
      <c r="B2265" s="53"/>
      <c r="I2265" s="53"/>
      <c r="U2265" s="31" t="n">
        <f aca="false">IF($B2265='設定（最初に1回）'!$C$4,N(U2264)+1,N(U2264))</f>
        <v>134</v>
      </c>
    </row>
    <row r="2266" customFormat="false" ht="15" hidden="false" customHeight="false" outlineLevel="0" collapsed="false">
      <c r="B2266" s="53"/>
      <c r="I2266" s="53"/>
      <c r="U2266" s="31" t="n">
        <f aca="false">IF($B2266='設定（最初に1回）'!$C$4,N(U2265)+1,N(U2265))</f>
        <v>134</v>
      </c>
    </row>
    <row r="2267" customFormat="false" ht="15" hidden="false" customHeight="false" outlineLevel="0" collapsed="false">
      <c r="B2267" s="53"/>
      <c r="I2267" s="53"/>
      <c r="U2267" s="31" t="n">
        <f aca="false">IF($B2267='設定（最初に1回）'!$C$4,N(U2266)+1,N(U2266))</f>
        <v>134</v>
      </c>
    </row>
    <row r="2268" customFormat="false" ht="15" hidden="false" customHeight="false" outlineLevel="0" collapsed="false">
      <c r="B2268" s="53"/>
      <c r="I2268" s="53"/>
      <c r="U2268" s="31" t="n">
        <f aca="false">IF($B2268='設定（最初に1回）'!$C$4,N(U2267)+1,N(U2267))</f>
        <v>134</v>
      </c>
    </row>
    <row r="2269" customFormat="false" ht="15" hidden="false" customHeight="false" outlineLevel="0" collapsed="false">
      <c r="B2269" s="53"/>
      <c r="I2269" s="53"/>
      <c r="U2269" s="31" t="n">
        <f aca="false">IF($B2269='設定（最初に1回）'!$C$4,N(U2268)+1,N(U2268))</f>
        <v>134</v>
      </c>
    </row>
    <row r="2270" customFormat="false" ht="15" hidden="false" customHeight="false" outlineLevel="0" collapsed="false">
      <c r="B2270" s="53"/>
      <c r="I2270" s="53"/>
      <c r="U2270" s="31" t="n">
        <f aca="false">IF($B2270='設定（最初に1回）'!$C$4,N(U2269)+1,N(U2269))</f>
        <v>134</v>
      </c>
    </row>
    <row r="2271" customFormat="false" ht="15" hidden="false" customHeight="false" outlineLevel="0" collapsed="false">
      <c r="B2271" s="53"/>
      <c r="I2271" s="53"/>
      <c r="U2271" s="31" t="n">
        <f aca="false">IF($B2271='設定（最初に1回）'!$C$4,N(U2270)+1,N(U2270))</f>
        <v>134</v>
      </c>
    </row>
    <row r="2272" customFormat="false" ht="15" hidden="false" customHeight="false" outlineLevel="0" collapsed="false">
      <c r="B2272" s="53"/>
      <c r="I2272" s="53"/>
      <c r="U2272" s="31" t="n">
        <f aca="false">IF($B2272='設定（最初に1回）'!$C$4,N(U2271)+1,N(U2271))</f>
        <v>134</v>
      </c>
    </row>
    <row r="2273" customFormat="false" ht="15" hidden="false" customHeight="false" outlineLevel="0" collapsed="false">
      <c r="B2273" s="53"/>
      <c r="I2273" s="53"/>
      <c r="U2273" s="31" t="n">
        <f aca="false">IF($B2273='設定（最初に1回）'!$C$4,N(U2272)+1,N(U2272))</f>
        <v>134</v>
      </c>
    </row>
    <row r="2274" customFormat="false" ht="15" hidden="false" customHeight="false" outlineLevel="0" collapsed="false">
      <c r="B2274" s="53"/>
      <c r="I2274" s="53"/>
      <c r="U2274" s="31" t="n">
        <f aca="false">IF($B2274='設定（最初に1回）'!$C$4,N(U2273)+1,N(U2273))</f>
        <v>134</v>
      </c>
    </row>
    <row r="2275" customFormat="false" ht="15" hidden="false" customHeight="false" outlineLevel="0" collapsed="false">
      <c r="B2275" s="53"/>
      <c r="I2275" s="53"/>
      <c r="U2275" s="31" t="n">
        <f aca="false">IF($B2275='設定（最初に1回）'!$C$4,N(U2274)+1,N(U2274))</f>
        <v>134</v>
      </c>
    </row>
    <row r="2276" customFormat="false" ht="15" hidden="false" customHeight="false" outlineLevel="0" collapsed="false">
      <c r="B2276" s="53"/>
      <c r="I2276" s="53"/>
      <c r="U2276" s="31" t="n">
        <f aca="false">IF($B2276='設定（最初に1回）'!$C$4,N(U2275)+1,N(U2275))</f>
        <v>134</v>
      </c>
    </row>
    <row r="2277" customFormat="false" ht="15" hidden="false" customHeight="false" outlineLevel="0" collapsed="false">
      <c r="B2277" s="53"/>
      <c r="I2277" s="53"/>
      <c r="U2277" s="31" t="n">
        <f aca="false">IF($B2277='設定（最初に1回）'!$C$4,N(U2276)+1,N(U2276))</f>
        <v>134</v>
      </c>
    </row>
    <row r="2278" customFormat="false" ht="15" hidden="false" customHeight="false" outlineLevel="0" collapsed="false">
      <c r="B2278" s="53"/>
      <c r="I2278" s="53"/>
      <c r="U2278" s="31" t="n">
        <f aca="false">IF($B2278='設定（最初に1回）'!$C$4,N(U2277)+1,N(U2277))</f>
        <v>134</v>
      </c>
    </row>
    <row r="2279" customFormat="false" ht="15" hidden="false" customHeight="false" outlineLevel="0" collapsed="false">
      <c r="B2279" s="53"/>
      <c r="I2279" s="53"/>
      <c r="U2279" s="31" t="n">
        <f aca="false">IF($B2279='設定（最初に1回）'!$C$4,N(U2278)+1,N(U2278))</f>
        <v>134</v>
      </c>
    </row>
    <row r="2280" customFormat="false" ht="15" hidden="false" customHeight="false" outlineLevel="0" collapsed="false">
      <c r="B2280" s="53"/>
      <c r="I2280" s="53"/>
      <c r="U2280" s="31" t="n">
        <f aca="false">IF($B2280='設定（最初に1回）'!$C$4,N(U2279)+1,N(U2279))</f>
        <v>134</v>
      </c>
    </row>
    <row r="2281" customFormat="false" ht="15" hidden="false" customHeight="false" outlineLevel="0" collapsed="false">
      <c r="B2281" s="53"/>
      <c r="I2281" s="53"/>
      <c r="U2281" s="31" t="n">
        <f aca="false">IF($B2281='設定（最初に1回）'!$C$4,N(U2280)+1,N(U2280))</f>
        <v>134</v>
      </c>
    </row>
    <row r="2282" customFormat="false" ht="15" hidden="false" customHeight="false" outlineLevel="0" collapsed="false">
      <c r="B2282" s="53"/>
      <c r="I2282" s="53"/>
      <c r="U2282" s="31" t="n">
        <f aca="false">IF($B2282='設定（最初に1回）'!$C$4,N(U2281)+1,N(U2281))</f>
        <v>134</v>
      </c>
    </row>
    <row r="2283" customFormat="false" ht="15" hidden="false" customHeight="false" outlineLevel="0" collapsed="false">
      <c r="B2283" s="53"/>
      <c r="I2283" s="53"/>
      <c r="U2283" s="31" t="n">
        <f aca="false">IF($B2283='設定（最初に1回）'!$C$4,N(U2282)+1,N(U2282))</f>
        <v>134</v>
      </c>
    </row>
    <row r="2284" customFormat="false" ht="15" hidden="false" customHeight="false" outlineLevel="0" collapsed="false">
      <c r="B2284" s="53"/>
      <c r="I2284" s="53"/>
      <c r="U2284" s="31" t="n">
        <f aca="false">IF($B2284='設定（最初に1回）'!$C$4,N(U2283)+1,N(U2283))</f>
        <v>134</v>
      </c>
    </row>
    <row r="2285" customFormat="false" ht="15" hidden="false" customHeight="false" outlineLevel="0" collapsed="false">
      <c r="B2285" s="53"/>
      <c r="I2285" s="53"/>
      <c r="U2285" s="31" t="n">
        <f aca="false">IF($B2285='設定（最初に1回）'!$C$4,N(U2284)+1,N(U2284))</f>
        <v>134</v>
      </c>
    </row>
    <row r="2286" customFormat="false" ht="15" hidden="false" customHeight="false" outlineLevel="0" collapsed="false">
      <c r="B2286" s="53"/>
      <c r="I2286" s="53"/>
      <c r="U2286" s="31" t="n">
        <f aca="false">IF($B2286='設定（最初に1回）'!$C$4,N(U2285)+1,N(U2285))</f>
        <v>134</v>
      </c>
    </row>
    <row r="2287" customFormat="false" ht="15" hidden="false" customHeight="false" outlineLevel="0" collapsed="false">
      <c r="B2287" s="53"/>
      <c r="I2287" s="53"/>
      <c r="U2287" s="31" t="n">
        <f aca="false">IF($B2287='設定（最初に1回）'!$C$4,N(U2286)+1,N(U2286))</f>
        <v>134</v>
      </c>
    </row>
    <row r="2288" customFormat="false" ht="15" hidden="false" customHeight="false" outlineLevel="0" collapsed="false">
      <c r="B2288" s="53"/>
      <c r="I2288" s="53"/>
      <c r="U2288" s="31" t="n">
        <f aca="false">IF($B2288='設定（最初に1回）'!$C$4,N(U2287)+1,N(U2287))</f>
        <v>134</v>
      </c>
    </row>
    <row r="2289" customFormat="false" ht="15" hidden="false" customHeight="false" outlineLevel="0" collapsed="false">
      <c r="B2289" s="53"/>
      <c r="I2289" s="53"/>
      <c r="U2289" s="31" t="n">
        <f aca="false">IF($B2289='設定（最初に1回）'!$C$4,N(U2288)+1,N(U2288))</f>
        <v>134</v>
      </c>
    </row>
    <row r="2290" customFormat="false" ht="15" hidden="false" customHeight="false" outlineLevel="0" collapsed="false">
      <c r="B2290" s="53"/>
      <c r="I2290" s="53"/>
      <c r="U2290" s="31" t="n">
        <f aca="false">IF($B2290='設定（最初に1回）'!$C$4,N(U2289)+1,N(U2289))</f>
        <v>134</v>
      </c>
    </row>
    <row r="2291" customFormat="false" ht="15" hidden="false" customHeight="false" outlineLevel="0" collapsed="false">
      <c r="B2291" s="53"/>
      <c r="I2291" s="53"/>
      <c r="U2291" s="31" t="n">
        <f aca="false">IF($B2291='設定（最初に1回）'!$C$4,N(U2290)+1,N(U2290))</f>
        <v>134</v>
      </c>
    </row>
    <row r="2292" customFormat="false" ht="15" hidden="false" customHeight="false" outlineLevel="0" collapsed="false">
      <c r="B2292" s="53"/>
      <c r="I2292" s="53"/>
      <c r="U2292" s="31" t="n">
        <f aca="false">IF($B2292='設定（最初に1回）'!$C$4,N(U2291)+1,N(U2291))</f>
        <v>134</v>
      </c>
    </row>
    <row r="2293" customFormat="false" ht="15" hidden="false" customHeight="false" outlineLevel="0" collapsed="false">
      <c r="B2293" s="53"/>
      <c r="I2293" s="53"/>
      <c r="U2293" s="31" t="n">
        <f aca="false">IF($B2293='設定（最初に1回）'!$C$4,N(U2292)+1,N(U2292))</f>
        <v>134</v>
      </c>
    </row>
    <row r="2294" customFormat="false" ht="15" hidden="false" customHeight="false" outlineLevel="0" collapsed="false">
      <c r="B2294" s="53"/>
      <c r="I2294" s="53"/>
      <c r="U2294" s="31" t="n">
        <f aca="false">IF($B2294='設定（最初に1回）'!$C$4,N(U2293)+1,N(U2293))</f>
        <v>134</v>
      </c>
    </row>
    <row r="2295" customFormat="false" ht="15" hidden="false" customHeight="false" outlineLevel="0" collapsed="false">
      <c r="B2295" s="53"/>
      <c r="I2295" s="53"/>
      <c r="U2295" s="31" t="n">
        <f aca="false">IF($B2295='設定（最初に1回）'!$C$4,N(U2294)+1,N(U2294))</f>
        <v>134</v>
      </c>
    </row>
    <row r="2296" customFormat="false" ht="15" hidden="false" customHeight="false" outlineLevel="0" collapsed="false">
      <c r="B2296" s="53"/>
      <c r="I2296" s="53"/>
      <c r="U2296" s="31" t="n">
        <f aca="false">IF($B2296='設定（最初に1回）'!$C$4,N(U2295)+1,N(U2295))</f>
        <v>134</v>
      </c>
    </row>
    <row r="2297" customFormat="false" ht="15" hidden="false" customHeight="false" outlineLevel="0" collapsed="false">
      <c r="B2297" s="53"/>
      <c r="I2297" s="53"/>
      <c r="U2297" s="31" t="n">
        <f aca="false">IF($B2297='設定（最初に1回）'!$C$4,N(U2296)+1,N(U2296))</f>
        <v>134</v>
      </c>
    </row>
    <row r="2298" customFormat="false" ht="15" hidden="false" customHeight="false" outlineLevel="0" collapsed="false">
      <c r="B2298" s="53"/>
      <c r="I2298" s="53"/>
      <c r="U2298" s="31" t="n">
        <f aca="false">IF($B2298='設定（最初に1回）'!$C$4,N(U2297)+1,N(U2297))</f>
        <v>134</v>
      </c>
    </row>
    <row r="2299" customFormat="false" ht="15" hidden="false" customHeight="false" outlineLevel="0" collapsed="false">
      <c r="B2299" s="53"/>
      <c r="I2299" s="53"/>
      <c r="U2299" s="31" t="n">
        <f aca="false">IF($B2299='設定（最初に1回）'!$C$4,N(U2298)+1,N(U2298))</f>
        <v>134</v>
      </c>
    </row>
    <row r="2300" customFormat="false" ht="15" hidden="false" customHeight="false" outlineLevel="0" collapsed="false">
      <c r="B2300" s="53"/>
      <c r="I2300" s="53"/>
      <c r="U2300" s="31" t="n">
        <f aca="false">IF($B2300='設定（最初に1回）'!$C$4,N(U2299)+1,N(U2299))</f>
        <v>134</v>
      </c>
    </row>
    <row r="2301" customFormat="false" ht="15" hidden="false" customHeight="false" outlineLevel="0" collapsed="false">
      <c r="B2301" s="53"/>
      <c r="I2301" s="53"/>
      <c r="U2301" s="31" t="n">
        <f aca="false">IF($B2301='設定（最初に1回）'!$C$4,N(U2300)+1,N(U2300))</f>
        <v>134</v>
      </c>
    </row>
    <row r="2302" customFormat="false" ht="15" hidden="false" customHeight="false" outlineLevel="0" collapsed="false">
      <c r="B2302" s="53"/>
      <c r="I2302" s="53"/>
      <c r="U2302" s="31" t="n">
        <f aca="false">IF($B2302='設定（最初に1回）'!$C$4,N(U2301)+1,N(U2301))</f>
        <v>134</v>
      </c>
    </row>
    <row r="2303" customFormat="false" ht="15" hidden="false" customHeight="false" outlineLevel="0" collapsed="false">
      <c r="B2303" s="53"/>
      <c r="I2303" s="53"/>
      <c r="U2303" s="31" t="n">
        <f aca="false">IF($B2303='設定（最初に1回）'!$C$4,N(U2302)+1,N(U2302))</f>
        <v>134</v>
      </c>
    </row>
    <row r="2304" customFormat="false" ht="15" hidden="false" customHeight="false" outlineLevel="0" collapsed="false">
      <c r="B2304" s="53"/>
      <c r="I2304" s="53"/>
      <c r="U2304" s="31" t="n">
        <f aca="false">IF($B2304='設定（最初に1回）'!$C$4,N(U2303)+1,N(U2303))</f>
        <v>134</v>
      </c>
    </row>
    <row r="2305" customFormat="false" ht="15" hidden="false" customHeight="false" outlineLevel="0" collapsed="false">
      <c r="B2305" s="53"/>
      <c r="I2305" s="53"/>
      <c r="U2305" s="31" t="n">
        <f aca="false">IF($B2305='設定（最初に1回）'!$C$4,N(U2304)+1,N(U2304))</f>
        <v>134</v>
      </c>
    </row>
    <row r="2306" customFormat="false" ht="15" hidden="false" customHeight="false" outlineLevel="0" collapsed="false">
      <c r="B2306" s="53"/>
      <c r="I2306" s="53"/>
      <c r="U2306" s="31" t="n">
        <f aca="false">IF($B2306='設定（最初に1回）'!$C$4,N(U2305)+1,N(U2305))</f>
        <v>134</v>
      </c>
    </row>
    <row r="2307" customFormat="false" ht="15" hidden="false" customHeight="false" outlineLevel="0" collapsed="false">
      <c r="B2307" s="53"/>
      <c r="I2307" s="53"/>
      <c r="U2307" s="31" t="n">
        <f aca="false">IF($B2307='設定（最初に1回）'!$C$4,N(U2306)+1,N(U2306))</f>
        <v>134</v>
      </c>
    </row>
    <row r="2308" customFormat="false" ht="15" hidden="false" customHeight="false" outlineLevel="0" collapsed="false">
      <c r="B2308" s="53"/>
      <c r="I2308" s="53"/>
      <c r="U2308" s="31" t="n">
        <f aca="false">IF($B2308='設定（最初に1回）'!$C$4,N(U2307)+1,N(U2307))</f>
        <v>134</v>
      </c>
    </row>
    <row r="2309" customFormat="false" ht="15" hidden="false" customHeight="false" outlineLevel="0" collapsed="false">
      <c r="B2309" s="53"/>
      <c r="I2309" s="53"/>
      <c r="U2309" s="31" t="n">
        <f aca="false">IF($B2309='設定（最初に1回）'!$C$4,N(U2308)+1,N(U2308))</f>
        <v>134</v>
      </c>
    </row>
    <row r="2310" customFormat="false" ht="15" hidden="false" customHeight="false" outlineLevel="0" collapsed="false">
      <c r="B2310" s="53"/>
      <c r="I2310" s="53"/>
      <c r="U2310" s="31" t="n">
        <f aca="false">IF($B2310='設定（最初に1回）'!$C$4,N(U2309)+1,N(U2309))</f>
        <v>134</v>
      </c>
    </row>
    <row r="2311" customFormat="false" ht="15" hidden="false" customHeight="false" outlineLevel="0" collapsed="false">
      <c r="B2311" s="53"/>
      <c r="I2311" s="53"/>
      <c r="U2311" s="31" t="n">
        <f aca="false">IF($B2311='設定（最初に1回）'!$C$4,N(U2310)+1,N(U2310))</f>
        <v>134</v>
      </c>
    </row>
    <row r="2312" customFormat="false" ht="15" hidden="false" customHeight="false" outlineLevel="0" collapsed="false">
      <c r="B2312" s="53"/>
      <c r="I2312" s="53"/>
      <c r="U2312" s="31" t="n">
        <f aca="false">IF($B2312='設定（最初に1回）'!$C$4,N(U2311)+1,N(U2311))</f>
        <v>134</v>
      </c>
    </row>
    <row r="2313" customFormat="false" ht="15" hidden="false" customHeight="false" outlineLevel="0" collapsed="false">
      <c r="B2313" s="53"/>
      <c r="I2313" s="53"/>
      <c r="U2313" s="31" t="n">
        <f aca="false">IF($B2313='設定（最初に1回）'!$C$4,N(U2312)+1,N(U2312))</f>
        <v>134</v>
      </c>
    </row>
    <row r="2314" customFormat="false" ht="15" hidden="false" customHeight="false" outlineLevel="0" collapsed="false">
      <c r="B2314" s="53"/>
      <c r="I2314" s="53"/>
      <c r="U2314" s="31" t="n">
        <f aca="false">IF($B2314='設定（最初に1回）'!$C$4,N(U2313)+1,N(U2313))</f>
        <v>134</v>
      </c>
    </row>
    <row r="2315" customFormat="false" ht="15" hidden="false" customHeight="false" outlineLevel="0" collapsed="false">
      <c r="B2315" s="53"/>
      <c r="I2315" s="53"/>
      <c r="U2315" s="31" t="n">
        <f aca="false">IF($B2315='設定（最初に1回）'!$C$4,N(U2314)+1,N(U2314))</f>
        <v>134</v>
      </c>
    </row>
    <row r="2316" customFormat="false" ht="15" hidden="false" customHeight="false" outlineLevel="0" collapsed="false">
      <c r="B2316" s="53"/>
      <c r="I2316" s="53"/>
      <c r="U2316" s="31" t="n">
        <f aca="false">IF($B2316='設定（最初に1回）'!$C$4,N(U2315)+1,N(U2315))</f>
        <v>134</v>
      </c>
    </row>
    <row r="2317" customFormat="false" ht="15" hidden="false" customHeight="false" outlineLevel="0" collapsed="false">
      <c r="B2317" s="53"/>
      <c r="I2317" s="53"/>
      <c r="U2317" s="31" t="n">
        <f aca="false">IF($B2317='設定（最初に1回）'!$C$4,N(U2316)+1,N(U2316))</f>
        <v>134</v>
      </c>
    </row>
    <row r="2318" customFormat="false" ht="15" hidden="false" customHeight="false" outlineLevel="0" collapsed="false">
      <c r="B2318" s="53"/>
      <c r="I2318" s="53"/>
      <c r="U2318" s="31" t="n">
        <f aca="false">IF($B2318='設定（最初に1回）'!$C$4,N(U2317)+1,N(U2317))</f>
        <v>134</v>
      </c>
    </row>
    <row r="2319" customFormat="false" ht="15" hidden="false" customHeight="false" outlineLevel="0" collapsed="false">
      <c r="B2319" s="53"/>
      <c r="I2319" s="53"/>
      <c r="U2319" s="31" t="n">
        <f aca="false">IF($B2319='設定（最初に1回）'!$C$4,N(U2318)+1,N(U2318))</f>
        <v>134</v>
      </c>
    </row>
    <row r="2320" customFormat="false" ht="15" hidden="false" customHeight="false" outlineLevel="0" collapsed="false">
      <c r="B2320" s="53"/>
      <c r="I2320" s="53"/>
      <c r="U2320" s="31" t="n">
        <f aca="false">IF($B2320='設定（最初に1回）'!$C$4,N(U2319)+1,N(U2319))</f>
        <v>134</v>
      </c>
    </row>
    <row r="2321" customFormat="false" ht="15" hidden="false" customHeight="false" outlineLevel="0" collapsed="false">
      <c r="B2321" s="53"/>
      <c r="I2321" s="53"/>
      <c r="U2321" s="31" t="n">
        <f aca="false">IF($B2321='設定（最初に1回）'!$C$4,N(U2320)+1,N(U2320))</f>
        <v>134</v>
      </c>
    </row>
    <row r="2322" customFormat="false" ht="15" hidden="false" customHeight="false" outlineLevel="0" collapsed="false">
      <c r="B2322" s="53"/>
      <c r="I2322" s="53"/>
      <c r="U2322" s="31" t="n">
        <f aca="false">IF($B2322='設定（最初に1回）'!$C$4,N(U2321)+1,N(U2321))</f>
        <v>134</v>
      </c>
    </row>
    <row r="2323" customFormat="false" ht="15" hidden="false" customHeight="false" outlineLevel="0" collapsed="false">
      <c r="B2323" s="53"/>
      <c r="I2323" s="53"/>
      <c r="U2323" s="31" t="n">
        <f aca="false">IF($B2323='設定（最初に1回）'!$C$4,N(U2322)+1,N(U2322))</f>
        <v>134</v>
      </c>
    </row>
    <row r="2324" customFormat="false" ht="15" hidden="false" customHeight="false" outlineLevel="0" collapsed="false">
      <c r="B2324" s="53"/>
      <c r="I2324" s="53"/>
      <c r="U2324" s="31" t="n">
        <f aca="false">IF($B2324='設定（最初に1回）'!$C$4,N(U2323)+1,N(U2323))</f>
        <v>134</v>
      </c>
    </row>
    <row r="2325" customFormat="false" ht="15" hidden="false" customHeight="false" outlineLevel="0" collapsed="false">
      <c r="B2325" s="53"/>
      <c r="I2325" s="53"/>
      <c r="U2325" s="31" t="n">
        <f aca="false">IF($B2325='設定（最初に1回）'!$C$4,N(U2324)+1,N(U2324))</f>
        <v>134</v>
      </c>
    </row>
    <row r="2326" customFormat="false" ht="15" hidden="false" customHeight="false" outlineLevel="0" collapsed="false">
      <c r="B2326" s="53"/>
      <c r="I2326" s="53"/>
      <c r="U2326" s="31" t="n">
        <f aca="false">IF($B2326='設定（最初に1回）'!$C$4,N(U2325)+1,N(U2325))</f>
        <v>134</v>
      </c>
    </row>
    <row r="2327" customFormat="false" ht="15" hidden="false" customHeight="false" outlineLevel="0" collapsed="false">
      <c r="B2327" s="53"/>
      <c r="I2327" s="53"/>
      <c r="U2327" s="31" t="n">
        <f aca="false">IF($B2327='設定（最初に1回）'!$C$4,N(U2326)+1,N(U2326))</f>
        <v>134</v>
      </c>
    </row>
    <row r="2328" customFormat="false" ht="15" hidden="false" customHeight="false" outlineLevel="0" collapsed="false">
      <c r="B2328" s="53"/>
      <c r="I2328" s="53"/>
      <c r="U2328" s="31" t="n">
        <f aca="false">IF($B2328='設定（最初に1回）'!$C$4,N(U2327)+1,N(U2327))</f>
        <v>134</v>
      </c>
    </row>
    <row r="2329" customFormat="false" ht="15" hidden="false" customHeight="false" outlineLevel="0" collapsed="false">
      <c r="B2329" s="53"/>
      <c r="I2329" s="53"/>
      <c r="U2329" s="31" t="n">
        <f aca="false">IF($B2329='設定（最初に1回）'!$C$4,N(U2328)+1,N(U2328))</f>
        <v>134</v>
      </c>
    </row>
    <row r="2330" customFormat="false" ht="15" hidden="false" customHeight="false" outlineLevel="0" collapsed="false">
      <c r="B2330" s="53"/>
      <c r="I2330" s="53"/>
      <c r="U2330" s="31" t="n">
        <f aca="false">IF($B2330='設定（最初に1回）'!$C$4,N(U2329)+1,N(U2329))</f>
        <v>134</v>
      </c>
    </row>
    <row r="2331" customFormat="false" ht="15" hidden="false" customHeight="false" outlineLevel="0" collapsed="false">
      <c r="B2331" s="53"/>
      <c r="I2331" s="53"/>
      <c r="U2331" s="31" t="n">
        <f aca="false">IF($B2331='設定（最初に1回）'!$C$4,N(U2330)+1,N(U2330))</f>
        <v>134</v>
      </c>
    </row>
    <row r="2332" customFormat="false" ht="15" hidden="false" customHeight="false" outlineLevel="0" collapsed="false">
      <c r="B2332" s="53"/>
      <c r="I2332" s="53"/>
      <c r="U2332" s="31" t="n">
        <f aca="false">IF($B2332='設定（最初に1回）'!$C$4,N(U2331)+1,N(U2331))</f>
        <v>134</v>
      </c>
    </row>
    <row r="2333" customFormat="false" ht="15" hidden="false" customHeight="false" outlineLevel="0" collapsed="false">
      <c r="B2333" s="53"/>
      <c r="I2333" s="53"/>
      <c r="U2333" s="31" t="n">
        <f aca="false">IF($B2333='設定（最初に1回）'!$C$4,N(U2332)+1,N(U2332))</f>
        <v>134</v>
      </c>
    </row>
    <row r="2334" customFormat="false" ht="15" hidden="false" customHeight="false" outlineLevel="0" collapsed="false">
      <c r="B2334" s="53"/>
      <c r="I2334" s="53"/>
      <c r="U2334" s="31" t="n">
        <f aca="false">IF($B2334='設定（最初に1回）'!$C$4,N(U2333)+1,N(U2333))</f>
        <v>134</v>
      </c>
    </row>
    <row r="2335" customFormat="false" ht="15" hidden="false" customHeight="false" outlineLevel="0" collapsed="false">
      <c r="B2335" s="53"/>
      <c r="I2335" s="53"/>
      <c r="U2335" s="31" t="n">
        <f aca="false">IF($B2335='設定（最初に1回）'!$C$4,N(U2334)+1,N(U2334))</f>
        <v>134</v>
      </c>
    </row>
    <row r="2336" customFormat="false" ht="15" hidden="false" customHeight="false" outlineLevel="0" collapsed="false">
      <c r="B2336" s="53"/>
      <c r="I2336" s="53"/>
      <c r="U2336" s="31" t="n">
        <f aca="false">IF($B2336='設定（最初に1回）'!$C$4,N(U2335)+1,N(U2335))</f>
        <v>134</v>
      </c>
    </row>
    <row r="2337" customFormat="false" ht="15" hidden="false" customHeight="false" outlineLevel="0" collapsed="false">
      <c r="B2337" s="53"/>
      <c r="I2337" s="53"/>
      <c r="U2337" s="31" t="n">
        <f aca="false">IF($B2337='設定（最初に1回）'!$C$4,N(U2336)+1,N(U2336))</f>
        <v>134</v>
      </c>
    </row>
    <row r="2338" customFormat="false" ht="15" hidden="false" customHeight="false" outlineLevel="0" collapsed="false">
      <c r="B2338" s="53"/>
      <c r="I2338" s="53"/>
      <c r="U2338" s="31" t="n">
        <f aca="false">IF($B2338='設定（最初に1回）'!$C$4,N(U2337)+1,N(U2337))</f>
        <v>134</v>
      </c>
    </row>
    <row r="2339" customFormat="false" ht="15" hidden="false" customHeight="false" outlineLevel="0" collapsed="false">
      <c r="B2339" s="53"/>
      <c r="I2339" s="53"/>
      <c r="U2339" s="31" t="n">
        <f aca="false">IF($B2339='設定（最初に1回）'!$C$4,N(U2338)+1,N(U2338))</f>
        <v>134</v>
      </c>
    </row>
    <row r="2340" customFormat="false" ht="15" hidden="false" customHeight="false" outlineLevel="0" collapsed="false">
      <c r="B2340" s="53"/>
      <c r="I2340" s="53"/>
      <c r="U2340" s="31" t="n">
        <f aca="false">IF($B2340='設定（最初に1回）'!$C$4,N(U2339)+1,N(U2339))</f>
        <v>134</v>
      </c>
    </row>
    <row r="2341" customFormat="false" ht="15" hidden="false" customHeight="false" outlineLevel="0" collapsed="false">
      <c r="B2341" s="53"/>
      <c r="I2341" s="53"/>
      <c r="U2341" s="31" t="n">
        <f aca="false">IF($B2341='設定（最初に1回）'!$C$4,N(U2340)+1,N(U2340))</f>
        <v>134</v>
      </c>
    </row>
    <row r="2342" customFormat="false" ht="15" hidden="false" customHeight="false" outlineLevel="0" collapsed="false">
      <c r="B2342" s="53"/>
      <c r="I2342" s="53"/>
      <c r="U2342" s="31" t="n">
        <f aca="false">IF($B2342='設定（最初に1回）'!$C$4,N(U2341)+1,N(U2341))</f>
        <v>134</v>
      </c>
    </row>
    <row r="2343" customFormat="false" ht="15" hidden="false" customHeight="false" outlineLevel="0" collapsed="false">
      <c r="B2343" s="53"/>
      <c r="I2343" s="53"/>
      <c r="U2343" s="31" t="n">
        <f aca="false">IF($B2343='設定（最初に1回）'!$C$4,N(U2342)+1,N(U2342))</f>
        <v>134</v>
      </c>
    </row>
    <row r="2344" customFormat="false" ht="15" hidden="false" customHeight="false" outlineLevel="0" collapsed="false">
      <c r="B2344" s="53"/>
      <c r="I2344" s="53"/>
      <c r="U2344" s="31" t="n">
        <f aca="false">IF($B2344='設定（最初に1回）'!$C$4,N(U2343)+1,N(U2343))</f>
        <v>134</v>
      </c>
    </row>
    <row r="2345" customFormat="false" ht="15" hidden="false" customHeight="false" outlineLevel="0" collapsed="false">
      <c r="B2345" s="53"/>
      <c r="I2345" s="53"/>
      <c r="U2345" s="31" t="n">
        <f aca="false">IF($B2345='設定（最初に1回）'!$C$4,N(U2344)+1,N(U2344))</f>
        <v>134</v>
      </c>
    </row>
    <row r="2346" customFormat="false" ht="15" hidden="false" customHeight="false" outlineLevel="0" collapsed="false">
      <c r="B2346" s="53"/>
      <c r="I2346" s="53"/>
      <c r="U2346" s="31" t="n">
        <f aca="false">IF($B2346='設定（最初に1回）'!$C$4,N(U2345)+1,N(U2345))</f>
        <v>134</v>
      </c>
    </row>
    <row r="2347" customFormat="false" ht="15" hidden="false" customHeight="false" outlineLevel="0" collapsed="false">
      <c r="B2347" s="53"/>
      <c r="I2347" s="53"/>
      <c r="U2347" s="31" t="n">
        <f aca="false">IF($B2347='設定（最初に1回）'!$C$4,N(U2346)+1,N(U2346))</f>
        <v>134</v>
      </c>
    </row>
    <row r="2348" customFormat="false" ht="15" hidden="false" customHeight="false" outlineLevel="0" collapsed="false">
      <c r="B2348" s="53"/>
      <c r="I2348" s="53"/>
      <c r="U2348" s="31" t="n">
        <f aca="false">IF($B2348='設定（最初に1回）'!$C$4,N(U2347)+1,N(U2347))</f>
        <v>134</v>
      </c>
    </row>
    <row r="2349" customFormat="false" ht="15" hidden="false" customHeight="false" outlineLevel="0" collapsed="false">
      <c r="B2349" s="53"/>
      <c r="I2349" s="53"/>
      <c r="U2349" s="31" t="n">
        <f aca="false">IF($B2349='設定（最初に1回）'!$C$4,N(U2348)+1,N(U2348))</f>
        <v>134</v>
      </c>
    </row>
    <row r="2350" customFormat="false" ht="15" hidden="false" customHeight="false" outlineLevel="0" collapsed="false">
      <c r="B2350" s="53"/>
      <c r="I2350" s="53"/>
      <c r="U2350" s="31" t="n">
        <f aca="false">IF($B2350='設定（最初に1回）'!$C$4,N(U2349)+1,N(U2349))</f>
        <v>134</v>
      </c>
    </row>
    <row r="2351" customFormat="false" ht="15" hidden="false" customHeight="false" outlineLevel="0" collapsed="false">
      <c r="B2351" s="53"/>
      <c r="I2351" s="53"/>
      <c r="U2351" s="31" t="n">
        <f aca="false">IF($B2351='設定（最初に1回）'!$C$4,N(U2350)+1,N(U2350))</f>
        <v>134</v>
      </c>
    </row>
    <row r="2352" customFormat="false" ht="15" hidden="false" customHeight="false" outlineLevel="0" collapsed="false">
      <c r="B2352" s="53"/>
      <c r="I2352" s="53"/>
      <c r="U2352" s="31" t="n">
        <f aca="false">IF($B2352='設定（最初に1回）'!$C$4,N(U2351)+1,N(U2351))</f>
        <v>134</v>
      </c>
    </row>
    <row r="2353" customFormat="false" ht="15" hidden="false" customHeight="false" outlineLevel="0" collapsed="false">
      <c r="B2353" s="53"/>
      <c r="I2353" s="53"/>
      <c r="U2353" s="31" t="n">
        <f aca="false">IF($B2353='設定（最初に1回）'!$C$4,N(U2352)+1,N(U2352))</f>
        <v>134</v>
      </c>
    </row>
    <row r="2354" customFormat="false" ht="15" hidden="false" customHeight="false" outlineLevel="0" collapsed="false">
      <c r="B2354" s="53"/>
      <c r="I2354" s="53"/>
      <c r="U2354" s="31" t="n">
        <f aca="false">IF($B2354='設定（最初に1回）'!$C$4,N(U2353)+1,N(U2353))</f>
        <v>134</v>
      </c>
    </row>
    <row r="2355" customFormat="false" ht="15" hidden="false" customHeight="false" outlineLevel="0" collapsed="false">
      <c r="B2355" s="53"/>
      <c r="I2355" s="53"/>
      <c r="U2355" s="31" t="n">
        <f aca="false">IF($B2355='設定（最初に1回）'!$C$4,N(U2354)+1,N(U2354))</f>
        <v>134</v>
      </c>
    </row>
    <row r="2356" customFormat="false" ht="15" hidden="false" customHeight="false" outlineLevel="0" collapsed="false">
      <c r="B2356" s="53"/>
      <c r="I2356" s="53"/>
      <c r="U2356" s="31" t="n">
        <f aca="false">IF($B2356='設定（最初に1回）'!$C$4,N(U2355)+1,N(U2355))</f>
        <v>134</v>
      </c>
    </row>
    <row r="2357" customFormat="false" ht="15" hidden="false" customHeight="false" outlineLevel="0" collapsed="false">
      <c r="B2357" s="53"/>
      <c r="I2357" s="53"/>
      <c r="U2357" s="31" t="n">
        <f aca="false">IF($B2357='設定（最初に1回）'!$C$4,N(U2356)+1,N(U2356))</f>
        <v>134</v>
      </c>
    </row>
    <row r="2358" customFormat="false" ht="15" hidden="false" customHeight="false" outlineLevel="0" collapsed="false">
      <c r="B2358" s="53"/>
      <c r="I2358" s="53"/>
      <c r="U2358" s="31" t="n">
        <f aca="false">IF($B2358='設定（最初に1回）'!$C$4,N(U2357)+1,N(U2357))</f>
        <v>134</v>
      </c>
    </row>
    <row r="2359" customFormat="false" ht="15" hidden="false" customHeight="false" outlineLevel="0" collapsed="false">
      <c r="B2359" s="53"/>
      <c r="I2359" s="53"/>
      <c r="U2359" s="31" t="n">
        <f aca="false">IF($B2359='設定（最初に1回）'!$C$4,N(U2358)+1,N(U2358))</f>
        <v>134</v>
      </c>
    </row>
    <row r="2360" customFormat="false" ht="15" hidden="false" customHeight="false" outlineLevel="0" collapsed="false">
      <c r="B2360" s="53"/>
      <c r="I2360" s="53"/>
      <c r="U2360" s="31" t="n">
        <f aca="false">IF($B2360='設定（最初に1回）'!$C$4,N(U2359)+1,N(U2359))</f>
        <v>134</v>
      </c>
    </row>
    <row r="2361" customFormat="false" ht="15" hidden="false" customHeight="false" outlineLevel="0" collapsed="false">
      <c r="B2361" s="53"/>
      <c r="I2361" s="53"/>
      <c r="U2361" s="31" t="n">
        <f aca="false">IF($B2361='設定（最初に1回）'!$C$4,N(U2360)+1,N(U2360))</f>
        <v>134</v>
      </c>
    </row>
    <row r="2362" customFormat="false" ht="15" hidden="false" customHeight="false" outlineLevel="0" collapsed="false">
      <c r="B2362" s="53"/>
      <c r="I2362" s="53"/>
      <c r="U2362" s="31" t="n">
        <f aca="false">IF($B2362='設定（最初に1回）'!$C$4,N(U2361)+1,N(U2361))</f>
        <v>134</v>
      </c>
    </row>
    <row r="2363" customFormat="false" ht="15" hidden="false" customHeight="false" outlineLevel="0" collapsed="false">
      <c r="B2363" s="53"/>
      <c r="I2363" s="53"/>
      <c r="U2363" s="31" t="n">
        <f aca="false">IF($B2363='設定（最初に1回）'!$C$4,N(U2362)+1,N(U2362))</f>
        <v>134</v>
      </c>
    </row>
    <row r="2364" customFormat="false" ht="15" hidden="false" customHeight="false" outlineLevel="0" collapsed="false">
      <c r="B2364" s="53"/>
      <c r="I2364" s="53"/>
      <c r="U2364" s="31" t="n">
        <f aca="false">IF($B2364='設定（最初に1回）'!$C$4,N(U2363)+1,N(U2363))</f>
        <v>134</v>
      </c>
    </row>
    <row r="2365" customFormat="false" ht="15" hidden="false" customHeight="false" outlineLevel="0" collapsed="false">
      <c r="B2365" s="53"/>
      <c r="I2365" s="53"/>
      <c r="U2365" s="31" t="n">
        <f aca="false">IF($B2365='設定（最初に1回）'!$C$4,N(U2364)+1,N(U2364))</f>
        <v>134</v>
      </c>
    </row>
    <row r="2366" customFormat="false" ht="15" hidden="false" customHeight="false" outlineLevel="0" collapsed="false">
      <c r="B2366" s="53"/>
      <c r="I2366" s="53"/>
      <c r="U2366" s="31" t="n">
        <f aca="false">IF($B2366='設定（最初に1回）'!$C$4,N(U2365)+1,N(U2365))</f>
        <v>134</v>
      </c>
    </row>
    <row r="2367" customFormat="false" ht="15" hidden="false" customHeight="false" outlineLevel="0" collapsed="false">
      <c r="B2367" s="53"/>
      <c r="I2367" s="53"/>
      <c r="U2367" s="31" t="n">
        <f aca="false">IF($B2367='設定（最初に1回）'!$C$4,N(U2366)+1,N(U2366))</f>
        <v>134</v>
      </c>
    </row>
    <row r="2368" customFormat="false" ht="15" hidden="false" customHeight="false" outlineLevel="0" collapsed="false">
      <c r="B2368" s="53"/>
      <c r="I2368" s="53"/>
      <c r="U2368" s="31" t="n">
        <f aca="false">IF($B2368='設定（最初に1回）'!$C$4,N(U2367)+1,N(U2367))</f>
        <v>134</v>
      </c>
    </row>
    <row r="2369" customFormat="false" ht="15" hidden="false" customHeight="false" outlineLevel="0" collapsed="false">
      <c r="B2369" s="53"/>
      <c r="I2369" s="53"/>
      <c r="U2369" s="31" t="n">
        <f aca="false">IF($B2369='設定（最初に1回）'!$C$4,N(U2368)+1,N(U2368))</f>
        <v>134</v>
      </c>
    </row>
    <row r="2370" customFormat="false" ht="15" hidden="false" customHeight="false" outlineLevel="0" collapsed="false">
      <c r="B2370" s="53"/>
      <c r="I2370" s="53"/>
      <c r="U2370" s="31" t="n">
        <f aca="false">IF($B2370='設定（最初に1回）'!$C$4,N(U2369)+1,N(U2369))</f>
        <v>134</v>
      </c>
    </row>
    <row r="2371" customFormat="false" ht="15" hidden="false" customHeight="false" outlineLevel="0" collapsed="false">
      <c r="B2371" s="53"/>
      <c r="I2371" s="53"/>
      <c r="U2371" s="31" t="n">
        <f aca="false">IF($B2371='設定（最初に1回）'!$C$4,N(U2370)+1,N(U2370))</f>
        <v>134</v>
      </c>
    </row>
    <row r="2372" customFormat="false" ht="15" hidden="false" customHeight="false" outlineLevel="0" collapsed="false">
      <c r="B2372" s="53"/>
      <c r="I2372" s="53"/>
      <c r="U2372" s="31" t="n">
        <f aca="false">IF($B2372='設定（最初に1回）'!$C$4,N(U2371)+1,N(U2371))</f>
        <v>134</v>
      </c>
    </row>
    <row r="2373" customFormat="false" ht="15" hidden="false" customHeight="false" outlineLevel="0" collapsed="false">
      <c r="B2373" s="53"/>
      <c r="I2373" s="53"/>
      <c r="U2373" s="31" t="n">
        <f aca="false">IF($B2373='設定（最初に1回）'!$C$4,N(U2372)+1,N(U2372))</f>
        <v>134</v>
      </c>
    </row>
    <row r="2374" customFormat="false" ht="15" hidden="false" customHeight="false" outlineLevel="0" collapsed="false">
      <c r="B2374" s="53"/>
      <c r="I2374" s="53"/>
      <c r="U2374" s="31" t="n">
        <f aca="false">IF($B2374='設定（最初に1回）'!$C$4,N(U2373)+1,N(U2373))</f>
        <v>134</v>
      </c>
    </row>
    <row r="2375" customFormat="false" ht="15" hidden="false" customHeight="false" outlineLevel="0" collapsed="false">
      <c r="B2375" s="53"/>
      <c r="I2375" s="53"/>
      <c r="U2375" s="31" t="n">
        <f aca="false">IF($B2375='設定（最初に1回）'!$C$4,N(U2374)+1,N(U2374))</f>
        <v>134</v>
      </c>
    </row>
    <row r="2376" customFormat="false" ht="15" hidden="false" customHeight="false" outlineLevel="0" collapsed="false">
      <c r="B2376" s="53"/>
      <c r="I2376" s="53"/>
      <c r="U2376" s="31" t="n">
        <f aca="false">IF($B2376='設定（最初に1回）'!$C$4,N(U2375)+1,N(U2375))</f>
        <v>134</v>
      </c>
    </row>
    <row r="2377" customFormat="false" ht="15" hidden="false" customHeight="false" outlineLevel="0" collapsed="false">
      <c r="B2377" s="53"/>
      <c r="I2377" s="53"/>
      <c r="U2377" s="31" t="n">
        <f aca="false">IF($B2377='設定（最初に1回）'!$C$4,N(U2376)+1,N(U2376))</f>
        <v>134</v>
      </c>
    </row>
    <row r="2378" customFormat="false" ht="15" hidden="false" customHeight="false" outlineLevel="0" collapsed="false">
      <c r="B2378" s="53"/>
      <c r="I2378" s="53"/>
      <c r="U2378" s="31" t="n">
        <f aca="false">IF($B2378='設定（最初に1回）'!$C$4,N(U2377)+1,N(U2377))</f>
        <v>134</v>
      </c>
    </row>
    <row r="2379" customFormat="false" ht="15" hidden="false" customHeight="false" outlineLevel="0" collapsed="false">
      <c r="B2379" s="53"/>
      <c r="I2379" s="53"/>
      <c r="U2379" s="31" t="n">
        <f aca="false">IF($B2379='設定（最初に1回）'!$C$4,N(U2378)+1,N(U2378))</f>
        <v>134</v>
      </c>
    </row>
    <row r="2380" customFormat="false" ht="15" hidden="false" customHeight="false" outlineLevel="0" collapsed="false">
      <c r="B2380" s="53"/>
      <c r="I2380" s="53"/>
      <c r="U2380" s="31" t="n">
        <f aca="false">IF($B2380='設定（最初に1回）'!$C$4,N(U2379)+1,N(U2379))</f>
        <v>134</v>
      </c>
    </row>
    <row r="2381" customFormat="false" ht="15" hidden="false" customHeight="false" outlineLevel="0" collapsed="false">
      <c r="B2381" s="53"/>
      <c r="I2381" s="53"/>
      <c r="U2381" s="31" t="n">
        <f aca="false">IF($B2381='設定（最初に1回）'!$C$4,N(U2380)+1,N(U2380))</f>
        <v>134</v>
      </c>
    </row>
    <row r="2382" customFormat="false" ht="15" hidden="false" customHeight="false" outlineLevel="0" collapsed="false">
      <c r="B2382" s="53"/>
      <c r="I2382" s="53"/>
      <c r="U2382" s="31" t="n">
        <f aca="false">IF($B2382='設定（最初に1回）'!$C$4,N(U2381)+1,N(U2381))</f>
        <v>134</v>
      </c>
    </row>
    <row r="2383" customFormat="false" ht="15" hidden="false" customHeight="false" outlineLevel="0" collapsed="false">
      <c r="B2383" s="53"/>
      <c r="I2383" s="53"/>
      <c r="U2383" s="31" t="n">
        <f aca="false">IF($B2383='設定（最初に1回）'!$C$4,N(U2382)+1,N(U2382))</f>
        <v>134</v>
      </c>
    </row>
    <row r="2384" customFormat="false" ht="15" hidden="false" customHeight="false" outlineLevel="0" collapsed="false">
      <c r="B2384" s="53"/>
      <c r="I2384" s="53"/>
      <c r="U2384" s="31" t="n">
        <f aca="false">IF($B2384='設定（最初に1回）'!$C$4,N(U2383)+1,N(U2383))</f>
        <v>134</v>
      </c>
    </row>
    <row r="2385" customFormat="false" ht="15" hidden="false" customHeight="false" outlineLevel="0" collapsed="false">
      <c r="B2385" s="53"/>
      <c r="I2385" s="53"/>
      <c r="U2385" s="31" t="n">
        <f aca="false">IF($B2385='設定（最初に1回）'!$C$4,N(U2384)+1,N(U2384))</f>
        <v>134</v>
      </c>
    </row>
    <row r="2386" customFormat="false" ht="15" hidden="false" customHeight="false" outlineLevel="0" collapsed="false">
      <c r="B2386" s="53"/>
      <c r="I2386" s="53"/>
      <c r="U2386" s="31" t="n">
        <f aca="false">IF($B2386='設定（最初に1回）'!$C$4,N(U2385)+1,N(U2385))</f>
        <v>134</v>
      </c>
    </row>
    <row r="2387" customFormat="false" ht="15" hidden="false" customHeight="false" outlineLevel="0" collapsed="false">
      <c r="B2387" s="53"/>
      <c r="I2387" s="53"/>
      <c r="U2387" s="31" t="n">
        <f aca="false">IF($B2387='設定（最初に1回）'!$C$4,N(U2386)+1,N(U2386))</f>
        <v>134</v>
      </c>
    </row>
    <row r="2388" customFormat="false" ht="15" hidden="false" customHeight="false" outlineLevel="0" collapsed="false">
      <c r="B2388" s="53"/>
      <c r="I2388" s="53"/>
      <c r="U2388" s="31" t="n">
        <f aca="false">IF($B2388='設定（最初に1回）'!$C$4,N(U2387)+1,N(U2387))</f>
        <v>134</v>
      </c>
    </row>
    <row r="2389" customFormat="false" ht="15" hidden="false" customHeight="false" outlineLevel="0" collapsed="false">
      <c r="B2389" s="53"/>
      <c r="I2389" s="53"/>
      <c r="U2389" s="31" t="n">
        <f aca="false">IF($B2389='設定（最初に1回）'!$C$4,N(U2388)+1,N(U2388))</f>
        <v>134</v>
      </c>
    </row>
    <row r="2390" customFormat="false" ht="15" hidden="false" customHeight="false" outlineLevel="0" collapsed="false">
      <c r="B2390" s="53"/>
      <c r="I2390" s="53"/>
      <c r="U2390" s="31" t="n">
        <f aca="false">IF($B2390='設定（最初に1回）'!$C$4,N(U2389)+1,N(U2389))</f>
        <v>134</v>
      </c>
    </row>
    <row r="2391" customFormat="false" ht="15" hidden="false" customHeight="false" outlineLevel="0" collapsed="false">
      <c r="B2391" s="53"/>
      <c r="I2391" s="53"/>
      <c r="U2391" s="31" t="n">
        <f aca="false">IF($B2391='設定（最初に1回）'!$C$4,N(U2390)+1,N(U2390))</f>
        <v>134</v>
      </c>
    </row>
    <row r="2392" customFormat="false" ht="15" hidden="false" customHeight="false" outlineLevel="0" collapsed="false">
      <c r="B2392" s="53"/>
      <c r="I2392" s="53"/>
      <c r="U2392" s="31" t="n">
        <f aca="false">IF($B2392='設定（最初に1回）'!$C$4,N(U2391)+1,N(U2391))</f>
        <v>134</v>
      </c>
    </row>
    <row r="2393" customFormat="false" ht="15" hidden="false" customHeight="false" outlineLevel="0" collapsed="false">
      <c r="B2393" s="53"/>
      <c r="I2393" s="53"/>
      <c r="U2393" s="31" t="n">
        <f aca="false">IF($B2393='設定（最初に1回）'!$C$4,N(U2392)+1,N(U2392))</f>
        <v>134</v>
      </c>
    </row>
    <row r="2394" customFormat="false" ht="15" hidden="false" customHeight="false" outlineLevel="0" collapsed="false">
      <c r="B2394" s="53"/>
      <c r="I2394" s="53"/>
      <c r="U2394" s="31" t="n">
        <f aca="false">IF($B2394='設定（最初に1回）'!$C$4,N(U2393)+1,N(U2393))</f>
        <v>134</v>
      </c>
    </row>
    <row r="2395" customFormat="false" ht="15" hidden="false" customHeight="false" outlineLevel="0" collapsed="false">
      <c r="B2395" s="53"/>
      <c r="I2395" s="53"/>
      <c r="U2395" s="31" t="n">
        <f aca="false">IF($B2395='設定（最初に1回）'!$C$4,N(U2394)+1,N(U2394))</f>
        <v>134</v>
      </c>
    </row>
    <row r="2396" customFormat="false" ht="15" hidden="false" customHeight="false" outlineLevel="0" collapsed="false">
      <c r="B2396" s="53"/>
      <c r="I2396" s="53"/>
      <c r="U2396" s="31" t="n">
        <f aca="false">IF($B2396='設定（最初に1回）'!$C$4,N(U2395)+1,N(U2395))</f>
        <v>134</v>
      </c>
    </row>
    <row r="2397" customFormat="false" ht="15" hidden="false" customHeight="false" outlineLevel="0" collapsed="false">
      <c r="B2397" s="53"/>
      <c r="I2397" s="53"/>
      <c r="U2397" s="31" t="n">
        <f aca="false">IF($B2397='設定（最初に1回）'!$C$4,N(U2396)+1,N(U2396))</f>
        <v>134</v>
      </c>
    </row>
    <row r="2398" customFormat="false" ht="15" hidden="false" customHeight="false" outlineLevel="0" collapsed="false">
      <c r="B2398" s="53"/>
      <c r="I2398" s="53"/>
      <c r="U2398" s="31" t="n">
        <f aca="false">IF($B2398='設定（最初に1回）'!$C$4,N(U2397)+1,N(U2397))</f>
        <v>134</v>
      </c>
    </row>
    <row r="2399" customFormat="false" ht="15" hidden="false" customHeight="false" outlineLevel="0" collapsed="false">
      <c r="B2399" s="53"/>
      <c r="I2399" s="53"/>
      <c r="U2399" s="31" t="n">
        <f aca="false">IF($B2399='設定（最初に1回）'!$C$4,N(U2398)+1,N(U2398))</f>
        <v>134</v>
      </c>
    </row>
    <row r="2400" customFormat="false" ht="15" hidden="false" customHeight="false" outlineLevel="0" collapsed="false">
      <c r="B2400" s="53"/>
      <c r="I2400" s="53"/>
      <c r="U2400" s="31" t="n">
        <f aca="false">IF($B2400='設定（最初に1回）'!$C$4,N(U2399)+1,N(U2399))</f>
        <v>134</v>
      </c>
    </row>
    <row r="2401" customFormat="false" ht="15" hidden="false" customHeight="false" outlineLevel="0" collapsed="false">
      <c r="B2401" s="53"/>
      <c r="I2401" s="53"/>
      <c r="U2401" s="31" t="n">
        <f aca="false">IF($B2401='設定（最初に1回）'!$C$4,N(U2400)+1,N(U2400))</f>
        <v>134</v>
      </c>
    </row>
    <row r="2402" customFormat="false" ht="15" hidden="false" customHeight="false" outlineLevel="0" collapsed="false">
      <c r="B2402" s="53"/>
      <c r="I2402" s="53"/>
      <c r="U2402" s="31" t="n">
        <f aca="false">IF($B2402='設定（最初に1回）'!$C$4,N(U2401)+1,N(U2401))</f>
        <v>134</v>
      </c>
    </row>
    <row r="2403" customFormat="false" ht="15" hidden="false" customHeight="false" outlineLevel="0" collapsed="false">
      <c r="B2403" s="53"/>
      <c r="I2403" s="53"/>
      <c r="U2403" s="31" t="n">
        <f aca="false">IF($B2403='設定（最初に1回）'!$C$4,N(U2402)+1,N(U2402))</f>
        <v>134</v>
      </c>
    </row>
    <row r="2404" customFormat="false" ht="15" hidden="false" customHeight="false" outlineLevel="0" collapsed="false">
      <c r="B2404" s="53"/>
      <c r="I2404" s="53"/>
      <c r="U2404" s="31" t="n">
        <f aca="false">IF($B2404='設定（最初に1回）'!$C$4,N(U2403)+1,N(U2403))</f>
        <v>134</v>
      </c>
    </row>
    <row r="2405" customFormat="false" ht="15" hidden="false" customHeight="false" outlineLevel="0" collapsed="false">
      <c r="B2405" s="53"/>
      <c r="I2405" s="53"/>
      <c r="U2405" s="31" t="n">
        <f aca="false">IF($B2405='設定（最初に1回）'!$C$4,N(U2404)+1,N(U2404))</f>
        <v>134</v>
      </c>
    </row>
    <row r="2406" customFormat="false" ht="15" hidden="false" customHeight="false" outlineLevel="0" collapsed="false">
      <c r="B2406" s="53"/>
      <c r="I2406" s="53"/>
      <c r="U2406" s="31" t="n">
        <f aca="false">IF($B2406='設定（最初に1回）'!$C$4,N(U2405)+1,N(U2405))</f>
        <v>134</v>
      </c>
    </row>
    <row r="2407" customFormat="false" ht="15" hidden="false" customHeight="false" outlineLevel="0" collapsed="false">
      <c r="B2407" s="53"/>
      <c r="I2407" s="53"/>
      <c r="U2407" s="31" t="n">
        <f aca="false">IF($B2407='設定（最初に1回）'!$C$4,N(U2406)+1,N(U2406))</f>
        <v>134</v>
      </c>
    </row>
    <row r="2408" customFormat="false" ht="15" hidden="false" customHeight="false" outlineLevel="0" collapsed="false">
      <c r="B2408" s="53"/>
      <c r="I2408" s="53"/>
      <c r="U2408" s="31" t="n">
        <f aca="false">IF($B2408='設定（最初に1回）'!$C$4,N(U2407)+1,N(U2407))</f>
        <v>134</v>
      </c>
    </row>
    <row r="2409" customFormat="false" ht="15" hidden="false" customHeight="false" outlineLevel="0" collapsed="false">
      <c r="B2409" s="53"/>
      <c r="I2409" s="53"/>
      <c r="U2409" s="31" t="n">
        <f aca="false">IF($B2409='設定（最初に1回）'!$C$4,N(U2408)+1,N(U2408))</f>
        <v>134</v>
      </c>
    </row>
    <row r="2410" customFormat="false" ht="15" hidden="false" customHeight="false" outlineLevel="0" collapsed="false">
      <c r="B2410" s="53"/>
      <c r="I2410" s="53"/>
      <c r="U2410" s="31" t="n">
        <f aca="false">IF($B2410='設定（最初に1回）'!$C$4,N(U2409)+1,N(U2409))</f>
        <v>134</v>
      </c>
    </row>
    <row r="2411" customFormat="false" ht="15" hidden="false" customHeight="false" outlineLevel="0" collapsed="false">
      <c r="B2411" s="53"/>
      <c r="I2411" s="53"/>
      <c r="U2411" s="31" t="n">
        <f aca="false">IF($B2411='設定（最初に1回）'!$C$4,N(U2410)+1,N(U2410))</f>
        <v>134</v>
      </c>
    </row>
    <row r="2412" customFormat="false" ht="15" hidden="false" customHeight="false" outlineLevel="0" collapsed="false">
      <c r="B2412" s="53"/>
      <c r="I2412" s="53"/>
      <c r="U2412" s="31" t="n">
        <f aca="false">IF($B2412='設定（最初に1回）'!$C$4,N(U2411)+1,N(U2411))</f>
        <v>134</v>
      </c>
    </row>
    <row r="2413" customFormat="false" ht="15" hidden="false" customHeight="false" outlineLevel="0" collapsed="false">
      <c r="B2413" s="53"/>
      <c r="I2413" s="53"/>
      <c r="U2413" s="31" t="n">
        <f aca="false">IF($B2413='設定（最初に1回）'!$C$4,N(U2412)+1,N(U2412))</f>
        <v>134</v>
      </c>
    </row>
    <row r="2414" customFormat="false" ht="15" hidden="false" customHeight="false" outlineLevel="0" collapsed="false">
      <c r="B2414" s="53"/>
      <c r="I2414" s="53"/>
      <c r="U2414" s="31" t="n">
        <f aca="false">IF($B2414='設定（最初に1回）'!$C$4,N(U2413)+1,N(U2413))</f>
        <v>134</v>
      </c>
    </row>
    <row r="2415" customFormat="false" ht="15" hidden="false" customHeight="false" outlineLevel="0" collapsed="false">
      <c r="B2415" s="53"/>
      <c r="I2415" s="53"/>
      <c r="U2415" s="31" t="n">
        <f aca="false">IF($B2415='設定（最初に1回）'!$C$4,N(U2414)+1,N(U2414))</f>
        <v>134</v>
      </c>
    </row>
    <row r="2416" customFormat="false" ht="15" hidden="false" customHeight="false" outlineLevel="0" collapsed="false">
      <c r="B2416" s="53"/>
      <c r="I2416" s="53"/>
      <c r="U2416" s="31" t="n">
        <f aca="false">IF($B2416='設定（最初に1回）'!$C$4,N(U2415)+1,N(U2415))</f>
        <v>134</v>
      </c>
    </row>
    <row r="2417" customFormat="false" ht="15" hidden="false" customHeight="false" outlineLevel="0" collapsed="false">
      <c r="B2417" s="53"/>
      <c r="I2417" s="53"/>
      <c r="U2417" s="31" t="n">
        <f aca="false">IF($B2417='設定（最初に1回）'!$C$4,N(U2416)+1,N(U2416))</f>
        <v>134</v>
      </c>
    </row>
    <row r="2418" customFormat="false" ht="15" hidden="false" customHeight="false" outlineLevel="0" collapsed="false">
      <c r="B2418" s="53"/>
      <c r="I2418" s="53"/>
      <c r="U2418" s="31" t="n">
        <f aca="false">IF($B2418='設定（最初に1回）'!$C$4,N(U2417)+1,N(U2417))</f>
        <v>134</v>
      </c>
    </row>
    <row r="2419" customFormat="false" ht="15" hidden="false" customHeight="false" outlineLevel="0" collapsed="false">
      <c r="B2419" s="53"/>
      <c r="I2419" s="53"/>
      <c r="U2419" s="31" t="n">
        <f aca="false">IF($B2419='設定（最初に1回）'!$C$4,N(U2418)+1,N(U2418))</f>
        <v>134</v>
      </c>
    </row>
    <row r="2420" customFormat="false" ht="15" hidden="false" customHeight="false" outlineLevel="0" collapsed="false">
      <c r="B2420" s="53"/>
      <c r="I2420" s="53"/>
      <c r="U2420" s="31" t="n">
        <f aca="false">IF($B2420='設定（最初に1回）'!$C$4,N(U2419)+1,N(U2419))</f>
        <v>134</v>
      </c>
    </row>
    <row r="2421" customFormat="false" ht="15" hidden="false" customHeight="false" outlineLevel="0" collapsed="false">
      <c r="B2421" s="53"/>
      <c r="I2421" s="53"/>
      <c r="U2421" s="31" t="n">
        <f aca="false">IF($B2421='設定（最初に1回）'!$C$4,N(U2420)+1,N(U2420))</f>
        <v>134</v>
      </c>
    </row>
    <row r="2422" customFormat="false" ht="15" hidden="false" customHeight="false" outlineLevel="0" collapsed="false">
      <c r="B2422" s="53"/>
      <c r="I2422" s="53"/>
      <c r="U2422" s="31" t="n">
        <f aca="false">IF($B2422='設定（最初に1回）'!$C$4,N(U2421)+1,N(U2421))</f>
        <v>134</v>
      </c>
    </row>
    <row r="2423" customFormat="false" ht="15" hidden="false" customHeight="false" outlineLevel="0" collapsed="false">
      <c r="B2423" s="53"/>
      <c r="I2423" s="53"/>
      <c r="U2423" s="31" t="n">
        <f aca="false">IF($B2423='設定（最初に1回）'!$C$4,N(U2422)+1,N(U2422))</f>
        <v>134</v>
      </c>
    </row>
    <row r="2424" customFormat="false" ht="15" hidden="false" customHeight="false" outlineLevel="0" collapsed="false">
      <c r="B2424" s="53"/>
      <c r="I2424" s="53"/>
      <c r="U2424" s="31" t="n">
        <f aca="false">IF($B2424='設定（最初に1回）'!$C$4,N(U2423)+1,N(U2423))</f>
        <v>134</v>
      </c>
    </row>
    <row r="2425" customFormat="false" ht="15" hidden="false" customHeight="false" outlineLevel="0" collapsed="false">
      <c r="B2425" s="53"/>
      <c r="I2425" s="53"/>
      <c r="U2425" s="31" t="n">
        <f aca="false">IF($B2425='設定（最初に1回）'!$C$4,N(U2424)+1,N(U2424))</f>
        <v>134</v>
      </c>
    </row>
    <row r="2426" customFormat="false" ht="15" hidden="false" customHeight="false" outlineLevel="0" collapsed="false">
      <c r="B2426" s="53"/>
      <c r="I2426" s="53"/>
      <c r="U2426" s="31" t="n">
        <f aca="false">IF($B2426='設定（最初に1回）'!$C$4,N(U2425)+1,N(U2425))</f>
        <v>134</v>
      </c>
    </row>
    <row r="2427" customFormat="false" ht="15" hidden="false" customHeight="false" outlineLevel="0" collapsed="false">
      <c r="B2427" s="53"/>
      <c r="I2427" s="53"/>
      <c r="U2427" s="31" t="n">
        <f aca="false">IF($B2427='設定（最初に1回）'!$C$4,N(U2426)+1,N(U2426))</f>
        <v>134</v>
      </c>
    </row>
    <row r="2428" customFormat="false" ht="15" hidden="false" customHeight="false" outlineLevel="0" collapsed="false">
      <c r="B2428" s="53"/>
      <c r="I2428" s="53"/>
      <c r="U2428" s="31" t="n">
        <f aca="false">IF($B2428='設定（最初に1回）'!$C$4,N(U2427)+1,N(U2427))</f>
        <v>134</v>
      </c>
    </row>
    <row r="2429" customFormat="false" ht="15" hidden="false" customHeight="false" outlineLevel="0" collapsed="false">
      <c r="B2429" s="53"/>
      <c r="I2429" s="53"/>
      <c r="U2429" s="31" t="n">
        <f aca="false">IF($B2429='設定（最初に1回）'!$C$4,N(U2428)+1,N(U2428))</f>
        <v>134</v>
      </c>
    </row>
    <row r="2430" customFormat="false" ht="15" hidden="false" customHeight="false" outlineLevel="0" collapsed="false">
      <c r="B2430" s="53"/>
      <c r="I2430" s="53"/>
      <c r="U2430" s="31" t="n">
        <f aca="false">IF($B2430='設定（最初に1回）'!$C$4,N(U2429)+1,N(U2429))</f>
        <v>134</v>
      </c>
    </row>
    <row r="2431" customFormat="false" ht="15" hidden="false" customHeight="false" outlineLevel="0" collapsed="false">
      <c r="B2431" s="53"/>
      <c r="I2431" s="53"/>
      <c r="U2431" s="31" t="n">
        <f aca="false">IF($B2431='設定（最初に1回）'!$C$4,N(U2430)+1,N(U2430))</f>
        <v>134</v>
      </c>
    </row>
    <row r="2432" customFormat="false" ht="15" hidden="false" customHeight="false" outlineLevel="0" collapsed="false">
      <c r="B2432" s="53"/>
      <c r="I2432" s="53"/>
      <c r="U2432" s="31" t="n">
        <f aca="false">IF($B2432='設定（最初に1回）'!$C$4,N(U2431)+1,N(U2431))</f>
        <v>134</v>
      </c>
    </row>
    <row r="2433" customFormat="false" ht="15" hidden="false" customHeight="false" outlineLevel="0" collapsed="false">
      <c r="B2433" s="53"/>
      <c r="I2433" s="53"/>
      <c r="U2433" s="31" t="n">
        <f aca="false">IF($B2433='設定（最初に1回）'!$C$4,N(U2432)+1,N(U2432))</f>
        <v>134</v>
      </c>
    </row>
    <row r="2434" customFormat="false" ht="15" hidden="false" customHeight="false" outlineLevel="0" collapsed="false">
      <c r="B2434" s="53"/>
      <c r="I2434" s="53"/>
      <c r="U2434" s="31" t="n">
        <f aca="false">IF($B2434='設定（最初に1回）'!$C$4,N(U2433)+1,N(U2433))</f>
        <v>134</v>
      </c>
    </row>
    <row r="2435" customFormat="false" ht="15" hidden="false" customHeight="false" outlineLevel="0" collapsed="false">
      <c r="B2435" s="53"/>
      <c r="I2435" s="53"/>
      <c r="U2435" s="31" t="n">
        <f aca="false">IF($B2435='設定（最初に1回）'!$C$4,N(U2434)+1,N(U2434))</f>
        <v>134</v>
      </c>
    </row>
    <row r="2436" customFormat="false" ht="15" hidden="false" customHeight="false" outlineLevel="0" collapsed="false">
      <c r="B2436" s="53"/>
      <c r="I2436" s="53"/>
      <c r="U2436" s="31" t="n">
        <f aca="false">IF($B2436='設定（最初に1回）'!$C$4,N(U2435)+1,N(U2435))</f>
        <v>134</v>
      </c>
    </row>
    <row r="2437" customFormat="false" ht="15" hidden="false" customHeight="false" outlineLevel="0" collapsed="false">
      <c r="B2437" s="53"/>
      <c r="I2437" s="53"/>
      <c r="U2437" s="31" t="n">
        <f aca="false">IF($B2437='設定（最初に1回）'!$C$4,N(U2436)+1,N(U2436))</f>
        <v>134</v>
      </c>
    </row>
    <row r="2438" customFormat="false" ht="15" hidden="false" customHeight="false" outlineLevel="0" collapsed="false">
      <c r="B2438" s="53"/>
      <c r="I2438" s="53"/>
      <c r="U2438" s="31" t="n">
        <f aca="false">IF($B2438='設定（最初に1回）'!$C$4,N(U2437)+1,N(U2437))</f>
        <v>134</v>
      </c>
    </row>
    <row r="2439" customFormat="false" ht="15" hidden="false" customHeight="false" outlineLevel="0" collapsed="false">
      <c r="B2439" s="53"/>
      <c r="I2439" s="53"/>
      <c r="U2439" s="31" t="n">
        <f aca="false">IF($B2439='設定（最初に1回）'!$C$4,N(U2438)+1,N(U2438))</f>
        <v>134</v>
      </c>
    </row>
    <row r="2440" customFormat="false" ht="15" hidden="false" customHeight="false" outlineLevel="0" collapsed="false">
      <c r="B2440" s="53"/>
      <c r="I2440" s="53"/>
      <c r="U2440" s="31" t="n">
        <f aca="false">IF($B2440='設定（最初に1回）'!$C$4,N(U2439)+1,N(U2439))</f>
        <v>134</v>
      </c>
    </row>
    <row r="2441" customFormat="false" ht="15" hidden="false" customHeight="false" outlineLevel="0" collapsed="false">
      <c r="B2441" s="53"/>
      <c r="I2441" s="53"/>
      <c r="U2441" s="31" t="n">
        <f aca="false">IF($B2441='設定（最初に1回）'!$C$4,N(U2440)+1,N(U2440))</f>
        <v>134</v>
      </c>
    </row>
    <row r="2442" customFormat="false" ht="15" hidden="false" customHeight="false" outlineLevel="0" collapsed="false">
      <c r="B2442" s="53"/>
      <c r="I2442" s="53"/>
      <c r="U2442" s="31" t="n">
        <f aca="false">IF($B2442='設定（最初に1回）'!$C$4,N(U2441)+1,N(U2441))</f>
        <v>134</v>
      </c>
    </row>
    <row r="2443" customFormat="false" ht="15" hidden="false" customHeight="false" outlineLevel="0" collapsed="false">
      <c r="B2443" s="53"/>
      <c r="I2443" s="53"/>
      <c r="U2443" s="31" t="n">
        <f aca="false">IF($B2443='設定（最初に1回）'!$C$4,N(U2442)+1,N(U2442))</f>
        <v>134</v>
      </c>
    </row>
    <row r="2444" customFormat="false" ht="15" hidden="false" customHeight="false" outlineLevel="0" collapsed="false">
      <c r="B2444" s="53"/>
      <c r="I2444" s="53"/>
      <c r="U2444" s="31" t="n">
        <f aca="false">IF($B2444='設定（最初に1回）'!$C$4,N(U2443)+1,N(U2443))</f>
        <v>134</v>
      </c>
    </row>
    <row r="2445" customFormat="false" ht="15" hidden="false" customHeight="false" outlineLevel="0" collapsed="false">
      <c r="B2445" s="53"/>
      <c r="I2445" s="53"/>
      <c r="U2445" s="31" t="n">
        <f aca="false">IF($B2445='設定（最初に1回）'!$C$4,N(U2444)+1,N(U2444))</f>
        <v>134</v>
      </c>
    </row>
    <row r="2446" customFormat="false" ht="15" hidden="false" customHeight="false" outlineLevel="0" collapsed="false">
      <c r="B2446" s="53"/>
      <c r="I2446" s="53"/>
      <c r="U2446" s="31" t="n">
        <f aca="false">IF($B2446='設定（最初に1回）'!$C$4,N(U2445)+1,N(U2445))</f>
        <v>134</v>
      </c>
    </row>
    <row r="2447" customFormat="false" ht="15" hidden="false" customHeight="false" outlineLevel="0" collapsed="false">
      <c r="B2447" s="53"/>
      <c r="I2447" s="53"/>
      <c r="U2447" s="31" t="n">
        <f aca="false">IF($B2447='設定（最初に1回）'!$C$4,N(U2446)+1,N(U2446))</f>
        <v>134</v>
      </c>
    </row>
    <row r="2448" customFormat="false" ht="15" hidden="false" customHeight="false" outlineLevel="0" collapsed="false">
      <c r="B2448" s="53"/>
      <c r="I2448" s="53"/>
      <c r="U2448" s="31" t="n">
        <f aca="false">IF($B2448='設定（最初に1回）'!$C$4,N(U2447)+1,N(U2447))</f>
        <v>134</v>
      </c>
    </row>
    <row r="2449" customFormat="false" ht="15" hidden="false" customHeight="false" outlineLevel="0" collapsed="false">
      <c r="B2449" s="53"/>
      <c r="I2449" s="53"/>
      <c r="U2449" s="31" t="n">
        <f aca="false">IF($B2449='設定（最初に1回）'!$C$4,N(U2448)+1,N(U2448))</f>
        <v>134</v>
      </c>
    </row>
    <row r="2450" customFormat="false" ht="15" hidden="false" customHeight="false" outlineLevel="0" collapsed="false">
      <c r="B2450" s="53"/>
      <c r="I2450" s="53"/>
      <c r="U2450" s="31" t="n">
        <f aca="false">IF($B2450='設定（最初に1回）'!$C$4,N(U2449)+1,N(U2449))</f>
        <v>134</v>
      </c>
    </row>
    <row r="2451" customFormat="false" ht="15" hidden="false" customHeight="false" outlineLevel="0" collapsed="false">
      <c r="B2451" s="53"/>
      <c r="I2451" s="53"/>
      <c r="U2451" s="31" t="n">
        <f aca="false">IF($B2451='設定（最初に1回）'!$C$4,N(U2450)+1,N(U2450))</f>
        <v>134</v>
      </c>
    </row>
    <row r="2452" customFormat="false" ht="15" hidden="false" customHeight="false" outlineLevel="0" collapsed="false">
      <c r="B2452" s="53"/>
      <c r="I2452" s="53"/>
      <c r="U2452" s="31" t="n">
        <f aca="false">IF($B2452='設定（最初に1回）'!$C$4,N(U2451)+1,N(U2451))</f>
        <v>134</v>
      </c>
    </row>
    <row r="2453" customFormat="false" ht="15" hidden="false" customHeight="false" outlineLevel="0" collapsed="false">
      <c r="B2453" s="53"/>
      <c r="I2453" s="53"/>
      <c r="U2453" s="31" t="n">
        <f aca="false">IF($B2453='設定（最初に1回）'!$C$4,N(U2452)+1,N(U2452))</f>
        <v>134</v>
      </c>
    </row>
    <row r="2454" customFormat="false" ht="15" hidden="false" customHeight="false" outlineLevel="0" collapsed="false">
      <c r="B2454" s="53"/>
      <c r="I2454" s="53"/>
      <c r="U2454" s="31" t="n">
        <f aca="false">IF($B2454='設定（最初に1回）'!$C$4,N(U2453)+1,N(U2453))</f>
        <v>134</v>
      </c>
    </row>
    <row r="2455" customFormat="false" ht="15" hidden="false" customHeight="false" outlineLevel="0" collapsed="false">
      <c r="B2455" s="53"/>
      <c r="I2455" s="53"/>
      <c r="U2455" s="31" t="n">
        <f aca="false">IF($B2455='設定（最初に1回）'!$C$4,N(U2454)+1,N(U2454))</f>
        <v>134</v>
      </c>
    </row>
    <row r="2456" customFormat="false" ht="15" hidden="false" customHeight="false" outlineLevel="0" collapsed="false">
      <c r="B2456" s="53"/>
      <c r="I2456" s="53"/>
      <c r="U2456" s="31" t="n">
        <f aca="false">IF($B2456='設定（最初に1回）'!$C$4,N(U2455)+1,N(U2455))</f>
        <v>134</v>
      </c>
    </row>
    <row r="2457" customFormat="false" ht="15" hidden="false" customHeight="false" outlineLevel="0" collapsed="false">
      <c r="B2457" s="53"/>
      <c r="I2457" s="53"/>
      <c r="U2457" s="31" t="n">
        <f aca="false">IF($B2457='設定（最初に1回）'!$C$4,N(U2456)+1,N(U2456))</f>
        <v>134</v>
      </c>
    </row>
    <row r="2458" customFormat="false" ht="15" hidden="false" customHeight="false" outlineLevel="0" collapsed="false">
      <c r="B2458" s="53"/>
      <c r="I2458" s="53"/>
      <c r="U2458" s="31" t="n">
        <f aca="false">IF($B2458='設定（最初に1回）'!$C$4,N(U2457)+1,N(U2457))</f>
        <v>134</v>
      </c>
    </row>
    <row r="2459" customFormat="false" ht="15" hidden="false" customHeight="false" outlineLevel="0" collapsed="false">
      <c r="B2459" s="53"/>
      <c r="I2459" s="53"/>
      <c r="U2459" s="31" t="n">
        <f aca="false">IF($B2459='設定（最初に1回）'!$C$4,N(U2458)+1,N(U2458))</f>
        <v>134</v>
      </c>
    </row>
    <row r="2460" customFormat="false" ht="15" hidden="false" customHeight="false" outlineLevel="0" collapsed="false">
      <c r="B2460" s="53"/>
      <c r="I2460" s="53"/>
      <c r="U2460" s="31" t="n">
        <f aca="false">IF($B2460='設定（最初に1回）'!$C$4,N(U2459)+1,N(U2459))</f>
        <v>134</v>
      </c>
    </row>
    <row r="2461" customFormat="false" ht="15" hidden="false" customHeight="false" outlineLevel="0" collapsed="false">
      <c r="B2461" s="53"/>
      <c r="I2461" s="53"/>
      <c r="U2461" s="31" t="n">
        <f aca="false">IF($B2461='設定（最初に1回）'!$C$4,N(U2460)+1,N(U2460))</f>
        <v>134</v>
      </c>
    </row>
    <row r="2462" customFormat="false" ht="15" hidden="false" customHeight="false" outlineLevel="0" collapsed="false">
      <c r="B2462" s="53"/>
      <c r="I2462" s="53"/>
      <c r="U2462" s="31" t="n">
        <f aca="false">IF($B2462='設定（最初に1回）'!$C$4,N(U2461)+1,N(U2461))</f>
        <v>134</v>
      </c>
    </row>
    <row r="2463" customFormat="false" ht="15" hidden="false" customHeight="false" outlineLevel="0" collapsed="false">
      <c r="B2463" s="53"/>
      <c r="I2463" s="53"/>
      <c r="U2463" s="31" t="n">
        <f aca="false">IF($B2463='設定（最初に1回）'!$C$4,N(U2462)+1,N(U2462))</f>
        <v>134</v>
      </c>
    </row>
    <row r="2464" customFormat="false" ht="15" hidden="false" customHeight="false" outlineLevel="0" collapsed="false">
      <c r="B2464" s="53"/>
      <c r="I2464" s="53"/>
      <c r="U2464" s="31" t="n">
        <f aca="false">IF($B2464='設定（最初に1回）'!$C$4,N(U2463)+1,N(U2463))</f>
        <v>134</v>
      </c>
    </row>
    <row r="2465" customFormat="false" ht="15" hidden="false" customHeight="false" outlineLevel="0" collapsed="false">
      <c r="B2465" s="53"/>
      <c r="I2465" s="53"/>
      <c r="U2465" s="31" t="n">
        <f aca="false">IF($B2465='設定（最初に1回）'!$C$4,N(U2464)+1,N(U2464))</f>
        <v>134</v>
      </c>
    </row>
    <row r="2466" customFormat="false" ht="15" hidden="false" customHeight="false" outlineLevel="0" collapsed="false">
      <c r="B2466" s="53"/>
      <c r="I2466" s="53"/>
      <c r="U2466" s="31" t="n">
        <f aca="false">IF($B2466='設定（最初に1回）'!$C$4,N(U2465)+1,N(U2465))</f>
        <v>134</v>
      </c>
    </row>
    <row r="2467" customFormat="false" ht="15" hidden="false" customHeight="false" outlineLevel="0" collapsed="false">
      <c r="B2467" s="53"/>
      <c r="I2467" s="53"/>
      <c r="U2467" s="31" t="n">
        <f aca="false">IF($B2467='設定（最初に1回）'!$C$4,N(U2466)+1,N(U2466))</f>
        <v>134</v>
      </c>
    </row>
    <row r="2468" customFormat="false" ht="15" hidden="false" customHeight="false" outlineLevel="0" collapsed="false">
      <c r="B2468" s="53"/>
      <c r="I2468" s="53"/>
      <c r="U2468" s="31" t="n">
        <f aca="false">IF($B2468='設定（最初に1回）'!$C$4,N(U2467)+1,N(U2467))</f>
        <v>134</v>
      </c>
    </row>
    <row r="2469" customFormat="false" ht="15" hidden="false" customHeight="false" outlineLevel="0" collapsed="false">
      <c r="B2469" s="53"/>
      <c r="I2469" s="53"/>
      <c r="U2469" s="31" t="n">
        <f aca="false">IF($B2469='設定（最初に1回）'!$C$4,N(U2468)+1,N(U2468))</f>
        <v>134</v>
      </c>
    </row>
    <row r="2470" customFormat="false" ht="15" hidden="false" customHeight="false" outlineLevel="0" collapsed="false">
      <c r="B2470" s="53"/>
      <c r="I2470" s="53"/>
      <c r="U2470" s="31" t="n">
        <f aca="false">IF($B2470='設定（最初に1回）'!$C$4,N(U2469)+1,N(U2469))</f>
        <v>134</v>
      </c>
    </row>
    <row r="2471" customFormat="false" ht="15" hidden="false" customHeight="false" outlineLevel="0" collapsed="false">
      <c r="B2471" s="53"/>
      <c r="I2471" s="53"/>
      <c r="U2471" s="31" t="n">
        <f aca="false">IF($B2471='設定（最初に1回）'!$C$4,N(U2470)+1,N(U2470))</f>
        <v>134</v>
      </c>
    </row>
    <row r="2472" customFormat="false" ht="15" hidden="false" customHeight="false" outlineLevel="0" collapsed="false">
      <c r="B2472" s="53"/>
      <c r="I2472" s="53"/>
      <c r="U2472" s="31" t="n">
        <f aca="false">IF($B2472='設定（最初に1回）'!$C$4,N(U2471)+1,N(U2471))</f>
        <v>134</v>
      </c>
    </row>
    <row r="2473" customFormat="false" ht="15" hidden="false" customHeight="false" outlineLevel="0" collapsed="false">
      <c r="B2473" s="53"/>
      <c r="I2473" s="53"/>
      <c r="U2473" s="31" t="n">
        <f aca="false">IF($B2473='設定（最初に1回）'!$C$4,N(U2472)+1,N(U2472))</f>
        <v>134</v>
      </c>
    </row>
    <row r="2474" customFormat="false" ht="15" hidden="false" customHeight="false" outlineLevel="0" collapsed="false">
      <c r="B2474" s="53"/>
      <c r="I2474" s="53"/>
      <c r="U2474" s="31" t="n">
        <f aca="false">IF($B2474='設定（最初に1回）'!$C$4,N(U2473)+1,N(U2473))</f>
        <v>134</v>
      </c>
    </row>
    <row r="2475" customFormat="false" ht="15" hidden="false" customHeight="false" outlineLevel="0" collapsed="false">
      <c r="B2475" s="53"/>
      <c r="I2475" s="53"/>
      <c r="U2475" s="31" t="n">
        <f aca="false">IF($B2475='設定（最初に1回）'!$C$4,N(U2474)+1,N(U2474))</f>
        <v>134</v>
      </c>
    </row>
    <row r="2476" customFormat="false" ht="15" hidden="false" customHeight="false" outlineLevel="0" collapsed="false">
      <c r="B2476" s="53"/>
      <c r="I2476" s="53"/>
      <c r="U2476" s="31" t="n">
        <f aca="false">IF($B2476='設定（最初に1回）'!$C$4,N(U2475)+1,N(U2475))</f>
        <v>134</v>
      </c>
    </row>
    <row r="2477" customFormat="false" ht="15" hidden="false" customHeight="false" outlineLevel="0" collapsed="false">
      <c r="B2477" s="53"/>
      <c r="I2477" s="53"/>
      <c r="U2477" s="31" t="n">
        <f aca="false">IF($B2477='設定（最初に1回）'!$C$4,N(U2476)+1,N(U2476))</f>
        <v>134</v>
      </c>
    </row>
    <row r="2478" customFormat="false" ht="15" hidden="false" customHeight="false" outlineLevel="0" collapsed="false">
      <c r="B2478" s="53"/>
      <c r="I2478" s="53"/>
      <c r="U2478" s="31" t="n">
        <f aca="false">IF($B2478='設定（最初に1回）'!$C$4,N(U2477)+1,N(U2477))</f>
        <v>134</v>
      </c>
    </row>
    <row r="2479" customFormat="false" ht="15" hidden="false" customHeight="false" outlineLevel="0" collapsed="false">
      <c r="B2479" s="53"/>
      <c r="I2479" s="53"/>
      <c r="U2479" s="31" t="n">
        <f aca="false">IF($B2479='設定（最初に1回）'!$C$4,N(U2478)+1,N(U2478))</f>
        <v>134</v>
      </c>
    </row>
    <row r="2480" customFormat="false" ht="15" hidden="false" customHeight="false" outlineLevel="0" collapsed="false">
      <c r="B2480" s="53"/>
      <c r="I2480" s="53"/>
      <c r="U2480" s="31" t="n">
        <f aca="false">IF($B2480='設定（最初に1回）'!$C$4,N(U2479)+1,N(U2479))</f>
        <v>134</v>
      </c>
    </row>
    <row r="2481" customFormat="false" ht="15" hidden="false" customHeight="false" outlineLevel="0" collapsed="false">
      <c r="B2481" s="53"/>
      <c r="I2481" s="53"/>
      <c r="U2481" s="31" t="n">
        <f aca="false">IF($B2481='設定（最初に1回）'!$C$4,N(U2480)+1,N(U2480))</f>
        <v>134</v>
      </c>
    </row>
    <row r="2482" customFormat="false" ht="15" hidden="false" customHeight="false" outlineLevel="0" collapsed="false">
      <c r="B2482" s="53"/>
      <c r="I2482" s="53"/>
      <c r="U2482" s="31" t="n">
        <f aca="false">IF($B2482='設定（最初に1回）'!$C$4,N(U2481)+1,N(U2481))</f>
        <v>134</v>
      </c>
    </row>
    <row r="2483" customFormat="false" ht="15" hidden="false" customHeight="false" outlineLevel="0" collapsed="false">
      <c r="B2483" s="53"/>
      <c r="I2483" s="53"/>
      <c r="U2483" s="31" t="n">
        <f aca="false">IF($B2483='設定（最初に1回）'!$C$4,N(U2482)+1,N(U2482))</f>
        <v>134</v>
      </c>
    </row>
    <row r="2484" customFormat="false" ht="15" hidden="false" customHeight="false" outlineLevel="0" collapsed="false">
      <c r="B2484" s="53"/>
      <c r="I2484" s="53"/>
      <c r="U2484" s="31" t="n">
        <f aca="false">IF($B2484='設定（最初に1回）'!$C$4,N(U2483)+1,N(U2483))</f>
        <v>134</v>
      </c>
    </row>
    <row r="2485" customFormat="false" ht="15" hidden="false" customHeight="false" outlineLevel="0" collapsed="false">
      <c r="B2485" s="53"/>
      <c r="I2485" s="53"/>
      <c r="U2485" s="31" t="n">
        <f aca="false">IF($B2485='設定（最初に1回）'!$C$4,N(U2484)+1,N(U2484))</f>
        <v>134</v>
      </c>
    </row>
    <row r="2486" customFormat="false" ht="15" hidden="false" customHeight="false" outlineLevel="0" collapsed="false">
      <c r="B2486" s="53"/>
      <c r="I2486" s="53"/>
      <c r="U2486" s="31" t="n">
        <f aca="false">IF($B2486='設定（最初に1回）'!$C$4,N(U2485)+1,N(U2485))</f>
        <v>134</v>
      </c>
    </row>
    <row r="2487" customFormat="false" ht="15" hidden="false" customHeight="false" outlineLevel="0" collapsed="false">
      <c r="B2487" s="53"/>
      <c r="I2487" s="53"/>
      <c r="U2487" s="31" t="n">
        <f aca="false">IF($B2487='設定（最初に1回）'!$C$4,N(U2486)+1,N(U2486))</f>
        <v>134</v>
      </c>
    </row>
    <row r="2488" customFormat="false" ht="15" hidden="false" customHeight="false" outlineLevel="0" collapsed="false">
      <c r="B2488" s="53"/>
      <c r="I2488" s="53"/>
      <c r="U2488" s="31" t="n">
        <f aca="false">IF($B2488='設定（最初に1回）'!$C$4,N(U2487)+1,N(U2487))</f>
        <v>134</v>
      </c>
    </row>
    <row r="2489" customFormat="false" ht="15" hidden="false" customHeight="false" outlineLevel="0" collapsed="false">
      <c r="B2489" s="53"/>
      <c r="I2489" s="53"/>
      <c r="U2489" s="31" t="n">
        <f aca="false">IF($B2489='設定（最初に1回）'!$C$4,N(U2488)+1,N(U2488))</f>
        <v>134</v>
      </c>
    </row>
    <row r="2490" customFormat="false" ht="15" hidden="false" customHeight="false" outlineLevel="0" collapsed="false">
      <c r="B2490" s="53"/>
      <c r="I2490" s="53"/>
      <c r="U2490" s="31" t="n">
        <f aca="false">IF($B2490='設定（最初に1回）'!$C$4,N(U2489)+1,N(U2489))</f>
        <v>134</v>
      </c>
    </row>
    <row r="2491" customFormat="false" ht="15" hidden="false" customHeight="false" outlineLevel="0" collapsed="false">
      <c r="B2491" s="53"/>
      <c r="I2491" s="53"/>
      <c r="U2491" s="31" t="n">
        <f aca="false">IF($B2491='設定（最初に1回）'!$C$4,N(U2490)+1,N(U2490))</f>
        <v>134</v>
      </c>
    </row>
    <row r="2492" customFormat="false" ht="15" hidden="false" customHeight="false" outlineLevel="0" collapsed="false">
      <c r="B2492" s="53"/>
      <c r="I2492" s="53"/>
      <c r="U2492" s="31" t="n">
        <f aca="false">IF($B2492='設定（最初に1回）'!$C$4,N(U2491)+1,N(U2491))</f>
        <v>134</v>
      </c>
    </row>
    <row r="2493" customFormat="false" ht="15" hidden="false" customHeight="false" outlineLevel="0" collapsed="false">
      <c r="B2493" s="53"/>
      <c r="I2493" s="53"/>
      <c r="U2493" s="31" t="n">
        <f aca="false">IF($B2493='設定（最初に1回）'!$C$4,N(U2492)+1,N(U2492))</f>
        <v>134</v>
      </c>
    </row>
    <row r="2494" customFormat="false" ht="15" hidden="false" customHeight="false" outlineLevel="0" collapsed="false">
      <c r="B2494" s="53"/>
      <c r="I2494" s="53"/>
      <c r="U2494" s="31" t="n">
        <f aca="false">IF($B2494='設定（最初に1回）'!$C$4,N(U2493)+1,N(U2493))</f>
        <v>134</v>
      </c>
    </row>
    <row r="2495" customFormat="false" ht="15" hidden="false" customHeight="false" outlineLevel="0" collapsed="false">
      <c r="B2495" s="53"/>
      <c r="I2495" s="53"/>
      <c r="U2495" s="31" t="n">
        <f aca="false">IF($B2495='設定（最初に1回）'!$C$4,N(U2494)+1,N(U2494))</f>
        <v>134</v>
      </c>
    </row>
    <row r="2496" customFormat="false" ht="15" hidden="false" customHeight="false" outlineLevel="0" collapsed="false">
      <c r="B2496" s="53"/>
      <c r="I2496" s="53"/>
      <c r="U2496" s="31" t="n">
        <f aca="false">IF($B2496='設定（最初に1回）'!$C$4,N(U2495)+1,N(U2495))</f>
        <v>134</v>
      </c>
    </row>
    <row r="2497" customFormat="false" ht="15" hidden="false" customHeight="false" outlineLevel="0" collapsed="false">
      <c r="B2497" s="53"/>
      <c r="I2497" s="53"/>
      <c r="U2497" s="31" t="n">
        <f aca="false">IF($B2497='設定（最初に1回）'!$C$4,N(U2496)+1,N(U2496))</f>
        <v>134</v>
      </c>
    </row>
    <row r="2498" customFormat="false" ht="15" hidden="false" customHeight="false" outlineLevel="0" collapsed="false">
      <c r="B2498" s="53"/>
      <c r="I2498" s="53"/>
      <c r="U2498" s="31" t="n">
        <f aca="false">IF($B2498='設定（最初に1回）'!$C$4,N(U2497)+1,N(U2497))</f>
        <v>134</v>
      </c>
    </row>
    <row r="2499" customFormat="false" ht="15" hidden="false" customHeight="false" outlineLevel="0" collapsed="false">
      <c r="B2499" s="53"/>
      <c r="I2499" s="53"/>
      <c r="U2499" s="31" t="n">
        <f aca="false">IF($B2499='設定（最初に1回）'!$C$4,N(U2498)+1,N(U2498))</f>
        <v>134</v>
      </c>
    </row>
    <row r="2500" customFormat="false" ht="15" hidden="false" customHeight="false" outlineLevel="0" collapsed="false">
      <c r="B2500" s="53"/>
      <c r="I2500" s="53"/>
      <c r="U2500" s="31" t="n">
        <f aca="false">IF($B2500='設定（最初に1回）'!$C$4,N(U2499)+1,N(U2499))</f>
        <v>134</v>
      </c>
    </row>
    <row r="2501" customFormat="false" ht="15" hidden="false" customHeight="false" outlineLevel="0" collapsed="false">
      <c r="B2501" s="53"/>
      <c r="I2501" s="53"/>
      <c r="U2501" s="31" t="n">
        <f aca="false">IF($B2501='設定（最初に1回）'!$C$4,N(U2500)+1,N(U2500))</f>
        <v>134</v>
      </c>
    </row>
    <row r="2502" customFormat="false" ht="15" hidden="false" customHeight="false" outlineLevel="0" collapsed="false">
      <c r="B2502" s="53"/>
      <c r="I2502" s="53"/>
      <c r="U2502" s="31" t="n">
        <f aca="false">IF($B2502='設定（最初に1回）'!$C$4,N(U2501)+1,N(U2501))</f>
        <v>134</v>
      </c>
    </row>
    <row r="2503" customFormat="false" ht="15" hidden="false" customHeight="false" outlineLevel="0" collapsed="false">
      <c r="B2503" s="53"/>
      <c r="I2503" s="53"/>
      <c r="U2503" s="31" t="n">
        <f aca="false">IF($B2503='設定（最初に1回）'!$C$4,N(U2502)+1,N(U2502))</f>
        <v>134</v>
      </c>
    </row>
    <row r="2504" customFormat="false" ht="15" hidden="false" customHeight="false" outlineLevel="0" collapsed="false">
      <c r="B2504" s="53"/>
      <c r="I2504" s="53"/>
      <c r="U2504" s="31" t="n">
        <f aca="false">IF($B2504='設定（最初に1回）'!$C$4,N(U2503)+1,N(U2503))</f>
        <v>134</v>
      </c>
    </row>
    <row r="2505" customFormat="false" ht="15" hidden="false" customHeight="false" outlineLevel="0" collapsed="false">
      <c r="B2505" s="53"/>
      <c r="I2505" s="53"/>
      <c r="U2505" s="31" t="n">
        <f aca="false">IF($B2505='設定（最初に1回）'!$C$4,N(U2504)+1,N(U2504))</f>
        <v>134</v>
      </c>
    </row>
    <row r="2506" customFormat="false" ht="15" hidden="false" customHeight="false" outlineLevel="0" collapsed="false">
      <c r="B2506" s="53"/>
      <c r="I2506" s="53"/>
      <c r="U2506" s="31" t="n">
        <f aca="false">IF($B2506='設定（最初に1回）'!$C$4,N(U2505)+1,N(U2505))</f>
        <v>134</v>
      </c>
    </row>
    <row r="2507" customFormat="false" ht="15" hidden="false" customHeight="false" outlineLevel="0" collapsed="false">
      <c r="B2507" s="53"/>
      <c r="I2507" s="53"/>
      <c r="U2507" s="31" t="n">
        <f aca="false">IF($B2507='設定（最初に1回）'!$C$4,N(U2506)+1,N(U2506))</f>
        <v>134</v>
      </c>
    </row>
    <row r="2508" customFormat="false" ht="15" hidden="false" customHeight="false" outlineLevel="0" collapsed="false">
      <c r="B2508" s="53"/>
      <c r="I2508" s="53"/>
      <c r="U2508" s="31" t="n">
        <f aca="false">IF($B2508='設定（最初に1回）'!$C$4,N(U2507)+1,N(U2507))</f>
        <v>134</v>
      </c>
    </row>
    <row r="2509" customFormat="false" ht="15" hidden="false" customHeight="false" outlineLevel="0" collapsed="false">
      <c r="B2509" s="53"/>
      <c r="I2509" s="53"/>
      <c r="U2509" s="31" t="n">
        <f aca="false">IF($B2509='設定（最初に1回）'!$C$4,N(U2508)+1,N(U2508))</f>
        <v>134</v>
      </c>
    </row>
    <row r="2510" customFormat="false" ht="15" hidden="false" customHeight="false" outlineLevel="0" collapsed="false">
      <c r="B2510" s="53"/>
      <c r="I2510" s="53"/>
      <c r="U2510" s="31" t="n">
        <f aca="false">IF($B2510='設定（最初に1回）'!$C$4,N(U2509)+1,N(U2509))</f>
        <v>134</v>
      </c>
    </row>
    <row r="2511" customFormat="false" ht="15" hidden="false" customHeight="false" outlineLevel="0" collapsed="false">
      <c r="B2511" s="53"/>
      <c r="I2511" s="53"/>
      <c r="U2511" s="31" t="n">
        <f aca="false">IF($B2511='設定（最初に1回）'!$C$4,N(U2510)+1,N(U2510))</f>
        <v>134</v>
      </c>
    </row>
    <row r="2512" customFormat="false" ht="15" hidden="false" customHeight="false" outlineLevel="0" collapsed="false">
      <c r="B2512" s="53"/>
      <c r="I2512" s="53"/>
      <c r="U2512" s="31" t="n">
        <f aca="false">IF($B2512='設定（最初に1回）'!$C$4,N(U2511)+1,N(U2511))</f>
        <v>134</v>
      </c>
    </row>
    <row r="2513" customFormat="false" ht="15" hidden="false" customHeight="false" outlineLevel="0" collapsed="false">
      <c r="B2513" s="53"/>
      <c r="I2513" s="53"/>
      <c r="U2513" s="31" t="n">
        <f aca="false">IF($B2513='設定（最初に1回）'!$C$4,N(U2512)+1,N(U2512))</f>
        <v>134</v>
      </c>
    </row>
    <row r="2514" customFormat="false" ht="15" hidden="false" customHeight="false" outlineLevel="0" collapsed="false">
      <c r="B2514" s="53"/>
      <c r="I2514" s="53"/>
      <c r="U2514" s="31" t="n">
        <f aca="false">IF($B2514='設定（最初に1回）'!$C$4,N(U2513)+1,N(U2513))</f>
        <v>134</v>
      </c>
    </row>
    <row r="2515" customFormat="false" ht="15" hidden="false" customHeight="false" outlineLevel="0" collapsed="false">
      <c r="B2515" s="53"/>
      <c r="I2515" s="53"/>
      <c r="U2515" s="31" t="n">
        <f aca="false">IF($B2515='設定（最初に1回）'!$C$4,N(U2514)+1,N(U2514))</f>
        <v>134</v>
      </c>
    </row>
    <row r="2516" customFormat="false" ht="15" hidden="false" customHeight="false" outlineLevel="0" collapsed="false">
      <c r="B2516" s="53"/>
      <c r="I2516" s="53"/>
      <c r="U2516" s="31" t="n">
        <f aca="false">IF($B2516='設定（最初に1回）'!$C$4,N(U2515)+1,N(U2515))</f>
        <v>134</v>
      </c>
    </row>
    <row r="2517" customFormat="false" ht="15" hidden="false" customHeight="false" outlineLevel="0" collapsed="false">
      <c r="B2517" s="53"/>
      <c r="I2517" s="53"/>
      <c r="U2517" s="31" t="n">
        <f aca="false">IF($B2517='設定（最初に1回）'!$C$4,N(U2516)+1,N(U2516))</f>
        <v>134</v>
      </c>
    </row>
    <row r="2518" customFormat="false" ht="15" hidden="false" customHeight="false" outlineLevel="0" collapsed="false">
      <c r="B2518" s="53"/>
      <c r="I2518" s="53"/>
      <c r="U2518" s="31" t="n">
        <f aca="false">IF($B2518='設定（最初に1回）'!$C$4,N(U2517)+1,N(U2517))</f>
        <v>134</v>
      </c>
    </row>
    <row r="2519" customFormat="false" ht="15" hidden="false" customHeight="false" outlineLevel="0" collapsed="false">
      <c r="B2519" s="53"/>
      <c r="I2519" s="53"/>
      <c r="U2519" s="31" t="n">
        <f aca="false">IF($B2519='設定（最初に1回）'!$C$4,N(U2518)+1,N(U2518))</f>
        <v>134</v>
      </c>
    </row>
    <row r="2520" customFormat="false" ht="15" hidden="false" customHeight="false" outlineLevel="0" collapsed="false">
      <c r="B2520" s="53"/>
      <c r="I2520" s="53"/>
      <c r="U2520" s="31" t="n">
        <f aca="false">IF($B2520='設定（最初に1回）'!$C$4,N(U2519)+1,N(U2519))</f>
        <v>134</v>
      </c>
    </row>
    <row r="2521" customFormat="false" ht="15" hidden="false" customHeight="false" outlineLevel="0" collapsed="false">
      <c r="B2521" s="53"/>
      <c r="I2521" s="53"/>
      <c r="U2521" s="31" t="n">
        <f aca="false">IF($B2521='設定（最初に1回）'!$C$4,N(U2520)+1,N(U2520))</f>
        <v>134</v>
      </c>
    </row>
    <row r="2522" customFormat="false" ht="15" hidden="false" customHeight="false" outlineLevel="0" collapsed="false">
      <c r="B2522" s="53"/>
      <c r="I2522" s="53"/>
      <c r="U2522" s="31" t="n">
        <f aca="false">IF($B2522='設定（最初に1回）'!$C$4,N(U2521)+1,N(U2521))</f>
        <v>134</v>
      </c>
    </row>
    <row r="2523" customFormat="false" ht="15" hidden="false" customHeight="false" outlineLevel="0" collapsed="false">
      <c r="B2523" s="53"/>
      <c r="I2523" s="53"/>
      <c r="U2523" s="31" t="n">
        <f aca="false">IF($B2523='設定（最初に1回）'!$C$4,N(U2522)+1,N(U2522))</f>
        <v>134</v>
      </c>
    </row>
    <row r="2524" customFormat="false" ht="15" hidden="false" customHeight="false" outlineLevel="0" collapsed="false">
      <c r="B2524" s="53"/>
      <c r="I2524" s="53"/>
      <c r="U2524" s="31" t="n">
        <f aca="false">IF($B2524='設定（最初に1回）'!$C$4,N(U2523)+1,N(U2523))</f>
        <v>134</v>
      </c>
    </row>
    <row r="2525" customFormat="false" ht="15" hidden="false" customHeight="false" outlineLevel="0" collapsed="false">
      <c r="B2525" s="53"/>
      <c r="I2525" s="53"/>
      <c r="U2525" s="31" t="n">
        <f aca="false">IF($B2525='設定（最初に1回）'!$C$4,N(U2524)+1,N(U2524))</f>
        <v>134</v>
      </c>
    </row>
    <row r="2526" customFormat="false" ht="15" hidden="false" customHeight="false" outlineLevel="0" collapsed="false">
      <c r="B2526" s="53"/>
      <c r="I2526" s="53"/>
      <c r="U2526" s="31" t="n">
        <f aca="false">IF($B2526='設定（最初に1回）'!$C$4,N(U2525)+1,N(U2525))</f>
        <v>134</v>
      </c>
    </row>
    <row r="2527" customFormat="false" ht="15" hidden="false" customHeight="false" outlineLevel="0" collapsed="false">
      <c r="B2527" s="53"/>
      <c r="I2527" s="53"/>
      <c r="U2527" s="31" t="n">
        <f aca="false">IF($B2527='設定（最初に1回）'!$C$4,N(U2526)+1,N(U2526))</f>
        <v>134</v>
      </c>
    </row>
    <row r="2528" customFormat="false" ht="15" hidden="false" customHeight="false" outlineLevel="0" collapsed="false">
      <c r="B2528" s="53"/>
      <c r="I2528" s="53"/>
      <c r="U2528" s="31" t="n">
        <f aca="false">IF($B2528='設定（最初に1回）'!$C$4,N(U2527)+1,N(U2527))</f>
        <v>134</v>
      </c>
    </row>
    <row r="2529" customFormat="false" ht="15" hidden="false" customHeight="false" outlineLevel="0" collapsed="false">
      <c r="B2529" s="53"/>
      <c r="I2529" s="53"/>
      <c r="U2529" s="31" t="n">
        <f aca="false">IF($B2529='設定（最初に1回）'!$C$4,N(U2528)+1,N(U2528))</f>
        <v>134</v>
      </c>
    </row>
    <row r="2530" customFormat="false" ht="15" hidden="false" customHeight="false" outlineLevel="0" collapsed="false">
      <c r="B2530" s="53"/>
      <c r="I2530" s="53"/>
      <c r="U2530" s="31" t="n">
        <f aca="false">IF($B2530='設定（最初に1回）'!$C$4,N(U2529)+1,N(U2529))</f>
        <v>134</v>
      </c>
    </row>
    <row r="2531" customFormat="false" ht="15" hidden="false" customHeight="false" outlineLevel="0" collapsed="false">
      <c r="B2531" s="53"/>
      <c r="I2531" s="53"/>
      <c r="U2531" s="31" t="n">
        <f aca="false">IF($B2531='設定（最初に1回）'!$C$4,N(U2530)+1,N(U2530))</f>
        <v>134</v>
      </c>
    </row>
    <row r="2532" customFormat="false" ht="15" hidden="false" customHeight="false" outlineLevel="0" collapsed="false">
      <c r="B2532" s="53"/>
      <c r="I2532" s="53"/>
      <c r="U2532" s="31" t="n">
        <f aca="false">IF($B2532='設定（最初に1回）'!$C$4,N(U2531)+1,N(U2531))</f>
        <v>134</v>
      </c>
    </row>
    <row r="2533" customFormat="false" ht="15" hidden="false" customHeight="false" outlineLevel="0" collapsed="false">
      <c r="B2533" s="53"/>
      <c r="I2533" s="53"/>
      <c r="U2533" s="31" t="n">
        <f aca="false">IF($B2533='設定（最初に1回）'!$C$4,N(U2532)+1,N(U2532))</f>
        <v>134</v>
      </c>
    </row>
    <row r="2534" customFormat="false" ht="15" hidden="false" customHeight="false" outlineLevel="0" collapsed="false">
      <c r="B2534" s="53"/>
      <c r="I2534" s="53"/>
      <c r="U2534" s="31" t="n">
        <f aca="false">IF($B2534='設定（最初に1回）'!$C$4,N(U2533)+1,N(U2533))</f>
        <v>134</v>
      </c>
    </row>
    <row r="2535" customFormat="false" ht="15" hidden="false" customHeight="false" outlineLevel="0" collapsed="false">
      <c r="B2535" s="53"/>
      <c r="I2535" s="53"/>
      <c r="U2535" s="31" t="n">
        <f aca="false">IF($B2535='設定（最初に1回）'!$C$4,N(U2534)+1,N(U2534))</f>
        <v>134</v>
      </c>
    </row>
    <row r="2536" customFormat="false" ht="15" hidden="false" customHeight="false" outlineLevel="0" collapsed="false">
      <c r="B2536" s="53"/>
      <c r="I2536" s="53"/>
      <c r="U2536" s="31" t="n">
        <f aca="false">IF($B2536='設定（最初に1回）'!$C$4,N(U2535)+1,N(U2535))</f>
        <v>134</v>
      </c>
    </row>
    <row r="2537" customFormat="false" ht="15" hidden="false" customHeight="false" outlineLevel="0" collapsed="false">
      <c r="B2537" s="53"/>
      <c r="I2537" s="53"/>
      <c r="U2537" s="31" t="n">
        <f aca="false">IF($B2537='設定（最初に1回）'!$C$4,N(U2536)+1,N(U2536))</f>
        <v>134</v>
      </c>
    </row>
    <row r="2538" customFormat="false" ht="15" hidden="false" customHeight="false" outlineLevel="0" collapsed="false">
      <c r="B2538" s="53"/>
      <c r="I2538" s="53"/>
      <c r="U2538" s="31" t="n">
        <f aca="false">IF($B2538='設定（最初に1回）'!$C$4,N(U2537)+1,N(U2537))</f>
        <v>134</v>
      </c>
    </row>
    <row r="2539" customFormat="false" ht="15" hidden="false" customHeight="false" outlineLevel="0" collapsed="false">
      <c r="B2539" s="53"/>
      <c r="I2539" s="53"/>
      <c r="U2539" s="31" t="n">
        <f aca="false">IF($B2539='設定（最初に1回）'!$C$4,N(U2538)+1,N(U2538))</f>
        <v>134</v>
      </c>
    </row>
    <row r="2540" customFormat="false" ht="15" hidden="false" customHeight="false" outlineLevel="0" collapsed="false">
      <c r="B2540" s="53"/>
      <c r="I2540" s="53"/>
      <c r="U2540" s="31" t="n">
        <f aca="false">IF($B2540='設定（最初に1回）'!$C$4,N(U2539)+1,N(U2539))</f>
        <v>134</v>
      </c>
    </row>
    <row r="2541" customFormat="false" ht="15" hidden="false" customHeight="false" outlineLevel="0" collapsed="false">
      <c r="B2541" s="53"/>
      <c r="I2541" s="53"/>
      <c r="U2541" s="31" t="n">
        <f aca="false">IF($B2541='設定（最初に1回）'!$C$4,N(U2540)+1,N(U2540))</f>
        <v>134</v>
      </c>
    </row>
    <row r="2542" customFormat="false" ht="15" hidden="false" customHeight="false" outlineLevel="0" collapsed="false">
      <c r="B2542" s="53"/>
      <c r="I2542" s="53"/>
      <c r="U2542" s="31" t="n">
        <f aca="false">IF($B2542='設定（最初に1回）'!$C$4,N(U2541)+1,N(U2541))</f>
        <v>134</v>
      </c>
    </row>
    <row r="2543" customFormat="false" ht="15" hidden="false" customHeight="false" outlineLevel="0" collapsed="false">
      <c r="B2543" s="53"/>
      <c r="I2543" s="53"/>
      <c r="U2543" s="31" t="n">
        <f aca="false">IF($B2543='設定（最初に1回）'!$C$4,N(U2542)+1,N(U2542))</f>
        <v>134</v>
      </c>
    </row>
    <row r="2544" customFormat="false" ht="15" hidden="false" customHeight="false" outlineLevel="0" collapsed="false">
      <c r="B2544" s="53"/>
      <c r="I2544" s="53"/>
      <c r="U2544" s="31" t="n">
        <f aca="false">IF($B2544='設定（最初に1回）'!$C$4,N(U2543)+1,N(U2543))</f>
        <v>134</v>
      </c>
    </row>
    <row r="2545" customFormat="false" ht="15" hidden="false" customHeight="false" outlineLevel="0" collapsed="false">
      <c r="B2545" s="53"/>
      <c r="I2545" s="53"/>
      <c r="U2545" s="31" t="n">
        <f aca="false">IF($B2545='設定（最初に1回）'!$C$4,N(U2544)+1,N(U2544))</f>
        <v>134</v>
      </c>
    </row>
    <row r="2546" customFormat="false" ht="15" hidden="false" customHeight="false" outlineLevel="0" collapsed="false">
      <c r="B2546" s="53"/>
      <c r="I2546" s="53"/>
      <c r="U2546" s="31" t="n">
        <f aca="false">IF($B2546='設定（最初に1回）'!$C$4,N(U2545)+1,N(U2545))</f>
        <v>134</v>
      </c>
    </row>
    <row r="2547" customFormat="false" ht="15" hidden="false" customHeight="false" outlineLevel="0" collapsed="false">
      <c r="B2547" s="53"/>
      <c r="I2547" s="53"/>
      <c r="U2547" s="31" t="n">
        <f aca="false">IF($B2547='設定（最初に1回）'!$C$4,N(U2546)+1,N(U2546))</f>
        <v>134</v>
      </c>
    </row>
    <row r="2548" customFormat="false" ht="15" hidden="false" customHeight="false" outlineLevel="0" collapsed="false">
      <c r="B2548" s="53"/>
      <c r="I2548" s="53"/>
      <c r="U2548" s="31" t="n">
        <f aca="false">IF($B2548='設定（最初に1回）'!$C$4,N(U2547)+1,N(U2547))</f>
        <v>134</v>
      </c>
    </row>
    <row r="2549" customFormat="false" ht="15" hidden="false" customHeight="false" outlineLevel="0" collapsed="false">
      <c r="B2549" s="53"/>
      <c r="I2549" s="53"/>
      <c r="U2549" s="31" t="n">
        <f aca="false">IF($B2549='設定（最初に1回）'!$C$4,N(U2548)+1,N(U2548))</f>
        <v>134</v>
      </c>
    </row>
    <row r="2550" customFormat="false" ht="15" hidden="false" customHeight="false" outlineLevel="0" collapsed="false">
      <c r="B2550" s="53"/>
      <c r="I2550" s="53"/>
      <c r="U2550" s="31" t="n">
        <f aca="false">IF($B2550='設定（最初に1回）'!$C$4,N(U2549)+1,N(U2549))</f>
        <v>134</v>
      </c>
    </row>
    <row r="2551" customFormat="false" ht="15" hidden="false" customHeight="false" outlineLevel="0" collapsed="false">
      <c r="B2551" s="53"/>
      <c r="I2551" s="53"/>
      <c r="U2551" s="31" t="n">
        <f aca="false">IF($B2551='設定（最初に1回）'!$C$4,N(U2550)+1,N(U2550))</f>
        <v>134</v>
      </c>
    </row>
    <row r="2552" customFormat="false" ht="15" hidden="false" customHeight="false" outlineLevel="0" collapsed="false">
      <c r="B2552" s="53"/>
      <c r="I2552" s="53"/>
      <c r="U2552" s="31" t="n">
        <f aca="false">IF($B2552='設定（最初に1回）'!$C$4,N(U2551)+1,N(U2551))</f>
        <v>134</v>
      </c>
    </row>
    <row r="2553" customFormat="false" ht="15" hidden="false" customHeight="false" outlineLevel="0" collapsed="false">
      <c r="B2553" s="53"/>
      <c r="I2553" s="53"/>
      <c r="U2553" s="31" t="n">
        <f aca="false">IF($B2553='設定（最初に1回）'!$C$4,N(U2552)+1,N(U2552))</f>
        <v>134</v>
      </c>
    </row>
    <row r="2554" customFormat="false" ht="15" hidden="false" customHeight="false" outlineLevel="0" collapsed="false">
      <c r="B2554" s="53"/>
      <c r="I2554" s="53"/>
      <c r="U2554" s="31" t="n">
        <f aca="false">IF($B2554='設定（最初に1回）'!$C$4,N(U2553)+1,N(U2553))</f>
        <v>134</v>
      </c>
    </row>
    <row r="2555" customFormat="false" ht="15" hidden="false" customHeight="false" outlineLevel="0" collapsed="false">
      <c r="B2555" s="53"/>
      <c r="I2555" s="53"/>
      <c r="U2555" s="31" t="n">
        <f aca="false">IF($B2555='設定（最初に1回）'!$C$4,N(U2554)+1,N(U2554))</f>
        <v>134</v>
      </c>
    </row>
    <row r="2556" customFormat="false" ht="15" hidden="false" customHeight="false" outlineLevel="0" collapsed="false">
      <c r="B2556" s="53"/>
      <c r="I2556" s="53"/>
      <c r="U2556" s="31" t="n">
        <f aca="false">IF($B2556='設定（最初に1回）'!$C$4,N(U2555)+1,N(U2555))</f>
        <v>134</v>
      </c>
    </row>
    <row r="2557" customFormat="false" ht="15" hidden="false" customHeight="false" outlineLevel="0" collapsed="false">
      <c r="B2557" s="53"/>
      <c r="I2557" s="53"/>
      <c r="U2557" s="31" t="n">
        <f aca="false">IF($B2557='設定（最初に1回）'!$C$4,N(U2556)+1,N(U2556))</f>
        <v>134</v>
      </c>
    </row>
    <row r="2558" customFormat="false" ht="15" hidden="false" customHeight="false" outlineLevel="0" collapsed="false">
      <c r="B2558" s="53"/>
      <c r="I2558" s="53"/>
      <c r="U2558" s="31" t="n">
        <f aca="false">IF($B2558='設定（最初に1回）'!$C$4,N(U2557)+1,N(U2557))</f>
        <v>134</v>
      </c>
    </row>
    <row r="2559" customFormat="false" ht="15" hidden="false" customHeight="false" outlineLevel="0" collapsed="false">
      <c r="B2559" s="53"/>
      <c r="I2559" s="53"/>
      <c r="U2559" s="31" t="n">
        <f aca="false">IF($B2559='設定（最初に1回）'!$C$4,N(U2558)+1,N(U2558))</f>
        <v>134</v>
      </c>
    </row>
    <row r="2560" customFormat="false" ht="15" hidden="false" customHeight="false" outlineLevel="0" collapsed="false">
      <c r="B2560" s="53"/>
      <c r="I2560" s="53"/>
      <c r="U2560" s="31" t="n">
        <f aca="false">IF($B2560='設定（最初に1回）'!$C$4,N(U2559)+1,N(U2559))</f>
        <v>134</v>
      </c>
    </row>
    <row r="2561" customFormat="false" ht="15" hidden="false" customHeight="false" outlineLevel="0" collapsed="false">
      <c r="B2561" s="53"/>
      <c r="I2561" s="53"/>
      <c r="U2561" s="31" t="n">
        <f aca="false">IF($B2561='設定（最初に1回）'!$C$4,N(U2560)+1,N(U2560))</f>
        <v>134</v>
      </c>
    </row>
    <row r="2562" customFormat="false" ht="15" hidden="false" customHeight="false" outlineLevel="0" collapsed="false">
      <c r="B2562" s="53"/>
      <c r="I2562" s="53"/>
      <c r="U2562" s="31" t="n">
        <f aca="false">IF($B2562='設定（最初に1回）'!$C$4,N(U2561)+1,N(U2561))</f>
        <v>134</v>
      </c>
    </row>
    <row r="2563" customFormat="false" ht="15" hidden="false" customHeight="false" outlineLevel="0" collapsed="false">
      <c r="B2563" s="53"/>
      <c r="I2563" s="53"/>
      <c r="U2563" s="31" t="n">
        <f aca="false">IF($B2563='設定（最初に1回）'!$C$4,N(U2562)+1,N(U2562))</f>
        <v>134</v>
      </c>
    </row>
    <row r="2564" customFormat="false" ht="15" hidden="false" customHeight="false" outlineLevel="0" collapsed="false">
      <c r="B2564" s="53"/>
      <c r="I2564" s="53"/>
      <c r="U2564" s="31" t="n">
        <f aca="false">IF($B2564='設定（最初に1回）'!$C$4,N(U2563)+1,N(U2563))</f>
        <v>134</v>
      </c>
    </row>
    <row r="2565" customFormat="false" ht="15" hidden="false" customHeight="false" outlineLevel="0" collapsed="false">
      <c r="B2565" s="53"/>
      <c r="I2565" s="53"/>
      <c r="U2565" s="31" t="n">
        <f aca="false">IF($B2565='設定（最初に1回）'!$C$4,N(U2564)+1,N(U2564))</f>
        <v>134</v>
      </c>
    </row>
    <row r="2566" customFormat="false" ht="15" hidden="false" customHeight="false" outlineLevel="0" collapsed="false">
      <c r="B2566" s="53"/>
      <c r="I2566" s="53"/>
      <c r="U2566" s="31" t="n">
        <f aca="false">IF($B2566='設定（最初に1回）'!$C$4,N(U2565)+1,N(U2565))</f>
        <v>134</v>
      </c>
    </row>
    <row r="2567" customFormat="false" ht="15" hidden="false" customHeight="false" outlineLevel="0" collapsed="false">
      <c r="B2567" s="53"/>
      <c r="I2567" s="53"/>
      <c r="U2567" s="31" t="n">
        <f aca="false">IF($B2567='設定（最初に1回）'!$C$4,N(U2566)+1,N(U2566))</f>
        <v>134</v>
      </c>
    </row>
    <row r="2568" customFormat="false" ht="15" hidden="false" customHeight="false" outlineLevel="0" collapsed="false">
      <c r="B2568" s="53"/>
      <c r="I2568" s="53"/>
      <c r="U2568" s="31" t="n">
        <f aca="false">IF($B2568='設定（最初に1回）'!$C$4,N(U2567)+1,N(U2567))</f>
        <v>134</v>
      </c>
    </row>
    <row r="2569" customFormat="false" ht="15" hidden="false" customHeight="false" outlineLevel="0" collapsed="false">
      <c r="B2569" s="53"/>
      <c r="I2569" s="53"/>
      <c r="U2569" s="31" t="n">
        <f aca="false">IF($B2569='設定（最初に1回）'!$C$4,N(U2568)+1,N(U2568))</f>
        <v>134</v>
      </c>
    </row>
    <row r="2570" customFormat="false" ht="15" hidden="false" customHeight="false" outlineLevel="0" collapsed="false">
      <c r="B2570" s="53"/>
      <c r="I2570" s="53"/>
      <c r="U2570" s="31" t="n">
        <f aca="false">IF($B2570='設定（最初に1回）'!$C$4,N(U2569)+1,N(U2569))</f>
        <v>134</v>
      </c>
    </row>
    <row r="2571" customFormat="false" ht="15" hidden="false" customHeight="false" outlineLevel="0" collapsed="false">
      <c r="B2571" s="53"/>
      <c r="I2571" s="53"/>
      <c r="U2571" s="31" t="n">
        <f aca="false">IF($B2571='設定（最初に1回）'!$C$4,N(U2570)+1,N(U2570))</f>
        <v>134</v>
      </c>
    </row>
    <row r="2572" customFormat="false" ht="15" hidden="false" customHeight="false" outlineLevel="0" collapsed="false">
      <c r="B2572" s="53"/>
      <c r="I2572" s="53"/>
      <c r="U2572" s="31" t="n">
        <f aca="false">IF($B2572='設定（最初に1回）'!$C$4,N(U2571)+1,N(U2571))</f>
        <v>134</v>
      </c>
    </row>
    <row r="2573" customFormat="false" ht="15" hidden="false" customHeight="false" outlineLevel="0" collapsed="false">
      <c r="B2573" s="53"/>
      <c r="I2573" s="53"/>
      <c r="U2573" s="31" t="n">
        <f aca="false">IF($B2573='設定（最初に1回）'!$C$4,N(U2572)+1,N(U2572))</f>
        <v>134</v>
      </c>
    </row>
    <row r="2574" customFormat="false" ht="15" hidden="false" customHeight="false" outlineLevel="0" collapsed="false">
      <c r="B2574" s="53"/>
      <c r="I2574" s="53"/>
      <c r="U2574" s="31" t="n">
        <f aca="false">IF($B2574='設定（最初に1回）'!$C$4,N(U2573)+1,N(U2573))</f>
        <v>134</v>
      </c>
    </row>
    <row r="2575" customFormat="false" ht="15" hidden="false" customHeight="false" outlineLevel="0" collapsed="false">
      <c r="B2575" s="53"/>
      <c r="I2575" s="53"/>
      <c r="U2575" s="31" t="n">
        <f aca="false">IF($B2575='設定（最初に1回）'!$C$4,N(U2574)+1,N(U2574))</f>
        <v>134</v>
      </c>
    </row>
    <row r="2576" customFormat="false" ht="15" hidden="false" customHeight="false" outlineLevel="0" collapsed="false">
      <c r="B2576" s="53"/>
      <c r="I2576" s="53"/>
      <c r="U2576" s="31" t="n">
        <f aca="false">IF($B2576='設定（最初に1回）'!$C$4,N(U2575)+1,N(U2575))</f>
        <v>134</v>
      </c>
    </row>
    <row r="2577" customFormat="false" ht="15" hidden="false" customHeight="false" outlineLevel="0" collapsed="false">
      <c r="B2577" s="53"/>
      <c r="I2577" s="53"/>
      <c r="U2577" s="31" t="n">
        <f aca="false">IF($B2577='設定（最初に1回）'!$C$4,N(U2576)+1,N(U2576))</f>
        <v>134</v>
      </c>
    </row>
    <row r="2578" customFormat="false" ht="15" hidden="false" customHeight="false" outlineLevel="0" collapsed="false">
      <c r="B2578" s="53"/>
      <c r="I2578" s="53"/>
      <c r="U2578" s="31" t="n">
        <f aca="false">IF($B2578='設定（最初に1回）'!$C$4,N(U2577)+1,N(U2577))</f>
        <v>134</v>
      </c>
    </row>
    <row r="2579" customFormat="false" ht="15" hidden="false" customHeight="false" outlineLevel="0" collapsed="false">
      <c r="B2579" s="53"/>
      <c r="I2579" s="53"/>
      <c r="U2579" s="31" t="n">
        <f aca="false">IF($B2579='設定（最初に1回）'!$C$4,N(U2578)+1,N(U2578))</f>
        <v>134</v>
      </c>
    </row>
    <row r="2580" customFormat="false" ht="15" hidden="false" customHeight="false" outlineLevel="0" collapsed="false">
      <c r="B2580" s="53"/>
      <c r="I2580" s="53"/>
      <c r="U2580" s="31" t="n">
        <f aca="false">IF($B2580='設定（最初に1回）'!$C$4,N(U2579)+1,N(U2579))</f>
        <v>134</v>
      </c>
    </row>
    <row r="2581" customFormat="false" ht="15" hidden="false" customHeight="false" outlineLevel="0" collapsed="false">
      <c r="B2581" s="53"/>
      <c r="I2581" s="53"/>
      <c r="U2581" s="31" t="n">
        <f aca="false">IF($B2581='設定（最初に1回）'!$C$4,N(U2580)+1,N(U2580))</f>
        <v>134</v>
      </c>
    </row>
    <row r="2582" customFormat="false" ht="15" hidden="false" customHeight="false" outlineLevel="0" collapsed="false">
      <c r="B2582" s="53"/>
      <c r="I2582" s="53"/>
      <c r="U2582" s="31" t="n">
        <f aca="false">IF($B2582='設定（最初に1回）'!$C$4,N(U2581)+1,N(U2581))</f>
        <v>134</v>
      </c>
    </row>
    <row r="2583" customFormat="false" ht="15" hidden="false" customHeight="false" outlineLevel="0" collapsed="false">
      <c r="B2583" s="53"/>
      <c r="I2583" s="53"/>
      <c r="U2583" s="31" t="n">
        <f aca="false">IF($B2583='設定（最初に1回）'!$C$4,N(U2582)+1,N(U2582))</f>
        <v>134</v>
      </c>
    </row>
    <row r="2584" customFormat="false" ht="15" hidden="false" customHeight="false" outlineLevel="0" collapsed="false">
      <c r="B2584" s="53"/>
      <c r="I2584" s="53"/>
      <c r="U2584" s="31" t="n">
        <f aca="false">IF($B2584='設定（最初に1回）'!$C$4,N(U2583)+1,N(U2583))</f>
        <v>134</v>
      </c>
    </row>
    <row r="2585" customFormat="false" ht="15" hidden="false" customHeight="false" outlineLevel="0" collapsed="false">
      <c r="B2585" s="53"/>
      <c r="I2585" s="53"/>
      <c r="U2585" s="31" t="n">
        <f aca="false">IF($B2585='設定（最初に1回）'!$C$4,N(U2584)+1,N(U2584))</f>
        <v>134</v>
      </c>
    </row>
    <row r="2586" customFormat="false" ht="15" hidden="false" customHeight="false" outlineLevel="0" collapsed="false">
      <c r="B2586" s="53"/>
      <c r="I2586" s="53"/>
      <c r="U2586" s="31" t="n">
        <f aca="false">IF($B2586='設定（最初に1回）'!$C$4,N(U2585)+1,N(U2585))</f>
        <v>134</v>
      </c>
    </row>
    <row r="2587" customFormat="false" ht="15" hidden="false" customHeight="false" outlineLevel="0" collapsed="false">
      <c r="B2587" s="53"/>
      <c r="I2587" s="53"/>
      <c r="U2587" s="31" t="n">
        <f aca="false">IF($B2587='設定（最初に1回）'!$C$4,N(U2586)+1,N(U2586))</f>
        <v>134</v>
      </c>
    </row>
    <row r="2588" customFormat="false" ht="15" hidden="false" customHeight="false" outlineLevel="0" collapsed="false">
      <c r="B2588" s="53"/>
      <c r="I2588" s="53"/>
      <c r="U2588" s="31" t="n">
        <f aca="false">IF($B2588='設定（最初に1回）'!$C$4,N(U2587)+1,N(U2587))</f>
        <v>134</v>
      </c>
    </row>
    <row r="2589" customFormat="false" ht="15" hidden="false" customHeight="false" outlineLevel="0" collapsed="false">
      <c r="B2589" s="53"/>
      <c r="I2589" s="53"/>
      <c r="U2589" s="31" t="n">
        <f aca="false">IF($B2589='設定（最初に1回）'!$C$4,N(U2588)+1,N(U2588))</f>
        <v>134</v>
      </c>
    </row>
    <row r="2590" customFormat="false" ht="15" hidden="false" customHeight="false" outlineLevel="0" collapsed="false">
      <c r="B2590" s="53"/>
      <c r="I2590" s="53"/>
      <c r="U2590" s="31" t="n">
        <f aca="false">IF($B2590='設定（最初に1回）'!$C$4,N(U2589)+1,N(U2589))</f>
        <v>134</v>
      </c>
    </row>
    <row r="2591" customFormat="false" ht="15" hidden="false" customHeight="false" outlineLevel="0" collapsed="false">
      <c r="B2591" s="53"/>
      <c r="I2591" s="53"/>
      <c r="U2591" s="31" t="n">
        <f aca="false">IF($B2591='設定（最初に1回）'!$C$4,N(U2590)+1,N(U2590))</f>
        <v>134</v>
      </c>
    </row>
    <row r="2592" customFormat="false" ht="15" hidden="false" customHeight="false" outlineLevel="0" collapsed="false">
      <c r="B2592" s="53"/>
      <c r="I2592" s="53"/>
      <c r="U2592" s="31" t="n">
        <f aca="false">IF($B2592='設定（最初に1回）'!$C$4,N(U2591)+1,N(U2591))</f>
        <v>134</v>
      </c>
    </row>
    <row r="2593" customFormat="false" ht="15" hidden="false" customHeight="false" outlineLevel="0" collapsed="false">
      <c r="B2593" s="53"/>
      <c r="I2593" s="53"/>
      <c r="U2593" s="31" t="n">
        <f aca="false">IF($B2593='設定（最初に1回）'!$C$4,N(U2592)+1,N(U2592))</f>
        <v>134</v>
      </c>
    </row>
    <row r="2594" customFormat="false" ht="15" hidden="false" customHeight="false" outlineLevel="0" collapsed="false">
      <c r="B2594" s="53"/>
      <c r="I2594" s="53"/>
      <c r="U2594" s="31" t="n">
        <f aca="false">IF($B2594='設定（最初に1回）'!$C$4,N(U2593)+1,N(U2593))</f>
        <v>134</v>
      </c>
    </row>
    <row r="2595" customFormat="false" ht="15" hidden="false" customHeight="false" outlineLevel="0" collapsed="false">
      <c r="B2595" s="53"/>
      <c r="I2595" s="53"/>
      <c r="U2595" s="31" t="n">
        <f aca="false">IF($B2595='設定（最初に1回）'!$C$4,N(U2594)+1,N(U2594))</f>
        <v>134</v>
      </c>
    </row>
    <row r="2596" customFormat="false" ht="15" hidden="false" customHeight="false" outlineLevel="0" collapsed="false">
      <c r="B2596" s="53"/>
      <c r="I2596" s="53"/>
      <c r="U2596" s="31" t="n">
        <f aca="false">IF($B2596='設定（最初に1回）'!$C$4,N(U2595)+1,N(U2595))</f>
        <v>134</v>
      </c>
    </row>
    <row r="2597" customFormat="false" ht="15" hidden="false" customHeight="false" outlineLevel="0" collapsed="false">
      <c r="B2597" s="53"/>
      <c r="I2597" s="53"/>
      <c r="U2597" s="31" t="n">
        <f aca="false">IF($B2597='設定（最初に1回）'!$C$4,N(U2596)+1,N(U2596))</f>
        <v>134</v>
      </c>
    </row>
    <row r="2598" customFormat="false" ht="15" hidden="false" customHeight="false" outlineLevel="0" collapsed="false">
      <c r="B2598" s="53"/>
      <c r="I2598" s="53"/>
      <c r="U2598" s="31" t="n">
        <f aca="false">IF($B2598='設定（最初に1回）'!$C$4,N(U2597)+1,N(U2597))</f>
        <v>134</v>
      </c>
    </row>
    <row r="2599" customFormat="false" ht="15" hidden="false" customHeight="false" outlineLevel="0" collapsed="false">
      <c r="B2599" s="53"/>
      <c r="I2599" s="53"/>
      <c r="U2599" s="31" t="n">
        <f aca="false">IF($B2599='設定（最初に1回）'!$C$4,N(U2598)+1,N(U2598))</f>
        <v>134</v>
      </c>
    </row>
    <row r="2600" customFormat="false" ht="15" hidden="false" customHeight="false" outlineLevel="0" collapsed="false">
      <c r="B2600" s="53"/>
      <c r="I2600" s="53"/>
      <c r="U2600" s="31" t="n">
        <f aca="false">IF($B2600='設定（最初に1回）'!$C$4,N(U2599)+1,N(U2599))</f>
        <v>134</v>
      </c>
    </row>
    <row r="2601" customFormat="false" ht="15" hidden="false" customHeight="false" outlineLevel="0" collapsed="false">
      <c r="B2601" s="53"/>
      <c r="I2601" s="53"/>
      <c r="U2601" s="31" t="n">
        <f aca="false">IF($B2601='設定（最初に1回）'!$C$4,N(U2600)+1,N(U2600))</f>
        <v>134</v>
      </c>
    </row>
    <row r="2602" customFormat="false" ht="15" hidden="false" customHeight="false" outlineLevel="0" collapsed="false">
      <c r="B2602" s="53"/>
      <c r="I2602" s="53"/>
      <c r="U2602" s="31" t="n">
        <f aca="false">IF($B2602='設定（最初に1回）'!$C$4,N(U2601)+1,N(U2601))</f>
        <v>134</v>
      </c>
    </row>
    <row r="2603" customFormat="false" ht="15" hidden="false" customHeight="false" outlineLevel="0" collapsed="false">
      <c r="B2603" s="53"/>
      <c r="I2603" s="53"/>
      <c r="U2603" s="31" t="n">
        <f aca="false">IF($B2603='設定（最初に1回）'!$C$4,N(U2602)+1,N(U2602))</f>
        <v>134</v>
      </c>
    </row>
    <row r="2604" customFormat="false" ht="15" hidden="false" customHeight="false" outlineLevel="0" collapsed="false">
      <c r="B2604" s="53"/>
      <c r="I2604" s="53"/>
      <c r="U2604" s="31" t="n">
        <f aca="false">IF($B2604='設定（最初に1回）'!$C$4,N(U2603)+1,N(U2603))</f>
        <v>134</v>
      </c>
    </row>
    <row r="2605" customFormat="false" ht="15" hidden="false" customHeight="false" outlineLevel="0" collapsed="false">
      <c r="B2605" s="53"/>
      <c r="I2605" s="53"/>
      <c r="U2605" s="31" t="n">
        <f aca="false">IF($B2605='設定（最初に1回）'!$C$4,N(U2604)+1,N(U2604))</f>
        <v>134</v>
      </c>
    </row>
    <row r="2606" customFormat="false" ht="15" hidden="false" customHeight="false" outlineLevel="0" collapsed="false">
      <c r="B2606" s="53"/>
      <c r="I2606" s="53"/>
      <c r="U2606" s="31" t="n">
        <f aca="false">IF($B2606='設定（最初に1回）'!$C$4,N(U2605)+1,N(U2605))</f>
        <v>134</v>
      </c>
    </row>
    <row r="2607" customFormat="false" ht="15" hidden="false" customHeight="false" outlineLevel="0" collapsed="false">
      <c r="B2607" s="53"/>
      <c r="I2607" s="53"/>
      <c r="U2607" s="31" t="n">
        <f aca="false">IF($B2607='設定（最初に1回）'!$C$4,N(U2606)+1,N(U2606))</f>
        <v>134</v>
      </c>
    </row>
    <row r="2608" customFormat="false" ht="15" hidden="false" customHeight="false" outlineLevel="0" collapsed="false">
      <c r="B2608" s="53"/>
      <c r="I2608" s="53"/>
      <c r="U2608" s="31" t="n">
        <f aca="false">IF($B2608='設定（最初に1回）'!$C$4,N(U2607)+1,N(U2607))</f>
        <v>134</v>
      </c>
    </row>
    <row r="2609" customFormat="false" ht="15" hidden="false" customHeight="false" outlineLevel="0" collapsed="false">
      <c r="B2609" s="53"/>
      <c r="I2609" s="53"/>
      <c r="U2609" s="31" t="n">
        <f aca="false">IF($B2609='設定（最初に1回）'!$C$4,N(U2608)+1,N(U2608))</f>
        <v>134</v>
      </c>
    </row>
    <row r="2610" customFormat="false" ht="15" hidden="false" customHeight="false" outlineLevel="0" collapsed="false">
      <c r="B2610" s="53"/>
      <c r="I2610" s="53"/>
      <c r="U2610" s="31" t="n">
        <f aca="false">IF($B2610='設定（最初に1回）'!$C$4,N(U2609)+1,N(U2609))</f>
        <v>134</v>
      </c>
    </row>
    <row r="2611" customFormat="false" ht="15" hidden="false" customHeight="false" outlineLevel="0" collapsed="false">
      <c r="B2611" s="53"/>
      <c r="I2611" s="53"/>
      <c r="U2611" s="31" t="n">
        <f aca="false">IF($B2611='設定（最初に1回）'!$C$4,N(U2610)+1,N(U2610))</f>
        <v>134</v>
      </c>
    </row>
    <row r="2612" customFormat="false" ht="15" hidden="false" customHeight="false" outlineLevel="0" collapsed="false">
      <c r="B2612" s="53"/>
      <c r="I2612" s="53"/>
      <c r="U2612" s="31" t="n">
        <f aca="false">IF($B2612='設定（最初に1回）'!$C$4,N(U2611)+1,N(U2611))</f>
        <v>134</v>
      </c>
    </row>
    <row r="2613" customFormat="false" ht="15" hidden="false" customHeight="false" outlineLevel="0" collapsed="false">
      <c r="B2613" s="53"/>
      <c r="I2613" s="53"/>
      <c r="U2613" s="31" t="n">
        <f aca="false">IF($B2613='設定（最初に1回）'!$C$4,N(U2612)+1,N(U2612))</f>
        <v>134</v>
      </c>
    </row>
    <row r="2614" customFormat="false" ht="15" hidden="false" customHeight="false" outlineLevel="0" collapsed="false">
      <c r="B2614" s="53"/>
      <c r="I2614" s="53"/>
      <c r="U2614" s="31" t="n">
        <f aca="false">IF($B2614='設定（最初に1回）'!$C$4,N(U2613)+1,N(U2613))</f>
        <v>134</v>
      </c>
    </row>
    <row r="2615" customFormat="false" ht="15" hidden="false" customHeight="false" outlineLevel="0" collapsed="false">
      <c r="B2615" s="53"/>
      <c r="I2615" s="53"/>
      <c r="U2615" s="31" t="n">
        <f aca="false">IF($B2615='設定（最初に1回）'!$C$4,N(U2614)+1,N(U2614))</f>
        <v>134</v>
      </c>
    </row>
    <row r="2616" customFormat="false" ht="15" hidden="false" customHeight="false" outlineLevel="0" collapsed="false">
      <c r="B2616" s="53"/>
      <c r="I2616" s="53"/>
      <c r="U2616" s="31" t="n">
        <f aca="false">IF($B2616='設定（最初に1回）'!$C$4,N(U2615)+1,N(U2615))</f>
        <v>134</v>
      </c>
    </row>
    <row r="2617" customFormat="false" ht="15" hidden="false" customHeight="false" outlineLevel="0" collapsed="false">
      <c r="B2617" s="53"/>
      <c r="I2617" s="53"/>
      <c r="U2617" s="31" t="n">
        <f aca="false">IF($B2617='設定（最初に1回）'!$C$4,N(U2616)+1,N(U2616))</f>
        <v>134</v>
      </c>
    </row>
    <row r="2618" customFormat="false" ht="15" hidden="false" customHeight="false" outlineLevel="0" collapsed="false">
      <c r="B2618" s="53"/>
      <c r="I2618" s="53"/>
      <c r="U2618" s="31" t="n">
        <f aca="false">IF($B2618='設定（最初に1回）'!$C$4,N(U2617)+1,N(U2617))</f>
        <v>134</v>
      </c>
    </row>
    <row r="2619" customFormat="false" ht="15" hidden="false" customHeight="false" outlineLevel="0" collapsed="false">
      <c r="B2619" s="53"/>
      <c r="I2619" s="53"/>
      <c r="U2619" s="31" t="n">
        <f aca="false">IF($B2619='設定（最初に1回）'!$C$4,N(U2618)+1,N(U2618))</f>
        <v>134</v>
      </c>
    </row>
    <row r="2620" customFormat="false" ht="15" hidden="false" customHeight="false" outlineLevel="0" collapsed="false">
      <c r="B2620" s="53"/>
      <c r="I2620" s="53"/>
      <c r="U2620" s="31" t="n">
        <f aca="false">IF($B2620='設定（最初に1回）'!$C$4,N(U2619)+1,N(U2619))</f>
        <v>134</v>
      </c>
    </row>
    <row r="2621" customFormat="false" ht="15" hidden="false" customHeight="false" outlineLevel="0" collapsed="false">
      <c r="B2621" s="53"/>
      <c r="I2621" s="53"/>
      <c r="U2621" s="31" t="n">
        <f aca="false">IF($B2621='設定（最初に1回）'!$C$4,N(U2620)+1,N(U2620))</f>
        <v>134</v>
      </c>
    </row>
    <row r="2622" customFormat="false" ht="15" hidden="false" customHeight="false" outlineLevel="0" collapsed="false">
      <c r="B2622" s="53"/>
      <c r="I2622" s="53"/>
      <c r="U2622" s="31" t="n">
        <f aca="false">IF($B2622='設定（最初に1回）'!$C$4,N(U2621)+1,N(U2621))</f>
        <v>134</v>
      </c>
    </row>
    <row r="2623" customFormat="false" ht="15" hidden="false" customHeight="false" outlineLevel="0" collapsed="false">
      <c r="B2623" s="53"/>
      <c r="I2623" s="53"/>
      <c r="U2623" s="31" t="n">
        <f aca="false">IF($B2623='設定（最初に1回）'!$C$4,N(U2622)+1,N(U2622))</f>
        <v>134</v>
      </c>
    </row>
    <row r="2624" customFormat="false" ht="15" hidden="false" customHeight="false" outlineLevel="0" collapsed="false">
      <c r="B2624" s="53"/>
      <c r="I2624" s="53"/>
      <c r="U2624" s="31" t="n">
        <f aca="false">IF($B2624='設定（最初に1回）'!$C$4,N(U2623)+1,N(U2623))</f>
        <v>134</v>
      </c>
    </row>
    <row r="2625" customFormat="false" ht="15" hidden="false" customHeight="false" outlineLevel="0" collapsed="false">
      <c r="B2625" s="53"/>
      <c r="I2625" s="53"/>
      <c r="U2625" s="31" t="n">
        <f aca="false">IF($B2625='設定（最初に1回）'!$C$4,N(U2624)+1,N(U2624))</f>
        <v>134</v>
      </c>
    </row>
    <row r="2626" customFormat="false" ht="15" hidden="false" customHeight="false" outlineLevel="0" collapsed="false">
      <c r="B2626" s="53"/>
      <c r="I2626" s="53"/>
      <c r="U2626" s="31" t="n">
        <f aca="false">IF($B2626='設定（最初に1回）'!$C$4,N(U2625)+1,N(U2625))</f>
        <v>134</v>
      </c>
    </row>
    <row r="2627" customFormat="false" ht="15" hidden="false" customHeight="false" outlineLevel="0" collapsed="false">
      <c r="B2627" s="53"/>
      <c r="I2627" s="53"/>
      <c r="U2627" s="31" t="n">
        <f aca="false">IF($B2627='設定（最初に1回）'!$C$4,N(U2626)+1,N(U2626))</f>
        <v>134</v>
      </c>
    </row>
    <row r="2628" customFormat="false" ht="15" hidden="false" customHeight="false" outlineLevel="0" collapsed="false">
      <c r="B2628" s="53"/>
      <c r="I2628" s="53"/>
      <c r="U2628" s="31" t="n">
        <f aca="false">IF($B2628='設定（最初に1回）'!$C$4,N(U2627)+1,N(U2627))</f>
        <v>134</v>
      </c>
    </row>
    <row r="2629" customFormat="false" ht="15" hidden="false" customHeight="false" outlineLevel="0" collapsed="false">
      <c r="B2629" s="53"/>
      <c r="I2629" s="53"/>
      <c r="U2629" s="31" t="n">
        <f aca="false">IF($B2629='設定（最初に1回）'!$C$4,N(U2628)+1,N(U2628))</f>
        <v>134</v>
      </c>
    </row>
    <row r="2630" customFormat="false" ht="15" hidden="false" customHeight="false" outlineLevel="0" collapsed="false">
      <c r="B2630" s="53"/>
      <c r="I2630" s="53"/>
      <c r="U2630" s="31" t="n">
        <f aca="false">IF($B2630='設定（最初に1回）'!$C$4,N(U2629)+1,N(U2629))</f>
        <v>134</v>
      </c>
    </row>
    <row r="2631" customFormat="false" ht="15" hidden="false" customHeight="false" outlineLevel="0" collapsed="false">
      <c r="B2631" s="53"/>
      <c r="I2631" s="53"/>
      <c r="U2631" s="31" t="n">
        <f aca="false">IF($B2631='設定（最初に1回）'!$C$4,N(U2630)+1,N(U2630))</f>
        <v>134</v>
      </c>
    </row>
    <row r="2632" customFormat="false" ht="15" hidden="false" customHeight="false" outlineLevel="0" collapsed="false">
      <c r="B2632" s="53"/>
      <c r="I2632" s="53"/>
      <c r="U2632" s="31" t="n">
        <f aca="false">IF($B2632='設定（最初に1回）'!$C$4,N(U2631)+1,N(U2631))</f>
        <v>134</v>
      </c>
    </row>
    <row r="2633" customFormat="false" ht="15" hidden="false" customHeight="false" outlineLevel="0" collapsed="false">
      <c r="B2633" s="53"/>
      <c r="I2633" s="53"/>
      <c r="U2633" s="31" t="n">
        <f aca="false">IF($B2633='設定（最初に1回）'!$C$4,N(U2632)+1,N(U2632))</f>
        <v>134</v>
      </c>
    </row>
    <row r="2634" customFormat="false" ht="15" hidden="false" customHeight="false" outlineLevel="0" collapsed="false">
      <c r="B2634" s="53"/>
      <c r="I2634" s="53"/>
      <c r="U2634" s="31" t="n">
        <f aca="false">IF($B2634='設定（最初に1回）'!$C$4,N(U2633)+1,N(U2633))</f>
        <v>134</v>
      </c>
    </row>
    <row r="2635" customFormat="false" ht="15" hidden="false" customHeight="false" outlineLevel="0" collapsed="false">
      <c r="B2635" s="53"/>
      <c r="I2635" s="53"/>
      <c r="U2635" s="31" t="n">
        <f aca="false">IF($B2635='設定（最初に1回）'!$C$4,N(U2634)+1,N(U2634))</f>
        <v>134</v>
      </c>
    </row>
    <row r="2636" customFormat="false" ht="15" hidden="false" customHeight="false" outlineLevel="0" collapsed="false">
      <c r="B2636" s="53"/>
      <c r="I2636" s="53"/>
      <c r="U2636" s="31" t="n">
        <f aca="false">IF($B2636='設定（最初に1回）'!$C$4,N(U2635)+1,N(U2635))</f>
        <v>134</v>
      </c>
    </row>
    <row r="2637" customFormat="false" ht="15" hidden="false" customHeight="false" outlineLevel="0" collapsed="false">
      <c r="B2637" s="53"/>
      <c r="I2637" s="53"/>
      <c r="U2637" s="31" t="n">
        <f aca="false">IF($B2637='設定（最初に1回）'!$C$4,N(U2636)+1,N(U2636))</f>
        <v>134</v>
      </c>
    </row>
    <row r="2638" customFormat="false" ht="15" hidden="false" customHeight="false" outlineLevel="0" collapsed="false">
      <c r="B2638" s="53"/>
      <c r="I2638" s="53"/>
      <c r="U2638" s="31" t="n">
        <f aca="false">IF($B2638='設定（最初に1回）'!$C$4,N(U2637)+1,N(U2637))</f>
        <v>134</v>
      </c>
    </row>
    <row r="2639" customFormat="false" ht="15" hidden="false" customHeight="false" outlineLevel="0" collapsed="false">
      <c r="B2639" s="53"/>
      <c r="I2639" s="53"/>
      <c r="U2639" s="31" t="n">
        <f aca="false">IF($B2639='設定（最初に1回）'!$C$4,N(U2638)+1,N(U2638))</f>
        <v>134</v>
      </c>
    </row>
    <row r="2640" customFormat="false" ht="15" hidden="false" customHeight="false" outlineLevel="0" collapsed="false">
      <c r="B2640" s="53"/>
      <c r="I2640" s="53"/>
      <c r="U2640" s="31" t="n">
        <f aca="false">IF($B2640='設定（最初に1回）'!$C$4,N(U2639)+1,N(U2639))</f>
        <v>134</v>
      </c>
    </row>
    <row r="2641" customFormat="false" ht="15" hidden="false" customHeight="false" outlineLevel="0" collapsed="false">
      <c r="B2641" s="53"/>
      <c r="I2641" s="53"/>
      <c r="U2641" s="31" t="n">
        <f aca="false">IF($B2641='設定（最初に1回）'!$C$4,N(U2640)+1,N(U2640))</f>
        <v>134</v>
      </c>
    </row>
    <row r="2642" customFormat="false" ht="15" hidden="false" customHeight="false" outlineLevel="0" collapsed="false">
      <c r="B2642" s="53"/>
      <c r="I2642" s="53"/>
      <c r="U2642" s="31" t="n">
        <f aca="false">IF($B2642='設定（最初に1回）'!$C$4,N(U2641)+1,N(U2641))</f>
        <v>134</v>
      </c>
    </row>
    <row r="2643" customFormat="false" ht="15" hidden="false" customHeight="false" outlineLevel="0" collapsed="false">
      <c r="B2643" s="53"/>
      <c r="I2643" s="53"/>
      <c r="U2643" s="31" t="n">
        <f aca="false">IF($B2643='設定（最初に1回）'!$C$4,N(U2642)+1,N(U2642))</f>
        <v>134</v>
      </c>
    </row>
    <row r="2644" customFormat="false" ht="15" hidden="false" customHeight="false" outlineLevel="0" collapsed="false">
      <c r="B2644" s="53"/>
      <c r="I2644" s="53"/>
      <c r="U2644" s="31" t="n">
        <f aca="false">IF($B2644='設定（最初に1回）'!$C$4,N(U2643)+1,N(U2643))</f>
        <v>134</v>
      </c>
    </row>
    <row r="2645" customFormat="false" ht="15" hidden="false" customHeight="false" outlineLevel="0" collapsed="false">
      <c r="B2645" s="53"/>
      <c r="I2645" s="53"/>
      <c r="U2645" s="31" t="n">
        <f aca="false">IF($B2645='設定（最初に1回）'!$C$4,N(U2644)+1,N(U2644))</f>
        <v>134</v>
      </c>
    </row>
    <row r="2646" customFormat="false" ht="15" hidden="false" customHeight="false" outlineLevel="0" collapsed="false">
      <c r="B2646" s="53"/>
      <c r="I2646" s="53"/>
      <c r="U2646" s="31" t="n">
        <f aca="false">IF($B2646='設定（最初に1回）'!$C$4,N(U2645)+1,N(U2645))</f>
        <v>134</v>
      </c>
    </row>
    <row r="2647" customFormat="false" ht="15" hidden="false" customHeight="false" outlineLevel="0" collapsed="false">
      <c r="B2647" s="53"/>
      <c r="I2647" s="53"/>
      <c r="U2647" s="31" t="n">
        <f aca="false">IF($B2647='設定（最初に1回）'!$C$4,N(U2646)+1,N(U2646))</f>
        <v>134</v>
      </c>
    </row>
    <row r="2648" customFormat="false" ht="15" hidden="false" customHeight="false" outlineLevel="0" collapsed="false">
      <c r="B2648" s="53"/>
      <c r="I2648" s="53"/>
      <c r="U2648" s="31" t="n">
        <f aca="false">IF($B2648='設定（最初に1回）'!$C$4,N(U2647)+1,N(U2647))</f>
        <v>134</v>
      </c>
    </row>
    <row r="2649" customFormat="false" ht="15" hidden="false" customHeight="false" outlineLevel="0" collapsed="false">
      <c r="B2649" s="53"/>
      <c r="I2649" s="53"/>
      <c r="U2649" s="31" t="n">
        <f aca="false">IF($B2649='設定（最初に1回）'!$C$4,N(U2648)+1,N(U2648))</f>
        <v>134</v>
      </c>
    </row>
    <row r="2650" customFormat="false" ht="15" hidden="false" customHeight="false" outlineLevel="0" collapsed="false">
      <c r="B2650" s="53"/>
      <c r="I2650" s="53"/>
      <c r="U2650" s="31" t="n">
        <f aca="false">IF($B2650='設定（最初に1回）'!$C$4,N(U2649)+1,N(U2649))</f>
        <v>134</v>
      </c>
    </row>
    <row r="2651" customFormat="false" ht="15" hidden="false" customHeight="false" outlineLevel="0" collapsed="false">
      <c r="B2651" s="53"/>
      <c r="I2651" s="53"/>
      <c r="U2651" s="31" t="n">
        <f aca="false">IF($B2651='設定（最初に1回）'!$C$4,N(U2650)+1,N(U2650))</f>
        <v>134</v>
      </c>
    </row>
    <row r="2652" customFormat="false" ht="15" hidden="false" customHeight="false" outlineLevel="0" collapsed="false">
      <c r="B2652" s="53"/>
      <c r="I2652" s="53"/>
      <c r="U2652" s="31" t="n">
        <f aca="false">IF($B2652='設定（最初に1回）'!$C$4,N(U2651)+1,N(U2651))</f>
        <v>134</v>
      </c>
    </row>
    <row r="2653" customFormat="false" ht="15" hidden="false" customHeight="false" outlineLevel="0" collapsed="false">
      <c r="B2653" s="53"/>
      <c r="I2653" s="53"/>
      <c r="U2653" s="31" t="n">
        <f aca="false">IF($B2653='設定（最初に1回）'!$C$4,N(U2652)+1,N(U2652))</f>
        <v>134</v>
      </c>
    </row>
    <row r="2654" customFormat="false" ht="15" hidden="false" customHeight="false" outlineLevel="0" collapsed="false">
      <c r="B2654" s="53"/>
      <c r="I2654" s="53"/>
      <c r="U2654" s="31" t="n">
        <f aca="false">IF($B2654='設定（最初に1回）'!$C$4,N(U2653)+1,N(U2653))</f>
        <v>134</v>
      </c>
    </row>
    <row r="2655" customFormat="false" ht="15" hidden="false" customHeight="false" outlineLevel="0" collapsed="false">
      <c r="B2655" s="53"/>
      <c r="I2655" s="53"/>
      <c r="U2655" s="31" t="n">
        <f aca="false">IF($B2655='設定（最初に1回）'!$C$4,N(U2654)+1,N(U2654))</f>
        <v>134</v>
      </c>
    </row>
    <row r="2656" customFormat="false" ht="15" hidden="false" customHeight="false" outlineLevel="0" collapsed="false">
      <c r="B2656" s="53"/>
      <c r="I2656" s="53"/>
      <c r="U2656" s="31" t="n">
        <f aca="false">IF($B2656='設定（最初に1回）'!$C$4,N(U2655)+1,N(U2655))</f>
        <v>134</v>
      </c>
    </row>
    <row r="2657" customFormat="false" ht="15" hidden="false" customHeight="false" outlineLevel="0" collapsed="false">
      <c r="B2657" s="53"/>
      <c r="I2657" s="53"/>
      <c r="U2657" s="31" t="n">
        <f aca="false">IF($B2657='設定（最初に1回）'!$C$4,N(U2656)+1,N(U2656))</f>
        <v>134</v>
      </c>
    </row>
    <row r="2658" customFormat="false" ht="15" hidden="false" customHeight="false" outlineLevel="0" collapsed="false">
      <c r="B2658" s="53"/>
      <c r="I2658" s="53"/>
      <c r="U2658" s="31" t="n">
        <f aca="false">IF($B2658='設定（最初に1回）'!$C$4,N(U2657)+1,N(U2657))</f>
        <v>134</v>
      </c>
    </row>
    <row r="2659" customFormat="false" ht="15" hidden="false" customHeight="false" outlineLevel="0" collapsed="false">
      <c r="B2659" s="53"/>
      <c r="I2659" s="53"/>
      <c r="U2659" s="31" t="n">
        <f aca="false">IF($B2659='設定（最初に1回）'!$C$4,N(U2658)+1,N(U2658))</f>
        <v>134</v>
      </c>
    </row>
    <row r="2660" customFormat="false" ht="15" hidden="false" customHeight="false" outlineLevel="0" collapsed="false">
      <c r="B2660" s="53"/>
      <c r="I2660" s="53"/>
      <c r="U2660" s="31" t="n">
        <f aca="false">IF($B2660='設定（最初に1回）'!$C$4,N(U2659)+1,N(U2659))</f>
        <v>134</v>
      </c>
    </row>
    <row r="2661" customFormat="false" ht="15" hidden="false" customHeight="false" outlineLevel="0" collapsed="false">
      <c r="B2661" s="53"/>
      <c r="I2661" s="53"/>
      <c r="U2661" s="31" t="n">
        <f aca="false">IF($B2661='設定（最初に1回）'!$C$4,N(U2660)+1,N(U2660))</f>
        <v>134</v>
      </c>
    </row>
    <row r="2662" customFormat="false" ht="15" hidden="false" customHeight="false" outlineLevel="0" collapsed="false">
      <c r="B2662" s="53"/>
      <c r="I2662" s="53"/>
      <c r="U2662" s="31" t="n">
        <f aca="false">IF($B2662='設定（最初に1回）'!$C$4,N(U2661)+1,N(U2661))</f>
        <v>134</v>
      </c>
    </row>
    <row r="2663" customFormat="false" ht="15" hidden="false" customHeight="false" outlineLevel="0" collapsed="false">
      <c r="B2663" s="53"/>
      <c r="I2663" s="53"/>
      <c r="U2663" s="31" t="n">
        <f aca="false">IF($B2663='設定（最初に1回）'!$C$4,N(U2662)+1,N(U2662))</f>
        <v>134</v>
      </c>
    </row>
    <row r="2664" customFormat="false" ht="15" hidden="false" customHeight="false" outlineLevel="0" collapsed="false">
      <c r="B2664" s="53"/>
      <c r="I2664" s="53"/>
      <c r="U2664" s="31" t="n">
        <f aca="false">IF($B2664='設定（最初に1回）'!$C$4,N(U2663)+1,N(U2663))</f>
        <v>134</v>
      </c>
    </row>
    <row r="2665" customFormat="false" ht="15" hidden="false" customHeight="false" outlineLevel="0" collapsed="false">
      <c r="B2665" s="53"/>
      <c r="I2665" s="53"/>
      <c r="U2665" s="31" t="n">
        <f aca="false">IF($B2665='設定（最初に1回）'!$C$4,N(U2664)+1,N(U2664))</f>
        <v>134</v>
      </c>
    </row>
    <row r="2666" customFormat="false" ht="15" hidden="false" customHeight="false" outlineLevel="0" collapsed="false">
      <c r="B2666" s="53"/>
      <c r="I2666" s="53"/>
      <c r="U2666" s="31" t="n">
        <f aca="false">IF($B2666='設定（最初に1回）'!$C$4,N(U2665)+1,N(U2665))</f>
        <v>134</v>
      </c>
    </row>
    <row r="2667" customFormat="false" ht="15" hidden="false" customHeight="false" outlineLevel="0" collapsed="false">
      <c r="B2667" s="53"/>
      <c r="I2667" s="53"/>
      <c r="U2667" s="31" t="n">
        <f aca="false">IF($B2667='設定（最初に1回）'!$C$4,N(U2666)+1,N(U2666))</f>
        <v>134</v>
      </c>
    </row>
    <row r="2668" customFormat="false" ht="15" hidden="false" customHeight="false" outlineLevel="0" collapsed="false">
      <c r="B2668" s="53"/>
      <c r="I2668" s="53"/>
      <c r="U2668" s="31" t="n">
        <f aca="false">IF($B2668='設定（最初に1回）'!$C$4,N(U2667)+1,N(U2667))</f>
        <v>134</v>
      </c>
    </row>
    <row r="2669" customFormat="false" ht="15" hidden="false" customHeight="false" outlineLevel="0" collapsed="false">
      <c r="B2669" s="53"/>
      <c r="I2669" s="53"/>
      <c r="U2669" s="31" t="n">
        <f aca="false">IF($B2669='設定（最初に1回）'!$C$4,N(U2668)+1,N(U2668))</f>
        <v>134</v>
      </c>
    </row>
    <row r="2670" customFormat="false" ht="15" hidden="false" customHeight="false" outlineLevel="0" collapsed="false">
      <c r="B2670" s="53"/>
      <c r="I2670" s="53"/>
      <c r="U2670" s="31" t="n">
        <f aca="false">IF($B2670='設定（最初に1回）'!$C$4,N(U2669)+1,N(U2669))</f>
        <v>134</v>
      </c>
    </row>
    <row r="2671" customFormat="false" ht="15" hidden="false" customHeight="false" outlineLevel="0" collapsed="false">
      <c r="B2671" s="53"/>
      <c r="I2671" s="53"/>
      <c r="U2671" s="31" t="n">
        <f aca="false">IF($B2671='設定（最初に1回）'!$C$4,N(U2670)+1,N(U2670))</f>
        <v>134</v>
      </c>
    </row>
    <row r="2672" customFormat="false" ht="15" hidden="false" customHeight="false" outlineLevel="0" collapsed="false">
      <c r="B2672" s="53"/>
      <c r="I2672" s="53"/>
      <c r="U2672" s="31" t="n">
        <f aca="false">IF($B2672='設定（最初に1回）'!$C$4,N(U2671)+1,N(U2671))</f>
        <v>134</v>
      </c>
    </row>
    <row r="2673" customFormat="false" ht="15" hidden="false" customHeight="false" outlineLevel="0" collapsed="false">
      <c r="B2673" s="53"/>
      <c r="I2673" s="53"/>
      <c r="U2673" s="31" t="n">
        <f aca="false">IF($B2673='設定（最初に1回）'!$C$4,N(U2672)+1,N(U2672))</f>
        <v>134</v>
      </c>
    </row>
    <row r="2674" customFormat="false" ht="15" hidden="false" customHeight="false" outlineLevel="0" collapsed="false">
      <c r="B2674" s="53"/>
      <c r="I2674" s="53"/>
      <c r="U2674" s="31" t="n">
        <f aca="false">IF($B2674='設定（最初に1回）'!$C$4,N(U2673)+1,N(U2673))</f>
        <v>134</v>
      </c>
    </row>
    <row r="2675" customFormat="false" ht="15" hidden="false" customHeight="false" outlineLevel="0" collapsed="false">
      <c r="B2675" s="53"/>
      <c r="I2675" s="53"/>
      <c r="U2675" s="31" t="n">
        <f aca="false">IF($B2675='設定（最初に1回）'!$C$4,N(U2674)+1,N(U2674))</f>
        <v>134</v>
      </c>
    </row>
    <row r="2676" customFormat="false" ht="15" hidden="false" customHeight="false" outlineLevel="0" collapsed="false">
      <c r="B2676" s="53"/>
      <c r="I2676" s="53"/>
      <c r="U2676" s="31" t="n">
        <f aca="false">IF($B2676='設定（最初に1回）'!$C$4,N(U2675)+1,N(U2675))</f>
        <v>134</v>
      </c>
    </row>
    <row r="2677" customFormat="false" ht="15" hidden="false" customHeight="false" outlineLevel="0" collapsed="false">
      <c r="B2677" s="53"/>
      <c r="I2677" s="53"/>
      <c r="U2677" s="31" t="n">
        <f aca="false">IF($B2677='設定（最初に1回）'!$C$4,N(U2676)+1,N(U2676))</f>
        <v>134</v>
      </c>
    </row>
    <row r="2678" customFormat="false" ht="15" hidden="false" customHeight="false" outlineLevel="0" collapsed="false">
      <c r="B2678" s="53"/>
      <c r="I2678" s="53"/>
      <c r="U2678" s="31" t="n">
        <f aca="false">IF($B2678='設定（最初に1回）'!$C$4,N(U2677)+1,N(U2677))</f>
        <v>134</v>
      </c>
    </row>
    <row r="2679" customFormat="false" ht="15" hidden="false" customHeight="false" outlineLevel="0" collapsed="false">
      <c r="B2679" s="53"/>
      <c r="I2679" s="53"/>
      <c r="U2679" s="31" t="n">
        <f aca="false">IF($B2679='設定（最初に1回）'!$C$4,N(U2678)+1,N(U2678))</f>
        <v>134</v>
      </c>
    </row>
    <row r="2680" customFormat="false" ht="15" hidden="false" customHeight="false" outlineLevel="0" collapsed="false">
      <c r="B2680" s="53"/>
      <c r="I2680" s="53"/>
      <c r="U2680" s="31" t="n">
        <f aca="false">IF($B2680='設定（最初に1回）'!$C$4,N(U2679)+1,N(U2679))</f>
        <v>134</v>
      </c>
    </row>
    <row r="2681" customFormat="false" ht="15" hidden="false" customHeight="false" outlineLevel="0" collapsed="false">
      <c r="B2681" s="53"/>
      <c r="I2681" s="53"/>
      <c r="U2681" s="31" t="n">
        <f aca="false">IF($B2681='設定（最初に1回）'!$C$4,N(U2680)+1,N(U2680))</f>
        <v>134</v>
      </c>
    </row>
    <row r="2682" customFormat="false" ht="15" hidden="false" customHeight="false" outlineLevel="0" collapsed="false">
      <c r="B2682" s="53"/>
      <c r="I2682" s="53"/>
      <c r="U2682" s="31" t="n">
        <f aca="false">IF($B2682='設定（最初に1回）'!$C$4,N(U2681)+1,N(U2681))</f>
        <v>134</v>
      </c>
    </row>
    <row r="2683" customFormat="false" ht="15" hidden="false" customHeight="false" outlineLevel="0" collapsed="false">
      <c r="B2683" s="53"/>
      <c r="I2683" s="53"/>
      <c r="U2683" s="31" t="n">
        <f aca="false">IF($B2683='設定（最初に1回）'!$C$4,N(U2682)+1,N(U2682))</f>
        <v>134</v>
      </c>
    </row>
    <row r="2684" customFormat="false" ht="15" hidden="false" customHeight="false" outlineLevel="0" collapsed="false">
      <c r="B2684" s="53"/>
      <c r="I2684" s="53"/>
      <c r="U2684" s="31" t="n">
        <f aca="false">IF($B2684='設定（最初に1回）'!$C$4,N(U2683)+1,N(U2683))</f>
        <v>134</v>
      </c>
    </row>
    <row r="2685" customFormat="false" ht="15" hidden="false" customHeight="false" outlineLevel="0" collapsed="false">
      <c r="B2685" s="53"/>
      <c r="I2685" s="53"/>
      <c r="U2685" s="31" t="n">
        <f aca="false">IF($B2685='設定（最初に1回）'!$C$4,N(U2684)+1,N(U2684))</f>
        <v>134</v>
      </c>
    </row>
    <row r="2686" customFormat="false" ht="15" hidden="false" customHeight="false" outlineLevel="0" collapsed="false">
      <c r="B2686" s="53"/>
      <c r="I2686" s="53"/>
      <c r="U2686" s="31" t="n">
        <f aca="false">IF($B2686='設定（最初に1回）'!$C$4,N(U2685)+1,N(U2685))</f>
        <v>134</v>
      </c>
    </row>
    <row r="2687" customFormat="false" ht="15" hidden="false" customHeight="false" outlineLevel="0" collapsed="false">
      <c r="B2687" s="53"/>
      <c r="I2687" s="53"/>
      <c r="U2687" s="31" t="n">
        <f aca="false">IF($B2687='設定（最初に1回）'!$C$4,N(U2686)+1,N(U2686))</f>
        <v>134</v>
      </c>
    </row>
    <row r="2688" customFormat="false" ht="15" hidden="false" customHeight="false" outlineLevel="0" collapsed="false">
      <c r="B2688" s="53"/>
      <c r="I2688" s="53"/>
      <c r="U2688" s="31" t="n">
        <f aca="false">IF($B2688='設定（最初に1回）'!$C$4,N(U2687)+1,N(U2687))</f>
        <v>134</v>
      </c>
    </row>
    <row r="2689" customFormat="false" ht="15" hidden="false" customHeight="false" outlineLevel="0" collapsed="false">
      <c r="B2689" s="53"/>
      <c r="I2689" s="53"/>
      <c r="U2689" s="31" t="n">
        <f aca="false">IF($B2689='設定（最初に1回）'!$C$4,N(U2688)+1,N(U2688))</f>
        <v>134</v>
      </c>
    </row>
    <row r="2690" customFormat="false" ht="15" hidden="false" customHeight="false" outlineLevel="0" collapsed="false">
      <c r="B2690" s="53"/>
      <c r="I2690" s="53"/>
      <c r="U2690" s="31" t="n">
        <f aca="false">IF($B2690='設定（最初に1回）'!$C$4,N(U2689)+1,N(U2689))</f>
        <v>134</v>
      </c>
    </row>
    <row r="2691" customFormat="false" ht="15" hidden="false" customHeight="false" outlineLevel="0" collapsed="false">
      <c r="B2691" s="53"/>
      <c r="I2691" s="53"/>
      <c r="U2691" s="31" t="n">
        <f aca="false">IF($B2691='設定（最初に1回）'!$C$4,N(U2690)+1,N(U2690))</f>
        <v>134</v>
      </c>
    </row>
    <row r="2692" customFormat="false" ht="15" hidden="false" customHeight="false" outlineLevel="0" collapsed="false">
      <c r="B2692" s="53"/>
      <c r="I2692" s="53"/>
      <c r="U2692" s="31" t="n">
        <f aca="false">IF($B2692='設定（最初に1回）'!$C$4,N(U2691)+1,N(U2691))</f>
        <v>134</v>
      </c>
    </row>
    <row r="2693" customFormat="false" ht="15" hidden="false" customHeight="false" outlineLevel="0" collapsed="false">
      <c r="B2693" s="53"/>
      <c r="I2693" s="53"/>
      <c r="U2693" s="31" t="n">
        <f aca="false">IF($B2693='設定（最初に1回）'!$C$4,N(U2692)+1,N(U2692))</f>
        <v>134</v>
      </c>
    </row>
    <row r="2694" customFormat="false" ht="15" hidden="false" customHeight="false" outlineLevel="0" collapsed="false">
      <c r="B2694" s="53"/>
      <c r="I2694" s="53"/>
      <c r="U2694" s="31" t="n">
        <f aca="false">IF($B2694='設定（最初に1回）'!$C$4,N(U2693)+1,N(U2693))</f>
        <v>134</v>
      </c>
    </row>
    <row r="2695" customFormat="false" ht="15" hidden="false" customHeight="false" outlineLevel="0" collapsed="false">
      <c r="B2695" s="53"/>
      <c r="I2695" s="53"/>
      <c r="U2695" s="31" t="n">
        <f aca="false">IF($B2695='設定（最初に1回）'!$C$4,N(U2694)+1,N(U2694))</f>
        <v>134</v>
      </c>
    </row>
    <row r="2696" customFormat="false" ht="15" hidden="false" customHeight="false" outlineLevel="0" collapsed="false">
      <c r="B2696" s="53"/>
      <c r="I2696" s="53"/>
      <c r="U2696" s="31" t="n">
        <f aca="false">IF($B2696='設定（最初に1回）'!$C$4,N(U2695)+1,N(U2695))</f>
        <v>134</v>
      </c>
    </row>
    <row r="2697" customFormat="false" ht="15" hidden="false" customHeight="false" outlineLevel="0" collapsed="false">
      <c r="B2697" s="53"/>
      <c r="I2697" s="53"/>
      <c r="U2697" s="31" t="n">
        <f aca="false">IF($B2697='設定（最初に1回）'!$C$4,N(U2696)+1,N(U2696))</f>
        <v>134</v>
      </c>
    </row>
    <row r="2698" customFormat="false" ht="15" hidden="false" customHeight="false" outlineLevel="0" collapsed="false">
      <c r="B2698" s="53"/>
      <c r="I2698" s="53"/>
      <c r="U2698" s="31" t="n">
        <f aca="false">IF($B2698='設定（最初に1回）'!$C$4,N(U2697)+1,N(U2697))</f>
        <v>134</v>
      </c>
    </row>
    <row r="2699" customFormat="false" ht="15" hidden="false" customHeight="false" outlineLevel="0" collapsed="false">
      <c r="B2699" s="53"/>
      <c r="I2699" s="53"/>
      <c r="U2699" s="31" t="n">
        <f aca="false">IF($B2699='設定（最初に1回）'!$C$4,N(U2698)+1,N(U2698))</f>
        <v>134</v>
      </c>
    </row>
    <row r="2700" customFormat="false" ht="15" hidden="false" customHeight="false" outlineLevel="0" collapsed="false">
      <c r="B2700" s="53"/>
      <c r="I2700" s="53"/>
      <c r="U2700" s="31" t="n">
        <f aca="false">IF($B2700='設定（最初に1回）'!$C$4,N(U2699)+1,N(U2699))</f>
        <v>134</v>
      </c>
    </row>
    <row r="2701" customFormat="false" ht="15" hidden="false" customHeight="false" outlineLevel="0" collapsed="false">
      <c r="B2701" s="53"/>
      <c r="I2701" s="53"/>
      <c r="U2701" s="31" t="n">
        <f aca="false">IF($B2701='設定（最初に1回）'!$C$4,N(U2700)+1,N(U2700))</f>
        <v>134</v>
      </c>
    </row>
    <row r="2702" customFormat="false" ht="15" hidden="false" customHeight="false" outlineLevel="0" collapsed="false">
      <c r="B2702" s="53"/>
      <c r="I2702" s="53"/>
      <c r="U2702" s="31" t="n">
        <f aca="false">IF($B2702='設定（最初に1回）'!$C$4,N(U2701)+1,N(U2701))</f>
        <v>134</v>
      </c>
    </row>
    <row r="2703" customFormat="false" ht="15" hidden="false" customHeight="false" outlineLevel="0" collapsed="false">
      <c r="B2703" s="53"/>
      <c r="I2703" s="53"/>
      <c r="U2703" s="31" t="n">
        <f aca="false">IF($B2703='設定（最初に1回）'!$C$4,N(U2702)+1,N(U2702))</f>
        <v>134</v>
      </c>
    </row>
    <row r="2704" customFormat="false" ht="15" hidden="false" customHeight="false" outlineLevel="0" collapsed="false">
      <c r="B2704" s="53"/>
      <c r="I2704" s="53"/>
      <c r="U2704" s="31" t="n">
        <f aca="false">IF($B2704='設定（最初に1回）'!$C$4,N(U2703)+1,N(U2703))</f>
        <v>134</v>
      </c>
    </row>
    <row r="2705" customFormat="false" ht="15" hidden="false" customHeight="false" outlineLevel="0" collapsed="false">
      <c r="B2705" s="53"/>
      <c r="I2705" s="53"/>
      <c r="U2705" s="31" t="n">
        <f aca="false">IF($B2705='設定（最初に1回）'!$C$4,N(U2704)+1,N(U2704))</f>
        <v>134</v>
      </c>
    </row>
    <row r="2706" customFormat="false" ht="15" hidden="false" customHeight="false" outlineLevel="0" collapsed="false">
      <c r="B2706" s="53"/>
      <c r="I2706" s="53"/>
      <c r="U2706" s="31" t="n">
        <f aca="false">IF($B2706='設定（最初に1回）'!$C$4,N(U2705)+1,N(U2705))</f>
        <v>134</v>
      </c>
    </row>
    <row r="2707" customFormat="false" ht="15" hidden="false" customHeight="false" outlineLevel="0" collapsed="false">
      <c r="B2707" s="53"/>
      <c r="I2707" s="53"/>
      <c r="U2707" s="31" t="n">
        <f aca="false">IF($B2707='設定（最初に1回）'!$C$4,N(U2706)+1,N(U2706))</f>
        <v>134</v>
      </c>
    </row>
    <row r="2708" customFormat="false" ht="15" hidden="false" customHeight="false" outlineLevel="0" collapsed="false">
      <c r="B2708" s="53"/>
      <c r="I2708" s="53"/>
      <c r="U2708" s="31" t="n">
        <f aca="false">IF($B2708='設定（最初に1回）'!$C$4,N(U2707)+1,N(U2707))</f>
        <v>134</v>
      </c>
    </row>
    <row r="2709" customFormat="false" ht="15" hidden="false" customHeight="false" outlineLevel="0" collapsed="false">
      <c r="B2709" s="53"/>
      <c r="I2709" s="53"/>
      <c r="U2709" s="31" t="n">
        <f aca="false">IF($B2709='設定（最初に1回）'!$C$4,N(U2708)+1,N(U2708))</f>
        <v>134</v>
      </c>
    </row>
    <row r="2710" customFormat="false" ht="15" hidden="false" customHeight="false" outlineLevel="0" collapsed="false">
      <c r="B2710" s="53"/>
      <c r="I2710" s="53"/>
      <c r="U2710" s="31" t="n">
        <f aca="false">IF($B2710='設定（最初に1回）'!$C$4,N(U2709)+1,N(U2709))</f>
        <v>134</v>
      </c>
    </row>
    <row r="2711" customFormat="false" ht="15" hidden="false" customHeight="false" outlineLevel="0" collapsed="false">
      <c r="B2711" s="53"/>
      <c r="I2711" s="53"/>
      <c r="U2711" s="31" t="n">
        <f aca="false">IF($B2711='設定（最初に1回）'!$C$4,N(U2710)+1,N(U2710))</f>
        <v>134</v>
      </c>
    </row>
    <row r="2712" customFormat="false" ht="15" hidden="false" customHeight="false" outlineLevel="0" collapsed="false">
      <c r="B2712" s="53"/>
      <c r="I2712" s="53"/>
      <c r="U2712" s="31" t="n">
        <f aca="false">IF($B2712='設定（最初に1回）'!$C$4,N(U2711)+1,N(U2711))</f>
        <v>134</v>
      </c>
    </row>
    <row r="2713" customFormat="false" ht="15" hidden="false" customHeight="false" outlineLevel="0" collapsed="false">
      <c r="B2713" s="53"/>
      <c r="I2713" s="53"/>
      <c r="U2713" s="31" t="n">
        <f aca="false">IF($B2713='設定（最初に1回）'!$C$4,N(U2712)+1,N(U2712))</f>
        <v>134</v>
      </c>
    </row>
    <row r="2714" customFormat="false" ht="15" hidden="false" customHeight="false" outlineLevel="0" collapsed="false">
      <c r="B2714" s="53"/>
      <c r="I2714" s="53"/>
      <c r="U2714" s="31" t="n">
        <f aca="false">IF($B2714='設定（最初に1回）'!$C$4,N(U2713)+1,N(U2713))</f>
        <v>134</v>
      </c>
    </row>
    <row r="2715" customFormat="false" ht="15" hidden="false" customHeight="false" outlineLevel="0" collapsed="false">
      <c r="B2715" s="53"/>
      <c r="I2715" s="53"/>
      <c r="U2715" s="31" t="n">
        <f aca="false">IF($B2715='設定（最初に1回）'!$C$4,N(U2714)+1,N(U2714))</f>
        <v>134</v>
      </c>
    </row>
    <row r="2716" customFormat="false" ht="15" hidden="false" customHeight="false" outlineLevel="0" collapsed="false">
      <c r="B2716" s="53"/>
      <c r="I2716" s="53"/>
      <c r="U2716" s="31" t="n">
        <f aca="false">IF($B2716='設定（最初に1回）'!$C$4,N(U2715)+1,N(U2715))</f>
        <v>134</v>
      </c>
    </row>
    <row r="2717" customFormat="false" ht="15" hidden="false" customHeight="false" outlineLevel="0" collapsed="false">
      <c r="B2717" s="53"/>
      <c r="I2717" s="53"/>
      <c r="U2717" s="31" t="n">
        <f aca="false">IF($B2717='設定（最初に1回）'!$C$4,N(U2716)+1,N(U2716))</f>
        <v>134</v>
      </c>
    </row>
    <row r="2718" customFormat="false" ht="15" hidden="false" customHeight="false" outlineLevel="0" collapsed="false">
      <c r="B2718" s="53"/>
      <c r="I2718" s="53"/>
      <c r="U2718" s="31" t="n">
        <f aca="false">IF($B2718='設定（最初に1回）'!$C$4,N(U2717)+1,N(U2717))</f>
        <v>134</v>
      </c>
    </row>
    <row r="2719" customFormat="false" ht="15" hidden="false" customHeight="false" outlineLevel="0" collapsed="false">
      <c r="B2719" s="53"/>
      <c r="I2719" s="53"/>
      <c r="U2719" s="31" t="n">
        <f aca="false">IF($B2719='設定（最初に1回）'!$C$4,N(U2718)+1,N(U2718))</f>
        <v>134</v>
      </c>
    </row>
    <row r="2720" customFormat="false" ht="15" hidden="false" customHeight="false" outlineLevel="0" collapsed="false">
      <c r="B2720" s="53"/>
      <c r="I2720" s="53"/>
      <c r="U2720" s="31" t="n">
        <f aca="false">IF($B2720='設定（最初に1回）'!$C$4,N(U2719)+1,N(U2719))</f>
        <v>134</v>
      </c>
    </row>
    <row r="2721" customFormat="false" ht="15" hidden="false" customHeight="false" outlineLevel="0" collapsed="false">
      <c r="B2721" s="53"/>
      <c r="I2721" s="53"/>
      <c r="U2721" s="31" t="n">
        <f aca="false">IF($B2721='設定（最初に1回）'!$C$4,N(U2720)+1,N(U2720))</f>
        <v>134</v>
      </c>
    </row>
    <row r="2722" customFormat="false" ht="15" hidden="false" customHeight="false" outlineLevel="0" collapsed="false">
      <c r="B2722" s="53"/>
      <c r="I2722" s="53"/>
      <c r="U2722" s="31" t="n">
        <f aca="false">IF($B2722='設定（最初に1回）'!$C$4,N(U2721)+1,N(U2721))</f>
        <v>134</v>
      </c>
    </row>
    <row r="2723" customFormat="false" ht="15" hidden="false" customHeight="false" outlineLevel="0" collapsed="false">
      <c r="B2723" s="53"/>
      <c r="I2723" s="53"/>
      <c r="U2723" s="31" t="n">
        <f aca="false">IF($B2723='設定（最初に1回）'!$C$4,N(U2722)+1,N(U2722))</f>
        <v>134</v>
      </c>
    </row>
    <row r="2724" customFormat="false" ht="15" hidden="false" customHeight="false" outlineLevel="0" collapsed="false">
      <c r="B2724" s="53"/>
      <c r="I2724" s="53"/>
      <c r="U2724" s="31" t="n">
        <f aca="false">IF($B2724='設定（最初に1回）'!$C$4,N(U2723)+1,N(U2723))</f>
        <v>134</v>
      </c>
    </row>
    <row r="2725" customFormat="false" ht="15" hidden="false" customHeight="false" outlineLevel="0" collapsed="false">
      <c r="B2725" s="53"/>
      <c r="I2725" s="53"/>
      <c r="U2725" s="31" t="n">
        <f aca="false">IF($B2725='設定（最初に1回）'!$C$4,N(U2724)+1,N(U2724))</f>
        <v>134</v>
      </c>
    </row>
    <row r="2726" customFormat="false" ht="15" hidden="false" customHeight="false" outlineLevel="0" collapsed="false">
      <c r="B2726" s="53"/>
      <c r="I2726" s="53"/>
      <c r="U2726" s="31" t="n">
        <f aca="false">IF($B2726='設定（最初に1回）'!$C$4,N(U2725)+1,N(U2725))</f>
        <v>134</v>
      </c>
    </row>
    <row r="2727" customFormat="false" ht="15" hidden="false" customHeight="false" outlineLevel="0" collapsed="false">
      <c r="B2727" s="53"/>
      <c r="I2727" s="53"/>
      <c r="U2727" s="31" t="n">
        <f aca="false">IF($B2727='設定（最初に1回）'!$C$4,N(U2726)+1,N(U2726))</f>
        <v>134</v>
      </c>
    </row>
    <row r="2728" customFormat="false" ht="15" hidden="false" customHeight="false" outlineLevel="0" collapsed="false">
      <c r="B2728" s="53"/>
      <c r="I2728" s="53"/>
      <c r="U2728" s="31" t="n">
        <f aca="false">IF($B2728='設定（最初に1回）'!$C$4,N(U2727)+1,N(U2727))</f>
        <v>134</v>
      </c>
    </row>
    <row r="2729" customFormat="false" ht="15" hidden="false" customHeight="false" outlineLevel="0" collapsed="false">
      <c r="B2729" s="53"/>
      <c r="I2729" s="53"/>
      <c r="U2729" s="31" t="n">
        <f aca="false">IF($B2729='設定（最初に1回）'!$C$4,N(U2728)+1,N(U2728))</f>
        <v>134</v>
      </c>
    </row>
    <row r="2730" customFormat="false" ht="15" hidden="false" customHeight="false" outlineLevel="0" collapsed="false">
      <c r="B2730" s="53"/>
      <c r="I2730" s="53"/>
      <c r="U2730" s="31" t="n">
        <f aca="false">IF($B2730='設定（最初に1回）'!$C$4,N(U2729)+1,N(U2729))</f>
        <v>134</v>
      </c>
    </row>
    <row r="2731" customFormat="false" ht="15" hidden="false" customHeight="false" outlineLevel="0" collapsed="false">
      <c r="B2731" s="53"/>
      <c r="I2731" s="53"/>
      <c r="U2731" s="31" t="n">
        <f aca="false">IF($B2731='設定（最初に1回）'!$C$4,N(U2730)+1,N(U2730))</f>
        <v>134</v>
      </c>
    </row>
    <row r="2732" customFormat="false" ht="15" hidden="false" customHeight="false" outlineLevel="0" collapsed="false">
      <c r="B2732" s="53"/>
      <c r="I2732" s="53"/>
      <c r="U2732" s="31" t="n">
        <f aca="false">IF($B2732='設定（最初に1回）'!$C$4,N(U2731)+1,N(U2731))</f>
        <v>134</v>
      </c>
    </row>
    <row r="2733" customFormat="false" ht="15" hidden="false" customHeight="false" outlineLevel="0" collapsed="false">
      <c r="B2733" s="53"/>
      <c r="I2733" s="53"/>
      <c r="U2733" s="31" t="n">
        <f aca="false">IF($B2733='設定（最初に1回）'!$C$4,N(U2732)+1,N(U2732))</f>
        <v>134</v>
      </c>
    </row>
    <row r="2734" customFormat="false" ht="15" hidden="false" customHeight="false" outlineLevel="0" collapsed="false">
      <c r="B2734" s="53"/>
      <c r="I2734" s="53"/>
      <c r="U2734" s="31" t="n">
        <f aca="false">IF($B2734='設定（最初に1回）'!$C$4,N(U2733)+1,N(U2733))</f>
        <v>134</v>
      </c>
    </row>
    <row r="2735" customFormat="false" ht="15" hidden="false" customHeight="false" outlineLevel="0" collapsed="false">
      <c r="B2735" s="53"/>
      <c r="I2735" s="53"/>
      <c r="U2735" s="31" t="n">
        <f aca="false">IF($B2735='設定（最初に1回）'!$C$4,N(U2734)+1,N(U2734))</f>
        <v>134</v>
      </c>
    </row>
    <row r="2736" customFormat="false" ht="15" hidden="false" customHeight="false" outlineLevel="0" collapsed="false">
      <c r="B2736" s="53"/>
      <c r="I2736" s="53"/>
      <c r="U2736" s="31" t="n">
        <f aca="false">IF($B2736='設定（最初に1回）'!$C$4,N(U2735)+1,N(U2735))</f>
        <v>134</v>
      </c>
    </row>
    <row r="2737" customFormat="false" ht="15" hidden="false" customHeight="false" outlineLevel="0" collapsed="false">
      <c r="B2737" s="53"/>
      <c r="I2737" s="53"/>
      <c r="U2737" s="31" t="n">
        <f aca="false">IF($B2737='設定（最初に1回）'!$C$4,N(U2736)+1,N(U2736))</f>
        <v>134</v>
      </c>
    </row>
    <row r="2738" customFormat="false" ht="15" hidden="false" customHeight="false" outlineLevel="0" collapsed="false">
      <c r="B2738" s="53"/>
      <c r="I2738" s="53"/>
      <c r="U2738" s="31" t="n">
        <f aca="false">IF($B2738='設定（最初に1回）'!$C$4,N(U2737)+1,N(U2737))</f>
        <v>134</v>
      </c>
    </row>
    <row r="2739" customFormat="false" ht="15" hidden="false" customHeight="false" outlineLevel="0" collapsed="false">
      <c r="B2739" s="53"/>
      <c r="I2739" s="53"/>
      <c r="U2739" s="31" t="n">
        <f aca="false">IF($B2739='設定（最初に1回）'!$C$4,N(U2738)+1,N(U2738))</f>
        <v>134</v>
      </c>
    </row>
    <row r="2740" customFormat="false" ht="15" hidden="false" customHeight="false" outlineLevel="0" collapsed="false">
      <c r="B2740" s="53"/>
      <c r="I2740" s="53"/>
      <c r="U2740" s="31" t="n">
        <f aca="false">IF($B2740='設定（最初に1回）'!$C$4,N(U2739)+1,N(U2739))</f>
        <v>134</v>
      </c>
    </row>
    <row r="2741" customFormat="false" ht="15" hidden="false" customHeight="false" outlineLevel="0" collapsed="false">
      <c r="B2741" s="53"/>
      <c r="I2741" s="53"/>
      <c r="U2741" s="31" t="n">
        <f aca="false">IF($B2741='設定（最初に1回）'!$C$4,N(U2740)+1,N(U2740))</f>
        <v>134</v>
      </c>
    </row>
    <row r="2742" customFormat="false" ht="15" hidden="false" customHeight="false" outlineLevel="0" collapsed="false">
      <c r="B2742" s="53"/>
      <c r="I2742" s="53"/>
      <c r="U2742" s="31" t="n">
        <f aca="false">IF($B2742='設定（最初に1回）'!$C$4,N(U2741)+1,N(U2741))</f>
        <v>134</v>
      </c>
    </row>
    <row r="2743" customFormat="false" ht="15" hidden="false" customHeight="false" outlineLevel="0" collapsed="false">
      <c r="B2743" s="53"/>
      <c r="I2743" s="53"/>
      <c r="U2743" s="31" t="n">
        <f aca="false">IF($B2743='設定（最初に1回）'!$C$4,N(U2742)+1,N(U2742))</f>
        <v>134</v>
      </c>
    </row>
    <row r="2744" customFormat="false" ht="15" hidden="false" customHeight="false" outlineLevel="0" collapsed="false">
      <c r="B2744" s="53"/>
      <c r="I2744" s="53"/>
      <c r="U2744" s="31" t="n">
        <f aca="false">IF($B2744='設定（最初に1回）'!$C$4,N(U2743)+1,N(U2743))</f>
        <v>134</v>
      </c>
    </row>
    <row r="2745" customFormat="false" ht="15" hidden="false" customHeight="false" outlineLevel="0" collapsed="false">
      <c r="B2745" s="53"/>
      <c r="I2745" s="53"/>
      <c r="U2745" s="31" t="n">
        <f aca="false">IF($B2745='設定（最初に1回）'!$C$4,N(U2744)+1,N(U2744))</f>
        <v>134</v>
      </c>
    </row>
    <row r="2746" customFormat="false" ht="15" hidden="false" customHeight="false" outlineLevel="0" collapsed="false">
      <c r="B2746" s="53"/>
      <c r="I2746" s="53"/>
      <c r="U2746" s="31" t="n">
        <f aca="false">IF($B2746='設定（最初に1回）'!$C$4,N(U2745)+1,N(U2745))</f>
        <v>134</v>
      </c>
    </row>
    <row r="2747" customFormat="false" ht="15" hidden="false" customHeight="false" outlineLevel="0" collapsed="false">
      <c r="B2747" s="53"/>
      <c r="I2747" s="53"/>
      <c r="U2747" s="31" t="n">
        <f aca="false">IF($B2747='設定（最初に1回）'!$C$4,N(U2746)+1,N(U2746))</f>
        <v>134</v>
      </c>
    </row>
    <row r="2748" customFormat="false" ht="15" hidden="false" customHeight="false" outlineLevel="0" collapsed="false">
      <c r="B2748" s="53"/>
      <c r="I2748" s="53"/>
      <c r="U2748" s="31" t="n">
        <f aca="false">IF($B2748='設定（最初に1回）'!$C$4,N(U2747)+1,N(U2747))</f>
        <v>134</v>
      </c>
    </row>
    <row r="2749" customFormat="false" ht="15" hidden="false" customHeight="false" outlineLevel="0" collapsed="false">
      <c r="B2749" s="53"/>
      <c r="I2749" s="53"/>
      <c r="U2749" s="31" t="n">
        <f aca="false">IF($B2749='設定（最初に1回）'!$C$4,N(U2748)+1,N(U2748))</f>
        <v>134</v>
      </c>
    </row>
    <row r="2750" customFormat="false" ht="15" hidden="false" customHeight="false" outlineLevel="0" collapsed="false">
      <c r="B2750" s="53"/>
      <c r="I2750" s="53"/>
      <c r="U2750" s="31" t="n">
        <f aca="false">IF($B2750='設定（最初に1回）'!$C$4,N(U2749)+1,N(U2749))</f>
        <v>134</v>
      </c>
    </row>
    <row r="2751" customFormat="false" ht="15" hidden="false" customHeight="false" outlineLevel="0" collapsed="false">
      <c r="B2751" s="53"/>
      <c r="I2751" s="53"/>
      <c r="U2751" s="31" t="n">
        <f aca="false">IF($B2751='設定（最初に1回）'!$C$4,N(U2750)+1,N(U2750))</f>
        <v>134</v>
      </c>
    </row>
    <row r="2752" customFormat="false" ht="15" hidden="false" customHeight="false" outlineLevel="0" collapsed="false">
      <c r="B2752" s="53"/>
      <c r="I2752" s="53"/>
      <c r="U2752" s="31" t="n">
        <f aca="false">IF($B2752='設定（最初に1回）'!$C$4,N(U2751)+1,N(U2751))</f>
        <v>134</v>
      </c>
    </row>
    <row r="2753" customFormat="false" ht="15" hidden="false" customHeight="false" outlineLevel="0" collapsed="false">
      <c r="B2753" s="53"/>
      <c r="I2753" s="53"/>
      <c r="U2753" s="31" t="n">
        <f aca="false">IF($B2753='設定（最初に1回）'!$C$4,N(U2752)+1,N(U2752))</f>
        <v>134</v>
      </c>
    </row>
    <row r="2754" customFormat="false" ht="15" hidden="false" customHeight="false" outlineLevel="0" collapsed="false">
      <c r="B2754" s="53"/>
      <c r="I2754" s="53"/>
      <c r="U2754" s="31" t="n">
        <f aca="false">IF($B2754='設定（最初に1回）'!$C$4,N(U2753)+1,N(U2753))</f>
        <v>134</v>
      </c>
    </row>
    <row r="2755" customFormat="false" ht="15" hidden="false" customHeight="false" outlineLevel="0" collapsed="false">
      <c r="B2755" s="53"/>
      <c r="I2755" s="53"/>
      <c r="U2755" s="31" t="n">
        <f aca="false">IF($B2755='設定（最初に1回）'!$C$4,N(U2754)+1,N(U2754))</f>
        <v>134</v>
      </c>
    </row>
    <row r="2756" customFormat="false" ht="15" hidden="false" customHeight="false" outlineLevel="0" collapsed="false">
      <c r="B2756" s="53"/>
      <c r="I2756" s="53"/>
      <c r="U2756" s="31" t="n">
        <f aca="false">IF($B2756='設定（最初に1回）'!$C$4,N(U2755)+1,N(U2755))</f>
        <v>134</v>
      </c>
    </row>
    <row r="2757" customFormat="false" ht="15" hidden="false" customHeight="false" outlineLevel="0" collapsed="false">
      <c r="B2757" s="53"/>
      <c r="I2757" s="53"/>
      <c r="U2757" s="31" t="n">
        <f aca="false">IF($B2757='設定（最初に1回）'!$C$4,N(U2756)+1,N(U2756))</f>
        <v>134</v>
      </c>
    </row>
    <row r="2758" customFormat="false" ht="15" hidden="false" customHeight="false" outlineLevel="0" collapsed="false">
      <c r="B2758" s="53"/>
      <c r="I2758" s="53"/>
      <c r="U2758" s="31" t="n">
        <f aca="false">IF($B2758='設定（最初に1回）'!$C$4,N(U2757)+1,N(U2757))</f>
        <v>134</v>
      </c>
    </row>
    <row r="2759" customFormat="false" ht="15" hidden="false" customHeight="false" outlineLevel="0" collapsed="false">
      <c r="B2759" s="53"/>
      <c r="I2759" s="53"/>
      <c r="U2759" s="31" t="n">
        <f aca="false">IF($B2759='設定（最初に1回）'!$C$4,N(U2758)+1,N(U2758))</f>
        <v>134</v>
      </c>
    </row>
    <row r="2760" customFormat="false" ht="15" hidden="false" customHeight="false" outlineLevel="0" collapsed="false">
      <c r="B2760" s="53"/>
      <c r="I2760" s="53"/>
      <c r="U2760" s="31" t="n">
        <f aca="false">IF($B2760='設定（最初に1回）'!$C$4,N(U2759)+1,N(U2759))</f>
        <v>134</v>
      </c>
    </row>
    <row r="2761" customFormat="false" ht="15" hidden="false" customHeight="false" outlineLevel="0" collapsed="false">
      <c r="B2761" s="53"/>
      <c r="I2761" s="53"/>
      <c r="U2761" s="31" t="n">
        <f aca="false">IF($B2761='設定（最初に1回）'!$C$4,N(U2760)+1,N(U2760))</f>
        <v>134</v>
      </c>
    </row>
    <row r="2762" customFormat="false" ht="15" hidden="false" customHeight="false" outlineLevel="0" collapsed="false">
      <c r="B2762" s="53"/>
      <c r="I2762" s="53"/>
      <c r="U2762" s="31" t="n">
        <f aca="false">IF($B2762='設定（最初に1回）'!$C$4,N(U2761)+1,N(U2761))</f>
        <v>134</v>
      </c>
    </row>
    <row r="2763" customFormat="false" ht="15" hidden="false" customHeight="false" outlineLevel="0" collapsed="false">
      <c r="B2763" s="53"/>
      <c r="I2763" s="53"/>
      <c r="U2763" s="31" t="n">
        <f aca="false">IF($B2763='設定（最初に1回）'!$C$4,N(U2762)+1,N(U2762))</f>
        <v>134</v>
      </c>
    </row>
    <row r="2764" customFormat="false" ht="15" hidden="false" customHeight="false" outlineLevel="0" collapsed="false">
      <c r="B2764" s="53"/>
      <c r="I2764" s="53"/>
      <c r="U2764" s="31" t="n">
        <f aca="false">IF($B2764='設定（最初に1回）'!$C$4,N(U2763)+1,N(U2763))</f>
        <v>134</v>
      </c>
    </row>
    <row r="2765" customFormat="false" ht="15" hidden="false" customHeight="false" outlineLevel="0" collapsed="false">
      <c r="B2765" s="53"/>
      <c r="I2765" s="53"/>
      <c r="U2765" s="31" t="n">
        <f aca="false">IF($B2765='設定（最初に1回）'!$C$4,N(U2764)+1,N(U2764))</f>
        <v>134</v>
      </c>
    </row>
    <row r="2766" customFormat="false" ht="15" hidden="false" customHeight="false" outlineLevel="0" collapsed="false">
      <c r="B2766" s="53"/>
      <c r="I2766" s="53"/>
      <c r="U2766" s="31" t="n">
        <f aca="false">IF($B2766='設定（最初に1回）'!$C$4,N(U2765)+1,N(U2765))</f>
        <v>134</v>
      </c>
    </row>
    <row r="2767" customFormat="false" ht="15" hidden="false" customHeight="false" outlineLevel="0" collapsed="false">
      <c r="B2767" s="53"/>
      <c r="I2767" s="53"/>
      <c r="U2767" s="31" t="n">
        <f aca="false">IF($B2767='設定（最初に1回）'!$C$4,N(U2766)+1,N(U2766))</f>
        <v>134</v>
      </c>
    </row>
    <row r="2768" customFormat="false" ht="15" hidden="false" customHeight="false" outlineLevel="0" collapsed="false">
      <c r="B2768" s="53"/>
      <c r="I2768" s="53"/>
      <c r="U2768" s="31" t="n">
        <f aca="false">IF($B2768='設定（最初に1回）'!$C$4,N(U2767)+1,N(U2767))</f>
        <v>134</v>
      </c>
    </row>
    <row r="2769" customFormat="false" ht="15" hidden="false" customHeight="false" outlineLevel="0" collapsed="false">
      <c r="B2769" s="53"/>
      <c r="I2769" s="53"/>
      <c r="U2769" s="31" t="n">
        <f aca="false">IF($B2769='設定（最初に1回）'!$C$4,N(U2768)+1,N(U2768))</f>
        <v>134</v>
      </c>
    </row>
    <row r="2770" customFormat="false" ht="15" hidden="false" customHeight="false" outlineLevel="0" collapsed="false">
      <c r="B2770" s="53"/>
      <c r="I2770" s="53"/>
      <c r="U2770" s="31" t="n">
        <f aca="false">IF($B2770='設定（最初に1回）'!$C$4,N(U2769)+1,N(U2769))</f>
        <v>134</v>
      </c>
    </row>
    <row r="2771" customFormat="false" ht="15" hidden="false" customHeight="false" outlineLevel="0" collapsed="false">
      <c r="B2771" s="53"/>
      <c r="I2771" s="53"/>
      <c r="U2771" s="31" t="n">
        <f aca="false">IF($B2771='設定（最初に1回）'!$C$4,N(U2770)+1,N(U2770))</f>
        <v>134</v>
      </c>
    </row>
    <row r="2772" customFormat="false" ht="15" hidden="false" customHeight="false" outlineLevel="0" collapsed="false">
      <c r="B2772" s="53"/>
      <c r="I2772" s="53"/>
      <c r="U2772" s="31" t="n">
        <f aca="false">IF($B2772='設定（最初に1回）'!$C$4,N(U2771)+1,N(U2771))</f>
        <v>134</v>
      </c>
    </row>
    <row r="2773" customFormat="false" ht="15" hidden="false" customHeight="false" outlineLevel="0" collapsed="false">
      <c r="B2773" s="53"/>
      <c r="I2773" s="53"/>
      <c r="U2773" s="31" t="n">
        <f aca="false">IF($B2773='設定（最初に1回）'!$C$4,N(U2772)+1,N(U2772))</f>
        <v>134</v>
      </c>
    </row>
    <row r="2774" customFormat="false" ht="15" hidden="false" customHeight="false" outlineLevel="0" collapsed="false">
      <c r="B2774" s="53"/>
      <c r="I2774" s="53"/>
      <c r="U2774" s="31" t="n">
        <f aca="false">IF($B2774='設定（最初に1回）'!$C$4,N(U2773)+1,N(U2773))</f>
        <v>134</v>
      </c>
    </row>
    <row r="2775" customFormat="false" ht="15" hidden="false" customHeight="false" outlineLevel="0" collapsed="false">
      <c r="B2775" s="53"/>
      <c r="I2775" s="53"/>
      <c r="U2775" s="31" t="n">
        <f aca="false">IF($B2775='設定（最初に1回）'!$C$4,N(U2774)+1,N(U2774))</f>
        <v>134</v>
      </c>
    </row>
    <row r="2776" customFormat="false" ht="15" hidden="false" customHeight="false" outlineLevel="0" collapsed="false">
      <c r="B2776" s="53"/>
      <c r="I2776" s="53"/>
      <c r="U2776" s="31" t="n">
        <f aca="false">IF($B2776='設定（最初に1回）'!$C$4,N(U2775)+1,N(U2775))</f>
        <v>134</v>
      </c>
    </row>
    <row r="2777" customFormat="false" ht="15" hidden="false" customHeight="false" outlineLevel="0" collapsed="false">
      <c r="B2777" s="53"/>
      <c r="I2777" s="53"/>
      <c r="U2777" s="31" t="n">
        <f aca="false">IF($B2777='設定（最初に1回）'!$C$4,N(U2776)+1,N(U2776))</f>
        <v>134</v>
      </c>
    </row>
    <row r="2778" customFormat="false" ht="15" hidden="false" customHeight="false" outlineLevel="0" collapsed="false">
      <c r="B2778" s="53"/>
      <c r="I2778" s="53"/>
      <c r="U2778" s="31" t="n">
        <f aca="false">IF($B2778='設定（最初に1回）'!$C$4,N(U2777)+1,N(U2777))</f>
        <v>134</v>
      </c>
    </row>
    <row r="2779" customFormat="false" ht="15" hidden="false" customHeight="false" outlineLevel="0" collapsed="false">
      <c r="B2779" s="53"/>
      <c r="I2779" s="53"/>
      <c r="U2779" s="31" t="n">
        <f aca="false">IF($B2779='設定（最初に1回）'!$C$4,N(U2778)+1,N(U2778))</f>
        <v>134</v>
      </c>
    </row>
    <row r="2780" customFormat="false" ht="15" hidden="false" customHeight="false" outlineLevel="0" collapsed="false">
      <c r="B2780" s="53"/>
      <c r="I2780" s="53"/>
      <c r="U2780" s="31" t="n">
        <f aca="false">IF($B2780='設定（最初に1回）'!$C$4,N(U2779)+1,N(U2779))</f>
        <v>134</v>
      </c>
    </row>
    <row r="2781" customFormat="false" ht="15" hidden="false" customHeight="false" outlineLevel="0" collapsed="false">
      <c r="B2781" s="53"/>
      <c r="I2781" s="53"/>
      <c r="U2781" s="31" t="n">
        <f aca="false">IF($B2781='設定（最初に1回）'!$C$4,N(U2780)+1,N(U2780))</f>
        <v>134</v>
      </c>
    </row>
    <row r="2782" customFormat="false" ht="15" hidden="false" customHeight="false" outlineLevel="0" collapsed="false">
      <c r="B2782" s="53"/>
      <c r="I2782" s="53"/>
      <c r="U2782" s="31" t="n">
        <f aca="false">IF($B2782='設定（最初に1回）'!$C$4,N(U2781)+1,N(U2781))</f>
        <v>134</v>
      </c>
    </row>
    <row r="2783" customFormat="false" ht="15" hidden="false" customHeight="false" outlineLevel="0" collapsed="false">
      <c r="B2783" s="53"/>
      <c r="I2783" s="53"/>
      <c r="U2783" s="31" t="n">
        <f aca="false">IF($B2783='設定（最初に1回）'!$C$4,N(U2782)+1,N(U2782))</f>
        <v>134</v>
      </c>
    </row>
    <row r="2784" customFormat="false" ht="15" hidden="false" customHeight="false" outlineLevel="0" collapsed="false">
      <c r="B2784" s="53"/>
      <c r="I2784" s="53"/>
      <c r="U2784" s="31" t="n">
        <f aca="false">IF($B2784='設定（最初に1回）'!$C$4,N(U2783)+1,N(U2783))</f>
        <v>134</v>
      </c>
    </row>
    <row r="2785" customFormat="false" ht="15" hidden="false" customHeight="false" outlineLevel="0" collapsed="false">
      <c r="B2785" s="53"/>
      <c r="I2785" s="53"/>
      <c r="U2785" s="31" t="n">
        <f aca="false">IF($B2785='設定（最初に1回）'!$C$4,N(U2784)+1,N(U2784))</f>
        <v>134</v>
      </c>
    </row>
    <row r="2786" customFormat="false" ht="15" hidden="false" customHeight="false" outlineLevel="0" collapsed="false">
      <c r="B2786" s="53"/>
      <c r="I2786" s="53"/>
      <c r="U2786" s="31" t="n">
        <f aca="false">IF($B2786='設定（最初に1回）'!$C$4,N(U2785)+1,N(U2785))</f>
        <v>134</v>
      </c>
    </row>
    <row r="2787" customFormat="false" ht="15" hidden="false" customHeight="false" outlineLevel="0" collapsed="false">
      <c r="B2787" s="53"/>
      <c r="I2787" s="53"/>
      <c r="U2787" s="31" t="n">
        <f aca="false">IF($B2787='設定（最初に1回）'!$C$4,N(U2786)+1,N(U2786))</f>
        <v>134</v>
      </c>
    </row>
    <row r="2788" customFormat="false" ht="15" hidden="false" customHeight="false" outlineLevel="0" collapsed="false">
      <c r="B2788" s="53"/>
      <c r="I2788" s="53"/>
      <c r="U2788" s="31" t="n">
        <f aca="false">IF($B2788='設定（最初に1回）'!$C$4,N(U2787)+1,N(U2787))</f>
        <v>134</v>
      </c>
    </row>
    <row r="2789" customFormat="false" ht="15" hidden="false" customHeight="false" outlineLevel="0" collapsed="false">
      <c r="B2789" s="53"/>
      <c r="I2789" s="53"/>
      <c r="U2789" s="31" t="n">
        <f aca="false">IF($B2789='設定（最初に1回）'!$C$4,N(U2788)+1,N(U2788))</f>
        <v>134</v>
      </c>
    </row>
    <row r="2790" customFormat="false" ht="15" hidden="false" customHeight="false" outlineLevel="0" collapsed="false">
      <c r="B2790" s="53"/>
      <c r="I2790" s="53"/>
      <c r="U2790" s="31" t="n">
        <f aca="false">IF($B2790='設定（最初に1回）'!$C$4,N(U2789)+1,N(U2789))</f>
        <v>134</v>
      </c>
    </row>
    <row r="2791" customFormat="false" ht="15" hidden="false" customHeight="false" outlineLevel="0" collapsed="false">
      <c r="B2791" s="53"/>
      <c r="I2791" s="53"/>
      <c r="U2791" s="31" t="n">
        <f aca="false">IF($B2791='設定（最初に1回）'!$C$4,N(U2790)+1,N(U2790))</f>
        <v>134</v>
      </c>
    </row>
    <row r="2792" customFormat="false" ht="15" hidden="false" customHeight="false" outlineLevel="0" collapsed="false">
      <c r="B2792" s="53"/>
      <c r="I2792" s="53"/>
      <c r="U2792" s="31" t="n">
        <f aca="false">IF($B2792='設定（最初に1回）'!$C$4,N(U2791)+1,N(U2791))</f>
        <v>134</v>
      </c>
    </row>
    <row r="2793" customFormat="false" ht="15" hidden="false" customHeight="false" outlineLevel="0" collapsed="false">
      <c r="B2793" s="53"/>
      <c r="I2793" s="53"/>
      <c r="U2793" s="31" t="n">
        <f aca="false">IF($B2793='設定（最初に1回）'!$C$4,N(U2792)+1,N(U2792))</f>
        <v>134</v>
      </c>
    </row>
    <row r="2794" customFormat="false" ht="15" hidden="false" customHeight="false" outlineLevel="0" collapsed="false">
      <c r="B2794" s="53"/>
      <c r="I2794" s="53"/>
      <c r="U2794" s="31" t="n">
        <f aca="false">IF($B2794='設定（最初に1回）'!$C$4,N(U2793)+1,N(U2793))</f>
        <v>134</v>
      </c>
    </row>
    <row r="2795" customFormat="false" ht="15" hidden="false" customHeight="false" outlineLevel="0" collapsed="false">
      <c r="B2795" s="53"/>
      <c r="I2795" s="53"/>
      <c r="U2795" s="31" t="n">
        <f aca="false">IF($B2795='設定（最初に1回）'!$C$4,N(U2794)+1,N(U2794))</f>
        <v>134</v>
      </c>
    </row>
    <row r="2796" customFormat="false" ht="15" hidden="false" customHeight="false" outlineLevel="0" collapsed="false">
      <c r="B2796" s="53"/>
      <c r="I2796" s="53"/>
      <c r="U2796" s="31" t="n">
        <f aca="false">IF($B2796='設定（最初に1回）'!$C$4,N(U2795)+1,N(U2795))</f>
        <v>134</v>
      </c>
    </row>
    <row r="2797" customFormat="false" ht="15" hidden="false" customHeight="false" outlineLevel="0" collapsed="false">
      <c r="B2797" s="53"/>
      <c r="I2797" s="53"/>
      <c r="U2797" s="31" t="n">
        <f aca="false">IF($B2797='設定（最初に1回）'!$C$4,N(U2796)+1,N(U2796))</f>
        <v>134</v>
      </c>
    </row>
    <row r="2798" customFormat="false" ht="15" hidden="false" customHeight="false" outlineLevel="0" collapsed="false">
      <c r="B2798" s="53"/>
      <c r="I2798" s="53"/>
      <c r="U2798" s="31" t="n">
        <f aca="false">IF($B2798='設定（最初に1回）'!$C$4,N(U2797)+1,N(U2797))</f>
        <v>134</v>
      </c>
    </row>
    <row r="2799" customFormat="false" ht="15" hidden="false" customHeight="false" outlineLevel="0" collapsed="false">
      <c r="B2799" s="53"/>
      <c r="I2799" s="53"/>
      <c r="U2799" s="31" t="n">
        <f aca="false">IF($B2799='設定（最初に1回）'!$C$4,N(U2798)+1,N(U2798))</f>
        <v>134</v>
      </c>
    </row>
    <row r="2800" customFormat="false" ht="15" hidden="false" customHeight="false" outlineLevel="0" collapsed="false">
      <c r="B2800" s="53"/>
      <c r="I2800" s="53"/>
      <c r="U2800" s="31" t="n">
        <f aca="false">IF($B2800='設定（最初に1回）'!$C$4,N(U2799)+1,N(U2799))</f>
        <v>134</v>
      </c>
    </row>
    <row r="2801" customFormat="false" ht="15" hidden="false" customHeight="false" outlineLevel="0" collapsed="false">
      <c r="B2801" s="53"/>
      <c r="I2801" s="53"/>
      <c r="U2801" s="31" t="n">
        <f aca="false">IF($B2801='設定（最初に1回）'!$C$4,N(U2800)+1,N(U2800))</f>
        <v>134</v>
      </c>
    </row>
    <row r="2802" customFormat="false" ht="15" hidden="false" customHeight="false" outlineLevel="0" collapsed="false">
      <c r="B2802" s="53"/>
      <c r="I2802" s="53"/>
      <c r="U2802" s="31" t="n">
        <f aca="false">IF($B2802='設定（最初に1回）'!$C$4,N(U2801)+1,N(U2801))</f>
        <v>134</v>
      </c>
    </row>
    <row r="2803" customFormat="false" ht="15" hidden="false" customHeight="false" outlineLevel="0" collapsed="false">
      <c r="B2803" s="53"/>
      <c r="I2803" s="53"/>
      <c r="U2803" s="31" t="n">
        <f aca="false">IF($B2803='設定（最初に1回）'!$C$4,N(U2802)+1,N(U2802))</f>
        <v>134</v>
      </c>
    </row>
    <row r="2804" customFormat="false" ht="15" hidden="false" customHeight="false" outlineLevel="0" collapsed="false">
      <c r="B2804" s="53"/>
      <c r="I2804" s="53"/>
      <c r="U2804" s="31" t="n">
        <f aca="false">IF($B2804='設定（最初に1回）'!$C$4,N(U2803)+1,N(U2803))</f>
        <v>134</v>
      </c>
    </row>
    <row r="2805" customFormat="false" ht="15" hidden="false" customHeight="false" outlineLevel="0" collapsed="false">
      <c r="B2805" s="53"/>
      <c r="I2805" s="53"/>
      <c r="U2805" s="31" t="n">
        <f aca="false">IF($B2805='設定（最初に1回）'!$C$4,N(U2804)+1,N(U2804))</f>
        <v>134</v>
      </c>
    </row>
    <row r="2806" customFormat="false" ht="15" hidden="false" customHeight="false" outlineLevel="0" collapsed="false">
      <c r="B2806" s="53"/>
      <c r="I2806" s="53"/>
      <c r="U2806" s="31" t="n">
        <f aca="false">IF($B2806='設定（最初に1回）'!$C$4,N(U2805)+1,N(U2805))</f>
        <v>134</v>
      </c>
    </row>
    <row r="2807" customFormat="false" ht="15" hidden="false" customHeight="false" outlineLevel="0" collapsed="false">
      <c r="B2807" s="53"/>
      <c r="I2807" s="53"/>
      <c r="U2807" s="31" t="n">
        <f aca="false">IF($B2807='設定（最初に1回）'!$C$4,N(U2806)+1,N(U2806))</f>
        <v>134</v>
      </c>
    </row>
    <row r="2808" customFormat="false" ht="15" hidden="false" customHeight="false" outlineLevel="0" collapsed="false">
      <c r="B2808" s="53"/>
      <c r="I2808" s="53"/>
      <c r="U2808" s="31" t="n">
        <f aca="false">IF($B2808='設定（最初に1回）'!$C$4,N(U2807)+1,N(U2807))</f>
        <v>134</v>
      </c>
    </row>
    <row r="2809" customFormat="false" ht="15" hidden="false" customHeight="false" outlineLevel="0" collapsed="false">
      <c r="B2809" s="53"/>
      <c r="I2809" s="53"/>
      <c r="U2809" s="31" t="n">
        <f aca="false">IF($B2809='設定（最初に1回）'!$C$4,N(U2808)+1,N(U2808))</f>
        <v>134</v>
      </c>
    </row>
    <row r="2810" customFormat="false" ht="15" hidden="false" customHeight="false" outlineLevel="0" collapsed="false">
      <c r="B2810" s="53"/>
      <c r="I2810" s="53"/>
      <c r="U2810" s="31" t="n">
        <f aca="false">IF($B2810='設定（最初に1回）'!$C$4,N(U2809)+1,N(U2809))</f>
        <v>134</v>
      </c>
    </row>
    <row r="2811" customFormat="false" ht="15" hidden="false" customHeight="false" outlineLevel="0" collapsed="false">
      <c r="B2811" s="53"/>
      <c r="I2811" s="53"/>
      <c r="U2811" s="31" t="n">
        <f aca="false">IF($B2811='設定（最初に1回）'!$C$4,N(U2810)+1,N(U2810))</f>
        <v>134</v>
      </c>
    </row>
    <row r="2812" customFormat="false" ht="15" hidden="false" customHeight="false" outlineLevel="0" collapsed="false">
      <c r="B2812" s="53"/>
      <c r="I2812" s="53"/>
      <c r="U2812" s="31" t="n">
        <f aca="false">IF($B2812='設定（最初に1回）'!$C$4,N(U2811)+1,N(U2811))</f>
        <v>134</v>
      </c>
    </row>
    <row r="2813" customFormat="false" ht="15" hidden="false" customHeight="false" outlineLevel="0" collapsed="false">
      <c r="B2813" s="53"/>
      <c r="I2813" s="53"/>
      <c r="U2813" s="31" t="n">
        <f aca="false">IF($B2813='設定（最初に1回）'!$C$4,N(U2812)+1,N(U2812))</f>
        <v>134</v>
      </c>
    </row>
    <row r="2814" customFormat="false" ht="15" hidden="false" customHeight="false" outlineLevel="0" collapsed="false">
      <c r="B2814" s="53"/>
      <c r="I2814" s="53"/>
      <c r="U2814" s="31" t="n">
        <f aca="false">IF($B2814='設定（最初に1回）'!$C$4,N(U2813)+1,N(U2813))</f>
        <v>134</v>
      </c>
    </row>
    <row r="2815" customFormat="false" ht="15" hidden="false" customHeight="false" outlineLevel="0" collapsed="false">
      <c r="B2815" s="53"/>
      <c r="I2815" s="53"/>
      <c r="U2815" s="31" t="n">
        <f aca="false">IF($B2815='設定（最初に1回）'!$C$4,N(U2814)+1,N(U2814))</f>
        <v>134</v>
      </c>
    </row>
    <row r="2816" customFormat="false" ht="15" hidden="false" customHeight="false" outlineLevel="0" collapsed="false">
      <c r="B2816" s="53"/>
      <c r="I2816" s="53"/>
      <c r="U2816" s="31" t="n">
        <f aca="false">IF($B2816='設定（最初に1回）'!$C$4,N(U2815)+1,N(U2815))</f>
        <v>134</v>
      </c>
    </row>
    <row r="2817" customFormat="false" ht="15" hidden="false" customHeight="false" outlineLevel="0" collapsed="false">
      <c r="B2817" s="53"/>
      <c r="I2817" s="53"/>
      <c r="U2817" s="31" t="n">
        <f aca="false">IF($B2817='設定（最初に1回）'!$C$4,N(U2816)+1,N(U2816))</f>
        <v>134</v>
      </c>
    </row>
    <row r="2818" customFormat="false" ht="15" hidden="false" customHeight="false" outlineLevel="0" collapsed="false">
      <c r="B2818" s="53"/>
      <c r="I2818" s="53"/>
      <c r="U2818" s="31" t="n">
        <f aca="false">IF($B2818='設定（最初に1回）'!$C$4,N(U2817)+1,N(U2817))</f>
        <v>134</v>
      </c>
    </row>
    <row r="2819" customFormat="false" ht="15" hidden="false" customHeight="false" outlineLevel="0" collapsed="false">
      <c r="B2819" s="53"/>
      <c r="I2819" s="53"/>
      <c r="U2819" s="31" t="n">
        <f aca="false">IF($B2819='設定（最初に1回）'!$C$4,N(U2818)+1,N(U2818))</f>
        <v>134</v>
      </c>
    </row>
    <row r="2820" customFormat="false" ht="15" hidden="false" customHeight="false" outlineLevel="0" collapsed="false">
      <c r="B2820" s="53"/>
      <c r="I2820" s="53"/>
      <c r="U2820" s="31" t="n">
        <f aca="false">IF($B2820='設定（最初に1回）'!$C$4,N(U2819)+1,N(U2819))</f>
        <v>134</v>
      </c>
    </row>
    <row r="2821" customFormat="false" ht="15" hidden="false" customHeight="false" outlineLevel="0" collapsed="false">
      <c r="B2821" s="53"/>
      <c r="I2821" s="53"/>
      <c r="U2821" s="31" t="n">
        <f aca="false">IF($B2821='設定（最初に1回）'!$C$4,N(U2820)+1,N(U2820))</f>
        <v>134</v>
      </c>
    </row>
    <row r="2822" customFormat="false" ht="15" hidden="false" customHeight="false" outlineLevel="0" collapsed="false">
      <c r="B2822" s="53"/>
      <c r="I2822" s="53"/>
      <c r="U2822" s="31" t="n">
        <f aca="false">IF($B2822='設定（最初に1回）'!$C$4,N(U2821)+1,N(U2821))</f>
        <v>134</v>
      </c>
    </row>
    <row r="2823" customFormat="false" ht="15" hidden="false" customHeight="false" outlineLevel="0" collapsed="false">
      <c r="B2823" s="53"/>
      <c r="I2823" s="53"/>
      <c r="U2823" s="31" t="n">
        <f aca="false">IF($B2823='設定（最初に1回）'!$C$4,N(U2822)+1,N(U2822))</f>
        <v>134</v>
      </c>
    </row>
    <row r="2824" customFormat="false" ht="15" hidden="false" customHeight="false" outlineLevel="0" collapsed="false">
      <c r="B2824" s="53"/>
      <c r="I2824" s="53"/>
      <c r="U2824" s="31" t="n">
        <f aca="false">IF($B2824='設定（最初に1回）'!$C$4,N(U2823)+1,N(U2823))</f>
        <v>134</v>
      </c>
    </row>
    <row r="2825" customFormat="false" ht="15" hidden="false" customHeight="false" outlineLevel="0" collapsed="false">
      <c r="B2825" s="53"/>
      <c r="I2825" s="53"/>
      <c r="U2825" s="31" t="n">
        <f aca="false">IF($B2825='設定（最初に1回）'!$C$4,N(U2824)+1,N(U2824))</f>
        <v>134</v>
      </c>
    </row>
    <row r="2826" customFormat="false" ht="15" hidden="false" customHeight="false" outlineLevel="0" collapsed="false">
      <c r="B2826" s="53"/>
      <c r="I2826" s="53"/>
      <c r="U2826" s="31" t="n">
        <f aca="false">IF($B2826='設定（最初に1回）'!$C$4,N(U2825)+1,N(U2825))</f>
        <v>134</v>
      </c>
    </row>
    <row r="2827" customFormat="false" ht="15" hidden="false" customHeight="false" outlineLevel="0" collapsed="false">
      <c r="B2827" s="53"/>
      <c r="I2827" s="53"/>
      <c r="U2827" s="31" t="n">
        <f aca="false">IF($B2827='設定（最初に1回）'!$C$4,N(U2826)+1,N(U2826))</f>
        <v>134</v>
      </c>
    </row>
    <row r="2828" customFormat="false" ht="15" hidden="false" customHeight="false" outlineLevel="0" collapsed="false">
      <c r="B2828" s="53"/>
      <c r="I2828" s="53"/>
      <c r="U2828" s="31" t="n">
        <f aca="false">IF($B2828='設定（最初に1回）'!$C$4,N(U2827)+1,N(U2827))</f>
        <v>134</v>
      </c>
    </row>
    <row r="2829" customFormat="false" ht="15" hidden="false" customHeight="false" outlineLevel="0" collapsed="false">
      <c r="B2829" s="53"/>
      <c r="I2829" s="53"/>
      <c r="U2829" s="31" t="n">
        <f aca="false">IF($B2829='設定（最初に1回）'!$C$4,N(U2828)+1,N(U2828))</f>
        <v>134</v>
      </c>
    </row>
    <row r="2830" customFormat="false" ht="15" hidden="false" customHeight="false" outlineLevel="0" collapsed="false">
      <c r="B2830" s="53"/>
      <c r="I2830" s="53"/>
      <c r="U2830" s="31" t="n">
        <f aca="false">IF($B2830='設定（最初に1回）'!$C$4,N(U2829)+1,N(U2829))</f>
        <v>134</v>
      </c>
    </row>
    <row r="2831" customFormat="false" ht="15" hidden="false" customHeight="false" outlineLevel="0" collapsed="false">
      <c r="B2831" s="53"/>
      <c r="I2831" s="53"/>
      <c r="U2831" s="31" t="n">
        <f aca="false">IF($B2831='設定（最初に1回）'!$C$4,N(U2830)+1,N(U2830))</f>
        <v>134</v>
      </c>
    </row>
    <row r="2832" customFormat="false" ht="15" hidden="false" customHeight="false" outlineLevel="0" collapsed="false">
      <c r="B2832" s="53"/>
      <c r="I2832" s="53"/>
      <c r="U2832" s="31" t="n">
        <f aca="false">IF($B2832='設定（最初に1回）'!$C$4,N(U2831)+1,N(U2831))</f>
        <v>134</v>
      </c>
    </row>
    <row r="2833" customFormat="false" ht="15" hidden="false" customHeight="false" outlineLevel="0" collapsed="false">
      <c r="B2833" s="53"/>
      <c r="I2833" s="53"/>
      <c r="U2833" s="31" t="n">
        <f aca="false">IF($B2833='設定（最初に1回）'!$C$4,N(U2832)+1,N(U2832))</f>
        <v>134</v>
      </c>
    </row>
    <row r="2834" customFormat="false" ht="15" hidden="false" customHeight="false" outlineLevel="0" collapsed="false">
      <c r="B2834" s="53"/>
      <c r="I2834" s="53"/>
      <c r="U2834" s="31" t="n">
        <f aca="false">IF($B2834='設定（最初に1回）'!$C$4,N(U2833)+1,N(U2833))</f>
        <v>134</v>
      </c>
    </row>
    <row r="2835" customFormat="false" ht="15" hidden="false" customHeight="false" outlineLevel="0" collapsed="false">
      <c r="B2835" s="53"/>
      <c r="I2835" s="53"/>
      <c r="U2835" s="31" t="n">
        <f aca="false">IF($B2835='設定（最初に1回）'!$C$4,N(U2834)+1,N(U2834))</f>
        <v>134</v>
      </c>
    </row>
    <row r="2836" customFormat="false" ht="15" hidden="false" customHeight="false" outlineLevel="0" collapsed="false">
      <c r="B2836" s="53"/>
      <c r="I2836" s="53"/>
      <c r="U2836" s="31" t="n">
        <f aca="false">IF($B2836='設定（最初に1回）'!$C$4,N(U2835)+1,N(U2835))</f>
        <v>134</v>
      </c>
    </row>
    <row r="2837" customFormat="false" ht="15" hidden="false" customHeight="false" outlineLevel="0" collapsed="false">
      <c r="B2837" s="53"/>
      <c r="I2837" s="53"/>
      <c r="U2837" s="31" t="n">
        <f aca="false">IF($B2837='設定（最初に1回）'!$C$4,N(U2836)+1,N(U2836))</f>
        <v>134</v>
      </c>
    </row>
    <row r="2838" customFormat="false" ht="15" hidden="false" customHeight="false" outlineLevel="0" collapsed="false">
      <c r="B2838" s="53"/>
      <c r="I2838" s="53"/>
      <c r="U2838" s="31" t="n">
        <f aca="false">IF($B2838='設定（最初に1回）'!$C$4,N(U2837)+1,N(U2837))</f>
        <v>134</v>
      </c>
    </row>
    <row r="2839" customFormat="false" ht="15" hidden="false" customHeight="false" outlineLevel="0" collapsed="false">
      <c r="B2839" s="53"/>
      <c r="I2839" s="53"/>
      <c r="U2839" s="31" t="n">
        <f aca="false">IF($B2839='設定（最初に1回）'!$C$4,N(U2838)+1,N(U2838))</f>
        <v>134</v>
      </c>
    </row>
    <row r="2840" customFormat="false" ht="15" hidden="false" customHeight="false" outlineLevel="0" collapsed="false">
      <c r="B2840" s="53"/>
      <c r="I2840" s="53"/>
      <c r="U2840" s="31" t="n">
        <f aca="false">IF($B2840='設定（最初に1回）'!$C$4,N(U2839)+1,N(U2839))</f>
        <v>134</v>
      </c>
    </row>
    <row r="2841" customFormat="false" ht="15" hidden="false" customHeight="false" outlineLevel="0" collapsed="false">
      <c r="B2841" s="53"/>
      <c r="I2841" s="53"/>
      <c r="U2841" s="31" t="n">
        <f aca="false">IF($B2841='設定（最初に1回）'!$C$4,N(U2840)+1,N(U2840))</f>
        <v>134</v>
      </c>
    </row>
    <row r="2842" customFormat="false" ht="15" hidden="false" customHeight="false" outlineLevel="0" collapsed="false">
      <c r="B2842" s="53"/>
      <c r="I2842" s="53"/>
      <c r="U2842" s="31" t="n">
        <f aca="false">IF($B2842='設定（最初に1回）'!$C$4,N(U2841)+1,N(U2841))</f>
        <v>134</v>
      </c>
    </row>
    <row r="2843" customFormat="false" ht="15" hidden="false" customHeight="false" outlineLevel="0" collapsed="false">
      <c r="B2843" s="53"/>
      <c r="I2843" s="53"/>
      <c r="U2843" s="31" t="n">
        <f aca="false">IF($B2843='設定（最初に1回）'!$C$4,N(U2842)+1,N(U2842))</f>
        <v>134</v>
      </c>
    </row>
    <row r="2844" customFormat="false" ht="15" hidden="false" customHeight="false" outlineLevel="0" collapsed="false">
      <c r="B2844" s="53"/>
      <c r="I2844" s="53"/>
      <c r="U2844" s="31" t="n">
        <f aca="false">IF($B2844='設定（最初に1回）'!$C$4,N(U2843)+1,N(U2843))</f>
        <v>134</v>
      </c>
    </row>
    <row r="2845" customFormat="false" ht="15" hidden="false" customHeight="false" outlineLevel="0" collapsed="false">
      <c r="B2845" s="53"/>
      <c r="I2845" s="53"/>
      <c r="U2845" s="31" t="n">
        <f aca="false">IF($B2845='設定（最初に1回）'!$C$4,N(U2844)+1,N(U2844))</f>
        <v>134</v>
      </c>
    </row>
    <row r="2846" customFormat="false" ht="15" hidden="false" customHeight="false" outlineLevel="0" collapsed="false">
      <c r="B2846" s="53"/>
      <c r="I2846" s="53"/>
      <c r="U2846" s="31" t="n">
        <f aca="false">IF($B2846='設定（最初に1回）'!$C$4,N(U2845)+1,N(U2845))</f>
        <v>134</v>
      </c>
    </row>
    <row r="2847" customFormat="false" ht="15" hidden="false" customHeight="false" outlineLevel="0" collapsed="false">
      <c r="B2847" s="53"/>
      <c r="I2847" s="53"/>
      <c r="U2847" s="31" t="n">
        <f aca="false">IF($B2847='設定（最初に1回）'!$C$4,N(U2846)+1,N(U2846))</f>
        <v>134</v>
      </c>
    </row>
    <row r="2848" customFormat="false" ht="15" hidden="false" customHeight="false" outlineLevel="0" collapsed="false">
      <c r="B2848" s="53"/>
      <c r="I2848" s="53"/>
      <c r="U2848" s="31" t="n">
        <f aca="false">IF($B2848='設定（最初に1回）'!$C$4,N(U2847)+1,N(U2847))</f>
        <v>134</v>
      </c>
    </row>
    <row r="2849" customFormat="false" ht="15" hidden="false" customHeight="false" outlineLevel="0" collapsed="false">
      <c r="B2849" s="53"/>
      <c r="I2849" s="53"/>
      <c r="U2849" s="31" t="n">
        <f aca="false">IF($B2849='設定（最初に1回）'!$C$4,N(U2848)+1,N(U2848))</f>
        <v>134</v>
      </c>
    </row>
    <row r="2850" customFormat="false" ht="15" hidden="false" customHeight="false" outlineLevel="0" collapsed="false">
      <c r="B2850" s="53"/>
      <c r="I2850" s="53"/>
      <c r="U2850" s="31" t="n">
        <f aca="false">IF($B2850='設定（最初に1回）'!$C$4,N(U2849)+1,N(U2849))</f>
        <v>134</v>
      </c>
    </row>
    <row r="2851" customFormat="false" ht="15" hidden="false" customHeight="false" outlineLevel="0" collapsed="false">
      <c r="B2851" s="53"/>
      <c r="I2851" s="53"/>
      <c r="U2851" s="31" t="n">
        <f aca="false">IF($B2851='設定（最初に1回）'!$C$4,N(U2850)+1,N(U2850))</f>
        <v>134</v>
      </c>
    </row>
    <row r="2852" customFormat="false" ht="15" hidden="false" customHeight="false" outlineLevel="0" collapsed="false">
      <c r="B2852" s="53"/>
      <c r="I2852" s="53"/>
      <c r="U2852" s="31" t="n">
        <f aca="false">IF($B2852='設定（最初に1回）'!$C$4,N(U2851)+1,N(U2851))</f>
        <v>134</v>
      </c>
    </row>
    <row r="2853" customFormat="false" ht="15" hidden="false" customHeight="false" outlineLevel="0" collapsed="false">
      <c r="B2853" s="53"/>
      <c r="I2853" s="53"/>
      <c r="U2853" s="31" t="n">
        <f aca="false">IF($B2853='設定（最初に1回）'!$C$4,N(U2852)+1,N(U2852))</f>
        <v>134</v>
      </c>
    </row>
    <row r="2854" customFormat="false" ht="15" hidden="false" customHeight="false" outlineLevel="0" collapsed="false">
      <c r="B2854" s="53"/>
      <c r="I2854" s="53"/>
      <c r="U2854" s="31" t="n">
        <f aca="false">IF($B2854='設定（最初に1回）'!$C$4,N(U2853)+1,N(U2853))</f>
        <v>134</v>
      </c>
    </row>
    <row r="2855" customFormat="false" ht="15" hidden="false" customHeight="false" outlineLevel="0" collapsed="false">
      <c r="B2855" s="53"/>
      <c r="I2855" s="53"/>
      <c r="U2855" s="31" t="n">
        <f aca="false">IF($B2855='設定（最初に1回）'!$C$4,N(U2854)+1,N(U2854))</f>
        <v>134</v>
      </c>
    </row>
    <row r="2856" customFormat="false" ht="15" hidden="false" customHeight="false" outlineLevel="0" collapsed="false">
      <c r="B2856" s="53"/>
      <c r="I2856" s="53"/>
      <c r="U2856" s="31" t="n">
        <f aca="false">IF($B2856='設定（最初に1回）'!$C$4,N(U2855)+1,N(U2855))</f>
        <v>134</v>
      </c>
    </row>
    <row r="2857" customFormat="false" ht="15" hidden="false" customHeight="false" outlineLevel="0" collapsed="false">
      <c r="B2857" s="53"/>
      <c r="I2857" s="53"/>
      <c r="U2857" s="31" t="n">
        <f aca="false">IF($B2857='設定（最初に1回）'!$C$4,N(U2856)+1,N(U2856))</f>
        <v>134</v>
      </c>
    </row>
    <row r="2858" customFormat="false" ht="15" hidden="false" customHeight="false" outlineLevel="0" collapsed="false">
      <c r="B2858" s="53"/>
      <c r="I2858" s="53"/>
      <c r="U2858" s="31" t="n">
        <f aca="false">IF($B2858='設定（最初に1回）'!$C$4,N(U2857)+1,N(U2857))</f>
        <v>134</v>
      </c>
    </row>
    <row r="2859" customFormat="false" ht="15" hidden="false" customHeight="false" outlineLevel="0" collapsed="false">
      <c r="B2859" s="53"/>
      <c r="I2859" s="53"/>
      <c r="U2859" s="31" t="n">
        <f aca="false">IF($B2859='設定（最初に1回）'!$C$4,N(U2858)+1,N(U2858))</f>
        <v>134</v>
      </c>
    </row>
    <row r="2860" customFormat="false" ht="15" hidden="false" customHeight="false" outlineLevel="0" collapsed="false">
      <c r="B2860" s="53"/>
      <c r="I2860" s="53"/>
      <c r="U2860" s="31" t="n">
        <f aca="false">IF($B2860='設定（最初に1回）'!$C$4,N(U2859)+1,N(U2859))</f>
        <v>134</v>
      </c>
    </row>
    <row r="2861" customFormat="false" ht="15" hidden="false" customHeight="false" outlineLevel="0" collapsed="false">
      <c r="B2861" s="53"/>
      <c r="I2861" s="53"/>
      <c r="U2861" s="31" t="n">
        <f aca="false">IF($B2861='設定（最初に1回）'!$C$4,N(U2860)+1,N(U2860))</f>
        <v>134</v>
      </c>
    </row>
    <row r="2862" customFormat="false" ht="15" hidden="false" customHeight="false" outlineLevel="0" collapsed="false">
      <c r="B2862" s="53"/>
      <c r="I2862" s="53"/>
      <c r="U2862" s="31" t="n">
        <f aca="false">IF($B2862='設定（最初に1回）'!$C$4,N(U2861)+1,N(U2861))</f>
        <v>134</v>
      </c>
    </row>
    <row r="2863" customFormat="false" ht="15" hidden="false" customHeight="false" outlineLevel="0" collapsed="false">
      <c r="B2863" s="53"/>
      <c r="I2863" s="53"/>
      <c r="U2863" s="31" t="n">
        <f aca="false">IF($B2863='設定（最初に1回）'!$C$4,N(U2862)+1,N(U2862))</f>
        <v>134</v>
      </c>
    </row>
    <row r="2864" customFormat="false" ht="15" hidden="false" customHeight="false" outlineLevel="0" collapsed="false">
      <c r="B2864" s="53"/>
      <c r="I2864" s="53"/>
      <c r="U2864" s="31" t="n">
        <f aca="false">IF($B2864='設定（最初に1回）'!$C$4,N(U2863)+1,N(U2863))</f>
        <v>134</v>
      </c>
    </row>
    <row r="2865" customFormat="false" ht="15" hidden="false" customHeight="false" outlineLevel="0" collapsed="false">
      <c r="B2865" s="53"/>
      <c r="I2865" s="53"/>
      <c r="U2865" s="31" t="n">
        <f aca="false">IF($B2865='設定（最初に1回）'!$C$4,N(U2864)+1,N(U2864))</f>
        <v>134</v>
      </c>
    </row>
    <row r="2866" customFormat="false" ht="15" hidden="false" customHeight="false" outlineLevel="0" collapsed="false">
      <c r="B2866" s="53"/>
      <c r="I2866" s="53"/>
      <c r="U2866" s="31" t="n">
        <f aca="false">IF($B2866='設定（最初に1回）'!$C$4,N(U2865)+1,N(U2865))</f>
        <v>134</v>
      </c>
    </row>
    <row r="2867" customFormat="false" ht="15" hidden="false" customHeight="false" outlineLevel="0" collapsed="false">
      <c r="B2867" s="53"/>
      <c r="I2867" s="53"/>
      <c r="U2867" s="31" t="n">
        <f aca="false">IF($B2867='設定（最初に1回）'!$C$4,N(U2866)+1,N(U2866))</f>
        <v>134</v>
      </c>
    </row>
    <row r="2868" customFormat="false" ht="15" hidden="false" customHeight="false" outlineLevel="0" collapsed="false">
      <c r="B2868" s="53"/>
      <c r="I2868" s="53"/>
      <c r="U2868" s="31" t="n">
        <f aca="false">IF($B2868='設定（最初に1回）'!$C$4,N(U2867)+1,N(U2867))</f>
        <v>134</v>
      </c>
    </row>
    <row r="2869" customFormat="false" ht="15" hidden="false" customHeight="false" outlineLevel="0" collapsed="false">
      <c r="B2869" s="53"/>
      <c r="I2869" s="53"/>
      <c r="U2869" s="31" t="n">
        <f aca="false">IF($B2869='設定（最初に1回）'!$C$4,N(U2868)+1,N(U2868))</f>
        <v>134</v>
      </c>
    </row>
    <row r="2870" customFormat="false" ht="15" hidden="false" customHeight="false" outlineLevel="0" collapsed="false">
      <c r="B2870" s="53"/>
      <c r="I2870" s="53"/>
      <c r="U2870" s="31" t="n">
        <f aca="false">IF($B2870='設定（最初に1回）'!$C$4,N(U2869)+1,N(U2869))</f>
        <v>134</v>
      </c>
    </row>
    <row r="2871" customFormat="false" ht="15" hidden="false" customHeight="false" outlineLevel="0" collapsed="false">
      <c r="B2871" s="53"/>
      <c r="I2871" s="53"/>
      <c r="U2871" s="31" t="n">
        <f aca="false">IF($B2871='設定（最初に1回）'!$C$4,N(U2870)+1,N(U2870))</f>
        <v>134</v>
      </c>
    </row>
    <row r="2872" customFormat="false" ht="15" hidden="false" customHeight="false" outlineLevel="0" collapsed="false">
      <c r="B2872" s="53"/>
      <c r="I2872" s="53"/>
      <c r="U2872" s="31" t="n">
        <f aca="false">IF($B2872='設定（最初に1回）'!$C$4,N(U2871)+1,N(U2871))</f>
        <v>134</v>
      </c>
    </row>
    <row r="2873" customFormat="false" ht="15" hidden="false" customHeight="false" outlineLevel="0" collapsed="false">
      <c r="B2873" s="53"/>
      <c r="I2873" s="53"/>
      <c r="U2873" s="31" t="n">
        <f aca="false">IF($B2873='設定（最初に1回）'!$C$4,N(U2872)+1,N(U2872))</f>
        <v>134</v>
      </c>
    </row>
    <row r="2874" customFormat="false" ht="15" hidden="false" customHeight="false" outlineLevel="0" collapsed="false">
      <c r="B2874" s="53"/>
      <c r="I2874" s="53"/>
      <c r="U2874" s="31" t="n">
        <f aca="false">IF($B2874='設定（最初に1回）'!$C$4,N(U2873)+1,N(U2873))</f>
        <v>134</v>
      </c>
    </row>
    <row r="2875" customFormat="false" ht="15" hidden="false" customHeight="false" outlineLevel="0" collapsed="false">
      <c r="B2875" s="53"/>
      <c r="I2875" s="53"/>
      <c r="U2875" s="31" t="n">
        <f aca="false">IF($B2875='設定（最初に1回）'!$C$4,N(U2874)+1,N(U2874))</f>
        <v>134</v>
      </c>
    </row>
    <row r="2876" customFormat="false" ht="15" hidden="false" customHeight="false" outlineLevel="0" collapsed="false">
      <c r="B2876" s="53"/>
      <c r="I2876" s="53"/>
      <c r="U2876" s="31" t="n">
        <f aca="false">IF($B2876='設定（最初に1回）'!$C$4,N(U2875)+1,N(U2875))</f>
        <v>134</v>
      </c>
    </row>
    <row r="2877" customFormat="false" ht="15" hidden="false" customHeight="false" outlineLevel="0" collapsed="false">
      <c r="B2877" s="53"/>
      <c r="I2877" s="53"/>
      <c r="U2877" s="31" t="n">
        <f aca="false">IF($B2877='設定（最初に1回）'!$C$4,N(U2876)+1,N(U2876))</f>
        <v>134</v>
      </c>
    </row>
    <row r="2878" customFormat="false" ht="15" hidden="false" customHeight="false" outlineLevel="0" collapsed="false">
      <c r="B2878" s="53"/>
      <c r="I2878" s="53"/>
      <c r="U2878" s="31" t="n">
        <f aca="false">IF($B2878='設定（最初に1回）'!$C$4,N(U2877)+1,N(U2877))</f>
        <v>134</v>
      </c>
    </row>
    <row r="2879" customFormat="false" ht="15" hidden="false" customHeight="false" outlineLevel="0" collapsed="false">
      <c r="B2879" s="53"/>
      <c r="I2879" s="53"/>
      <c r="U2879" s="31" t="n">
        <f aca="false">IF($B2879='設定（最初に1回）'!$C$4,N(U2878)+1,N(U2878))</f>
        <v>134</v>
      </c>
    </row>
    <row r="2880" customFormat="false" ht="15" hidden="false" customHeight="false" outlineLevel="0" collapsed="false">
      <c r="B2880" s="53"/>
      <c r="I2880" s="53"/>
      <c r="U2880" s="31" t="n">
        <f aca="false">IF($B2880='設定（最初に1回）'!$C$4,N(U2879)+1,N(U2879))</f>
        <v>134</v>
      </c>
    </row>
    <row r="2881" customFormat="false" ht="15" hidden="false" customHeight="false" outlineLevel="0" collapsed="false">
      <c r="B2881" s="53"/>
      <c r="I2881" s="53"/>
      <c r="U2881" s="31" t="n">
        <f aca="false">IF($B2881='設定（最初に1回）'!$C$4,N(U2880)+1,N(U2880))</f>
        <v>134</v>
      </c>
    </row>
    <row r="2882" customFormat="false" ht="15" hidden="false" customHeight="false" outlineLevel="0" collapsed="false">
      <c r="B2882" s="53"/>
      <c r="I2882" s="53"/>
      <c r="U2882" s="31" t="n">
        <f aca="false">IF($B2882='設定（最初に1回）'!$C$4,N(U2881)+1,N(U2881))</f>
        <v>134</v>
      </c>
    </row>
    <row r="2883" customFormat="false" ht="15" hidden="false" customHeight="false" outlineLevel="0" collapsed="false">
      <c r="B2883" s="53"/>
      <c r="I2883" s="53"/>
      <c r="U2883" s="31" t="n">
        <f aca="false">IF($B2883='設定（最初に1回）'!$C$4,N(U2882)+1,N(U2882))</f>
        <v>134</v>
      </c>
    </row>
    <row r="2884" customFormat="false" ht="15" hidden="false" customHeight="false" outlineLevel="0" collapsed="false">
      <c r="B2884" s="53"/>
      <c r="I2884" s="53"/>
      <c r="U2884" s="31" t="n">
        <f aca="false">IF($B2884='設定（最初に1回）'!$C$4,N(U2883)+1,N(U2883))</f>
        <v>134</v>
      </c>
    </row>
    <row r="2885" customFormat="false" ht="15" hidden="false" customHeight="false" outlineLevel="0" collapsed="false">
      <c r="B2885" s="53"/>
      <c r="I2885" s="53"/>
      <c r="U2885" s="31" t="n">
        <f aca="false">IF($B2885='設定（最初に1回）'!$C$4,N(U2884)+1,N(U2884))</f>
        <v>134</v>
      </c>
    </row>
    <row r="2886" customFormat="false" ht="15" hidden="false" customHeight="false" outlineLevel="0" collapsed="false">
      <c r="B2886" s="53"/>
      <c r="I2886" s="53"/>
      <c r="U2886" s="31" t="n">
        <f aca="false">IF($B2886='設定（最初に1回）'!$C$4,N(U2885)+1,N(U2885))</f>
        <v>134</v>
      </c>
    </row>
    <row r="2887" customFormat="false" ht="15" hidden="false" customHeight="false" outlineLevel="0" collapsed="false">
      <c r="B2887" s="53"/>
      <c r="I2887" s="53"/>
      <c r="U2887" s="31" t="n">
        <f aca="false">IF($B2887='設定（最初に1回）'!$C$4,N(U2886)+1,N(U2886))</f>
        <v>134</v>
      </c>
    </row>
    <row r="2888" customFormat="false" ht="15" hidden="false" customHeight="false" outlineLevel="0" collapsed="false">
      <c r="B2888" s="53"/>
      <c r="I2888" s="53"/>
      <c r="U2888" s="31" t="n">
        <f aca="false">IF($B2888='設定（最初に1回）'!$C$4,N(U2887)+1,N(U2887))</f>
        <v>134</v>
      </c>
    </row>
    <row r="2889" customFormat="false" ht="15" hidden="false" customHeight="false" outlineLevel="0" collapsed="false">
      <c r="B2889" s="53"/>
      <c r="I2889" s="53"/>
      <c r="U2889" s="31" t="n">
        <f aca="false">IF($B2889='設定（最初に1回）'!$C$4,N(U2888)+1,N(U2888))</f>
        <v>134</v>
      </c>
    </row>
    <row r="2890" customFormat="false" ht="15" hidden="false" customHeight="false" outlineLevel="0" collapsed="false">
      <c r="B2890" s="53"/>
      <c r="I2890" s="53"/>
      <c r="U2890" s="31" t="n">
        <f aca="false">IF($B2890='設定（最初に1回）'!$C$4,N(U2889)+1,N(U2889))</f>
        <v>134</v>
      </c>
    </row>
    <row r="2891" customFormat="false" ht="15" hidden="false" customHeight="false" outlineLevel="0" collapsed="false">
      <c r="B2891" s="53"/>
      <c r="I2891" s="53"/>
      <c r="U2891" s="31" t="n">
        <f aca="false">IF($B2891='設定（最初に1回）'!$C$4,N(U2890)+1,N(U2890))</f>
        <v>134</v>
      </c>
    </row>
    <row r="2892" customFormat="false" ht="15" hidden="false" customHeight="false" outlineLevel="0" collapsed="false">
      <c r="B2892" s="53"/>
      <c r="I2892" s="53"/>
      <c r="U2892" s="31" t="n">
        <f aca="false">IF($B2892='設定（最初に1回）'!$C$4,N(U2891)+1,N(U2891))</f>
        <v>134</v>
      </c>
    </row>
    <row r="2893" customFormat="false" ht="15" hidden="false" customHeight="false" outlineLevel="0" collapsed="false">
      <c r="B2893" s="53"/>
      <c r="I2893" s="53"/>
      <c r="U2893" s="31" t="n">
        <f aca="false">IF($B2893='設定（最初に1回）'!$C$4,N(U2892)+1,N(U2892))</f>
        <v>134</v>
      </c>
    </row>
    <row r="2894" customFormat="false" ht="15" hidden="false" customHeight="false" outlineLevel="0" collapsed="false">
      <c r="B2894" s="53"/>
      <c r="I2894" s="53"/>
      <c r="U2894" s="31" t="n">
        <f aca="false">IF($B2894='設定（最初に1回）'!$C$4,N(U2893)+1,N(U2893))</f>
        <v>134</v>
      </c>
    </row>
    <row r="2895" customFormat="false" ht="15" hidden="false" customHeight="false" outlineLevel="0" collapsed="false">
      <c r="B2895" s="53"/>
      <c r="I2895" s="53"/>
      <c r="U2895" s="31" t="n">
        <f aca="false">IF($B2895='設定（最初に1回）'!$C$4,N(U2894)+1,N(U2894))</f>
        <v>134</v>
      </c>
    </row>
    <row r="2896" customFormat="false" ht="15" hidden="false" customHeight="false" outlineLevel="0" collapsed="false">
      <c r="B2896" s="53"/>
      <c r="I2896" s="53"/>
      <c r="U2896" s="31" t="n">
        <f aca="false">IF($B2896='設定（最初に1回）'!$C$4,N(U2895)+1,N(U2895))</f>
        <v>134</v>
      </c>
    </row>
    <row r="2897" customFormat="false" ht="15" hidden="false" customHeight="false" outlineLevel="0" collapsed="false">
      <c r="B2897" s="53"/>
      <c r="I2897" s="53"/>
      <c r="U2897" s="31" t="n">
        <f aca="false">IF($B2897='設定（最初に1回）'!$C$4,N(U2896)+1,N(U2896))</f>
        <v>134</v>
      </c>
    </row>
    <row r="2898" customFormat="false" ht="15" hidden="false" customHeight="false" outlineLevel="0" collapsed="false">
      <c r="B2898" s="53"/>
      <c r="I2898" s="53"/>
      <c r="U2898" s="31" t="n">
        <f aca="false">IF($B2898='設定（最初に1回）'!$C$4,N(U2897)+1,N(U2897))</f>
        <v>134</v>
      </c>
    </row>
    <row r="2899" customFormat="false" ht="15" hidden="false" customHeight="false" outlineLevel="0" collapsed="false">
      <c r="B2899" s="53"/>
      <c r="I2899" s="53"/>
      <c r="U2899" s="31" t="n">
        <f aca="false">IF($B2899='設定（最初に1回）'!$C$4,N(U2898)+1,N(U2898))</f>
        <v>134</v>
      </c>
    </row>
    <row r="2900" customFormat="false" ht="15" hidden="false" customHeight="false" outlineLevel="0" collapsed="false">
      <c r="B2900" s="53"/>
      <c r="I2900" s="53"/>
      <c r="U2900" s="31" t="n">
        <f aca="false">IF($B2900='設定（最初に1回）'!$C$4,N(U2899)+1,N(U2899))</f>
        <v>134</v>
      </c>
    </row>
    <row r="2901" customFormat="false" ht="15" hidden="false" customHeight="false" outlineLevel="0" collapsed="false">
      <c r="B2901" s="53"/>
      <c r="I2901" s="53"/>
      <c r="U2901" s="31" t="n">
        <f aca="false">IF($B2901='設定（最初に1回）'!$C$4,N(U2900)+1,N(U2900))</f>
        <v>134</v>
      </c>
    </row>
    <row r="2902" customFormat="false" ht="15" hidden="false" customHeight="false" outlineLevel="0" collapsed="false">
      <c r="B2902" s="53"/>
      <c r="I2902" s="53"/>
      <c r="U2902" s="31" t="n">
        <f aca="false">IF($B2902='設定（最初に1回）'!$C$4,N(U2901)+1,N(U2901))</f>
        <v>134</v>
      </c>
    </row>
    <row r="2903" customFormat="false" ht="15" hidden="false" customHeight="false" outlineLevel="0" collapsed="false">
      <c r="B2903" s="53"/>
      <c r="I2903" s="53"/>
      <c r="U2903" s="31" t="n">
        <f aca="false">IF($B2903='設定（最初に1回）'!$C$4,N(U2902)+1,N(U2902))</f>
        <v>134</v>
      </c>
    </row>
    <row r="2904" customFormat="false" ht="15" hidden="false" customHeight="false" outlineLevel="0" collapsed="false">
      <c r="B2904" s="53"/>
      <c r="I2904" s="53"/>
      <c r="U2904" s="31" t="n">
        <f aca="false">IF($B2904='設定（最初に1回）'!$C$4,N(U2903)+1,N(U2903))</f>
        <v>134</v>
      </c>
    </row>
    <row r="2905" customFormat="false" ht="15" hidden="false" customHeight="false" outlineLevel="0" collapsed="false">
      <c r="B2905" s="53"/>
      <c r="I2905" s="53"/>
      <c r="U2905" s="31" t="n">
        <f aca="false">IF($B2905='設定（最初に1回）'!$C$4,N(U2904)+1,N(U2904))</f>
        <v>134</v>
      </c>
    </row>
    <row r="2906" customFormat="false" ht="15" hidden="false" customHeight="false" outlineLevel="0" collapsed="false">
      <c r="B2906" s="53"/>
      <c r="I2906" s="53"/>
      <c r="U2906" s="31" t="n">
        <f aca="false">IF($B2906='設定（最初に1回）'!$C$4,N(U2905)+1,N(U2905))</f>
        <v>134</v>
      </c>
    </row>
    <row r="2907" customFormat="false" ht="15" hidden="false" customHeight="false" outlineLevel="0" collapsed="false">
      <c r="B2907" s="53"/>
      <c r="I2907" s="53"/>
      <c r="U2907" s="31" t="n">
        <f aca="false">IF($B2907='設定（最初に1回）'!$C$4,N(U2906)+1,N(U2906))</f>
        <v>134</v>
      </c>
    </row>
    <row r="2908" customFormat="false" ht="15" hidden="false" customHeight="false" outlineLevel="0" collapsed="false">
      <c r="B2908" s="53"/>
      <c r="I2908" s="53"/>
      <c r="U2908" s="31" t="n">
        <f aca="false">IF($B2908='設定（最初に1回）'!$C$4,N(U2907)+1,N(U2907))</f>
        <v>134</v>
      </c>
    </row>
    <row r="2909" customFormat="false" ht="15" hidden="false" customHeight="false" outlineLevel="0" collapsed="false">
      <c r="B2909" s="53"/>
      <c r="I2909" s="53"/>
      <c r="U2909" s="31" t="n">
        <f aca="false">IF($B2909='設定（最初に1回）'!$C$4,N(U2908)+1,N(U2908))</f>
        <v>134</v>
      </c>
    </row>
    <row r="2910" customFormat="false" ht="15" hidden="false" customHeight="false" outlineLevel="0" collapsed="false">
      <c r="B2910" s="53"/>
      <c r="I2910" s="53"/>
      <c r="U2910" s="31" t="n">
        <f aca="false">IF($B2910='設定（最初に1回）'!$C$4,N(U2909)+1,N(U2909))</f>
        <v>134</v>
      </c>
    </row>
    <row r="2911" customFormat="false" ht="15" hidden="false" customHeight="false" outlineLevel="0" collapsed="false">
      <c r="B2911" s="53"/>
      <c r="I2911" s="53"/>
      <c r="U2911" s="31" t="n">
        <f aca="false">IF($B2911='設定（最初に1回）'!$C$4,N(U2910)+1,N(U2910))</f>
        <v>134</v>
      </c>
    </row>
    <row r="2912" customFormat="false" ht="15" hidden="false" customHeight="false" outlineLevel="0" collapsed="false">
      <c r="B2912" s="53"/>
      <c r="I2912" s="53"/>
      <c r="U2912" s="31" t="n">
        <f aca="false">IF($B2912='設定（最初に1回）'!$C$4,N(U2911)+1,N(U2911))</f>
        <v>134</v>
      </c>
    </row>
    <row r="2913" customFormat="false" ht="15" hidden="false" customHeight="false" outlineLevel="0" collapsed="false">
      <c r="B2913" s="53"/>
      <c r="I2913" s="53"/>
      <c r="U2913" s="31" t="n">
        <f aca="false">IF($B2913='設定（最初に1回）'!$C$4,N(U2912)+1,N(U2912))</f>
        <v>134</v>
      </c>
    </row>
    <row r="2914" customFormat="false" ht="15" hidden="false" customHeight="false" outlineLevel="0" collapsed="false">
      <c r="B2914" s="53"/>
      <c r="I2914" s="53"/>
      <c r="U2914" s="31" t="n">
        <f aca="false">IF($B2914='設定（最初に1回）'!$C$4,N(U2913)+1,N(U2913))</f>
        <v>134</v>
      </c>
    </row>
    <row r="2915" customFormat="false" ht="15" hidden="false" customHeight="false" outlineLevel="0" collapsed="false">
      <c r="B2915" s="53"/>
      <c r="I2915" s="53"/>
      <c r="U2915" s="31" t="n">
        <f aca="false">IF($B2915='設定（最初に1回）'!$C$4,N(U2914)+1,N(U2914))</f>
        <v>134</v>
      </c>
    </row>
    <row r="2916" customFormat="false" ht="15" hidden="false" customHeight="false" outlineLevel="0" collapsed="false">
      <c r="B2916" s="53"/>
      <c r="I2916" s="53"/>
      <c r="U2916" s="31" t="n">
        <f aca="false">IF($B2916='設定（最初に1回）'!$C$4,N(U2915)+1,N(U2915))</f>
        <v>134</v>
      </c>
    </row>
    <row r="2917" customFormat="false" ht="15" hidden="false" customHeight="false" outlineLevel="0" collapsed="false">
      <c r="B2917" s="53"/>
      <c r="I2917" s="53"/>
      <c r="U2917" s="31" t="n">
        <f aca="false">IF($B2917='設定（最初に1回）'!$C$4,N(U2916)+1,N(U2916))</f>
        <v>134</v>
      </c>
    </row>
    <row r="2918" customFormat="false" ht="15" hidden="false" customHeight="false" outlineLevel="0" collapsed="false">
      <c r="B2918" s="53"/>
      <c r="I2918" s="53"/>
      <c r="U2918" s="31" t="n">
        <f aca="false">IF($B2918='設定（最初に1回）'!$C$4,N(U2917)+1,N(U2917))</f>
        <v>134</v>
      </c>
    </row>
    <row r="2919" customFormat="false" ht="15" hidden="false" customHeight="false" outlineLevel="0" collapsed="false">
      <c r="B2919" s="53"/>
      <c r="I2919" s="53"/>
      <c r="U2919" s="31" t="n">
        <f aca="false">IF($B2919='設定（最初に1回）'!$C$4,N(U2918)+1,N(U2918))</f>
        <v>134</v>
      </c>
    </row>
    <row r="2920" customFormat="false" ht="15" hidden="false" customHeight="false" outlineLevel="0" collapsed="false">
      <c r="B2920" s="53"/>
      <c r="I2920" s="53"/>
      <c r="U2920" s="31" t="n">
        <f aca="false">IF($B2920='設定（最初に1回）'!$C$4,N(U2919)+1,N(U2919))</f>
        <v>134</v>
      </c>
    </row>
    <row r="2921" customFormat="false" ht="15" hidden="false" customHeight="false" outlineLevel="0" collapsed="false">
      <c r="B2921" s="53"/>
      <c r="I2921" s="53"/>
      <c r="U2921" s="31" t="n">
        <f aca="false">IF($B2921='設定（最初に1回）'!$C$4,N(U2920)+1,N(U2920))</f>
        <v>134</v>
      </c>
    </row>
    <row r="2922" customFormat="false" ht="15" hidden="false" customHeight="false" outlineLevel="0" collapsed="false">
      <c r="B2922" s="53"/>
      <c r="I2922" s="53"/>
      <c r="U2922" s="31" t="n">
        <f aca="false">IF($B2922='設定（最初に1回）'!$C$4,N(U2921)+1,N(U2921))</f>
        <v>134</v>
      </c>
    </row>
    <row r="2923" customFormat="false" ht="15" hidden="false" customHeight="false" outlineLevel="0" collapsed="false">
      <c r="B2923" s="53"/>
      <c r="I2923" s="53"/>
      <c r="U2923" s="31" t="n">
        <f aca="false">IF($B2923='設定（最初に1回）'!$C$4,N(U2922)+1,N(U2922))</f>
        <v>134</v>
      </c>
    </row>
    <row r="2924" customFormat="false" ht="15" hidden="false" customHeight="false" outlineLevel="0" collapsed="false">
      <c r="B2924" s="53"/>
      <c r="I2924" s="53"/>
      <c r="U2924" s="31" t="n">
        <f aca="false">IF($B2924='設定（最初に1回）'!$C$4,N(U2923)+1,N(U2923))</f>
        <v>134</v>
      </c>
    </row>
    <row r="2925" customFormat="false" ht="15" hidden="false" customHeight="false" outlineLevel="0" collapsed="false">
      <c r="B2925" s="53"/>
      <c r="I2925" s="53"/>
      <c r="U2925" s="31" t="n">
        <f aca="false">IF($B2925='設定（最初に1回）'!$C$4,N(U2924)+1,N(U2924))</f>
        <v>134</v>
      </c>
    </row>
    <row r="2926" customFormat="false" ht="15" hidden="false" customHeight="false" outlineLevel="0" collapsed="false">
      <c r="B2926" s="53"/>
      <c r="I2926" s="53"/>
      <c r="U2926" s="31" t="n">
        <f aca="false">IF($B2926='設定（最初に1回）'!$C$4,N(U2925)+1,N(U2925))</f>
        <v>134</v>
      </c>
    </row>
    <row r="2927" customFormat="false" ht="15" hidden="false" customHeight="false" outlineLevel="0" collapsed="false">
      <c r="B2927" s="53"/>
      <c r="I2927" s="53"/>
      <c r="U2927" s="31" t="n">
        <f aca="false">IF($B2927='設定（最初に1回）'!$C$4,N(U2926)+1,N(U2926))</f>
        <v>134</v>
      </c>
    </row>
    <row r="2928" customFormat="false" ht="15" hidden="false" customHeight="false" outlineLevel="0" collapsed="false">
      <c r="B2928" s="53"/>
      <c r="I2928" s="53"/>
      <c r="U2928" s="31" t="n">
        <f aca="false">IF($B2928='設定（最初に1回）'!$C$4,N(U2927)+1,N(U2927))</f>
        <v>134</v>
      </c>
    </row>
    <row r="2929" customFormat="false" ht="15" hidden="false" customHeight="false" outlineLevel="0" collapsed="false">
      <c r="B2929" s="53"/>
      <c r="I2929" s="53"/>
      <c r="U2929" s="31" t="n">
        <f aca="false">IF($B2929='設定（最初に1回）'!$C$4,N(U2928)+1,N(U2928))</f>
        <v>134</v>
      </c>
    </row>
    <row r="2930" customFormat="false" ht="15" hidden="false" customHeight="false" outlineLevel="0" collapsed="false">
      <c r="B2930" s="53"/>
      <c r="I2930" s="53"/>
      <c r="U2930" s="31" t="n">
        <f aca="false">IF($B2930='設定（最初に1回）'!$C$4,N(U2929)+1,N(U2929))</f>
        <v>134</v>
      </c>
    </row>
    <row r="2931" customFormat="false" ht="15" hidden="false" customHeight="false" outlineLevel="0" collapsed="false">
      <c r="B2931" s="53"/>
      <c r="I2931" s="53"/>
      <c r="U2931" s="31" t="n">
        <f aca="false">IF($B2931='設定（最初に1回）'!$C$4,N(U2930)+1,N(U2930))</f>
        <v>134</v>
      </c>
    </row>
    <row r="2932" customFormat="false" ht="15" hidden="false" customHeight="false" outlineLevel="0" collapsed="false">
      <c r="B2932" s="53"/>
      <c r="I2932" s="53"/>
      <c r="U2932" s="31" t="n">
        <f aca="false">IF($B2932='設定（最初に1回）'!$C$4,N(U2931)+1,N(U2931))</f>
        <v>134</v>
      </c>
    </row>
    <row r="2933" customFormat="false" ht="15" hidden="false" customHeight="false" outlineLevel="0" collapsed="false">
      <c r="B2933" s="53"/>
      <c r="I2933" s="53"/>
      <c r="U2933" s="31" t="n">
        <f aca="false">IF($B2933='設定（最初に1回）'!$C$4,N(U2932)+1,N(U2932))</f>
        <v>134</v>
      </c>
    </row>
    <row r="2934" customFormat="false" ht="15" hidden="false" customHeight="false" outlineLevel="0" collapsed="false">
      <c r="B2934" s="53"/>
      <c r="I2934" s="53"/>
      <c r="U2934" s="31" t="n">
        <f aca="false">IF($B2934='設定（最初に1回）'!$C$4,N(U2933)+1,N(U2933))</f>
        <v>134</v>
      </c>
    </row>
    <row r="2935" customFormat="false" ht="15" hidden="false" customHeight="false" outlineLevel="0" collapsed="false">
      <c r="B2935" s="53"/>
      <c r="I2935" s="53"/>
      <c r="U2935" s="31" t="n">
        <f aca="false">IF($B2935='設定（最初に1回）'!$C$4,N(U2934)+1,N(U2934))</f>
        <v>134</v>
      </c>
    </row>
    <row r="2936" customFormat="false" ht="15" hidden="false" customHeight="false" outlineLevel="0" collapsed="false">
      <c r="B2936" s="53"/>
      <c r="I2936" s="53"/>
      <c r="U2936" s="31" t="n">
        <f aca="false">IF($B2936='設定（最初に1回）'!$C$4,N(U2935)+1,N(U2935))</f>
        <v>134</v>
      </c>
    </row>
    <row r="2937" customFormat="false" ht="15" hidden="false" customHeight="false" outlineLevel="0" collapsed="false">
      <c r="B2937" s="53"/>
      <c r="I2937" s="53"/>
      <c r="U2937" s="31" t="n">
        <f aca="false">IF($B2937='設定（最初に1回）'!$C$4,N(U2936)+1,N(U2936))</f>
        <v>134</v>
      </c>
    </row>
    <row r="2938" customFormat="false" ht="15" hidden="false" customHeight="false" outlineLevel="0" collapsed="false">
      <c r="B2938" s="53"/>
      <c r="I2938" s="53"/>
      <c r="U2938" s="31" t="n">
        <f aca="false">IF($B2938='設定（最初に1回）'!$C$4,N(U2937)+1,N(U2937))</f>
        <v>134</v>
      </c>
    </row>
    <row r="2939" customFormat="false" ht="15" hidden="false" customHeight="false" outlineLevel="0" collapsed="false">
      <c r="B2939" s="53"/>
      <c r="I2939" s="53"/>
      <c r="U2939" s="31" t="n">
        <f aca="false">IF($B2939='設定（最初に1回）'!$C$4,N(U2938)+1,N(U2938))</f>
        <v>134</v>
      </c>
    </row>
    <row r="2940" customFormat="false" ht="15" hidden="false" customHeight="false" outlineLevel="0" collapsed="false">
      <c r="B2940" s="53"/>
      <c r="I2940" s="53"/>
      <c r="U2940" s="31" t="n">
        <f aca="false">IF($B2940='設定（最初に1回）'!$C$4,N(U2939)+1,N(U2939))</f>
        <v>134</v>
      </c>
    </row>
    <row r="2941" customFormat="false" ht="15" hidden="false" customHeight="false" outlineLevel="0" collapsed="false">
      <c r="B2941" s="53"/>
      <c r="I2941" s="53"/>
      <c r="U2941" s="31" t="n">
        <f aca="false">IF($B2941='設定（最初に1回）'!$C$4,N(U2940)+1,N(U2940))</f>
        <v>134</v>
      </c>
    </row>
    <row r="2942" customFormat="false" ht="15" hidden="false" customHeight="false" outlineLevel="0" collapsed="false">
      <c r="B2942" s="53"/>
      <c r="I2942" s="53"/>
      <c r="U2942" s="31" t="n">
        <f aca="false">IF($B2942='設定（最初に1回）'!$C$4,N(U2941)+1,N(U2941))</f>
        <v>134</v>
      </c>
    </row>
    <row r="2943" customFormat="false" ht="15" hidden="false" customHeight="false" outlineLevel="0" collapsed="false">
      <c r="B2943" s="53"/>
      <c r="I2943" s="53"/>
      <c r="U2943" s="31" t="n">
        <f aca="false">IF($B2943='設定（最初に1回）'!$C$4,N(U2942)+1,N(U2942))</f>
        <v>134</v>
      </c>
    </row>
    <row r="2944" customFormat="false" ht="15" hidden="false" customHeight="false" outlineLevel="0" collapsed="false">
      <c r="B2944" s="53"/>
      <c r="I2944" s="53"/>
      <c r="U2944" s="31" t="n">
        <f aca="false">IF($B2944='設定（最初に1回）'!$C$4,N(U2943)+1,N(U2943))</f>
        <v>134</v>
      </c>
    </row>
    <row r="2945" customFormat="false" ht="15" hidden="false" customHeight="false" outlineLevel="0" collapsed="false">
      <c r="B2945" s="53"/>
      <c r="I2945" s="53"/>
      <c r="U2945" s="31" t="n">
        <f aca="false">IF($B2945='設定（最初に1回）'!$C$4,N(U2944)+1,N(U2944))</f>
        <v>134</v>
      </c>
    </row>
    <row r="2946" customFormat="false" ht="15" hidden="false" customHeight="false" outlineLevel="0" collapsed="false">
      <c r="B2946" s="53"/>
      <c r="I2946" s="53"/>
      <c r="U2946" s="31" t="n">
        <f aca="false">IF($B2946='設定（最初に1回）'!$C$4,N(U2945)+1,N(U2945))</f>
        <v>134</v>
      </c>
    </row>
    <row r="2947" customFormat="false" ht="15" hidden="false" customHeight="false" outlineLevel="0" collapsed="false">
      <c r="B2947" s="53"/>
      <c r="I2947" s="53"/>
      <c r="U2947" s="31" t="n">
        <f aca="false">IF($B2947='設定（最初に1回）'!$C$4,N(U2946)+1,N(U2946))</f>
        <v>134</v>
      </c>
    </row>
    <row r="2948" customFormat="false" ht="15" hidden="false" customHeight="false" outlineLevel="0" collapsed="false">
      <c r="B2948" s="53"/>
      <c r="I2948" s="53"/>
      <c r="U2948" s="31" t="n">
        <f aca="false">IF($B2948='設定（最初に1回）'!$C$4,N(U2947)+1,N(U2947))</f>
        <v>134</v>
      </c>
    </row>
    <row r="2949" customFormat="false" ht="15" hidden="false" customHeight="false" outlineLevel="0" collapsed="false">
      <c r="B2949" s="53"/>
      <c r="I2949" s="53"/>
      <c r="U2949" s="31" t="n">
        <f aca="false">IF($B2949='設定（最初に1回）'!$C$4,N(U2948)+1,N(U2948))</f>
        <v>134</v>
      </c>
    </row>
    <row r="2950" customFormat="false" ht="15" hidden="false" customHeight="false" outlineLevel="0" collapsed="false">
      <c r="B2950" s="53"/>
      <c r="I2950" s="53"/>
      <c r="U2950" s="31" t="n">
        <f aca="false">IF($B2950='設定（最初に1回）'!$C$4,N(U2949)+1,N(U2949))</f>
        <v>134</v>
      </c>
    </row>
    <row r="2951" customFormat="false" ht="15" hidden="false" customHeight="false" outlineLevel="0" collapsed="false">
      <c r="B2951" s="53"/>
      <c r="I2951" s="53"/>
      <c r="U2951" s="31" t="n">
        <f aca="false">IF($B2951='設定（最初に1回）'!$C$4,N(U2950)+1,N(U2950))</f>
        <v>134</v>
      </c>
    </row>
    <row r="2952" customFormat="false" ht="15" hidden="false" customHeight="false" outlineLevel="0" collapsed="false">
      <c r="B2952" s="53"/>
      <c r="I2952" s="53"/>
      <c r="U2952" s="31" t="n">
        <f aca="false">IF($B2952='設定（最初に1回）'!$C$4,N(U2951)+1,N(U2951))</f>
        <v>134</v>
      </c>
    </row>
    <row r="2953" customFormat="false" ht="15" hidden="false" customHeight="false" outlineLevel="0" collapsed="false">
      <c r="B2953" s="53"/>
      <c r="I2953" s="53"/>
      <c r="U2953" s="31" t="n">
        <f aca="false">IF($B2953='設定（最初に1回）'!$C$4,N(U2952)+1,N(U2952))</f>
        <v>134</v>
      </c>
    </row>
    <row r="2954" customFormat="false" ht="15" hidden="false" customHeight="false" outlineLevel="0" collapsed="false">
      <c r="B2954" s="53"/>
      <c r="I2954" s="53"/>
      <c r="U2954" s="31" t="n">
        <f aca="false">IF($B2954='設定（最初に1回）'!$C$4,N(U2953)+1,N(U2953))</f>
        <v>134</v>
      </c>
    </row>
    <row r="2955" customFormat="false" ht="15" hidden="false" customHeight="false" outlineLevel="0" collapsed="false">
      <c r="B2955" s="53"/>
      <c r="I2955" s="53"/>
      <c r="U2955" s="31" t="n">
        <f aca="false">IF($B2955='設定（最初に1回）'!$C$4,N(U2954)+1,N(U2954))</f>
        <v>134</v>
      </c>
    </row>
    <row r="2956" customFormat="false" ht="15" hidden="false" customHeight="false" outlineLevel="0" collapsed="false">
      <c r="B2956" s="53"/>
      <c r="I2956" s="53"/>
      <c r="U2956" s="31" t="n">
        <f aca="false">IF($B2956='設定（最初に1回）'!$C$4,N(U2955)+1,N(U2955))</f>
        <v>134</v>
      </c>
    </row>
    <row r="2957" customFormat="false" ht="15" hidden="false" customHeight="false" outlineLevel="0" collapsed="false">
      <c r="B2957" s="53"/>
      <c r="I2957" s="53"/>
      <c r="U2957" s="31" t="n">
        <f aca="false">IF($B2957='設定（最初に1回）'!$C$4,N(U2956)+1,N(U2956))</f>
        <v>134</v>
      </c>
    </row>
    <row r="2958" customFormat="false" ht="15" hidden="false" customHeight="false" outlineLevel="0" collapsed="false">
      <c r="B2958" s="53"/>
      <c r="I2958" s="53"/>
      <c r="U2958" s="31" t="n">
        <f aca="false">IF($B2958='設定（最初に1回）'!$C$4,N(U2957)+1,N(U2957))</f>
        <v>134</v>
      </c>
    </row>
    <row r="2959" customFormat="false" ht="15" hidden="false" customHeight="false" outlineLevel="0" collapsed="false">
      <c r="B2959" s="53"/>
      <c r="I2959" s="53"/>
      <c r="U2959" s="31" t="n">
        <f aca="false">IF($B2959='設定（最初に1回）'!$C$4,N(U2958)+1,N(U2958))</f>
        <v>134</v>
      </c>
    </row>
    <row r="2960" customFormat="false" ht="15" hidden="false" customHeight="false" outlineLevel="0" collapsed="false">
      <c r="B2960" s="53"/>
      <c r="I2960" s="53"/>
      <c r="U2960" s="31" t="n">
        <f aca="false">IF($B2960='設定（最初に1回）'!$C$4,N(U2959)+1,N(U2959))</f>
        <v>134</v>
      </c>
    </row>
    <row r="2961" customFormat="false" ht="15" hidden="false" customHeight="false" outlineLevel="0" collapsed="false">
      <c r="B2961" s="53"/>
      <c r="I2961" s="53"/>
      <c r="U2961" s="31" t="n">
        <f aca="false">IF($B2961='設定（最初に1回）'!$C$4,N(U2960)+1,N(U2960))</f>
        <v>134</v>
      </c>
    </row>
    <row r="2962" customFormat="false" ht="15" hidden="false" customHeight="false" outlineLevel="0" collapsed="false">
      <c r="B2962" s="53"/>
      <c r="I2962" s="53"/>
      <c r="U2962" s="31" t="n">
        <f aca="false">IF($B2962='設定（最初に1回）'!$C$4,N(U2961)+1,N(U2961))</f>
        <v>134</v>
      </c>
    </row>
    <row r="2963" customFormat="false" ht="15" hidden="false" customHeight="false" outlineLevel="0" collapsed="false">
      <c r="B2963" s="53"/>
      <c r="I2963" s="53"/>
      <c r="U2963" s="31" t="n">
        <f aca="false">IF($B2963='設定（最初に1回）'!$C$4,N(U2962)+1,N(U2962))</f>
        <v>134</v>
      </c>
    </row>
    <row r="2964" customFormat="false" ht="15" hidden="false" customHeight="false" outlineLevel="0" collapsed="false">
      <c r="B2964" s="53"/>
      <c r="I2964" s="53"/>
      <c r="U2964" s="31" t="n">
        <f aca="false">IF($B2964='設定（最初に1回）'!$C$4,N(U2963)+1,N(U2963))</f>
        <v>134</v>
      </c>
    </row>
    <row r="2965" customFormat="false" ht="15" hidden="false" customHeight="false" outlineLevel="0" collapsed="false">
      <c r="B2965" s="53"/>
      <c r="I2965" s="53"/>
      <c r="U2965" s="31" t="n">
        <f aca="false">IF($B2965='設定（最初に1回）'!$C$4,N(U2964)+1,N(U2964))</f>
        <v>134</v>
      </c>
    </row>
    <row r="2966" customFormat="false" ht="15" hidden="false" customHeight="false" outlineLevel="0" collapsed="false">
      <c r="B2966" s="53"/>
      <c r="I2966" s="53"/>
      <c r="U2966" s="31" t="n">
        <f aca="false">IF($B2966='設定（最初に1回）'!$C$4,N(U2965)+1,N(U2965))</f>
        <v>134</v>
      </c>
    </row>
    <row r="2967" customFormat="false" ht="15" hidden="false" customHeight="false" outlineLevel="0" collapsed="false">
      <c r="B2967" s="53"/>
      <c r="I2967" s="53"/>
      <c r="U2967" s="31" t="n">
        <f aca="false">IF($B2967='設定（最初に1回）'!$C$4,N(U2966)+1,N(U2966))</f>
        <v>134</v>
      </c>
    </row>
    <row r="2968" customFormat="false" ht="15" hidden="false" customHeight="false" outlineLevel="0" collapsed="false">
      <c r="B2968" s="53"/>
      <c r="I2968" s="53"/>
      <c r="U2968" s="31" t="n">
        <f aca="false">IF($B2968='設定（最初に1回）'!$C$4,N(U2967)+1,N(U2967))</f>
        <v>134</v>
      </c>
    </row>
    <row r="2969" customFormat="false" ht="15" hidden="false" customHeight="false" outlineLevel="0" collapsed="false">
      <c r="B2969" s="53"/>
      <c r="I2969" s="53"/>
      <c r="U2969" s="31" t="n">
        <f aca="false">IF($B2969='設定（最初に1回）'!$C$4,N(U2968)+1,N(U2968))</f>
        <v>134</v>
      </c>
    </row>
    <row r="2970" customFormat="false" ht="15" hidden="false" customHeight="false" outlineLevel="0" collapsed="false">
      <c r="B2970" s="53"/>
      <c r="I2970" s="53"/>
      <c r="U2970" s="31" t="n">
        <f aca="false">IF($B2970='設定（最初に1回）'!$C$4,N(U2969)+1,N(U2969))</f>
        <v>134</v>
      </c>
    </row>
    <row r="2971" customFormat="false" ht="15" hidden="false" customHeight="false" outlineLevel="0" collapsed="false">
      <c r="B2971" s="53"/>
      <c r="I2971" s="53"/>
      <c r="U2971" s="31" t="n">
        <f aca="false">IF($B2971='設定（最初に1回）'!$C$4,N(U2970)+1,N(U2970))</f>
        <v>134</v>
      </c>
    </row>
    <row r="2972" customFormat="false" ht="15" hidden="false" customHeight="false" outlineLevel="0" collapsed="false">
      <c r="B2972" s="53"/>
      <c r="I2972" s="53"/>
      <c r="U2972" s="31" t="n">
        <f aca="false">IF($B2972='設定（最初に1回）'!$C$4,N(U2971)+1,N(U2971))</f>
        <v>134</v>
      </c>
    </row>
    <row r="2973" customFormat="false" ht="15" hidden="false" customHeight="false" outlineLevel="0" collapsed="false">
      <c r="B2973" s="53"/>
      <c r="I2973" s="53"/>
      <c r="U2973" s="31" t="n">
        <f aca="false">IF($B2973='設定（最初に1回）'!$C$4,N(U2972)+1,N(U2972))</f>
        <v>134</v>
      </c>
    </row>
    <row r="2974" customFormat="false" ht="15" hidden="false" customHeight="false" outlineLevel="0" collapsed="false">
      <c r="B2974" s="53"/>
      <c r="I2974" s="53"/>
      <c r="U2974" s="31" t="n">
        <f aca="false">IF($B2974='設定（最初に1回）'!$C$4,N(U2973)+1,N(U2973))</f>
        <v>134</v>
      </c>
    </row>
    <row r="2975" customFormat="false" ht="15" hidden="false" customHeight="false" outlineLevel="0" collapsed="false">
      <c r="B2975" s="53"/>
      <c r="I2975" s="53"/>
      <c r="U2975" s="31" t="n">
        <f aca="false">IF($B2975='設定（最初に1回）'!$C$4,N(U2974)+1,N(U2974))</f>
        <v>134</v>
      </c>
    </row>
    <row r="2976" customFormat="false" ht="15" hidden="false" customHeight="false" outlineLevel="0" collapsed="false">
      <c r="B2976" s="53"/>
      <c r="I2976" s="53"/>
      <c r="U2976" s="31" t="n">
        <f aca="false">IF($B2976='設定（最初に1回）'!$C$4,N(U2975)+1,N(U2975))</f>
        <v>134</v>
      </c>
    </row>
    <row r="2977" customFormat="false" ht="15" hidden="false" customHeight="false" outlineLevel="0" collapsed="false">
      <c r="B2977" s="53"/>
      <c r="I2977" s="53"/>
      <c r="U2977" s="31" t="n">
        <f aca="false">IF($B2977='設定（最初に1回）'!$C$4,N(U2976)+1,N(U2976))</f>
        <v>134</v>
      </c>
    </row>
    <row r="2978" customFormat="false" ht="15" hidden="false" customHeight="false" outlineLevel="0" collapsed="false">
      <c r="B2978" s="53"/>
      <c r="I2978" s="53"/>
      <c r="U2978" s="31" t="n">
        <f aca="false">IF($B2978='設定（最初に1回）'!$C$4,N(U2977)+1,N(U2977))</f>
        <v>134</v>
      </c>
    </row>
    <row r="2979" customFormat="false" ht="15" hidden="false" customHeight="false" outlineLevel="0" collapsed="false">
      <c r="B2979" s="53"/>
      <c r="I2979" s="53"/>
      <c r="U2979" s="31" t="n">
        <f aca="false">IF($B2979='設定（最初に1回）'!$C$4,N(U2978)+1,N(U2978))</f>
        <v>134</v>
      </c>
    </row>
    <row r="2980" customFormat="false" ht="15" hidden="false" customHeight="false" outlineLevel="0" collapsed="false">
      <c r="B2980" s="53"/>
      <c r="I2980" s="53"/>
      <c r="U2980" s="31" t="n">
        <f aca="false">IF($B2980='設定（最初に1回）'!$C$4,N(U2979)+1,N(U2979))</f>
        <v>134</v>
      </c>
    </row>
    <row r="2981" customFormat="false" ht="15" hidden="false" customHeight="false" outlineLevel="0" collapsed="false">
      <c r="B2981" s="53"/>
      <c r="I2981" s="53"/>
      <c r="U2981" s="31" t="n">
        <f aca="false">IF($B2981='設定（最初に1回）'!$C$4,N(U2980)+1,N(U2980))</f>
        <v>134</v>
      </c>
    </row>
    <row r="2982" customFormat="false" ht="15" hidden="false" customHeight="false" outlineLevel="0" collapsed="false">
      <c r="B2982" s="53"/>
      <c r="I2982" s="53"/>
      <c r="U2982" s="31" t="n">
        <f aca="false">IF($B2982='設定（最初に1回）'!$C$4,N(U2981)+1,N(U2981))</f>
        <v>134</v>
      </c>
    </row>
    <row r="2983" customFormat="false" ht="15" hidden="false" customHeight="false" outlineLevel="0" collapsed="false">
      <c r="B2983" s="53"/>
      <c r="I2983" s="53"/>
      <c r="U2983" s="31" t="n">
        <f aca="false">IF($B2983='設定（最初に1回）'!$C$4,N(U2982)+1,N(U2982))</f>
        <v>134</v>
      </c>
    </row>
    <row r="2984" customFormat="false" ht="15" hidden="false" customHeight="false" outlineLevel="0" collapsed="false">
      <c r="B2984" s="53"/>
      <c r="I2984" s="53"/>
      <c r="U2984" s="31" t="n">
        <f aca="false">IF($B2984='設定（最初に1回）'!$C$4,N(U2983)+1,N(U2983))</f>
        <v>134</v>
      </c>
    </row>
    <row r="2985" customFormat="false" ht="15" hidden="false" customHeight="false" outlineLevel="0" collapsed="false">
      <c r="B2985" s="53"/>
      <c r="I2985" s="53"/>
      <c r="U2985" s="31" t="n">
        <f aca="false">IF($B2985='設定（最初に1回）'!$C$4,N(U2984)+1,N(U2984))</f>
        <v>134</v>
      </c>
    </row>
    <row r="2986" customFormat="false" ht="15" hidden="false" customHeight="false" outlineLevel="0" collapsed="false">
      <c r="B2986" s="53"/>
      <c r="I2986" s="53"/>
      <c r="U2986" s="31" t="n">
        <f aca="false">IF($B2986='設定（最初に1回）'!$C$4,N(U2985)+1,N(U2985))</f>
        <v>134</v>
      </c>
    </row>
    <row r="2987" customFormat="false" ht="15" hidden="false" customHeight="false" outlineLevel="0" collapsed="false">
      <c r="B2987" s="53"/>
      <c r="I2987" s="53"/>
      <c r="U2987" s="31" t="n">
        <f aca="false">IF($B2987='設定（最初に1回）'!$C$4,N(U2986)+1,N(U2986))</f>
        <v>134</v>
      </c>
    </row>
    <row r="2988" customFormat="false" ht="15" hidden="false" customHeight="false" outlineLevel="0" collapsed="false">
      <c r="B2988" s="53"/>
      <c r="I2988" s="53"/>
      <c r="U2988" s="31" t="n">
        <f aca="false">IF($B2988='設定（最初に1回）'!$C$4,N(U2987)+1,N(U2987))</f>
        <v>134</v>
      </c>
    </row>
    <row r="2989" customFormat="false" ht="15" hidden="false" customHeight="false" outlineLevel="0" collapsed="false">
      <c r="B2989" s="53"/>
      <c r="I2989" s="53"/>
      <c r="U2989" s="31" t="n">
        <f aca="false">IF($B2989='設定（最初に1回）'!$C$4,N(U2988)+1,N(U2988))</f>
        <v>134</v>
      </c>
    </row>
    <row r="2990" customFormat="false" ht="15" hidden="false" customHeight="false" outlineLevel="0" collapsed="false">
      <c r="B2990" s="53"/>
      <c r="I2990" s="53"/>
      <c r="U2990" s="31" t="n">
        <f aca="false">IF($B2990='設定（最初に1回）'!$C$4,N(U2989)+1,N(U2989))</f>
        <v>134</v>
      </c>
    </row>
    <row r="2991" customFormat="false" ht="15" hidden="false" customHeight="false" outlineLevel="0" collapsed="false">
      <c r="B2991" s="53"/>
      <c r="I2991" s="53"/>
      <c r="U2991" s="31" t="n">
        <f aca="false">IF($B2991='設定（最初に1回）'!$C$4,N(U2990)+1,N(U2990))</f>
        <v>134</v>
      </c>
    </row>
    <row r="2992" customFormat="false" ht="15" hidden="false" customHeight="false" outlineLevel="0" collapsed="false">
      <c r="B2992" s="53"/>
      <c r="I2992" s="53"/>
      <c r="U2992" s="31" t="n">
        <f aca="false">IF($B2992='設定（最初に1回）'!$C$4,N(U2991)+1,N(U2991))</f>
        <v>134</v>
      </c>
    </row>
    <row r="2993" customFormat="false" ht="15" hidden="false" customHeight="false" outlineLevel="0" collapsed="false">
      <c r="B2993" s="53"/>
      <c r="I2993" s="53"/>
      <c r="U2993" s="31" t="n">
        <f aca="false">IF($B2993='設定（最初に1回）'!$C$4,N(U2992)+1,N(U2992))</f>
        <v>134</v>
      </c>
    </row>
    <row r="2994" customFormat="false" ht="15" hidden="false" customHeight="false" outlineLevel="0" collapsed="false">
      <c r="B2994" s="53"/>
      <c r="I2994" s="53"/>
      <c r="U2994" s="31" t="n">
        <f aca="false">IF($B2994='設定（最初に1回）'!$C$4,N(U2993)+1,N(U2993))</f>
        <v>134</v>
      </c>
    </row>
    <row r="2995" customFormat="false" ht="15" hidden="false" customHeight="false" outlineLevel="0" collapsed="false">
      <c r="B2995" s="53"/>
      <c r="I2995" s="53"/>
      <c r="U2995" s="31" t="n">
        <f aca="false">IF($B2995='設定（最初に1回）'!$C$4,N(U2994)+1,N(U2994))</f>
        <v>134</v>
      </c>
    </row>
    <row r="2996" customFormat="false" ht="15" hidden="false" customHeight="false" outlineLevel="0" collapsed="false">
      <c r="B2996" s="53"/>
      <c r="I2996" s="53"/>
      <c r="U2996" s="31" t="n">
        <f aca="false">IF($B2996='設定（最初に1回）'!$C$4,N(U2995)+1,N(U2995))</f>
        <v>134</v>
      </c>
    </row>
    <row r="2997" customFormat="false" ht="15" hidden="false" customHeight="false" outlineLevel="0" collapsed="false">
      <c r="B2997" s="53"/>
      <c r="I2997" s="53"/>
      <c r="U2997" s="31" t="n">
        <f aca="false">IF($B2997='設定（最初に1回）'!$C$4,N(U2996)+1,N(U2996))</f>
        <v>134</v>
      </c>
    </row>
    <row r="2998" customFormat="false" ht="15" hidden="false" customHeight="false" outlineLevel="0" collapsed="false">
      <c r="B2998" s="53"/>
      <c r="I2998" s="53"/>
      <c r="U2998" s="31" t="n">
        <f aca="false">IF($B2998='設定（最初に1回）'!$C$4,N(U2997)+1,N(U2997))</f>
        <v>134</v>
      </c>
    </row>
    <row r="2999" customFormat="false" ht="15" hidden="false" customHeight="false" outlineLevel="0" collapsed="false">
      <c r="B2999" s="53"/>
      <c r="I2999" s="53"/>
      <c r="U2999" s="31" t="n">
        <f aca="false">IF($B2999='設定（最初に1回）'!$C$4,N(U2998)+1,N(U2998))</f>
        <v>134</v>
      </c>
    </row>
    <row r="3000" customFormat="false" ht="15" hidden="false" customHeight="false" outlineLevel="0" collapsed="false">
      <c r="B3000" s="53"/>
      <c r="I3000" s="53"/>
      <c r="U3000" s="31" t="n">
        <f aca="false">IF($B3000='設定（最初に1回）'!$C$4,N(U2999)+1,N(U2999))</f>
        <v>134</v>
      </c>
    </row>
    <row r="3001" customFormat="false" ht="15" hidden="false" customHeight="false" outlineLevel="0" collapsed="false">
      <c r="B3001" s="53"/>
      <c r="I3001" s="53"/>
      <c r="U3001" s="31" t="n">
        <f aca="false">IF($B3001='設定（最初に1回）'!$C$4,N(U3000)+1,N(U3000))</f>
        <v>134</v>
      </c>
    </row>
    <row r="3002" customFormat="false" ht="15" hidden="false" customHeight="false" outlineLevel="0" collapsed="false">
      <c r="B3002" s="53"/>
      <c r="I3002" s="53"/>
      <c r="U3002" s="31" t="n">
        <f aca="false">IF($B3002='設定（最初に1回）'!$C$4,N(U3001)+1,N(U3001))</f>
        <v>134</v>
      </c>
    </row>
    <row r="3003" customFormat="false" ht="15" hidden="false" customHeight="false" outlineLevel="0" collapsed="false">
      <c r="B3003" s="53"/>
      <c r="I3003" s="53"/>
      <c r="U3003" s="31" t="n">
        <f aca="false">IF($B3003='設定（最初に1回）'!$C$4,N(U3002)+1,N(U3002))</f>
        <v>134</v>
      </c>
    </row>
    <row r="3004" customFormat="false" ht="15" hidden="false" customHeight="false" outlineLevel="0" collapsed="false">
      <c r="B3004" s="53"/>
      <c r="I3004" s="53"/>
      <c r="U3004" s="31" t="n">
        <f aca="false">IF($B3004='設定（最初に1回）'!$C$4,N(U3003)+1,N(U3003))</f>
        <v>134</v>
      </c>
    </row>
    <row r="3005" customFormat="false" ht="15" hidden="false" customHeight="false" outlineLevel="0" collapsed="false">
      <c r="B3005" s="53"/>
      <c r="I3005" s="53"/>
      <c r="U3005" s="31" t="n">
        <f aca="false">IF($B3005='設定（最初に1回）'!$C$4,N(U3004)+1,N(U3004))</f>
        <v>134</v>
      </c>
    </row>
    <row r="3006" customFormat="false" ht="15" hidden="false" customHeight="false" outlineLevel="0" collapsed="false">
      <c r="B3006" s="53"/>
      <c r="I3006" s="53"/>
      <c r="U3006" s="31" t="n">
        <f aca="false">IF($B3006='設定（最初に1回）'!$C$4,N(U3005)+1,N(U3005))</f>
        <v>134</v>
      </c>
    </row>
    <row r="3007" customFormat="false" ht="15" hidden="false" customHeight="false" outlineLevel="0" collapsed="false">
      <c r="B3007" s="53"/>
      <c r="I3007" s="53"/>
      <c r="U3007" s="31" t="n">
        <f aca="false">IF($B3007='設定（最初に1回）'!$C$4,N(U3006)+1,N(U3006))</f>
        <v>134</v>
      </c>
    </row>
    <row r="3008" customFormat="false" ht="15" hidden="false" customHeight="false" outlineLevel="0" collapsed="false">
      <c r="B3008" s="53"/>
      <c r="I3008" s="53"/>
      <c r="U3008" s="31" t="n">
        <f aca="false">IF($B3008='設定（最初に1回）'!$C$4,N(U3007)+1,N(U3007))</f>
        <v>134</v>
      </c>
    </row>
    <row r="3009" customFormat="false" ht="15" hidden="false" customHeight="false" outlineLevel="0" collapsed="false">
      <c r="B3009" s="53"/>
      <c r="I3009" s="53"/>
      <c r="U3009" s="31" t="n">
        <f aca="false">IF($B3009='設定（最初に1回）'!$C$4,N(U3008)+1,N(U3008))</f>
        <v>134</v>
      </c>
    </row>
    <row r="3010" customFormat="false" ht="15" hidden="false" customHeight="false" outlineLevel="0" collapsed="false">
      <c r="B3010" s="53"/>
      <c r="I3010" s="53"/>
      <c r="U3010" s="31" t="n">
        <f aca="false">IF($B3010='設定（最初に1回）'!$C$4,N(U3009)+1,N(U3009))</f>
        <v>134</v>
      </c>
    </row>
    <row r="3011" customFormat="false" ht="15" hidden="false" customHeight="false" outlineLevel="0" collapsed="false">
      <c r="B3011" s="53"/>
      <c r="I3011" s="53"/>
      <c r="U3011" s="31" t="n">
        <f aca="false">IF($B3011='設定（最初に1回）'!$C$4,N(U3010)+1,N(U3010))</f>
        <v>134</v>
      </c>
    </row>
    <row r="3012" customFormat="false" ht="15" hidden="false" customHeight="false" outlineLevel="0" collapsed="false">
      <c r="B3012" s="53"/>
      <c r="I3012" s="53"/>
      <c r="U3012" s="31" t="n">
        <f aca="false">IF($B3012='設定（最初に1回）'!$C$4,N(U3011)+1,N(U3011))</f>
        <v>134</v>
      </c>
    </row>
    <row r="3013" customFormat="false" ht="15" hidden="false" customHeight="false" outlineLevel="0" collapsed="false">
      <c r="B3013" s="53"/>
      <c r="I3013" s="53"/>
      <c r="U3013" s="31" t="n">
        <f aca="false">IF($B3013='設定（最初に1回）'!$C$4,N(U3012)+1,N(U3012))</f>
        <v>134</v>
      </c>
    </row>
    <row r="3014" customFormat="false" ht="15" hidden="false" customHeight="false" outlineLevel="0" collapsed="false">
      <c r="B3014" s="53"/>
      <c r="I3014" s="53"/>
      <c r="U3014" s="31" t="n">
        <f aca="false">IF($B3014='設定（最初に1回）'!$C$4,N(U3013)+1,N(U3013))</f>
        <v>134</v>
      </c>
    </row>
    <row r="3015" customFormat="false" ht="15" hidden="false" customHeight="false" outlineLevel="0" collapsed="false">
      <c r="B3015" s="53"/>
      <c r="I3015" s="53"/>
      <c r="U3015" s="31" t="n">
        <f aca="false">IF($B3015='設定（最初に1回）'!$C$4,N(U3014)+1,N(U3014))</f>
        <v>134</v>
      </c>
    </row>
    <row r="3016" customFormat="false" ht="15" hidden="false" customHeight="false" outlineLevel="0" collapsed="false">
      <c r="B3016" s="53"/>
      <c r="I3016" s="53"/>
      <c r="U3016" s="31" t="n">
        <f aca="false">IF($B3016='設定（最初に1回）'!$C$4,N(U3015)+1,N(U3015))</f>
        <v>134</v>
      </c>
    </row>
    <row r="3017" customFormat="false" ht="15" hidden="false" customHeight="false" outlineLevel="0" collapsed="false">
      <c r="B3017" s="53"/>
      <c r="I3017" s="53"/>
      <c r="U3017" s="31" t="n">
        <f aca="false">IF($B3017='設定（最初に1回）'!$C$4,N(U3016)+1,N(U3016))</f>
        <v>134</v>
      </c>
    </row>
    <row r="3018" customFormat="false" ht="15" hidden="false" customHeight="false" outlineLevel="0" collapsed="false">
      <c r="B3018" s="53"/>
      <c r="I3018" s="53"/>
      <c r="U3018" s="31" t="n">
        <f aca="false">IF($B3018='設定（最初に1回）'!$C$4,N(U3017)+1,N(U3017))</f>
        <v>134</v>
      </c>
    </row>
    <row r="3019" customFormat="false" ht="15" hidden="false" customHeight="false" outlineLevel="0" collapsed="false">
      <c r="B3019" s="53"/>
      <c r="I3019" s="53"/>
      <c r="U3019" s="31" t="n">
        <f aca="false">IF($B3019='設定（最初に1回）'!$C$4,N(U3018)+1,N(U3018))</f>
        <v>134</v>
      </c>
    </row>
    <row r="3020" customFormat="false" ht="15" hidden="false" customHeight="false" outlineLevel="0" collapsed="false">
      <c r="B3020" s="53"/>
      <c r="I3020" s="53"/>
      <c r="U3020" s="31" t="n">
        <f aca="false">IF($B3020='設定（最初に1回）'!$C$4,N(U3019)+1,N(U3019))</f>
        <v>134</v>
      </c>
    </row>
    <row r="3021" customFormat="false" ht="15" hidden="false" customHeight="false" outlineLevel="0" collapsed="false">
      <c r="B3021" s="53"/>
      <c r="I3021" s="53"/>
      <c r="U3021" s="31" t="n">
        <f aca="false">IF($B3021='設定（最初に1回）'!$C$4,N(U3020)+1,N(U3020))</f>
        <v>134</v>
      </c>
    </row>
    <row r="3022" customFormat="false" ht="15" hidden="false" customHeight="false" outlineLevel="0" collapsed="false">
      <c r="B3022" s="53"/>
      <c r="I3022" s="53"/>
      <c r="U3022" s="31" t="n">
        <f aca="false">IF($B3022='設定（最初に1回）'!$C$4,N(U3021)+1,N(U3021))</f>
        <v>134</v>
      </c>
    </row>
    <row r="3023" customFormat="false" ht="15" hidden="false" customHeight="false" outlineLevel="0" collapsed="false">
      <c r="B3023" s="53"/>
      <c r="I3023" s="53"/>
      <c r="U3023" s="31" t="n">
        <f aca="false">IF($B3023='設定（最初に1回）'!$C$4,N(U3022)+1,N(U3022))</f>
        <v>134</v>
      </c>
    </row>
    <row r="3024" customFormat="false" ht="15" hidden="false" customHeight="false" outlineLevel="0" collapsed="false">
      <c r="B3024" s="53"/>
      <c r="I3024" s="53"/>
      <c r="U3024" s="31" t="n">
        <f aca="false">IF($B3024='設定（最初に1回）'!$C$4,N(U3023)+1,N(U3023))</f>
        <v>134</v>
      </c>
    </row>
    <row r="3025" customFormat="false" ht="15" hidden="false" customHeight="false" outlineLevel="0" collapsed="false">
      <c r="B3025" s="53"/>
      <c r="I3025" s="53"/>
      <c r="U3025" s="31" t="n">
        <f aca="false">IF($B3025='設定（最初に1回）'!$C$4,N(U3024)+1,N(U3024))</f>
        <v>134</v>
      </c>
    </row>
    <row r="3026" customFormat="false" ht="15" hidden="false" customHeight="false" outlineLevel="0" collapsed="false">
      <c r="B3026" s="53"/>
      <c r="I3026" s="53"/>
      <c r="U3026" s="31" t="n">
        <f aca="false">IF($B3026='設定（最初に1回）'!$C$4,N(U3025)+1,N(U3025))</f>
        <v>134</v>
      </c>
    </row>
    <row r="3027" customFormat="false" ht="15" hidden="false" customHeight="false" outlineLevel="0" collapsed="false">
      <c r="B3027" s="53"/>
      <c r="I3027" s="53"/>
      <c r="U3027" s="31" t="n">
        <f aca="false">IF($B3027='設定（最初に1回）'!$C$4,N(U3026)+1,N(U3026))</f>
        <v>134</v>
      </c>
    </row>
    <row r="3028" customFormat="false" ht="15" hidden="false" customHeight="false" outlineLevel="0" collapsed="false">
      <c r="B3028" s="53"/>
      <c r="I3028" s="53"/>
      <c r="U3028" s="31" t="n">
        <f aca="false">IF($B3028='設定（最初に1回）'!$C$4,N(U3027)+1,N(U3027))</f>
        <v>134</v>
      </c>
    </row>
    <row r="3029" customFormat="false" ht="15" hidden="false" customHeight="false" outlineLevel="0" collapsed="false">
      <c r="B3029" s="53"/>
      <c r="I3029" s="53"/>
      <c r="U3029" s="31" t="n">
        <f aca="false">IF($B3029='設定（最初に1回）'!$C$4,N(U3028)+1,N(U3028))</f>
        <v>134</v>
      </c>
    </row>
    <row r="3030" customFormat="false" ht="15" hidden="false" customHeight="false" outlineLevel="0" collapsed="false">
      <c r="B3030" s="53"/>
      <c r="I3030" s="53"/>
      <c r="U3030" s="31" t="n">
        <f aca="false">IF($B3030='設定（最初に1回）'!$C$4,N(U3029)+1,N(U3029))</f>
        <v>134</v>
      </c>
    </row>
    <row r="3031" customFormat="false" ht="15" hidden="false" customHeight="false" outlineLevel="0" collapsed="false">
      <c r="B3031" s="53"/>
      <c r="I3031" s="53"/>
      <c r="U3031" s="31" t="n">
        <f aca="false">IF($B3031='設定（最初に1回）'!$C$4,N(U3030)+1,N(U3030))</f>
        <v>134</v>
      </c>
    </row>
    <row r="3032" customFormat="false" ht="15" hidden="false" customHeight="false" outlineLevel="0" collapsed="false">
      <c r="B3032" s="53"/>
      <c r="I3032" s="53"/>
      <c r="U3032" s="31" t="n">
        <f aca="false">IF($B3032='設定（最初に1回）'!$C$4,N(U3031)+1,N(U3031))</f>
        <v>134</v>
      </c>
    </row>
    <row r="3033" customFormat="false" ht="15" hidden="false" customHeight="false" outlineLevel="0" collapsed="false">
      <c r="B3033" s="53"/>
      <c r="I3033" s="53"/>
      <c r="U3033" s="31" t="n">
        <f aca="false">IF($B3033='設定（最初に1回）'!$C$4,N(U3032)+1,N(U3032))</f>
        <v>134</v>
      </c>
    </row>
    <row r="3034" customFormat="false" ht="15" hidden="false" customHeight="false" outlineLevel="0" collapsed="false">
      <c r="B3034" s="53"/>
      <c r="I3034" s="53"/>
      <c r="U3034" s="31" t="n">
        <f aca="false">IF($B3034='設定（最初に1回）'!$C$4,N(U3033)+1,N(U3033))</f>
        <v>134</v>
      </c>
    </row>
    <row r="3035" customFormat="false" ht="15" hidden="false" customHeight="false" outlineLevel="0" collapsed="false">
      <c r="B3035" s="53"/>
      <c r="I3035" s="53"/>
      <c r="U3035" s="31" t="n">
        <f aca="false">IF($B3035='設定（最初に1回）'!$C$4,N(U3034)+1,N(U3034))</f>
        <v>134</v>
      </c>
    </row>
    <row r="3036" customFormat="false" ht="15" hidden="false" customHeight="false" outlineLevel="0" collapsed="false">
      <c r="B3036" s="53"/>
      <c r="I3036" s="53"/>
      <c r="U3036" s="31" t="n">
        <f aca="false">IF($B3036='設定（最初に1回）'!$C$4,N(U3035)+1,N(U3035))</f>
        <v>134</v>
      </c>
    </row>
    <row r="3037" customFormat="false" ht="15" hidden="false" customHeight="false" outlineLevel="0" collapsed="false">
      <c r="B3037" s="53"/>
      <c r="I3037" s="53"/>
      <c r="U3037" s="31" t="n">
        <f aca="false">IF($B3037='設定（最初に1回）'!$C$4,N(U3036)+1,N(U3036))</f>
        <v>134</v>
      </c>
    </row>
    <row r="3038" customFormat="false" ht="15" hidden="false" customHeight="false" outlineLevel="0" collapsed="false">
      <c r="B3038" s="53"/>
      <c r="I3038" s="53"/>
      <c r="U3038" s="31" t="n">
        <f aca="false">IF($B3038='設定（最初に1回）'!$C$4,N(U3037)+1,N(U3037))</f>
        <v>134</v>
      </c>
    </row>
    <row r="3039" customFormat="false" ht="15" hidden="false" customHeight="false" outlineLevel="0" collapsed="false">
      <c r="B3039" s="53"/>
      <c r="I3039" s="53"/>
      <c r="U3039" s="31" t="n">
        <f aca="false">IF($B3039='設定（最初に1回）'!$C$4,N(U3038)+1,N(U3038))</f>
        <v>134</v>
      </c>
    </row>
    <row r="3040" customFormat="false" ht="15" hidden="false" customHeight="false" outlineLevel="0" collapsed="false">
      <c r="B3040" s="53"/>
      <c r="I3040" s="53"/>
      <c r="U3040" s="31" t="n">
        <f aca="false">IF($B3040='設定（最初に1回）'!$C$4,N(U3039)+1,N(U3039))</f>
        <v>134</v>
      </c>
    </row>
    <row r="3041" customFormat="false" ht="15" hidden="false" customHeight="false" outlineLevel="0" collapsed="false">
      <c r="B3041" s="53"/>
      <c r="I3041" s="53"/>
      <c r="U3041" s="31" t="n">
        <f aca="false">IF($B3041='設定（最初に1回）'!$C$4,N(U3040)+1,N(U3040))</f>
        <v>134</v>
      </c>
    </row>
    <row r="3042" customFormat="false" ht="15" hidden="false" customHeight="false" outlineLevel="0" collapsed="false">
      <c r="B3042" s="53"/>
      <c r="I3042" s="53"/>
      <c r="U3042" s="31" t="n">
        <f aca="false">IF($B3042='設定（最初に1回）'!$C$4,N(U3041)+1,N(U3041))</f>
        <v>134</v>
      </c>
    </row>
    <row r="3043" customFormat="false" ht="15" hidden="false" customHeight="false" outlineLevel="0" collapsed="false">
      <c r="B3043" s="53"/>
      <c r="I3043" s="53"/>
      <c r="U3043" s="31" t="n">
        <f aca="false">IF($B3043='設定（最初に1回）'!$C$4,N(U3042)+1,N(U3042))</f>
        <v>134</v>
      </c>
    </row>
    <row r="3044" customFormat="false" ht="15" hidden="false" customHeight="false" outlineLevel="0" collapsed="false">
      <c r="B3044" s="53"/>
      <c r="I3044" s="53"/>
      <c r="U3044" s="31" t="n">
        <f aca="false">IF($B3044='設定（最初に1回）'!$C$4,N(U3043)+1,N(U3043))</f>
        <v>134</v>
      </c>
    </row>
    <row r="3045" customFormat="false" ht="15" hidden="false" customHeight="false" outlineLevel="0" collapsed="false">
      <c r="B3045" s="53"/>
      <c r="I3045" s="53"/>
      <c r="U3045" s="31" t="n">
        <f aca="false">IF($B3045='設定（最初に1回）'!$C$4,N(U3044)+1,N(U3044))</f>
        <v>134</v>
      </c>
    </row>
    <row r="3046" customFormat="false" ht="15" hidden="false" customHeight="false" outlineLevel="0" collapsed="false">
      <c r="B3046" s="53"/>
      <c r="I3046" s="53"/>
      <c r="U3046" s="31" t="n">
        <f aca="false">IF($B3046='設定（最初に1回）'!$C$4,N(U3045)+1,N(U3045))</f>
        <v>134</v>
      </c>
    </row>
    <row r="3047" customFormat="false" ht="15" hidden="false" customHeight="false" outlineLevel="0" collapsed="false">
      <c r="B3047" s="53"/>
      <c r="I3047" s="53"/>
      <c r="U3047" s="31" t="n">
        <f aca="false">IF($B3047='設定（最初に1回）'!$C$4,N(U3046)+1,N(U3046))</f>
        <v>134</v>
      </c>
    </row>
    <row r="3048" customFormat="false" ht="15" hidden="false" customHeight="false" outlineLevel="0" collapsed="false">
      <c r="B3048" s="53"/>
      <c r="I3048" s="53"/>
      <c r="U3048" s="31" t="n">
        <f aca="false">IF($B3048='設定（最初に1回）'!$C$4,N(U3047)+1,N(U3047))</f>
        <v>134</v>
      </c>
    </row>
    <row r="3049" customFormat="false" ht="15" hidden="false" customHeight="false" outlineLevel="0" collapsed="false">
      <c r="B3049" s="53"/>
      <c r="I3049" s="53"/>
      <c r="U3049" s="31" t="n">
        <f aca="false">IF($B3049='設定（最初に1回）'!$C$4,N(U3048)+1,N(U3048))</f>
        <v>134</v>
      </c>
    </row>
    <row r="3050" customFormat="false" ht="15" hidden="false" customHeight="false" outlineLevel="0" collapsed="false">
      <c r="B3050" s="53"/>
      <c r="I3050" s="53"/>
      <c r="U3050" s="31" t="n">
        <f aca="false">IF($B3050='設定（最初に1回）'!$C$4,N(U3049)+1,N(U3049))</f>
        <v>134</v>
      </c>
    </row>
    <row r="3051" customFormat="false" ht="15" hidden="false" customHeight="false" outlineLevel="0" collapsed="false">
      <c r="B3051" s="53"/>
      <c r="I3051" s="53"/>
      <c r="U3051" s="31" t="n">
        <f aca="false">IF($B3051='設定（最初に1回）'!$C$4,N(U3050)+1,N(U3050))</f>
        <v>134</v>
      </c>
    </row>
    <row r="3052" customFormat="false" ht="15" hidden="false" customHeight="false" outlineLevel="0" collapsed="false">
      <c r="B3052" s="53"/>
      <c r="I3052" s="53"/>
      <c r="U3052" s="31" t="n">
        <f aca="false">IF($B3052='設定（最初に1回）'!$C$4,N(U3051)+1,N(U3051))</f>
        <v>134</v>
      </c>
    </row>
    <row r="3053" customFormat="false" ht="15" hidden="false" customHeight="false" outlineLevel="0" collapsed="false">
      <c r="B3053" s="53"/>
      <c r="I3053" s="53"/>
      <c r="U3053" s="31" t="n">
        <f aca="false">IF($B3053='設定（最初に1回）'!$C$4,N(U3052)+1,N(U3052))</f>
        <v>134</v>
      </c>
    </row>
    <row r="3054" customFormat="false" ht="15" hidden="false" customHeight="false" outlineLevel="0" collapsed="false">
      <c r="B3054" s="53"/>
      <c r="I3054" s="53"/>
      <c r="U3054" s="31" t="n">
        <f aca="false">IF($B3054='設定（最初に1回）'!$C$4,N(U3053)+1,N(U3053))</f>
        <v>134</v>
      </c>
    </row>
    <row r="3055" customFormat="false" ht="15" hidden="false" customHeight="false" outlineLevel="0" collapsed="false">
      <c r="B3055" s="53"/>
      <c r="I3055" s="53"/>
      <c r="U3055" s="31" t="n">
        <f aca="false">IF($B3055='設定（最初に1回）'!$C$4,N(U3054)+1,N(U3054))</f>
        <v>134</v>
      </c>
    </row>
    <row r="3056" customFormat="false" ht="15" hidden="false" customHeight="false" outlineLevel="0" collapsed="false">
      <c r="B3056" s="53"/>
      <c r="I3056" s="53"/>
      <c r="U3056" s="31" t="n">
        <f aca="false">IF($B3056='設定（最初に1回）'!$C$4,N(U3055)+1,N(U3055))</f>
        <v>134</v>
      </c>
    </row>
    <row r="3057" customFormat="false" ht="15" hidden="false" customHeight="false" outlineLevel="0" collapsed="false">
      <c r="B3057" s="53"/>
      <c r="I3057" s="53"/>
      <c r="U3057" s="31" t="n">
        <f aca="false">IF($B3057='設定（最初に1回）'!$C$4,N(U3056)+1,N(U3056))</f>
        <v>134</v>
      </c>
    </row>
    <row r="3058" customFormat="false" ht="15" hidden="false" customHeight="false" outlineLevel="0" collapsed="false">
      <c r="B3058" s="53"/>
      <c r="I3058" s="53"/>
      <c r="U3058" s="31" t="n">
        <f aca="false">IF($B3058='設定（最初に1回）'!$C$4,N(U3057)+1,N(U3057))</f>
        <v>134</v>
      </c>
    </row>
    <row r="3059" customFormat="false" ht="15" hidden="false" customHeight="false" outlineLevel="0" collapsed="false">
      <c r="B3059" s="53"/>
      <c r="I3059" s="53"/>
      <c r="U3059" s="31" t="n">
        <f aca="false">IF($B3059='設定（最初に1回）'!$C$4,N(U3058)+1,N(U3058))</f>
        <v>134</v>
      </c>
    </row>
    <row r="3060" customFormat="false" ht="15" hidden="false" customHeight="false" outlineLevel="0" collapsed="false">
      <c r="B3060" s="53"/>
      <c r="I3060" s="53"/>
      <c r="U3060" s="31" t="n">
        <f aca="false">IF($B3060='設定（最初に1回）'!$C$4,N(U3059)+1,N(U3059))</f>
        <v>134</v>
      </c>
    </row>
    <row r="3061" customFormat="false" ht="15" hidden="false" customHeight="false" outlineLevel="0" collapsed="false">
      <c r="B3061" s="53"/>
      <c r="I3061" s="53"/>
      <c r="U3061" s="31" t="n">
        <f aca="false">IF($B3061='設定（最初に1回）'!$C$4,N(U3060)+1,N(U3060))</f>
        <v>134</v>
      </c>
    </row>
    <row r="3062" customFormat="false" ht="15" hidden="false" customHeight="false" outlineLevel="0" collapsed="false">
      <c r="B3062" s="53"/>
      <c r="I3062" s="53"/>
      <c r="U3062" s="31" t="n">
        <f aca="false">IF($B3062='設定（最初に1回）'!$C$4,N(U3061)+1,N(U3061))</f>
        <v>134</v>
      </c>
    </row>
    <row r="3063" customFormat="false" ht="15" hidden="false" customHeight="false" outlineLevel="0" collapsed="false">
      <c r="B3063" s="53"/>
      <c r="I3063" s="53"/>
      <c r="U3063" s="31" t="n">
        <f aca="false">IF($B3063='設定（最初に1回）'!$C$4,N(U3062)+1,N(U3062))</f>
        <v>134</v>
      </c>
    </row>
    <row r="3064" customFormat="false" ht="15" hidden="false" customHeight="false" outlineLevel="0" collapsed="false">
      <c r="B3064" s="53"/>
      <c r="I3064" s="53"/>
      <c r="U3064" s="31" t="n">
        <f aca="false">IF($B3064='設定（最初に1回）'!$C$4,N(U3063)+1,N(U3063))</f>
        <v>134</v>
      </c>
    </row>
    <row r="3065" customFormat="false" ht="15" hidden="false" customHeight="false" outlineLevel="0" collapsed="false">
      <c r="B3065" s="53"/>
      <c r="I3065" s="53"/>
      <c r="U3065" s="31" t="n">
        <f aca="false">IF($B3065='設定（最初に1回）'!$C$4,N(U3064)+1,N(U3064))</f>
        <v>134</v>
      </c>
    </row>
    <row r="3066" customFormat="false" ht="15" hidden="false" customHeight="false" outlineLevel="0" collapsed="false">
      <c r="B3066" s="53"/>
      <c r="I3066" s="53"/>
      <c r="U3066" s="31" t="n">
        <f aca="false">IF($B3066='設定（最初に1回）'!$C$4,N(U3065)+1,N(U3065))</f>
        <v>134</v>
      </c>
    </row>
    <row r="3067" customFormat="false" ht="15" hidden="false" customHeight="false" outlineLevel="0" collapsed="false">
      <c r="B3067" s="53"/>
      <c r="I3067" s="53"/>
      <c r="U3067" s="31" t="n">
        <f aca="false">IF($B3067='設定（最初に1回）'!$C$4,N(U3066)+1,N(U3066))</f>
        <v>134</v>
      </c>
    </row>
    <row r="3068" customFormat="false" ht="15" hidden="false" customHeight="false" outlineLevel="0" collapsed="false">
      <c r="B3068" s="53"/>
      <c r="I3068" s="53"/>
      <c r="U3068" s="31" t="n">
        <f aca="false">IF($B3068='設定（最初に1回）'!$C$4,N(U3067)+1,N(U3067))</f>
        <v>134</v>
      </c>
    </row>
    <row r="3069" customFormat="false" ht="15" hidden="false" customHeight="false" outlineLevel="0" collapsed="false">
      <c r="B3069" s="53"/>
      <c r="I3069" s="53"/>
      <c r="U3069" s="31" t="n">
        <f aca="false">IF($B3069='設定（最初に1回）'!$C$4,N(U3068)+1,N(U3068))</f>
        <v>134</v>
      </c>
    </row>
    <row r="3070" customFormat="false" ht="15" hidden="false" customHeight="false" outlineLevel="0" collapsed="false">
      <c r="B3070" s="53"/>
      <c r="I3070" s="53"/>
      <c r="U3070" s="31" t="n">
        <f aca="false">IF($B3070='設定（最初に1回）'!$C$4,N(U3069)+1,N(U3069))</f>
        <v>134</v>
      </c>
    </row>
    <row r="3071" customFormat="false" ht="15" hidden="false" customHeight="false" outlineLevel="0" collapsed="false">
      <c r="B3071" s="53"/>
      <c r="I3071" s="53"/>
      <c r="U3071" s="31" t="n">
        <f aca="false">IF($B3071='設定（最初に1回）'!$C$4,N(U3070)+1,N(U3070))</f>
        <v>134</v>
      </c>
    </row>
    <row r="3072" customFormat="false" ht="15" hidden="false" customHeight="false" outlineLevel="0" collapsed="false">
      <c r="B3072" s="53"/>
      <c r="I3072" s="53"/>
      <c r="U3072" s="31" t="n">
        <f aca="false">IF($B3072='設定（最初に1回）'!$C$4,N(U3071)+1,N(U3071))</f>
        <v>134</v>
      </c>
    </row>
    <row r="3073" customFormat="false" ht="15" hidden="false" customHeight="false" outlineLevel="0" collapsed="false">
      <c r="B3073" s="53"/>
      <c r="I3073" s="53"/>
      <c r="U3073" s="31" t="n">
        <f aca="false">IF($B3073='設定（最初に1回）'!$C$4,N(U3072)+1,N(U3072))</f>
        <v>134</v>
      </c>
    </row>
    <row r="3074" customFormat="false" ht="15" hidden="false" customHeight="false" outlineLevel="0" collapsed="false">
      <c r="B3074" s="53"/>
      <c r="I3074" s="53"/>
      <c r="U3074" s="31" t="n">
        <f aca="false">IF($B3074='設定（最初に1回）'!$C$4,N(U3073)+1,N(U3073))</f>
        <v>134</v>
      </c>
    </row>
    <row r="3075" customFormat="false" ht="15" hidden="false" customHeight="false" outlineLevel="0" collapsed="false">
      <c r="B3075" s="53"/>
      <c r="I3075" s="53"/>
      <c r="U3075" s="31" t="n">
        <f aca="false">IF($B3075='設定（最初に1回）'!$C$4,N(U3074)+1,N(U3074))</f>
        <v>134</v>
      </c>
    </row>
    <row r="3076" customFormat="false" ht="15" hidden="false" customHeight="false" outlineLevel="0" collapsed="false">
      <c r="B3076" s="53"/>
      <c r="I3076" s="53"/>
      <c r="U3076" s="31" t="n">
        <f aca="false">IF($B3076='設定（最初に1回）'!$C$4,N(U3075)+1,N(U3075))</f>
        <v>134</v>
      </c>
    </row>
    <row r="3077" customFormat="false" ht="15" hidden="false" customHeight="false" outlineLevel="0" collapsed="false">
      <c r="B3077" s="53"/>
      <c r="I3077" s="53"/>
      <c r="U3077" s="31" t="n">
        <f aca="false">IF($B3077='設定（最初に1回）'!$C$4,N(U3076)+1,N(U3076))</f>
        <v>134</v>
      </c>
    </row>
    <row r="3078" customFormat="false" ht="15" hidden="false" customHeight="false" outlineLevel="0" collapsed="false">
      <c r="B3078" s="53"/>
      <c r="I3078" s="53"/>
      <c r="U3078" s="31" t="n">
        <f aca="false">IF($B3078='設定（最初に1回）'!$C$4,N(U3077)+1,N(U3077))</f>
        <v>134</v>
      </c>
    </row>
    <row r="3079" customFormat="false" ht="15" hidden="false" customHeight="false" outlineLevel="0" collapsed="false">
      <c r="B3079" s="53"/>
      <c r="I3079" s="53"/>
      <c r="U3079" s="31" t="n">
        <f aca="false">IF($B3079='設定（最初に1回）'!$C$4,N(U3078)+1,N(U3078))</f>
        <v>134</v>
      </c>
    </row>
    <row r="3080" customFormat="false" ht="15" hidden="false" customHeight="false" outlineLevel="0" collapsed="false">
      <c r="B3080" s="53"/>
      <c r="I3080" s="53"/>
      <c r="U3080" s="31" t="n">
        <f aca="false">IF($B3080='設定（最初に1回）'!$C$4,N(U3079)+1,N(U3079))</f>
        <v>134</v>
      </c>
    </row>
    <row r="3081" customFormat="false" ht="15" hidden="false" customHeight="false" outlineLevel="0" collapsed="false">
      <c r="B3081" s="53"/>
      <c r="I3081" s="53"/>
      <c r="U3081" s="31" t="n">
        <f aca="false">IF($B3081='設定（最初に1回）'!$C$4,N(U3080)+1,N(U3080))</f>
        <v>134</v>
      </c>
    </row>
    <row r="3082" customFormat="false" ht="15" hidden="false" customHeight="false" outlineLevel="0" collapsed="false">
      <c r="B3082" s="53"/>
      <c r="I3082" s="53"/>
      <c r="U3082" s="31" t="n">
        <f aca="false">IF($B3082='設定（最初に1回）'!$C$4,N(U3081)+1,N(U3081))</f>
        <v>134</v>
      </c>
    </row>
    <row r="3083" customFormat="false" ht="15" hidden="false" customHeight="false" outlineLevel="0" collapsed="false">
      <c r="B3083" s="53"/>
      <c r="I3083" s="53"/>
      <c r="U3083" s="31" t="n">
        <f aca="false">IF($B3083='設定（最初に1回）'!$C$4,N(U3082)+1,N(U3082))</f>
        <v>134</v>
      </c>
    </row>
    <row r="3084" customFormat="false" ht="15" hidden="false" customHeight="false" outlineLevel="0" collapsed="false">
      <c r="B3084" s="53"/>
      <c r="I3084" s="53"/>
      <c r="U3084" s="31" t="n">
        <f aca="false">IF($B3084='設定（最初に1回）'!$C$4,N(U3083)+1,N(U3083))</f>
        <v>134</v>
      </c>
    </row>
    <row r="3085" customFormat="false" ht="15" hidden="false" customHeight="false" outlineLevel="0" collapsed="false">
      <c r="B3085" s="53"/>
      <c r="I3085" s="53"/>
      <c r="U3085" s="31" t="n">
        <f aca="false">IF($B3085='設定（最初に1回）'!$C$4,N(U3084)+1,N(U3084))</f>
        <v>134</v>
      </c>
    </row>
    <row r="3086" customFormat="false" ht="15" hidden="false" customHeight="false" outlineLevel="0" collapsed="false">
      <c r="B3086" s="53"/>
      <c r="I3086" s="53"/>
      <c r="U3086" s="31" t="n">
        <f aca="false">IF($B3086='設定（最初に1回）'!$C$4,N(U3085)+1,N(U3085))</f>
        <v>134</v>
      </c>
    </row>
    <row r="3087" customFormat="false" ht="15" hidden="false" customHeight="false" outlineLevel="0" collapsed="false">
      <c r="B3087" s="53"/>
      <c r="I3087" s="53"/>
      <c r="U3087" s="31" t="n">
        <f aca="false">IF($B3087='設定（最初に1回）'!$C$4,N(U3086)+1,N(U3086))</f>
        <v>134</v>
      </c>
    </row>
    <row r="3088" customFormat="false" ht="15" hidden="false" customHeight="false" outlineLevel="0" collapsed="false">
      <c r="B3088" s="53"/>
      <c r="I3088" s="53"/>
      <c r="U3088" s="31" t="n">
        <f aca="false">IF($B3088='設定（最初に1回）'!$C$4,N(U3087)+1,N(U3087))</f>
        <v>134</v>
      </c>
    </row>
    <row r="3089" customFormat="false" ht="15" hidden="false" customHeight="false" outlineLevel="0" collapsed="false">
      <c r="B3089" s="53"/>
      <c r="I3089" s="53"/>
      <c r="U3089" s="31" t="n">
        <f aca="false">IF($B3089='設定（最初に1回）'!$C$4,N(U3088)+1,N(U3088))</f>
        <v>134</v>
      </c>
    </row>
    <row r="3090" customFormat="false" ht="15" hidden="false" customHeight="false" outlineLevel="0" collapsed="false">
      <c r="B3090" s="53"/>
      <c r="I3090" s="53"/>
      <c r="U3090" s="31" t="n">
        <f aca="false">IF($B3090='設定（最初に1回）'!$C$4,N(U3089)+1,N(U3089))</f>
        <v>134</v>
      </c>
    </row>
    <row r="3091" customFormat="false" ht="15" hidden="false" customHeight="false" outlineLevel="0" collapsed="false">
      <c r="B3091" s="53"/>
      <c r="I3091" s="53"/>
      <c r="U3091" s="31" t="n">
        <f aca="false">IF($B3091='設定（最初に1回）'!$C$4,N(U3090)+1,N(U3090))</f>
        <v>134</v>
      </c>
    </row>
    <row r="3092" customFormat="false" ht="15" hidden="false" customHeight="false" outlineLevel="0" collapsed="false">
      <c r="B3092" s="53"/>
      <c r="I3092" s="53"/>
      <c r="U3092" s="31" t="n">
        <f aca="false">IF($B3092='設定（最初に1回）'!$C$4,N(U3091)+1,N(U3091))</f>
        <v>134</v>
      </c>
    </row>
    <row r="3093" customFormat="false" ht="15" hidden="false" customHeight="false" outlineLevel="0" collapsed="false">
      <c r="B3093" s="53"/>
      <c r="I3093" s="53"/>
      <c r="U3093" s="31" t="n">
        <f aca="false">IF($B3093='設定（最初に1回）'!$C$4,N(U3092)+1,N(U3092))</f>
        <v>134</v>
      </c>
    </row>
    <row r="3094" customFormat="false" ht="15" hidden="false" customHeight="false" outlineLevel="0" collapsed="false">
      <c r="B3094" s="53"/>
      <c r="I3094" s="53"/>
      <c r="U3094" s="31" t="n">
        <f aca="false">IF($B3094='設定（最初に1回）'!$C$4,N(U3093)+1,N(U3093))</f>
        <v>134</v>
      </c>
    </row>
    <row r="3095" customFormat="false" ht="15" hidden="false" customHeight="false" outlineLevel="0" collapsed="false">
      <c r="B3095" s="53"/>
      <c r="I3095" s="53"/>
      <c r="U3095" s="31" t="n">
        <f aca="false">IF($B3095='設定（最初に1回）'!$C$4,N(U3094)+1,N(U3094))</f>
        <v>134</v>
      </c>
    </row>
    <row r="3096" customFormat="false" ht="15" hidden="false" customHeight="false" outlineLevel="0" collapsed="false">
      <c r="B3096" s="53"/>
      <c r="I3096" s="53"/>
      <c r="U3096" s="31" t="n">
        <f aca="false">IF($B3096='設定（最初に1回）'!$C$4,N(U3095)+1,N(U3095))</f>
        <v>134</v>
      </c>
    </row>
    <row r="3097" customFormat="false" ht="15" hidden="false" customHeight="false" outlineLevel="0" collapsed="false">
      <c r="B3097" s="53"/>
      <c r="I3097" s="53"/>
      <c r="U3097" s="31" t="n">
        <f aca="false">IF($B3097='設定（最初に1回）'!$C$4,N(U3096)+1,N(U3096))</f>
        <v>134</v>
      </c>
    </row>
    <row r="3098" customFormat="false" ht="15" hidden="false" customHeight="false" outlineLevel="0" collapsed="false">
      <c r="B3098" s="53"/>
      <c r="I3098" s="53"/>
      <c r="U3098" s="31" t="n">
        <f aca="false">IF($B3098='設定（最初に1回）'!$C$4,N(U3097)+1,N(U3097))</f>
        <v>134</v>
      </c>
    </row>
    <row r="3099" customFormat="false" ht="15" hidden="false" customHeight="false" outlineLevel="0" collapsed="false">
      <c r="B3099" s="53"/>
      <c r="I3099" s="53"/>
      <c r="U3099" s="31" t="n">
        <f aca="false">IF($B3099='設定（最初に1回）'!$C$4,N(U3098)+1,N(U3098))</f>
        <v>134</v>
      </c>
    </row>
    <row r="3100" customFormat="false" ht="15" hidden="false" customHeight="false" outlineLevel="0" collapsed="false">
      <c r="B3100" s="53"/>
      <c r="I3100" s="53"/>
      <c r="U3100" s="31" t="n">
        <f aca="false">IF($B3100='設定（最初に1回）'!$C$4,N(U3099)+1,N(U3099))</f>
        <v>134</v>
      </c>
    </row>
    <row r="3101" customFormat="false" ht="15" hidden="false" customHeight="false" outlineLevel="0" collapsed="false">
      <c r="B3101" s="53"/>
      <c r="I3101" s="53"/>
      <c r="U3101" s="31" t="n">
        <f aca="false">IF($B3101='設定（最初に1回）'!$C$4,N(U3100)+1,N(U3100))</f>
        <v>134</v>
      </c>
    </row>
    <row r="3102" customFormat="false" ht="15" hidden="false" customHeight="false" outlineLevel="0" collapsed="false">
      <c r="B3102" s="53"/>
      <c r="I3102" s="53"/>
      <c r="U3102" s="31" t="n">
        <f aca="false">IF($B3102='設定（最初に1回）'!$C$4,N(U3101)+1,N(U3101))</f>
        <v>134</v>
      </c>
    </row>
    <row r="3103" customFormat="false" ht="15" hidden="false" customHeight="false" outlineLevel="0" collapsed="false">
      <c r="B3103" s="53"/>
      <c r="I3103" s="53"/>
      <c r="U3103" s="31" t="n">
        <f aca="false">IF($B3103='設定（最初に1回）'!$C$4,N(U3102)+1,N(U3102))</f>
        <v>134</v>
      </c>
    </row>
    <row r="3104" customFormat="false" ht="15" hidden="false" customHeight="false" outlineLevel="0" collapsed="false">
      <c r="B3104" s="53"/>
      <c r="I3104" s="53"/>
      <c r="U3104" s="31" t="n">
        <f aca="false">IF($B3104='設定（最初に1回）'!$C$4,N(U3103)+1,N(U3103))</f>
        <v>134</v>
      </c>
    </row>
    <row r="3105" customFormat="false" ht="15" hidden="false" customHeight="false" outlineLevel="0" collapsed="false">
      <c r="B3105" s="53"/>
      <c r="I3105" s="53"/>
      <c r="U3105" s="31" t="n">
        <f aca="false">IF($B3105='設定（最初に1回）'!$C$4,N(U3104)+1,N(U3104))</f>
        <v>134</v>
      </c>
    </row>
    <row r="3106" customFormat="false" ht="15" hidden="false" customHeight="false" outlineLevel="0" collapsed="false">
      <c r="B3106" s="53"/>
      <c r="I3106" s="53"/>
      <c r="U3106" s="31" t="n">
        <f aca="false">IF($B3106='設定（最初に1回）'!$C$4,N(U3105)+1,N(U3105))</f>
        <v>134</v>
      </c>
    </row>
    <row r="3107" customFormat="false" ht="15" hidden="false" customHeight="false" outlineLevel="0" collapsed="false">
      <c r="B3107" s="53"/>
      <c r="I3107" s="53"/>
      <c r="U3107" s="31" t="n">
        <f aca="false">IF($B3107='設定（最初に1回）'!$C$4,N(U3106)+1,N(U3106))</f>
        <v>134</v>
      </c>
    </row>
    <row r="3108" customFormat="false" ht="15" hidden="false" customHeight="false" outlineLevel="0" collapsed="false">
      <c r="B3108" s="53"/>
      <c r="I3108" s="53"/>
      <c r="U3108" s="31" t="n">
        <f aca="false">IF($B3108='設定（最初に1回）'!$C$4,N(U3107)+1,N(U3107))</f>
        <v>134</v>
      </c>
    </row>
    <row r="3109" customFormat="false" ht="15" hidden="false" customHeight="false" outlineLevel="0" collapsed="false">
      <c r="B3109" s="53"/>
      <c r="I3109" s="53"/>
      <c r="U3109" s="31" t="n">
        <f aca="false">IF($B3109='設定（最初に1回）'!$C$4,N(U3108)+1,N(U3108))</f>
        <v>134</v>
      </c>
    </row>
    <row r="3110" customFormat="false" ht="15" hidden="false" customHeight="false" outlineLevel="0" collapsed="false">
      <c r="B3110" s="53"/>
      <c r="I3110" s="53"/>
      <c r="U3110" s="31" t="n">
        <f aca="false">IF($B3110='設定（最初に1回）'!$C$4,N(U3109)+1,N(U3109))</f>
        <v>134</v>
      </c>
    </row>
    <row r="3111" customFormat="false" ht="15" hidden="false" customHeight="false" outlineLevel="0" collapsed="false">
      <c r="B3111" s="53"/>
      <c r="I3111" s="53"/>
      <c r="U3111" s="31" t="n">
        <f aca="false">IF($B3111='設定（最初に1回）'!$C$4,N(U3110)+1,N(U3110))</f>
        <v>134</v>
      </c>
    </row>
    <row r="3112" customFormat="false" ht="15" hidden="false" customHeight="false" outlineLevel="0" collapsed="false">
      <c r="B3112" s="53"/>
      <c r="I3112" s="53"/>
      <c r="U3112" s="31" t="n">
        <f aca="false">IF($B3112='設定（最初に1回）'!$C$4,N(U3111)+1,N(U3111))</f>
        <v>134</v>
      </c>
    </row>
    <row r="3113" customFormat="false" ht="15" hidden="false" customHeight="false" outlineLevel="0" collapsed="false">
      <c r="B3113" s="53"/>
      <c r="I3113" s="53"/>
      <c r="U3113" s="31" t="n">
        <f aca="false">IF($B3113='設定（最初に1回）'!$C$4,N(U3112)+1,N(U3112))</f>
        <v>134</v>
      </c>
    </row>
    <row r="3114" customFormat="false" ht="15" hidden="false" customHeight="false" outlineLevel="0" collapsed="false">
      <c r="B3114" s="53"/>
      <c r="I3114" s="53"/>
      <c r="U3114" s="31" t="n">
        <f aca="false">IF($B3114='設定（最初に1回）'!$C$4,N(U3113)+1,N(U3113))</f>
        <v>134</v>
      </c>
    </row>
    <row r="3115" customFormat="false" ht="15" hidden="false" customHeight="false" outlineLevel="0" collapsed="false">
      <c r="B3115" s="53"/>
      <c r="I3115" s="53"/>
      <c r="U3115" s="31" t="n">
        <f aca="false">IF($B3115='設定（最初に1回）'!$C$4,N(U3114)+1,N(U3114))</f>
        <v>134</v>
      </c>
    </row>
    <row r="3116" customFormat="false" ht="15" hidden="false" customHeight="false" outlineLevel="0" collapsed="false">
      <c r="B3116" s="53"/>
      <c r="I3116" s="53"/>
      <c r="U3116" s="31" t="n">
        <f aca="false">IF($B3116='設定（最初に1回）'!$C$4,N(U3115)+1,N(U3115))</f>
        <v>134</v>
      </c>
    </row>
    <row r="3117" customFormat="false" ht="15" hidden="false" customHeight="false" outlineLevel="0" collapsed="false">
      <c r="B3117" s="53"/>
      <c r="I3117" s="53"/>
      <c r="U3117" s="31" t="n">
        <f aca="false">IF($B3117='設定（最初に1回）'!$C$4,N(U3116)+1,N(U3116))</f>
        <v>134</v>
      </c>
    </row>
    <row r="3118" customFormat="false" ht="15" hidden="false" customHeight="false" outlineLevel="0" collapsed="false">
      <c r="B3118" s="53"/>
      <c r="I3118" s="53"/>
      <c r="U3118" s="31" t="n">
        <f aca="false">IF($B3118='設定（最初に1回）'!$C$4,N(U3117)+1,N(U3117))</f>
        <v>134</v>
      </c>
    </row>
    <row r="3119" customFormat="false" ht="15" hidden="false" customHeight="false" outlineLevel="0" collapsed="false">
      <c r="B3119" s="53"/>
      <c r="I3119" s="53"/>
      <c r="U3119" s="31" t="n">
        <f aca="false">IF($B3119='設定（最初に1回）'!$C$4,N(U3118)+1,N(U3118))</f>
        <v>134</v>
      </c>
    </row>
    <row r="3120" customFormat="false" ht="15" hidden="false" customHeight="false" outlineLevel="0" collapsed="false">
      <c r="B3120" s="53"/>
      <c r="I3120" s="53"/>
      <c r="U3120" s="31" t="n">
        <f aca="false">IF($B3120='設定（最初に1回）'!$C$4,N(U3119)+1,N(U3119))</f>
        <v>134</v>
      </c>
    </row>
    <row r="3121" customFormat="false" ht="15" hidden="false" customHeight="false" outlineLevel="0" collapsed="false">
      <c r="B3121" s="53"/>
      <c r="I3121" s="53"/>
      <c r="U3121" s="31" t="n">
        <f aca="false">IF($B3121='設定（最初に1回）'!$C$4,N(U3120)+1,N(U3120))</f>
        <v>134</v>
      </c>
    </row>
    <row r="3122" customFormat="false" ht="15" hidden="false" customHeight="false" outlineLevel="0" collapsed="false">
      <c r="B3122" s="53"/>
      <c r="I3122" s="53"/>
      <c r="U3122" s="31" t="n">
        <f aca="false">IF($B3122='設定（最初に1回）'!$C$4,N(U3121)+1,N(U3121))</f>
        <v>134</v>
      </c>
    </row>
    <row r="3123" customFormat="false" ht="15" hidden="false" customHeight="false" outlineLevel="0" collapsed="false">
      <c r="B3123" s="53"/>
      <c r="I3123" s="53"/>
      <c r="U3123" s="31" t="n">
        <f aca="false">IF($B3123='設定（最初に1回）'!$C$4,N(U3122)+1,N(U3122))</f>
        <v>134</v>
      </c>
    </row>
    <row r="3124" customFormat="false" ht="15" hidden="false" customHeight="false" outlineLevel="0" collapsed="false">
      <c r="B3124" s="53"/>
      <c r="I3124" s="53"/>
      <c r="U3124" s="31" t="n">
        <f aca="false">IF($B3124='設定（最初に1回）'!$C$4,N(U3123)+1,N(U3123))</f>
        <v>134</v>
      </c>
    </row>
    <row r="3125" customFormat="false" ht="15" hidden="false" customHeight="false" outlineLevel="0" collapsed="false">
      <c r="B3125" s="53"/>
      <c r="I3125" s="53"/>
      <c r="U3125" s="31" t="n">
        <f aca="false">IF($B3125='設定（最初に1回）'!$C$4,N(U3124)+1,N(U3124))</f>
        <v>134</v>
      </c>
    </row>
    <row r="3126" customFormat="false" ht="15" hidden="false" customHeight="false" outlineLevel="0" collapsed="false">
      <c r="B3126" s="53"/>
      <c r="I3126" s="53"/>
      <c r="U3126" s="31" t="n">
        <f aca="false">IF($B3126='設定（最初に1回）'!$C$4,N(U3125)+1,N(U3125))</f>
        <v>134</v>
      </c>
    </row>
    <row r="3127" customFormat="false" ht="15" hidden="false" customHeight="false" outlineLevel="0" collapsed="false">
      <c r="B3127" s="53"/>
      <c r="I3127" s="53"/>
      <c r="U3127" s="31" t="n">
        <f aca="false">IF($B3127='設定（最初に1回）'!$C$4,N(U3126)+1,N(U3126))</f>
        <v>134</v>
      </c>
    </row>
    <row r="3128" customFormat="false" ht="15" hidden="false" customHeight="false" outlineLevel="0" collapsed="false">
      <c r="B3128" s="53"/>
      <c r="I3128" s="53"/>
      <c r="U3128" s="31" t="n">
        <f aca="false">IF($B3128='設定（最初に1回）'!$C$4,N(U3127)+1,N(U3127))</f>
        <v>134</v>
      </c>
    </row>
    <row r="3129" customFormat="false" ht="15" hidden="false" customHeight="false" outlineLevel="0" collapsed="false">
      <c r="B3129" s="53"/>
      <c r="I3129" s="53"/>
      <c r="U3129" s="31" t="n">
        <f aca="false">IF($B3129='設定（最初に1回）'!$C$4,N(U3128)+1,N(U3128))</f>
        <v>134</v>
      </c>
    </row>
    <row r="3130" customFormat="false" ht="15" hidden="false" customHeight="false" outlineLevel="0" collapsed="false">
      <c r="B3130" s="53"/>
      <c r="I3130" s="53"/>
      <c r="U3130" s="31" t="n">
        <f aca="false">IF($B3130='設定（最初に1回）'!$C$4,N(U3129)+1,N(U3129))</f>
        <v>134</v>
      </c>
    </row>
    <row r="3131" customFormat="false" ht="15" hidden="false" customHeight="false" outlineLevel="0" collapsed="false">
      <c r="B3131" s="53"/>
      <c r="I3131" s="53"/>
      <c r="U3131" s="31" t="n">
        <f aca="false">IF($B3131='設定（最初に1回）'!$C$4,N(U3130)+1,N(U3130))</f>
        <v>134</v>
      </c>
    </row>
    <row r="3132" customFormat="false" ht="15" hidden="false" customHeight="false" outlineLevel="0" collapsed="false">
      <c r="B3132" s="53"/>
      <c r="I3132" s="53"/>
      <c r="U3132" s="31" t="n">
        <f aca="false">IF($B3132='設定（最初に1回）'!$C$4,N(U3131)+1,N(U3131))</f>
        <v>134</v>
      </c>
    </row>
    <row r="3133" customFormat="false" ht="15" hidden="false" customHeight="false" outlineLevel="0" collapsed="false">
      <c r="B3133" s="53"/>
      <c r="I3133" s="53"/>
      <c r="U3133" s="31" t="n">
        <f aca="false">IF($B3133='設定（最初に1回）'!$C$4,N(U3132)+1,N(U3132))</f>
        <v>134</v>
      </c>
    </row>
    <row r="3134" customFormat="false" ht="15" hidden="false" customHeight="false" outlineLevel="0" collapsed="false">
      <c r="B3134" s="53"/>
      <c r="I3134" s="53"/>
      <c r="U3134" s="31" t="n">
        <f aca="false">IF($B3134='設定（最初に1回）'!$C$4,N(U3133)+1,N(U3133))</f>
        <v>134</v>
      </c>
    </row>
    <row r="3135" customFormat="false" ht="15" hidden="false" customHeight="false" outlineLevel="0" collapsed="false">
      <c r="B3135" s="53"/>
      <c r="I3135" s="53"/>
      <c r="U3135" s="31" t="n">
        <f aca="false">IF($B3135='設定（最初に1回）'!$C$4,N(U3134)+1,N(U3134))</f>
        <v>134</v>
      </c>
    </row>
    <row r="3136" customFormat="false" ht="15" hidden="false" customHeight="false" outlineLevel="0" collapsed="false">
      <c r="B3136" s="53"/>
      <c r="I3136" s="53"/>
      <c r="U3136" s="31" t="n">
        <f aca="false">IF($B3136='設定（最初に1回）'!$C$4,N(U3135)+1,N(U3135))</f>
        <v>134</v>
      </c>
    </row>
    <row r="3137" customFormat="false" ht="15" hidden="false" customHeight="false" outlineLevel="0" collapsed="false">
      <c r="B3137" s="53"/>
      <c r="I3137" s="53"/>
      <c r="U3137" s="31" t="n">
        <f aca="false">IF($B3137='設定（最初に1回）'!$C$4,N(U3136)+1,N(U3136))</f>
        <v>134</v>
      </c>
    </row>
    <row r="3138" customFormat="false" ht="15" hidden="false" customHeight="false" outlineLevel="0" collapsed="false">
      <c r="B3138" s="53"/>
      <c r="I3138" s="53"/>
      <c r="U3138" s="31" t="n">
        <f aca="false">IF($B3138='設定（最初に1回）'!$C$4,N(U3137)+1,N(U3137))</f>
        <v>134</v>
      </c>
    </row>
    <row r="3139" customFormat="false" ht="15" hidden="false" customHeight="false" outlineLevel="0" collapsed="false">
      <c r="B3139" s="53"/>
      <c r="I3139" s="53"/>
      <c r="U3139" s="31" t="n">
        <f aca="false">IF($B3139='設定（最初に1回）'!$C$4,N(U3138)+1,N(U3138))</f>
        <v>134</v>
      </c>
    </row>
    <row r="3140" customFormat="false" ht="15" hidden="false" customHeight="false" outlineLevel="0" collapsed="false">
      <c r="B3140" s="53"/>
      <c r="I3140" s="53"/>
      <c r="U3140" s="31" t="n">
        <f aca="false">IF($B3140='設定（最初に1回）'!$C$4,N(U3139)+1,N(U3139))</f>
        <v>134</v>
      </c>
    </row>
    <row r="3141" customFormat="false" ht="15" hidden="false" customHeight="false" outlineLevel="0" collapsed="false">
      <c r="B3141" s="53"/>
      <c r="I3141" s="53"/>
      <c r="U3141" s="31" t="n">
        <f aca="false">IF($B3141='設定（最初に1回）'!$C$4,N(U3140)+1,N(U3140))</f>
        <v>134</v>
      </c>
    </row>
    <row r="3142" customFormat="false" ht="15" hidden="false" customHeight="false" outlineLevel="0" collapsed="false">
      <c r="B3142" s="53"/>
      <c r="I3142" s="53"/>
      <c r="U3142" s="31" t="n">
        <f aca="false">IF($B3142='設定（最初に1回）'!$C$4,N(U3141)+1,N(U3141))</f>
        <v>134</v>
      </c>
    </row>
    <row r="3143" customFormat="false" ht="15" hidden="false" customHeight="false" outlineLevel="0" collapsed="false">
      <c r="B3143" s="53"/>
      <c r="I3143" s="53"/>
      <c r="U3143" s="31" t="n">
        <f aca="false">IF($B3143='設定（最初に1回）'!$C$4,N(U3142)+1,N(U3142))</f>
        <v>134</v>
      </c>
    </row>
    <row r="3144" customFormat="false" ht="15" hidden="false" customHeight="false" outlineLevel="0" collapsed="false">
      <c r="B3144" s="53"/>
      <c r="I3144" s="53"/>
      <c r="U3144" s="31" t="n">
        <f aca="false">IF($B3144='設定（最初に1回）'!$C$4,N(U3143)+1,N(U3143))</f>
        <v>134</v>
      </c>
    </row>
    <row r="3145" customFormat="false" ht="15" hidden="false" customHeight="false" outlineLevel="0" collapsed="false">
      <c r="B3145" s="53"/>
      <c r="I3145" s="53"/>
      <c r="U3145" s="31" t="n">
        <f aca="false">IF($B3145='設定（最初に1回）'!$C$4,N(U3144)+1,N(U3144))</f>
        <v>134</v>
      </c>
    </row>
    <row r="3146" customFormat="false" ht="15" hidden="false" customHeight="false" outlineLevel="0" collapsed="false">
      <c r="B3146" s="53"/>
      <c r="I3146" s="53"/>
      <c r="U3146" s="31" t="n">
        <f aca="false">IF($B3146='設定（最初に1回）'!$C$4,N(U3145)+1,N(U3145))</f>
        <v>134</v>
      </c>
    </row>
    <row r="3147" customFormat="false" ht="15" hidden="false" customHeight="false" outlineLevel="0" collapsed="false">
      <c r="B3147" s="53"/>
      <c r="I3147" s="53"/>
      <c r="U3147" s="31" t="n">
        <f aca="false">IF($B3147='設定（最初に1回）'!$C$4,N(U3146)+1,N(U3146))</f>
        <v>134</v>
      </c>
    </row>
    <row r="3148" customFormat="false" ht="15" hidden="false" customHeight="false" outlineLevel="0" collapsed="false">
      <c r="B3148" s="53"/>
      <c r="I3148" s="53"/>
      <c r="U3148" s="31" t="n">
        <f aca="false">IF($B3148='設定（最初に1回）'!$C$4,N(U3147)+1,N(U3147))</f>
        <v>134</v>
      </c>
    </row>
    <row r="3149" customFormat="false" ht="15" hidden="false" customHeight="false" outlineLevel="0" collapsed="false">
      <c r="B3149" s="53"/>
      <c r="I3149" s="53"/>
      <c r="U3149" s="31" t="n">
        <f aca="false">IF($B3149='設定（最初に1回）'!$C$4,N(U3148)+1,N(U3148))</f>
        <v>134</v>
      </c>
    </row>
    <row r="3150" customFormat="false" ht="15" hidden="false" customHeight="false" outlineLevel="0" collapsed="false">
      <c r="B3150" s="53"/>
      <c r="I3150" s="53"/>
      <c r="U3150" s="31" t="n">
        <f aca="false">IF($B3150='設定（最初に1回）'!$C$4,N(U3149)+1,N(U3149))</f>
        <v>134</v>
      </c>
    </row>
    <row r="3151" customFormat="false" ht="15" hidden="false" customHeight="false" outlineLevel="0" collapsed="false">
      <c r="B3151" s="53"/>
      <c r="I3151" s="53"/>
      <c r="U3151" s="31" t="n">
        <f aca="false">IF($B3151='設定（最初に1回）'!$C$4,N(U3150)+1,N(U3150))</f>
        <v>134</v>
      </c>
    </row>
    <row r="3152" customFormat="false" ht="15" hidden="false" customHeight="false" outlineLevel="0" collapsed="false">
      <c r="B3152" s="53"/>
      <c r="I3152" s="53"/>
      <c r="U3152" s="31" t="n">
        <f aca="false">IF($B3152='設定（最初に1回）'!$C$4,N(U3151)+1,N(U3151))</f>
        <v>134</v>
      </c>
    </row>
    <row r="3153" customFormat="false" ht="15" hidden="false" customHeight="false" outlineLevel="0" collapsed="false">
      <c r="B3153" s="53"/>
      <c r="I3153" s="53"/>
      <c r="U3153" s="31" t="n">
        <f aca="false">IF($B3153='設定（最初に1回）'!$C$4,N(U3152)+1,N(U3152))</f>
        <v>134</v>
      </c>
    </row>
    <row r="3154" customFormat="false" ht="15" hidden="false" customHeight="false" outlineLevel="0" collapsed="false">
      <c r="B3154" s="53"/>
      <c r="I3154" s="53"/>
      <c r="U3154" s="31" t="n">
        <f aca="false">IF($B3154='設定（最初に1回）'!$C$4,N(U3153)+1,N(U3153))</f>
        <v>134</v>
      </c>
    </row>
    <row r="3155" customFormat="false" ht="15" hidden="false" customHeight="false" outlineLevel="0" collapsed="false">
      <c r="B3155" s="53"/>
      <c r="I3155" s="53"/>
      <c r="U3155" s="31" t="n">
        <f aca="false">IF($B3155='設定（最初に1回）'!$C$4,N(U3154)+1,N(U3154))</f>
        <v>134</v>
      </c>
    </row>
    <row r="3156" customFormat="false" ht="15" hidden="false" customHeight="false" outlineLevel="0" collapsed="false">
      <c r="B3156" s="53"/>
      <c r="I3156" s="53"/>
      <c r="U3156" s="31" t="n">
        <f aca="false">IF($B3156='設定（最初に1回）'!$C$4,N(U3155)+1,N(U3155))</f>
        <v>134</v>
      </c>
    </row>
    <row r="3157" customFormat="false" ht="15" hidden="false" customHeight="false" outlineLevel="0" collapsed="false">
      <c r="B3157" s="53"/>
      <c r="I3157" s="53"/>
      <c r="U3157" s="31" t="n">
        <f aca="false">IF($B3157='設定（最初に1回）'!$C$4,N(U3156)+1,N(U3156))</f>
        <v>134</v>
      </c>
    </row>
    <row r="3158" customFormat="false" ht="15" hidden="false" customHeight="false" outlineLevel="0" collapsed="false">
      <c r="B3158" s="53"/>
      <c r="I3158" s="53"/>
      <c r="U3158" s="31" t="n">
        <f aca="false">IF($B3158='設定（最初に1回）'!$C$4,N(U3157)+1,N(U3157))</f>
        <v>134</v>
      </c>
    </row>
    <row r="3159" customFormat="false" ht="15" hidden="false" customHeight="false" outlineLevel="0" collapsed="false">
      <c r="B3159" s="53"/>
      <c r="I3159" s="53"/>
      <c r="U3159" s="31" t="n">
        <f aca="false">IF($B3159='設定（最初に1回）'!$C$4,N(U3158)+1,N(U3158))</f>
        <v>134</v>
      </c>
    </row>
    <row r="3160" customFormat="false" ht="15" hidden="false" customHeight="false" outlineLevel="0" collapsed="false">
      <c r="B3160" s="53"/>
      <c r="I3160" s="53"/>
      <c r="U3160" s="31" t="n">
        <f aca="false">IF($B3160='設定（最初に1回）'!$C$4,N(U3159)+1,N(U3159))</f>
        <v>134</v>
      </c>
    </row>
    <row r="3161" customFormat="false" ht="15" hidden="false" customHeight="false" outlineLevel="0" collapsed="false">
      <c r="B3161" s="53"/>
      <c r="I3161" s="53"/>
      <c r="U3161" s="31" t="n">
        <f aca="false">IF($B3161='設定（最初に1回）'!$C$4,N(U3160)+1,N(U3160))</f>
        <v>134</v>
      </c>
    </row>
    <row r="3162" customFormat="false" ht="15" hidden="false" customHeight="false" outlineLevel="0" collapsed="false">
      <c r="B3162" s="53"/>
      <c r="I3162" s="53"/>
      <c r="U3162" s="31" t="n">
        <f aca="false">IF($B3162='設定（最初に1回）'!$C$4,N(U3161)+1,N(U3161))</f>
        <v>134</v>
      </c>
    </row>
    <row r="3163" customFormat="false" ht="15" hidden="false" customHeight="false" outlineLevel="0" collapsed="false">
      <c r="B3163" s="53"/>
      <c r="I3163" s="53"/>
      <c r="U3163" s="31" t="n">
        <f aca="false">IF($B3163='設定（最初に1回）'!$C$4,N(U3162)+1,N(U3162))</f>
        <v>134</v>
      </c>
    </row>
    <row r="3164" customFormat="false" ht="15" hidden="false" customHeight="false" outlineLevel="0" collapsed="false">
      <c r="B3164" s="53"/>
      <c r="I3164" s="53"/>
      <c r="U3164" s="31" t="n">
        <f aca="false">IF($B3164='設定（最初に1回）'!$C$4,N(U3163)+1,N(U3163))</f>
        <v>134</v>
      </c>
    </row>
    <row r="3165" customFormat="false" ht="15" hidden="false" customHeight="false" outlineLevel="0" collapsed="false">
      <c r="B3165" s="53"/>
      <c r="I3165" s="53"/>
      <c r="U3165" s="31" t="n">
        <f aca="false">IF($B3165='設定（最初に1回）'!$C$4,N(U3164)+1,N(U3164))</f>
        <v>134</v>
      </c>
    </row>
    <row r="3166" customFormat="false" ht="15" hidden="false" customHeight="false" outlineLevel="0" collapsed="false">
      <c r="B3166" s="53"/>
      <c r="I3166" s="53"/>
      <c r="U3166" s="31" t="n">
        <f aca="false">IF($B3166='設定（最初に1回）'!$C$4,N(U3165)+1,N(U3165))</f>
        <v>134</v>
      </c>
    </row>
    <row r="3167" customFormat="false" ht="15" hidden="false" customHeight="false" outlineLevel="0" collapsed="false">
      <c r="B3167" s="53"/>
      <c r="I3167" s="53"/>
      <c r="U3167" s="31" t="n">
        <f aca="false">IF($B3167='設定（最初に1回）'!$C$4,N(U3166)+1,N(U3166))</f>
        <v>134</v>
      </c>
    </row>
    <row r="3168" customFormat="false" ht="15" hidden="false" customHeight="false" outlineLevel="0" collapsed="false">
      <c r="B3168" s="53"/>
      <c r="I3168" s="53"/>
      <c r="U3168" s="31" t="n">
        <f aca="false">IF($B3168='設定（最初に1回）'!$C$4,N(U3167)+1,N(U3167))</f>
        <v>134</v>
      </c>
    </row>
    <row r="3169" customFormat="false" ht="15" hidden="false" customHeight="false" outlineLevel="0" collapsed="false">
      <c r="B3169" s="53"/>
      <c r="I3169" s="53"/>
      <c r="U3169" s="31" t="n">
        <f aca="false">IF($B3169='設定（最初に1回）'!$C$4,N(U3168)+1,N(U3168))</f>
        <v>134</v>
      </c>
    </row>
    <row r="3170" customFormat="false" ht="15" hidden="false" customHeight="false" outlineLevel="0" collapsed="false">
      <c r="B3170" s="53"/>
      <c r="I3170" s="53"/>
      <c r="U3170" s="31" t="n">
        <f aca="false">IF($B3170='設定（最初に1回）'!$C$4,N(U3169)+1,N(U3169))</f>
        <v>134</v>
      </c>
    </row>
    <row r="3171" customFormat="false" ht="15" hidden="false" customHeight="false" outlineLevel="0" collapsed="false">
      <c r="B3171" s="53"/>
      <c r="I3171" s="53"/>
      <c r="U3171" s="31" t="n">
        <f aca="false">IF($B3171='設定（最初に1回）'!$C$4,N(U3170)+1,N(U3170))</f>
        <v>134</v>
      </c>
    </row>
    <row r="3172" customFormat="false" ht="15" hidden="false" customHeight="false" outlineLevel="0" collapsed="false">
      <c r="B3172" s="53"/>
      <c r="I3172" s="53"/>
      <c r="U3172" s="31" t="n">
        <f aca="false">IF($B3172='設定（最初に1回）'!$C$4,N(U3171)+1,N(U3171))</f>
        <v>134</v>
      </c>
    </row>
    <row r="3173" customFormat="false" ht="15" hidden="false" customHeight="false" outlineLevel="0" collapsed="false">
      <c r="B3173" s="53"/>
      <c r="I3173" s="53"/>
      <c r="U3173" s="31" t="n">
        <f aca="false">IF($B3173='設定（最初に1回）'!$C$4,N(U3172)+1,N(U3172))</f>
        <v>134</v>
      </c>
    </row>
    <row r="3174" customFormat="false" ht="15" hidden="false" customHeight="false" outlineLevel="0" collapsed="false">
      <c r="B3174" s="53"/>
      <c r="I3174" s="53"/>
      <c r="U3174" s="31" t="n">
        <f aca="false">IF($B3174='設定（最初に1回）'!$C$4,N(U3173)+1,N(U3173))</f>
        <v>134</v>
      </c>
    </row>
    <row r="3175" customFormat="false" ht="15" hidden="false" customHeight="false" outlineLevel="0" collapsed="false">
      <c r="B3175" s="53"/>
      <c r="I3175" s="53"/>
      <c r="U3175" s="31" t="n">
        <f aca="false">IF($B3175='設定（最初に1回）'!$C$4,N(U3174)+1,N(U3174))</f>
        <v>134</v>
      </c>
    </row>
    <row r="3176" customFormat="false" ht="15" hidden="false" customHeight="false" outlineLevel="0" collapsed="false">
      <c r="B3176" s="53"/>
      <c r="I3176" s="53"/>
      <c r="U3176" s="31" t="n">
        <f aca="false">IF($B3176='設定（最初に1回）'!$C$4,N(U3175)+1,N(U3175))</f>
        <v>134</v>
      </c>
    </row>
    <row r="3177" customFormat="false" ht="15" hidden="false" customHeight="false" outlineLevel="0" collapsed="false">
      <c r="B3177" s="53"/>
      <c r="I3177" s="53"/>
      <c r="U3177" s="31" t="n">
        <f aca="false">IF($B3177='設定（最初に1回）'!$C$4,N(U3176)+1,N(U3176))</f>
        <v>134</v>
      </c>
    </row>
    <row r="3178" customFormat="false" ht="15" hidden="false" customHeight="false" outlineLevel="0" collapsed="false">
      <c r="B3178" s="53"/>
      <c r="I3178" s="53"/>
      <c r="U3178" s="31" t="n">
        <f aca="false">IF($B3178='設定（最初に1回）'!$C$4,N(U3177)+1,N(U3177))</f>
        <v>134</v>
      </c>
    </row>
    <row r="3179" customFormat="false" ht="15" hidden="false" customHeight="false" outlineLevel="0" collapsed="false">
      <c r="B3179" s="53"/>
      <c r="I3179" s="53"/>
      <c r="U3179" s="31" t="n">
        <f aca="false">IF($B3179='設定（最初に1回）'!$C$4,N(U3178)+1,N(U3178))</f>
        <v>134</v>
      </c>
    </row>
    <row r="3180" customFormat="false" ht="15" hidden="false" customHeight="false" outlineLevel="0" collapsed="false">
      <c r="B3180" s="53"/>
      <c r="I3180" s="53"/>
      <c r="U3180" s="31" t="n">
        <f aca="false">IF($B3180='設定（最初に1回）'!$C$4,N(U3179)+1,N(U3179))</f>
        <v>134</v>
      </c>
    </row>
    <row r="3181" customFormat="false" ht="15" hidden="false" customHeight="false" outlineLevel="0" collapsed="false">
      <c r="B3181" s="53"/>
      <c r="I3181" s="53"/>
      <c r="U3181" s="31" t="n">
        <f aca="false">IF($B3181='設定（最初に1回）'!$C$4,N(U3180)+1,N(U3180))</f>
        <v>134</v>
      </c>
    </row>
    <row r="3182" customFormat="false" ht="15" hidden="false" customHeight="false" outlineLevel="0" collapsed="false">
      <c r="B3182" s="53"/>
      <c r="I3182" s="53"/>
      <c r="U3182" s="31" t="n">
        <f aca="false">IF($B3182='設定（最初に1回）'!$C$4,N(U3181)+1,N(U3181))</f>
        <v>134</v>
      </c>
    </row>
    <row r="3183" customFormat="false" ht="15" hidden="false" customHeight="false" outlineLevel="0" collapsed="false">
      <c r="B3183" s="53"/>
      <c r="I3183" s="53"/>
      <c r="U3183" s="31" t="n">
        <f aca="false">IF($B3183='設定（最初に1回）'!$C$4,N(U3182)+1,N(U3182))</f>
        <v>134</v>
      </c>
    </row>
    <row r="3184" customFormat="false" ht="15" hidden="false" customHeight="false" outlineLevel="0" collapsed="false">
      <c r="B3184" s="53"/>
      <c r="I3184" s="53"/>
      <c r="U3184" s="31" t="n">
        <f aca="false">IF($B3184='設定（最初に1回）'!$C$4,N(U3183)+1,N(U3183))</f>
        <v>134</v>
      </c>
    </row>
    <row r="3185" customFormat="false" ht="15" hidden="false" customHeight="false" outlineLevel="0" collapsed="false">
      <c r="B3185" s="53"/>
      <c r="I3185" s="53"/>
      <c r="U3185" s="31" t="n">
        <f aca="false">IF($B3185='設定（最初に1回）'!$C$4,N(U3184)+1,N(U3184))</f>
        <v>134</v>
      </c>
    </row>
    <row r="3186" customFormat="false" ht="15" hidden="false" customHeight="false" outlineLevel="0" collapsed="false">
      <c r="B3186" s="53"/>
      <c r="I3186" s="53"/>
      <c r="U3186" s="31" t="n">
        <f aca="false">IF($B3186='設定（最初に1回）'!$C$4,N(U3185)+1,N(U3185))</f>
        <v>134</v>
      </c>
    </row>
    <row r="3187" customFormat="false" ht="15" hidden="false" customHeight="false" outlineLevel="0" collapsed="false">
      <c r="B3187" s="53"/>
      <c r="I3187" s="53"/>
      <c r="U3187" s="31" t="n">
        <f aca="false">IF($B3187='設定（最初に1回）'!$C$4,N(U3186)+1,N(U3186))</f>
        <v>134</v>
      </c>
    </row>
    <row r="3188" customFormat="false" ht="15" hidden="false" customHeight="false" outlineLevel="0" collapsed="false">
      <c r="B3188" s="53"/>
      <c r="I3188" s="53"/>
      <c r="U3188" s="31" t="n">
        <f aca="false">IF($B3188='設定（最初に1回）'!$C$4,N(U3187)+1,N(U3187))</f>
        <v>134</v>
      </c>
    </row>
    <row r="3189" customFormat="false" ht="15" hidden="false" customHeight="false" outlineLevel="0" collapsed="false">
      <c r="B3189" s="53"/>
      <c r="I3189" s="53"/>
      <c r="U3189" s="31" t="n">
        <f aca="false">IF($B3189='設定（最初に1回）'!$C$4,N(U3188)+1,N(U3188))</f>
        <v>134</v>
      </c>
    </row>
    <row r="3190" customFormat="false" ht="15" hidden="false" customHeight="false" outlineLevel="0" collapsed="false">
      <c r="B3190" s="53"/>
      <c r="I3190" s="53"/>
      <c r="U3190" s="31" t="n">
        <f aca="false">IF($B3190='設定（最初に1回）'!$C$4,N(U3189)+1,N(U3189))</f>
        <v>134</v>
      </c>
    </row>
    <row r="3191" customFormat="false" ht="15" hidden="false" customHeight="false" outlineLevel="0" collapsed="false">
      <c r="B3191" s="53"/>
      <c r="I3191" s="53"/>
      <c r="U3191" s="31" t="n">
        <f aca="false">IF($B3191='設定（最初に1回）'!$C$4,N(U3190)+1,N(U3190))</f>
        <v>134</v>
      </c>
    </row>
    <row r="3192" customFormat="false" ht="15" hidden="false" customHeight="false" outlineLevel="0" collapsed="false">
      <c r="B3192" s="53"/>
      <c r="I3192" s="53"/>
      <c r="U3192" s="31" t="n">
        <f aca="false">IF($B3192='設定（最初に1回）'!$C$4,N(U3191)+1,N(U3191))</f>
        <v>134</v>
      </c>
    </row>
    <row r="3193" customFormat="false" ht="15" hidden="false" customHeight="false" outlineLevel="0" collapsed="false">
      <c r="B3193" s="53"/>
      <c r="I3193" s="53"/>
      <c r="U3193" s="31" t="n">
        <f aca="false">IF($B3193='設定（最初に1回）'!$C$4,N(U3192)+1,N(U3192))</f>
        <v>134</v>
      </c>
    </row>
    <row r="3194" customFormat="false" ht="15" hidden="false" customHeight="false" outlineLevel="0" collapsed="false">
      <c r="B3194" s="53"/>
      <c r="I3194" s="53"/>
      <c r="U3194" s="31" t="n">
        <f aca="false">IF($B3194='設定（最初に1回）'!$C$4,N(U3193)+1,N(U3193))</f>
        <v>134</v>
      </c>
    </row>
    <row r="3195" customFormat="false" ht="15" hidden="false" customHeight="false" outlineLevel="0" collapsed="false">
      <c r="B3195" s="53"/>
      <c r="I3195" s="53"/>
      <c r="U3195" s="31" t="n">
        <f aca="false">IF($B3195='設定（最初に1回）'!$C$4,N(U3194)+1,N(U3194))</f>
        <v>134</v>
      </c>
    </row>
    <row r="3196" customFormat="false" ht="15" hidden="false" customHeight="false" outlineLevel="0" collapsed="false">
      <c r="B3196" s="53"/>
      <c r="I3196" s="53"/>
      <c r="U3196" s="31" t="n">
        <f aca="false">IF($B3196='設定（最初に1回）'!$C$4,N(U3195)+1,N(U3195))</f>
        <v>134</v>
      </c>
    </row>
    <row r="3197" customFormat="false" ht="15" hidden="false" customHeight="false" outlineLevel="0" collapsed="false">
      <c r="B3197" s="53"/>
      <c r="I3197" s="53"/>
      <c r="U3197" s="31" t="n">
        <f aca="false">IF($B3197='設定（最初に1回）'!$C$4,N(U3196)+1,N(U3196))</f>
        <v>134</v>
      </c>
    </row>
    <row r="3198" customFormat="false" ht="15" hidden="false" customHeight="false" outlineLevel="0" collapsed="false">
      <c r="B3198" s="53"/>
      <c r="I3198" s="53"/>
      <c r="U3198" s="31" t="n">
        <f aca="false">IF($B3198='設定（最初に1回）'!$C$4,N(U3197)+1,N(U3197))</f>
        <v>134</v>
      </c>
    </row>
    <row r="3199" customFormat="false" ht="15" hidden="false" customHeight="false" outlineLevel="0" collapsed="false">
      <c r="B3199" s="53"/>
      <c r="I3199" s="53"/>
      <c r="U3199" s="31" t="n">
        <f aca="false">IF($B3199='設定（最初に1回）'!$C$4,N(U3198)+1,N(U3198))</f>
        <v>134</v>
      </c>
    </row>
    <row r="3200" customFormat="false" ht="15" hidden="false" customHeight="false" outlineLevel="0" collapsed="false">
      <c r="B3200" s="53"/>
      <c r="I3200" s="53"/>
      <c r="U3200" s="31" t="n">
        <f aca="false">IF($B3200='設定（最初に1回）'!$C$4,N(U3199)+1,N(U3199))</f>
        <v>134</v>
      </c>
    </row>
    <row r="3201" customFormat="false" ht="15" hidden="false" customHeight="false" outlineLevel="0" collapsed="false">
      <c r="B3201" s="53"/>
      <c r="I3201" s="53"/>
      <c r="U3201" s="31" t="n">
        <f aca="false">IF($B3201='設定（最初に1回）'!$C$4,N(U3200)+1,N(U3200))</f>
        <v>134</v>
      </c>
    </row>
    <row r="3202" customFormat="false" ht="15" hidden="false" customHeight="false" outlineLevel="0" collapsed="false">
      <c r="B3202" s="53"/>
      <c r="I3202" s="53"/>
      <c r="U3202" s="31" t="n">
        <f aca="false">IF($B3202='設定（最初に1回）'!$C$4,N(U3201)+1,N(U3201))</f>
        <v>134</v>
      </c>
    </row>
    <row r="3203" customFormat="false" ht="15" hidden="false" customHeight="false" outlineLevel="0" collapsed="false">
      <c r="B3203" s="53"/>
      <c r="I3203" s="53"/>
      <c r="U3203" s="31" t="n">
        <f aca="false">IF($B3203='設定（最初に1回）'!$C$4,N(U3202)+1,N(U3202))</f>
        <v>134</v>
      </c>
    </row>
    <row r="3204" customFormat="false" ht="15" hidden="false" customHeight="false" outlineLevel="0" collapsed="false">
      <c r="B3204" s="53"/>
      <c r="I3204" s="53"/>
      <c r="U3204" s="31" t="n">
        <f aca="false">IF($B3204='設定（最初に1回）'!$C$4,N(U3203)+1,N(U3203))</f>
        <v>134</v>
      </c>
    </row>
    <row r="3205" customFormat="false" ht="15" hidden="false" customHeight="false" outlineLevel="0" collapsed="false">
      <c r="B3205" s="53"/>
      <c r="I3205" s="53"/>
      <c r="U3205" s="31" t="n">
        <f aca="false">IF($B3205='設定（最初に1回）'!$C$4,N(U3204)+1,N(U3204))</f>
        <v>134</v>
      </c>
    </row>
    <row r="3206" customFormat="false" ht="15" hidden="false" customHeight="false" outlineLevel="0" collapsed="false">
      <c r="B3206" s="53"/>
      <c r="I3206" s="53"/>
      <c r="U3206" s="31" t="n">
        <f aca="false">IF($B3206='設定（最初に1回）'!$C$4,N(U3205)+1,N(U3205))</f>
        <v>134</v>
      </c>
    </row>
    <row r="3207" customFormat="false" ht="15" hidden="false" customHeight="false" outlineLevel="0" collapsed="false">
      <c r="B3207" s="53"/>
      <c r="I3207" s="53"/>
      <c r="U3207" s="31" t="n">
        <f aca="false">IF($B3207='設定（最初に1回）'!$C$4,N(U3206)+1,N(U3206))</f>
        <v>134</v>
      </c>
    </row>
    <row r="3208" customFormat="false" ht="15" hidden="false" customHeight="false" outlineLevel="0" collapsed="false">
      <c r="B3208" s="53"/>
      <c r="I3208" s="53"/>
      <c r="U3208" s="31" t="n">
        <f aca="false">IF($B3208='設定（最初に1回）'!$C$4,N(U3207)+1,N(U3207))</f>
        <v>134</v>
      </c>
    </row>
    <row r="3209" customFormat="false" ht="15" hidden="false" customHeight="false" outlineLevel="0" collapsed="false">
      <c r="B3209" s="53"/>
      <c r="I3209" s="53"/>
      <c r="U3209" s="31" t="n">
        <f aca="false">IF($B3209='設定（最初に1回）'!$C$4,N(U3208)+1,N(U3208))</f>
        <v>134</v>
      </c>
    </row>
    <row r="3210" customFormat="false" ht="15" hidden="false" customHeight="false" outlineLevel="0" collapsed="false">
      <c r="B3210" s="53"/>
      <c r="I3210" s="53"/>
      <c r="U3210" s="31" t="n">
        <f aca="false">IF($B3210='設定（最初に1回）'!$C$4,N(U3209)+1,N(U3209))</f>
        <v>134</v>
      </c>
    </row>
    <row r="3211" customFormat="false" ht="15" hidden="false" customHeight="false" outlineLevel="0" collapsed="false">
      <c r="B3211" s="53"/>
      <c r="I3211" s="53"/>
      <c r="U3211" s="31" t="n">
        <f aca="false">IF($B3211='設定（最初に1回）'!$C$4,N(U3210)+1,N(U3210))</f>
        <v>134</v>
      </c>
    </row>
    <row r="3212" customFormat="false" ht="15" hidden="false" customHeight="false" outlineLevel="0" collapsed="false">
      <c r="B3212" s="53"/>
      <c r="I3212" s="53"/>
      <c r="U3212" s="31" t="n">
        <f aca="false">IF($B3212='設定（最初に1回）'!$C$4,N(U3211)+1,N(U3211))</f>
        <v>134</v>
      </c>
    </row>
    <row r="3213" customFormat="false" ht="15" hidden="false" customHeight="false" outlineLevel="0" collapsed="false">
      <c r="B3213" s="53"/>
      <c r="I3213" s="53"/>
      <c r="U3213" s="31" t="n">
        <f aca="false">IF($B3213='設定（最初に1回）'!$C$4,N(U3212)+1,N(U3212))</f>
        <v>134</v>
      </c>
    </row>
    <row r="3214" customFormat="false" ht="15" hidden="false" customHeight="false" outlineLevel="0" collapsed="false">
      <c r="B3214" s="53"/>
      <c r="I3214" s="53"/>
      <c r="U3214" s="31" t="n">
        <f aca="false">IF($B3214='設定（最初に1回）'!$C$4,N(U3213)+1,N(U3213))</f>
        <v>134</v>
      </c>
    </row>
    <row r="3215" customFormat="false" ht="15" hidden="false" customHeight="false" outlineLevel="0" collapsed="false">
      <c r="B3215" s="53"/>
      <c r="I3215" s="53"/>
      <c r="U3215" s="31" t="n">
        <f aca="false">IF($B3215='設定（最初に1回）'!$C$4,N(U3214)+1,N(U3214))</f>
        <v>134</v>
      </c>
    </row>
    <row r="3216" customFormat="false" ht="15" hidden="false" customHeight="false" outlineLevel="0" collapsed="false">
      <c r="B3216" s="53"/>
      <c r="I3216" s="53"/>
      <c r="U3216" s="31" t="n">
        <f aca="false">IF($B3216='設定（最初に1回）'!$C$4,N(U3215)+1,N(U3215))</f>
        <v>134</v>
      </c>
    </row>
    <row r="3217" customFormat="false" ht="15" hidden="false" customHeight="false" outlineLevel="0" collapsed="false">
      <c r="B3217" s="53"/>
      <c r="I3217" s="53"/>
      <c r="U3217" s="31" t="n">
        <f aca="false">IF($B3217='設定（最初に1回）'!$C$4,N(U3216)+1,N(U3216))</f>
        <v>134</v>
      </c>
    </row>
    <row r="3218" customFormat="false" ht="15" hidden="false" customHeight="false" outlineLevel="0" collapsed="false">
      <c r="B3218" s="53"/>
      <c r="I3218" s="53"/>
      <c r="U3218" s="31" t="n">
        <f aca="false">IF($B3218='設定（最初に1回）'!$C$4,N(U3217)+1,N(U3217))</f>
        <v>134</v>
      </c>
    </row>
    <row r="3219" customFormat="false" ht="15" hidden="false" customHeight="false" outlineLevel="0" collapsed="false">
      <c r="B3219" s="53"/>
      <c r="I3219" s="53"/>
      <c r="U3219" s="31" t="n">
        <f aca="false">IF($B3219='設定（最初に1回）'!$C$4,N(U3218)+1,N(U3218))</f>
        <v>134</v>
      </c>
    </row>
    <row r="3220" customFormat="false" ht="15" hidden="false" customHeight="false" outlineLevel="0" collapsed="false">
      <c r="B3220" s="53"/>
      <c r="I3220" s="53"/>
      <c r="U3220" s="31" t="n">
        <f aca="false">IF($B3220='設定（最初に1回）'!$C$4,N(U3219)+1,N(U3219))</f>
        <v>134</v>
      </c>
    </row>
    <row r="3221" customFormat="false" ht="15" hidden="false" customHeight="false" outlineLevel="0" collapsed="false">
      <c r="B3221" s="53"/>
      <c r="I3221" s="53"/>
      <c r="U3221" s="31" t="n">
        <f aca="false">IF($B3221='設定（最初に1回）'!$C$4,N(U3220)+1,N(U3220))</f>
        <v>134</v>
      </c>
    </row>
    <row r="3222" customFormat="false" ht="15" hidden="false" customHeight="false" outlineLevel="0" collapsed="false">
      <c r="B3222" s="53"/>
      <c r="I3222" s="53"/>
      <c r="U3222" s="31" t="n">
        <f aca="false">IF($B3222='設定（最初に1回）'!$C$4,N(U3221)+1,N(U3221))</f>
        <v>134</v>
      </c>
    </row>
    <row r="3223" customFormat="false" ht="15" hidden="false" customHeight="false" outlineLevel="0" collapsed="false">
      <c r="B3223" s="53"/>
      <c r="I3223" s="53"/>
      <c r="U3223" s="31" t="n">
        <f aca="false">IF($B3223='設定（最初に1回）'!$C$4,N(U3222)+1,N(U3222))</f>
        <v>134</v>
      </c>
    </row>
    <row r="3224" customFormat="false" ht="15" hidden="false" customHeight="false" outlineLevel="0" collapsed="false">
      <c r="B3224" s="53"/>
      <c r="I3224" s="53"/>
      <c r="U3224" s="31" t="n">
        <f aca="false">IF($B3224='設定（最初に1回）'!$C$4,N(U3223)+1,N(U3223))</f>
        <v>134</v>
      </c>
    </row>
    <row r="3225" customFormat="false" ht="15" hidden="false" customHeight="false" outlineLevel="0" collapsed="false">
      <c r="B3225" s="53"/>
      <c r="I3225" s="53"/>
      <c r="U3225" s="31" t="n">
        <f aca="false">IF($B3225='設定（最初に1回）'!$C$4,N(U3224)+1,N(U3224))</f>
        <v>134</v>
      </c>
    </row>
    <row r="3226" customFormat="false" ht="15" hidden="false" customHeight="false" outlineLevel="0" collapsed="false">
      <c r="B3226" s="53"/>
      <c r="I3226" s="53"/>
      <c r="U3226" s="31" t="n">
        <f aca="false">IF($B3226='設定（最初に1回）'!$C$4,N(U3225)+1,N(U3225))</f>
        <v>134</v>
      </c>
    </row>
    <row r="3227" customFormat="false" ht="15" hidden="false" customHeight="false" outlineLevel="0" collapsed="false">
      <c r="B3227" s="53"/>
      <c r="I3227" s="53"/>
      <c r="U3227" s="31" t="n">
        <f aca="false">IF($B3227='設定（最初に1回）'!$C$4,N(U3226)+1,N(U3226))</f>
        <v>134</v>
      </c>
    </row>
    <row r="3228" customFormat="false" ht="15" hidden="false" customHeight="false" outlineLevel="0" collapsed="false">
      <c r="B3228" s="53"/>
      <c r="I3228" s="53"/>
      <c r="U3228" s="31" t="n">
        <f aca="false">IF($B3228='設定（最初に1回）'!$C$4,N(U3227)+1,N(U3227))</f>
        <v>134</v>
      </c>
    </row>
    <row r="3229" customFormat="false" ht="15" hidden="false" customHeight="false" outlineLevel="0" collapsed="false">
      <c r="B3229" s="53"/>
      <c r="I3229" s="53"/>
      <c r="U3229" s="31" t="n">
        <f aca="false">IF($B3229='設定（最初に1回）'!$C$4,N(U3228)+1,N(U3228))</f>
        <v>134</v>
      </c>
    </row>
    <row r="3230" customFormat="false" ht="15" hidden="false" customHeight="false" outlineLevel="0" collapsed="false">
      <c r="B3230" s="53"/>
      <c r="I3230" s="53"/>
      <c r="U3230" s="31" t="n">
        <f aca="false">IF($B3230='設定（最初に1回）'!$C$4,N(U3229)+1,N(U3229))</f>
        <v>134</v>
      </c>
    </row>
    <row r="3231" customFormat="false" ht="15" hidden="false" customHeight="false" outlineLevel="0" collapsed="false">
      <c r="B3231" s="53"/>
      <c r="I3231" s="53"/>
      <c r="U3231" s="31" t="n">
        <f aca="false">IF($B3231='設定（最初に1回）'!$C$4,N(U3230)+1,N(U3230))</f>
        <v>134</v>
      </c>
    </row>
    <row r="3232" customFormat="false" ht="15" hidden="false" customHeight="false" outlineLevel="0" collapsed="false">
      <c r="B3232" s="53"/>
      <c r="I3232" s="53"/>
      <c r="U3232" s="31" t="n">
        <f aca="false">IF($B3232='設定（最初に1回）'!$C$4,N(U3231)+1,N(U3231))</f>
        <v>134</v>
      </c>
    </row>
    <row r="3233" customFormat="false" ht="15" hidden="false" customHeight="false" outlineLevel="0" collapsed="false">
      <c r="B3233" s="53"/>
      <c r="I3233" s="53"/>
      <c r="U3233" s="31" t="n">
        <f aca="false">IF($B3233='設定（最初に1回）'!$C$4,N(U3232)+1,N(U3232))</f>
        <v>134</v>
      </c>
    </row>
    <row r="3234" customFormat="false" ht="15" hidden="false" customHeight="false" outlineLevel="0" collapsed="false">
      <c r="B3234" s="53"/>
      <c r="I3234" s="53"/>
      <c r="U3234" s="31" t="n">
        <f aca="false">IF($B3234='設定（最初に1回）'!$C$4,N(U3233)+1,N(U3233))</f>
        <v>134</v>
      </c>
    </row>
    <row r="3235" customFormat="false" ht="15" hidden="false" customHeight="false" outlineLevel="0" collapsed="false">
      <c r="B3235" s="53"/>
      <c r="I3235" s="53"/>
      <c r="U3235" s="31" t="n">
        <f aca="false">IF($B3235='設定（最初に1回）'!$C$4,N(U3234)+1,N(U3234))</f>
        <v>134</v>
      </c>
    </row>
    <row r="3236" customFormat="false" ht="15" hidden="false" customHeight="false" outlineLevel="0" collapsed="false">
      <c r="B3236" s="53"/>
      <c r="I3236" s="53"/>
      <c r="U3236" s="31" t="n">
        <f aca="false">IF($B3236='設定（最初に1回）'!$C$4,N(U3235)+1,N(U3235))</f>
        <v>134</v>
      </c>
    </row>
    <row r="3237" customFormat="false" ht="15" hidden="false" customHeight="false" outlineLevel="0" collapsed="false">
      <c r="B3237" s="53"/>
      <c r="I3237" s="53"/>
      <c r="U3237" s="31" t="n">
        <f aca="false">IF($B3237='設定（最初に1回）'!$C$4,N(U3236)+1,N(U3236))</f>
        <v>134</v>
      </c>
    </row>
    <row r="3238" customFormat="false" ht="15" hidden="false" customHeight="false" outlineLevel="0" collapsed="false">
      <c r="B3238" s="53"/>
      <c r="I3238" s="53"/>
      <c r="U3238" s="31" t="n">
        <f aca="false">IF($B3238='設定（最初に1回）'!$C$4,N(U3237)+1,N(U3237))</f>
        <v>134</v>
      </c>
    </row>
    <row r="3239" customFormat="false" ht="15" hidden="false" customHeight="false" outlineLevel="0" collapsed="false">
      <c r="B3239" s="53"/>
      <c r="I3239" s="53"/>
      <c r="U3239" s="31" t="n">
        <f aca="false">IF($B3239='設定（最初に1回）'!$C$4,N(U3238)+1,N(U3238))</f>
        <v>134</v>
      </c>
    </row>
    <row r="3240" customFormat="false" ht="15" hidden="false" customHeight="false" outlineLevel="0" collapsed="false">
      <c r="B3240" s="53"/>
      <c r="I3240" s="53"/>
      <c r="U3240" s="31" t="n">
        <f aca="false">IF($B3240='設定（最初に1回）'!$C$4,N(U3239)+1,N(U3239))</f>
        <v>134</v>
      </c>
    </row>
    <row r="3241" customFormat="false" ht="15" hidden="false" customHeight="false" outlineLevel="0" collapsed="false">
      <c r="B3241" s="53"/>
      <c r="I3241" s="53"/>
      <c r="U3241" s="31" t="n">
        <f aca="false">IF($B3241='設定（最初に1回）'!$C$4,N(U3240)+1,N(U3240))</f>
        <v>134</v>
      </c>
    </row>
    <row r="3242" customFormat="false" ht="15" hidden="false" customHeight="false" outlineLevel="0" collapsed="false">
      <c r="B3242" s="53"/>
      <c r="I3242" s="53"/>
      <c r="U3242" s="31" t="n">
        <f aca="false">IF($B3242='設定（最初に1回）'!$C$4,N(U3241)+1,N(U3241))</f>
        <v>134</v>
      </c>
    </row>
    <row r="3243" customFormat="false" ht="15" hidden="false" customHeight="false" outlineLevel="0" collapsed="false">
      <c r="B3243" s="53"/>
      <c r="I3243" s="53"/>
      <c r="U3243" s="31" t="n">
        <f aca="false">IF($B3243='設定（最初に1回）'!$C$4,N(U3242)+1,N(U3242))</f>
        <v>134</v>
      </c>
    </row>
    <row r="3244" customFormat="false" ht="15" hidden="false" customHeight="false" outlineLevel="0" collapsed="false">
      <c r="B3244" s="53"/>
      <c r="I3244" s="53"/>
      <c r="U3244" s="31" t="n">
        <f aca="false">IF($B3244='設定（最初に1回）'!$C$4,N(U3243)+1,N(U3243))</f>
        <v>134</v>
      </c>
    </row>
    <row r="3245" customFormat="false" ht="15" hidden="false" customHeight="false" outlineLevel="0" collapsed="false">
      <c r="B3245" s="53"/>
      <c r="I3245" s="53"/>
      <c r="U3245" s="31" t="n">
        <f aca="false">IF($B3245='設定（最初に1回）'!$C$4,N(U3244)+1,N(U3244))</f>
        <v>134</v>
      </c>
    </row>
    <row r="3246" customFormat="false" ht="15" hidden="false" customHeight="false" outlineLevel="0" collapsed="false">
      <c r="B3246" s="53"/>
      <c r="I3246" s="53"/>
      <c r="U3246" s="31" t="n">
        <f aca="false">IF($B3246='設定（最初に1回）'!$C$4,N(U3245)+1,N(U3245))</f>
        <v>134</v>
      </c>
    </row>
    <row r="3247" customFormat="false" ht="15" hidden="false" customHeight="false" outlineLevel="0" collapsed="false">
      <c r="B3247" s="53"/>
      <c r="I3247" s="53"/>
      <c r="U3247" s="31" t="n">
        <f aca="false">IF($B3247='設定（最初に1回）'!$C$4,N(U3246)+1,N(U3246))</f>
        <v>134</v>
      </c>
    </row>
    <row r="3248" customFormat="false" ht="15" hidden="false" customHeight="false" outlineLevel="0" collapsed="false">
      <c r="B3248" s="53"/>
      <c r="I3248" s="53"/>
      <c r="U3248" s="31" t="n">
        <f aca="false">IF($B3248='設定（最初に1回）'!$C$4,N(U3247)+1,N(U3247))</f>
        <v>134</v>
      </c>
    </row>
    <row r="3249" customFormat="false" ht="15" hidden="false" customHeight="false" outlineLevel="0" collapsed="false">
      <c r="B3249" s="53"/>
      <c r="I3249" s="53"/>
      <c r="U3249" s="31" t="n">
        <f aca="false">IF($B3249='設定（最初に1回）'!$C$4,N(U3248)+1,N(U3248))</f>
        <v>134</v>
      </c>
    </row>
    <row r="3250" customFormat="false" ht="15" hidden="false" customHeight="false" outlineLevel="0" collapsed="false">
      <c r="B3250" s="53"/>
      <c r="I3250" s="53"/>
      <c r="U3250" s="31" t="n">
        <f aca="false">IF($B3250='設定（最初に1回）'!$C$4,N(U3249)+1,N(U3249))</f>
        <v>134</v>
      </c>
    </row>
    <row r="3251" customFormat="false" ht="15" hidden="false" customHeight="false" outlineLevel="0" collapsed="false">
      <c r="B3251" s="53"/>
      <c r="I3251" s="53"/>
      <c r="U3251" s="31" t="n">
        <f aca="false">IF($B3251='設定（最初に1回）'!$C$4,N(U3250)+1,N(U3250))</f>
        <v>134</v>
      </c>
    </row>
    <row r="3252" customFormat="false" ht="15" hidden="false" customHeight="false" outlineLevel="0" collapsed="false">
      <c r="B3252" s="53"/>
      <c r="I3252" s="53"/>
      <c r="U3252" s="31" t="n">
        <f aca="false">IF($B3252='設定（最初に1回）'!$C$4,N(U3251)+1,N(U3251))</f>
        <v>134</v>
      </c>
    </row>
    <row r="3253" customFormat="false" ht="15" hidden="false" customHeight="false" outlineLevel="0" collapsed="false">
      <c r="B3253" s="53"/>
      <c r="I3253" s="53"/>
      <c r="U3253" s="31" t="n">
        <f aca="false">IF($B3253='設定（最初に1回）'!$C$4,N(U3252)+1,N(U3252))</f>
        <v>134</v>
      </c>
    </row>
    <row r="3254" customFormat="false" ht="15" hidden="false" customHeight="false" outlineLevel="0" collapsed="false">
      <c r="B3254" s="53"/>
      <c r="I3254" s="53"/>
      <c r="U3254" s="31" t="n">
        <f aca="false">IF($B3254='設定（最初に1回）'!$C$4,N(U3253)+1,N(U3253))</f>
        <v>134</v>
      </c>
    </row>
    <row r="3255" customFormat="false" ht="15" hidden="false" customHeight="false" outlineLevel="0" collapsed="false">
      <c r="B3255" s="53"/>
      <c r="I3255" s="53"/>
      <c r="U3255" s="31" t="n">
        <f aca="false">IF($B3255='設定（最初に1回）'!$C$4,N(U3254)+1,N(U3254))</f>
        <v>134</v>
      </c>
    </row>
    <row r="3256" customFormat="false" ht="15" hidden="false" customHeight="false" outlineLevel="0" collapsed="false">
      <c r="B3256" s="53"/>
      <c r="I3256" s="53"/>
      <c r="U3256" s="31" t="n">
        <f aca="false">IF($B3256='設定（最初に1回）'!$C$4,N(U3255)+1,N(U3255))</f>
        <v>134</v>
      </c>
    </row>
    <row r="3257" customFormat="false" ht="15" hidden="false" customHeight="false" outlineLevel="0" collapsed="false">
      <c r="B3257" s="53"/>
      <c r="I3257" s="53"/>
      <c r="U3257" s="31" t="n">
        <f aca="false">IF($B3257='設定（最初に1回）'!$C$4,N(U3256)+1,N(U3256))</f>
        <v>134</v>
      </c>
    </row>
    <row r="3258" customFormat="false" ht="15" hidden="false" customHeight="false" outlineLevel="0" collapsed="false">
      <c r="B3258" s="53"/>
      <c r="I3258" s="53"/>
      <c r="U3258" s="31" t="n">
        <f aca="false">IF($B3258='設定（最初に1回）'!$C$4,N(U3257)+1,N(U3257))</f>
        <v>134</v>
      </c>
    </row>
    <row r="3259" customFormat="false" ht="15" hidden="false" customHeight="false" outlineLevel="0" collapsed="false">
      <c r="B3259" s="53"/>
      <c r="I3259" s="53"/>
      <c r="U3259" s="31" t="n">
        <f aca="false">IF($B3259='設定（最初に1回）'!$C$4,N(U3258)+1,N(U3258))</f>
        <v>134</v>
      </c>
    </row>
    <row r="3260" customFormat="false" ht="15" hidden="false" customHeight="false" outlineLevel="0" collapsed="false">
      <c r="B3260" s="53"/>
      <c r="I3260" s="53"/>
      <c r="U3260" s="31" t="n">
        <f aca="false">IF($B3260='設定（最初に1回）'!$C$4,N(U3259)+1,N(U3259))</f>
        <v>134</v>
      </c>
    </row>
    <row r="3261" customFormat="false" ht="15" hidden="false" customHeight="false" outlineLevel="0" collapsed="false">
      <c r="B3261" s="53"/>
      <c r="I3261" s="53"/>
      <c r="U3261" s="31" t="n">
        <f aca="false">IF($B3261='設定（最初に1回）'!$C$4,N(U3260)+1,N(U3260))</f>
        <v>134</v>
      </c>
    </row>
    <row r="3262" customFormat="false" ht="15" hidden="false" customHeight="false" outlineLevel="0" collapsed="false">
      <c r="B3262" s="53"/>
      <c r="I3262" s="53"/>
      <c r="U3262" s="31" t="n">
        <f aca="false">IF($B3262='設定（最初に1回）'!$C$4,N(U3261)+1,N(U3261))</f>
        <v>134</v>
      </c>
    </row>
    <row r="3263" customFormat="false" ht="15" hidden="false" customHeight="false" outlineLevel="0" collapsed="false">
      <c r="B3263" s="53"/>
      <c r="I3263" s="53"/>
      <c r="U3263" s="31" t="n">
        <f aca="false">IF($B3263='設定（最初に1回）'!$C$4,N(U3262)+1,N(U3262))</f>
        <v>134</v>
      </c>
    </row>
    <row r="3264" customFormat="false" ht="15" hidden="false" customHeight="false" outlineLevel="0" collapsed="false">
      <c r="B3264" s="53"/>
      <c r="I3264" s="53"/>
      <c r="U3264" s="31" t="n">
        <f aca="false">IF($B3264='設定（最初に1回）'!$C$4,N(U3263)+1,N(U3263))</f>
        <v>134</v>
      </c>
    </row>
    <row r="3265" customFormat="false" ht="15" hidden="false" customHeight="false" outlineLevel="0" collapsed="false">
      <c r="B3265" s="53"/>
      <c r="I3265" s="53"/>
      <c r="U3265" s="31" t="n">
        <f aca="false">IF($B3265='設定（最初に1回）'!$C$4,N(U3264)+1,N(U3264))</f>
        <v>134</v>
      </c>
    </row>
    <row r="3266" customFormat="false" ht="15" hidden="false" customHeight="false" outlineLevel="0" collapsed="false">
      <c r="B3266" s="53"/>
      <c r="I3266" s="53"/>
      <c r="U3266" s="31" t="n">
        <f aca="false">IF($B3266='設定（最初に1回）'!$C$4,N(U3265)+1,N(U3265))</f>
        <v>134</v>
      </c>
    </row>
    <row r="3267" customFormat="false" ht="15" hidden="false" customHeight="false" outlineLevel="0" collapsed="false">
      <c r="B3267" s="53"/>
      <c r="I3267" s="53"/>
      <c r="U3267" s="31" t="n">
        <f aca="false">IF($B3267='設定（最初に1回）'!$C$4,N(U3266)+1,N(U3266))</f>
        <v>134</v>
      </c>
    </row>
    <row r="3268" customFormat="false" ht="15" hidden="false" customHeight="false" outlineLevel="0" collapsed="false">
      <c r="B3268" s="53"/>
      <c r="I3268" s="53"/>
      <c r="U3268" s="31" t="n">
        <f aca="false">IF($B3268='設定（最初に1回）'!$C$4,N(U3267)+1,N(U3267))</f>
        <v>134</v>
      </c>
    </row>
    <row r="3269" customFormat="false" ht="15" hidden="false" customHeight="false" outlineLevel="0" collapsed="false">
      <c r="B3269" s="53"/>
      <c r="I3269" s="53"/>
      <c r="U3269" s="31" t="n">
        <f aca="false">IF($B3269='設定（最初に1回）'!$C$4,N(U3268)+1,N(U3268))</f>
        <v>134</v>
      </c>
    </row>
    <row r="3270" customFormat="false" ht="15" hidden="false" customHeight="false" outlineLevel="0" collapsed="false">
      <c r="B3270" s="53"/>
      <c r="I3270" s="53"/>
      <c r="U3270" s="31" t="n">
        <f aca="false">IF($B3270='設定（最初に1回）'!$C$4,N(U3269)+1,N(U3269))</f>
        <v>134</v>
      </c>
    </row>
    <row r="3271" customFormat="false" ht="15" hidden="false" customHeight="false" outlineLevel="0" collapsed="false">
      <c r="B3271" s="53"/>
      <c r="I3271" s="53"/>
      <c r="U3271" s="31" t="n">
        <f aca="false">IF($B3271='設定（最初に1回）'!$C$4,N(U3270)+1,N(U3270))</f>
        <v>134</v>
      </c>
    </row>
    <row r="3272" customFormat="false" ht="15" hidden="false" customHeight="false" outlineLevel="0" collapsed="false">
      <c r="B3272" s="53"/>
      <c r="I3272" s="53"/>
      <c r="U3272" s="31" t="n">
        <f aca="false">IF($B3272='設定（最初に1回）'!$C$4,N(U3271)+1,N(U3271))</f>
        <v>134</v>
      </c>
    </row>
    <row r="3273" customFormat="false" ht="15" hidden="false" customHeight="false" outlineLevel="0" collapsed="false">
      <c r="B3273" s="53"/>
      <c r="I3273" s="53"/>
      <c r="U3273" s="31" t="n">
        <f aca="false">IF($B3273='設定（最初に1回）'!$C$4,N(U3272)+1,N(U3272))</f>
        <v>134</v>
      </c>
    </row>
    <row r="3274" customFormat="false" ht="15" hidden="false" customHeight="false" outlineLevel="0" collapsed="false">
      <c r="B3274" s="53"/>
      <c r="I3274" s="53"/>
      <c r="U3274" s="31" t="n">
        <f aca="false">IF($B3274='設定（最初に1回）'!$C$4,N(U3273)+1,N(U3273))</f>
        <v>134</v>
      </c>
    </row>
    <row r="3275" customFormat="false" ht="15" hidden="false" customHeight="false" outlineLevel="0" collapsed="false">
      <c r="B3275" s="53"/>
      <c r="I3275" s="53"/>
      <c r="U3275" s="31" t="n">
        <f aca="false">IF($B3275='設定（最初に1回）'!$C$4,N(U3274)+1,N(U3274))</f>
        <v>134</v>
      </c>
    </row>
    <row r="3276" customFormat="false" ht="15" hidden="false" customHeight="false" outlineLevel="0" collapsed="false">
      <c r="B3276" s="53"/>
      <c r="I3276" s="53"/>
      <c r="U3276" s="31" t="n">
        <f aca="false">IF($B3276='設定（最初に1回）'!$C$4,N(U3275)+1,N(U3275))</f>
        <v>134</v>
      </c>
    </row>
    <row r="3277" customFormat="false" ht="15" hidden="false" customHeight="false" outlineLevel="0" collapsed="false">
      <c r="B3277" s="53"/>
      <c r="I3277" s="53"/>
      <c r="U3277" s="31" t="n">
        <f aca="false">IF($B3277='設定（最初に1回）'!$C$4,N(U3276)+1,N(U3276))</f>
        <v>134</v>
      </c>
    </row>
    <row r="3278" customFormat="false" ht="15" hidden="false" customHeight="false" outlineLevel="0" collapsed="false">
      <c r="B3278" s="53"/>
      <c r="I3278" s="53"/>
      <c r="U3278" s="31" t="n">
        <f aca="false">IF($B3278='設定（最初に1回）'!$C$4,N(U3277)+1,N(U3277))</f>
        <v>134</v>
      </c>
    </row>
    <row r="3279" customFormat="false" ht="15" hidden="false" customHeight="false" outlineLevel="0" collapsed="false">
      <c r="B3279" s="53"/>
      <c r="I3279" s="53"/>
      <c r="U3279" s="31" t="n">
        <f aca="false">IF($B3279='設定（最初に1回）'!$C$4,N(U3278)+1,N(U3278))</f>
        <v>134</v>
      </c>
    </row>
    <row r="3280" customFormat="false" ht="15" hidden="false" customHeight="false" outlineLevel="0" collapsed="false">
      <c r="B3280" s="53"/>
      <c r="I3280" s="53"/>
      <c r="U3280" s="31" t="n">
        <f aca="false">IF($B3280='設定（最初に1回）'!$C$4,N(U3279)+1,N(U3279))</f>
        <v>134</v>
      </c>
    </row>
    <row r="3281" customFormat="false" ht="15" hidden="false" customHeight="false" outlineLevel="0" collapsed="false">
      <c r="B3281" s="53"/>
      <c r="I3281" s="53"/>
      <c r="U3281" s="31" t="n">
        <f aca="false">IF($B3281='設定（最初に1回）'!$C$4,N(U3280)+1,N(U3280))</f>
        <v>134</v>
      </c>
    </row>
    <row r="3282" customFormat="false" ht="15" hidden="false" customHeight="false" outlineLevel="0" collapsed="false">
      <c r="B3282" s="53"/>
      <c r="I3282" s="53"/>
      <c r="U3282" s="31" t="n">
        <f aca="false">IF($B3282='設定（最初に1回）'!$C$4,N(U3281)+1,N(U3281))</f>
        <v>134</v>
      </c>
    </row>
    <row r="3283" customFormat="false" ht="15" hidden="false" customHeight="false" outlineLevel="0" collapsed="false">
      <c r="B3283" s="53"/>
      <c r="I3283" s="53"/>
      <c r="U3283" s="31" t="n">
        <f aca="false">IF($B3283='設定（最初に1回）'!$C$4,N(U3282)+1,N(U3282))</f>
        <v>134</v>
      </c>
    </row>
    <row r="3284" customFormat="false" ht="15" hidden="false" customHeight="false" outlineLevel="0" collapsed="false">
      <c r="B3284" s="53"/>
      <c r="I3284" s="53"/>
      <c r="U3284" s="31" t="n">
        <f aca="false">IF($B3284='設定（最初に1回）'!$C$4,N(U3283)+1,N(U3283))</f>
        <v>134</v>
      </c>
    </row>
    <row r="3285" customFormat="false" ht="15" hidden="false" customHeight="false" outlineLevel="0" collapsed="false">
      <c r="B3285" s="53"/>
      <c r="I3285" s="53"/>
      <c r="U3285" s="31" t="n">
        <f aca="false">IF($B3285='設定（最初に1回）'!$C$4,N(U3284)+1,N(U3284))</f>
        <v>134</v>
      </c>
    </row>
    <row r="3286" customFormat="false" ht="15" hidden="false" customHeight="false" outlineLevel="0" collapsed="false">
      <c r="B3286" s="53"/>
      <c r="I3286" s="53"/>
      <c r="U3286" s="31" t="n">
        <f aca="false">IF($B3286='設定（最初に1回）'!$C$4,N(U3285)+1,N(U3285))</f>
        <v>134</v>
      </c>
    </row>
    <row r="3287" customFormat="false" ht="15" hidden="false" customHeight="false" outlineLevel="0" collapsed="false">
      <c r="B3287" s="53"/>
      <c r="I3287" s="53"/>
      <c r="U3287" s="31" t="n">
        <f aca="false">IF($B3287='設定（最初に1回）'!$C$4,N(U3286)+1,N(U3286))</f>
        <v>134</v>
      </c>
    </row>
    <row r="3288" customFormat="false" ht="15" hidden="false" customHeight="false" outlineLevel="0" collapsed="false">
      <c r="B3288" s="53"/>
      <c r="I3288" s="53"/>
      <c r="U3288" s="31" t="n">
        <f aca="false">IF($B3288='設定（最初に1回）'!$C$4,N(U3287)+1,N(U3287))</f>
        <v>134</v>
      </c>
    </row>
    <row r="3289" customFormat="false" ht="15" hidden="false" customHeight="false" outlineLevel="0" collapsed="false">
      <c r="B3289" s="53"/>
      <c r="I3289" s="53"/>
      <c r="U3289" s="31" t="n">
        <f aca="false">IF($B3289='設定（最初に1回）'!$C$4,N(U3288)+1,N(U3288))</f>
        <v>134</v>
      </c>
    </row>
    <row r="3290" customFormat="false" ht="15" hidden="false" customHeight="false" outlineLevel="0" collapsed="false">
      <c r="B3290" s="53"/>
      <c r="I3290" s="53"/>
      <c r="U3290" s="31" t="n">
        <f aca="false">IF($B3290='設定（最初に1回）'!$C$4,N(U3289)+1,N(U3289))</f>
        <v>134</v>
      </c>
    </row>
    <row r="3291" customFormat="false" ht="15" hidden="false" customHeight="false" outlineLevel="0" collapsed="false">
      <c r="B3291" s="53"/>
      <c r="I3291" s="53"/>
      <c r="U3291" s="31" t="n">
        <f aca="false">IF($B3291='設定（最初に1回）'!$C$4,N(U3290)+1,N(U3290))</f>
        <v>134</v>
      </c>
    </row>
    <row r="3292" customFormat="false" ht="15" hidden="false" customHeight="false" outlineLevel="0" collapsed="false">
      <c r="B3292" s="53"/>
      <c r="I3292" s="53"/>
      <c r="U3292" s="31" t="n">
        <f aca="false">IF($B3292='設定（最初に1回）'!$C$4,N(U3291)+1,N(U3291))</f>
        <v>134</v>
      </c>
    </row>
    <row r="3293" customFormat="false" ht="15" hidden="false" customHeight="false" outlineLevel="0" collapsed="false">
      <c r="B3293" s="53"/>
      <c r="I3293" s="53"/>
      <c r="U3293" s="31" t="n">
        <f aca="false">IF($B3293='設定（最初に1回）'!$C$4,N(U3292)+1,N(U3292))</f>
        <v>134</v>
      </c>
    </row>
    <row r="3294" customFormat="false" ht="15" hidden="false" customHeight="false" outlineLevel="0" collapsed="false">
      <c r="B3294" s="53"/>
      <c r="I3294" s="53"/>
      <c r="U3294" s="31" t="n">
        <f aca="false">IF($B3294='設定（最初に1回）'!$C$4,N(U3293)+1,N(U3293))</f>
        <v>134</v>
      </c>
    </row>
    <row r="3295" customFormat="false" ht="15" hidden="false" customHeight="false" outlineLevel="0" collapsed="false">
      <c r="B3295" s="53"/>
      <c r="I3295" s="53"/>
      <c r="U3295" s="31" t="n">
        <f aca="false">IF($B3295='設定（最初に1回）'!$C$4,N(U3294)+1,N(U3294))</f>
        <v>134</v>
      </c>
    </row>
    <row r="3296" customFormat="false" ht="15" hidden="false" customHeight="false" outlineLevel="0" collapsed="false">
      <c r="B3296" s="53"/>
      <c r="I3296" s="53"/>
      <c r="U3296" s="31" t="n">
        <f aca="false">IF($B3296='設定（最初に1回）'!$C$4,N(U3295)+1,N(U3295))</f>
        <v>134</v>
      </c>
    </row>
    <row r="3297" customFormat="false" ht="15" hidden="false" customHeight="false" outlineLevel="0" collapsed="false">
      <c r="B3297" s="53"/>
      <c r="I3297" s="53"/>
      <c r="U3297" s="31" t="n">
        <f aca="false">IF($B3297='設定（最初に1回）'!$C$4,N(U3296)+1,N(U3296))</f>
        <v>134</v>
      </c>
    </row>
    <row r="3298" customFormat="false" ht="15" hidden="false" customHeight="false" outlineLevel="0" collapsed="false">
      <c r="B3298" s="53"/>
      <c r="I3298" s="53"/>
      <c r="U3298" s="31" t="n">
        <f aca="false">IF($B3298='設定（最初に1回）'!$C$4,N(U3297)+1,N(U3297))</f>
        <v>134</v>
      </c>
    </row>
    <row r="3299" customFormat="false" ht="15" hidden="false" customHeight="false" outlineLevel="0" collapsed="false">
      <c r="B3299" s="53"/>
      <c r="I3299" s="53"/>
      <c r="U3299" s="31" t="n">
        <f aca="false">IF($B3299='設定（最初に1回）'!$C$4,N(U3298)+1,N(U3298))</f>
        <v>134</v>
      </c>
    </row>
    <row r="3300" customFormat="false" ht="15" hidden="false" customHeight="false" outlineLevel="0" collapsed="false">
      <c r="B3300" s="53"/>
      <c r="I3300" s="53"/>
      <c r="U3300" s="31" t="n">
        <f aca="false">IF($B3300='設定（最初に1回）'!$C$4,N(U3299)+1,N(U3299))</f>
        <v>134</v>
      </c>
    </row>
    <row r="3301" customFormat="false" ht="15" hidden="false" customHeight="false" outlineLevel="0" collapsed="false">
      <c r="B3301" s="53"/>
      <c r="I3301" s="53"/>
      <c r="U3301" s="31" t="n">
        <f aca="false">IF($B3301='設定（最初に1回）'!$C$4,N(U3300)+1,N(U3300))</f>
        <v>134</v>
      </c>
    </row>
    <row r="3302" customFormat="false" ht="15" hidden="false" customHeight="false" outlineLevel="0" collapsed="false">
      <c r="B3302" s="53"/>
      <c r="I3302" s="53"/>
      <c r="U3302" s="31" t="n">
        <f aca="false">IF($B3302='設定（最初に1回）'!$C$4,N(U3301)+1,N(U3301))</f>
        <v>134</v>
      </c>
    </row>
    <row r="3303" customFormat="false" ht="15" hidden="false" customHeight="false" outlineLevel="0" collapsed="false">
      <c r="B3303" s="53"/>
      <c r="I3303" s="53"/>
      <c r="U3303" s="31" t="n">
        <f aca="false">IF($B3303='設定（最初に1回）'!$C$4,N(U3302)+1,N(U3302))</f>
        <v>134</v>
      </c>
    </row>
    <row r="3304" customFormat="false" ht="15" hidden="false" customHeight="false" outlineLevel="0" collapsed="false">
      <c r="B3304" s="53"/>
      <c r="I3304" s="53"/>
      <c r="U3304" s="31" t="n">
        <f aca="false">IF($B3304='設定（最初に1回）'!$C$4,N(U3303)+1,N(U3303))</f>
        <v>134</v>
      </c>
    </row>
    <row r="3305" customFormat="false" ht="15" hidden="false" customHeight="false" outlineLevel="0" collapsed="false">
      <c r="B3305" s="53"/>
      <c r="I3305" s="53"/>
      <c r="U3305" s="31" t="n">
        <f aca="false">IF($B3305='設定（最初に1回）'!$C$4,N(U3304)+1,N(U3304))</f>
        <v>134</v>
      </c>
    </row>
    <row r="3306" customFormat="false" ht="15" hidden="false" customHeight="false" outlineLevel="0" collapsed="false">
      <c r="B3306" s="53"/>
      <c r="I3306" s="53"/>
      <c r="U3306" s="31" t="n">
        <f aca="false">IF($B3306='設定（最初に1回）'!$C$4,N(U3305)+1,N(U3305))</f>
        <v>134</v>
      </c>
    </row>
    <row r="3307" customFormat="false" ht="15" hidden="false" customHeight="false" outlineLevel="0" collapsed="false">
      <c r="B3307" s="53"/>
      <c r="I3307" s="53"/>
      <c r="U3307" s="31" t="n">
        <f aca="false">IF($B3307='設定（最初に1回）'!$C$4,N(U3306)+1,N(U3306))</f>
        <v>134</v>
      </c>
    </row>
    <row r="3308" customFormat="false" ht="15" hidden="false" customHeight="false" outlineLevel="0" collapsed="false">
      <c r="B3308" s="53"/>
      <c r="I3308" s="53"/>
      <c r="U3308" s="31" t="n">
        <f aca="false">IF($B3308='設定（最初に1回）'!$C$4,N(U3307)+1,N(U3307))</f>
        <v>134</v>
      </c>
    </row>
    <row r="3309" customFormat="false" ht="15" hidden="false" customHeight="false" outlineLevel="0" collapsed="false">
      <c r="B3309" s="53"/>
      <c r="I3309" s="53"/>
      <c r="U3309" s="31" t="n">
        <f aca="false">IF($B3309='設定（最初に1回）'!$C$4,N(U3308)+1,N(U3308))</f>
        <v>134</v>
      </c>
    </row>
    <row r="3310" customFormat="false" ht="15" hidden="false" customHeight="false" outlineLevel="0" collapsed="false">
      <c r="B3310" s="53"/>
      <c r="I3310" s="53"/>
      <c r="U3310" s="31" t="n">
        <f aca="false">IF($B3310='設定（最初に1回）'!$C$4,N(U3309)+1,N(U3309))</f>
        <v>134</v>
      </c>
    </row>
    <row r="3311" customFormat="false" ht="15" hidden="false" customHeight="false" outlineLevel="0" collapsed="false">
      <c r="B3311" s="53"/>
      <c r="I3311" s="53"/>
      <c r="U3311" s="31" t="n">
        <f aca="false">IF($B3311='設定（最初に1回）'!$C$4,N(U3310)+1,N(U3310))</f>
        <v>134</v>
      </c>
    </row>
    <row r="3312" customFormat="false" ht="15" hidden="false" customHeight="false" outlineLevel="0" collapsed="false">
      <c r="B3312" s="53"/>
      <c r="I3312" s="53"/>
      <c r="U3312" s="31" t="n">
        <f aca="false">IF($B3312='設定（最初に1回）'!$C$4,N(U3311)+1,N(U3311))</f>
        <v>134</v>
      </c>
    </row>
    <row r="3313" customFormat="false" ht="15" hidden="false" customHeight="false" outlineLevel="0" collapsed="false">
      <c r="B3313" s="53"/>
      <c r="I3313" s="53"/>
      <c r="U3313" s="31" t="n">
        <f aca="false">IF($B3313='設定（最初に1回）'!$C$4,N(U3312)+1,N(U3312))</f>
        <v>134</v>
      </c>
    </row>
    <row r="3314" customFormat="false" ht="15" hidden="false" customHeight="false" outlineLevel="0" collapsed="false">
      <c r="B3314" s="53"/>
      <c r="I3314" s="53"/>
      <c r="U3314" s="31" t="n">
        <f aca="false">IF($B3314='設定（最初に1回）'!$C$4,N(U3313)+1,N(U3313))</f>
        <v>134</v>
      </c>
    </row>
    <row r="3315" customFormat="false" ht="15" hidden="false" customHeight="false" outlineLevel="0" collapsed="false">
      <c r="B3315" s="53"/>
      <c r="I3315" s="53"/>
      <c r="U3315" s="31" t="n">
        <f aca="false">IF($B3315='設定（最初に1回）'!$C$4,N(U3314)+1,N(U3314))</f>
        <v>134</v>
      </c>
    </row>
    <row r="3316" customFormat="false" ht="15" hidden="false" customHeight="false" outlineLevel="0" collapsed="false">
      <c r="B3316" s="53"/>
      <c r="I3316" s="53"/>
      <c r="U3316" s="31" t="n">
        <f aca="false">IF($B3316='設定（最初に1回）'!$C$4,N(U3315)+1,N(U3315))</f>
        <v>134</v>
      </c>
    </row>
    <row r="3317" customFormat="false" ht="15" hidden="false" customHeight="false" outlineLevel="0" collapsed="false">
      <c r="B3317" s="53"/>
      <c r="I3317" s="53"/>
      <c r="U3317" s="31" t="n">
        <f aca="false">IF($B3317='設定（最初に1回）'!$C$4,N(U3316)+1,N(U3316))</f>
        <v>134</v>
      </c>
    </row>
    <row r="3318" customFormat="false" ht="15" hidden="false" customHeight="false" outlineLevel="0" collapsed="false">
      <c r="B3318" s="53"/>
      <c r="I3318" s="53"/>
      <c r="U3318" s="31" t="n">
        <f aca="false">IF($B3318='設定（最初に1回）'!$C$4,N(U3317)+1,N(U3317))</f>
        <v>134</v>
      </c>
    </row>
    <row r="3319" customFormat="false" ht="15" hidden="false" customHeight="false" outlineLevel="0" collapsed="false">
      <c r="B3319" s="53"/>
      <c r="I3319" s="53"/>
      <c r="U3319" s="31" t="n">
        <f aca="false">IF($B3319='設定（最初に1回）'!$C$4,N(U3318)+1,N(U3318))</f>
        <v>134</v>
      </c>
    </row>
    <row r="3320" customFormat="false" ht="15" hidden="false" customHeight="false" outlineLevel="0" collapsed="false">
      <c r="B3320" s="53"/>
      <c r="I3320" s="53"/>
      <c r="U3320" s="31" t="n">
        <f aca="false">IF($B3320='設定（最初に1回）'!$C$4,N(U3319)+1,N(U3319))</f>
        <v>134</v>
      </c>
    </row>
    <row r="3321" customFormat="false" ht="15" hidden="false" customHeight="false" outlineLevel="0" collapsed="false">
      <c r="B3321" s="53"/>
      <c r="I3321" s="53"/>
      <c r="U3321" s="31" t="n">
        <f aca="false">IF($B3321='設定（最初に1回）'!$C$4,N(U3320)+1,N(U3320))</f>
        <v>134</v>
      </c>
    </row>
    <row r="3322" customFormat="false" ht="15" hidden="false" customHeight="false" outlineLevel="0" collapsed="false">
      <c r="B3322" s="53"/>
      <c r="I3322" s="53"/>
      <c r="U3322" s="31" t="n">
        <f aca="false">IF($B3322='設定（最初に1回）'!$C$4,N(U3321)+1,N(U3321))</f>
        <v>134</v>
      </c>
    </row>
    <row r="3323" customFormat="false" ht="15" hidden="false" customHeight="false" outlineLevel="0" collapsed="false">
      <c r="B3323" s="53"/>
      <c r="I3323" s="53"/>
      <c r="U3323" s="31" t="n">
        <f aca="false">IF($B3323='設定（最初に1回）'!$C$4,N(U3322)+1,N(U3322))</f>
        <v>134</v>
      </c>
    </row>
    <row r="3324" customFormat="false" ht="15" hidden="false" customHeight="false" outlineLevel="0" collapsed="false">
      <c r="B3324" s="53"/>
      <c r="I3324" s="53"/>
      <c r="U3324" s="31" t="n">
        <f aca="false">IF($B3324='設定（最初に1回）'!$C$4,N(U3323)+1,N(U3323))</f>
        <v>134</v>
      </c>
    </row>
    <row r="3325" customFormat="false" ht="15" hidden="false" customHeight="false" outlineLevel="0" collapsed="false">
      <c r="B3325" s="53"/>
      <c r="I3325" s="53"/>
      <c r="U3325" s="31" t="n">
        <f aca="false">IF($B3325='設定（最初に1回）'!$C$4,N(U3324)+1,N(U3324))</f>
        <v>134</v>
      </c>
    </row>
    <row r="3326" customFormat="false" ht="15" hidden="false" customHeight="false" outlineLevel="0" collapsed="false">
      <c r="B3326" s="53"/>
      <c r="I3326" s="53"/>
      <c r="U3326" s="31" t="n">
        <f aca="false">IF($B3326='設定（最初に1回）'!$C$4,N(U3325)+1,N(U3325))</f>
        <v>134</v>
      </c>
    </row>
    <row r="3327" customFormat="false" ht="15" hidden="false" customHeight="false" outlineLevel="0" collapsed="false">
      <c r="B3327" s="53"/>
      <c r="I3327" s="53"/>
      <c r="U3327" s="31" t="n">
        <f aca="false">IF($B3327='設定（最初に1回）'!$C$4,N(U3326)+1,N(U3326))</f>
        <v>134</v>
      </c>
    </row>
    <row r="3328" customFormat="false" ht="15" hidden="false" customHeight="false" outlineLevel="0" collapsed="false">
      <c r="B3328" s="53"/>
      <c r="I3328" s="53"/>
      <c r="U3328" s="31" t="n">
        <f aca="false">IF($B3328='設定（最初に1回）'!$C$4,N(U3327)+1,N(U3327))</f>
        <v>134</v>
      </c>
    </row>
    <row r="3329" customFormat="false" ht="15" hidden="false" customHeight="false" outlineLevel="0" collapsed="false">
      <c r="B3329" s="53"/>
      <c r="I3329" s="53"/>
      <c r="U3329" s="31" t="n">
        <f aca="false">IF($B3329='設定（最初に1回）'!$C$4,N(U3328)+1,N(U3328))</f>
        <v>134</v>
      </c>
    </row>
    <row r="3330" customFormat="false" ht="15" hidden="false" customHeight="false" outlineLevel="0" collapsed="false">
      <c r="B3330" s="53"/>
      <c r="I3330" s="53"/>
      <c r="U3330" s="31" t="n">
        <f aca="false">IF($B3330='設定（最初に1回）'!$C$4,N(U3329)+1,N(U3329))</f>
        <v>134</v>
      </c>
    </row>
    <row r="3331" customFormat="false" ht="15" hidden="false" customHeight="false" outlineLevel="0" collapsed="false">
      <c r="B3331" s="53"/>
      <c r="I3331" s="53"/>
      <c r="U3331" s="31" t="n">
        <f aca="false">IF($B3331='設定（最初に1回）'!$C$4,N(U3330)+1,N(U3330))</f>
        <v>134</v>
      </c>
    </row>
    <row r="3332" customFormat="false" ht="15" hidden="false" customHeight="false" outlineLevel="0" collapsed="false">
      <c r="B3332" s="53"/>
      <c r="I3332" s="53"/>
      <c r="U3332" s="31" t="n">
        <f aca="false">IF($B3332='設定（最初に1回）'!$C$4,N(U3331)+1,N(U3331))</f>
        <v>134</v>
      </c>
    </row>
    <row r="3333" customFormat="false" ht="15" hidden="false" customHeight="false" outlineLevel="0" collapsed="false">
      <c r="B3333" s="53"/>
      <c r="I3333" s="53"/>
      <c r="U3333" s="31" t="n">
        <f aca="false">IF($B3333='設定（最初に1回）'!$C$4,N(U3332)+1,N(U3332))</f>
        <v>134</v>
      </c>
    </row>
    <row r="3334" customFormat="false" ht="15" hidden="false" customHeight="false" outlineLevel="0" collapsed="false">
      <c r="B3334" s="53"/>
      <c r="I3334" s="53"/>
      <c r="U3334" s="31" t="n">
        <f aca="false">IF($B3334='設定（最初に1回）'!$C$4,N(U3333)+1,N(U3333))</f>
        <v>134</v>
      </c>
    </row>
    <row r="3335" customFormat="false" ht="15" hidden="false" customHeight="false" outlineLevel="0" collapsed="false">
      <c r="B3335" s="53"/>
      <c r="I3335" s="53"/>
      <c r="U3335" s="31" t="n">
        <f aca="false">IF($B3335='設定（最初に1回）'!$C$4,N(U3334)+1,N(U3334))</f>
        <v>134</v>
      </c>
    </row>
    <row r="3336" customFormat="false" ht="15" hidden="false" customHeight="false" outlineLevel="0" collapsed="false">
      <c r="B3336" s="53"/>
      <c r="I3336" s="53"/>
      <c r="U3336" s="31" t="n">
        <f aca="false">IF($B3336='設定（最初に1回）'!$C$4,N(U3335)+1,N(U3335))</f>
        <v>134</v>
      </c>
    </row>
    <row r="3337" customFormat="false" ht="15" hidden="false" customHeight="false" outlineLevel="0" collapsed="false">
      <c r="B3337" s="53"/>
      <c r="I3337" s="53"/>
      <c r="U3337" s="31" t="n">
        <f aca="false">IF($B3337='設定（最初に1回）'!$C$4,N(U3336)+1,N(U3336))</f>
        <v>134</v>
      </c>
    </row>
    <row r="3338" customFormat="false" ht="15" hidden="false" customHeight="false" outlineLevel="0" collapsed="false">
      <c r="B3338" s="53"/>
      <c r="I3338" s="53"/>
      <c r="U3338" s="31" t="n">
        <f aca="false">IF($B3338='設定（最初に1回）'!$C$4,N(U3337)+1,N(U3337))</f>
        <v>134</v>
      </c>
    </row>
    <row r="3339" customFormat="false" ht="15" hidden="false" customHeight="false" outlineLevel="0" collapsed="false">
      <c r="B3339" s="53"/>
      <c r="I3339" s="53"/>
      <c r="U3339" s="31" t="n">
        <f aca="false">IF($B3339='設定（最初に1回）'!$C$4,N(U3338)+1,N(U3338))</f>
        <v>134</v>
      </c>
    </row>
    <row r="3340" customFormat="false" ht="15" hidden="false" customHeight="false" outlineLevel="0" collapsed="false">
      <c r="B3340" s="53"/>
      <c r="I3340" s="53"/>
      <c r="U3340" s="31" t="n">
        <f aca="false">IF($B3340='設定（最初に1回）'!$C$4,N(U3339)+1,N(U3339))</f>
        <v>134</v>
      </c>
    </row>
    <row r="3341" customFormat="false" ht="15" hidden="false" customHeight="false" outlineLevel="0" collapsed="false">
      <c r="B3341" s="53"/>
      <c r="I3341" s="53"/>
      <c r="U3341" s="31" t="n">
        <f aca="false">IF($B3341='設定（最初に1回）'!$C$4,N(U3340)+1,N(U3340))</f>
        <v>134</v>
      </c>
    </row>
    <row r="3342" customFormat="false" ht="15" hidden="false" customHeight="false" outlineLevel="0" collapsed="false">
      <c r="B3342" s="53"/>
      <c r="I3342" s="53"/>
      <c r="U3342" s="31" t="n">
        <f aca="false">IF($B3342='設定（最初に1回）'!$C$4,N(U3341)+1,N(U3341))</f>
        <v>134</v>
      </c>
    </row>
    <row r="3343" customFormat="false" ht="15" hidden="false" customHeight="false" outlineLevel="0" collapsed="false">
      <c r="B3343" s="53"/>
      <c r="I3343" s="53"/>
      <c r="U3343" s="31" t="n">
        <f aca="false">IF($B3343='設定（最初に1回）'!$C$4,N(U3342)+1,N(U3342))</f>
        <v>134</v>
      </c>
    </row>
    <row r="3344" customFormat="false" ht="15" hidden="false" customHeight="false" outlineLevel="0" collapsed="false">
      <c r="B3344" s="53"/>
      <c r="I3344" s="53"/>
      <c r="U3344" s="31" t="n">
        <f aca="false">IF($B3344='設定（最初に1回）'!$C$4,N(U3343)+1,N(U3343))</f>
        <v>134</v>
      </c>
    </row>
    <row r="3345" customFormat="false" ht="15" hidden="false" customHeight="false" outlineLevel="0" collapsed="false">
      <c r="B3345" s="53"/>
      <c r="I3345" s="53"/>
      <c r="U3345" s="31" t="n">
        <f aca="false">IF($B3345='設定（最初に1回）'!$C$4,N(U3344)+1,N(U3344))</f>
        <v>134</v>
      </c>
    </row>
    <row r="3346" customFormat="false" ht="15" hidden="false" customHeight="false" outlineLevel="0" collapsed="false">
      <c r="B3346" s="53"/>
      <c r="I3346" s="53"/>
      <c r="U3346" s="31" t="n">
        <f aca="false">IF($B3346='設定（最初に1回）'!$C$4,N(U3345)+1,N(U3345))</f>
        <v>134</v>
      </c>
    </row>
    <row r="3347" customFormat="false" ht="15" hidden="false" customHeight="false" outlineLevel="0" collapsed="false">
      <c r="B3347" s="53"/>
      <c r="I3347" s="53"/>
      <c r="U3347" s="31" t="n">
        <f aca="false">IF($B3347='設定（最初に1回）'!$C$4,N(U3346)+1,N(U3346))</f>
        <v>134</v>
      </c>
    </row>
    <row r="3348" customFormat="false" ht="15" hidden="false" customHeight="false" outlineLevel="0" collapsed="false">
      <c r="B3348" s="53"/>
      <c r="I3348" s="53"/>
      <c r="U3348" s="31" t="n">
        <f aca="false">IF($B3348='設定（最初に1回）'!$C$4,N(U3347)+1,N(U3347))</f>
        <v>134</v>
      </c>
    </row>
    <row r="3349" customFormat="false" ht="15" hidden="false" customHeight="false" outlineLevel="0" collapsed="false">
      <c r="B3349" s="53"/>
      <c r="I3349" s="53"/>
      <c r="U3349" s="31" t="n">
        <f aca="false">IF($B3349='設定（最初に1回）'!$C$4,N(U3348)+1,N(U3348))</f>
        <v>134</v>
      </c>
    </row>
    <row r="3350" customFormat="false" ht="15" hidden="false" customHeight="false" outlineLevel="0" collapsed="false">
      <c r="B3350" s="53"/>
      <c r="I3350" s="53"/>
      <c r="U3350" s="31" t="n">
        <f aca="false">IF($B3350='設定（最初に1回）'!$C$4,N(U3349)+1,N(U3349))</f>
        <v>134</v>
      </c>
    </row>
    <row r="3351" customFormat="false" ht="15" hidden="false" customHeight="false" outlineLevel="0" collapsed="false">
      <c r="B3351" s="53"/>
      <c r="I3351" s="53"/>
      <c r="U3351" s="31" t="n">
        <f aca="false">IF($B3351='設定（最初に1回）'!$C$4,N(U3350)+1,N(U3350))</f>
        <v>134</v>
      </c>
    </row>
    <row r="3352" customFormat="false" ht="15" hidden="false" customHeight="false" outlineLevel="0" collapsed="false">
      <c r="B3352" s="53"/>
      <c r="I3352" s="53"/>
      <c r="U3352" s="31" t="n">
        <f aca="false">IF($B3352='設定（最初に1回）'!$C$4,N(U3351)+1,N(U3351))</f>
        <v>134</v>
      </c>
    </row>
    <row r="3353" customFormat="false" ht="15" hidden="false" customHeight="false" outlineLevel="0" collapsed="false">
      <c r="B3353" s="53"/>
      <c r="I3353" s="53"/>
      <c r="U3353" s="31" t="n">
        <f aca="false">IF($B3353='設定（最初に1回）'!$C$4,N(U3352)+1,N(U3352))</f>
        <v>134</v>
      </c>
    </row>
    <row r="3354" customFormat="false" ht="15" hidden="false" customHeight="false" outlineLevel="0" collapsed="false">
      <c r="B3354" s="53"/>
      <c r="I3354" s="53"/>
      <c r="U3354" s="31" t="n">
        <f aca="false">IF($B3354='設定（最初に1回）'!$C$4,N(U3353)+1,N(U3353))</f>
        <v>134</v>
      </c>
    </row>
    <row r="3355" customFormat="false" ht="15" hidden="false" customHeight="false" outlineLevel="0" collapsed="false">
      <c r="B3355" s="53"/>
      <c r="I3355" s="53"/>
      <c r="U3355" s="31" t="n">
        <f aca="false">IF($B3355='設定（最初に1回）'!$C$4,N(U3354)+1,N(U3354))</f>
        <v>134</v>
      </c>
    </row>
    <row r="3356" customFormat="false" ht="15" hidden="false" customHeight="false" outlineLevel="0" collapsed="false">
      <c r="B3356" s="53"/>
      <c r="I3356" s="53"/>
      <c r="U3356" s="31" t="n">
        <f aca="false">IF($B3356='設定（最初に1回）'!$C$4,N(U3355)+1,N(U3355))</f>
        <v>134</v>
      </c>
    </row>
    <row r="3357" customFormat="false" ht="15" hidden="false" customHeight="false" outlineLevel="0" collapsed="false">
      <c r="B3357" s="53"/>
      <c r="I3357" s="53"/>
      <c r="U3357" s="31" t="n">
        <f aca="false">IF($B3357='設定（最初に1回）'!$C$4,N(U3356)+1,N(U3356))</f>
        <v>134</v>
      </c>
    </row>
    <row r="3358" customFormat="false" ht="15" hidden="false" customHeight="false" outlineLevel="0" collapsed="false">
      <c r="B3358" s="53"/>
      <c r="I3358" s="53"/>
      <c r="U3358" s="31" t="n">
        <f aca="false">IF($B3358='設定（最初に1回）'!$C$4,N(U3357)+1,N(U3357))</f>
        <v>134</v>
      </c>
    </row>
    <row r="3359" customFormat="false" ht="15" hidden="false" customHeight="false" outlineLevel="0" collapsed="false">
      <c r="B3359" s="53"/>
      <c r="I3359" s="53"/>
      <c r="U3359" s="31" t="n">
        <f aca="false">IF($B3359='設定（最初に1回）'!$C$4,N(U3358)+1,N(U3358))</f>
        <v>134</v>
      </c>
    </row>
    <row r="3360" customFormat="false" ht="15" hidden="false" customHeight="false" outlineLevel="0" collapsed="false">
      <c r="B3360" s="53"/>
      <c r="I3360" s="53"/>
      <c r="U3360" s="31" t="n">
        <f aca="false">IF($B3360='設定（最初に1回）'!$C$4,N(U3359)+1,N(U3359))</f>
        <v>134</v>
      </c>
    </row>
    <row r="3361" customFormat="false" ht="15" hidden="false" customHeight="false" outlineLevel="0" collapsed="false">
      <c r="B3361" s="53"/>
      <c r="I3361" s="53"/>
      <c r="U3361" s="31" t="n">
        <f aca="false">IF($B3361='設定（最初に1回）'!$C$4,N(U3360)+1,N(U3360))</f>
        <v>134</v>
      </c>
    </row>
    <row r="3362" customFormat="false" ht="15" hidden="false" customHeight="false" outlineLevel="0" collapsed="false">
      <c r="B3362" s="53"/>
      <c r="I3362" s="53"/>
      <c r="U3362" s="31" t="n">
        <f aca="false">IF($B3362='設定（最初に1回）'!$C$4,N(U3361)+1,N(U3361))</f>
        <v>134</v>
      </c>
    </row>
    <row r="3363" customFormat="false" ht="15" hidden="false" customHeight="false" outlineLevel="0" collapsed="false">
      <c r="B3363" s="53"/>
      <c r="I3363" s="53"/>
      <c r="U3363" s="31" t="n">
        <f aca="false">IF($B3363='設定（最初に1回）'!$C$4,N(U3362)+1,N(U3362))</f>
        <v>134</v>
      </c>
    </row>
    <row r="3364" customFormat="false" ht="15" hidden="false" customHeight="false" outlineLevel="0" collapsed="false">
      <c r="B3364" s="53"/>
      <c r="I3364" s="53"/>
      <c r="U3364" s="31" t="n">
        <f aca="false">IF($B3364='設定（最初に1回）'!$C$4,N(U3363)+1,N(U3363))</f>
        <v>134</v>
      </c>
    </row>
    <row r="3365" customFormat="false" ht="15" hidden="false" customHeight="false" outlineLevel="0" collapsed="false">
      <c r="B3365" s="53"/>
      <c r="I3365" s="53"/>
      <c r="U3365" s="31" t="n">
        <f aca="false">IF($B3365='設定（最初に1回）'!$C$4,N(U3364)+1,N(U3364))</f>
        <v>134</v>
      </c>
    </row>
    <row r="3366" customFormat="false" ht="15" hidden="false" customHeight="false" outlineLevel="0" collapsed="false">
      <c r="B3366" s="53"/>
      <c r="I3366" s="53"/>
      <c r="U3366" s="31" t="n">
        <f aca="false">IF($B3366='設定（最初に1回）'!$C$4,N(U3365)+1,N(U3365))</f>
        <v>134</v>
      </c>
    </row>
    <row r="3367" customFormat="false" ht="15" hidden="false" customHeight="false" outlineLevel="0" collapsed="false">
      <c r="B3367" s="53"/>
      <c r="I3367" s="53"/>
      <c r="U3367" s="31" t="n">
        <f aca="false">IF($B3367='設定（最初に1回）'!$C$4,N(U3366)+1,N(U3366))</f>
        <v>134</v>
      </c>
    </row>
    <row r="3368" customFormat="false" ht="15" hidden="false" customHeight="false" outlineLevel="0" collapsed="false">
      <c r="B3368" s="53"/>
      <c r="I3368" s="53"/>
      <c r="U3368" s="31" t="n">
        <f aca="false">IF($B3368='設定（最初に1回）'!$C$4,N(U3367)+1,N(U3367))</f>
        <v>134</v>
      </c>
    </row>
    <row r="3369" customFormat="false" ht="15" hidden="false" customHeight="false" outlineLevel="0" collapsed="false">
      <c r="B3369" s="53"/>
      <c r="I3369" s="53"/>
      <c r="U3369" s="31" t="n">
        <f aca="false">IF($B3369='設定（最初に1回）'!$C$4,N(U3368)+1,N(U3368))</f>
        <v>134</v>
      </c>
    </row>
    <row r="3370" customFormat="false" ht="15" hidden="false" customHeight="false" outlineLevel="0" collapsed="false">
      <c r="B3370" s="53"/>
      <c r="I3370" s="53"/>
      <c r="U3370" s="31" t="n">
        <f aca="false">IF($B3370='設定（最初に1回）'!$C$4,N(U3369)+1,N(U3369))</f>
        <v>134</v>
      </c>
    </row>
    <row r="3371" customFormat="false" ht="15" hidden="false" customHeight="false" outlineLevel="0" collapsed="false">
      <c r="B3371" s="53"/>
      <c r="I3371" s="53"/>
      <c r="U3371" s="31" t="n">
        <f aca="false">IF($B3371='設定（最初に1回）'!$C$4,N(U3370)+1,N(U3370))</f>
        <v>134</v>
      </c>
    </row>
    <row r="3372" customFormat="false" ht="15" hidden="false" customHeight="false" outlineLevel="0" collapsed="false">
      <c r="B3372" s="53"/>
      <c r="I3372" s="53"/>
      <c r="U3372" s="31" t="n">
        <f aca="false">IF($B3372='設定（最初に1回）'!$C$4,N(U3371)+1,N(U3371))</f>
        <v>134</v>
      </c>
    </row>
    <row r="3373" customFormat="false" ht="15" hidden="false" customHeight="false" outlineLevel="0" collapsed="false">
      <c r="B3373" s="53"/>
      <c r="I3373" s="53"/>
      <c r="U3373" s="31" t="n">
        <f aca="false">IF($B3373='設定（最初に1回）'!$C$4,N(U3372)+1,N(U3372))</f>
        <v>134</v>
      </c>
    </row>
    <row r="3374" customFormat="false" ht="15" hidden="false" customHeight="false" outlineLevel="0" collapsed="false">
      <c r="B3374" s="53"/>
      <c r="I3374" s="53"/>
      <c r="U3374" s="31" t="n">
        <f aca="false">IF($B3374='設定（最初に1回）'!$C$4,N(U3373)+1,N(U3373))</f>
        <v>134</v>
      </c>
    </row>
    <row r="3375" customFormat="false" ht="15" hidden="false" customHeight="false" outlineLevel="0" collapsed="false">
      <c r="B3375" s="53"/>
      <c r="I3375" s="53"/>
      <c r="U3375" s="31" t="n">
        <f aca="false">IF($B3375='設定（最初に1回）'!$C$4,N(U3374)+1,N(U3374))</f>
        <v>134</v>
      </c>
    </row>
    <row r="3376" customFormat="false" ht="15" hidden="false" customHeight="false" outlineLevel="0" collapsed="false">
      <c r="B3376" s="53"/>
      <c r="I3376" s="53"/>
      <c r="U3376" s="31" t="n">
        <f aca="false">IF($B3376='設定（最初に1回）'!$C$4,N(U3375)+1,N(U3375))</f>
        <v>134</v>
      </c>
    </row>
    <row r="3377" customFormat="false" ht="15" hidden="false" customHeight="false" outlineLevel="0" collapsed="false">
      <c r="B3377" s="53"/>
      <c r="I3377" s="53"/>
      <c r="U3377" s="31" t="n">
        <f aca="false">IF($B3377='設定（最初に1回）'!$C$4,N(U3376)+1,N(U3376))</f>
        <v>134</v>
      </c>
    </row>
    <row r="3378" customFormat="false" ht="15" hidden="false" customHeight="false" outlineLevel="0" collapsed="false">
      <c r="B3378" s="53"/>
      <c r="I3378" s="53"/>
      <c r="U3378" s="31" t="n">
        <f aca="false">IF($B3378='設定（最初に1回）'!$C$4,N(U3377)+1,N(U3377))</f>
        <v>134</v>
      </c>
    </row>
    <row r="3379" customFormat="false" ht="15" hidden="false" customHeight="false" outlineLevel="0" collapsed="false">
      <c r="B3379" s="53"/>
      <c r="I3379" s="53"/>
      <c r="U3379" s="31" t="n">
        <f aca="false">IF($B3379='設定（最初に1回）'!$C$4,N(U3378)+1,N(U3378))</f>
        <v>134</v>
      </c>
    </row>
    <row r="3380" customFormat="false" ht="15" hidden="false" customHeight="false" outlineLevel="0" collapsed="false">
      <c r="B3380" s="53"/>
      <c r="I3380" s="53"/>
      <c r="U3380" s="31" t="n">
        <f aca="false">IF($B3380='設定（最初に1回）'!$C$4,N(U3379)+1,N(U3379))</f>
        <v>134</v>
      </c>
    </row>
    <row r="3381" customFormat="false" ht="15" hidden="false" customHeight="false" outlineLevel="0" collapsed="false">
      <c r="B3381" s="53"/>
      <c r="I3381" s="53"/>
      <c r="U3381" s="31" t="n">
        <f aca="false">IF($B3381='設定（最初に1回）'!$C$4,N(U3380)+1,N(U3380))</f>
        <v>134</v>
      </c>
    </row>
    <row r="3382" customFormat="false" ht="15" hidden="false" customHeight="false" outlineLevel="0" collapsed="false">
      <c r="B3382" s="53"/>
      <c r="I3382" s="53"/>
      <c r="U3382" s="31" t="n">
        <f aca="false">IF($B3382='設定（最初に1回）'!$C$4,N(U3381)+1,N(U3381))</f>
        <v>134</v>
      </c>
    </row>
    <row r="3383" customFormat="false" ht="15" hidden="false" customHeight="false" outlineLevel="0" collapsed="false">
      <c r="B3383" s="53"/>
      <c r="I3383" s="53"/>
      <c r="U3383" s="31" t="n">
        <f aca="false">IF($B3383='設定（最初に1回）'!$C$4,N(U3382)+1,N(U3382))</f>
        <v>134</v>
      </c>
    </row>
    <row r="3384" customFormat="false" ht="15" hidden="false" customHeight="false" outlineLevel="0" collapsed="false">
      <c r="B3384" s="53"/>
      <c r="I3384" s="53"/>
      <c r="U3384" s="31" t="n">
        <f aca="false">IF($B3384='設定（最初に1回）'!$C$4,N(U3383)+1,N(U3383))</f>
        <v>134</v>
      </c>
    </row>
    <row r="3385" customFormat="false" ht="15" hidden="false" customHeight="false" outlineLevel="0" collapsed="false">
      <c r="B3385" s="53"/>
      <c r="I3385" s="53"/>
      <c r="U3385" s="31" t="n">
        <f aca="false">IF($B3385='設定（最初に1回）'!$C$4,N(U3384)+1,N(U3384))</f>
        <v>134</v>
      </c>
    </row>
    <row r="3386" customFormat="false" ht="15" hidden="false" customHeight="false" outlineLevel="0" collapsed="false">
      <c r="B3386" s="53"/>
      <c r="I3386" s="53"/>
      <c r="U3386" s="31" t="n">
        <f aca="false">IF($B3386='設定（最初に1回）'!$C$4,N(U3385)+1,N(U3385))</f>
        <v>134</v>
      </c>
    </row>
    <row r="3387" customFormat="false" ht="15" hidden="false" customHeight="false" outlineLevel="0" collapsed="false">
      <c r="B3387" s="53"/>
      <c r="I3387" s="53"/>
      <c r="U3387" s="31" t="n">
        <f aca="false">IF($B3387='設定（最初に1回）'!$C$4,N(U3386)+1,N(U3386))</f>
        <v>134</v>
      </c>
    </row>
    <row r="3388" customFormat="false" ht="15" hidden="false" customHeight="false" outlineLevel="0" collapsed="false">
      <c r="B3388" s="53"/>
      <c r="I3388" s="53"/>
      <c r="U3388" s="31" t="n">
        <f aca="false">IF($B3388='設定（最初に1回）'!$C$4,N(U3387)+1,N(U3387))</f>
        <v>134</v>
      </c>
    </row>
    <row r="3389" customFormat="false" ht="15" hidden="false" customHeight="false" outlineLevel="0" collapsed="false">
      <c r="B3389" s="53"/>
      <c r="I3389" s="53"/>
      <c r="U3389" s="31" t="n">
        <f aca="false">IF($B3389='設定（最初に1回）'!$C$4,N(U3388)+1,N(U3388))</f>
        <v>134</v>
      </c>
    </row>
    <row r="3390" customFormat="false" ht="15" hidden="false" customHeight="false" outlineLevel="0" collapsed="false">
      <c r="B3390" s="53"/>
      <c r="I3390" s="53"/>
      <c r="U3390" s="31" t="n">
        <f aca="false">IF($B3390='設定（最初に1回）'!$C$4,N(U3389)+1,N(U3389))</f>
        <v>134</v>
      </c>
    </row>
    <row r="3391" customFormat="false" ht="15" hidden="false" customHeight="false" outlineLevel="0" collapsed="false">
      <c r="B3391" s="53"/>
      <c r="I3391" s="53"/>
      <c r="U3391" s="31" t="n">
        <f aca="false">IF($B3391='設定（最初に1回）'!$C$4,N(U3390)+1,N(U3390))</f>
        <v>134</v>
      </c>
    </row>
    <row r="3392" customFormat="false" ht="15" hidden="false" customHeight="false" outlineLevel="0" collapsed="false">
      <c r="B3392" s="53"/>
      <c r="I3392" s="53"/>
      <c r="U3392" s="31" t="n">
        <f aca="false">IF($B3392='設定（最初に1回）'!$C$4,N(U3391)+1,N(U3391))</f>
        <v>134</v>
      </c>
    </row>
    <row r="3393" customFormat="false" ht="15" hidden="false" customHeight="false" outlineLevel="0" collapsed="false">
      <c r="B3393" s="53"/>
      <c r="I3393" s="53"/>
      <c r="U3393" s="31" t="n">
        <f aca="false">IF($B3393='設定（最初に1回）'!$C$4,N(U3392)+1,N(U3392))</f>
        <v>134</v>
      </c>
    </row>
    <row r="3394" customFormat="false" ht="15" hidden="false" customHeight="false" outlineLevel="0" collapsed="false">
      <c r="B3394" s="53"/>
      <c r="I3394" s="53"/>
      <c r="U3394" s="31" t="n">
        <f aca="false">IF($B3394='設定（最初に1回）'!$C$4,N(U3393)+1,N(U3393))</f>
        <v>134</v>
      </c>
    </row>
    <row r="3395" customFormat="false" ht="15" hidden="false" customHeight="false" outlineLevel="0" collapsed="false">
      <c r="B3395" s="53"/>
      <c r="I3395" s="53"/>
      <c r="U3395" s="31" t="n">
        <f aca="false">IF($B3395='設定（最初に1回）'!$C$4,N(U3394)+1,N(U3394))</f>
        <v>134</v>
      </c>
    </row>
    <row r="3396" customFormat="false" ht="15" hidden="false" customHeight="false" outlineLevel="0" collapsed="false">
      <c r="B3396" s="53"/>
      <c r="I3396" s="53"/>
      <c r="U3396" s="31" t="n">
        <f aca="false">IF($B3396='設定（最初に1回）'!$C$4,N(U3395)+1,N(U3395))</f>
        <v>134</v>
      </c>
    </row>
    <row r="3397" customFormat="false" ht="15" hidden="false" customHeight="false" outlineLevel="0" collapsed="false">
      <c r="B3397" s="53"/>
      <c r="I3397" s="53"/>
      <c r="U3397" s="31" t="n">
        <f aca="false">IF($B3397='設定（最初に1回）'!$C$4,N(U3396)+1,N(U3396))</f>
        <v>134</v>
      </c>
    </row>
    <row r="3398" customFormat="false" ht="15" hidden="false" customHeight="false" outlineLevel="0" collapsed="false">
      <c r="B3398" s="53"/>
      <c r="I3398" s="53"/>
      <c r="U3398" s="31" t="n">
        <f aca="false">IF($B3398='設定（最初に1回）'!$C$4,N(U3397)+1,N(U3397))</f>
        <v>134</v>
      </c>
    </row>
    <row r="3399" customFormat="false" ht="15" hidden="false" customHeight="false" outlineLevel="0" collapsed="false">
      <c r="B3399" s="53"/>
      <c r="I3399" s="53"/>
      <c r="U3399" s="31" t="n">
        <f aca="false">IF($B3399='設定（最初に1回）'!$C$4,N(U3398)+1,N(U3398))</f>
        <v>134</v>
      </c>
    </row>
    <row r="3400" customFormat="false" ht="15" hidden="false" customHeight="false" outlineLevel="0" collapsed="false">
      <c r="B3400" s="53"/>
      <c r="I3400" s="53"/>
      <c r="U3400" s="31" t="n">
        <f aca="false">IF($B3400='設定（最初に1回）'!$C$4,N(U3399)+1,N(U3399))</f>
        <v>134</v>
      </c>
    </row>
    <row r="3401" customFormat="false" ht="15" hidden="false" customHeight="false" outlineLevel="0" collapsed="false">
      <c r="B3401" s="53"/>
      <c r="I3401" s="53"/>
      <c r="U3401" s="31" t="n">
        <f aca="false">IF($B3401='設定（最初に1回）'!$C$4,N(U3400)+1,N(U3400))</f>
        <v>134</v>
      </c>
    </row>
    <row r="3402" customFormat="false" ht="15" hidden="false" customHeight="false" outlineLevel="0" collapsed="false">
      <c r="B3402" s="53"/>
      <c r="I3402" s="53"/>
      <c r="U3402" s="31" t="n">
        <f aca="false">IF($B3402='設定（最初に1回）'!$C$4,N(U3401)+1,N(U3401))</f>
        <v>134</v>
      </c>
    </row>
    <row r="3403" customFormat="false" ht="15" hidden="false" customHeight="false" outlineLevel="0" collapsed="false">
      <c r="B3403" s="53"/>
      <c r="I3403" s="53"/>
      <c r="U3403" s="31" t="n">
        <f aca="false">IF($B3403='設定（最初に1回）'!$C$4,N(U3402)+1,N(U3402))</f>
        <v>134</v>
      </c>
    </row>
    <row r="3404" customFormat="false" ht="15" hidden="false" customHeight="false" outlineLevel="0" collapsed="false">
      <c r="B3404" s="53"/>
      <c r="I3404" s="53"/>
      <c r="U3404" s="31" t="n">
        <f aca="false">IF($B3404='設定（最初に1回）'!$C$4,N(U3403)+1,N(U3403))</f>
        <v>134</v>
      </c>
    </row>
    <row r="3405" customFormat="false" ht="15" hidden="false" customHeight="false" outlineLevel="0" collapsed="false">
      <c r="B3405" s="53"/>
      <c r="I3405" s="53"/>
      <c r="U3405" s="31" t="n">
        <f aca="false">IF($B3405='設定（最初に1回）'!$C$4,N(U3404)+1,N(U3404))</f>
        <v>134</v>
      </c>
    </row>
    <row r="3406" customFormat="false" ht="15" hidden="false" customHeight="false" outlineLevel="0" collapsed="false">
      <c r="B3406" s="53"/>
      <c r="I3406" s="53"/>
      <c r="U3406" s="31" t="n">
        <f aca="false">IF($B3406='設定（最初に1回）'!$C$4,N(U3405)+1,N(U3405))</f>
        <v>134</v>
      </c>
    </row>
    <row r="3407" customFormat="false" ht="15" hidden="false" customHeight="false" outlineLevel="0" collapsed="false">
      <c r="B3407" s="53"/>
      <c r="I3407" s="53"/>
      <c r="U3407" s="31" t="n">
        <f aca="false">IF($B3407='設定（最初に1回）'!$C$4,N(U3406)+1,N(U3406))</f>
        <v>134</v>
      </c>
    </row>
    <row r="3408" customFormat="false" ht="15" hidden="false" customHeight="false" outlineLevel="0" collapsed="false">
      <c r="B3408" s="53"/>
      <c r="I3408" s="53"/>
      <c r="U3408" s="31" t="n">
        <f aca="false">IF($B3408='設定（最初に1回）'!$C$4,N(U3407)+1,N(U3407))</f>
        <v>134</v>
      </c>
    </row>
    <row r="3409" customFormat="false" ht="15" hidden="false" customHeight="false" outlineLevel="0" collapsed="false">
      <c r="B3409" s="53"/>
      <c r="I3409" s="53"/>
      <c r="U3409" s="31" t="n">
        <f aca="false">IF($B3409='設定（最初に1回）'!$C$4,N(U3408)+1,N(U3408))</f>
        <v>134</v>
      </c>
    </row>
    <row r="3410" customFormat="false" ht="15" hidden="false" customHeight="false" outlineLevel="0" collapsed="false">
      <c r="B3410" s="53"/>
      <c r="I3410" s="53"/>
      <c r="U3410" s="31" t="n">
        <f aca="false">IF($B3410='設定（最初に1回）'!$C$4,N(U3409)+1,N(U3409))</f>
        <v>134</v>
      </c>
    </row>
    <row r="3411" customFormat="false" ht="15" hidden="false" customHeight="false" outlineLevel="0" collapsed="false">
      <c r="B3411" s="53"/>
      <c r="I3411" s="53"/>
      <c r="U3411" s="31" t="n">
        <f aca="false">IF($B3411='設定（最初に1回）'!$C$4,N(U3410)+1,N(U3410))</f>
        <v>134</v>
      </c>
    </row>
    <row r="3412" customFormat="false" ht="15" hidden="false" customHeight="false" outlineLevel="0" collapsed="false">
      <c r="B3412" s="53"/>
      <c r="I3412" s="53"/>
      <c r="U3412" s="31" t="n">
        <f aca="false">IF($B3412='設定（最初に1回）'!$C$4,N(U3411)+1,N(U3411))</f>
        <v>134</v>
      </c>
    </row>
    <row r="3413" customFormat="false" ht="15" hidden="false" customHeight="false" outlineLevel="0" collapsed="false">
      <c r="B3413" s="53"/>
      <c r="I3413" s="53"/>
      <c r="U3413" s="31" t="n">
        <f aca="false">IF($B3413='設定（最初に1回）'!$C$4,N(U3412)+1,N(U3412))</f>
        <v>134</v>
      </c>
    </row>
    <row r="3414" customFormat="false" ht="15" hidden="false" customHeight="false" outlineLevel="0" collapsed="false">
      <c r="B3414" s="53"/>
      <c r="I3414" s="53"/>
      <c r="U3414" s="31" t="n">
        <f aca="false">IF($B3414='設定（最初に1回）'!$C$4,N(U3413)+1,N(U3413))</f>
        <v>134</v>
      </c>
    </row>
    <row r="3415" customFormat="false" ht="15" hidden="false" customHeight="false" outlineLevel="0" collapsed="false">
      <c r="B3415" s="53"/>
      <c r="I3415" s="53"/>
      <c r="U3415" s="31" t="n">
        <f aca="false">IF($B3415='設定（最初に1回）'!$C$4,N(U3414)+1,N(U3414))</f>
        <v>134</v>
      </c>
    </row>
    <row r="3416" customFormat="false" ht="15" hidden="false" customHeight="false" outlineLevel="0" collapsed="false">
      <c r="B3416" s="53"/>
      <c r="I3416" s="53"/>
      <c r="U3416" s="31" t="n">
        <f aca="false">IF($B3416='設定（最初に1回）'!$C$4,N(U3415)+1,N(U3415))</f>
        <v>134</v>
      </c>
    </row>
    <row r="3417" customFormat="false" ht="15" hidden="false" customHeight="false" outlineLevel="0" collapsed="false">
      <c r="B3417" s="53"/>
      <c r="I3417" s="53"/>
      <c r="U3417" s="31" t="n">
        <f aca="false">IF($B3417='設定（最初に1回）'!$C$4,N(U3416)+1,N(U3416))</f>
        <v>134</v>
      </c>
    </row>
    <row r="3418" customFormat="false" ht="15" hidden="false" customHeight="false" outlineLevel="0" collapsed="false">
      <c r="B3418" s="53"/>
      <c r="I3418" s="53"/>
      <c r="U3418" s="31" t="n">
        <f aca="false">IF($B3418='設定（最初に1回）'!$C$4,N(U3417)+1,N(U3417))</f>
        <v>134</v>
      </c>
    </row>
    <row r="3419" customFormat="false" ht="15" hidden="false" customHeight="false" outlineLevel="0" collapsed="false">
      <c r="B3419" s="53"/>
      <c r="I3419" s="53"/>
      <c r="U3419" s="31" t="n">
        <f aca="false">IF($B3419='設定（最初に1回）'!$C$4,N(U3418)+1,N(U3418))</f>
        <v>134</v>
      </c>
    </row>
    <row r="3420" customFormat="false" ht="15" hidden="false" customHeight="false" outlineLevel="0" collapsed="false">
      <c r="B3420" s="53"/>
      <c r="I3420" s="53"/>
      <c r="U3420" s="31" t="n">
        <f aca="false">IF($B3420='設定（最初に1回）'!$C$4,N(U3419)+1,N(U3419))</f>
        <v>134</v>
      </c>
    </row>
    <row r="3421" customFormat="false" ht="15" hidden="false" customHeight="false" outlineLevel="0" collapsed="false">
      <c r="B3421" s="53"/>
      <c r="I3421" s="53"/>
      <c r="U3421" s="31" t="n">
        <f aca="false">IF($B3421='設定（最初に1回）'!$C$4,N(U3420)+1,N(U3420))</f>
        <v>134</v>
      </c>
    </row>
    <row r="3422" customFormat="false" ht="15" hidden="false" customHeight="false" outlineLevel="0" collapsed="false">
      <c r="B3422" s="53"/>
      <c r="I3422" s="53"/>
      <c r="U3422" s="31" t="n">
        <f aca="false">IF($B3422='設定（最初に1回）'!$C$4,N(U3421)+1,N(U3421))</f>
        <v>134</v>
      </c>
    </row>
    <row r="3423" customFormat="false" ht="15" hidden="false" customHeight="false" outlineLevel="0" collapsed="false">
      <c r="B3423" s="53"/>
      <c r="I3423" s="53"/>
      <c r="U3423" s="31" t="n">
        <f aca="false">IF($B3423='設定（最初に1回）'!$C$4,N(U3422)+1,N(U3422))</f>
        <v>134</v>
      </c>
    </row>
    <row r="3424" customFormat="false" ht="15" hidden="false" customHeight="false" outlineLevel="0" collapsed="false">
      <c r="B3424" s="53"/>
      <c r="I3424" s="53"/>
      <c r="U3424" s="31" t="n">
        <f aca="false">IF($B3424='設定（最初に1回）'!$C$4,N(U3423)+1,N(U3423))</f>
        <v>134</v>
      </c>
    </row>
    <row r="3425" customFormat="false" ht="15" hidden="false" customHeight="false" outlineLevel="0" collapsed="false">
      <c r="B3425" s="53"/>
      <c r="I3425" s="53"/>
      <c r="U3425" s="31" t="n">
        <f aca="false">IF($B3425='設定（最初に1回）'!$C$4,N(U3424)+1,N(U3424))</f>
        <v>134</v>
      </c>
    </row>
    <row r="3426" customFormat="false" ht="15" hidden="false" customHeight="false" outlineLevel="0" collapsed="false">
      <c r="B3426" s="53"/>
      <c r="I3426" s="53"/>
      <c r="U3426" s="31" t="n">
        <f aca="false">IF($B3426='設定（最初に1回）'!$C$4,N(U3425)+1,N(U3425))</f>
        <v>134</v>
      </c>
    </row>
    <row r="3427" customFormat="false" ht="15" hidden="false" customHeight="false" outlineLevel="0" collapsed="false">
      <c r="B3427" s="53"/>
      <c r="I3427" s="53"/>
      <c r="U3427" s="31" t="n">
        <f aca="false">IF($B3427='設定（最初に1回）'!$C$4,N(U3426)+1,N(U3426))</f>
        <v>134</v>
      </c>
    </row>
    <row r="3428" customFormat="false" ht="15" hidden="false" customHeight="false" outlineLevel="0" collapsed="false">
      <c r="B3428" s="53"/>
      <c r="I3428" s="53"/>
      <c r="U3428" s="31" t="n">
        <f aca="false">IF($B3428='設定（最初に1回）'!$C$4,N(U3427)+1,N(U3427))</f>
        <v>134</v>
      </c>
    </row>
    <row r="3429" customFormat="false" ht="15" hidden="false" customHeight="false" outlineLevel="0" collapsed="false">
      <c r="B3429" s="53"/>
      <c r="I3429" s="53"/>
      <c r="U3429" s="31" t="n">
        <f aca="false">IF($B3429='設定（最初に1回）'!$C$4,N(U3428)+1,N(U3428))</f>
        <v>134</v>
      </c>
    </row>
    <row r="3430" customFormat="false" ht="15" hidden="false" customHeight="false" outlineLevel="0" collapsed="false">
      <c r="B3430" s="53"/>
      <c r="I3430" s="53"/>
      <c r="U3430" s="31" t="n">
        <f aca="false">IF($B3430='設定（最初に1回）'!$C$4,N(U3429)+1,N(U3429))</f>
        <v>134</v>
      </c>
    </row>
    <row r="3431" customFormat="false" ht="15" hidden="false" customHeight="false" outlineLevel="0" collapsed="false">
      <c r="B3431" s="53"/>
      <c r="I3431" s="53"/>
      <c r="U3431" s="31" t="n">
        <f aca="false">IF($B3431='設定（最初に1回）'!$C$4,N(U3430)+1,N(U3430))</f>
        <v>134</v>
      </c>
    </row>
    <row r="3432" customFormat="false" ht="15" hidden="false" customHeight="false" outlineLevel="0" collapsed="false">
      <c r="B3432" s="53"/>
      <c r="I3432" s="53"/>
      <c r="U3432" s="31" t="n">
        <f aca="false">IF($B3432='設定（最初に1回）'!$C$4,N(U3431)+1,N(U3431))</f>
        <v>134</v>
      </c>
    </row>
    <row r="3433" customFormat="false" ht="15" hidden="false" customHeight="false" outlineLevel="0" collapsed="false">
      <c r="B3433" s="53"/>
      <c r="I3433" s="53"/>
      <c r="U3433" s="31" t="n">
        <f aca="false">IF($B3433='設定（最初に1回）'!$C$4,N(U3432)+1,N(U3432))</f>
        <v>134</v>
      </c>
    </row>
    <row r="3434" customFormat="false" ht="15" hidden="false" customHeight="false" outlineLevel="0" collapsed="false">
      <c r="B3434" s="53"/>
      <c r="I3434" s="53"/>
      <c r="U3434" s="31" t="n">
        <f aca="false">IF($B3434='設定（最初に1回）'!$C$4,N(U3433)+1,N(U3433))</f>
        <v>134</v>
      </c>
    </row>
    <row r="3435" customFormat="false" ht="15" hidden="false" customHeight="false" outlineLevel="0" collapsed="false">
      <c r="B3435" s="53"/>
      <c r="I3435" s="53"/>
      <c r="U3435" s="31" t="n">
        <f aca="false">IF($B3435='設定（最初に1回）'!$C$4,N(U3434)+1,N(U3434))</f>
        <v>134</v>
      </c>
    </row>
    <row r="3436" customFormat="false" ht="15" hidden="false" customHeight="false" outlineLevel="0" collapsed="false">
      <c r="B3436" s="53"/>
      <c r="I3436" s="53"/>
      <c r="U3436" s="31" t="n">
        <f aca="false">IF($B3436='設定（最初に1回）'!$C$4,N(U3435)+1,N(U3435))</f>
        <v>134</v>
      </c>
    </row>
    <row r="3437" customFormat="false" ht="15" hidden="false" customHeight="false" outlineLevel="0" collapsed="false">
      <c r="B3437" s="53"/>
      <c r="I3437" s="53"/>
      <c r="U3437" s="31" t="n">
        <f aca="false">IF($B3437='設定（最初に1回）'!$C$4,N(U3436)+1,N(U3436))</f>
        <v>134</v>
      </c>
    </row>
    <row r="3438" customFormat="false" ht="15" hidden="false" customHeight="false" outlineLevel="0" collapsed="false">
      <c r="B3438" s="53"/>
      <c r="I3438" s="53"/>
      <c r="U3438" s="31" t="n">
        <f aca="false">IF($B3438='設定（最初に1回）'!$C$4,N(U3437)+1,N(U3437))</f>
        <v>134</v>
      </c>
    </row>
    <row r="3439" customFormat="false" ht="15" hidden="false" customHeight="false" outlineLevel="0" collapsed="false">
      <c r="B3439" s="53"/>
      <c r="I3439" s="53"/>
      <c r="U3439" s="31" t="n">
        <f aca="false">IF($B3439='設定（最初に1回）'!$C$4,N(U3438)+1,N(U3438))</f>
        <v>134</v>
      </c>
    </row>
    <row r="3440" customFormat="false" ht="15" hidden="false" customHeight="false" outlineLevel="0" collapsed="false">
      <c r="B3440" s="53"/>
      <c r="I3440" s="53"/>
      <c r="U3440" s="31" t="n">
        <f aca="false">IF($B3440='設定（最初に1回）'!$C$4,N(U3439)+1,N(U3439))</f>
        <v>134</v>
      </c>
    </row>
    <row r="3441" customFormat="false" ht="15" hidden="false" customHeight="false" outlineLevel="0" collapsed="false">
      <c r="B3441" s="53"/>
      <c r="I3441" s="53"/>
      <c r="U3441" s="31" t="n">
        <f aca="false">IF($B3441='設定（最初に1回）'!$C$4,N(U3440)+1,N(U3440))</f>
        <v>134</v>
      </c>
    </row>
    <row r="3442" customFormat="false" ht="15" hidden="false" customHeight="false" outlineLevel="0" collapsed="false">
      <c r="B3442" s="53"/>
      <c r="I3442" s="53"/>
      <c r="U3442" s="31" t="n">
        <f aca="false">IF($B3442='設定（最初に1回）'!$C$4,N(U3441)+1,N(U3441))</f>
        <v>134</v>
      </c>
    </row>
    <row r="3443" customFormat="false" ht="15" hidden="false" customHeight="false" outlineLevel="0" collapsed="false">
      <c r="B3443" s="53"/>
      <c r="I3443" s="53"/>
      <c r="U3443" s="31" t="n">
        <f aca="false">IF($B3443='設定（最初に1回）'!$C$4,N(U3442)+1,N(U3442))</f>
        <v>134</v>
      </c>
    </row>
    <row r="3444" customFormat="false" ht="15" hidden="false" customHeight="false" outlineLevel="0" collapsed="false">
      <c r="B3444" s="53"/>
      <c r="I3444" s="53"/>
      <c r="U3444" s="31" t="n">
        <f aca="false">IF($B3444='設定（最初に1回）'!$C$4,N(U3443)+1,N(U3443))</f>
        <v>134</v>
      </c>
    </row>
    <row r="3445" customFormat="false" ht="15" hidden="false" customHeight="false" outlineLevel="0" collapsed="false">
      <c r="B3445" s="53"/>
      <c r="I3445" s="53"/>
      <c r="U3445" s="31" t="n">
        <f aca="false">IF($B3445='設定（最初に1回）'!$C$4,N(U3444)+1,N(U3444))</f>
        <v>134</v>
      </c>
    </row>
    <row r="3446" customFormat="false" ht="15" hidden="false" customHeight="false" outlineLevel="0" collapsed="false">
      <c r="B3446" s="53"/>
      <c r="I3446" s="53"/>
      <c r="U3446" s="31" t="n">
        <f aca="false">IF($B3446='設定（最初に1回）'!$C$4,N(U3445)+1,N(U3445))</f>
        <v>134</v>
      </c>
    </row>
    <row r="3447" customFormat="false" ht="15" hidden="false" customHeight="false" outlineLevel="0" collapsed="false">
      <c r="B3447" s="53"/>
      <c r="I3447" s="53"/>
      <c r="U3447" s="31" t="n">
        <f aca="false">IF($B3447='設定（最初に1回）'!$C$4,N(U3446)+1,N(U3446))</f>
        <v>134</v>
      </c>
    </row>
    <row r="3448" customFormat="false" ht="15" hidden="false" customHeight="false" outlineLevel="0" collapsed="false">
      <c r="B3448" s="53"/>
      <c r="I3448" s="53"/>
      <c r="U3448" s="31" t="n">
        <f aca="false">IF($B3448='設定（最初に1回）'!$C$4,N(U3447)+1,N(U3447))</f>
        <v>134</v>
      </c>
    </row>
    <row r="3449" customFormat="false" ht="15" hidden="false" customHeight="false" outlineLevel="0" collapsed="false">
      <c r="B3449" s="53"/>
      <c r="I3449" s="53"/>
      <c r="U3449" s="31" t="n">
        <f aca="false">IF($B3449='設定（最初に1回）'!$C$4,N(U3448)+1,N(U3448))</f>
        <v>134</v>
      </c>
    </row>
    <row r="3450" customFormat="false" ht="15" hidden="false" customHeight="false" outlineLevel="0" collapsed="false">
      <c r="B3450" s="53"/>
      <c r="I3450" s="53"/>
      <c r="U3450" s="31" t="n">
        <f aca="false">IF($B3450='設定（最初に1回）'!$C$4,N(U3449)+1,N(U3449))</f>
        <v>134</v>
      </c>
    </row>
    <row r="3451" customFormat="false" ht="15" hidden="false" customHeight="false" outlineLevel="0" collapsed="false">
      <c r="B3451" s="53"/>
      <c r="I3451" s="53"/>
      <c r="U3451" s="31" t="n">
        <f aca="false">IF($B3451='設定（最初に1回）'!$C$4,N(U3450)+1,N(U3450))</f>
        <v>134</v>
      </c>
    </row>
    <row r="3452" customFormat="false" ht="15" hidden="false" customHeight="false" outlineLevel="0" collapsed="false">
      <c r="B3452" s="53"/>
      <c r="I3452" s="53"/>
      <c r="U3452" s="31" t="n">
        <f aca="false">IF($B3452='設定（最初に1回）'!$C$4,N(U3451)+1,N(U3451))</f>
        <v>134</v>
      </c>
    </row>
    <row r="3453" customFormat="false" ht="15" hidden="false" customHeight="false" outlineLevel="0" collapsed="false">
      <c r="B3453" s="53"/>
      <c r="I3453" s="53"/>
      <c r="U3453" s="31" t="n">
        <f aca="false">IF($B3453='設定（最初に1回）'!$C$4,N(U3452)+1,N(U3452))</f>
        <v>134</v>
      </c>
    </row>
    <row r="3454" customFormat="false" ht="15" hidden="false" customHeight="false" outlineLevel="0" collapsed="false">
      <c r="B3454" s="53"/>
      <c r="I3454" s="53"/>
      <c r="U3454" s="31" t="n">
        <f aca="false">IF($B3454='設定（最初に1回）'!$C$4,N(U3453)+1,N(U3453))</f>
        <v>134</v>
      </c>
    </row>
    <row r="3455" customFormat="false" ht="15" hidden="false" customHeight="false" outlineLevel="0" collapsed="false">
      <c r="B3455" s="53"/>
      <c r="I3455" s="53"/>
      <c r="U3455" s="31" t="n">
        <f aca="false">IF($B3455='設定（最初に1回）'!$C$4,N(U3454)+1,N(U3454))</f>
        <v>134</v>
      </c>
    </row>
    <row r="3456" customFormat="false" ht="15" hidden="false" customHeight="false" outlineLevel="0" collapsed="false">
      <c r="B3456" s="53"/>
      <c r="I3456" s="53"/>
      <c r="U3456" s="31" t="n">
        <f aca="false">IF($B3456='設定（最初に1回）'!$C$4,N(U3455)+1,N(U3455))</f>
        <v>134</v>
      </c>
    </row>
    <row r="3457" customFormat="false" ht="15" hidden="false" customHeight="false" outlineLevel="0" collapsed="false">
      <c r="B3457" s="53"/>
      <c r="I3457" s="53"/>
      <c r="U3457" s="31" t="n">
        <f aca="false">IF($B3457='設定（最初に1回）'!$C$4,N(U3456)+1,N(U3456))</f>
        <v>134</v>
      </c>
    </row>
    <row r="3458" customFormat="false" ht="15" hidden="false" customHeight="false" outlineLevel="0" collapsed="false">
      <c r="B3458" s="53"/>
      <c r="I3458" s="53"/>
      <c r="U3458" s="31" t="n">
        <f aca="false">IF($B3458='設定（最初に1回）'!$C$4,N(U3457)+1,N(U3457))</f>
        <v>134</v>
      </c>
    </row>
    <row r="3459" customFormat="false" ht="15" hidden="false" customHeight="false" outlineLevel="0" collapsed="false">
      <c r="B3459" s="53"/>
      <c r="I3459" s="53"/>
      <c r="U3459" s="31" t="n">
        <f aca="false">IF($B3459='設定（最初に1回）'!$C$4,N(U3458)+1,N(U3458))</f>
        <v>134</v>
      </c>
    </row>
    <row r="3460" customFormat="false" ht="15" hidden="false" customHeight="false" outlineLevel="0" collapsed="false">
      <c r="B3460" s="53"/>
      <c r="I3460" s="53"/>
      <c r="U3460" s="31" t="n">
        <f aca="false">IF($B3460='設定（最初に1回）'!$C$4,N(U3459)+1,N(U3459))</f>
        <v>134</v>
      </c>
    </row>
    <row r="3461" customFormat="false" ht="15" hidden="false" customHeight="false" outlineLevel="0" collapsed="false">
      <c r="B3461" s="53"/>
      <c r="I3461" s="53"/>
      <c r="U3461" s="31" t="n">
        <f aca="false">IF($B3461='設定（最初に1回）'!$C$4,N(U3460)+1,N(U3460))</f>
        <v>134</v>
      </c>
    </row>
    <row r="3462" customFormat="false" ht="15" hidden="false" customHeight="false" outlineLevel="0" collapsed="false">
      <c r="B3462" s="53"/>
      <c r="I3462" s="53"/>
      <c r="U3462" s="31" t="n">
        <f aca="false">IF($B3462='設定（最初に1回）'!$C$4,N(U3461)+1,N(U3461))</f>
        <v>134</v>
      </c>
    </row>
    <row r="3463" customFormat="false" ht="15" hidden="false" customHeight="false" outlineLevel="0" collapsed="false">
      <c r="B3463" s="53"/>
      <c r="I3463" s="53"/>
      <c r="U3463" s="31" t="n">
        <f aca="false">IF($B3463='設定（最初に1回）'!$C$4,N(U3462)+1,N(U3462))</f>
        <v>134</v>
      </c>
    </row>
    <row r="3464" customFormat="false" ht="15" hidden="false" customHeight="false" outlineLevel="0" collapsed="false">
      <c r="B3464" s="53"/>
      <c r="I3464" s="53"/>
      <c r="U3464" s="31" t="n">
        <f aca="false">IF($B3464='設定（最初に1回）'!$C$4,N(U3463)+1,N(U3463))</f>
        <v>134</v>
      </c>
    </row>
    <row r="3465" customFormat="false" ht="15" hidden="false" customHeight="false" outlineLevel="0" collapsed="false">
      <c r="B3465" s="53"/>
      <c r="I3465" s="53"/>
      <c r="U3465" s="31" t="n">
        <f aca="false">IF($B3465='設定（最初に1回）'!$C$4,N(U3464)+1,N(U3464))</f>
        <v>134</v>
      </c>
    </row>
    <row r="3466" customFormat="false" ht="15" hidden="false" customHeight="false" outlineLevel="0" collapsed="false">
      <c r="B3466" s="53"/>
      <c r="I3466" s="53"/>
      <c r="U3466" s="31" t="n">
        <f aca="false">IF($B3466='設定（最初に1回）'!$C$4,N(U3465)+1,N(U3465))</f>
        <v>134</v>
      </c>
    </row>
    <row r="3467" customFormat="false" ht="15" hidden="false" customHeight="false" outlineLevel="0" collapsed="false">
      <c r="B3467" s="53"/>
      <c r="I3467" s="53"/>
      <c r="U3467" s="31" t="n">
        <f aca="false">IF($B3467='設定（最初に1回）'!$C$4,N(U3466)+1,N(U3466))</f>
        <v>134</v>
      </c>
    </row>
    <row r="3468" customFormat="false" ht="15" hidden="false" customHeight="false" outlineLevel="0" collapsed="false">
      <c r="B3468" s="53"/>
      <c r="I3468" s="53"/>
      <c r="U3468" s="31" t="n">
        <f aca="false">IF($B3468='設定（最初に1回）'!$C$4,N(U3467)+1,N(U3467))</f>
        <v>134</v>
      </c>
    </row>
    <row r="3469" customFormat="false" ht="15" hidden="false" customHeight="false" outlineLevel="0" collapsed="false">
      <c r="B3469" s="53"/>
      <c r="I3469" s="53"/>
      <c r="U3469" s="31" t="n">
        <f aca="false">IF($B3469='設定（最初に1回）'!$C$4,N(U3468)+1,N(U3468))</f>
        <v>134</v>
      </c>
    </row>
    <row r="3470" customFormat="false" ht="15" hidden="false" customHeight="false" outlineLevel="0" collapsed="false">
      <c r="B3470" s="53"/>
      <c r="I3470" s="53"/>
      <c r="U3470" s="31" t="n">
        <f aca="false">IF($B3470='設定（最初に1回）'!$C$4,N(U3469)+1,N(U3469))</f>
        <v>134</v>
      </c>
    </row>
    <row r="3471" customFormat="false" ht="15" hidden="false" customHeight="false" outlineLevel="0" collapsed="false">
      <c r="B3471" s="53"/>
      <c r="I3471" s="53"/>
      <c r="U3471" s="31" t="n">
        <f aca="false">IF($B3471='設定（最初に1回）'!$C$4,N(U3470)+1,N(U3470))</f>
        <v>134</v>
      </c>
    </row>
    <row r="3472" customFormat="false" ht="15" hidden="false" customHeight="false" outlineLevel="0" collapsed="false">
      <c r="B3472" s="53"/>
      <c r="I3472" s="53"/>
      <c r="U3472" s="31" t="n">
        <f aca="false">IF($B3472='設定（最初に1回）'!$C$4,N(U3471)+1,N(U3471))</f>
        <v>134</v>
      </c>
    </row>
    <row r="3473" customFormat="false" ht="15" hidden="false" customHeight="false" outlineLevel="0" collapsed="false">
      <c r="B3473" s="53"/>
      <c r="I3473" s="53"/>
      <c r="U3473" s="31" t="n">
        <f aca="false">IF($B3473='設定（最初に1回）'!$C$4,N(U3472)+1,N(U3472))</f>
        <v>134</v>
      </c>
    </row>
    <row r="3474" customFormat="false" ht="15" hidden="false" customHeight="false" outlineLevel="0" collapsed="false">
      <c r="B3474" s="53"/>
      <c r="I3474" s="53"/>
      <c r="U3474" s="31" t="n">
        <f aca="false">IF($B3474='設定（最初に1回）'!$C$4,N(U3473)+1,N(U3473))</f>
        <v>134</v>
      </c>
    </row>
    <row r="3475" customFormat="false" ht="15" hidden="false" customHeight="false" outlineLevel="0" collapsed="false">
      <c r="B3475" s="53"/>
      <c r="I3475" s="53"/>
      <c r="U3475" s="31" t="n">
        <f aca="false">IF($B3475='設定（最初に1回）'!$C$4,N(U3474)+1,N(U3474))</f>
        <v>134</v>
      </c>
    </row>
    <row r="3476" customFormat="false" ht="15" hidden="false" customHeight="false" outlineLevel="0" collapsed="false">
      <c r="B3476" s="53"/>
      <c r="I3476" s="53"/>
      <c r="U3476" s="31" t="n">
        <f aca="false">IF($B3476='設定（最初に1回）'!$C$4,N(U3475)+1,N(U3475))</f>
        <v>134</v>
      </c>
    </row>
    <row r="3477" customFormat="false" ht="15" hidden="false" customHeight="false" outlineLevel="0" collapsed="false">
      <c r="B3477" s="53"/>
      <c r="I3477" s="53"/>
      <c r="U3477" s="31" t="n">
        <f aca="false">IF($B3477='設定（最初に1回）'!$C$4,N(U3476)+1,N(U3476))</f>
        <v>134</v>
      </c>
    </row>
    <row r="3478" customFormat="false" ht="15" hidden="false" customHeight="false" outlineLevel="0" collapsed="false">
      <c r="B3478" s="53"/>
      <c r="I3478" s="53"/>
      <c r="U3478" s="31" t="n">
        <f aca="false">IF($B3478='設定（最初に1回）'!$C$4,N(U3477)+1,N(U3477))</f>
        <v>134</v>
      </c>
    </row>
    <row r="3479" customFormat="false" ht="15" hidden="false" customHeight="false" outlineLevel="0" collapsed="false">
      <c r="B3479" s="53"/>
      <c r="I3479" s="53"/>
      <c r="U3479" s="31" t="n">
        <f aca="false">IF($B3479='設定（最初に1回）'!$C$4,N(U3478)+1,N(U3478))</f>
        <v>134</v>
      </c>
    </row>
    <row r="3480" customFormat="false" ht="15" hidden="false" customHeight="false" outlineLevel="0" collapsed="false">
      <c r="B3480" s="53"/>
      <c r="I3480" s="53"/>
      <c r="U3480" s="31" t="n">
        <f aca="false">IF($B3480='設定（最初に1回）'!$C$4,N(U3479)+1,N(U3479))</f>
        <v>134</v>
      </c>
    </row>
    <row r="3481" customFormat="false" ht="15" hidden="false" customHeight="false" outlineLevel="0" collapsed="false">
      <c r="B3481" s="53"/>
      <c r="I3481" s="53"/>
      <c r="U3481" s="31" t="n">
        <f aca="false">IF($B3481='設定（最初に1回）'!$C$4,N(U3480)+1,N(U3480))</f>
        <v>134</v>
      </c>
    </row>
    <row r="3482" customFormat="false" ht="15" hidden="false" customHeight="false" outlineLevel="0" collapsed="false">
      <c r="B3482" s="53"/>
      <c r="I3482" s="53"/>
      <c r="U3482" s="31" t="n">
        <f aca="false">IF($B3482='設定（最初に1回）'!$C$4,N(U3481)+1,N(U3481))</f>
        <v>134</v>
      </c>
    </row>
    <row r="3483" customFormat="false" ht="15" hidden="false" customHeight="false" outlineLevel="0" collapsed="false">
      <c r="B3483" s="53"/>
      <c r="I3483" s="53"/>
      <c r="U3483" s="31" t="n">
        <f aca="false">IF($B3483='設定（最初に1回）'!$C$4,N(U3482)+1,N(U3482))</f>
        <v>134</v>
      </c>
    </row>
    <row r="3484" customFormat="false" ht="15" hidden="false" customHeight="false" outlineLevel="0" collapsed="false">
      <c r="B3484" s="53"/>
      <c r="I3484" s="53"/>
      <c r="U3484" s="31" t="n">
        <f aca="false">IF($B3484='設定（最初に1回）'!$C$4,N(U3483)+1,N(U3483))</f>
        <v>134</v>
      </c>
    </row>
    <row r="3485" customFormat="false" ht="15" hidden="false" customHeight="false" outlineLevel="0" collapsed="false">
      <c r="B3485" s="53"/>
      <c r="I3485" s="53"/>
      <c r="U3485" s="31" t="n">
        <f aca="false">IF($B3485='設定（最初に1回）'!$C$4,N(U3484)+1,N(U3484))</f>
        <v>134</v>
      </c>
    </row>
    <row r="3486" customFormat="false" ht="15" hidden="false" customHeight="false" outlineLevel="0" collapsed="false">
      <c r="B3486" s="53"/>
      <c r="I3486" s="53"/>
      <c r="U3486" s="31" t="n">
        <f aca="false">IF($B3486='設定（最初に1回）'!$C$4,N(U3485)+1,N(U3485))</f>
        <v>134</v>
      </c>
    </row>
    <row r="3487" customFormat="false" ht="15" hidden="false" customHeight="false" outlineLevel="0" collapsed="false">
      <c r="B3487" s="53"/>
      <c r="I3487" s="53"/>
      <c r="U3487" s="31" t="n">
        <f aca="false">IF($B3487='設定（最初に1回）'!$C$4,N(U3486)+1,N(U3486))</f>
        <v>134</v>
      </c>
    </row>
    <row r="3488" customFormat="false" ht="15" hidden="false" customHeight="false" outlineLevel="0" collapsed="false">
      <c r="B3488" s="53"/>
      <c r="I3488" s="53"/>
      <c r="U3488" s="31" t="n">
        <f aca="false">IF($B3488='設定（最初に1回）'!$C$4,N(U3487)+1,N(U3487))</f>
        <v>134</v>
      </c>
    </row>
    <row r="3489" customFormat="false" ht="15" hidden="false" customHeight="false" outlineLevel="0" collapsed="false">
      <c r="B3489" s="53"/>
      <c r="I3489" s="53"/>
      <c r="U3489" s="31" t="n">
        <f aca="false">IF($B3489='設定（最初に1回）'!$C$4,N(U3488)+1,N(U3488))</f>
        <v>134</v>
      </c>
    </row>
    <row r="3490" customFormat="false" ht="15" hidden="false" customHeight="false" outlineLevel="0" collapsed="false">
      <c r="B3490" s="53"/>
      <c r="I3490" s="53"/>
      <c r="U3490" s="31" t="n">
        <f aca="false">IF($B3490='設定（最初に1回）'!$C$4,N(U3489)+1,N(U3489))</f>
        <v>134</v>
      </c>
    </row>
    <row r="3491" customFormat="false" ht="15" hidden="false" customHeight="false" outlineLevel="0" collapsed="false">
      <c r="B3491" s="53"/>
      <c r="I3491" s="53"/>
      <c r="U3491" s="31" t="n">
        <f aca="false">IF($B3491='設定（最初に1回）'!$C$4,N(U3490)+1,N(U3490))</f>
        <v>134</v>
      </c>
    </row>
    <row r="3492" customFormat="false" ht="15" hidden="false" customHeight="false" outlineLevel="0" collapsed="false">
      <c r="B3492" s="53"/>
      <c r="I3492" s="53"/>
      <c r="U3492" s="31" t="n">
        <f aca="false">IF($B3492='設定（最初に1回）'!$C$4,N(U3491)+1,N(U3491))</f>
        <v>134</v>
      </c>
    </row>
    <row r="3493" customFormat="false" ht="15" hidden="false" customHeight="false" outlineLevel="0" collapsed="false">
      <c r="B3493" s="53"/>
      <c r="I3493" s="53"/>
      <c r="U3493" s="31" t="n">
        <f aca="false">IF($B3493='設定（最初に1回）'!$C$4,N(U3492)+1,N(U3492))</f>
        <v>134</v>
      </c>
    </row>
    <row r="3494" customFormat="false" ht="15" hidden="false" customHeight="false" outlineLevel="0" collapsed="false">
      <c r="B3494" s="53"/>
      <c r="I3494" s="53"/>
      <c r="U3494" s="31" t="n">
        <f aca="false">IF($B3494='設定（最初に1回）'!$C$4,N(U3493)+1,N(U3493))</f>
        <v>134</v>
      </c>
    </row>
    <row r="3495" customFormat="false" ht="15" hidden="false" customHeight="false" outlineLevel="0" collapsed="false">
      <c r="B3495" s="53"/>
      <c r="I3495" s="53"/>
      <c r="U3495" s="31" t="n">
        <f aca="false">IF($B3495='設定（最初に1回）'!$C$4,N(U3494)+1,N(U3494))</f>
        <v>134</v>
      </c>
    </row>
    <row r="3496" customFormat="false" ht="15" hidden="false" customHeight="false" outlineLevel="0" collapsed="false">
      <c r="B3496" s="53"/>
      <c r="I3496" s="53"/>
      <c r="U3496" s="31" t="n">
        <f aca="false">IF($B3496='設定（最初に1回）'!$C$4,N(U3495)+1,N(U3495))</f>
        <v>134</v>
      </c>
    </row>
    <row r="3497" customFormat="false" ht="15" hidden="false" customHeight="false" outlineLevel="0" collapsed="false">
      <c r="B3497" s="53"/>
      <c r="I3497" s="53"/>
      <c r="U3497" s="31" t="n">
        <f aca="false">IF($B3497='設定（最初に1回）'!$C$4,N(U3496)+1,N(U3496))</f>
        <v>134</v>
      </c>
    </row>
    <row r="3498" customFormat="false" ht="15" hidden="false" customHeight="false" outlineLevel="0" collapsed="false">
      <c r="B3498" s="53"/>
      <c r="I3498" s="53"/>
      <c r="U3498" s="31" t="n">
        <f aca="false">IF($B3498='設定（最初に1回）'!$C$4,N(U3497)+1,N(U3497))</f>
        <v>134</v>
      </c>
    </row>
    <row r="3499" customFormat="false" ht="15" hidden="false" customHeight="false" outlineLevel="0" collapsed="false">
      <c r="B3499" s="53"/>
      <c r="I3499" s="53"/>
      <c r="U3499" s="31" t="n">
        <f aca="false">IF($B3499='設定（最初に1回）'!$C$4,N(U3498)+1,N(U3498))</f>
        <v>134</v>
      </c>
    </row>
    <row r="3500" customFormat="false" ht="15" hidden="false" customHeight="false" outlineLevel="0" collapsed="false">
      <c r="B3500" s="53"/>
      <c r="I3500" s="53"/>
      <c r="U3500" s="31" t="n">
        <f aca="false">IF($B3500='設定（最初に1回）'!$C$4,N(U3499)+1,N(U3499))</f>
        <v>134</v>
      </c>
    </row>
    <row r="3501" customFormat="false" ht="15" hidden="false" customHeight="false" outlineLevel="0" collapsed="false">
      <c r="B3501" s="53"/>
      <c r="I3501" s="53"/>
      <c r="U3501" s="31" t="n">
        <f aca="false">IF($B3501='設定（最初に1回）'!$C$4,N(U3500)+1,N(U3500))</f>
        <v>134</v>
      </c>
    </row>
    <row r="3502" customFormat="false" ht="15" hidden="false" customHeight="false" outlineLevel="0" collapsed="false">
      <c r="B3502" s="53"/>
      <c r="I3502" s="53"/>
      <c r="U3502" s="31" t="n">
        <f aca="false">IF($B3502='設定（最初に1回）'!$C$4,N(U3501)+1,N(U3501))</f>
        <v>134</v>
      </c>
    </row>
    <row r="3503" customFormat="false" ht="15" hidden="false" customHeight="false" outlineLevel="0" collapsed="false">
      <c r="B3503" s="53"/>
      <c r="I3503" s="53"/>
      <c r="U3503" s="31" t="n">
        <f aca="false">IF($B3503='設定（最初に1回）'!$C$4,N(U3502)+1,N(U3502))</f>
        <v>134</v>
      </c>
    </row>
    <row r="3504" customFormat="false" ht="15" hidden="false" customHeight="false" outlineLevel="0" collapsed="false">
      <c r="B3504" s="53"/>
      <c r="I3504" s="53"/>
      <c r="U3504" s="31" t="n">
        <f aca="false">IF($B3504='設定（最初に1回）'!$C$4,N(U3503)+1,N(U3503))</f>
        <v>134</v>
      </c>
    </row>
    <row r="3505" customFormat="false" ht="15" hidden="false" customHeight="false" outlineLevel="0" collapsed="false">
      <c r="B3505" s="53"/>
      <c r="I3505" s="53"/>
      <c r="U3505" s="31" t="n">
        <f aca="false">IF($B3505='設定（最初に1回）'!$C$4,N(U3504)+1,N(U3504))</f>
        <v>134</v>
      </c>
    </row>
    <row r="3506" customFormat="false" ht="15" hidden="false" customHeight="false" outlineLevel="0" collapsed="false">
      <c r="B3506" s="53"/>
      <c r="I3506" s="53"/>
      <c r="U3506" s="31" t="n">
        <f aca="false">IF($B3506='設定（最初に1回）'!$C$4,N(U3505)+1,N(U3505))</f>
        <v>134</v>
      </c>
    </row>
    <row r="3507" customFormat="false" ht="15" hidden="false" customHeight="false" outlineLevel="0" collapsed="false">
      <c r="B3507" s="53"/>
      <c r="I3507" s="53"/>
      <c r="U3507" s="31" t="n">
        <f aca="false">IF($B3507='設定（最初に1回）'!$C$4,N(U3506)+1,N(U3506))</f>
        <v>134</v>
      </c>
    </row>
    <row r="3508" customFormat="false" ht="15" hidden="false" customHeight="false" outlineLevel="0" collapsed="false">
      <c r="B3508" s="53"/>
      <c r="I3508" s="53"/>
      <c r="U3508" s="31" t="n">
        <f aca="false">IF($B3508='設定（最初に1回）'!$C$4,N(U3507)+1,N(U3507))</f>
        <v>134</v>
      </c>
    </row>
    <row r="3509" customFormat="false" ht="15" hidden="false" customHeight="false" outlineLevel="0" collapsed="false">
      <c r="B3509" s="53"/>
      <c r="I3509" s="53"/>
      <c r="U3509" s="31" t="n">
        <f aca="false">IF($B3509='設定（最初に1回）'!$C$4,N(U3508)+1,N(U3508))</f>
        <v>134</v>
      </c>
    </row>
    <row r="3510" customFormat="false" ht="15" hidden="false" customHeight="false" outlineLevel="0" collapsed="false">
      <c r="B3510" s="53"/>
      <c r="I3510" s="53"/>
      <c r="U3510" s="31" t="n">
        <f aca="false">IF($B3510='設定（最初に1回）'!$C$4,N(U3509)+1,N(U3509))</f>
        <v>134</v>
      </c>
    </row>
    <row r="3511" customFormat="false" ht="15" hidden="false" customHeight="false" outlineLevel="0" collapsed="false">
      <c r="B3511" s="53"/>
      <c r="I3511" s="53"/>
      <c r="U3511" s="31" t="n">
        <f aca="false">IF($B3511='設定（最初に1回）'!$C$4,N(U3510)+1,N(U3510))</f>
        <v>134</v>
      </c>
    </row>
    <row r="3512" customFormat="false" ht="15" hidden="false" customHeight="false" outlineLevel="0" collapsed="false">
      <c r="B3512" s="53"/>
      <c r="I3512" s="53"/>
      <c r="U3512" s="31" t="n">
        <f aca="false">IF($B3512='設定（最初に1回）'!$C$4,N(U3511)+1,N(U3511))</f>
        <v>134</v>
      </c>
    </row>
    <row r="3513" customFormat="false" ht="15" hidden="false" customHeight="false" outlineLevel="0" collapsed="false">
      <c r="B3513" s="53"/>
      <c r="I3513" s="53"/>
      <c r="U3513" s="31" t="n">
        <f aca="false">IF($B3513='設定（最初に1回）'!$C$4,N(U3512)+1,N(U3512))</f>
        <v>134</v>
      </c>
    </row>
    <row r="3514" customFormat="false" ht="15" hidden="false" customHeight="false" outlineLevel="0" collapsed="false">
      <c r="B3514" s="53"/>
      <c r="I3514" s="53"/>
      <c r="U3514" s="31" t="n">
        <f aca="false">IF($B3514='設定（最初に1回）'!$C$4,N(U3513)+1,N(U3513))</f>
        <v>134</v>
      </c>
    </row>
    <row r="3515" customFormat="false" ht="15" hidden="false" customHeight="false" outlineLevel="0" collapsed="false">
      <c r="B3515" s="53"/>
      <c r="I3515" s="53"/>
      <c r="U3515" s="31" t="n">
        <f aca="false">IF($B3515='設定（最初に1回）'!$C$4,N(U3514)+1,N(U3514))</f>
        <v>134</v>
      </c>
    </row>
    <row r="3516" customFormat="false" ht="15" hidden="false" customHeight="false" outlineLevel="0" collapsed="false">
      <c r="B3516" s="53"/>
      <c r="I3516" s="53"/>
      <c r="U3516" s="31" t="n">
        <f aca="false">IF($B3516='設定（最初に1回）'!$C$4,N(U3515)+1,N(U3515))</f>
        <v>134</v>
      </c>
    </row>
    <row r="3517" customFormat="false" ht="15" hidden="false" customHeight="false" outlineLevel="0" collapsed="false">
      <c r="B3517" s="53"/>
      <c r="I3517" s="53"/>
      <c r="U3517" s="31" t="n">
        <f aca="false">IF($B3517='設定（最初に1回）'!$C$4,N(U3516)+1,N(U3516))</f>
        <v>134</v>
      </c>
    </row>
    <row r="3518" customFormat="false" ht="15" hidden="false" customHeight="false" outlineLevel="0" collapsed="false">
      <c r="B3518" s="53"/>
      <c r="I3518" s="53"/>
      <c r="U3518" s="31" t="n">
        <f aca="false">IF($B3518='設定（最初に1回）'!$C$4,N(U3517)+1,N(U3517))</f>
        <v>134</v>
      </c>
    </row>
    <row r="3519" customFormat="false" ht="15" hidden="false" customHeight="false" outlineLevel="0" collapsed="false">
      <c r="B3519" s="53"/>
      <c r="I3519" s="53"/>
      <c r="U3519" s="31" t="n">
        <f aca="false">IF($B3519='設定（最初に1回）'!$C$4,N(U3518)+1,N(U3518))</f>
        <v>134</v>
      </c>
    </row>
    <row r="3520" customFormat="false" ht="15" hidden="false" customHeight="false" outlineLevel="0" collapsed="false">
      <c r="B3520" s="53"/>
      <c r="I3520" s="53"/>
      <c r="U3520" s="31" t="n">
        <f aca="false">IF($B3520='設定（最初に1回）'!$C$4,N(U3519)+1,N(U3519))</f>
        <v>134</v>
      </c>
    </row>
    <row r="3521" customFormat="false" ht="15" hidden="false" customHeight="false" outlineLevel="0" collapsed="false">
      <c r="B3521" s="53"/>
      <c r="I3521" s="53"/>
      <c r="U3521" s="31" t="n">
        <f aca="false">IF($B3521='設定（最初に1回）'!$C$4,N(U3520)+1,N(U3520))</f>
        <v>134</v>
      </c>
    </row>
    <row r="3522" customFormat="false" ht="15" hidden="false" customHeight="false" outlineLevel="0" collapsed="false">
      <c r="B3522" s="53"/>
      <c r="I3522" s="53"/>
      <c r="U3522" s="31" t="n">
        <f aca="false">IF($B3522='設定（最初に1回）'!$C$4,N(U3521)+1,N(U3521))</f>
        <v>134</v>
      </c>
    </row>
    <row r="3523" customFormat="false" ht="15" hidden="false" customHeight="false" outlineLevel="0" collapsed="false">
      <c r="B3523" s="53"/>
      <c r="I3523" s="53"/>
      <c r="U3523" s="31" t="n">
        <f aca="false">IF($B3523='設定（最初に1回）'!$C$4,N(U3522)+1,N(U3522))</f>
        <v>134</v>
      </c>
    </row>
    <row r="3524" customFormat="false" ht="15" hidden="false" customHeight="false" outlineLevel="0" collapsed="false">
      <c r="B3524" s="53"/>
      <c r="I3524" s="53"/>
      <c r="U3524" s="31" t="n">
        <f aca="false">IF($B3524='設定（最初に1回）'!$C$4,N(U3523)+1,N(U3523))</f>
        <v>134</v>
      </c>
    </row>
    <row r="3525" customFormat="false" ht="15" hidden="false" customHeight="false" outlineLevel="0" collapsed="false">
      <c r="B3525" s="53"/>
      <c r="I3525" s="53"/>
      <c r="U3525" s="31" t="n">
        <f aca="false">IF($B3525='設定（最初に1回）'!$C$4,N(U3524)+1,N(U3524))</f>
        <v>134</v>
      </c>
    </row>
    <row r="3526" customFormat="false" ht="15" hidden="false" customHeight="false" outlineLevel="0" collapsed="false">
      <c r="B3526" s="53"/>
      <c r="I3526" s="53"/>
      <c r="U3526" s="31" t="n">
        <f aca="false">IF($B3526='設定（最初に1回）'!$C$4,N(U3525)+1,N(U3525))</f>
        <v>134</v>
      </c>
    </row>
    <row r="3527" customFormat="false" ht="15" hidden="false" customHeight="false" outlineLevel="0" collapsed="false">
      <c r="B3527" s="53"/>
      <c r="I3527" s="53"/>
      <c r="U3527" s="31" t="n">
        <f aca="false">IF($B3527='設定（最初に1回）'!$C$4,N(U3526)+1,N(U3526))</f>
        <v>134</v>
      </c>
    </row>
    <row r="3528" customFormat="false" ht="15" hidden="false" customHeight="false" outlineLevel="0" collapsed="false">
      <c r="B3528" s="53"/>
      <c r="I3528" s="53"/>
      <c r="U3528" s="31" t="n">
        <f aca="false">IF($B3528='設定（最初に1回）'!$C$4,N(U3527)+1,N(U3527))</f>
        <v>134</v>
      </c>
    </row>
    <row r="3529" customFormat="false" ht="15" hidden="false" customHeight="false" outlineLevel="0" collapsed="false">
      <c r="B3529" s="53"/>
      <c r="I3529" s="53"/>
      <c r="U3529" s="31" t="n">
        <f aca="false">IF($B3529='設定（最初に1回）'!$C$4,N(U3528)+1,N(U3528))</f>
        <v>134</v>
      </c>
    </row>
    <row r="3530" customFormat="false" ht="15" hidden="false" customHeight="false" outlineLevel="0" collapsed="false">
      <c r="B3530" s="53"/>
      <c r="I3530" s="53"/>
      <c r="U3530" s="31" t="n">
        <f aca="false">IF($B3530='設定（最初に1回）'!$C$4,N(U3529)+1,N(U3529))</f>
        <v>134</v>
      </c>
    </row>
    <row r="3531" customFormat="false" ht="15" hidden="false" customHeight="false" outlineLevel="0" collapsed="false">
      <c r="B3531" s="53"/>
      <c r="I3531" s="53"/>
      <c r="U3531" s="31" t="n">
        <f aca="false">IF($B3531='設定（最初に1回）'!$C$4,N(U3530)+1,N(U3530))</f>
        <v>134</v>
      </c>
    </row>
    <row r="3532" customFormat="false" ht="15" hidden="false" customHeight="false" outlineLevel="0" collapsed="false">
      <c r="B3532" s="53"/>
      <c r="I3532" s="53"/>
      <c r="U3532" s="31" t="n">
        <f aca="false">IF($B3532='設定（最初に1回）'!$C$4,N(U3531)+1,N(U3531))</f>
        <v>134</v>
      </c>
    </row>
    <row r="3533" customFormat="false" ht="15" hidden="false" customHeight="false" outlineLevel="0" collapsed="false">
      <c r="B3533" s="53"/>
      <c r="I3533" s="53"/>
      <c r="U3533" s="31" t="n">
        <f aca="false">IF($B3533='設定（最初に1回）'!$C$4,N(U3532)+1,N(U3532))</f>
        <v>134</v>
      </c>
    </row>
    <row r="3534" customFormat="false" ht="15" hidden="false" customHeight="false" outlineLevel="0" collapsed="false">
      <c r="B3534" s="53"/>
      <c r="I3534" s="53"/>
      <c r="U3534" s="31" t="n">
        <f aca="false">IF($B3534='設定（最初に1回）'!$C$4,N(U3533)+1,N(U3533))</f>
        <v>134</v>
      </c>
    </row>
    <row r="3535" customFormat="false" ht="15" hidden="false" customHeight="false" outlineLevel="0" collapsed="false">
      <c r="B3535" s="53"/>
      <c r="I3535" s="53"/>
      <c r="U3535" s="31" t="n">
        <f aca="false">IF($B3535='設定（最初に1回）'!$C$4,N(U3534)+1,N(U3534))</f>
        <v>134</v>
      </c>
    </row>
    <row r="3536" customFormat="false" ht="15" hidden="false" customHeight="false" outlineLevel="0" collapsed="false">
      <c r="B3536" s="53"/>
      <c r="I3536" s="53"/>
      <c r="U3536" s="31" t="n">
        <f aca="false">IF($B3536='設定（最初に1回）'!$C$4,N(U3535)+1,N(U3535))</f>
        <v>134</v>
      </c>
    </row>
    <row r="3537" customFormat="false" ht="15" hidden="false" customHeight="false" outlineLevel="0" collapsed="false">
      <c r="B3537" s="53"/>
      <c r="I3537" s="53"/>
      <c r="U3537" s="31" t="n">
        <f aca="false">IF($B3537='設定（最初に1回）'!$C$4,N(U3536)+1,N(U3536))</f>
        <v>134</v>
      </c>
    </row>
    <row r="3538" customFormat="false" ht="15" hidden="false" customHeight="false" outlineLevel="0" collapsed="false">
      <c r="B3538" s="53"/>
      <c r="I3538" s="53"/>
      <c r="U3538" s="31" t="n">
        <f aca="false">IF($B3538='設定（最初に1回）'!$C$4,N(U3537)+1,N(U3537))</f>
        <v>134</v>
      </c>
    </row>
    <row r="3539" customFormat="false" ht="15" hidden="false" customHeight="false" outlineLevel="0" collapsed="false">
      <c r="B3539" s="53"/>
      <c r="I3539" s="53"/>
      <c r="U3539" s="31" t="n">
        <f aca="false">IF($B3539='設定（最初に1回）'!$C$4,N(U3538)+1,N(U3538))</f>
        <v>134</v>
      </c>
    </row>
    <row r="3540" customFormat="false" ht="15" hidden="false" customHeight="false" outlineLevel="0" collapsed="false">
      <c r="B3540" s="53"/>
      <c r="I3540" s="53"/>
      <c r="U3540" s="31" t="n">
        <f aca="false">IF($B3540='設定（最初に1回）'!$C$4,N(U3539)+1,N(U3539))</f>
        <v>134</v>
      </c>
    </row>
    <row r="3541" customFormat="false" ht="15" hidden="false" customHeight="false" outlineLevel="0" collapsed="false">
      <c r="B3541" s="53"/>
      <c r="I3541" s="53"/>
      <c r="U3541" s="31" t="n">
        <f aca="false">IF($B3541='設定（最初に1回）'!$C$4,N(U3540)+1,N(U3540))</f>
        <v>134</v>
      </c>
    </row>
    <row r="3542" customFormat="false" ht="15" hidden="false" customHeight="false" outlineLevel="0" collapsed="false">
      <c r="B3542" s="53"/>
      <c r="I3542" s="53"/>
      <c r="U3542" s="31" t="n">
        <f aca="false">IF($B3542='設定（最初に1回）'!$C$4,N(U3541)+1,N(U3541))</f>
        <v>134</v>
      </c>
    </row>
    <row r="3543" customFormat="false" ht="15" hidden="false" customHeight="false" outlineLevel="0" collapsed="false">
      <c r="B3543" s="53"/>
      <c r="I3543" s="53"/>
      <c r="U3543" s="31" t="n">
        <f aca="false">IF($B3543='設定（最初に1回）'!$C$4,N(U3542)+1,N(U3542))</f>
        <v>134</v>
      </c>
    </row>
    <row r="3544" customFormat="false" ht="15" hidden="false" customHeight="false" outlineLevel="0" collapsed="false">
      <c r="B3544" s="53"/>
      <c r="I3544" s="53"/>
      <c r="U3544" s="31" t="n">
        <f aca="false">IF($B3544='設定（最初に1回）'!$C$4,N(U3543)+1,N(U3543))</f>
        <v>134</v>
      </c>
    </row>
    <row r="3545" customFormat="false" ht="15" hidden="false" customHeight="false" outlineLevel="0" collapsed="false">
      <c r="B3545" s="53"/>
      <c r="I3545" s="53"/>
      <c r="U3545" s="31" t="n">
        <f aca="false">IF($B3545='設定（最初に1回）'!$C$4,N(U3544)+1,N(U3544))</f>
        <v>134</v>
      </c>
    </row>
    <row r="3546" customFormat="false" ht="15" hidden="false" customHeight="false" outlineLevel="0" collapsed="false">
      <c r="B3546" s="53"/>
      <c r="I3546" s="53"/>
      <c r="U3546" s="31" t="n">
        <f aca="false">IF($B3546='設定（最初に1回）'!$C$4,N(U3545)+1,N(U3545))</f>
        <v>134</v>
      </c>
    </row>
    <row r="3547" customFormat="false" ht="15" hidden="false" customHeight="false" outlineLevel="0" collapsed="false">
      <c r="B3547" s="53"/>
      <c r="I3547" s="53"/>
      <c r="U3547" s="31" t="n">
        <f aca="false">IF($B3547='設定（最初に1回）'!$C$4,N(U3546)+1,N(U3546))</f>
        <v>134</v>
      </c>
    </row>
    <row r="3548" customFormat="false" ht="15" hidden="false" customHeight="false" outlineLevel="0" collapsed="false">
      <c r="B3548" s="53"/>
      <c r="I3548" s="53"/>
      <c r="U3548" s="31" t="n">
        <f aca="false">IF($B3548='設定（最初に1回）'!$C$4,N(U3547)+1,N(U3547))</f>
        <v>134</v>
      </c>
    </row>
    <row r="3549" customFormat="false" ht="15" hidden="false" customHeight="false" outlineLevel="0" collapsed="false">
      <c r="B3549" s="53"/>
      <c r="I3549" s="53"/>
      <c r="U3549" s="31" t="n">
        <f aca="false">IF($B3549='設定（最初に1回）'!$C$4,N(U3548)+1,N(U3548))</f>
        <v>134</v>
      </c>
    </row>
    <row r="3550" customFormat="false" ht="15" hidden="false" customHeight="false" outlineLevel="0" collapsed="false">
      <c r="B3550" s="53"/>
      <c r="I3550" s="53"/>
      <c r="U3550" s="31" t="n">
        <f aca="false">IF($B3550='設定（最初に1回）'!$C$4,N(U3549)+1,N(U3549))</f>
        <v>134</v>
      </c>
    </row>
    <row r="3551" customFormat="false" ht="15" hidden="false" customHeight="false" outlineLevel="0" collapsed="false">
      <c r="B3551" s="53"/>
      <c r="I3551" s="53"/>
      <c r="U3551" s="31" t="n">
        <f aca="false">IF($B3551='設定（最初に1回）'!$C$4,N(U3550)+1,N(U3550))</f>
        <v>134</v>
      </c>
    </row>
    <row r="3552" customFormat="false" ht="15" hidden="false" customHeight="false" outlineLevel="0" collapsed="false">
      <c r="B3552" s="53"/>
      <c r="I3552" s="53"/>
      <c r="U3552" s="31" t="n">
        <f aca="false">IF($B3552='設定（最初に1回）'!$C$4,N(U3551)+1,N(U3551))</f>
        <v>134</v>
      </c>
    </row>
    <row r="3553" customFormat="false" ht="15" hidden="false" customHeight="false" outlineLevel="0" collapsed="false">
      <c r="B3553" s="53"/>
      <c r="I3553" s="53"/>
      <c r="U3553" s="31" t="n">
        <f aca="false">IF($B3553='設定（最初に1回）'!$C$4,N(U3552)+1,N(U3552))</f>
        <v>134</v>
      </c>
    </row>
    <row r="3554" customFormat="false" ht="15" hidden="false" customHeight="false" outlineLevel="0" collapsed="false">
      <c r="B3554" s="53"/>
      <c r="I3554" s="53"/>
      <c r="U3554" s="31" t="n">
        <f aca="false">IF($B3554='設定（最初に1回）'!$C$4,N(U3553)+1,N(U3553))</f>
        <v>134</v>
      </c>
    </row>
    <row r="3555" customFormat="false" ht="15" hidden="false" customHeight="false" outlineLevel="0" collapsed="false">
      <c r="B3555" s="53"/>
      <c r="I3555" s="53"/>
      <c r="U3555" s="31" t="n">
        <f aca="false">IF($B3555='設定（最初に1回）'!$C$4,N(U3554)+1,N(U3554))</f>
        <v>134</v>
      </c>
    </row>
    <row r="3556" customFormat="false" ht="15" hidden="false" customHeight="false" outlineLevel="0" collapsed="false">
      <c r="B3556" s="53"/>
      <c r="I3556" s="53"/>
      <c r="U3556" s="31" t="n">
        <f aca="false">IF($B3556='設定（最初に1回）'!$C$4,N(U3555)+1,N(U3555))</f>
        <v>134</v>
      </c>
    </row>
    <row r="3557" customFormat="false" ht="15" hidden="false" customHeight="false" outlineLevel="0" collapsed="false">
      <c r="B3557" s="53"/>
      <c r="I3557" s="53"/>
      <c r="U3557" s="31" t="n">
        <f aca="false">IF($B3557='設定（最初に1回）'!$C$4,N(U3556)+1,N(U3556))</f>
        <v>134</v>
      </c>
    </row>
    <row r="3558" customFormat="false" ht="15" hidden="false" customHeight="false" outlineLevel="0" collapsed="false">
      <c r="B3558" s="53"/>
      <c r="I3558" s="53"/>
      <c r="U3558" s="31" t="n">
        <f aca="false">IF($B3558='設定（最初に1回）'!$C$4,N(U3557)+1,N(U3557))</f>
        <v>134</v>
      </c>
    </row>
    <row r="3559" customFormat="false" ht="15" hidden="false" customHeight="false" outlineLevel="0" collapsed="false">
      <c r="B3559" s="53"/>
      <c r="I3559" s="53"/>
      <c r="U3559" s="31" t="n">
        <f aca="false">IF($B3559='設定（最初に1回）'!$C$4,N(U3558)+1,N(U3558))</f>
        <v>134</v>
      </c>
    </row>
    <row r="3560" customFormat="false" ht="15" hidden="false" customHeight="false" outlineLevel="0" collapsed="false">
      <c r="B3560" s="53"/>
      <c r="I3560" s="53"/>
      <c r="U3560" s="31" t="n">
        <f aca="false">IF($B3560='設定（最初に1回）'!$C$4,N(U3559)+1,N(U3559))</f>
        <v>134</v>
      </c>
    </row>
    <row r="3561" customFormat="false" ht="15" hidden="false" customHeight="false" outlineLevel="0" collapsed="false">
      <c r="B3561" s="53"/>
      <c r="I3561" s="53"/>
      <c r="U3561" s="31" t="n">
        <f aca="false">IF($B3561='設定（最初に1回）'!$C$4,N(U3560)+1,N(U3560))</f>
        <v>134</v>
      </c>
    </row>
    <row r="3562" customFormat="false" ht="15" hidden="false" customHeight="false" outlineLevel="0" collapsed="false">
      <c r="B3562" s="53"/>
      <c r="I3562" s="53"/>
      <c r="U3562" s="31" t="n">
        <f aca="false">IF($B3562='設定（最初に1回）'!$C$4,N(U3561)+1,N(U3561))</f>
        <v>134</v>
      </c>
    </row>
    <row r="3563" customFormat="false" ht="15" hidden="false" customHeight="false" outlineLevel="0" collapsed="false">
      <c r="B3563" s="53"/>
      <c r="I3563" s="53"/>
      <c r="U3563" s="31" t="n">
        <f aca="false">IF($B3563='設定（最初に1回）'!$C$4,N(U3562)+1,N(U3562))</f>
        <v>134</v>
      </c>
    </row>
    <row r="3564" customFormat="false" ht="15" hidden="false" customHeight="false" outlineLevel="0" collapsed="false">
      <c r="B3564" s="53"/>
      <c r="I3564" s="53"/>
      <c r="U3564" s="31" t="n">
        <f aca="false">IF($B3564='設定（最初に1回）'!$C$4,N(U3563)+1,N(U3563))</f>
        <v>134</v>
      </c>
    </row>
    <row r="3565" customFormat="false" ht="15" hidden="false" customHeight="false" outlineLevel="0" collapsed="false">
      <c r="B3565" s="53"/>
      <c r="I3565" s="53"/>
      <c r="U3565" s="31" t="n">
        <f aca="false">IF($B3565='設定（最初に1回）'!$C$4,N(U3564)+1,N(U3564))</f>
        <v>134</v>
      </c>
    </row>
    <row r="3566" customFormat="false" ht="15" hidden="false" customHeight="false" outlineLevel="0" collapsed="false">
      <c r="B3566" s="53"/>
      <c r="I3566" s="53"/>
      <c r="U3566" s="31" t="n">
        <f aca="false">IF($B3566='設定（最初に1回）'!$C$4,N(U3565)+1,N(U3565))</f>
        <v>134</v>
      </c>
    </row>
    <row r="3567" customFormat="false" ht="15" hidden="false" customHeight="false" outlineLevel="0" collapsed="false">
      <c r="B3567" s="53"/>
      <c r="I3567" s="53"/>
      <c r="U3567" s="31" t="n">
        <f aca="false">IF($B3567='設定（最初に1回）'!$C$4,N(U3566)+1,N(U3566))</f>
        <v>134</v>
      </c>
    </row>
    <row r="3568" customFormat="false" ht="15" hidden="false" customHeight="false" outlineLevel="0" collapsed="false">
      <c r="B3568" s="53"/>
      <c r="I3568" s="53"/>
      <c r="U3568" s="31" t="n">
        <f aca="false">IF($B3568='設定（最初に1回）'!$C$4,N(U3567)+1,N(U3567))</f>
        <v>134</v>
      </c>
    </row>
    <row r="3569" customFormat="false" ht="15" hidden="false" customHeight="false" outlineLevel="0" collapsed="false">
      <c r="B3569" s="53"/>
      <c r="I3569" s="53"/>
      <c r="U3569" s="31" t="n">
        <f aca="false">IF($B3569='設定（最初に1回）'!$C$4,N(U3568)+1,N(U3568))</f>
        <v>134</v>
      </c>
    </row>
    <row r="3570" customFormat="false" ht="15" hidden="false" customHeight="false" outlineLevel="0" collapsed="false">
      <c r="B3570" s="53"/>
      <c r="I3570" s="53"/>
      <c r="U3570" s="31" t="n">
        <f aca="false">IF($B3570='設定（最初に1回）'!$C$4,N(U3569)+1,N(U3569))</f>
        <v>134</v>
      </c>
    </row>
    <row r="3571" customFormat="false" ht="15" hidden="false" customHeight="false" outlineLevel="0" collapsed="false">
      <c r="B3571" s="53"/>
      <c r="I3571" s="53"/>
      <c r="U3571" s="31" t="n">
        <f aca="false">IF($B3571='設定（最初に1回）'!$C$4,N(U3570)+1,N(U3570))</f>
        <v>134</v>
      </c>
    </row>
    <row r="3572" customFormat="false" ht="15" hidden="false" customHeight="false" outlineLevel="0" collapsed="false">
      <c r="B3572" s="53"/>
      <c r="I3572" s="53"/>
      <c r="U3572" s="31" t="n">
        <f aca="false">IF($B3572='設定（最初に1回）'!$C$4,N(U3571)+1,N(U3571))</f>
        <v>134</v>
      </c>
    </row>
    <row r="3573" customFormat="false" ht="15" hidden="false" customHeight="false" outlineLevel="0" collapsed="false">
      <c r="B3573" s="53"/>
      <c r="I3573" s="53"/>
      <c r="U3573" s="31" t="n">
        <f aca="false">IF($B3573='設定（最初に1回）'!$C$4,N(U3572)+1,N(U3572))</f>
        <v>134</v>
      </c>
    </row>
    <row r="3574" customFormat="false" ht="15" hidden="false" customHeight="false" outlineLevel="0" collapsed="false">
      <c r="B3574" s="53"/>
      <c r="I3574" s="53"/>
      <c r="U3574" s="31" t="n">
        <f aca="false">IF($B3574='設定（最初に1回）'!$C$4,N(U3573)+1,N(U3573))</f>
        <v>134</v>
      </c>
    </row>
    <row r="3575" customFormat="false" ht="15" hidden="false" customHeight="false" outlineLevel="0" collapsed="false">
      <c r="B3575" s="53"/>
      <c r="I3575" s="53"/>
      <c r="U3575" s="31" t="n">
        <f aca="false">IF($B3575='設定（最初に1回）'!$C$4,N(U3574)+1,N(U3574))</f>
        <v>134</v>
      </c>
    </row>
    <row r="3576" customFormat="false" ht="15" hidden="false" customHeight="false" outlineLevel="0" collapsed="false">
      <c r="B3576" s="53"/>
      <c r="I3576" s="53"/>
      <c r="U3576" s="31" t="n">
        <f aca="false">IF($B3576='設定（最初に1回）'!$C$4,N(U3575)+1,N(U3575))</f>
        <v>134</v>
      </c>
    </row>
    <row r="3577" customFormat="false" ht="15" hidden="false" customHeight="false" outlineLevel="0" collapsed="false">
      <c r="B3577" s="53"/>
      <c r="I3577" s="53"/>
      <c r="U3577" s="31" t="n">
        <f aca="false">IF($B3577='設定（最初に1回）'!$C$4,N(U3576)+1,N(U3576))</f>
        <v>134</v>
      </c>
    </row>
    <row r="3578" customFormat="false" ht="15" hidden="false" customHeight="false" outlineLevel="0" collapsed="false">
      <c r="B3578" s="53"/>
      <c r="I3578" s="53"/>
      <c r="U3578" s="31" t="n">
        <f aca="false">IF($B3578='設定（最初に1回）'!$C$4,N(U3577)+1,N(U3577))</f>
        <v>134</v>
      </c>
    </row>
    <row r="3579" customFormat="false" ht="15" hidden="false" customHeight="false" outlineLevel="0" collapsed="false">
      <c r="B3579" s="53"/>
      <c r="I3579" s="53"/>
      <c r="U3579" s="31" t="n">
        <f aca="false">IF($B3579='設定（最初に1回）'!$C$4,N(U3578)+1,N(U3578))</f>
        <v>134</v>
      </c>
    </row>
    <row r="3580" customFormat="false" ht="15" hidden="false" customHeight="false" outlineLevel="0" collapsed="false">
      <c r="B3580" s="53"/>
      <c r="I3580" s="53"/>
      <c r="U3580" s="31" t="n">
        <f aca="false">IF($B3580='設定（最初に1回）'!$C$4,N(U3579)+1,N(U3579))</f>
        <v>134</v>
      </c>
    </row>
    <row r="3581" customFormat="false" ht="15" hidden="false" customHeight="false" outlineLevel="0" collapsed="false">
      <c r="B3581" s="53"/>
      <c r="I3581" s="53"/>
      <c r="U3581" s="31" t="n">
        <f aca="false">IF($B3581='設定（最初に1回）'!$C$4,N(U3580)+1,N(U3580))</f>
        <v>134</v>
      </c>
    </row>
    <row r="3582" customFormat="false" ht="15" hidden="false" customHeight="false" outlineLevel="0" collapsed="false">
      <c r="B3582" s="53"/>
      <c r="I3582" s="53"/>
      <c r="U3582" s="31" t="n">
        <f aca="false">IF($B3582='設定（最初に1回）'!$C$4,N(U3581)+1,N(U3581))</f>
        <v>134</v>
      </c>
    </row>
    <row r="3583" customFormat="false" ht="15" hidden="false" customHeight="false" outlineLevel="0" collapsed="false">
      <c r="B3583" s="53"/>
      <c r="I3583" s="53"/>
      <c r="U3583" s="31" t="n">
        <f aca="false">IF($B3583='設定（最初に1回）'!$C$4,N(U3582)+1,N(U3582))</f>
        <v>134</v>
      </c>
    </row>
    <row r="3584" customFormat="false" ht="15" hidden="false" customHeight="false" outlineLevel="0" collapsed="false">
      <c r="B3584" s="53"/>
      <c r="I3584" s="53"/>
      <c r="U3584" s="31" t="n">
        <f aca="false">IF($B3584='設定（最初に1回）'!$C$4,N(U3583)+1,N(U3583))</f>
        <v>134</v>
      </c>
    </row>
    <row r="3585" customFormat="false" ht="15" hidden="false" customHeight="false" outlineLevel="0" collapsed="false">
      <c r="B3585" s="53"/>
      <c r="I3585" s="53"/>
      <c r="U3585" s="31" t="n">
        <f aca="false">IF($B3585='設定（最初に1回）'!$C$4,N(U3584)+1,N(U3584))</f>
        <v>134</v>
      </c>
    </row>
    <row r="3586" customFormat="false" ht="15" hidden="false" customHeight="false" outlineLevel="0" collapsed="false">
      <c r="B3586" s="53"/>
      <c r="I3586" s="53"/>
      <c r="U3586" s="31" t="n">
        <f aca="false">IF($B3586='設定（最初に1回）'!$C$4,N(U3585)+1,N(U3585))</f>
        <v>134</v>
      </c>
    </row>
    <row r="3587" customFormat="false" ht="15" hidden="false" customHeight="false" outlineLevel="0" collapsed="false">
      <c r="B3587" s="53"/>
      <c r="I3587" s="53"/>
      <c r="U3587" s="31" t="n">
        <f aca="false">IF($B3587='設定（最初に1回）'!$C$4,N(U3586)+1,N(U3586))</f>
        <v>134</v>
      </c>
    </row>
    <row r="3588" customFormat="false" ht="15" hidden="false" customHeight="false" outlineLevel="0" collapsed="false">
      <c r="B3588" s="53"/>
      <c r="I3588" s="53"/>
      <c r="U3588" s="31" t="n">
        <f aca="false">IF($B3588='設定（最初に1回）'!$C$4,N(U3587)+1,N(U3587))</f>
        <v>134</v>
      </c>
    </row>
    <row r="3589" customFormat="false" ht="15" hidden="false" customHeight="false" outlineLevel="0" collapsed="false">
      <c r="B3589" s="53"/>
      <c r="I3589" s="53"/>
      <c r="U3589" s="31" t="n">
        <f aca="false">IF($B3589='設定（最初に1回）'!$C$4,N(U3588)+1,N(U3588))</f>
        <v>134</v>
      </c>
    </row>
    <row r="3590" customFormat="false" ht="15" hidden="false" customHeight="false" outlineLevel="0" collapsed="false">
      <c r="B3590" s="53"/>
      <c r="I3590" s="53"/>
      <c r="U3590" s="31" t="n">
        <f aca="false">IF($B3590='設定（最初に1回）'!$C$4,N(U3589)+1,N(U3589))</f>
        <v>134</v>
      </c>
    </row>
    <row r="3591" customFormat="false" ht="15" hidden="false" customHeight="false" outlineLevel="0" collapsed="false">
      <c r="B3591" s="53"/>
      <c r="I3591" s="53"/>
      <c r="U3591" s="31" t="n">
        <f aca="false">IF($B3591='設定（最初に1回）'!$C$4,N(U3590)+1,N(U3590))</f>
        <v>134</v>
      </c>
    </row>
    <row r="3592" customFormat="false" ht="15" hidden="false" customHeight="false" outlineLevel="0" collapsed="false">
      <c r="B3592" s="53"/>
      <c r="I3592" s="53"/>
      <c r="U3592" s="31" t="n">
        <f aca="false">IF($B3592='設定（最初に1回）'!$C$4,N(U3591)+1,N(U3591))</f>
        <v>134</v>
      </c>
    </row>
    <row r="3593" customFormat="false" ht="15" hidden="false" customHeight="false" outlineLevel="0" collapsed="false">
      <c r="B3593" s="53"/>
      <c r="I3593" s="53"/>
      <c r="U3593" s="31" t="n">
        <f aca="false">IF($B3593='設定（最初に1回）'!$C$4,N(U3592)+1,N(U3592))</f>
        <v>134</v>
      </c>
    </row>
    <row r="3594" customFormat="false" ht="15" hidden="false" customHeight="false" outlineLevel="0" collapsed="false">
      <c r="B3594" s="53"/>
      <c r="I3594" s="53"/>
      <c r="U3594" s="31" t="n">
        <f aca="false">IF($B3594='設定（最初に1回）'!$C$4,N(U3593)+1,N(U3593))</f>
        <v>134</v>
      </c>
    </row>
    <row r="3595" customFormat="false" ht="15" hidden="false" customHeight="false" outlineLevel="0" collapsed="false">
      <c r="B3595" s="53"/>
      <c r="I3595" s="53"/>
      <c r="U3595" s="31" t="n">
        <f aca="false">IF($B3595='設定（最初に1回）'!$C$4,N(U3594)+1,N(U3594))</f>
        <v>134</v>
      </c>
    </row>
    <row r="3596" customFormat="false" ht="15" hidden="false" customHeight="false" outlineLevel="0" collapsed="false">
      <c r="B3596" s="53"/>
      <c r="I3596" s="53"/>
      <c r="U3596" s="31" t="n">
        <f aca="false">IF($B3596='設定（最初に1回）'!$C$4,N(U3595)+1,N(U3595))</f>
        <v>134</v>
      </c>
    </row>
    <row r="3597" customFormat="false" ht="15" hidden="false" customHeight="false" outlineLevel="0" collapsed="false">
      <c r="B3597" s="53"/>
      <c r="I3597" s="53"/>
      <c r="U3597" s="31" t="n">
        <f aca="false">IF($B3597='設定（最初に1回）'!$C$4,N(U3596)+1,N(U3596))</f>
        <v>134</v>
      </c>
    </row>
    <row r="3598" customFormat="false" ht="15" hidden="false" customHeight="false" outlineLevel="0" collapsed="false">
      <c r="B3598" s="53"/>
      <c r="I3598" s="53"/>
      <c r="U3598" s="31" t="n">
        <f aca="false">IF($B3598='設定（最初に1回）'!$C$4,N(U3597)+1,N(U3597))</f>
        <v>134</v>
      </c>
    </row>
    <row r="3599" customFormat="false" ht="15" hidden="false" customHeight="false" outlineLevel="0" collapsed="false">
      <c r="B3599" s="53"/>
      <c r="I3599" s="53"/>
      <c r="U3599" s="31" t="n">
        <f aca="false">IF($B3599='設定（最初に1回）'!$C$4,N(U3598)+1,N(U3598))</f>
        <v>134</v>
      </c>
    </row>
    <row r="3600" customFormat="false" ht="15" hidden="false" customHeight="false" outlineLevel="0" collapsed="false">
      <c r="B3600" s="53"/>
      <c r="I3600" s="53"/>
      <c r="U3600" s="31" t="n">
        <f aca="false">IF($B3600='設定（最初に1回）'!$C$4,N(U3599)+1,N(U3599))</f>
        <v>134</v>
      </c>
    </row>
    <row r="3601" customFormat="false" ht="15" hidden="false" customHeight="false" outlineLevel="0" collapsed="false">
      <c r="B3601" s="53"/>
      <c r="I3601" s="53"/>
      <c r="U3601" s="31" t="n">
        <f aca="false">IF($B3601='設定（最初に1回）'!$C$4,N(U3600)+1,N(U3600))</f>
        <v>134</v>
      </c>
    </row>
    <row r="3602" customFormat="false" ht="15" hidden="false" customHeight="false" outlineLevel="0" collapsed="false">
      <c r="B3602" s="53"/>
      <c r="I3602" s="53"/>
      <c r="U3602" s="31" t="n">
        <f aca="false">IF($B3602='設定（最初に1回）'!$C$4,N(U3601)+1,N(U3601))</f>
        <v>134</v>
      </c>
    </row>
    <row r="3603" customFormat="false" ht="15" hidden="false" customHeight="false" outlineLevel="0" collapsed="false">
      <c r="B3603" s="53"/>
      <c r="I3603" s="53"/>
      <c r="U3603" s="31" t="n">
        <f aca="false">IF($B3603='設定（最初に1回）'!$C$4,N(U3602)+1,N(U3602))</f>
        <v>134</v>
      </c>
    </row>
    <row r="3604" customFormat="false" ht="15" hidden="false" customHeight="false" outlineLevel="0" collapsed="false">
      <c r="B3604" s="53"/>
      <c r="I3604" s="53"/>
      <c r="U3604" s="31" t="n">
        <f aca="false">IF($B3604='設定（最初に1回）'!$C$4,N(U3603)+1,N(U3603))</f>
        <v>134</v>
      </c>
    </row>
    <row r="3605" customFormat="false" ht="15" hidden="false" customHeight="false" outlineLevel="0" collapsed="false">
      <c r="B3605" s="53"/>
      <c r="I3605" s="53"/>
      <c r="U3605" s="31" t="n">
        <f aca="false">IF($B3605='設定（最初に1回）'!$C$4,N(U3604)+1,N(U3604))</f>
        <v>134</v>
      </c>
    </row>
    <row r="3606" customFormat="false" ht="15" hidden="false" customHeight="false" outlineLevel="0" collapsed="false">
      <c r="B3606" s="53"/>
      <c r="I3606" s="53"/>
      <c r="U3606" s="31" t="n">
        <f aca="false">IF($B3606='設定（最初に1回）'!$C$4,N(U3605)+1,N(U3605))</f>
        <v>134</v>
      </c>
    </row>
    <row r="3607" customFormat="false" ht="15" hidden="false" customHeight="false" outlineLevel="0" collapsed="false">
      <c r="B3607" s="53"/>
      <c r="I3607" s="53"/>
      <c r="U3607" s="31" t="n">
        <f aca="false">IF($B3607='設定（最初に1回）'!$C$4,N(U3606)+1,N(U3606))</f>
        <v>134</v>
      </c>
    </row>
    <row r="3608" customFormat="false" ht="15" hidden="false" customHeight="false" outlineLevel="0" collapsed="false">
      <c r="B3608" s="53"/>
      <c r="I3608" s="53"/>
      <c r="U3608" s="31" t="n">
        <f aca="false">IF($B3608='設定（最初に1回）'!$C$4,N(U3607)+1,N(U3607))</f>
        <v>134</v>
      </c>
    </row>
    <row r="3609" customFormat="false" ht="15" hidden="false" customHeight="false" outlineLevel="0" collapsed="false">
      <c r="B3609" s="53"/>
      <c r="I3609" s="53"/>
      <c r="U3609" s="31" t="n">
        <f aca="false">IF($B3609='設定（最初に1回）'!$C$4,N(U3608)+1,N(U3608))</f>
        <v>134</v>
      </c>
    </row>
    <row r="3610" customFormat="false" ht="15" hidden="false" customHeight="false" outlineLevel="0" collapsed="false">
      <c r="B3610" s="53"/>
      <c r="I3610" s="53"/>
      <c r="U3610" s="31" t="n">
        <f aca="false">IF($B3610='設定（最初に1回）'!$C$4,N(U3609)+1,N(U3609))</f>
        <v>134</v>
      </c>
    </row>
    <row r="3611" customFormat="false" ht="15" hidden="false" customHeight="false" outlineLevel="0" collapsed="false">
      <c r="B3611" s="53"/>
      <c r="I3611" s="53"/>
      <c r="U3611" s="31" t="n">
        <f aca="false">IF($B3611='設定（最初に1回）'!$C$4,N(U3610)+1,N(U3610))</f>
        <v>134</v>
      </c>
    </row>
    <row r="3612" customFormat="false" ht="15" hidden="false" customHeight="false" outlineLevel="0" collapsed="false">
      <c r="B3612" s="53"/>
      <c r="I3612" s="53"/>
      <c r="U3612" s="31" t="n">
        <f aca="false">IF($B3612='設定（最初に1回）'!$C$4,N(U3611)+1,N(U3611))</f>
        <v>134</v>
      </c>
    </row>
    <row r="3613" customFormat="false" ht="15" hidden="false" customHeight="false" outlineLevel="0" collapsed="false">
      <c r="B3613" s="53"/>
      <c r="I3613" s="53"/>
      <c r="U3613" s="31" t="n">
        <f aca="false">IF($B3613='設定（最初に1回）'!$C$4,N(U3612)+1,N(U3612))</f>
        <v>134</v>
      </c>
    </row>
    <row r="3614" customFormat="false" ht="15" hidden="false" customHeight="false" outlineLevel="0" collapsed="false">
      <c r="B3614" s="53"/>
      <c r="I3614" s="53"/>
      <c r="U3614" s="31" t="n">
        <f aca="false">IF($B3614='設定（最初に1回）'!$C$4,N(U3613)+1,N(U3613))</f>
        <v>134</v>
      </c>
    </row>
    <row r="3615" customFormat="false" ht="15" hidden="false" customHeight="false" outlineLevel="0" collapsed="false">
      <c r="B3615" s="53"/>
      <c r="I3615" s="53"/>
      <c r="U3615" s="31" t="n">
        <f aca="false">IF($B3615='設定（最初に1回）'!$C$4,N(U3614)+1,N(U3614))</f>
        <v>134</v>
      </c>
    </row>
    <row r="3616" customFormat="false" ht="15" hidden="false" customHeight="false" outlineLevel="0" collapsed="false">
      <c r="B3616" s="53"/>
      <c r="I3616" s="53"/>
      <c r="U3616" s="31" t="n">
        <f aca="false">IF($B3616='設定（最初に1回）'!$C$4,N(U3615)+1,N(U3615))</f>
        <v>134</v>
      </c>
    </row>
    <row r="3617" customFormat="false" ht="15" hidden="false" customHeight="false" outlineLevel="0" collapsed="false">
      <c r="B3617" s="53"/>
      <c r="I3617" s="53"/>
      <c r="U3617" s="31" t="n">
        <f aca="false">IF($B3617='設定（最初に1回）'!$C$4,N(U3616)+1,N(U3616))</f>
        <v>134</v>
      </c>
    </row>
    <row r="3618" customFormat="false" ht="15" hidden="false" customHeight="false" outlineLevel="0" collapsed="false">
      <c r="B3618" s="53"/>
      <c r="I3618" s="53"/>
      <c r="U3618" s="31" t="n">
        <f aca="false">IF($B3618='設定（最初に1回）'!$C$4,N(U3617)+1,N(U3617))</f>
        <v>134</v>
      </c>
    </row>
    <row r="3619" customFormat="false" ht="15" hidden="false" customHeight="false" outlineLevel="0" collapsed="false">
      <c r="B3619" s="53"/>
      <c r="I3619" s="53"/>
      <c r="U3619" s="31" t="n">
        <f aca="false">IF($B3619='設定（最初に1回）'!$C$4,N(U3618)+1,N(U3618))</f>
        <v>134</v>
      </c>
    </row>
    <row r="3620" customFormat="false" ht="15" hidden="false" customHeight="false" outlineLevel="0" collapsed="false">
      <c r="B3620" s="53"/>
      <c r="I3620" s="53"/>
      <c r="U3620" s="31" t="n">
        <f aca="false">IF($B3620='設定（最初に1回）'!$C$4,N(U3619)+1,N(U3619))</f>
        <v>134</v>
      </c>
    </row>
    <row r="3621" customFormat="false" ht="15" hidden="false" customHeight="false" outlineLevel="0" collapsed="false">
      <c r="B3621" s="53"/>
      <c r="I3621" s="53"/>
      <c r="U3621" s="31" t="n">
        <f aca="false">IF($B3621='設定（最初に1回）'!$C$4,N(U3620)+1,N(U3620))</f>
        <v>134</v>
      </c>
    </row>
    <row r="3622" customFormat="false" ht="15" hidden="false" customHeight="false" outlineLevel="0" collapsed="false">
      <c r="B3622" s="53"/>
      <c r="I3622" s="53"/>
      <c r="U3622" s="31" t="n">
        <f aca="false">IF($B3622='設定（最初に1回）'!$C$4,N(U3621)+1,N(U3621))</f>
        <v>134</v>
      </c>
    </row>
    <row r="3623" customFormat="false" ht="15" hidden="false" customHeight="false" outlineLevel="0" collapsed="false">
      <c r="B3623" s="53"/>
      <c r="I3623" s="53"/>
      <c r="U3623" s="31" t="n">
        <f aca="false">IF($B3623='設定（最初に1回）'!$C$4,N(U3622)+1,N(U3622))</f>
        <v>134</v>
      </c>
    </row>
    <row r="3624" customFormat="false" ht="15" hidden="false" customHeight="false" outlineLevel="0" collapsed="false">
      <c r="B3624" s="53"/>
      <c r="I3624" s="53"/>
      <c r="U3624" s="31" t="n">
        <f aca="false">IF($B3624='設定（最初に1回）'!$C$4,N(U3623)+1,N(U3623))</f>
        <v>134</v>
      </c>
    </row>
    <row r="3625" customFormat="false" ht="15" hidden="false" customHeight="false" outlineLevel="0" collapsed="false">
      <c r="B3625" s="53"/>
      <c r="I3625" s="53"/>
      <c r="U3625" s="31" t="n">
        <f aca="false">IF($B3625='設定（最初に1回）'!$C$4,N(U3624)+1,N(U3624))</f>
        <v>134</v>
      </c>
    </row>
    <row r="3626" customFormat="false" ht="15" hidden="false" customHeight="false" outlineLevel="0" collapsed="false">
      <c r="B3626" s="53"/>
      <c r="I3626" s="53"/>
      <c r="U3626" s="31" t="n">
        <f aca="false">IF($B3626='設定（最初に1回）'!$C$4,N(U3625)+1,N(U3625))</f>
        <v>134</v>
      </c>
    </row>
    <row r="3627" customFormat="false" ht="15" hidden="false" customHeight="false" outlineLevel="0" collapsed="false">
      <c r="B3627" s="53"/>
      <c r="I3627" s="53"/>
      <c r="U3627" s="31" t="n">
        <f aca="false">IF($B3627='設定（最初に1回）'!$C$4,N(U3626)+1,N(U3626))</f>
        <v>134</v>
      </c>
    </row>
    <row r="3628" customFormat="false" ht="15" hidden="false" customHeight="false" outlineLevel="0" collapsed="false">
      <c r="B3628" s="53"/>
      <c r="I3628" s="53"/>
      <c r="U3628" s="31" t="n">
        <f aca="false">IF($B3628='設定（最初に1回）'!$C$4,N(U3627)+1,N(U3627))</f>
        <v>134</v>
      </c>
    </row>
    <row r="3629" customFormat="false" ht="15" hidden="false" customHeight="false" outlineLevel="0" collapsed="false">
      <c r="B3629" s="53"/>
      <c r="I3629" s="53"/>
      <c r="U3629" s="31" t="n">
        <f aca="false">IF($B3629='設定（最初に1回）'!$C$4,N(U3628)+1,N(U3628))</f>
        <v>134</v>
      </c>
    </row>
    <row r="3630" customFormat="false" ht="15" hidden="false" customHeight="false" outlineLevel="0" collapsed="false">
      <c r="B3630" s="53"/>
      <c r="I3630" s="53"/>
      <c r="U3630" s="31" t="n">
        <f aca="false">IF($B3630='設定（最初に1回）'!$C$4,N(U3629)+1,N(U3629))</f>
        <v>134</v>
      </c>
    </row>
    <row r="3631" customFormat="false" ht="15" hidden="false" customHeight="false" outlineLevel="0" collapsed="false">
      <c r="B3631" s="53"/>
      <c r="I3631" s="53"/>
      <c r="U3631" s="31" t="n">
        <f aca="false">IF($B3631='設定（最初に1回）'!$C$4,N(U3630)+1,N(U3630))</f>
        <v>134</v>
      </c>
    </row>
    <row r="3632" customFormat="false" ht="15" hidden="false" customHeight="false" outlineLevel="0" collapsed="false">
      <c r="B3632" s="53"/>
      <c r="I3632" s="53"/>
      <c r="U3632" s="31" t="n">
        <f aca="false">IF($B3632='設定（最初に1回）'!$C$4,N(U3631)+1,N(U3631))</f>
        <v>134</v>
      </c>
    </row>
    <row r="3633" customFormat="false" ht="15" hidden="false" customHeight="false" outlineLevel="0" collapsed="false">
      <c r="B3633" s="53"/>
      <c r="I3633" s="53"/>
      <c r="U3633" s="31" t="n">
        <f aca="false">IF($B3633='設定（最初に1回）'!$C$4,N(U3632)+1,N(U3632))</f>
        <v>134</v>
      </c>
    </row>
    <row r="3634" customFormat="false" ht="15" hidden="false" customHeight="false" outlineLevel="0" collapsed="false">
      <c r="B3634" s="53"/>
      <c r="I3634" s="53"/>
      <c r="U3634" s="31" t="n">
        <f aca="false">IF($B3634='設定（最初に1回）'!$C$4,N(U3633)+1,N(U3633))</f>
        <v>134</v>
      </c>
    </row>
    <row r="3635" customFormat="false" ht="15" hidden="false" customHeight="false" outlineLevel="0" collapsed="false">
      <c r="B3635" s="53"/>
      <c r="I3635" s="53"/>
      <c r="U3635" s="31" t="n">
        <f aca="false">IF($B3635='設定（最初に1回）'!$C$4,N(U3634)+1,N(U3634))</f>
        <v>134</v>
      </c>
    </row>
    <row r="3636" customFormat="false" ht="15" hidden="false" customHeight="false" outlineLevel="0" collapsed="false">
      <c r="B3636" s="53"/>
      <c r="I3636" s="53"/>
      <c r="U3636" s="31" t="n">
        <f aca="false">IF($B3636='設定（最初に1回）'!$C$4,N(U3635)+1,N(U3635))</f>
        <v>134</v>
      </c>
    </row>
    <row r="3637" customFormat="false" ht="15" hidden="false" customHeight="false" outlineLevel="0" collapsed="false">
      <c r="B3637" s="53"/>
      <c r="I3637" s="53"/>
      <c r="U3637" s="31" t="n">
        <f aca="false">IF($B3637='設定（最初に1回）'!$C$4,N(U3636)+1,N(U3636))</f>
        <v>134</v>
      </c>
    </row>
    <row r="3638" customFormat="false" ht="15" hidden="false" customHeight="false" outlineLevel="0" collapsed="false">
      <c r="B3638" s="53"/>
      <c r="I3638" s="53"/>
      <c r="U3638" s="31" t="n">
        <f aca="false">IF($B3638='設定（最初に1回）'!$C$4,N(U3637)+1,N(U3637))</f>
        <v>134</v>
      </c>
    </row>
    <row r="3639" customFormat="false" ht="15" hidden="false" customHeight="false" outlineLevel="0" collapsed="false">
      <c r="B3639" s="53"/>
      <c r="I3639" s="53"/>
      <c r="U3639" s="31" t="n">
        <f aca="false">IF($B3639='設定（最初に1回）'!$C$4,N(U3638)+1,N(U3638))</f>
        <v>134</v>
      </c>
    </row>
    <row r="3640" customFormat="false" ht="15" hidden="false" customHeight="false" outlineLevel="0" collapsed="false">
      <c r="B3640" s="53"/>
      <c r="I3640" s="53"/>
      <c r="U3640" s="31" t="n">
        <f aca="false">IF($B3640='設定（最初に1回）'!$C$4,N(U3639)+1,N(U3639))</f>
        <v>134</v>
      </c>
    </row>
    <row r="3641" customFormat="false" ht="15" hidden="false" customHeight="false" outlineLevel="0" collapsed="false">
      <c r="B3641" s="53"/>
      <c r="I3641" s="53"/>
      <c r="U3641" s="31" t="n">
        <f aca="false">IF($B3641='設定（最初に1回）'!$C$4,N(U3640)+1,N(U3640))</f>
        <v>134</v>
      </c>
    </row>
    <row r="3642" customFormat="false" ht="15" hidden="false" customHeight="false" outlineLevel="0" collapsed="false">
      <c r="B3642" s="53"/>
      <c r="I3642" s="53"/>
      <c r="U3642" s="31" t="n">
        <f aca="false">IF($B3642='設定（最初に1回）'!$C$4,N(U3641)+1,N(U3641))</f>
        <v>134</v>
      </c>
    </row>
    <row r="3643" customFormat="false" ht="15" hidden="false" customHeight="false" outlineLevel="0" collapsed="false">
      <c r="B3643" s="53"/>
      <c r="I3643" s="53"/>
      <c r="U3643" s="31" t="n">
        <f aca="false">IF($B3643='設定（最初に1回）'!$C$4,N(U3642)+1,N(U3642))</f>
        <v>134</v>
      </c>
    </row>
    <row r="3644" customFormat="false" ht="15" hidden="false" customHeight="false" outlineLevel="0" collapsed="false">
      <c r="B3644" s="53"/>
      <c r="I3644" s="53"/>
      <c r="U3644" s="31" t="n">
        <f aca="false">IF($B3644='設定（最初に1回）'!$C$4,N(U3643)+1,N(U3643))</f>
        <v>134</v>
      </c>
    </row>
    <row r="3645" customFormat="false" ht="15" hidden="false" customHeight="false" outlineLevel="0" collapsed="false">
      <c r="B3645" s="53"/>
      <c r="I3645" s="53"/>
      <c r="U3645" s="31" t="n">
        <f aca="false">IF($B3645='設定（最初に1回）'!$C$4,N(U3644)+1,N(U3644))</f>
        <v>134</v>
      </c>
    </row>
    <row r="3646" customFormat="false" ht="15" hidden="false" customHeight="false" outlineLevel="0" collapsed="false">
      <c r="B3646" s="53"/>
      <c r="I3646" s="53"/>
      <c r="U3646" s="31" t="n">
        <f aca="false">IF($B3646='設定（最初に1回）'!$C$4,N(U3645)+1,N(U3645))</f>
        <v>134</v>
      </c>
    </row>
    <row r="3647" customFormat="false" ht="15" hidden="false" customHeight="false" outlineLevel="0" collapsed="false">
      <c r="B3647" s="53"/>
      <c r="I3647" s="53"/>
      <c r="U3647" s="31" t="n">
        <f aca="false">IF($B3647='設定（最初に1回）'!$C$4,N(U3646)+1,N(U3646))</f>
        <v>134</v>
      </c>
    </row>
    <row r="3648" customFormat="false" ht="15" hidden="false" customHeight="false" outlineLevel="0" collapsed="false">
      <c r="B3648" s="53"/>
      <c r="I3648" s="53"/>
      <c r="U3648" s="31" t="n">
        <f aca="false">IF($B3648='設定（最初に1回）'!$C$4,N(U3647)+1,N(U3647))</f>
        <v>134</v>
      </c>
    </row>
    <row r="3649" customFormat="false" ht="15" hidden="false" customHeight="false" outlineLevel="0" collapsed="false">
      <c r="B3649" s="53"/>
      <c r="I3649" s="53"/>
      <c r="U3649" s="31" t="n">
        <f aca="false">IF($B3649='設定（最初に1回）'!$C$4,N(U3648)+1,N(U3648))</f>
        <v>134</v>
      </c>
    </row>
    <row r="3650" customFormat="false" ht="15" hidden="false" customHeight="false" outlineLevel="0" collapsed="false">
      <c r="B3650" s="53"/>
      <c r="I3650" s="53"/>
      <c r="U3650" s="31" t="n">
        <f aca="false">IF($B3650='設定（最初に1回）'!$C$4,N(U3649)+1,N(U3649))</f>
        <v>134</v>
      </c>
    </row>
    <row r="3651" customFormat="false" ht="15" hidden="false" customHeight="false" outlineLevel="0" collapsed="false">
      <c r="B3651" s="53"/>
      <c r="I3651" s="53"/>
      <c r="U3651" s="31" t="n">
        <f aca="false">IF($B3651='設定（最初に1回）'!$C$4,N(U3650)+1,N(U3650))</f>
        <v>134</v>
      </c>
    </row>
    <row r="3652" customFormat="false" ht="15" hidden="false" customHeight="false" outlineLevel="0" collapsed="false">
      <c r="B3652" s="53"/>
      <c r="I3652" s="53"/>
      <c r="U3652" s="31" t="n">
        <f aca="false">IF($B3652='設定（最初に1回）'!$C$4,N(U3651)+1,N(U3651))</f>
        <v>134</v>
      </c>
    </row>
    <row r="3653" customFormat="false" ht="15" hidden="false" customHeight="false" outlineLevel="0" collapsed="false">
      <c r="B3653" s="53"/>
      <c r="I3653" s="53"/>
      <c r="U3653" s="31" t="n">
        <f aca="false">IF($B3653='設定（最初に1回）'!$C$4,N(U3652)+1,N(U3652))</f>
        <v>134</v>
      </c>
    </row>
    <row r="3654" customFormat="false" ht="15" hidden="false" customHeight="false" outlineLevel="0" collapsed="false">
      <c r="B3654" s="53"/>
      <c r="I3654" s="53"/>
      <c r="U3654" s="31" t="n">
        <f aca="false">IF($B3654='設定（最初に1回）'!$C$4,N(U3653)+1,N(U3653))</f>
        <v>134</v>
      </c>
    </row>
    <row r="3655" customFormat="false" ht="15" hidden="false" customHeight="false" outlineLevel="0" collapsed="false">
      <c r="B3655" s="53"/>
      <c r="I3655" s="53"/>
      <c r="U3655" s="31" t="n">
        <f aca="false">IF($B3655='設定（最初に1回）'!$C$4,N(U3654)+1,N(U3654))</f>
        <v>134</v>
      </c>
    </row>
    <row r="3656" customFormat="false" ht="15" hidden="false" customHeight="false" outlineLevel="0" collapsed="false">
      <c r="B3656" s="53"/>
      <c r="I3656" s="53"/>
      <c r="U3656" s="31" t="n">
        <f aca="false">IF($B3656='設定（最初に1回）'!$C$4,N(U3655)+1,N(U3655))</f>
        <v>134</v>
      </c>
    </row>
    <row r="3657" customFormat="false" ht="15" hidden="false" customHeight="false" outlineLevel="0" collapsed="false">
      <c r="B3657" s="53"/>
      <c r="I3657" s="53"/>
      <c r="U3657" s="31" t="n">
        <f aca="false">IF($B3657='設定（最初に1回）'!$C$4,N(U3656)+1,N(U3656))</f>
        <v>134</v>
      </c>
    </row>
    <row r="3658" customFormat="false" ht="15" hidden="false" customHeight="false" outlineLevel="0" collapsed="false">
      <c r="B3658" s="53"/>
      <c r="I3658" s="53"/>
      <c r="U3658" s="31" t="n">
        <f aca="false">IF($B3658='設定（最初に1回）'!$C$4,N(U3657)+1,N(U3657))</f>
        <v>134</v>
      </c>
    </row>
    <row r="3659" customFormat="false" ht="15" hidden="false" customHeight="false" outlineLevel="0" collapsed="false">
      <c r="B3659" s="53"/>
      <c r="I3659" s="53"/>
      <c r="U3659" s="31" t="n">
        <f aca="false">IF($B3659='設定（最初に1回）'!$C$4,N(U3658)+1,N(U3658))</f>
        <v>134</v>
      </c>
    </row>
    <row r="3660" customFormat="false" ht="15" hidden="false" customHeight="false" outlineLevel="0" collapsed="false">
      <c r="B3660" s="53"/>
      <c r="I3660" s="53"/>
      <c r="U3660" s="31" t="n">
        <f aca="false">IF($B3660='設定（最初に1回）'!$C$4,N(U3659)+1,N(U3659))</f>
        <v>134</v>
      </c>
    </row>
    <row r="3661" customFormat="false" ht="15" hidden="false" customHeight="false" outlineLevel="0" collapsed="false">
      <c r="B3661" s="53"/>
      <c r="I3661" s="53"/>
      <c r="U3661" s="31" t="n">
        <f aca="false">IF($B3661='設定（最初に1回）'!$C$4,N(U3660)+1,N(U3660))</f>
        <v>134</v>
      </c>
    </row>
    <row r="3662" customFormat="false" ht="15" hidden="false" customHeight="false" outlineLevel="0" collapsed="false">
      <c r="B3662" s="53"/>
      <c r="I3662" s="53"/>
      <c r="U3662" s="31" t="n">
        <f aca="false">IF($B3662='設定（最初に1回）'!$C$4,N(U3661)+1,N(U3661))</f>
        <v>134</v>
      </c>
    </row>
    <row r="3663" customFormat="false" ht="15" hidden="false" customHeight="false" outlineLevel="0" collapsed="false">
      <c r="B3663" s="53"/>
      <c r="I3663" s="53"/>
      <c r="U3663" s="31" t="n">
        <f aca="false">IF($B3663='設定（最初に1回）'!$C$4,N(U3662)+1,N(U3662))</f>
        <v>134</v>
      </c>
    </row>
    <row r="3664" customFormat="false" ht="15" hidden="false" customHeight="false" outlineLevel="0" collapsed="false">
      <c r="B3664" s="53"/>
      <c r="I3664" s="53"/>
      <c r="U3664" s="31" t="n">
        <f aca="false">IF($B3664='設定（最初に1回）'!$C$4,N(U3663)+1,N(U3663))</f>
        <v>134</v>
      </c>
    </row>
    <row r="3665" customFormat="false" ht="15" hidden="false" customHeight="false" outlineLevel="0" collapsed="false">
      <c r="B3665" s="53"/>
      <c r="I3665" s="53"/>
      <c r="U3665" s="31" t="n">
        <f aca="false">IF($B3665='設定（最初に1回）'!$C$4,N(U3664)+1,N(U3664))</f>
        <v>134</v>
      </c>
    </row>
    <row r="3666" customFormat="false" ht="15" hidden="false" customHeight="false" outlineLevel="0" collapsed="false">
      <c r="B3666" s="53"/>
      <c r="I3666" s="53"/>
      <c r="U3666" s="31" t="n">
        <f aca="false">IF($B3666='設定（最初に1回）'!$C$4,N(U3665)+1,N(U3665))</f>
        <v>134</v>
      </c>
    </row>
    <row r="3667" customFormat="false" ht="15" hidden="false" customHeight="false" outlineLevel="0" collapsed="false">
      <c r="B3667" s="53"/>
      <c r="I3667" s="53"/>
      <c r="U3667" s="31" t="n">
        <f aca="false">IF($B3667='設定（最初に1回）'!$C$4,N(U3666)+1,N(U3666))</f>
        <v>134</v>
      </c>
    </row>
    <row r="3668" customFormat="false" ht="15" hidden="false" customHeight="false" outlineLevel="0" collapsed="false">
      <c r="B3668" s="53"/>
      <c r="I3668" s="53"/>
      <c r="U3668" s="31" t="n">
        <f aca="false">IF($B3668='設定（最初に1回）'!$C$4,N(U3667)+1,N(U3667))</f>
        <v>134</v>
      </c>
    </row>
    <row r="3669" customFormat="false" ht="15" hidden="false" customHeight="false" outlineLevel="0" collapsed="false">
      <c r="B3669" s="53"/>
      <c r="I3669" s="53"/>
      <c r="U3669" s="31" t="n">
        <f aca="false">IF($B3669='設定（最初に1回）'!$C$4,N(U3668)+1,N(U3668))</f>
        <v>134</v>
      </c>
    </row>
    <row r="3670" customFormat="false" ht="15" hidden="false" customHeight="false" outlineLevel="0" collapsed="false">
      <c r="B3670" s="53"/>
      <c r="I3670" s="53"/>
      <c r="U3670" s="31" t="n">
        <f aca="false">IF($B3670='設定（最初に1回）'!$C$4,N(U3669)+1,N(U3669))</f>
        <v>134</v>
      </c>
    </row>
    <row r="3671" customFormat="false" ht="15" hidden="false" customHeight="false" outlineLevel="0" collapsed="false">
      <c r="B3671" s="53"/>
      <c r="I3671" s="53"/>
      <c r="U3671" s="31" t="n">
        <f aca="false">IF($B3671='設定（最初に1回）'!$C$4,N(U3670)+1,N(U3670))</f>
        <v>134</v>
      </c>
    </row>
    <row r="3672" customFormat="false" ht="15" hidden="false" customHeight="false" outlineLevel="0" collapsed="false">
      <c r="B3672" s="53"/>
      <c r="I3672" s="53"/>
      <c r="U3672" s="31" t="n">
        <f aca="false">IF($B3672='設定（最初に1回）'!$C$4,N(U3671)+1,N(U3671))</f>
        <v>134</v>
      </c>
    </row>
    <row r="3673" customFormat="false" ht="15" hidden="false" customHeight="false" outlineLevel="0" collapsed="false">
      <c r="B3673" s="53"/>
      <c r="I3673" s="53"/>
      <c r="U3673" s="31" t="n">
        <f aca="false">IF($B3673='設定（最初に1回）'!$C$4,N(U3672)+1,N(U3672))</f>
        <v>134</v>
      </c>
    </row>
    <row r="3674" customFormat="false" ht="15" hidden="false" customHeight="false" outlineLevel="0" collapsed="false">
      <c r="B3674" s="53"/>
      <c r="I3674" s="53"/>
      <c r="U3674" s="31" t="n">
        <f aca="false">IF($B3674='設定（最初に1回）'!$C$4,N(U3673)+1,N(U3673))</f>
        <v>134</v>
      </c>
    </row>
    <row r="3675" customFormat="false" ht="15" hidden="false" customHeight="false" outlineLevel="0" collapsed="false">
      <c r="B3675" s="53"/>
      <c r="I3675" s="53"/>
      <c r="U3675" s="31" t="n">
        <f aca="false">IF($B3675='設定（最初に1回）'!$C$4,N(U3674)+1,N(U3674))</f>
        <v>134</v>
      </c>
    </row>
    <row r="3676" customFormat="false" ht="15" hidden="false" customHeight="false" outlineLevel="0" collapsed="false">
      <c r="B3676" s="53"/>
      <c r="I3676" s="53"/>
      <c r="U3676" s="31" t="n">
        <f aca="false">IF($B3676='設定（最初に1回）'!$C$4,N(U3675)+1,N(U3675))</f>
        <v>134</v>
      </c>
    </row>
    <row r="3677" customFormat="false" ht="15" hidden="false" customHeight="false" outlineLevel="0" collapsed="false">
      <c r="B3677" s="53"/>
      <c r="I3677" s="53"/>
      <c r="U3677" s="31" t="n">
        <f aca="false">IF($B3677='設定（最初に1回）'!$C$4,N(U3676)+1,N(U3676))</f>
        <v>134</v>
      </c>
    </row>
    <row r="3678" customFormat="false" ht="15" hidden="false" customHeight="false" outlineLevel="0" collapsed="false">
      <c r="B3678" s="53"/>
      <c r="I3678" s="53"/>
      <c r="U3678" s="31" t="n">
        <f aca="false">IF($B3678='設定（最初に1回）'!$C$4,N(U3677)+1,N(U3677))</f>
        <v>134</v>
      </c>
    </row>
    <row r="3679" customFormat="false" ht="15" hidden="false" customHeight="false" outlineLevel="0" collapsed="false">
      <c r="B3679" s="53"/>
      <c r="I3679" s="53"/>
      <c r="U3679" s="31" t="n">
        <f aca="false">IF($B3679='設定（最初に1回）'!$C$4,N(U3678)+1,N(U3678))</f>
        <v>134</v>
      </c>
    </row>
    <row r="3680" customFormat="false" ht="15" hidden="false" customHeight="false" outlineLevel="0" collapsed="false">
      <c r="B3680" s="53"/>
      <c r="I3680" s="53"/>
      <c r="U3680" s="31" t="n">
        <f aca="false">IF($B3680='設定（最初に1回）'!$C$4,N(U3679)+1,N(U3679))</f>
        <v>134</v>
      </c>
    </row>
    <row r="3681" customFormat="false" ht="15" hidden="false" customHeight="false" outlineLevel="0" collapsed="false">
      <c r="B3681" s="53"/>
      <c r="I3681" s="53"/>
      <c r="U3681" s="31" t="n">
        <f aca="false">IF($B3681='設定（最初に1回）'!$C$4,N(U3680)+1,N(U3680))</f>
        <v>134</v>
      </c>
    </row>
    <row r="3682" customFormat="false" ht="15" hidden="false" customHeight="false" outlineLevel="0" collapsed="false">
      <c r="B3682" s="53"/>
      <c r="I3682" s="53"/>
      <c r="U3682" s="31" t="n">
        <f aca="false">IF($B3682='設定（最初に1回）'!$C$4,N(U3681)+1,N(U3681))</f>
        <v>134</v>
      </c>
    </row>
    <row r="3683" customFormat="false" ht="15" hidden="false" customHeight="false" outlineLevel="0" collapsed="false">
      <c r="B3683" s="53"/>
      <c r="I3683" s="53"/>
      <c r="U3683" s="31" t="n">
        <f aca="false">IF($B3683='設定（最初に1回）'!$C$4,N(U3682)+1,N(U3682))</f>
        <v>134</v>
      </c>
    </row>
    <row r="3684" customFormat="false" ht="15" hidden="false" customHeight="false" outlineLevel="0" collapsed="false">
      <c r="B3684" s="53"/>
      <c r="I3684" s="53"/>
      <c r="U3684" s="31" t="n">
        <f aca="false">IF($B3684='設定（最初に1回）'!$C$4,N(U3683)+1,N(U3683))</f>
        <v>134</v>
      </c>
    </row>
    <row r="3685" customFormat="false" ht="15" hidden="false" customHeight="false" outlineLevel="0" collapsed="false">
      <c r="B3685" s="53"/>
      <c r="I3685" s="53"/>
      <c r="U3685" s="31" t="n">
        <f aca="false">IF($B3685='設定（最初に1回）'!$C$4,N(U3684)+1,N(U3684))</f>
        <v>134</v>
      </c>
    </row>
    <row r="3686" customFormat="false" ht="15" hidden="false" customHeight="false" outlineLevel="0" collapsed="false">
      <c r="B3686" s="53"/>
      <c r="I3686" s="53"/>
      <c r="U3686" s="31" t="n">
        <f aca="false">IF($B3686='設定（最初に1回）'!$C$4,N(U3685)+1,N(U3685))</f>
        <v>134</v>
      </c>
    </row>
    <row r="3687" customFormat="false" ht="15" hidden="false" customHeight="false" outlineLevel="0" collapsed="false">
      <c r="B3687" s="53"/>
      <c r="I3687" s="53"/>
      <c r="U3687" s="31" t="n">
        <f aca="false">IF($B3687='設定（最初に1回）'!$C$4,N(U3686)+1,N(U3686))</f>
        <v>134</v>
      </c>
    </row>
    <row r="3688" customFormat="false" ht="15" hidden="false" customHeight="false" outlineLevel="0" collapsed="false">
      <c r="B3688" s="53"/>
      <c r="I3688" s="53"/>
      <c r="U3688" s="31" t="n">
        <f aca="false">IF($B3688='設定（最初に1回）'!$C$4,N(U3687)+1,N(U3687))</f>
        <v>134</v>
      </c>
    </row>
    <row r="3689" customFormat="false" ht="15" hidden="false" customHeight="false" outlineLevel="0" collapsed="false">
      <c r="B3689" s="53"/>
      <c r="I3689" s="53"/>
      <c r="U3689" s="31" t="n">
        <f aca="false">IF($B3689='設定（最初に1回）'!$C$4,N(U3688)+1,N(U3688))</f>
        <v>134</v>
      </c>
    </row>
    <row r="3690" customFormat="false" ht="15" hidden="false" customHeight="false" outlineLevel="0" collapsed="false">
      <c r="B3690" s="53"/>
      <c r="I3690" s="53"/>
      <c r="U3690" s="31" t="n">
        <f aca="false">IF($B3690='設定（最初に1回）'!$C$4,N(U3689)+1,N(U3689))</f>
        <v>134</v>
      </c>
    </row>
    <row r="3691" customFormat="false" ht="15" hidden="false" customHeight="false" outlineLevel="0" collapsed="false">
      <c r="B3691" s="53"/>
      <c r="I3691" s="53"/>
      <c r="U3691" s="31" t="n">
        <f aca="false">IF($B3691='設定（最初に1回）'!$C$4,N(U3690)+1,N(U3690))</f>
        <v>134</v>
      </c>
    </row>
    <row r="3692" customFormat="false" ht="15" hidden="false" customHeight="false" outlineLevel="0" collapsed="false">
      <c r="B3692" s="53"/>
      <c r="I3692" s="53"/>
      <c r="U3692" s="31" t="n">
        <f aca="false">IF($B3692='設定（最初に1回）'!$C$4,N(U3691)+1,N(U3691))</f>
        <v>134</v>
      </c>
    </row>
    <row r="3693" customFormat="false" ht="15" hidden="false" customHeight="false" outlineLevel="0" collapsed="false">
      <c r="B3693" s="53"/>
      <c r="I3693" s="53"/>
      <c r="U3693" s="31" t="n">
        <f aca="false">IF($B3693='設定（最初に1回）'!$C$4,N(U3692)+1,N(U3692))</f>
        <v>134</v>
      </c>
    </row>
    <row r="3694" customFormat="false" ht="15" hidden="false" customHeight="false" outlineLevel="0" collapsed="false">
      <c r="B3694" s="53"/>
      <c r="I3694" s="53"/>
      <c r="U3694" s="31" t="n">
        <f aca="false">IF($B3694='設定（最初に1回）'!$C$4,N(U3693)+1,N(U3693))</f>
        <v>134</v>
      </c>
    </row>
    <row r="3695" customFormat="false" ht="15" hidden="false" customHeight="false" outlineLevel="0" collapsed="false">
      <c r="B3695" s="53"/>
      <c r="I3695" s="53"/>
      <c r="U3695" s="31" t="n">
        <f aca="false">IF($B3695='設定（最初に1回）'!$C$4,N(U3694)+1,N(U3694))</f>
        <v>134</v>
      </c>
    </row>
    <row r="3696" customFormat="false" ht="15" hidden="false" customHeight="false" outlineLevel="0" collapsed="false">
      <c r="B3696" s="53"/>
      <c r="I3696" s="53"/>
      <c r="U3696" s="31" t="n">
        <f aca="false">IF($B3696='設定（最初に1回）'!$C$4,N(U3695)+1,N(U3695))</f>
        <v>134</v>
      </c>
    </row>
    <row r="3697" customFormat="false" ht="15" hidden="false" customHeight="false" outlineLevel="0" collapsed="false">
      <c r="B3697" s="53"/>
      <c r="I3697" s="53"/>
      <c r="U3697" s="31" t="n">
        <f aca="false">IF($B3697='設定（最初に1回）'!$C$4,N(U3696)+1,N(U3696))</f>
        <v>134</v>
      </c>
    </row>
    <row r="3698" customFormat="false" ht="15" hidden="false" customHeight="false" outlineLevel="0" collapsed="false">
      <c r="B3698" s="53"/>
      <c r="I3698" s="53"/>
      <c r="U3698" s="31" t="n">
        <f aca="false">IF($B3698='設定（最初に1回）'!$C$4,N(U3697)+1,N(U3697))</f>
        <v>134</v>
      </c>
    </row>
    <row r="3699" customFormat="false" ht="15" hidden="false" customHeight="false" outlineLevel="0" collapsed="false">
      <c r="B3699" s="53"/>
      <c r="I3699" s="53"/>
      <c r="U3699" s="31" t="n">
        <f aca="false">IF($B3699='設定（最初に1回）'!$C$4,N(U3698)+1,N(U3698))</f>
        <v>134</v>
      </c>
    </row>
    <row r="3700" customFormat="false" ht="15" hidden="false" customHeight="false" outlineLevel="0" collapsed="false">
      <c r="B3700" s="53"/>
      <c r="I3700" s="53"/>
      <c r="U3700" s="31" t="n">
        <f aca="false">IF($B3700='設定（最初に1回）'!$C$4,N(U3699)+1,N(U3699))</f>
        <v>134</v>
      </c>
    </row>
    <row r="3701" customFormat="false" ht="15" hidden="false" customHeight="false" outlineLevel="0" collapsed="false">
      <c r="B3701" s="53"/>
      <c r="I3701" s="53"/>
      <c r="U3701" s="31" t="n">
        <f aca="false">IF($B3701='設定（最初に1回）'!$C$4,N(U3700)+1,N(U3700))</f>
        <v>134</v>
      </c>
    </row>
    <row r="3702" customFormat="false" ht="15" hidden="false" customHeight="false" outlineLevel="0" collapsed="false">
      <c r="B3702" s="53"/>
      <c r="I3702" s="53"/>
      <c r="U3702" s="31" t="n">
        <f aca="false">IF($B3702='設定（最初に1回）'!$C$4,N(U3701)+1,N(U3701))</f>
        <v>134</v>
      </c>
    </row>
    <row r="3703" customFormat="false" ht="15" hidden="false" customHeight="false" outlineLevel="0" collapsed="false">
      <c r="B3703" s="53"/>
      <c r="I3703" s="53"/>
      <c r="U3703" s="31" t="n">
        <f aca="false">IF($B3703='設定（最初に1回）'!$C$4,N(U3702)+1,N(U3702))</f>
        <v>134</v>
      </c>
    </row>
    <row r="3704" customFormat="false" ht="15" hidden="false" customHeight="false" outlineLevel="0" collapsed="false">
      <c r="B3704" s="53"/>
      <c r="I3704" s="53"/>
      <c r="U3704" s="31" t="n">
        <f aca="false">IF($B3704='設定（最初に1回）'!$C$4,N(U3703)+1,N(U3703))</f>
        <v>134</v>
      </c>
    </row>
    <row r="3705" customFormat="false" ht="15" hidden="false" customHeight="false" outlineLevel="0" collapsed="false">
      <c r="B3705" s="53"/>
      <c r="I3705" s="53"/>
      <c r="U3705" s="31" t="n">
        <f aca="false">IF($B3705='設定（最初に1回）'!$C$4,N(U3704)+1,N(U3704))</f>
        <v>134</v>
      </c>
    </row>
    <row r="3706" customFormat="false" ht="15" hidden="false" customHeight="false" outlineLevel="0" collapsed="false">
      <c r="B3706" s="53"/>
      <c r="I3706" s="53"/>
      <c r="U3706" s="31" t="n">
        <f aca="false">IF($B3706='設定（最初に1回）'!$C$4,N(U3705)+1,N(U3705))</f>
        <v>134</v>
      </c>
    </row>
    <row r="3707" customFormat="false" ht="15" hidden="false" customHeight="false" outlineLevel="0" collapsed="false">
      <c r="B3707" s="53"/>
      <c r="I3707" s="53"/>
      <c r="U3707" s="31" t="n">
        <f aca="false">IF($B3707='設定（最初に1回）'!$C$4,N(U3706)+1,N(U3706))</f>
        <v>134</v>
      </c>
    </row>
    <row r="3708" customFormat="false" ht="15" hidden="false" customHeight="false" outlineLevel="0" collapsed="false">
      <c r="B3708" s="53"/>
      <c r="I3708" s="53"/>
      <c r="U3708" s="31" t="n">
        <f aca="false">IF($B3708='設定（最初に1回）'!$C$4,N(U3707)+1,N(U3707))</f>
        <v>134</v>
      </c>
    </row>
    <row r="3709" customFormat="false" ht="15" hidden="false" customHeight="false" outlineLevel="0" collapsed="false">
      <c r="B3709" s="53"/>
      <c r="I3709" s="53"/>
      <c r="U3709" s="31" t="n">
        <f aca="false">IF($B3709='設定（最初に1回）'!$C$4,N(U3708)+1,N(U3708))</f>
        <v>134</v>
      </c>
    </row>
    <row r="3710" customFormat="false" ht="15" hidden="false" customHeight="false" outlineLevel="0" collapsed="false">
      <c r="B3710" s="53"/>
      <c r="I3710" s="53"/>
      <c r="U3710" s="31" t="n">
        <f aca="false">IF($B3710='設定（最初に1回）'!$C$4,N(U3709)+1,N(U3709))</f>
        <v>134</v>
      </c>
    </row>
    <row r="3711" customFormat="false" ht="15" hidden="false" customHeight="false" outlineLevel="0" collapsed="false">
      <c r="B3711" s="53"/>
      <c r="I3711" s="53"/>
      <c r="U3711" s="31" t="n">
        <f aca="false">IF($B3711='設定（最初に1回）'!$C$4,N(U3710)+1,N(U3710))</f>
        <v>134</v>
      </c>
    </row>
    <row r="3712" customFormat="false" ht="15" hidden="false" customHeight="false" outlineLevel="0" collapsed="false">
      <c r="B3712" s="53"/>
      <c r="I3712" s="53"/>
      <c r="U3712" s="31" t="n">
        <f aca="false">IF($B3712='設定（最初に1回）'!$C$4,N(U3711)+1,N(U3711))</f>
        <v>134</v>
      </c>
    </row>
    <row r="3713" customFormat="false" ht="15" hidden="false" customHeight="false" outlineLevel="0" collapsed="false">
      <c r="B3713" s="53"/>
      <c r="I3713" s="53"/>
      <c r="U3713" s="31" t="n">
        <f aca="false">IF($B3713='設定（最初に1回）'!$C$4,N(U3712)+1,N(U3712))</f>
        <v>134</v>
      </c>
    </row>
    <row r="3714" customFormat="false" ht="15" hidden="false" customHeight="false" outlineLevel="0" collapsed="false">
      <c r="B3714" s="53"/>
      <c r="I3714" s="53"/>
      <c r="U3714" s="31" t="n">
        <f aca="false">IF($B3714='設定（最初に1回）'!$C$4,N(U3713)+1,N(U3713))</f>
        <v>134</v>
      </c>
    </row>
    <row r="3715" customFormat="false" ht="15" hidden="false" customHeight="false" outlineLevel="0" collapsed="false">
      <c r="B3715" s="53"/>
      <c r="I3715" s="53"/>
      <c r="U3715" s="31" t="n">
        <f aca="false">IF($B3715='設定（最初に1回）'!$C$4,N(U3714)+1,N(U3714))</f>
        <v>134</v>
      </c>
    </row>
    <row r="3716" customFormat="false" ht="15" hidden="false" customHeight="false" outlineLevel="0" collapsed="false">
      <c r="B3716" s="53"/>
      <c r="I3716" s="53"/>
      <c r="U3716" s="31" t="n">
        <f aca="false">IF($B3716='設定（最初に1回）'!$C$4,N(U3715)+1,N(U3715))</f>
        <v>134</v>
      </c>
    </row>
    <row r="3717" customFormat="false" ht="15" hidden="false" customHeight="false" outlineLevel="0" collapsed="false">
      <c r="B3717" s="53"/>
      <c r="I3717" s="53"/>
      <c r="U3717" s="31" t="n">
        <f aca="false">IF($B3717='設定（最初に1回）'!$C$4,N(U3716)+1,N(U3716))</f>
        <v>134</v>
      </c>
    </row>
    <row r="3718" customFormat="false" ht="15" hidden="false" customHeight="false" outlineLevel="0" collapsed="false">
      <c r="B3718" s="53"/>
      <c r="I3718" s="53"/>
      <c r="U3718" s="31" t="n">
        <f aca="false">IF($B3718='設定（最初に1回）'!$C$4,N(U3717)+1,N(U3717))</f>
        <v>134</v>
      </c>
    </row>
    <row r="3719" customFormat="false" ht="15" hidden="false" customHeight="false" outlineLevel="0" collapsed="false">
      <c r="B3719" s="53"/>
      <c r="I3719" s="53"/>
      <c r="U3719" s="31" t="n">
        <f aca="false">IF($B3719='設定（最初に1回）'!$C$4,N(U3718)+1,N(U3718))</f>
        <v>134</v>
      </c>
    </row>
    <row r="3720" customFormat="false" ht="15" hidden="false" customHeight="false" outlineLevel="0" collapsed="false">
      <c r="B3720" s="53"/>
      <c r="I3720" s="53"/>
      <c r="U3720" s="31" t="n">
        <f aca="false">IF($B3720='設定（最初に1回）'!$C$4,N(U3719)+1,N(U3719))</f>
        <v>134</v>
      </c>
    </row>
    <row r="3721" customFormat="false" ht="15" hidden="false" customHeight="false" outlineLevel="0" collapsed="false">
      <c r="B3721" s="53"/>
      <c r="I3721" s="53"/>
      <c r="U3721" s="31" t="n">
        <f aca="false">IF($B3721='設定（最初に1回）'!$C$4,N(U3720)+1,N(U3720))</f>
        <v>134</v>
      </c>
    </row>
    <row r="3722" customFormat="false" ht="15" hidden="false" customHeight="false" outlineLevel="0" collapsed="false">
      <c r="B3722" s="53"/>
      <c r="I3722" s="53"/>
      <c r="U3722" s="31" t="n">
        <f aca="false">IF($B3722='設定（最初に1回）'!$C$4,N(U3721)+1,N(U3721))</f>
        <v>134</v>
      </c>
    </row>
    <row r="3723" customFormat="false" ht="15" hidden="false" customHeight="false" outlineLevel="0" collapsed="false">
      <c r="B3723" s="53"/>
      <c r="I3723" s="53"/>
      <c r="U3723" s="31" t="n">
        <f aca="false">IF($B3723='設定（最初に1回）'!$C$4,N(U3722)+1,N(U3722))</f>
        <v>134</v>
      </c>
    </row>
    <row r="3724" customFormat="false" ht="15" hidden="false" customHeight="false" outlineLevel="0" collapsed="false">
      <c r="B3724" s="53"/>
      <c r="I3724" s="53"/>
      <c r="U3724" s="31" t="n">
        <f aca="false">IF($B3724='設定（最初に1回）'!$C$4,N(U3723)+1,N(U3723))</f>
        <v>134</v>
      </c>
    </row>
    <row r="3725" customFormat="false" ht="15" hidden="false" customHeight="false" outlineLevel="0" collapsed="false">
      <c r="B3725" s="53"/>
      <c r="I3725" s="53"/>
      <c r="U3725" s="31" t="n">
        <f aca="false">IF($B3725='設定（最初に1回）'!$C$4,N(U3724)+1,N(U3724))</f>
        <v>134</v>
      </c>
    </row>
    <row r="3726" customFormat="false" ht="15" hidden="false" customHeight="false" outlineLevel="0" collapsed="false">
      <c r="B3726" s="53"/>
      <c r="I3726" s="53"/>
      <c r="U3726" s="31" t="n">
        <f aca="false">IF($B3726='設定（最初に1回）'!$C$4,N(U3725)+1,N(U3725))</f>
        <v>134</v>
      </c>
    </row>
    <row r="3727" customFormat="false" ht="15" hidden="false" customHeight="false" outlineLevel="0" collapsed="false">
      <c r="B3727" s="53"/>
      <c r="I3727" s="53"/>
      <c r="U3727" s="31" t="n">
        <f aca="false">IF($B3727='設定（最初に1回）'!$C$4,N(U3726)+1,N(U3726))</f>
        <v>134</v>
      </c>
    </row>
    <row r="3728" customFormat="false" ht="15" hidden="false" customHeight="false" outlineLevel="0" collapsed="false">
      <c r="B3728" s="53"/>
      <c r="I3728" s="53"/>
      <c r="U3728" s="31" t="n">
        <f aca="false">IF($B3728='設定（最初に1回）'!$C$4,N(U3727)+1,N(U3727))</f>
        <v>134</v>
      </c>
    </row>
    <row r="3729" customFormat="false" ht="15" hidden="false" customHeight="false" outlineLevel="0" collapsed="false">
      <c r="B3729" s="53"/>
      <c r="I3729" s="53"/>
      <c r="U3729" s="31" t="n">
        <f aca="false">IF($B3729='設定（最初に1回）'!$C$4,N(U3728)+1,N(U3728))</f>
        <v>134</v>
      </c>
    </row>
    <row r="3730" customFormat="false" ht="15" hidden="false" customHeight="false" outlineLevel="0" collapsed="false">
      <c r="B3730" s="53"/>
      <c r="I3730" s="53"/>
      <c r="U3730" s="31" t="n">
        <f aca="false">IF($B3730='設定（最初に1回）'!$C$4,N(U3729)+1,N(U3729))</f>
        <v>134</v>
      </c>
    </row>
    <row r="3731" customFormat="false" ht="15" hidden="false" customHeight="false" outlineLevel="0" collapsed="false">
      <c r="B3731" s="53"/>
      <c r="I3731" s="53"/>
      <c r="U3731" s="31" t="n">
        <f aca="false">IF($B3731='設定（最初に1回）'!$C$4,N(U3730)+1,N(U3730))</f>
        <v>134</v>
      </c>
    </row>
    <row r="3732" customFormat="false" ht="15" hidden="false" customHeight="false" outlineLevel="0" collapsed="false">
      <c r="B3732" s="53"/>
      <c r="I3732" s="53"/>
      <c r="U3732" s="31" t="n">
        <f aca="false">IF($B3732='設定（最初に1回）'!$C$4,N(U3731)+1,N(U3731))</f>
        <v>134</v>
      </c>
    </row>
    <row r="3733" customFormat="false" ht="15" hidden="false" customHeight="false" outlineLevel="0" collapsed="false">
      <c r="B3733" s="53"/>
      <c r="I3733" s="53"/>
      <c r="U3733" s="31" t="n">
        <f aca="false">IF($B3733='設定（最初に1回）'!$C$4,N(U3732)+1,N(U3732))</f>
        <v>134</v>
      </c>
    </row>
    <row r="3734" customFormat="false" ht="15" hidden="false" customHeight="false" outlineLevel="0" collapsed="false">
      <c r="B3734" s="53"/>
      <c r="I3734" s="53"/>
      <c r="U3734" s="31" t="n">
        <f aca="false">IF($B3734='設定（最初に1回）'!$C$4,N(U3733)+1,N(U3733))</f>
        <v>134</v>
      </c>
    </row>
    <row r="3735" customFormat="false" ht="15" hidden="false" customHeight="false" outlineLevel="0" collapsed="false">
      <c r="B3735" s="53"/>
      <c r="I3735" s="53"/>
      <c r="U3735" s="31" t="n">
        <f aca="false">IF($B3735='設定（最初に1回）'!$C$4,N(U3734)+1,N(U3734))</f>
        <v>134</v>
      </c>
    </row>
    <row r="3736" customFormat="false" ht="15" hidden="false" customHeight="false" outlineLevel="0" collapsed="false">
      <c r="B3736" s="53"/>
      <c r="I3736" s="53"/>
      <c r="U3736" s="31" t="n">
        <f aca="false">IF($B3736='設定（最初に1回）'!$C$4,N(U3735)+1,N(U3735))</f>
        <v>134</v>
      </c>
    </row>
    <row r="3737" customFormat="false" ht="15" hidden="false" customHeight="false" outlineLevel="0" collapsed="false">
      <c r="B3737" s="53"/>
      <c r="I3737" s="53"/>
      <c r="U3737" s="31" t="n">
        <f aca="false">IF($B3737='設定（最初に1回）'!$C$4,N(U3736)+1,N(U3736))</f>
        <v>134</v>
      </c>
    </row>
    <row r="3738" customFormat="false" ht="15" hidden="false" customHeight="false" outlineLevel="0" collapsed="false">
      <c r="B3738" s="53"/>
      <c r="I3738" s="53"/>
      <c r="U3738" s="31" t="n">
        <f aca="false">IF($B3738='設定（最初に1回）'!$C$4,N(U3737)+1,N(U3737))</f>
        <v>134</v>
      </c>
    </row>
    <row r="3739" customFormat="false" ht="15" hidden="false" customHeight="false" outlineLevel="0" collapsed="false">
      <c r="B3739" s="53"/>
      <c r="I3739" s="53"/>
      <c r="U3739" s="31" t="n">
        <f aca="false">IF($B3739='設定（最初に1回）'!$C$4,N(U3738)+1,N(U3738))</f>
        <v>134</v>
      </c>
    </row>
    <row r="3740" customFormat="false" ht="15" hidden="false" customHeight="false" outlineLevel="0" collapsed="false">
      <c r="B3740" s="53"/>
      <c r="I3740" s="53"/>
      <c r="U3740" s="31" t="n">
        <f aca="false">IF($B3740='設定（最初に1回）'!$C$4,N(U3739)+1,N(U3739))</f>
        <v>134</v>
      </c>
    </row>
    <row r="3741" customFormat="false" ht="15" hidden="false" customHeight="false" outlineLevel="0" collapsed="false">
      <c r="B3741" s="53"/>
      <c r="I3741" s="53"/>
      <c r="U3741" s="31" t="n">
        <f aca="false">IF($B3741='設定（最初に1回）'!$C$4,N(U3740)+1,N(U3740))</f>
        <v>134</v>
      </c>
    </row>
    <row r="3742" customFormat="false" ht="15" hidden="false" customHeight="false" outlineLevel="0" collapsed="false">
      <c r="B3742" s="53"/>
      <c r="I3742" s="53"/>
      <c r="U3742" s="31" t="n">
        <f aca="false">IF($B3742='設定（最初に1回）'!$C$4,N(U3741)+1,N(U3741))</f>
        <v>134</v>
      </c>
    </row>
    <row r="3743" customFormat="false" ht="15" hidden="false" customHeight="false" outlineLevel="0" collapsed="false">
      <c r="B3743" s="53"/>
      <c r="I3743" s="53"/>
      <c r="U3743" s="31" t="n">
        <f aca="false">IF($B3743='設定（最初に1回）'!$C$4,N(U3742)+1,N(U3742))</f>
        <v>134</v>
      </c>
    </row>
    <row r="3744" customFormat="false" ht="15" hidden="false" customHeight="false" outlineLevel="0" collapsed="false">
      <c r="B3744" s="53"/>
      <c r="I3744" s="53"/>
      <c r="U3744" s="31" t="n">
        <f aca="false">IF($B3744='設定（最初に1回）'!$C$4,N(U3743)+1,N(U3743))</f>
        <v>134</v>
      </c>
    </row>
    <row r="3745" customFormat="false" ht="15" hidden="false" customHeight="false" outlineLevel="0" collapsed="false">
      <c r="B3745" s="53"/>
      <c r="I3745" s="53"/>
      <c r="U3745" s="31" t="n">
        <f aca="false">IF($B3745='設定（最初に1回）'!$C$4,N(U3744)+1,N(U3744))</f>
        <v>134</v>
      </c>
    </row>
    <row r="3746" customFormat="false" ht="15" hidden="false" customHeight="false" outlineLevel="0" collapsed="false">
      <c r="B3746" s="53"/>
      <c r="I3746" s="53"/>
      <c r="U3746" s="31" t="n">
        <f aca="false">IF($B3746='設定（最初に1回）'!$C$4,N(U3745)+1,N(U3745))</f>
        <v>134</v>
      </c>
    </row>
    <row r="3747" customFormat="false" ht="15" hidden="false" customHeight="false" outlineLevel="0" collapsed="false">
      <c r="B3747" s="53"/>
      <c r="I3747" s="53"/>
      <c r="U3747" s="31" t="n">
        <f aca="false">IF($B3747='設定（最初に1回）'!$C$4,N(U3746)+1,N(U3746))</f>
        <v>134</v>
      </c>
    </row>
    <row r="3748" customFormat="false" ht="15" hidden="false" customHeight="false" outlineLevel="0" collapsed="false">
      <c r="B3748" s="53"/>
      <c r="I3748" s="53"/>
      <c r="U3748" s="31" t="n">
        <f aca="false">IF($B3748='設定（最初に1回）'!$C$4,N(U3747)+1,N(U3747))</f>
        <v>134</v>
      </c>
    </row>
    <row r="3749" customFormat="false" ht="15" hidden="false" customHeight="false" outlineLevel="0" collapsed="false">
      <c r="B3749" s="53"/>
      <c r="I3749" s="53"/>
      <c r="U3749" s="31" t="n">
        <f aca="false">IF($B3749='設定（最初に1回）'!$C$4,N(U3748)+1,N(U3748))</f>
        <v>134</v>
      </c>
    </row>
    <row r="3750" customFormat="false" ht="15" hidden="false" customHeight="false" outlineLevel="0" collapsed="false">
      <c r="B3750" s="53"/>
      <c r="I3750" s="53"/>
      <c r="U3750" s="31" t="n">
        <f aca="false">IF($B3750='設定（最初に1回）'!$C$4,N(U3749)+1,N(U3749))</f>
        <v>134</v>
      </c>
    </row>
    <row r="3751" customFormat="false" ht="15" hidden="false" customHeight="false" outlineLevel="0" collapsed="false">
      <c r="B3751" s="53"/>
      <c r="I3751" s="53"/>
      <c r="U3751" s="31" t="n">
        <f aca="false">IF($B3751='設定（最初に1回）'!$C$4,N(U3750)+1,N(U3750))</f>
        <v>134</v>
      </c>
    </row>
    <row r="3752" customFormat="false" ht="15" hidden="false" customHeight="false" outlineLevel="0" collapsed="false">
      <c r="B3752" s="53"/>
      <c r="I3752" s="53"/>
      <c r="U3752" s="31" t="n">
        <f aca="false">IF($B3752='設定（最初に1回）'!$C$4,N(U3751)+1,N(U3751))</f>
        <v>134</v>
      </c>
    </row>
    <row r="3753" customFormat="false" ht="15" hidden="false" customHeight="false" outlineLevel="0" collapsed="false">
      <c r="B3753" s="53"/>
      <c r="I3753" s="53"/>
      <c r="U3753" s="31" t="n">
        <f aca="false">IF($B3753='設定（最初に1回）'!$C$4,N(U3752)+1,N(U3752))</f>
        <v>134</v>
      </c>
    </row>
    <row r="3754" customFormat="false" ht="15" hidden="false" customHeight="false" outlineLevel="0" collapsed="false">
      <c r="B3754" s="53"/>
      <c r="I3754" s="53"/>
      <c r="U3754" s="31" t="n">
        <f aca="false">IF($B3754='設定（最初に1回）'!$C$4,N(U3753)+1,N(U3753))</f>
        <v>134</v>
      </c>
    </row>
    <row r="3755" customFormat="false" ht="15" hidden="false" customHeight="false" outlineLevel="0" collapsed="false">
      <c r="B3755" s="53"/>
      <c r="I3755" s="53"/>
      <c r="U3755" s="31" t="n">
        <f aca="false">IF($B3755='設定（最初に1回）'!$C$4,N(U3754)+1,N(U3754))</f>
        <v>134</v>
      </c>
    </row>
    <row r="3756" customFormat="false" ht="15" hidden="false" customHeight="false" outlineLevel="0" collapsed="false">
      <c r="B3756" s="53"/>
      <c r="I3756" s="53"/>
      <c r="U3756" s="31" t="n">
        <f aca="false">IF($B3756='設定（最初に1回）'!$C$4,N(U3755)+1,N(U3755))</f>
        <v>134</v>
      </c>
    </row>
    <row r="3757" customFormat="false" ht="15" hidden="false" customHeight="false" outlineLevel="0" collapsed="false">
      <c r="B3757" s="53"/>
      <c r="I3757" s="53"/>
      <c r="U3757" s="31" t="n">
        <f aca="false">IF($B3757='設定（最初に1回）'!$C$4,N(U3756)+1,N(U3756))</f>
        <v>134</v>
      </c>
    </row>
    <row r="3758" customFormat="false" ht="15" hidden="false" customHeight="false" outlineLevel="0" collapsed="false">
      <c r="B3758" s="53"/>
      <c r="I3758" s="53"/>
      <c r="U3758" s="31" t="n">
        <f aca="false">IF($B3758='設定（最初に1回）'!$C$4,N(U3757)+1,N(U3757))</f>
        <v>134</v>
      </c>
    </row>
    <row r="3759" customFormat="false" ht="15" hidden="false" customHeight="false" outlineLevel="0" collapsed="false">
      <c r="B3759" s="53"/>
      <c r="I3759" s="53"/>
      <c r="U3759" s="31" t="n">
        <f aca="false">IF($B3759='設定（最初に1回）'!$C$4,N(U3758)+1,N(U3758))</f>
        <v>134</v>
      </c>
    </row>
    <row r="3760" customFormat="false" ht="15" hidden="false" customHeight="false" outlineLevel="0" collapsed="false">
      <c r="B3760" s="53"/>
      <c r="I3760" s="53"/>
      <c r="U3760" s="31" t="n">
        <f aca="false">IF($B3760='設定（最初に1回）'!$C$4,N(U3759)+1,N(U3759))</f>
        <v>134</v>
      </c>
    </row>
    <row r="3761" customFormat="false" ht="15" hidden="false" customHeight="false" outlineLevel="0" collapsed="false">
      <c r="B3761" s="53"/>
      <c r="I3761" s="53"/>
      <c r="U3761" s="31" t="n">
        <f aca="false">IF($B3761='設定（最初に1回）'!$C$4,N(U3760)+1,N(U3760))</f>
        <v>134</v>
      </c>
    </row>
    <row r="3762" customFormat="false" ht="15" hidden="false" customHeight="false" outlineLevel="0" collapsed="false">
      <c r="B3762" s="53"/>
      <c r="I3762" s="53"/>
      <c r="U3762" s="31" t="n">
        <f aca="false">IF($B3762='設定（最初に1回）'!$C$4,N(U3761)+1,N(U3761))</f>
        <v>134</v>
      </c>
    </row>
    <row r="3763" customFormat="false" ht="15" hidden="false" customHeight="false" outlineLevel="0" collapsed="false">
      <c r="B3763" s="53"/>
      <c r="I3763" s="53"/>
      <c r="U3763" s="31" t="n">
        <f aca="false">IF($B3763='設定（最初に1回）'!$C$4,N(U3762)+1,N(U3762))</f>
        <v>134</v>
      </c>
    </row>
    <row r="3764" customFormat="false" ht="15" hidden="false" customHeight="false" outlineLevel="0" collapsed="false">
      <c r="B3764" s="53"/>
      <c r="I3764" s="53"/>
      <c r="U3764" s="31" t="n">
        <f aca="false">IF($B3764='設定（最初に1回）'!$C$4,N(U3763)+1,N(U3763))</f>
        <v>134</v>
      </c>
    </row>
    <row r="3765" customFormat="false" ht="15" hidden="false" customHeight="false" outlineLevel="0" collapsed="false">
      <c r="B3765" s="53"/>
      <c r="I3765" s="53"/>
      <c r="U3765" s="31" t="n">
        <f aca="false">IF($B3765='設定（最初に1回）'!$C$4,N(U3764)+1,N(U3764))</f>
        <v>134</v>
      </c>
    </row>
    <row r="3766" customFormat="false" ht="15" hidden="false" customHeight="false" outlineLevel="0" collapsed="false">
      <c r="B3766" s="53"/>
      <c r="I3766" s="53"/>
      <c r="U3766" s="31" t="n">
        <f aca="false">IF($B3766='設定（最初に1回）'!$C$4,N(U3765)+1,N(U3765))</f>
        <v>134</v>
      </c>
    </row>
    <row r="3767" customFormat="false" ht="15" hidden="false" customHeight="false" outlineLevel="0" collapsed="false">
      <c r="B3767" s="53"/>
      <c r="I3767" s="53"/>
      <c r="U3767" s="31" t="n">
        <f aca="false">IF($B3767='設定（最初に1回）'!$C$4,N(U3766)+1,N(U3766))</f>
        <v>134</v>
      </c>
    </row>
    <row r="3768" customFormat="false" ht="15" hidden="false" customHeight="false" outlineLevel="0" collapsed="false">
      <c r="B3768" s="53"/>
      <c r="I3768" s="53"/>
      <c r="U3768" s="31" t="n">
        <f aca="false">IF($B3768='設定（最初に1回）'!$C$4,N(U3767)+1,N(U3767))</f>
        <v>134</v>
      </c>
    </row>
    <row r="3769" customFormat="false" ht="15" hidden="false" customHeight="false" outlineLevel="0" collapsed="false">
      <c r="B3769" s="53"/>
      <c r="I3769" s="53"/>
      <c r="U3769" s="31" t="n">
        <f aca="false">IF($B3769='設定（最初に1回）'!$C$4,N(U3768)+1,N(U3768))</f>
        <v>134</v>
      </c>
    </row>
    <row r="3770" customFormat="false" ht="15" hidden="false" customHeight="false" outlineLevel="0" collapsed="false">
      <c r="B3770" s="53"/>
      <c r="I3770" s="53"/>
      <c r="U3770" s="31" t="n">
        <f aca="false">IF($B3770='設定（最初に1回）'!$C$4,N(U3769)+1,N(U3769))</f>
        <v>134</v>
      </c>
    </row>
    <row r="3771" customFormat="false" ht="15" hidden="false" customHeight="false" outlineLevel="0" collapsed="false">
      <c r="B3771" s="53"/>
      <c r="I3771" s="53"/>
      <c r="U3771" s="31" t="n">
        <f aca="false">IF($B3771='設定（最初に1回）'!$C$4,N(U3770)+1,N(U3770))</f>
        <v>134</v>
      </c>
    </row>
    <row r="3772" customFormat="false" ht="15" hidden="false" customHeight="false" outlineLevel="0" collapsed="false">
      <c r="B3772" s="53"/>
      <c r="I3772" s="53"/>
      <c r="U3772" s="31" t="n">
        <f aca="false">IF($B3772='設定（最初に1回）'!$C$4,N(U3771)+1,N(U3771))</f>
        <v>134</v>
      </c>
    </row>
    <row r="3773" customFormat="false" ht="15" hidden="false" customHeight="false" outlineLevel="0" collapsed="false">
      <c r="B3773" s="53"/>
      <c r="I3773" s="53"/>
      <c r="U3773" s="31" t="n">
        <f aca="false">IF($B3773='設定（最初に1回）'!$C$4,N(U3772)+1,N(U3772))</f>
        <v>134</v>
      </c>
    </row>
    <row r="3774" customFormat="false" ht="15" hidden="false" customHeight="false" outlineLevel="0" collapsed="false">
      <c r="B3774" s="53"/>
      <c r="I3774" s="53"/>
      <c r="U3774" s="31" t="n">
        <f aca="false">IF($B3774='設定（最初に1回）'!$C$4,N(U3773)+1,N(U3773))</f>
        <v>134</v>
      </c>
    </row>
    <row r="3775" customFormat="false" ht="15" hidden="false" customHeight="false" outlineLevel="0" collapsed="false">
      <c r="B3775" s="53"/>
      <c r="I3775" s="53"/>
      <c r="U3775" s="31" t="n">
        <f aca="false">IF($B3775='設定（最初に1回）'!$C$4,N(U3774)+1,N(U3774))</f>
        <v>134</v>
      </c>
    </row>
    <row r="3776" customFormat="false" ht="15" hidden="false" customHeight="false" outlineLevel="0" collapsed="false">
      <c r="B3776" s="53"/>
      <c r="I3776" s="53"/>
      <c r="U3776" s="31" t="n">
        <f aca="false">IF($B3776='設定（最初に1回）'!$C$4,N(U3775)+1,N(U3775))</f>
        <v>134</v>
      </c>
    </row>
    <row r="3777" customFormat="false" ht="15" hidden="false" customHeight="false" outlineLevel="0" collapsed="false">
      <c r="B3777" s="53"/>
      <c r="I3777" s="53"/>
      <c r="U3777" s="31" t="n">
        <f aca="false">IF($B3777='設定（最初に1回）'!$C$4,N(U3776)+1,N(U3776))</f>
        <v>134</v>
      </c>
    </row>
    <row r="3778" customFormat="false" ht="15" hidden="false" customHeight="false" outlineLevel="0" collapsed="false">
      <c r="B3778" s="53"/>
      <c r="I3778" s="53"/>
      <c r="U3778" s="31" t="n">
        <f aca="false">IF($B3778='設定（最初に1回）'!$C$4,N(U3777)+1,N(U3777))</f>
        <v>134</v>
      </c>
    </row>
    <row r="3779" customFormat="false" ht="15" hidden="false" customHeight="false" outlineLevel="0" collapsed="false">
      <c r="B3779" s="53"/>
      <c r="I3779" s="53"/>
      <c r="U3779" s="31" t="n">
        <f aca="false">IF($B3779='設定（最初に1回）'!$C$4,N(U3778)+1,N(U3778))</f>
        <v>134</v>
      </c>
    </row>
    <row r="3780" customFormat="false" ht="15" hidden="false" customHeight="false" outlineLevel="0" collapsed="false">
      <c r="B3780" s="53"/>
      <c r="I3780" s="53"/>
      <c r="U3780" s="31" t="n">
        <f aca="false">IF($B3780='設定（最初に1回）'!$C$4,N(U3779)+1,N(U3779))</f>
        <v>134</v>
      </c>
    </row>
    <row r="3781" customFormat="false" ht="15" hidden="false" customHeight="false" outlineLevel="0" collapsed="false">
      <c r="B3781" s="53"/>
      <c r="I3781" s="53"/>
      <c r="U3781" s="31" t="n">
        <f aca="false">IF($B3781='設定（最初に1回）'!$C$4,N(U3780)+1,N(U3780))</f>
        <v>134</v>
      </c>
    </row>
    <row r="3782" customFormat="false" ht="15" hidden="false" customHeight="false" outlineLevel="0" collapsed="false">
      <c r="B3782" s="53"/>
      <c r="I3782" s="53"/>
      <c r="U3782" s="31" t="n">
        <f aca="false">IF($B3782='設定（最初に1回）'!$C$4,N(U3781)+1,N(U3781))</f>
        <v>134</v>
      </c>
    </row>
    <row r="3783" customFormat="false" ht="15" hidden="false" customHeight="false" outlineLevel="0" collapsed="false">
      <c r="B3783" s="53"/>
      <c r="I3783" s="53"/>
      <c r="U3783" s="31" t="n">
        <f aca="false">IF($B3783='設定（最初に1回）'!$C$4,N(U3782)+1,N(U3782))</f>
        <v>134</v>
      </c>
    </row>
    <row r="3784" customFormat="false" ht="15" hidden="false" customHeight="false" outlineLevel="0" collapsed="false">
      <c r="B3784" s="53"/>
      <c r="I3784" s="53"/>
      <c r="U3784" s="31" t="n">
        <f aca="false">IF($B3784='設定（最初に1回）'!$C$4,N(U3783)+1,N(U3783))</f>
        <v>134</v>
      </c>
    </row>
    <row r="3785" customFormat="false" ht="15" hidden="false" customHeight="false" outlineLevel="0" collapsed="false">
      <c r="B3785" s="53"/>
      <c r="I3785" s="53"/>
      <c r="U3785" s="31" t="n">
        <f aca="false">IF($B3785='設定（最初に1回）'!$C$4,N(U3784)+1,N(U3784))</f>
        <v>134</v>
      </c>
    </row>
    <row r="3786" customFormat="false" ht="15" hidden="false" customHeight="false" outlineLevel="0" collapsed="false">
      <c r="B3786" s="53"/>
      <c r="I3786" s="53"/>
      <c r="U3786" s="31" t="n">
        <f aca="false">IF($B3786='設定（最初に1回）'!$C$4,N(U3785)+1,N(U3785))</f>
        <v>134</v>
      </c>
    </row>
    <row r="3787" customFormat="false" ht="15" hidden="false" customHeight="false" outlineLevel="0" collapsed="false">
      <c r="B3787" s="53"/>
      <c r="I3787" s="53"/>
      <c r="U3787" s="31" t="n">
        <f aca="false">IF($B3787='設定（最初に1回）'!$C$4,N(U3786)+1,N(U3786))</f>
        <v>134</v>
      </c>
    </row>
    <row r="3788" customFormat="false" ht="15" hidden="false" customHeight="false" outlineLevel="0" collapsed="false">
      <c r="B3788" s="53"/>
      <c r="I3788" s="53"/>
      <c r="U3788" s="31" t="n">
        <f aca="false">IF($B3788='設定（最初に1回）'!$C$4,N(U3787)+1,N(U3787))</f>
        <v>134</v>
      </c>
    </row>
    <row r="3789" customFormat="false" ht="15" hidden="false" customHeight="false" outlineLevel="0" collapsed="false">
      <c r="B3789" s="53"/>
      <c r="I3789" s="53"/>
      <c r="U3789" s="31" t="n">
        <f aca="false">IF($B3789='設定（最初に1回）'!$C$4,N(U3788)+1,N(U3788))</f>
        <v>134</v>
      </c>
    </row>
    <row r="3790" customFormat="false" ht="15" hidden="false" customHeight="false" outlineLevel="0" collapsed="false">
      <c r="B3790" s="53"/>
      <c r="I3790" s="53"/>
      <c r="U3790" s="31" t="n">
        <f aca="false">IF($B3790='設定（最初に1回）'!$C$4,N(U3789)+1,N(U3789))</f>
        <v>134</v>
      </c>
    </row>
    <row r="3791" customFormat="false" ht="15" hidden="false" customHeight="false" outlineLevel="0" collapsed="false">
      <c r="B3791" s="53"/>
      <c r="I3791" s="53"/>
      <c r="U3791" s="31" t="n">
        <f aca="false">IF($B3791='設定（最初に1回）'!$C$4,N(U3790)+1,N(U3790))</f>
        <v>134</v>
      </c>
    </row>
    <row r="3792" customFormat="false" ht="15" hidden="false" customHeight="false" outlineLevel="0" collapsed="false">
      <c r="B3792" s="53"/>
      <c r="I3792" s="53"/>
      <c r="U3792" s="31" t="n">
        <f aca="false">IF($B3792='設定（最初に1回）'!$C$4,N(U3791)+1,N(U3791))</f>
        <v>134</v>
      </c>
    </row>
    <row r="3793" customFormat="false" ht="15" hidden="false" customHeight="false" outlineLevel="0" collapsed="false">
      <c r="B3793" s="53"/>
      <c r="I3793" s="53"/>
      <c r="U3793" s="31" t="n">
        <f aca="false">IF($B3793='設定（最初に1回）'!$C$4,N(U3792)+1,N(U3792))</f>
        <v>134</v>
      </c>
    </row>
    <row r="3794" customFormat="false" ht="15" hidden="false" customHeight="false" outlineLevel="0" collapsed="false">
      <c r="B3794" s="53"/>
      <c r="I3794" s="53"/>
      <c r="U3794" s="31" t="n">
        <f aca="false">IF($B3794='設定（最初に1回）'!$C$4,N(U3793)+1,N(U3793))</f>
        <v>134</v>
      </c>
    </row>
    <row r="3795" customFormat="false" ht="15" hidden="false" customHeight="false" outlineLevel="0" collapsed="false">
      <c r="B3795" s="53"/>
      <c r="I3795" s="53"/>
      <c r="U3795" s="31" t="n">
        <f aca="false">IF($B3795='設定（最初に1回）'!$C$4,N(U3794)+1,N(U3794))</f>
        <v>134</v>
      </c>
    </row>
    <row r="3796" customFormat="false" ht="15" hidden="false" customHeight="false" outlineLevel="0" collapsed="false">
      <c r="B3796" s="53"/>
      <c r="I3796" s="53"/>
      <c r="U3796" s="31" t="n">
        <f aca="false">IF($B3796='設定（最初に1回）'!$C$4,N(U3795)+1,N(U3795))</f>
        <v>134</v>
      </c>
    </row>
    <row r="3797" customFormat="false" ht="15" hidden="false" customHeight="false" outlineLevel="0" collapsed="false">
      <c r="B3797" s="53"/>
      <c r="I3797" s="53"/>
      <c r="U3797" s="31" t="n">
        <f aca="false">IF($B3797='設定（最初に1回）'!$C$4,N(U3796)+1,N(U3796))</f>
        <v>134</v>
      </c>
    </row>
    <row r="3798" customFormat="false" ht="15" hidden="false" customHeight="false" outlineLevel="0" collapsed="false">
      <c r="B3798" s="53"/>
      <c r="I3798" s="53"/>
      <c r="U3798" s="31" t="n">
        <f aca="false">IF($B3798='設定（最初に1回）'!$C$4,N(U3797)+1,N(U3797))</f>
        <v>134</v>
      </c>
    </row>
    <row r="3799" customFormat="false" ht="15" hidden="false" customHeight="false" outlineLevel="0" collapsed="false">
      <c r="B3799" s="53"/>
      <c r="I3799" s="53"/>
      <c r="U3799" s="31" t="n">
        <f aca="false">IF($B3799='設定（最初に1回）'!$C$4,N(U3798)+1,N(U3798))</f>
        <v>134</v>
      </c>
    </row>
    <row r="3800" customFormat="false" ht="15" hidden="false" customHeight="false" outlineLevel="0" collapsed="false">
      <c r="B3800" s="53"/>
      <c r="I3800" s="53"/>
      <c r="U3800" s="31" t="n">
        <f aca="false">IF($B3800='設定（最初に1回）'!$C$4,N(U3799)+1,N(U3799))</f>
        <v>134</v>
      </c>
    </row>
    <row r="3801" customFormat="false" ht="15" hidden="false" customHeight="false" outlineLevel="0" collapsed="false">
      <c r="B3801" s="53"/>
      <c r="I3801" s="53"/>
      <c r="U3801" s="31" t="n">
        <f aca="false">IF($B3801='設定（最初に1回）'!$C$4,N(U3800)+1,N(U3800))</f>
        <v>134</v>
      </c>
    </row>
    <row r="3802" customFormat="false" ht="15" hidden="false" customHeight="false" outlineLevel="0" collapsed="false">
      <c r="B3802" s="53"/>
      <c r="I3802" s="53"/>
      <c r="U3802" s="31" t="n">
        <f aca="false">IF($B3802='設定（最初に1回）'!$C$4,N(U3801)+1,N(U3801))</f>
        <v>134</v>
      </c>
    </row>
    <row r="3803" customFormat="false" ht="15" hidden="false" customHeight="false" outlineLevel="0" collapsed="false">
      <c r="B3803" s="53"/>
      <c r="I3803" s="53"/>
      <c r="U3803" s="31" t="n">
        <f aca="false">IF($B3803='設定（最初に1回）'!$C$4,N(U3802)+1,N(U3802))</f>
        <v>134</v>
      </c>
    </row>
    <row r="3804" customFormat="false" ht="15" hidden="false" customHeight="false" outlineLevel="0" collapsed="false">
      <c r="B3804" s="53"/>
      <c r="I3804" s="53"/>
      <c r="U3804" s="31" t="n">
        <f aca="false">IF($B3804='設定（最初に1回）'!$C$4,N(U3803)+1,N(U3803))</f>
        <v>134</v>
      </c>
    </row>
    <row r="3805" customFormat="false" ht="15" hidden="false" customHeight="false" outlineLevel="0" collapsed="false">
      <c r="B3805" s="53"/>
      <c r="I3805" s="53"/>
      <c r="U3805" s="31" t="n">
        <f aca="false">IF($B3805='設定（最初に1回）'!$C$4,N(U3804)+1,N(U3804))</f>
        <v>134</v>
      </c>
    </row>
    <row r="3806" customFormat="false" ht="15" hidden="false" customHeight="false" outlineLevel="0" collapsed="false">
      <c r="B3806" s="53"/>
      <c r="I3806" s="53"/>
      <c r="U3806" s="31" t="n">
        <f aca="false">IF($B3806='設定（最初に1回）'!$C$4,N(U3805)+1,N(U3805))</f>
        <v>134</v>
      </c>
    </row>
    <row r="3807" customFormat="false" ht="15" hidden="false" customHeight="false" outlineLevel="0" collapsed="false">
      <c r="B3807" s="53"/>
      <c r="I3807" s="53"/>
      <c r="U3807" s="31" t="n">
        <f aca="false">IF($B3807='設定（最初に1回）'!$C$4,N(U3806)+1,N(U3806))</f>
        <v>134</v>
      </c>
    </row>
    <row r="3808" customFormat="false" ht="15" hidden="false" customHeight="false" outlineLevel="0" collapsed="false">
      <c r="B3808" s="53"/>
      <c r="I3808" s="53"/>
      <c r="U3808" s="31" t="n">
        <f aca="false">IF($B3808='設定（最初に1回）'!$C$4,N(U3807)+1,N(U3807))</f>
        <v>134</v>
      </c>
    </row>
    <row r="3809" customFormat="false" ht="15" hidden="false" customHeight="false" outlineLevel="0" collapsed="false">
      <c r="B3809" s="53"/>
      <c r="I3809" s="53"/>
      <c r="U3809" s="31" t="n">
        <f aca="false">IF($B3809='設定（最初に1回）'!$C$4,N(U3808)+1,N(U3808))</f>
        <v>134</v>
      </c>
    </row>
    <row r="3810" customFormat="false" ht="15" hidden="false" customHeight="false" outlineLevel="0" collapsed="false">
      <c r="B3810" s="53"/>
      <c r="I3810" s="53"/>
      <c r="U3810" s="31" t="n">
        <f aca="false">IF($B3810='設定（最初に1回）'!$C$4,N(U3809)+1,N(U3809))</f>
        <v>134</v>
      </c>
    </row>
    <row r="3811" customFormat="false" ht="15" hidden="false" customHeight="false" outlineLevel="0" collapsed="false">
      <c r="B3811" s="53"/>
      <c r="I3811" s="53"/>
      <c r="U3811" s="31" t="n">
        <f aca="false">IF($B3811='設定（最初に1回）'!$C$4,N(U3810)+1,N(U3810))</f>
        <v>134</v>
      </c>
    </row>
    <row r="3812" customFormat="false" ht="15" hidden="false" customHeight="false" outlineLevel="0" collapsed="false">
      <c r="B3812" s="53"/>
      <c r="I3812" s="53"/>
      <c r="U3812" s="31" t="n">
        <f aca="false">IF($B3812='設定（最初に1回）'!$C$4,N(U3811)+1,N(U3811))</f>
        <v>134</v>
      </c>
    </row>
    <row r="3813" customFormat="false" ht="15" hidden="false" customHeight="false" outlineLevel="0" collapsed="false">
      <c r="B3813" s="53"/>
      <c r="I3813" s="53"/>
      <c r="U3813" s="31" t="n">
        <f aca="false">IF($B3813='設定（最初に1回）'!$C$4,N(U3812)+1,N(U3812))</f>
        <v>134</v>
      </c>
    </row>
    <row r="3814" customFormat="false" ht="15" hidden="false" customHeight="false" outlineLevel="0" collapsed="false">
      <c r="B3814" s="53"/>
      <c r="I3814" s="53"/>
      <c r="U3814" s="31" t="n">
        <f aca="false">IF($B3814='設定（最初に1回）'!$C$4,N(U3813)+1,N(U3813))</f>
        <v>134</v>
      </c>
    </row>
    <row r="3815" customFormat="false" ht="15" hidden="false" customHeight="false" outlineLevel="0" collapsed="false">
      <c r="B3815" s="53"/>
      <c r="I3815" s="53"/>
      <c r="U3815" s="31" t="n">
        <f aca="false">IF($B3815='設定（最初に1回）'!$C$4,N(U3814)+1,N(U3814))</f>
        <v>134</v>
      </c>
    </row>
    <row r="3816" customFormat="false" ht="15" hidden="false" customHeight="false" outlineLevel="0" collapsed="false">
      <c r="B3816" s="53"/>
      <c r="I3816" s="53"/>
      <c r="U3816" s="31" t="n">
        <f aca="false">IF($B3816='設定（最初に1回）'!$C$4,N(U3815)+1,N(U3815))</f>
        <v>134</v>
      </c>
    </row>
    <row r="3817" customFormat="false" ht="15" hidden="false" customHeight="false" outlineLevel="0" collapsed="false">
      <c r="B3817" s="53"/>
      <c r="I3817" s="53"/>
      <c r="U3817" s="31" t="n">
        <f aca="false">IF($B3817='設定（最初に1回）'!$C$4,N(U3816)+1,N(U3816))</f>
        <v>134</v>
      </c>
    </row>
    <row r="3818" customFormat="false" ht="15" hidden="false" customHeight="false" outlineLevel="0" collapsed="false">
      <c r="B3818" s="53"/>
      <c r="I3818" s="53"/>
      <c r="U3818" s="31" t="n">
        <f aca="false">IF($B3818='設定（最初に1回）'!$C$4,N(U3817)+1,N(U3817))</f>
        <v>134</v>
      </c>
    </row>
    <row r="3819" customFormat="false" ht="15" hidden="false" customHeight="false" outlineLevel="0" collapsed="false">
      <c r="B3819" s="53"/>
      <c r="I3819" s="53"/>
      <c r="U3819" s="31" t="n">
        <f aca="false">IF($B3819='設定（最初に1回）'!$C$4,N(U3818)+1,N(U3818))</f>
        <v>134</v>
      </c>
    </row>
    <row r="3820" customFormat="false" ht="15" hidden="false" customHeight="false" outlineLevel="0" collapsed="false">
      <c r="B3820" s="53"/>
      <c r="I3820" s="53"/>
      <c r="U3820" s="31" t="n">
        <f aca="false">IF($B3820='設定（最初に1回）'!$C$4,N(U3819)+1,N(U3819))</f>
        <v>134</v>
      </c>
    </row>
    <row r="3821" customFormat="false" ht="15" hidden="false" customHeight="false" outlineLevel="0" collapsed="false">
      <c r="B3821" s="53"/>
      <c r="I3821" s="53"/>
      <c r="U3821" s="31" t="n">
        <f aca="false">IF($B3821='設定（最初に1回）'!$C$4,N(U3820)+1,N(U3820))</f>
        <v>134</v>
      </c>
    </row>
    <row r="3822" customFormat="false" ht="15" hidden="false" customHeight="false" outlineLevel="0" collapsed="false">
      <c r="B3822" s="53"/>
      <c r="I3822" s="53"/>
      <c r="U3822" s="31" t="n">
        <f aca="false">IF($B3822='設定（最初に1回）'!$C$4,N(U3821)+1,N(U3821))</f>
        <v>134</v>
      </c>
    </row>
    <row r="3823" customFormat="false" ht="15" hidden="false" customHeight="false" outlineLevel="0" collapsed="false">
      <c r="B3823" s="53"/>
      <c r="I3823" s="53"/>
      <c r="U3823" s="31" t="n">
        <f aca="false">IF($B3823='設定（最初に1回）'!$C$4,N(U3822)+1,N(U3822))</f>
        <v>134</v>
      </c>
    </row>
    <row r="3824" customFormat="false" ht="15" hidden="false" customHeight="false" outlineLevel="0" collapsed="false">
      <c r="B3824" s="53"/>
      <c r="I3824" s="53"/>
      <c r="U3824" s="31" t="n">
        <f aca="false">IF($B3824='設定（最初に1回）'!$C$4,N(U3823)+1,N(U3823))</f>
        <v>134</v>
      </c>
    </row>
    <row r="3825" customFormat="false" ht="15" hidden="false" customHeight="false" outlineLevel="0" collapsed="false">
      <c r="B3825" s="53"/>
      <c r="I3825" s="53"/>
      <c r="U3825" s="31" t="n">
        <f aca="false">IF($B3825='設定（最初に1回）'!$C$4,N(U3824)+1,N(U3824))</f>
        <v>134</v>
      </c>
    </row>
    <row r="3826" customFormat="false" ht="15" hidden="false" customHeight="false" outlineLevel="0" collapsed="false">
      <c r="B3826" s="53"/>
      <c r="I3826" s="53"/>
      <c r="U3826" s="31" t="n">
        <f aca="false">IF($B3826='設定（最初に1回）'!$C$4,N(U3825)+1,N(U3825))</f>
        <v>134</v>
      </c>
    </row>
    <row r="3827" customFormat="false" ht="15" hidden="false" customHeight="false" outlineLevel="0" collapsed="false">
      <c r="B3827" s="53"/>
      <c r="I3827" s="53"/>
      <c r="U3827" s="31" t="n">
        <f aca="false">IF($B3827='設定（最初に1回）'!$C$4,N(U3826)+1,N(U3826))</f>
        <v>134</v>
      </c>
    </row>
    <row r="3828" customFormat="false" ht="15" hidden="false" customHeight="false" outlineLevel="0" collapsed="false">
      <c r="B3828" s="53"/>
      <c r="I3828" s="53"/>
      <c r="U3828" s="31" t="n">
        <f aca="false">IF($B3828='設定（最初に1回）'!$C$4,N(U3827)+1,N(U3827))</f>
        <v>134</v>
      </c>
    </row>
    <row r="3829" customFormat="false" ht="15" hidden="false" customHeight="false" outlineLevel="0" collapsed="false">
      <c r="B3829" s="53"/>
      <c r="I3829" s="53"/>
      <c r="U3829" s="31" t="n">
        <f aca="false">IF($B3829='設定（最初に1回）'!$C$4,N(U3828)+1,N(U3828))</f>
        <v>134</v>
      </c>
    </row>
    <row r="3830" customFormat="false" ht="15" hidden="false" customHeight="false" outlineLevel="0" collapsed="false">
      <c r="B3830" s="53"/>
      <c r="I3830" s="53"/>
      <c r="U3830" s="31" t="n">
        <f aca="false">IF($B3830='設定（最初に1回）'!$C$4,N(U3829)+1,N(U3829))</f>
        <v>134</v>
      </c>
    </row>
    <row r="3831" customFormat="false" ht="15" hidden="false" customHeight="false" outlineLevel="0" collapsed="false">
      <c r="B3831" s="53"/>
      <c r="I3831" s="53"/>
      <c r="U3831" s="31" t="n">
        <f aca="false">IF($B3831='設定（最初に1回）'!$C$4,N(U3830)+1,N(U3830))</f>
        <v>134</v>
      </c>
    </row>
    <row r="3832" customFormat="false" ht="15" hidden="false" customHeight="false" outlineLevel="0" collapsed="false">
      <c r="B3832" s="53"/>
      <c r="I3832" s="53"/>
      <c r="U3832" s="31" t="n">
        <f aca="false">IF($B3832='設定（最初に1回）'!$C$4,N(U3831)+1,N(U3831))</f>
        <v>134</v>
      </c>
    </row>
    <row r="3833" customFormat="false" ht="15" hidden="false" customHeight="false" outlineLevel="0" collapsed="false">
      <c r="B3833" s="53"/>
      <c r="I3833" s="53"/>
      <c r="U3833" s="31" t="n">
        <f aca="false">IF($B3833='設定（最初に1回）'!$C$4,N(U3832)+1,N(U3832))</f>
        <v>134</v>
      </c>
    </row>
    <row r="3834" customFormat="false" ht="15" hidden="false" customHeight="false" outlineLevel="0" collapsed="false">
      <c r="B3834" s="53"/>
      <c r="I3834" s="53"/>
      <c r="U3834" s="31" t="n">
        <f aca="false">IF($B3834='設定（最初に1回）'!$C$4,N(U3833)+1,N(U3833))</f>
        <v>134</v>
      </c>
    </row>
    <row r="3835" customFormat="false" ht="15" hidden="false" customHeight="false" outlineLevel="0" collapsed="false">
      <c r="B3835" s="53"/>
      <c r="I3835" s="53"/>
      <c r="U3835" s="31" t="n">
        <f aca="false">IF($B3835='設定（最初に1回）'!$C$4,N(U3834)+1,N(U3834))</f>
        <v>134</v>
      </c>
    </row>
    <row r="3836" customFormat="false" ht="15" hidden="false" customHeight="false" outlineLevel="0" collapsed="false">
      <c r="B3836" s="53"/>
      <c r="I3836" s="53"/>
      <c r="U3836" s="31" t="n">
        <f aca="false">IF($B3836='設定（最初に1回）'!$C$4,N(U3835)+1,N(U3835))</f>
        <v>134</v>
      </c>
    </row>
    <row r="3837" customFormat="false" ht="15" hidden="false" customHeight="false" outlineLevel="0" collapsed="false">
      <c r="B3837" s="53"/>
      <c r="I3837" s="53"/>
      <c r="U3837" s="31" t="n">
        <f aca="false">IF($B3837='設定（最初に1回）'!$C$4,N(U3836)+1,N(U3836))</f>
        <v>134</v>
      </c>
    </row>
    <row r="3838" customFormat="false" ht="15" hidden="false" customHeight="false" outlineLevel="0" collapsed="false">
      <c r="B3838" s="53"/>
      <c r="I3838" s="53"/>
      <c r="U3838" s="31" t="n">
        <f aca="false">IF($B3838='設定（最初に1回）'!$C$4,N(U3837)+1,N(U3837))</f>
        <v>134</v>
      </c>
    </row>
    <row r="3839" customFormat="false" ht="15" hidden="false" customHeight="false" outlineLevel="0" collapsed="false">
      <c r="B3839" s="53"/>
      <c r="I3839" s="53"/>
      <c r="U3839" s="31" t="n">
        <f aca="false">IF($B3839='設定（最初に1回）'!$C$4,N(U3838)+1,N(U3838))</f>
        <v>134</v>
      </c>
    </row>
    <row r="3840" customFormat="false" ht="15" hidden="false" customHeight="false" outlineLevel="0" collapsed="false">
      <c r="B3840" s="53"/>
      <c r="I3840" s="53"/>
      <c r="U3840" s="31" t="n">
        <f aca="false">IF($B3840='設定（最初に1回）'!$C$4,N(U3839)+1,N(U3839))</f>
        <v>134</v>
      </c>
    </row>
    <row r="3841" customFormat="false" ht="15" hidden="false" customHeight="false" outlineLevel="0" collapsed="false">
      <c r="B3841" s="53"/>
      <c r="I3841" s="53"/>
      <c r="U3841" s="31" t="n">
        <f aca="false">IF($B3841='設定（最初に1回）'!$C$4,N(U3840)+1,N(U3840))</f>
        <v>134</v>
      </c>
    </row>
    <row r="3842" customFormat="false" ht="15" hidden="false" customHeight="false" outlineLevel="0" collapsed="false">
      <c r="B3842" s="53"/>
      <c r="I3842" s="53"/>
      <c r="U3842" s="31" t="n">
        <f aca="false">IF($B3842='設定（最初に1回）'!$C$4,N(U3841)+1,N(U3841))</f>
        <v>134</v>
      </c>
    </row>
    <row r="3843" customFormat="false" ht="15" hidden="false" customHeight="false" outlineLevel="0" collapsed="false">
      <c r="B3843" s="53"/>
      <c r="I3843" s="53"/>
      <c r="U3843" s="31" t="n">
        <f aca="false">IF($B3843='設定（最初に1回）'!$C$4,N(U3842)+1,N(U3842))</f>
        <v>134</v>
      </c>
    </row>
    <row r="3844" customFormat="false" ht="15" hidden="false" customHeight="false" outlineLevel="0" collapsed="false">
      <c r="B3844" s="53"/>
      <c r="I3844" s="53"/>
      <c r="U3844" s="31" t="n">
        <f aca="false">IF($B3844='設定（最初に1回）'!$C$4,N(U3843)+1,N(U3843))</f>
        <v>134</v>
      </c>
    </row>
    <row r="3845" customFormat="false" ht="15" hidden="false" customHeight="false" outlineLevel="0" collapsed="false">
      <c r="B3845" s="53"/>
      <c r="I3845" s="53"/>
      <c r="U3845" s="31" t="n">
        <f aca="false">IF($B3845='設定（最初に1回）'!$C$4,N(U3844)+1,N(U3844))</f>
        <v>134</v>
      </c>
    </row>
    <row r="3846" customFormat="false" ht="15" hidden="false" customHeight="false" outlineLevel="0" collapsed="false">
      <c r="B3846" s="53"/>
      <c r="I3846" s="53"/>
      <c r="U3846" s="31" t="n">
        <f aca="false">IF($B3846='設定（最初に1回）'!$C$4,N(U3845)+1,N(U3845))</f>
        <v>134</v>
      </c>
    </row>
    <row r="3847" customFormat="false" ht="15" hidden="false" customHeight="false" outlineLevel="0" collapsed="false">
      <c r="B3847" s="53"/>
      <c r="I3847" s="53"/>
      <c r="U3847" s="31" t="n">
        <f aca="false">IF($B3847='設定（最初に1回）'!$C$4,N(U3846)+1,N(U3846))</f>
        <v>134</v>
      </c>
    </row>
    <row r="3848" customFormat="false" ht="15" hidden="false" customHeight="false" outlineLevel="0" collapsed="false">
      <c r="B3848" s="53"/>
      <c r="I3848" s="53"/>
      <c r="U3848" s="31" t="n">
        <f aca="false">IF($B3848='設定（最初に1回）'!$C$4,N(U3847)+1,N(U3847))</f>
        <v>134</v>
      </c>
    </row>
    <row r="3849" customFormat="false" ht="15" hidden="false" customHeight="false" outlineLevel="0" collapsed="false">
      <c r="B3849" s="53"/>
      <c r="I3849" s="53"/>
      <c r="U3849" s="31" t="n">
        <f aca="false">IF($B3849='設定（最初に1回）'!$C$4,N(U3848)+1,N(U3848))</f>
        <v>134</v>
      </c>
    </row>
    <row r="3850" customFormat="false" ht="15" hidden="false" customHeight="false" outlineLevel="0" collapsed="false">
      <c r="B3850" s="53"/>
      <c r="I3850" s="53"/>
      <c r="U3850" s="31" t="n">
        <f aca="false">IF($B3850='設定（最初に1回）'!$C$4,N(U3849)+1,N(U3849))</f>
        <v>134</v>
      </c>
    </row>
    <row r="3851" customFormat="false" ht="15" hidden="false" customHeight="false" outlineLevel="0" collapsed="false">
      <c r="B3851" s="53"/>
      <c r="I3851" s="53"/>
      <c r="U3851" s="31" t="n">
        <f aca="false">IF($B3851='設定（最初に1回）'!$C$4,N(U3850)+1,N(U3850))</f>
        <v>134</v>
      </c>
    </row>
    <row r="3852" customFormat="false" ht="15" hidden="false" customHeight="false" outlineLevel="0" collapsed="false">
      <c r="B3852" s="53"/>
      <c r="I3852" s="53"/>
      <c r="U3852" s="31" t="n">
        <f aca="false">IF($B3852='設定（最初に1回）'!$C$4,N(U3851)+1,N(U3851))</f>
        <v>134</v>
      </c>
    </row>
    <row r="3853" customFormat="false" ht="15" hidden="false" customHeight="false" outlineLevel="0" collapsed="false">
      <c r="B3853" s="53"/>
      <c r="I3853" s="53"/>
      <c r="U3853" s="31" t="n">
        <f aca="false">IF($B3853='設定（最初に1回）'!$C$4,N(U3852)+1,N(U3852))</f>
        <v>134</v>
      </c>
    </row>
    <row r="3854" customFormat="false" ht="15" hidden="false" customHeight="false" outlineLevel="0" collapsed="false">
      <c r="B3854" s="53"/>
      <c r="I3854" s="53"/>
      <c r="U3854" s="31" t="n">
        <f aca="false">IF($B3854='設定（最初に1回）'!$C$4,N(U3853)+1,N(U3853))</f>
        <v>134</v>
      </c>
    </row>
    <row r="3855" customFormat="false" ht="15" hidden="false" customHeight="false" outlineLevel="0" collapsed="false">
      <c r="B3855" s="53"/>
      <c r="I3855" s="53"/>
      <c r="U3855" s="31" t="n">
        <f aca="false">IF($B3855='設定（最初に1回）'!$C$4,N(U3854)+1,N(U3854))</f>
        <v>134</v>
      </c>
    </row>
    <row r="3856" customFormat="false" ht="15" hidden="false" customHeight="false" outlineLevel="0" collapsed="false">
      <c r="B3856" s="53"/>
      <c r="I3856" s="53"/>
      <c r="U3856" s="31" t="n">
        <f aca="false">IF($B3856='設定（最初に1回）'!$C$4,N(U3855)+1,N(U3855))</f>
        <v>134</v>
      </c>
    </row>
    <row r="3857" customFormat="false" ht="15" hidden="false" customHeight="false" outlineLevel="0" collapsed="false">
      <c r="B3857" s="53"/>
      <c r="I3857" s="53"/>
      <c r="U3857" s="31" t="n">
        <f aca="false">IF($B3857='設定（最初に1回）'!$C$4,N(U3856)+1,N(U3856))</f>
        <v>134</v>
      </c>
    </row>
    <row r="3858" customFormat="false" ht="15" hidden="false" customHeight="false" outlineLevel="0" collapsed="false">
      <c r="B3858" s="53"/>
      <c r="I3858" s="53"/>
      <c r="U3858" s="31" t="n">
        <f aca="false">IF($B3858='設定（最初に1回）'!$C$4,N(U3857)+1,N(U3857))</f>
        <v>134</v>
      </c>
    </row>
    <row r="3859" customFormat="false" ht="15" hidden="false" customHeight="false" outlineLevel="0" collapsed="false">
      <c r="B3859" s="53"/>
      <c r="I3859" s="53"/>
      <c r="U3859" s="31" t="n">
        <f aca="false">IF($B3859='設定（最初に1回）'!$C$4,N(U3858)+1,N(U3858))</f>
        <v>134</v>
      </c>
    </row>
    <row r="3860" customFormat="false" ht="15" hidden="false" customHeight="false" outlineLevel="0" collapsed="false">
      <c r="B3860" s="53"/>
      <c r="I3860" s="53"/>
      <c r="U3860" s="31" t="n">
        <f aca="false">IF($B3860='設定（最初に1回）'!$C$4,N(U3859)+1,N(U3859))</f>
        <v>134</v>
      </c>
    </row>
    <row r="3861" customFormat="false" ht="15" hidden="false" customHeight="false" outlineLevel="0" collapsed="false">
      <c r="B3861" s="53"/>
      <c r="I3861" s="53"/>
      <c r="U3861" s="31" t="n">
        <f aca="false">IF($B3861='設定（最初に1回）'!$C$4,N(U3860)+1,N(U3860))</f>
        <v>134</v>
      </c>
    </row>
    <row r="3862" customFormat="false" ht="15" hidden="false" customHeight="false" outlineLevel="0" collapsed="false">
      <c r="B3862" s="53"/>
      <c r="I3862" s="53"/>
      <c r="U3862" s="31" t="n">
        <f aca="false">IF($B3862='設定（最初に1回）'!$C$4,N(U3861)+1,N(U3861))</f>
        <v>134</v>
      </c>
    </row>
    <row r="3863" customFormat="false" ht="15" hidden="false" customHeight="false" outlineLevel="0" collapsed="false">
      <c r="B3863" s="53"/>
      <c r="I3863" s="53"/>
      <c r="U3863" s="31" t="n">
        <f aca="false">IF($B3863='設定（最初に1回）'!$C$4,N(U3862)+1,N(U3862))</f>
        <v>134</v>
      </c>
    </row>
    <row r="3864" customFormat="false" ht="15" hidden="false" customHeight="false" outlineLevel="0" collapsed="false">
      <c r="B3864" s="53"/>
      <c r="I3864" s="53"/>
      <c r="U3864" s="31" t="n">
        <f aca="false">IF($B3864='設定（最初に1回）'!$C$4,N(U3863)+1,N(U3863))</f>
        <v>134</v>
      </c>
    </row>
    <row r="3865" customFormat="false" ht="15" hidden="false" customHeight="false" outlineLevel="0" collapsed="false">
      <c r="B3865" s="53"/>
      <c r="I3865" s="53"/>
      <c r="U3865" s="31" t="n">
        <f aca="false">IF($B3865='設定（最初に1回）'!$C$4,N(U3864)+1,N(U3864))</f>
        <v>134</v>
      </c>
    </row>
    <row r="3866" customFormat="false" ht="15" hidden="false" customHeight="false" outlineLevel="0" collapsed="false">
      <c r="B3866" s="53"/>
      <c r="I3866" s="53"/>
      <c r="U3866" s="31" t="n">
        <f aca="false">IF($B3866='設定（最初に1回）'!$C$4,N(U3865)+1,N(U3865))</f>
        <v>134</v>
      </c>
    </row>
    <row r="3867" customFormat="false" ht="15" hidden="false" customHeight="false" outlineLevel="0" collapsed="false">
      <c r="B3867" s="53"/>
      <c r="I3867" s="53"/>
      <c r="U3867" s="31" t="n">
        <f aca="false">IF($B3867='設定（最初に1回）'!$C$4,N(U3866)+1,N(U3866))</f>
        <v>134</v>
      </c>
    </row>
    <row r="3868" customFormat="false" ht="15" hidden="false" customHeight="false" outlineLevel="0" collapsed="false">
      <c r="B3868" s="53"/>
      <c r="I3868" s="53"/>
      <c r="U3868" s="31" t="n">
        <f aca="false">IF($B3868='設定（最初に1回）'!$C$4,N(U3867)+1,N(U3867))</f>
        <v>134</v>
      </c>
    </row>
    <row r="3869" customFormat="false" ht="15" hidden="false" customHeight="false" outlineLevel="0" collapsed="false">
      <c r="B3869" s="53"/>
      <c r="I3869" s="53"/>
      <c r="U3869" s="31" t="n">
        <f aca="false">IF($B3869='設定（最初に1回）'!$C$4,N(U3868)+1,N(U3868))</f>
        <v>134</v>
      </c>
    </row>
    <row r="3870" customFormat="false" ht="15" hidden="false" customHeight="false" outlineLevel="0" collapsed="false">
      <c r="B3870" s="53"/>
      <c r="I3870" s="53"/>
      <c r="U3870" s="31" t="n">
        <f aca="false">IF($B3870='設定（最初に1回）'!$C$4,N(U3869)+1,N(U3869))</f>
        <v>134</v>
      </c>
    </row>
    <row r="3871" customFormat="false" ht="15" hidden="false" customHeight="false" outlineLevel="0" collapsed="false">
      <c r="B3871" s="53"/>
      <c r="I3871" s="53"/>
      <c r="U3871" s="31" t="n">
        <f aca="false">IF($B3871='設定（最初に1回）'!$C$4,N(U3870)+1,N(U3870))</f>
        <v>134</v>
      </c>
    </row>
    <row r="3872" customFormat="false" ht="15" hidden="false" customHeight="false" outlineLevel="0" collapsed="false">
      <c r="B3872" s="53"/>
      <c r="I3872" s="53"/>
      <c r="U3872" s="31" t="n">
        <f aca="false">IF($B3872='設定（最初に1回）'!$C$4,N(U3871)+1,N(U3871))</f>
        <v>134</v>
      </c>
    </row>
    <row r="3873" customFormat="false" ht="15" hidden="false" customHeight="false" outlineLevel="0" collapsed="false">
      <c r="B3873" s="53"/>
      <c r="I3873" s="53"/>
      <c r="U3873" s="31" t="n">
        <f aca="false">IF($B3873='設定（最初に1回）'!$C$4,N(U3872)+1,N(U3872))</f>
        <v>134</v>
      </c>
    </row>
    <row r="3874" customFormat="false" ht="15" hidden="false" customHeight="false" outlineLevel="0" collapsed="false">
      <c r="B3874" s="53"/>
      <c r="I3874" s="53"/>
      <c r="U3874" s="31" t="n">
        <f aca="false">IF($B3874='設定（最初に1回）'!$C$4,N(U3873)+1,N(U3873))</f>
        <v>134</v>
      </c>
    </row>
    <row r="3875" customFormat="false" ht="15" hidden="false" customHeight="false" outlineLevel="0" collapsed="false">
      <c r="B3875" s="53"/>
      <c r="I3875" s="53"/>
      <c r="U3875" s="31" t="n">
        <f aca="false">IF($B3875='設定（最初に1回）'!$C$4,N(U3874)+1,N(U3874))</f>
        <v>134</v>
      </c>
    </row>
    <row r="3876" customFormat="false" ht="15" hidden="false" customHeight="false" outlineLevel="0" collapsed="false">
      <c r="B3876" s="53"/>
      <c r="I3876" s="53"/>
      <c r="U3876" s="31" t="n">
        <f aca="false">IF($B3876='設定（最初に1回）'!$C$4,N(U3875)+1,N(U3875))</f>
        <v>134</v>
      </c>
    </row>
    <row r="3877" customFormat="false" ht="15" hidden="false" customHeight="false" outlineLevel="0" collapsed="false">
      <c r="B3877" s="53"/>
      <c r="I3877" s="53"/>
      <c r="U3877" s="31" t="n">
        <f aca="false">IF($B3877='設定（最初に1回）'!$C$4,N(U3876)+1,N(U3876))</f>
        <v>134</v>
      </c>
    </row>
    <row r="3878" customFormat="false" ht="15" hidden="false" customHeight="false" outlineLevel="0" collapsed="false">
      <c r="B3878" s="53"/>
      <c r="I3878" s="53"/>
      <c r="U3878" s="31" t="n">
        <f aca="false">IF($B3878='設定（最初に1回）'!$C$4,N(U3877)+1,N(U3877))</f>
        <v>134</v>
      </c>
    </row>
    <row r="3879" customFormat="false" ht="15" hidden="false" customHeight="false" outlineLevel="0" collapsed="false">
      <c r="B3879" s="53"/>
      <c r="I3879" s="53"/>
      <c r="U3879" s="31" t="n">
        <f aca="false">IF($B3879='設定（最初に1回）'!$C$4,N(U3878)+1,N(U3878))</f>
        <v>134</v>
      </c>
    </row>
    <row r="3880" customFormat="false" ht="15" hidden="false" customHeight="false" outlineLevel="0" collapsed="false">
      <c r="B3880" s="53"/>
      <c r="I3880" s="53"/>
      <c r="U3880" s="31" t="n">
        <f aca="false">IF($B3880='設定（最初に1回）'!$C$4,N(U3879)+1,N(U3879))</f>
        <v>134</v>
      </c>
    </row>
    <row r="3881" customFormat="false" ht="15" hidden="false" customHeight="false" outlineLevel="0" collapsed="false">
      <c r="B3881" s="53"/>
      <c r="I3881" s="53"/>
      <c r="U3881" s="31" t="n">
        <f aca="false">IF($B3881='設定（最初に1回）'!$C$4,N(U3880)+1,N(U3880))</f>
        <v>134</v>
      </c>
    </row>
    <row r="3882" customFormat="false" ht="15" hidden="false" customHeight="false" outlineLevel="0" collapsed="false">
      <c r="B3882" s="53"/>
      <c r="I3882" s="53"/>
      <c r="U3882" s="31" t="n">
        <f aca="false">IF($B3882='設定（最初に1回）'!$C$4,N(U3881)+1,N(U3881))</f>
        <v>134</v>
      </c>
    </row>
    <row r="3883" customFormat="false" ht="15" hidden="false" customHeight="false" outlineLevel="0" collapsed="false">
      <c r="B3883" s="53"/>
      <c r="I3883" s="53"/>
      <c r="U3883" s="31" t="n">
        <f aca="false">IF($B3883='設定（最初に1回）'!$C$4,N(U3882)+1,N(U3882))</f>
        <v>134</v>
      </c>
    </row>
    <row r="3884" customFormat="false" ht="15" hidden="false" customHeight="false" outlineLevel="0" collapsed="false">
      <c r="B3884" s="53"/>
      <c r="I3884" s="53"/>
      <c r="U3884" s="31" t="n">
        <f aca="false">IF($B3884='設定（最初に1回）'!$C$4,N(U3883)+1,N(U3883))</f>
        <v>134</v>
      </c>
    </row>
    <row r="3885" customFormat="false" ht="15" hidden="false" customHeight="false" outlineLevel="0" collapsed="false">
      <c r="B3885" s="53"/>
      <c r="I3885" s="53"/>
      <c r="U3885" s="31" t="n">
        <f aca="false">IF($B3885='設定（最初に1回）'!$C$4,N(U3884)+1,N(U3884))</f>
        <v>134</v>
      </c>
    </row>
    <row r="3886" customFormat="false" ht="15" hidden="false" customHeight="false" outlineLevel="0" collapsed="false">
      <c r="B3886" s="53"/>
      <c r="I3886" s="53"/>
      <c r="U3886" s="31" t="n">
        <f aca="false">IF($B3886='設定（最初に1回）'!$C$4,N(U3885)+1,N(U3885))</f>
        <v>134</v>
      </c>
    </row>
    <row r="3887" customFormat="false" ht="15" hidden="false" customHeight="false" outlineLevel="0" collapsed="false">
      <c r="B3887" s="53"/>
      <c r="I3887" s="53"/>
      <c r="U3887" s="31" t="n">
        <f aca="false">IF($B3887='設定（最初に1回）'!$C$4,N(U3886)+1,N(U3886))</f>
        <v>134</v>
      </c>
    </row>
    <row r="3888" customFormat="false" ht="15" hidden="false" customHeight="false" outlineLevel="0" collapsed="false">
      <c r="B3888" s="53"/>
      <c r="I3888" s="53"/>
      <c r="U3888" s="31" t="n">
        <f aca="false">IF($B3888='設定（最初に1回）'!$C$4,N(U3887)+1,N(U3887))</f>
        <v>134</v>
      </c>
    </row>
    <row r="3889" customFormat="false" ht="15" hidden="false" customHeight="false" outlineLevel="0" collapsed="false">
      <c r="B3889" s="53"/>
      <c r="I3889" s="53"/>
      <c r="U3889" s="31" t="n">
        <f aca="false">IF($B3889='設定（最初に1回）'!$C$4,N(U3888)+1,N(U3888))</f>
        <v>134</v>
      </c>
    </row>
    <row r="3890" customFormat="false" ht="15" hidden="false" customHeight="false" outlineLevel="0" collapsed="false">
      <c r="B3890" s="53"/>
      <c r="I3890" s="53"/>
      <c r="U3890" s="31" t="n">
        <f aca="false">IF($B3890='設定（最初に1回）'!$C$4,N(U3889)+1,N(U3889))</f>
        <v>134</v>
      </c>
    </row>
    <row r="3891" customFormat="false" ht="15" hidden="false" customHeight="false" outlineLevel="0" collapsed="false">
      <c r="B3891" s="53"/>
      <c r="I3891" s="53"/>
      <c r="U3891" s="31" t="n">
        <f aca="false">IF($B3891='設定（最初に1回）'!$C$4,N(U3890)+1,N(U3890))</f>
        <v>134</v>
      </c>
    </row>
    <row r="3892" customFormat="false" ht="15" hidden="false" customHeight="false" outlineLevel="0" collapsed="false">
      <c r="B3892" s="53"/>
      <c r="I3892" s="53"/>
      <c r="U3892" s="31" t="n">
        <f aca="false">IF($B3892='設定（最初に1回）'!$C$4,N(U3891)+1,N(U3891))</f>
        <v>134</v>
      </c>
    </row>
    <row r="3893" customFormat="false" ht="15" hidden="false" customHeight="false" outlineLevel="0" collapsed="false">
      <c r="B3893" s="53"/>
      <c r="I3893" s="53"/>
      <c r="U3893" s="31" t="n">
        <f aca="false">IF($B3893='設定（最初に1回）'!$C$4,N(U3892)+1,N(U3892))</f>
        <v>134</v>
      </c>
    </row>
    <row r="3894" customFormat="false" ht="15" hidden="false" customHeight="false" outlineLevel="0" collapsed="false">
      <c r="B3894" s="53"/>
      <c r="I3894" s="53"/>
      <c r="U3894" s="31" t="n">
        <f aca="false">IF($B3894='設定（最初に1回）'!$C$4,N(U3893)+1,N(U3893))</f>
        <v>134</v>
      </c>
    </row>
    <row r="3895" customFormat="false" ht="15" hidden="false" customHeight="false" outlineLevel="0" collapsed="false">
      <c r="B3895" s="53"/>
      <c r="I3895" s="53"/>
      <c r="U3895" s="31" t="n">
        <f aca="false">IF($B3895='設定（最初に1回）'!$C$4,N(U3894)+1,N(U3894))</f>
        <v>134</v>
      </c>
    </row>
    <row r="3896" customFormat="false" ht="15" hidden="false" customHeight="false" outlineLevel="0" collapsed="false">
      <c r="B3896" s="53"/>
      <c r="I3896" s="53"/>
      <c r="U3896" s="31" t="n">
        <f aca="false">IF($B3896='設定（最初に1回）'!$C$4,N(U3895)+1,N(U3895))</f>
        <v>134</v>
      </c>
    </row>
    <row r="3897" customFormat="false" ht="15" hidden="false" customHeight="false" outlineLevel="0" collapsed="false">
      <c r="B3897" s="53"/>
      <c r="I3897" s="53"/>
      <c r="U3897" s="31" t="n">
        <f aca="false">IF($B3897='設定（最初に1回）'!$C$4,N(U3896)+1,N(U3896))</f>
        <v>134</v>
      </c>
    </row>
    <row r="3898" customFormat="false" ht="15" hidden="false" customHeight="false" outlineLevel="0" collapsed="false">
      <c r="B3898" s="53"/>
      <c r="I3898" s="53"/>
      <c r="U3898" s="31" t="n">
        <f aca="false">IF($B3898='設定（最初に1回）'!$C$4,N(U3897)+1,N(U3897))</f>
        <v>134</v>
      </c>
    </row>
    <row r="3899" customFormat="false" ht="15" hidden="false" customHeight="false" outlineLevel="0" collapsed="false">
      <c r="B3899" s="53"/>
      <c r="I3899" s="53"/>
      <c r="U3899" s="31" t="n">
        <f aca="false">IF($B3899='設定（最初に1回）'!$C$4,N(U3898)+1,N(U3898))</f>
        <v>134</v>
      </c>
    </row>
    <row r="3900" customFormat="false" ht="15" hidden="false" customHeight="false" outlineLevel="0" collapsed="false">
      <c r="B3900" s="53"/>
      <c r="I3900" s="53"/>
      <c r="U3900" s="31" t="n">
        <f aca="false">IF($B3900='設定（最初に1回）'!$C$4,N(U3899)+1,N(U3899))</f>
        <v>134</v>
      </c>
    </row>
    <row r="3901" customFormat="false" ht="15" hidden="false" customHeight="false" outlineLevel="0" collapsed="false">
      <c r="B3901" s="53"/>
      <c r="I3901" s="53"/>
      <c r="U3901" s="31" t="n">
        <f aca="false">IF($B3901='設定（最初に1回）'!$C$4,N(U3900)+1,N(U3900))</f>
        <v>134</v>
      </c>
    </row>
    <row r="3902" customFormat="false" ht="15" hidden="false" customHeight="false" outlineLevel="0" collapsed="false">
      <c r="B3902" s="53"/>
      <c r="I3902" s="53"/>
      <c r="U3902" s="31" t="n">
        <f aca="false">IF($B3902='設定（最初に1回）'!$C$4,N(U3901)+1,N(U3901))</f>
        <v>134</v>
      </c>
    </row>
    <row r="3903" customFormat="false" ht="15" hidden="false" customHeight="false" outlineLevel="0" collapsed="false">
      <c r="B3903" s="53"/>
      <c r="I3903" s="53"/>
      <c r="U3903" s="31" t="n">
        <f aca="false">IF($B3903='設定（最初に1回）'!$C$4,N(U3902)+1,N(U3902))</f>
        <v>134</v>
      </c>
    </row>
    <row r="3904" customFormat="false" ht="15" hidden="false" customHeight="false" outlineLevel="0" collapsed="false">
      <c r="B3904" s="53"/>
      <c r="I3904" s="53"/>
      <c r="U3904" s="31" t="n">
        <f aca="false">IF($B3904='設定（最初に1回）'!$C$4,N(U3903)+1,N(U3903))</f>
        <v>134</v>
      </c>
    </row>
    <row r="3905" customFormat="false" ht="15" hidden="false" customHeight="false" outlineLevel="0" collapsed="false">
      <c r="B3905" s="53"/>
      <c r="I3905" s="53"/>
      <c r="U3905" s="31" t="n">
        <f aca="false">IF($B3905='設定（最初に1回）'!$C$4,N(U3904)+1,N(U3904))</f>
        <v>134</v>
      </c>
    </row>
    <row r="3906" customFormat="false" ht="15" hidden="false" customHeight="false" outlineLevel="0" collapsed="false">
      <c r="B3906" s="53"/>
      <c r="I3906" s="53"/>
      <c r="U3906" s="31" t="n">
        <f aca="false">IF($B3906='設定（最初に1回）'!$C$4,N(U3905)+1,N(U3905))</f>
        <v>134</v>
      </c>
    </row>
    <row r="3907" customFormat="false" ht="15" hidden="false" customHeight="false" outlineLevel="0" collapsed="false">
      <c r="B3907" s="53"/>
      <c r="I3907" s="53"/>
      <c r="U3907" s="31" t="n">
        <f aca="false">IF($B3907='設定（最初に1回）'!$C$4,N(U3906)+1,N(U3906))</f>
        <v>134</v>
      </c>
    </row>
    <row r="3908" customFormat="false" ht="15" hidden="false" customHeight="false" outlineLevel="0" collapsed="false">
      <c r="B3908" s="53"/>
      <c r="I3908" s="53"/>
      <c r="U3908" s="31" t="n">
        <f aca="false">IF($B3908='設定（最初に1回）'!$C$4,N(U3907)+1,N(U3907))</f>
        <v>134</v>
      </c>
    </row>
    <row r="3909" customFormat="false" ht="15" hidden="false" customHeight="false" outlineLevel="0" collapsed="false">
      <c r="B3909" s="53"/>
      <c r="I3909" s="53"/>
      <c r="U3909" s="31" t="n">
        <f aca="false">IF($B3909='設定（最初に1回）'!$C$4,N(U3908)+1,N(U3908))</f>
        <v>134</v>
      </c>
    </row>
    <row r="3910" customFormat="false" ht="15" hidden="false" customHeight="false" outlineLevel="0" collapsed="false">
      <c r="B3910" s="53"/>
      <c r="I3910" s="53"/>
      <c r="U3910" s="31" t="n">
        <f aca="false">IF($B3910='設定（最初に1回）'!$C$4,N(U3909)+1,N(U3909))</f>
        <v>134</v>
      </c>
    </row>
    <row r="3911" customFormat="false" ht="15" hidden="false" customHeight="false" outlineLevel="0" collapsed="false">
      <c r="B3911" s="53"/>
      <c r="I3911" s="53"/>
      <c r="U3911" s="31" t="n">
        <f aca="false">IF($B3911='設定（最初に1回）'!$C$4,N(U3910)+1,N(U3910))</f>
        <v>134</v>
      </c>
    </row>
    <row r="3912" customFormat="false" ht="15" hidden="false" customHeight="false" outlineLevel="0" collapsed="false">
      <c r="B3912" s="53"/>
      <c r="I3912" s="53"/>
      <c r="U3912" s="31" t="n">
        <f aca="false">IF($B3912='設定（最初に1回）'!$C$4,N(U3911)+1,N(U3911))</f>
        <v>134</v>
      </c>
    </row>
    <row r="3913" customFormat="false" ht="15" hidden="false" customHeight="false" outlineLevel="0" collapsed="false">
      <c r="B3913" s="53"/>
      <c r="I3913" s="53"/>
      <c r="U3913" s="31" t="n">
        <f aca="false">IF($B3913='設定（最初に1回）'!$C$4,N(U3912)+1,N(U3912))</f>
        <v>134</v>
      </c>
    </row>
    <row r="3914" customFormat="false" ht="15" hidden="false" customHeight="false" outlineLevel="0" collapsed="false">
      <c r="B3914" s="53"/>
      <c r="I3914" s="53"/>
      <c r="U3914" s="31" t="n">
        <f aca="false">IF($B3914='設定（最初に1回）'!$C$4,N(U3913)+1,N(U3913))</f>
        <v>134</v>
      </c>
    </row>
    <row r="3915" customFormat="false" ht="15" hidden="false" customHeight="false" outlineLevel="0" collapsed="false">
      <c r="B3915" s="53"/>
      <c r="I3915" s="53"/>
      <c r="U3915" s="31" t="n">
        <f aca="false">IF($B3915='設定（最初に1回）'!$C$4,N(U3914)+1,N(U3914))</f>
        <v>134</v>
      </c>
    </row>
    <row r="3916" customFormat="false" ht="15" hidden="false" customHeight="false" outlineLevel="0" collapsed="false">
      <c r="B3916" s="53"/>
      <c r="I3916" s="53"/>
      <c r="U3916" s="31" t="n">
        <f aca="false">IF($B3916='設定（最初に1回）'!$C$4,N(U3915)+1,N(U3915))</f>
        <v>134</v>
      </c>
    </row>
    <row r="3917" customFormat="false" ht="15" hidden="false" customHeight="false" outlineLevel="0" collapsed="false">
      <c r="B3917" s="53"/>
      <c r="I3917" s="53"/>
      <c r="U3917" s="31" t="n">
        <f aca="false">IF($B3917='設定（最初に1回）'!$C$4,N(U3916)+1,N(U3916))</f>
        <v>134</v>
      </c>
    </row>
    <row r="3918" customFormat="false" ht="15" hidden="false" customHeight="false" outlineLevel="0" collapsed="false">
      <c r="B3918" s="53"/>
      <c r="I3918" s="53"/>
      <c r="U3918" s="31" t="n">
        <f aca="false">IF($B3918='設定（最初に1回）'!$C$4,N(U3917)+1,N(U3917))</f>
        <v>134</v>
      </c>
    </row>
    <row r="3919" customFormat="false" ht="15" hidden="false" customHeight="false" outlineLevel="0" collapsed="false">
      <c r="B3919" s="53"/>
      <c r="I3919" s="53"/>
      <c r="U3919" s="31" t="n">
        <f aca="false">IF($B3919='設定（最初に1回）'!$C$4,N(U3918)+1,N(U3918))</f>
        <v>134</v>
      </c>
    </row>
    <row r="3920" customFormat="false" ht="15" hidden="false" customHeight="false" outlineLevel="0" collapsed="false">
      <c r="B3920" s="53"/>
      <c r="I3920" s="53"/>
      <c r="U3920" s="31" t="n">
        <f aca="false">IF($B3920='設定（最初に1回）'!$C$4,N(U3919)+1,N(U3919))</f>
        <v>134</v>
      </c>
    </row>
    <row r="3921" customFormat="false" ht="15" hidden="false" customHeight="false" outlineLevel="0" collapsed="false">
      <c r="B3921" s="53"/>
      <c r="I3921" s="53"/>
      <c r="U3921" s="31" t="n">
        <f aca="false">IF($B3921='設定（最初に1回）'!$C$4,N(U3920)+1,N(U3920))</f>
        <v>134</v>
      </c>
    </row>
    <row r="3922" customFormat="false" ht="15" hidden="false" customHeight="false" outlineLevel="0" collapsed="false">
      <c r="B3922" s="53"/>
      <c r="I3922" s="53"/>
      <c r="U3922" s="31" t="n">
        <f aca="false">IF($B3922='設定（最初に1回）'!$C$4,N(U3921)+1,N(U3921))</f>
        <v>134</v>
      </c>
    </row>
    <row r="3923" customFormat="false" ht="15" hidden="false" customHeight="false" outlineLevel="0" collapsed="false">
      <c r="B3923" s="53"/>
      <c r="I3923" s="53"/>
      <c r="U3923" s="31" t="n">
        <f aca="false">IF($B3923='設定（最初に1回）'!$C$4,N(U3922)+1,N(U3922))</f>
        <v>134</v>
      </c>
    </row>
    <row r="3924" customFormat="false" ht="15" hidden="false" customHeight="false" outlineLevel="0" collapsed="false">
      <c r="B3924" s="53"/>
      <c r="I3924" s="53"/>
      <c r="U3924" s="31" t="n">
        <f aca="false">IF($B3924='設定（最初に1回）'!$C$4,N(U3923)+1,N(U3923))</f>
        <v>134</v>
      </c>
    </row>
    <row r="3925" customFormat="false" ht="15" hidden="false" customHeight="false" outlineLevel="0" collapsed="false">
      <c r="B3925" s="53"/>
      <c r="I3925" s="53"/>
      <c r="U3925" s="31" t="n">
        <f aca="false">IF($B3925='設定（最初に1回）'!$C$4,N(U3924)+1,N(U3924))</f>
        <v>134</v>
      </c>
    </row>
    <row r="3926" customFormat="false" ht="15" hidden="false" customHeight="false" outlineLevel="0" collapsed="false">
      <c r="B3926" s="53"/>
      <c r="I3926" s="53"/>
      <c r="U3926" s="31" t="n">
        <f aca="false">IF($B3926='設定（最初に1回）'!$C$4,N(U3925)+1,N(U3925))</f>
        <v>134</v>
      </c>
    </row>
    <row r="3927" customFormat="false" ht="15" hidden="false" customHeight="false" outlineLevel="0" collapsed="false">
      <c r="B3927" s="53"/>
      <c r="I3927" s="53"/>
      <c r="U3927" s="31" t="n">
        <f aca="false">IF($B3927='設定（最初に1回）'!$C$4,N(U3926)+1,N(U3926))</f>
        <v>134</v>
      </c>
    </row>
    <row r="3928" customFormat="false" ht="15" hidden="false" customHeight="false" outlineLevel="0" collapsed="false">
      <c r="B3928" s="53"/>
      <c r="I3928" s="53"/>
      <c r="U3928" s="31" t="n">
        <f aca="false">IF($B3928='設定（最初に1回）'!$C$4,N(U3927)+1,N(U3927))</f>
        <v>134</v>
      </c>
    </row>
    <row r="3929" customFormat="false" ht="15" hidden="false" customHeight="false" outlineLevel="0" collapsed="false">
      <c r="B3929" s="53"/>
      <c r="I3929" s="53"/>
      <c r="U3929" s="31" t="n">
        <f aca="false">IF($B3929='設定（最初に1回）'!$C$4,N(U3928)+1,N(U3928))</f>
        <v>134</v>
      </c>
    </row>
    <row r="3930" customFormat="false" ht="15" hidden="false" customHeight="false" outlineLevel="0" collapsed="false">
      <c r="B3930" s="53"/>
      <c r="I3930" s="53"/>
      <c r="U3930" s="31" t="n">
        <f aca="false">IF($B3930='設定（最初に1回）'!$C$4,N(U3929)+1,N(U3929))</f>
        <v>134</v>
      </c>
    </row>
    <row r="3931" customFormat="false" ht="15" hidden="false" customHeight="false" outlineLevel="0" collapsed="false">
      <c r="B3931" s="53"/>
      <c r="I3931" s="53"/>
      <c r="U3931" s="31" t="n">
        <f aca="false">IF($B3931='設定（最初に1回）'!$C$4,N(U3930)+1,N(U3930))</f>
        <v>134</v>
      </c>
    </row>
    <row r="3932" customFormat="false" ht="15" hidden="false" customHeight="false" outlineLevel="0" collapsed="false">
      <c r="B3932" s="53"/>
      <c r="I3932" s="53"/>
      <c r="U3932" s="31" t="n">
        <f aca="false">IF($B3932='設定（最初に1回）'!$C$4,N(U3931)+1,N(U3931))</f>
        <v>134</v>
      </c>
    </row>
    <row r="3933" customFormat="false" ht="15" hidden="false" customHeight="false" outlineLevel="0" collapsed="false">
      <c r="B3933" s="53"/>
      <c r="I3933" s="53"/>
      <c r="U3933" s="31" t="n">
        <f aca="false">IF($B3933='設定（最初に1回）'!$C$4,N(U3932)+1,N(U3932))</f>
        <v>134</v>
      </c>
    </row>
    <row r="3934" customFormat="false" ht="15" hidden="false" customHeight="false" outlineLevel="0" collapsed="false">
      <c r="B3934" s="53"/>
      <c r="I3934" s="53"/>
      <c r="U3934" s="31" t="n">
        <f aca="false">IF($B3934='設定（最初に1回）'!$C$4,N(U3933)+1,N(U3933))</f>
        <v>134</v>
      </c>
    </row>
    <row r="3935" customFormat="false" ht="15" hidden="false" customHeight="false" outlineLevel="0" collapsed="false">
      <c r="B3935" s="53"/>
      <c r="I3935" s="53"/>
      <c r="U3935" s="31" t="n">
        <f aca="false">IF($B3935='設定（最初に1回）'!$C$4,N(U3934)+1,N(U3934))</f>
        <v>134</v>
      </c>
    </row>
    <row r="3936" customFormat="false" ht="15" hidden="false" customHeight="false" outlineLevel="0" collapsed="false">
      <c r="B3936" s="53"/>
      <c r="I3936" s="53"/>
      <c r="U3936" s="31" t="n">
        <f aca="false">IF($B3936='設定（最初に1回）'!$C$4,N(U3935)+1,N(U3935))</f>
        <v>134</v>
      </c>
    </row>
    <row r="3937" customFormat="false" ht="15" hidden="false" customHeight="false" outlineLevel="0" collapsed="false">
      <c r="B3937" s="53"/>
      <c r="I3937" s="53"/>
      <c r="U3937" s="31" t="n">
        <f aca="false">IF($B3937='設定（最初に1回）'!$C$4,N(U3936)+1,N(U3936))</f>
        <v>134</v>
      </c>
    </row>
    <row r="3938" customFormat="false" ht="15" hidden="false" customHeight="false" outlineLevel="0" collapsed="false">
      <c r="B3938" s="53"/>
      <c r="I3938" s="53"/>
      <c r="U3938" s="31" t="n">
        <f aca="false">IF($B3938='設定（最初に1回）'!$C$4,N(U3937)+1,N(U3937))</f>
        <v>134</v>
      </c>
    </row>
    <row r="3939" customFormat="false" ht="15" hidden="false" customHeight="false" outlineLevel="0" collapsed="false">
      <c r="B3939" s="53"/>
      <c r="I3939" s="53"/>
      <c r="U3939" s="31" t="n">
        <f aca="false">IF($B3939='設定（最初に1回）'!$C$4,N(U3938)+1,N(U3938))</f>
        <v>134</v>
      </c>
    </row>
    <row r="3940" customFormat="false" ht="15" hidden="false" customHeight="false" outlineLevel="0" collapsed="false">
      <c r="B3940" s="53"/>
      <c r="I3940" s="53"/>
      <c r="U3940" s="31" t="n">
        <f aca="false">IF($B3940='設定（最初に1回）'!$C$4,N(U3939)+1,N(U3939))</f>
        <v>134</v>
      </c>
    </row>
    <row r="3941" customFormat="false" ht="15" hidden="false" customHeight="false" outlineLevel="0" collapsed="false">
      <c r="B3941" s="53"/>
      <c r="I3941" s="53"/>
      <c r="U3941" s="31" t="n">
        <f aca="false">IF($B3941='設定（最初に1回）'!$C$4,N(U3940)+1,N(U3940))</f>
        <v>134</v>
      </c>
    </row>
    <row r="3942" customFormat="false" ht="15" hidden="false" customHeight="false" outlineLevel="0" collapsed="false">
      <c r="B3942" s="53"/>
      <c r="I3942" s="53"/>
      <c r="U3942" s="31" t="n">
        <f aca="false">IF($B3942='設定（最初に1回）'!$C$4,N(U3941)+1,N(U3941))</f>
        <v>134</v>
      </c>
    </row>
    <row r="3943" customFormat="false" ht="15" hidden="false" customHeight="false" outlineLevel="0" collapsed="false">
      <c r="B3943" s="53"/>
      <c r="I3943" s="53"/>
      <c r="U3943" s="31" t="n">
        <f aca="false">IF($B3943='設定（最初に1回）'!$C$4,N(U3942)+1,N(U3942))</f>
        <v>134</v>
      </c>
    </row>
    <row r="3944" customFormat="false" ht="15" hidden="false" customHeight="false" outlineLevel="0" collapsed="false">
      <c r="B3944" s="53"/>
      <c r="I3944" s="53"/>
      <c r="U3944" s="31" t="n">
        <f aca="false">IF($B3944='設定（最初に1回）'!$C$4,N(U3943)+1,N(U3943))</f>
        <v>134</v>
      </c>
    </row>
    <row r="3945" customFormat="false" ht="15" hidden="false" customHeight="false" outlineLevel="0" collapsed="false">
      <c r="B3945" s="53"/>
      <c r="I3945" s="53"/>
      <c r="U3945" s="31" t="n">
        <f aca="false">IF($B3945='設定（最初に1回）'!$C$4,N(U3944)+1,N(U3944))</f>
        <v>134</v>
      </c>
    </row>
    <row r="3946" customFormat="false" ht="15" hidden="false" customHeight="false" outlineLevel="0" collapsed="false">
      <c r="B3946" s="53"/>
      <c r="I3946" s="53"/>
      <c r="U3946" s="31" t="n">
        <f aca="false">IF($B3946='設定（最初に1回）'!$C$4,N(U3945)+1,N(U3945))</f>
        <v>134</v>
      </c>
    </row>
    <row r="3947" customFormat="false" ht="15" hidden="false" customHeight="false" outlineLevel="0" collapsed="false">
      <c r="B3947" s="53"/>
      <c r="I3947" s="53"/>
      <c r="U3947" s="31" t="n">
        <f aca="false">IF($B3947='設定（最初に1回）'!$C$4,N(U3946)+1,N(U3946))</f>
        <v>134</v>
      </c>
    </row>
    <row r="3948" customFormat="false" ht="15" hidden="false" customHeight="false" outlineLevel="0" collapsed="false">
      <c r="B3948" s="53"/>
      <c r="I3948" s="53"/>
      <c r="U3948" s="31" t="n">
        <f aca="false">IF($B3948='設定（最初に1回）'!$C$4,N(U3947)+1,N(U3947))</f>
        <v>134</v>
      </c>
    </row>
    <row r="3949" customFormat="false" ht="15" hidden="false" customHeight="false" outlineLevel="0" collapsed="false">
      <c r="B3949" s="53"/>
      <c r="I3949" s="53"/>
      <c r="U3949" s="31" t="n">
        <f aca="false">IF($B3949='設定（最初に1回）'!$C$4,N(U3948)+1,N(U3948))</f>
        <v>134</v>
      </c>
    </row>
    <row r="3950" customFormat="false" ht="15" hidden="false" customHeight="false" outlineLevel="0" collapsed="false">
      <c r="B3950" s="53"/>
      <c r="I3950" s="53"/>
      <c r="U3950" s="31" t="n">
        <f aca="false">IF($B3950='設定（最初に1回）'!$C$4,N(U3949)+1,N(U3949))</f>
        <v>134</v>
      </c>
    </row>
    <row r="3951" customFormat="false" ht="15" hidden="false" customHeight="false" outlineLevel="0" collapsed="false">
      <c r="B3951" s="53"/>
      <c r="I3951" s="53"/>
      <c r="U3951" s="31" t="n">
        <f aca="false">IF($B3951='設定（最初に1回）'!$C$4,N(U3950)+1,N(U3950))</f>
        <v>134</v>
      </c>
    </row>
    <row r="3952" customFormat="false" ht="15" hidden="false" customHeight="false" outlineLevel="0" collapsed="false">
      <c r="B3952" s="53"/>
      <c r="I3952" s="53"/>
      <c r="U3952" s="31" t="n">
        <f aca="false">IF($B3952='設定（最初に1回）'!$C$4,N(U3951)+1,N(U3951))</f>
        <v>134</v>
      </c>
    </row>
    <row r="3953" customFormat="false" ht="15" hidden="false" customHeight="false" outlineLevel="0" collapsed="false">
      <c r="B3953" s="53"/>
      <c r="I3953" s="53"/>
      <c r="U3953" s="31" t="n">
        <f aca="false">IF($B3953='設定（最初に1回）'!$C$4,N(U3952)+1,N(U3952))</f>
        <v>134</v>
      </c>
    </row>
    <row r="3954" customFormat="false" ht="15" hidden="false" customHeight="false" outlineLevel="0" collapsed="false">
      <c r="B3954" s="53"/>
      <c r="I3954" s="53"/>
      <c r="U3954" s="31" t="n">
        <f aca="false">IF($B3954='設定（最初に1回）'!$C$4,N(U3953)+1,N(U3953))</f>
        <v>134</v>
      </c>
    </row>
    <row r="3955" customFormat="false" ht="15" hidden="false" customHeight="false" outlineLevel="0" collapsed="false">
      <c r="B3955" s="53"/>
      <c r="I3955" s="53"/>
      <c r="U3955" s="31" t="n">
        <f aca="false">IF($B3955='設定（最初に1回）'!$C$4,N(U3954)+1,N(U3954))</f>
        <v>134</v>
      </c>
    </row>
    <row r="3956" customFormat="false" ht="15" hidden="false" customHeight="false" outlineLevel="0" collapsed="false">
      <c r="B3956" s="53"/>
      <c r="I3956" s="53"/>
      <c r="U3956" s="31" t="n">
        <f aca="false">IF($B3956='設定（最初に1回）'!$C$4,N(U3955)+1,N(U3955))</f>
        <v>134</v>
      </c>
    </row>
    <row r="3957" customFormat="false" ht="15" hidden="false" customHeight="false" outlineLevel="0" collapsed="false">
      <c r="B3957" s="53"/>
      <c r="I3957" s="53"/>
      <c r="U3957" s="31" t="n">
        <f aca="false">IF($B3957='設定（最初に1回）'!$C$4,N(U3956)+1,N(U3956))</f>
        <v>134</v>
      </c>
    </row>
    <row r="3958" customFormat="false" ht="15" hidden="false" customHeight="false" outlineLevel="0" collapsed="false">
      <c r="B3958" s="53"/>
      <c r="I3958" s="53"/>
      <c r="U3958" s="31" t="n">
        <f aca="false">IF($B3958='設定（最初に1回）'!$C$4,N(U3957)+1,N(U3957))</f>
        <v>134</v>
      </c>
    </row>
    <row r="3959" customFormat="false" ht="15" hidden="false" customHeight="false" outlineLevel="0" collapsed="false">
      <c r="B3959" s="53"/>
      <c r="I3959" s="53"/>
      <c r="U3959" s="31" t="n">
        <f aca="false">IF($B3959='設定（最初に1回）'!$C$4,N(U3958)+1,N(U3958))</f>
        <v>134</v>
      </c>
    </row>
    <row r="3960" customFormat="false" ht="15" hidden="false" customHeight="false" outlineLevel="0" collapsed="false">
      <c r="B3960" s="53"/>
      <c r="I3960" s="53"/>
      <c r="U3960" s="31" t="n">
        <f aca="false">IF($B3960='設定（最初に1回）'!$C$4,N(U3959)+1,N(U3959))</f>
        <v>134</v>
      </c>
    </row>
    <row r="3961" customFormat="false" ht="15" hidden="false" customHeight="false" outlineLevel="0" collapsed="false">
      <c r="B3961" s="53"/>
      <c r="I3961" s="53"/>
      <c r="U3961" s="31" t="n">
        <f aca="false">IF($B3961='設定（最初に1回）'!$C$4,N(U3960)+1,N(U3960))</f>
        <v>134</v>
      </c>
    </row>
    <row r="3962" customFormat="false" ht="15" hidden="false" customHeight="false" outlineLevel="0" collapsed="false">
      <c r="B3962" s="53"/>
      <c r="I3962" s="53"/>
      <c r="U3962" s="31" t="n">
        <f aca="false">IF($B3962='設定（最初に1回）'!$C$4,N(U3961)+1,N(U3961))</f>
        <v>134</v>
      </c>
    </row>
    <row r="3963" customFormat="false" ht="15" hidden="false" customHeight="false" outlineLevel="0" collapsed="false">
      <c r="B3963" s="53"/>
      <c r="I3963" s="53"/>
      <c r="U3963" s="31" t="n">
        <f aca="false">IF($B3963='設定（最初に1回）'!$C$4,N(U3962)+1,N(U3962))</f>
        <v>134</v>
      </c>
    </row>
    <row r="3964" customFormat="false" ht="15" hidden="false" customHeight="false" outlineLevel="0" collapsed="false">
      <c r="B3964" s="53"/>
      <c r="I3964" s="53"/>
      <c r="U3964" s="31" t="n">
        <f aca="false">IF($B3964='設定（最初に1回）'!$C$4,N(U3963)+1,N(U3963))</f>
        <v>134</v>
      </c>
    </row>
    <row r="3965" customFormat="false" ht="15" hidden="false" customHeight="false" outlineLevel="0" collapsed="false">
      <c r="B3965" s="53"/>
      <c r="I3965" s="53"/>
      <c r="U3965" s="31" t="n">
        <f aca="false">IF($B3965='設定（最初に1回）'!$C$4,N(U3964)+1,N(U3964))</f>
        <v>134</v>
      </c>
    </row>
    <row r="3966" customFormat="false" ht="15" hidden="false" customHeight="false" outlineLevel="0" collapsed="false">
      <c r="B3966" s="53"/>
      <c r="I3966" s="53"/>
      <c r="U3966" s="31" t="n">
        <f aca="false">IF($B3966='設定（最初に1回）'!$C$4,N(U3965)+1,N(U3965))</f>
        <v>134</v>
      </c>
    </row>
    <row r="3967" customFormat="false" ht="15" hidden="false" customHeight="false" outlineLevel="0" collapsed="false">
      <c r="B3967" s="53"/>
      <c r="I3967" s="53"/>
      <c r="U3967" s="31" t="n">
        <f aca="false">IF($B3967='設定（最初に1回）'!$C$4,N(U3966)+1,N(U3966))</f>
        <v>134</v>
      </c>
    </row>
    <row r="3968" customFormat="false" ht="15" hidden="false" customHeight="false" outlineLevel="0" collapsed="false">
      <c r="B3968" s="53"/>
      <c r="I3968" s="53"/>
      <c r="U3968" s="31" t="n">
        <f aca="false">IF($B3968='設定（最初に1回）'!$C$4,N(U3967)+1,N(U3967))</f>
        <v>134</v>
      </c>
    </row>
    <row r="3969" customFormat="false" ht="15" hidden="false" customHeight="false" outlineLevel="0" collapsed="false">
      <c r="B3969" s="53"/>
      <c r="I3969" s="53"/>
      <c r="U3969" s="31" t="n">
        <f aca="false">IF($B3969='設定（最初に1回）'!$C$4,N(U3968)+1,N(U3968))</f>
        <v>134</v>
      </c>
    </row>
    <row r="3970" customFormat="false" ht="15" hidden="false" customHeight="false" outlineLevel="0" collapsed="false">
      <c r="B3970" s="53"/>
      <c r="I3970" s="53"/>
      <c r="U3970" s="31" t="n">
        <f aca="false">IF($B3970='設定（最初に1回）'!$C$4,N(U3969)+1,N(U3969))</f>
        <v>134</v>
      </c>
    </row>
    <row r="3971" customFormat="false" ht="15" hidden="false" customHeight="false" outlineLevel="0" collapsed="false">
      <c r="B3971" s="53"/>
      <c r="I3971" s="53"/>
      <c r="U3971" s="31" t="n">
        <f aca="false">IF($B3971='設定（最初に1回）'!$C$4,N(U3970)+1,N(U3970))</f>
        <v>134</v>
      </c>
    </row>
    <row r="3972" customFormat="false" ht="15" hidden="false" customHeight="false" outlineLevel="0" collapsed="false">
      <c r="B3972" s="53"/>
      <c r="I3972" s="53"/>
      <c r="U3972" s="31" t="n">
        <f aca="false">IF($B3972='設定（最初に1回）'!$C$4,N(U3971)+1,N(U3971))</f>
        <v>134</v>
      </c>
    </row>
    <row r="3973" customFormat="false" ht="15" hidden="false" customHeight="false" outlineLevel="0" collapsed="false">
      <c r="B3973" s="53"/>
      <c r="I3973" s="53"/>
      <c r="U3973" s="31" t="n">
        <f aca="false">IF($B3973='設定（最初に1回）'!$C$4,N(U3972)+1,N(U3972))</f>
        <v>134</v>
      </c>
    </row>
    <row r="3974" customFormat="false" ht="15" hidden="false" customHeight="false" outlineLevel="0" collapsed="false">
      <c r="B3974" s="53"/>
      <c r="I3974" s="53"/>
      <c r="U3974" s="31" t="n">
        <f aca="false">IF($B3974='設定（最初に1回）'!$C$4,N(U3973)+1,N(U3973))</f>
        <v>134</v>
      </c>
    </row>
    <row r="3975" customFormat="false" ht="15" hidden="false" customHeight="false" outlineLevel="0" collapsed="false">
      <c r="B3975" s="53"/>
      <c r="I3975" s="53"/>
      <c r="U3975" s="31" t="n">
        <f aca="false">IF($B3975='設定（最初に1回）'!$C$4,N(U3974)+1,N(U3974))</f>
        <v>134</v>
      </c>
    </row>
    <row r="3976" customFormat="false" ht="15" hidden="false" customHeight="false" outlineLevel="0" collapsed="false">
      <c r="B3976" s="53"/>
      <c r="I3976" s="53"/>
      <c r="U3976" s="31" t="n">
        <f aca="false">IF($B3976='設定（最初に1回）'!$C$4,N(U3975)+1,N(U3975))</f>
        <v>134</v>
      </c>
    </row>
    <row r="3977" customFormat="false" ht="15" hidden="false" customHeight="false" outlineLevel="0" collapsed="false">
      <c r="B3977" s="53"/>
      <c r="I3977" s="53"/>
      <c r="U3977" s="31" t="n">
        <f aca="false">IF($B3977='設定（最初に1回）'!$C$4,N(U3976)+1,N(U3976))</f>
        <v>134</v>
      </c>
    </row>
    <row r="3978" customFormat="false" ht="15" hidden="false" customHeight="false" outlineLevel="0" collapsed="false">
      <c r="B3978" s="53"/>
      <c r="I3978" s="53"/>
      <c r="U3978" s="31" t="n">
        <f aca="false">IF($B3978='設定（最初に1回）'!$C$4,N(U3977)+1,N(U3977))</f>
        <v>134</v>
      </c>
    </row>
    <row r="3979" customFormat="false" ht="15" hidden="false" customHeight="false" outlineLevel="0" collapsed="false">
      <c r="B3979" s="53"/>
      <c r="I3979" s="53"/>
      <c r="U3979" s="31" t="n">
        <f aca="false">IF($B3979='設定（最初に1回）'!$C$4,N(U3978)+1,N(U3978))</f>
        <v>134</v>
      </c>
    </row>
    <row r="3980" customFormat="false" ht="15" hidden="false" customHeight="false" outlineLevel="0" collapsed="false">
      <c r="B3980" s="53"/>
      <c r="I3980" s="53"/>
      <c r="U3980" s="31" t="n">
        <f aca="false">IF($B3980='設定（最初に1回）'!$C$4,N(U3979)+1,N(U3979))</f>
        <v>134</v>
      </c>
    </row>
    <row r="3981" customFormat="false" ht="15" hidden="false" customHeight="false" outlineLevel="0" collapsed="false">
      <c r="B3981" s="53"/>
      <c r="I3981" s="53"/>
      <c r="U3981" s="31" t="n">
        <f aca="false">IF($B3981='設定（最初に1回）'!$C$4,N(U3980)+1,N(U3980))</f>
        <v>134</v>
      </c>
    </row>
    <row r="3982" customFormat="false" ht="15" hidden="false" customHeight="false" outlineLevel="0" collapsed="false">
      <c r="B3982" s="53"/>
      <c r="I3982" s="53"/>
      <c r="U3982" s="31" t="n">
        <f aca="false">IF($B3982='設定（最初に1回）'!$C$4,N(U3981)+1,N(U3981))</f>
        <v>134</v>
      </c>
    </row>
    <row r="3983" customFormat="false" ht="15" hidden="false" customHeight="false" outlineLevel="0" collapsed="false">
      <c r="B3983" s="53"/>
      <c r="I3983" s="53"/>
      <c r="U3983" s="31" t="n">
        <f aca="false">IF($B3983='設定（最初に1回）'!$C$4,N(U3982)+1,N(U3982))</f>
        <v>134</v>
      </c>
    </row>
    <row r="3984" customFormat="false" ht="15" hidden="false" customHeight="false" outlineLevel="0" collapsed="false">
      <c r="B3984" s="53"/>
      <c r="I3984" s="53"/>
      <c r="U3984" s="31" t="n">
        <f aca="false">IF($B3984='設定（最初に1回）'!$C$4,N(U3983)+1,N(U3983))</f>
        <v>134</v>
      </c>
    </row>
    <row r="3985" customFormat="false" ht="15" hidden="false" customHeight="false" outlineLevel="0" collapsed="false">
      <c r="B3985" s="53"/>
      <c r="I3985" s="53"/>
      <c r="U3985" s="31" t="n">
        <f aca="false">IF($B3985='設定（最初に1回）'!$C$4,N(U3984)+1,N(U3984))</f>
        <v>134</v>
      </c>
    </row>
    <row r="3986" customFormat="false" ht="15" hidden="false" customHeight="false" outlineLevel="0" collapsed="false">
      <c r="B3986" s="53"/>
      <c r="I3986" s="53"/>
      <c r="U3986" s="31" t="n">
        <f aca="false">IF($B3986='設定（最初に1回）'!$C$4,N(U3985)+1,N(U3985))</f>
        <v>134</v>
      </c>
    </row>
    <row r="3987" customFormat="false" ht="15" hidden="false" customHeight="false" outlineLevel="0" collapsed="false">
      <c r="B3987" s="53"/>
      <c r="I3987" s="53"/>
      <c r="U3987" s="31" t="n">
        <f aca="false">IF($B3987='設定（最初に1回）'!$C$4,N(U3986)+1,N(U3986))</f>
        <v>134</v>
      </c>
    </row>
    <row r="3988" customFormat="false" ht="15" hidden="false" customHeight="false" outlineLevel="0" collapsed="false">
      <c r="B3988" s="53"/>
      <c r="I3988" s="53"/>
      <c r="U3988" s="31" t="n">
        <f aca="false">IF($B3988='設定（最初に1回）'!$C$4,N(U3987)+1,N(U3987))</f>
        <v>134</v>
      </c>
    </row>
    <row r="3989" customFormat="false" ht="15" hidden="false" customHeight="false" outlineLevel="0" collapsed="false">
      <c r="B3989" s="53"/>
      <c r="I3989" s="53"/>
      <c r="U3989" s="31" t="n">
        <f aca="false">IF($B3989='設定（最初に1回）'!$C$4,N(U3988)+1,N(U3988))</f>
        <v>134</v>
      </c>
    </row>
    <row r="3990" customFormat="false" ht="15" hidden="false" customHeight="false" outlineLevel="0" collapsed="false">
      <c r="B3990" s="53"/>
      <c r="I3990" s="53"/>
      <c r="U3990" s="31" t="n">
        <f aca="false">IF($B3990='設定（最初に1回）'!$C$4,N(U3989)+1,N(U3989))</f>
        <v>134</v>
      </c>
    </row>
    <row r="3991" customFormat="false" ht="15" hidden="false" customHeight="false" outlineLevel="0" collapsed="false">
      <c r="B3991" s="53"/>
      <c r="I3991" s="53"/>
      <c r="U3991" s="31" t="n">
        <f aca="false">IF($B3991='設定（最初に1回）'!$C$4,N(U3990)+1,N(U3990))</f>
        <v>134</v>
      </c>
    </row>
    <row r="3992" customFormat="false" ht="15" hidden="false" customHeight="false" outlineLevel="0" collapsed="false">
      <c r="B3992" s="53"/>
      <c r="I3992" s="53"/>
      <c r="U3992" s="31" t="n">
        <f aca="false">IF($B3992='設定（最初に1回）'!$C$4,N(U3991)+1,N(U3991))</f>
        <v>134</v>
      </c>
    </row>
    <row r="3993" customFormat="false" ht="15" hidden="false" customHeight="false" outlineLevel="0" collapsed="false">
      <c r="B3993" s="53"/>
      <c r="I3993" s="53"/>
      <c r="U3993" s="31" t="n">
        <f aca="false">IF($B3993='設定（最初に1回）'!$C$4,N(U3992)+1,N(U3992))</f>
        <v>134</v>
      </c>
    </row>
    <row r="3994" customFormat="false" ht="15" hidden="false" customHeight="false" outlineLevel="0" collapsed="false">
      <c r="B3994" s="53"/>
      <c r="I3994" s="53"/>
      <c r="U3994" s="31" t="n">
        <f aca="false">IF($B3994='設定（最初に1回）'!$C$4,N(U3993)+1,N(U3993))</f>
        <v>134</v>
      </c>
    </row>
    <row r="3995" customFormat="false" ht="15" hidden="false" customHeight="false" outlineLevel="0" collapsed="false">
      <c r="B3995" s="53"/>
      <c r="I3995" s="53"/>
      <c r="U3995" s="31" t="n">
        <f aca="false">IF($B3995='設定（最初に1回）'!$C$4,N(U3994)+1,N(U3994))</f>
        <v>134</v>
      </c>
    </row>
    <row r="3996" customFormat="false" ht="15" hidden="false" customHeight="false" outlineLevel="0" collapsed="false">
      <c r="B3996" s="53"/>
      <c r="I3996" s="53"/>
      <c r="U3996" s="31" t="n">
        <f aca="false">IF($B3996='設定（最初に1回）'!$C$4,N(U3995)+1,N(U3995))</f>
        <v>134</v>
      </c>
    </row>
    <row r="3997" customFormat="false" ht="15" hidden="false" customHeight="false" outlineLevel="0" collapsed="false">
      <c r="B3997" s="53"/>
      <c r="I3997" s="53"/>
      <c r="U3997" s="31" t="n">
        <f aca="false">IF($B3997='設定（最初に1回）'!$C$4,N(U3996)+1,N(U3996))</f>
        <v>134</v>
      </c>
    </row>
    <row r="3998" customFormat="false" ht="15" hidden="false" customHeight="false" outlineLevel="0" collapsed="false">
      <c r="B3998" s="53"/>
      <c r="I3998" s="53"/>
      <c r="U3998" s="31" t="n">
        <f aca="false">IF($B3998='設定（最初に1回）'!$C$4,N(U3997)+1,N(U3997))</f>
        <v>134</v>
      </c>
    </row>
    <row r="3999" customFormat="false" ht="15" hidden="false" customHeight="false" outlineLevel="0" collapsed="false">
      <c r="B3999" s="53"/>
      <c r="I3999" s="53"/>
      <c r="U3999" s="31" t="n">
        <f aca="false">IF($B3999='設定（最初に1回）'!$C$4,N(U3998)+1,N(U3998))</f>
        <v>134</v>
      </c>
    </row>
    <row r="4000" customFormat="false" ht="15" hidden="false" customHeight="false" outlineLevel="0" collapsed="false">
      <c r="B4000" s="53"/>
      <c r="I4000" s="53"/>
      <c r="U4000" s="31" t="n">
        <f aca="false">IF($B4000='設定（最初に1回）'!$C$4,N(U3999)+1,N(U3999))</f>
        <v>134</v>
      </c>
    </row>
    <row r="4001" customFormat="false" ht="15" hidden="false" customHeight="false" outlineLevel="0" collapsed="false">
      <c r="B4001" s="53"/>
      <c r="I4001" s="53"/>
      <c r="U4001" s="31" t="n">
        <f aca="false">IF($B4001='設定（最初に1回）'!$C$4,N(U4000)+1,N(U4000))</f>
        <v>134</v>
      </c>
    </row>
    <row r="4002" customFormat="false" ht="15" hidden="false" customHeight="false" outlineLevel="0" collapsed="false">
      <c r="B4002" s="53"/>
      <c r="I4002" s="53"/>
      <c r="U4002" s="31" t="n">
        <f aca="false">IF($B4002='設定（最初に1回）'!$C$4,N(U4001)+1,N(U4001))</f>
        <v>134</v>
      </c>
    </row>
    <row r="4003" customFormat="false" ht="15" hidden="false" customHeight="false" outlineLevel="0" collapsed="false">
      <c r="B4003" s="53"/>
      <c r="I4003" s="53"/>
      <c r="U4003" s="31" t="n">
        <f aca="false">IF($B4003='設定（最初に1回）'!$C$4,N(U4002)+1,N(U4002))</f>
        <v>134</v>
      </c>
    </row>
    <row r="4004" customFormat="false" ht="15" hidden="false" customHeight="false" outlineLevel="0" collapsed="false">
      <c r="B4004" s="53"/>
      <c r="I4004" s="53"/>
      <c r="U4004" s="31" t="n">
        <f aca="false">IF($B4004='設定（最初に1回）'!$C$4,N(U4003)+1,N(U4003))</f>
        <v>134</v>
      </c>
    </row>
    <row r="4005" customFormat="false" ht="15" hidden="false" customHeight="false" outlineLevel="0" collapsed="false">
      <c r="B4005" s="53"/>
      <c r="I4005" s="53"/>
      <c r="U4005" s="31" t="n">
        <f aca="false">IF($B4005='設定（最初に1回）'!$C$4,N(U4004)+1,N(U4004))</f>
        <v>134</v>
      </c>
    </row>
    <row r="4006" customFormat="false" ht="15" hidden="false" customHeight="false" outlineLevel="0" collapsed="false">
      <c r="B4006" s="53"/>
      <c r="I4006" s="53"/>
      <c r="U4006" s="31" t="n">
        <f aca="false">IF($B4006='設定（最初に1回）'!$C$4,N(U4005)+1,N(U4005))</f>
        <v>134</v>
      </c>
    </row>
    <row r="4007" customFormat="false" ht="15" hidden="false" customHeight="false" outlineLevel="0" collapsed="false">
      <c r="B4007" s="53"/>
      <c r="I4007" s="53"/>
      <c r="U4007" s="31" t="n">
        <f aca="false">IF($B4007='設定（最初に1回）'!$C$4,N(U4006)+1,N(U4006))</f>
        <v>134</v>
      </c>
    </row>
    <row r="4008" customFormat="false" ht="15" hidden="false" customHeight="false" outlineLevel="0" collapsed="false">
      <c r="B4008" s="53"/>
      <c r="I4008" s="53"/>
      <c r="U4008" s="31" t="n">
        <f aca="false">IF($B4008='設定（最初に1回）'!$C$4,N(U4007)+1,N(U4007))</f>
        <v>134</v>
      </c>
    </row>
    <row r="4009" customFormat="false" ht="15" hidden="false" customHeight="false" outlineLevel="0" collapsed="false">
      <c r="B4009" s="53"/>
      <c r="I4009" s="53"/>
      <c r="U4009" s="31" t="n">
        <f aca="false">IF($B4009='設定（最初に1回）'!$C$4,N(U4008)+1,N(U4008))</f>
        <v>134</v>
      </c>
    </row>
    <row r="4010" customFormat="false" ht="15" hidden="false" customHeight="false" outlineLevel="0" collapsed="false">
      <c r="B4010" s="53"/>
      <c r="I4010" s="53"/>
      <c r="U4010" s="31" t="n">
        <f aca="false">IF($B4010='設定（最初に1回）'!$C$4,N(U4009)+1,N(U4009))</f>
        <v>134</v>
      </c>
    </row>
    <row r="4011" customFormat="false" ht="15" hidden="false" customHeight="false" outlineLevel="0" collapsed="false">
      <c r="B4011" s="53"/>
      <c r="I4011" s="53"/>
      <c r="U4011" s="31" t="n">
        <f aca="false">IF($B4011='設定（最初に1回）'!$C$4,N(U4010)+1,N(U4010))</f>
        <v>134</v>
      </c>
    </row>
    <row r="4012" customFormat="false" ht="15" hidden="false" customHeight="false" outlineLevel="0" collapsed="false">
      <c r="B4012" s="53"/>
      <c r="I4012" s="53"/>
      <c r="U4012" s="31" t="n">
        <f aca="false">IF($B4012='設定（最初に1回）'!$C$4,N(U4011)+1,N(U4011))</f>
        <v>134</v>
      </c>
    </row>
    <row r="4013" customFormat="false" ht="15" hidden="false" customHeight="false" outlineLevel="0" collapsed="false">
      <c r="B4013" s="53"/>
      <c r="I4013" s="53"/>
      <c r="U4013" s="31" t="n">
        <f aca="false">IF($B4013='設定（最初に1回）'!$C$4,N(U4012)+1,N(U4012))</f>
        <v>134</v>
      </c>
    </row>
    <row r="4014" customFormat="false" ht="15" hidden="false" customHeight="false" outlineLevel="0" collapsed="false">
      <c r="B4014" s="53"/>
      <c r="I4014" s="53"/>
      <c r="U4014" s="31" t="n">
        <f aca="false">IF($B4014='設定（最初に1回）'!$C$4,N(U4013)+1,N(U4013))</f>
        <v>134</v>
      </c>
    </row>
    <row r="4015" customFormat="false" ht="15" hidden="false" customHeight="false" outlineLevel="0" collapsed="false">
      <c r="B4015" s="53"/>
      <c r="I4015" s="53"/>
      <c r="U4015" s="31" t="n">
        <f aca="false">IF($B4015='設定（最初に1回）'!$C$4,N(U4014)+1,N(U4014))</f>
        <v>134</v>
      </c>
    </row>
    <row r="4016" customFormat="false" ht="15" hidden="false" customHeight="false" outlineLevel="0" collapsed="false">
      <c r="B4016" s="53"/>
      <c r="I4016" s="53"/>
      <c r="U4016" s="31" t="n">
        <f aca="false">IF($B4016='設定（最初に1回）'!$C$4,N(U4015)+1,N(U4015))</f>
        <v>134</v>
      </c>
    </row>
    <row r="4017" customFormat="false" ht="15" hidden="false" customHeight="false" outlineLevel="0" collapsed="false">
      <c r="B4017" s="53"/>
      <c r="I4017" s="53"/>
      <c r="U4017" s="31" t="n">
        <f aca="false">IF($B4017='設定（最初に1回）'!$C$4,N(U4016)+1,N(U4016))</f>
        <v>134</v>
      </c>
    </row>
    <row r="4018" customFormat="false" ht="15" hidden="false" customHeight="false" outlineLevel="0" collapsed="false">
      <c r="B4018" s="53"/>
      <c r="I4018" s="53"/>
      <c r="U4018" s="31" t="n">
        <f aca="false">IF($B4018='設定（最初に1回）'!$C$4,N(U4017)+1,N(U4017))</f>
        <v>134</v>
      </c>
    </row>
    <row r="4019" customFormat="false" ht="15" hidden="false" customHeight="false" outlineLevel="0" collapsed="false">
      <c r="B4019" s="53"/>
      <c r="I4019" s="53"/>
      <c r="U4019" s="31" t="n">
        <f aca="false">IF($B4019='設定（最初に1回）'!$C$4,N(U4018)+1,N(U4018))</f>
        <v>134</v>
      </c>
    </row>
    <row r="4020" customFormat="false" ht="15" hidden="false" customHeight="false" outlineLevel="0" collapsed="false">
      <c r="B4020" s="53"/>
      <c r="I4020" s="53"/>
      <c r="U4020" s="31" t="n">
        <f aca="false">IF($B4020='設定（最初に1回）'!$C$4,N(U4019)+1,N(U4019))</f>
        <v>134</v>
      </c>
    </row>
    <row r="4021" customFormat="false" ht="15" hidden="false" customHeight="false" outlineLevel="0" collapsed="false">
      <c r="B4021" s="53"/>
      <c r="I4021" s="53"/>
      <c r="U4021" s="31" t="n">
        <f aca="false">IF($B4021='設定（最初に1回）'!$C$4,N(U4020)+1,N(U4020))</f>
        <v>134</v>
      </c>
    </row>
    <row r="4022" customFormat="false" ht="15" hidden="false" customHeight="false" outlineLevel="0" collapsed="false">
      <c r="B4022" s="53"/>
      <c r="I4022" s="53"/>
      <c r="U4022" s="31" t="n">
        <f aca="false">IF($B4022='設定（最初に1回）'!$C$4,N(U4021)+1,N(U4021))</f>
        <v>134</v>
      </c>
    </row>
    <row r="4023" customFormat="false" ht="15" hidden="false" customHeight="false" outlineLevel="0" collapsed="false">
      <c r="B4023" s="53"/>
      <c r="I4023" s="53"/>
      <c r="U4023" s="31" t="n">
        <f aca="false">IF($B4023='設定（最初に1回）'!$C$4,N(U4022)+1,N(U4022))</f>
        <v>134</v>
      </c>
    </row>
    <row r="4024" customFormat="false" ht="15" hidden="false" customHeight="false" outlineLevel="0" collapsed="false">
      <c r="B4024" s="53"/>
      <c r="I4024" s="53"/>
      <c r="U4024" s="31" t="n">
        <f aca="false">IF($B4024='設定（最初に1回）'!$C$4,N(U4023)+1,N(U4023))</f>
        <v>134</v>
      </c>
    </row>
    <row r="4025" customFormat="false" ht="15" hidden="false" customHeight="false" outlineLevel="0" collapsed="false">
      <c r="B4025" s="53"/>
      <c r="I4025" s="53"/>
      <c r="U4025" s="31" t="n">
        <f aca="false">IF($B4025='設定（最初に1回）'!$C$4,N(U4024)+1,N(U4024))</f>
        <v>134</v>
      </c>
    </row>
    <row r="4026" customFormat="false" ht="15" hidden="false" customHeight="false" outlineLevel="0" collapsed="false">
      <c r="B4026" s="53"/>
      <c r="I4026" s="53"/>
      <c r="U4026" s="31" t="n">
        <f aca="false">IF($B4026='設定（最初に1回）'!$C$4,N(U4025)+1,N(U4025))</f>
        <v>134</v>
      </c>
    </row>
    <row r="4027" customFormat="false" ht="15" hidden="false" customHeight="false" outlineLevel="0" collapsed="false">
      <c r="B4027" s="53"/>
      <c r="I4027" s="53"/>
      <c r="U4027" s="31" t="n">
        <f aca="false">IF($B4027='設定（最初に1回）'!$C$4,N(U4026)+1,N(U4026))</f>
        <v>134</v>
      </c>
    </row>
    <row r="4028" customFormat="false" ht="15" hidden="false" customHeight="false" outlineLevel="0" collapsed="false">
      <c r="B4028" s="53"/>
      <c r="I4028" s="53"/>
      <c r="U4028" s="31" t="n">
        <f aca="false">IF($B4028='設定（最初に1回）'!$C$4,N(U4027)+1,N(U4027))</f>
        <v>134</v>
      </c>
    </row>
    <row r="4029" customFormat="false" ht="15" hidden="false" customHeight="false" outlineLevel="0" collapsed="false">
      <c r="B4029" s="53"/>
      <c r="I4029" s="53"/>
      <c r="U4029" s="31" t="n">
        <f aca="false">IF($B4029='設定（最初に1回）'!$C$4,N(U4028)+1,N(U4028))</f>
        <v>134</v>
      </c>
    </row>
    <row r="4030" customFormat="false" ht="15" hidden="false" customHeight="false" outlineLevel="0" collapsed="false">
      <c r="B4030" s="53"/>
      <c r="I4030" s="53"/>
      <c r="U4030" s="31" t="n">
        <f aca="false">IF($B4030='設定（最初に1回）'!$C$4,N(U4029)+1,N(U4029))</f>
        <v>134</v>
      </c>
    </row>
    <row r="4031" customFormat="false" ht="15" hidden="false" customHeight="false" outlineLevel="0" collapsed="false">
      <c r="B4031" s="53"/>
      <c r="I4031" s="53"/>
      <c r="U4031" s="31" t="n">
        <f aca="false">IF($B4031='設定（最初に1回）'!$C$4,N(U4030)+1,N(U4030))</f>
        <v>134</v>
      </c>
    </row>
    <row r="4032" customFormat="false" ht="15" hidden="false" customHeight="false" outlineLevel="0" collapsed="false">
      <c r="B4032" s="53"/>
      <c r="I4032" s="53"/>
      <c r="U4032" s="31" t="n">
        <f aca="false">IF($B4032='設定（最初に1回）'!$C$4,N(U4031)+1,N(U4031))</f>
        <v>134</v>
      </c>
    </row>
    <row r="4033" customFormat="false" ht="15" hidden="false" customHeight="false" outlineLevel="0" collapsed="false">
      <c r="B4033" s="53"/>
      <c r="I4033" s="53"/>
      <c r="U4033" s="31" t="n">
        <f aca="false">IF($B4033='設定（最初に1回）'!$C$4,N(U4032)+1,N(U4032))</f>
        <v>134</v>
      </c>
    </row>
    <row r="4034" customFormat="false" ht="15" hidden="false" customHeight="false" outlineLevel="0" collapsed="false">
      <c r="B4034" s="53"/>
      <c r="I4034" s="53"/>
      <c r="U4034" s="31" t="n">
        <f aca="false">IF($B4034='設定（最初に1回）'!$C$4,N(U4033)+1,N(U4033))</f>
        <v>134</v>
      </c>
    </row>
    <row r="4035" customFormat="false" ht="15" hidden="false" customHeight="false" outlineLevel="0" collapsed="false">
      <c r="B4035" s="53"/>
      <c r="I4035" s="53"/>
      <c r="U4035" s="31" t="n">
        <f aca="false">IF($B4035='設定（最初に1回）'!$C$4,N(U4034)+1,N(U4034))</f>
        <v>134</v>
      </c>
    </row>
    <row r="4036" customFormat="false" ht="15" hidden="false" customHeight="false" outlineLevel="0" collapsed="false">
      <c r="B4036" s="53"/>
      <c r="I4036" s="53"/>
      <c r="U4036" s="31" t="n">
        <f aca="false">IF($B4036='設定（最初に1回）'!$C$4,N(U4035)+1,N(U4035))</f>
        <v>134</v>
      </c>
    </row>
    <row r="4037" customFormat="false" ht="15" hidden="false" customHeight="false" outlineLevel="0" collapsed="false">
      <c r="B4037" s="53"/>
      <c r="I4037" s="53"/>
      <c r="U4037" s="31" t="n">
        <f aca="false">IF($B4037='設定（最初に1回）'!$C$4,N(U4036)+1,N(U4036))</f>
        <v>134</v>
      </c>
    </row>
    <row r="4038" customFormat="false" ht="15" hidden="false" customHeight="false" outlineLevel="0" collapsed="false">
      <c r="B4038" s="53"/>
      <c r="I4038" s="53"/>
      <c r="U4038" s="31" t="n">
        <f aca="false">IF($B4038='設定（最初に1回）'!$C$4,N(U4037)+1,N(U4037))</f>
        <v>134</v>
      </c>
    </row>
    <row r="4039" customFormat="false" ht="15" hidden="false" customHeight="false" outlineLevel="0" collapsed="false">
      <c r="B4039" s="53"/>
      <c r="I4039" s="53"/>
      <c r="U4039" s="31" t="n">
        <f aca="false">IF($B4039='設定（最初に1回）'!$C$4,N(U4038)+1,N(U4038))</f>
        <v>134</v>
      </c>
    </row>
    <row r="4040" customFormat="false" ht="15" hidden="false" customHeight="false" outlineLevel="0" collapsed="false">
      <c r="B4040" s="53"/>
      <c r="I4040" s="53"/>
      <c r="U4040" s="31" t="n">
        <f aca="false">IF($B4040='設定（最初に1回）'!$C$4,N(U4039)+1,N(U4039))</f>
        <v>134</v>
      </c>
    </row>
    <row r="4041" customFormat="false" ht="15" hidden="false" customHeight="false" outlineLevel="0" collapsed="false">
      <c r="B4041" s="53"/>
      <c r="I4041" s="53"/>
      <c r="U4041" s="31" t="n">
        <f aca="false">IF($B4041='設定（最初に1回）'!$C$4,N(U4040)+1,N(U4040))</f>
        <v>134</v>
      </c>
    </row>
    <row r="4042" customFormat="false" ht="15" hidden="false" customHeight="false" outlineLevel="0" collapsed="false">
      <c r="B4042" s="53"/>
      <c r="I4042" s="53"/>
      <c r="U4042" s="31" t="n">
        <f aca="false">IF($B4042='設定（最初に1回）'!$C$4,N(U4041)+1,N(U4041))</f>
        <v>134</v>
      </c>
    </row>
    <row r="4043" customFormat="false" ht="15" hidden="false" customHeight="false" outlineLevel="0" collapsed="false">
      <c r="B4043" s="53"/>
      <c r="I4043" s="53"/>
      <c r="U4043" s="31" t="n">
        <f aca="false">IF($B4043='設定（最初に1回）'!$C$4,N(U4042)+1,N(U4042))</f>
        <v>134</v>
      </c>
    </row>
    <row r="4044" customFormat="false" ht="15" hidden="false" customHeight="false" outlineLevel="0" collapsed="false">
      <c r="B4044" s="53"/>
      <c r="I4044" s="53"/>
      <c r="U4044" s="31" t="n">
        <f aca="false">IF($B4044='設定（最初に1回）'!$C$4,N(U4043)+1,N(U4043))</f>
        <v>134</v>
      </c>
    </row>
    <row r="4045" customFormat="false" ht="15" hidden="false" customHeight="false" outlineLevel="0" collapsed="false">
      <c r="B4045" s="53"/>
      <c r="I4045" s="53"/>
      <c r="U4045" s="31" t="n">
        <f aca="false">IF($B4045='設定（最初に1回）'!$C$4,N(U4044)+1,N(U4044))</f>
        <v>134</v>
      </c>
    </row>
    <row r="4046" customFormat="false" ht="15" hidden="false" customHeight="false" outlineLevel="0" collapsed="false">
      <c r="B4046" s="53"/>
      <c r="I4046" s="53"/>
      <c r="U4046" s="31" t="n">
        <f aca="false">IF($B4046='設定（最初に1回）'!$C$4,N(U4045)+1,N(U4045))</f>
        <v>134</v>
      </c>
    </row>
    <row r="4047" customFormat="false" ht="15" hidden="false" customHeight="false" outlineLevel="0" collapsed="false">
      <c r="B4047" s="53"/>
      <c r="I4047" s="53"/>
      <c r="U4047" s="31" t="n">
        <f aca="false">IF($B4047='設定（最初に1回）'!$C$4,N(U4046)+1,N(U4046))</f>
        <v>134</v>
      </c>
    </row>
    <row r="4048" customFormat="false" ht="15" hidden="false" customHeight="false" outlineLevel="0" collapsed="false">
      <c r="B4048" s="53"/>
      <c r="I4048" s="53"/>
      <c r="U4048" s="31" t="n">
        <f aca="false">IF($B4048='設定（最初に1回）'!$C$4,N(U4047)+1,N(U4047))</f>
        <v>134</v>
      </c>
    </row>
    <row r="4049" customFormat="false" ht="15" hidden="false" customHeight="false" outlineLevel="0" collapsed="false">
      <c r="B4049" s="53"/>
      <c r="I4049" s="53"/>
      <c r="U4049" s="31" t="n">
        <f aca="false">IF($B4049='設定（最初に1回）'!$C$4,N(U4048)+1,N(U4048))</f>
        <v>134</v>
      </c>
    </row>
    <row r="4050" customFormat="false" ht="15" hidden="false" customHeight="false" outlineLevel="0" collapsed="false">
      <c r="B4050" s="53"/>
      <c r="I4050" s="53"/>
      <c r="U4050" s="31" t="n">
        <f aca="false">IF($B4050='設定（最初に1回）'!$C$4,N(U4049)+1,N(U4049))</f>
        <v>134</v>
      </c>
    </row>
    <row r="4051" customFormat="false" ht="15" hidden="false" customHeight="false" outlineLevel="0" collapsed="false">
      <c r="B4051" s="53"/>
      <c r="I4051" s="53"/>
      <c r="U4051" s="31" t="n">
        <f aca="false">IF($B4051='設定（最初に1回）'!$C$4,N(U4050)+1,N(U4050))</f>
        <v>134</v>
      </c>
    </row>
    <row r="4052" customFormat="false" ht="15" hidden="false" customHeight="false" outlineLevel="0" collapsed="false">
      <c r="B4052" s="53"/>
      <c r="I4052" s="53"/>
      <c r="U4052" s="31" t="n">
        <f aca="false">IF($B4052='設定（最初に1回）'!$C$4,N(U4051)+1,N(U4051))</f>
        <v>134</v>
      </c>
    </row>
    <row r="4053" customFormat="false" ht="15" hidden="false" customHeight="false" outlineLevel="0" collapsed="false">
      <c r="B4053" s="53"/>
      <c r="I4053" s="53"/>
      <c r="U4053" s="31" t="n">
        <f aca="false">IF($B4053='設定（最初に1回）'!$C$4,N(U4052)+1,N(U4052))</f>
        <v>134</v>
      </c>
    </row>
    <row r="4054" customFormat="false" ht="15" hidden="false" customHeight="false" outlineLevel="0" collapsed="false">
      <c r="B4054" s="53"/>
      <c r="I4054" s="53"/>
      <c r="U4054" s="31" t="n">
        <f aca="false">IF($B4054='設定（最初に1回）'!$C$4,N(U4053)+1,N(U4053))</f>
        <v>134</v>
      </c>
    </row>
    <row r="4055" customFormat="false" ht="15" hidden="false" customHeight="false" outlineLevel="0" collapsed="false">
      <c r="B4055" s="53"/>
      <c r="I4055" s="53"/>
      <c r="U4055" s="31" t="n">
        <f aca="false">IF($B4055='設定（最初に1回）'!$C$4,N(U4054)+1,N(U4054))</f>
        <v>134</v>
      </c>
    </row>
    <row r="4056" customFormat="false" ht="15" hidden="false" customHeight="false" outlineLevel="0" collapsed="false">
      <c r="B4056" s="53"/>
      <c r="I4056" s="53"/>
      <c r="U4056" s="31" t="n">
        <f aca="false">IF($B4056='設定（最初に1回）'!$C$4,N(U4055)+1,N(U4055))</f>
        <v>134</v>
      </c>
    </row>
    <row r="4057" customFormat="false" ht="15" hidden="false" customHeight="false" outlineLevel="0" collapsed="false">
      <c r="B4057" s="53"/>
      <c r="I4057" s="53"/>
      <c r="U4057" s="31" t="n">
        <f aca="false">IF($B4057='設定（最初に1回）'!$C$4,N(U4056)+1,N(U4056))</f>
        <v>134</v>
      </c>
    </row>
    <row r="4058" customFormat="false" ht="15" hidden="false" customHeight="false" outlineLevel="0" collapsed="false">
      <c r="B4058" s="53"/>
      <c r="I4058" s="53"/>
      <c r="U4058" s="31" t="n">
        <f aca="false">IF($B4058='設定（最初に1回）'!$C$4,N(U4057)+1,N(U4057))</f>
        <v>134</v>
      </c>
    </row>
    <row r="4059" customFormat="false" ht="15" hidden="false" customHeight="false" outlineLevel="0" collapsed="false">
      <c r="B4059" s="53"/>
      <c r="I4059" s="53"/>
      <c r="U4059" s="31" t="n">
        <f aca="false">IF($B4059='設定（最初に1回）'!$C$4,N(U4058)+1,N(U4058))</f>
        <v>134</v>
      </c>
    </row>
    <row r="4060" customFormat="false" ht="15" hidden="false" customHeight="false" outlineLevel="0" collapsed="false">
      <c r="B4060" s="53"/>
      <c r="I4060" s="53"/>
      <c r="U4060" s="31" t="n">
        <f aca="false">IF($B4060='設定（最初に1回）'!$C$4,N(U4059)+1,N(U4059))</f>
        <v>134</v>
      </c>
    </row>
    <row r="4061" customFormat="false" ht="15" hidden="false" customHeight="false" outlineLevel="0" collapsed="false">
      <c r="B4061" s="53"/>
      <c r="I4061" s="53"/>
      <c r="U4061" s="31" t="n">
        <f aca="false">IF($B4061='設定（最初に1回）'!$C$4,N(U4060)+1,N(U4060))</f>
        <v>134</v>
      </c>
    </row>
    <row r="4062" customFormat="false" ht="15" hidden="false" customHeight="false" outlineLevel="0" collapsed="false">
      <c r="B4062" s="53"/>
      <c r="I4062" s="53"/>
      <c r="U4062" s="31" t="n">
        <f aca="false">IF($B4062='設定（最初に1回）'!$C$4,N(U4061)+1,N(U4061))</f>
        <v>134</v>
      </c>
    </row>
    <row r="4063" customFormat="false" ht="15" hidden="false" customHeight="false" outlineLevel="0" collapsed="false">
      <c r="B4063" s="53"/>
      <c r="I4063" s="53"/>
      <c r="U4063" s="31" t="n">
        <f aca="false">IF($B4063='設定（最初に1回）'!$C$4,N(U4062)+1,N(U4062))</f>
        <v>134</v>
      </c>
    </row>
    <row r="4064" customFormat="false" ht="15" hidden="false" customHeight="false" outlineLevel="0" collapsed="false">
      <c r="B4064" s="53"/>
      <c r="I4064" s="53"/>
      <c r="U4064" s="31" t="n">
        <f aca="false">IF($B4064='設定（最初に1回）'!$C$4,N(U4063)+1,N(U4063))</f>
        <v>134</v>
      </c>
    </row>
    <row r="4065" customFormat="false" ht="15" hidden="false" customHeight="false" outlineLevel="0" collapsed="false">
      <c r="B4065" s="53"/>
      <c r="I4065" s="53"/>
      <c r="U4065" s="31" t="n">
        <f aca="false">IF($B4065='設定（最初に1回）'!$C$4,N(U4064)+1,N(U4064))</f>
        <v>134</v>
      </c>
    </row>
    <row r="4066" customFormat="false" ht="15" hidden="false" customHeight="false" outlineLevel="0" collapsed="false">
      <c r="B4066" s="53"/>
      <c r="I4066" s="53"/>
      <c r="U4066" s="31" t="n">
        <f aca="false">IF($B4066='設定（最初に1回）'!$C$4,N(U4065)+1,N(U4065))</f>
        <v>134</v>
      </c>
    </row>
    <row r="4067" customFormat="false" ht="15" hidden="false" customHeight="false" outlineLevel="0" collapsed="false">
      <c r="B4067" s="53"/>
      <c r="I4067" s="53"/>
      <c r="U4067" s="31" t="n">
        <f aca="false">IF($B4067='設定（最初に1回）'!$C$4,N(U4066)+1,N(U4066))</f>
        <v>134</v>
      </c>
    </row>
    <row r="4068" customFormat="false" ht="15" hidden="false" customHeight="false" outlineLevel="0" collapsed="false">
      <c r="B4068" s="53"/>
      <c r="I4068" s="53"/>
      <c r="U4068" s="31" t="n">
        <f aca="false">IF($B4068='設定（最初に1回）'!$C$4,N(U4067)+1,N(U4067))</f>
        <v>134</v>
      </c>
    </row>
    <row r="4069" customFormat="false" ht="15" hidden="false" customHeight="false" outlineLevel="0" collapsed="false">
      <c r="B4069" s="53"/>
      <c r="I4069" s="53"/>
      <c r="U4069" s="31" t="n">
        <f aca="false">IF($B4069='設定（最初に1回）'!$C$4,N(U4068)+1,N(U4068))</f>
        <v>134</v>
      </c>
    </row>
    <row r="4070" customFormat="false" ht="15" hidden="false" customHeight="false" outlineLevel="0" collapsed="false">
      <c r="B4070" s="53"/>
      <c r="I4070" s="53"/>
      <c r="U4070" s="31" t="n">
        <f aca="false">IF($B4070='設定（最初に1回）'!$C$4,N(U4069)+1,N(U4069))</f>
        <v>134</v>
      </c>
    </row>
    <row r="4071" customFormat="false" ht="15" hidden="false" customHeight="false" outlineLevel="0" collapsed="false">
      <c r="B4071" s="53"/>
      <c r="I4071" s="53"/>
      <c r="U4071" s="31" t="n">
        <f aca="false">IF($B4071='設定（最初に1回）'!$C$4,N(U4070)+1,N(U4070))</f>
        <v>134</v>
      </c>
    </row>
    <row r="4072" customFormat="false" ht="15" hidden="false" customHeight="false" outlineLevel="0" collapsed="false">
      <c r="B4072" s="53"/>
      <c r="I4072" s="53"/>
      <c r="U4072" s="31" t="n">
        <f aca="false">IF($B4072='設定（最初に1回）'!$C$4,N(U4071)+1,N(U4071))</f>
        <v>134</v>
      </c>
    </row>
    <row r="4073" customFormat="false" ht="15" hidden="false" customHeight="false" outlineLevel="0" collapsed="false">
      <c r="B4073" s="53"/>
      <c r="I4073" s="53"/>
      <c r="U4073" s="31" t="n">
        <f aca="false">IF($B4073='設定（最初に1回）'!$C$4,N(U4072)+1,N(U4072))</f>
        <v>134</v>
      </c>
    </row>
    <row r="4074" customFormat="false" ht="15" hidden="false" customHeight="false" outlineLevel="0" collapsed="false">
      <c r="B4074" s="53"/>
      <c r="I4074" s="53"/>
      <c r="U4074" s="31" t="n">
        <f aca="false">IF($B4074='設定（最初に1回）'!$C$4,N(U4073)+1,N(U4073))</f>
        <v>134</v>
      </c>
    </row>
    <row r="4075" customFormat="false" ht="15" hidden="false" customHeight="false" outlineLevel="0" collapsed="false">
      <c r="B4075" s="53"/>
      <c r="I4075" s="53"/>
      <c r="U4075" s="31" t="n">
        <f aca="false">IF($B4075='設定（最初に1回）'!$C$4,N(U4074)+1,N(U4074))</f>
        <v>134</v>
      </c>
    </row>
    <row r="4076" customFormat="false" ht="15" hidden="false" customHeight="false" outlineLevel="0" collapsed="false">
      <c r="B4076" s="53"/>
      <c r="I4076" s="53"/>
      <c r="U4076" s="31" t="n">
        <f aca="false">IF($B4076='設定（最初に1回）'!$C$4,N(U4075)+1,N(U4075))</f>
        <v>134</v>
      </c>
    </row>
    <row r="4077" customFormat="false" ht="15" hidden="false" customHeight="false" outlineLevel="0" collapsed="false">
      <c r="B4077" s="53"/>
      <c r="I4077" s="53"/>
      <c r="U4077" s="31" t="n">
        <f aca="false">IF($B4077='設定（最初に1回）'!$C$4,N(U4076)+1,N(U4076))</f>
        <v>134</v>
      </c>
    </row>
    <row r="4078" customFormat="false" ht="15" hidden="false" customHeight="false" outlineLevel="0" collapsed="false">
      <c r="B4078" s="53"/>
      <c r="I4078" s="53"/>
      <c r="U4078" s="31" t="n">
        <f aca="false">IF($B4078='設定（最初に1回）'!$C$4,N(U4077)+1,N(U4077))</f>
        <v>134</v>
      </c>
    </row>
    <row r="4079" customFormat="false" ht="15" hidden="false" customHeight="false" outlineLevel="0" collapsed="false">
      <c r="B4079" s="53"/>
      <c r="I4079" s="53"/>
      <c r="U4079" s="31" t="n">
        <f aca="false">IF($B4079='設定（最初に1回）'!$C$4,N(U4078)+1,N(U4078))</f>
        <v>134</v>
      </c>
    </row>
    <row r="4080" customFormat="false" ht="15" hidden="false" customHeight="false" outlineLevel="0" collapsed="false">
      <c r="B4080" s="53"/>
      <c r="I4080" s="53"/>
      <c r="U4080" s="31" t="n">
        <f aca="false">IF($B4080='設定（最初に1回）'!$C$4,N(U4079)+1,N(U4079))</f>
        <v>134</v>
      </c>
    </row>
    <row r="4081" customFormat="false" ht="15" hidden="false" customHeight="false" outlineLevel="0" collapsed="false">
      <c r="B4081" s="53"/>
      <c r="I4081" s="53"/>
      <c r="U4081" s="31" t="n">
        <f aca="false">IF($B4081='設定（最初に1回）'!$C$4,N(U4080)+1,N(U4080))</f>
        <v>134</v>
      </c>
    </row>
    <row r="4082" customFormat="false" ht="15" hidden="false" customHeight="false" outlineLevel="0" collapsed="false">
      <c r="B4082" s="53"/>
      <c r="I4082" s="53"/>
      <c r="U4082" s="31" t="n">
        <f aca="false">IF($B4082='設定（最初に1回）'!$C$4,N(U4081)+1,N(U4081))</f>
        <v>134</v>
      </c>
    </row>
    <row r="4083" customFormat="false" ht="15" hidden="false" customHeight="false" outlineLevel="0" collapsed="false">
      <c r="B4083" s="53"/>
      <c r="I4083" s="53"/>
      <c r="U4083" s="31" t="n">
        <f aca="false">IF($B4083='設定（最初に1回）'!$C$4,N(U4082)+1,N(U4082))</f>
        <v>134</v>
      </c>
    </row>
    <row r="4084" customFormat="false" ht="15" hidden="false" customHeight="false" outlineLevel="0" collapsed="false">
      <c r="B4084" s="53"/>
      <c r="I4084" s="53"/>
      <c r="U4084" s="31" t="n">
        <f aca="false">IF($B4084='設定（最初に1回）'!$C$4,N(U4083)+1,N(U4083))</f>
        <v>134</v>
      </c>
    </row>
    <row r="4085" customFormat="false" ht="15" hidden="false" customHeight="false" outlineLevel="0" collapsed="false">
      <c r="B4085" s="53"/>
      <c r="I4085" s="53"/>
      <c r="U4085" s="31" t="n">
        <f aca="false">IF($B4085='設定（最初に1回）'!$C$4,N(U4084)+1,N(U4084))</f>
        <v>134</v>
      </c>
    </row>
    <row r="4086" customFormat="false" ht="15" hidden="false" customHeight="false" outlineLevel="0" collapsed="false">
      <c r="B4086" s="53"/>
      <c r="I4086" s="53"/>
      <c r="U4086" s="31" t="n">
        <f aca="false">IF($B4086='設定（最初に1回）'!$C$4,N(U4085)+1,N(U4085))</f>
        <v>134</v>
      </c>
    </row>
    <row r="4087" customFormat="false" ht="15" hidden="false" customHeight="false" outlineLevel="0" collapsed="false">
      <c r="B4087" s="53"/>
      <c r="I4087" s="53"/>
      <c r="U4087" s="31" t="n">
        <f aca="false">IF($B4087='設定（最初に1回）'!$C$4,N(U4086)+1,N(U4086))</f>
        <v>134</v>
      </c>
    </row>
    <row r="4088" customFormat="false" ht="15" hidden="false" customHeight="false" outlineLevel="0" collapsed="false">
      <c r="B4088" s="53"/>
      <c r="I4088" s="53"/>
      <c r="U4088" s="31" t="n">
        <f aca="false">IF($B4088='設定（最初に1回）'!$C$4,N(U4087)+1,N(U4087))</f>
        <v>134</v>
      </c>
    </row>
    <row r="4089" customFormat="false" ht="15" hidden="false" customHeight="false" outlineLevel="0" collapsed="false">
      <c r="B4089" s="53"/>
      <c r="I4089" s="53"/>
      <c r="U4089" s="31" t="n">
        <f aca="false">IF($B4089='設定（最初に1回）'!$C$4,N(U4088)+1,N(U4088))</f>
        <v>134</v>
      </c>
    </row>
    <row r="4090" customFormat="false" ht="15" hidden="false" customHeight="false" outlineLevel="0" collapsed="false">
      <c r="B4090" s="53"/>
      <c r="I4090" s="53"/>
      <c r="U4090" s="31" t="n">
        <f aca="false">IF($B4090='設定（最初に1回）'!$C$4,N(U4089)+1,N(U4089))</f>
        <v>134</v>
      </c>
    </row>
    <row r="4091" customFormat="false" ht="15" hidden="false" customHeight="false" outlineLevel="0" collapsed="false">
      <c r="B4091" s="53"/>
      <c r="I4091" s="53"/>
      <c r="U4091" s="31" t="n">
        <f aca="false">IF($B4091='設定（最初に1回）'!$C$4,N(U4090)+1,N(U4090))</f>
        <v>134</v>
      </c>
    </row>
    <row r="4092" customFormat="false" ht="15" hidden="false" customHeight="false" outlineLevel="0" collapsed="false">
      <c r="B4092" s="53"/>
      <c r="I4092" s="53"/>
      <c r="U4092" s="31" t="n">
        <f aca="false">IF($B4092='設定（最初に1回）'!$C$4,N(U4091)+1,N(U4091))</f>
        <v>134</v>
      </c>
    </row>
    <row r="4093" customFormat="false" ht="15" hidden="false" customHeight="false" outlineLevel="0" collapsed="false">
      <c r="B4093" s="53"/>
      <c r="I4093" s="53"/>
      <c r="U4093" s="31" t="n">
        <f aca="false">IF($B4093='設定（最初に1回）'!$C$4,N(U4092)+1,N(U4092))</f>
        <v>134</v>
      </c>
    </row>
    <row r="4094" customFormat="false" ht="15" hidden="false" customHeight="false" outlineLevel="0" collapsed="false">
      <c r="B4094" s="53"/>
      <c r="I4094" s="53"/>
      <c r="U4094" s="31" t="n">
        <f aca="false">IF($B4094='設定（最初に1回）'!$C$4,N(U4093)+1,N(U4093))</f>
        <v>134</v>
      </c>
    </row>
    <row r="4095" customFormat="false" ht="15" hidden="false" customHeight="false" outlineLevel="0" collapsed="false">
      <c r="B4095" s="53"/>
      <c r="I4095" s="53"/>
      <c r="U4095" s="31" t="n">
        <f aca="false">IF($B4095='設定（最初に1回）'!$C$4,N(U4094)+1,N(U4094))</f>
        <v>134</v>
      </c>
    </row>
    <row r="4096" customFormat="false" ht="15" hidden="false" customHeight="false" outlineLevel="0" collapsed="false">
      <c r="B4096" s="53"/>
      <c r="I4096" s="53"/>
      <c r="U4096" s="31" t="n">
        <f aca="false">IF($B4096='設定（最初に1回）'!$C$4,N(U4095)+1,N(U4095))</f>
        <v>134</v>
      </c>
    </row>
    <row r="4097" customFormat="false" ht="15" hidden="false" customHeight="false" outlineLevel="0" collapsed="false">
      <c r="B4097" s="53"/>
      <c r="I4097" s="53"/>
      <c r="U4097" s="31" t="n">
        <f aca="false">IF($B4097='設定（最初に1回）'!$C$4,N(U4096)+1,N(U4096))</f>
        <v>134</v>
      </c>
    </row>
    <row r="4098" customFormat="false" ht="15" hidden="false" customHeight="false" outlineLevel="0" collapsed="false">
      <c r="B4098" s="53"/>
      <c r="I4098" s="53"/>
      <c r="U4098" s="31" t="n">
        <f aca="false">IF($B4098='設定（最初に1回）'!$C$4,N(U4097)+1,N(U4097))</f>
        <v>134</v>
      </c>
    </row>
    <row r="4099" customFormat="false" ht="15" hidden="false" customHeight="false" outlineLevel="0" collapsed="false">
      <c r="B4099" s="53"/>
      <c r="I4099" s="53"/>
      <c r="U4099" s="31" t="n">
        <f aca="false">IF($B4099='設定（最初に1回）'!$C$4,N(U4098)+1,N(U4098))</f>
        <v>134</v>
      </c>
    </row>
    <row r="4100" customFormat="false" ht="15" hidden="false" customHeight="false" outlineLevel="0" collapsed="false">
      <c r="B4100" s="53"/>
      <c r="I4100" s="53"/>
      <c r="U4100" s="31" t="n">
        <f aca="false">IF($B4100='設定（最初に1回）'!$C$4,N(U4099)+1,N(U4099))</f>
        <v>134</v>
      </c>
    </row>
    <row r="4101" customFormat="false" ht="15" hidden="false" customHeight="false" outlineLevel="0" collapsed="false">
      <c r="B4101" s="53"/>
      <c r="I4101" s="53"/>
      <c r="U4101" s="31" t="n">
        <f aca="false">IF($B4101='設定（最初に1回）'!$C$4,N(U4100)+1,N(U4100))</f>
        <v>134</v>
      </c>
    </row>
    <row r="4102" customFormat="false" ht="15" hidden="false" customHeight="false" outlineLevel="0" collapsed="false">
      <c r="B4102" s="53"/>
      <c r="I4102" s="53"/>
      <c r="U4102" s="31" t="n">
        <f aca="false">IF($B4102='設定（最初に1回）'!$C$4,N(U4101)+1,N(U4101))</f>
        <v>134</v>
      </c>
    </row>
    <row r="4103" customFormat="false" ht="15" hidden="false" customHeight="false" outlineLevel="0" collapsed="false">
      <c r="B4103" s="53"/>
      <c r="I4103" s="53"/>
      <c r="U4103" s="31" t="n">
        <f aca="false">IF($B4103='設定（最初に1回）'!$C$4,N(U4102)+1,N(U4102))</f>
        <v>134</v>
      </c>
    </row>
    <row r="4104" customFormat="false" ht="15" hidden="false" customHeight="false" outlineLevel="0" collapsed="false">
      <c r="B4104" s="53"/>
      <c r="I4104" s="53"/>
      <c r="U4104" s="31" t="n">
        <f aca="false">IF($B4104='設定（最初に1回）'!$C$4,N(U4103)+1,N(U4103))</f>
        <v>134</v>
      </c>
    </row>
    <row r="4105" customFormat="false" ht="15" hidden="false" customHeight="false" outlineLevel="0" collapsed="false">
      <c r="B4105" s="53"/>
      <c r="I4105" s="53"/>
      <c r="U4105" s="31" t="n">
        <f aca="false">IF($B4105='設定（最初に1回）'!$C$4,N(U4104)+1,N(U4104))</f>
        <v>134</v>
      </c>
    </row>
    <row r="4106" customFormat="false" ht="15" hidden="false" customHeight="false" outlineLevel="0" collapsed="false">
      <c r="B4106" s="53"/>
      <c r="I4106" s="53"/>
      <c r="U4106" s="31" t="n">
        <f aca="false">IF($B4106='設定（最初に1回）'!$C$4,N(U4105)+1,N(U4105))</f>
        <v>134</v>
      </c>
    </row>
    <row r="4107" customFormat="false" ht="15" hidden="false" customHeight="false" outlineLevel="0" collapsed="false">
      <c r="B4107" s="53"/>
      <c r="I4107" s="53"/>
      <c r="U4107" s="31" t="n">
        <f aca="false">IF($B4107='設定（最初に1回）'!$C$4,N(U4106)+1,N(U4106))</f>
        <v>134</v>
      </c>
    </row>
    <row r="4108" customFormat="false" ht="15" hidden="false" customHeight="false" outlineLevel="0" collapsed="false">
      <c r="B4108" s="53"/>
      <c r="I4108" s="53"/>
      <c r="U4108" s="31" t="n">
        <f aca="false">IF($B4108='設定（最初に1回）'!$C$4,N(U4107)+1,N(U4107))</f>
        <v>134</v>
      </c>
    </row>
    <row r="4109" customFormat="false" ht="15" hidden="false" customHeight="false" outlineLevel="0" collapsed="false">
      <c r="B4109" s="53"/>
      <c r="I4109" s="53"/>
      <c r="U4109" s="31" t="n">
        <f aca="false">IF($B4109='設定（最初に1回）'!$C$4,N(U4108)+1,N(U4108))</f>
        <v>134</v>
      </c>
    </row>
    <row r="4110" customFormat="false" ht="15" hidden="false" customHeight="false" outlineLevel="0" collapsed="false">
      <c r="B4110" s="53"/>
      <c r="I4110" s="53"/>
      <c r="U4110" s="31" t="n">
        <f aca="false">IF($B4110='設定（最初に1回）'!$C$4,N(U4109)+1,N(U4109))</f>
        <v>134</v>
      </c>
    </row>
    <row r="4111" customFormat="false" ht="15" hidden="false" customHeight="false" outlineLevel="0" collapsed="false">
      <c r="B4111" s="53"/>
      <c r="I4111" s="53"/>
      <c r="U4111" s="31" t="n">
        <f aca="false">IF($B4111='設定（最初に1回）'!$C$4,N(U4110)+1,N(U4110))</f>
        <v>134</v>
      </c>
    </row>
    <row r="4112" customFormat="false" ht="15" hidden="false" customHeight="false" outlineLevel="0" collapsed="false">
      <c r="B4112" s="53"/>
      <c r="I4112" s="53"/>
      <c r="U4112" s="31" t="n">
        <f aca="false">IF($B4112='設定（最初に1回）'!$C$4,N(U4111)+1,N(U4111))</f>
        <v>134</v>
      </c>
    </row>
    <row r="4113" customFormat="false" ht="15" hidden="false" customHeight="false" outlineLevel="0" collapsed="false">
      <c r="B4113" s="53"/>
      <c r="I4113" s="53"/>
      <c r="U4113" s="31" t="n">
        <f aca="false">IF($B4113='設定（最初に1回）'!$C$4,N(U4112)+1,N(U4112))</f>
        <v>134</v>
      </c>
    </row>
    <row r="4114" customFormat="false" ht="15" hidden="false" customHeight="false" outlineLevel="0" collapsed="false">
      <c r="B4114" s="53"/>
      <c r="I4114" s="53"/>
      <c r="U4114" s="31" t="n">
        <f aca="false">IF($B4114='設定（最初に1回）'!$C$4,N(U4113)+1,N(U4113))</f>
        <v>134</v>
      </c>
    </row>
    <row r="4115" customFormat="false" ht="15" hidden="false" customHeight="false" outlineLevel="0" collapsed="false">
      <c r="B4115" s="53"/>
      <c r="I4115" s="53"/>
      <c r="U4115" s="31" t="n">
        <f aca="false">IF($B4115='設定（最初に1回）'!$C$4,N(U4114)+1,N(U4114))</f>
        <v>134</v>
      </c>
    </row>
    <row r="4116" customFormat="false" ht="15" hidden="false" customHeight="false" outlineLevel="0" collapsed="false">
      <c r="B4116" s="53"/>
      <c r="I4116" s="53"/>
      <c r="U4116" s="31" t="n">
        <f aca="false">IF($B4116='設定（最初に1回）'!$C$4,N(U4115)+1,N(U4115))</f>
        <v>134</v>
      </c>
    </row>
    <row r="4117" customFormat="false" ht="15" hidden="false" customHeight="false" outlineLevel="0" collapsed="false">
      <c r="B4117" s="53"/>
      <c r="I4117" s="53"/>
      <c r="U4117" s="31" t="n">
        <f aca="false">IF($B4117='設定（最初に1回）'!$C$4,N(U4116)+1,N(U4116))</f>
        <v>134</v>
      </c>
    </row>
    <row r="4118" customFormat="false" ht="15" hidden="false" customHeight="false" outlineLevel="0" collapsed="false">
      <c r="B4118" s="53"/>
      <c r="I4118" s="53"/>
      <c r="U4118" s="31" t="n">
        <f aca="false">IF($B4118='設定（最初に1回）'!$C$4,N(U4117)+1,N(U4117))</f>
        <v>134</v>
      </c>
    </row>
    <row r="4119" customFormat="false" ht="15" hidden="false" customHeight="false" outlineLevel="0" collapsed="false">
      <c r="B4119" s="53"/>
      <c r="I4119" s="53"/>
      <c r="U4119" s="31" t="n">
        <f aca="false">IF($B4119='設定（最初に1回）'!$C$4,N(U4118)+1,N(U4118))</f>
        <v>134</v>
      </c>
    </row>
    <row r="4120" customFormat="false" ht="15" hidden="false" customHeight="false" outlineLevel="0" collapsed="false">
      <c r="B4120" s="53"/>
      <c r="I4120" s="53"/>
      <c r="U4120" s="31" t="n">
        <f aca="false">IF($B4120='設定（最初に1回）'!$C$4,N(U4119)+1,N(U4119))</f>
        <v>134</v>
      </c>
    </row>
    <row r="4121" customFormat="false" ht="15" hidden="false" customHeight="false" outlineLevel="0" collapsed="false">
      <c r="B4121" s="53"/>
      <c r="I4121" s="53"/>
      <c r="U4121" s="31" t="n">
        <f aca="false">IF($B4121='設定（最初に1回）'!$C$4,N(U4120)+1,N(U4120))</f>
        <v>134</v>
      </c>
    </row>
    <row r="4122" customFormat="false" ht="15" hidden="false" customHeight="false" outlineLevel="0" collapsed="false">
      <c r="B4122" s="53"/>
      <c r="I4122" s="53"/>
      <c r="U4122" s="31" t="n">
        <f aca="false">IF($B4122='設定（最初に1回）'!$C$4,N(U4121)+1,N(U4121))</f>
        <v>134</v>
      </c>
    </row>
    <row r="4123" customFormat="false" ht="15" hidden="false" customHeight="false" outlineLevel="0" collapsed="false">
      <c r="B4123" s="53"/>
      <c r="I4123" s="53"/>
      <c r="U4123" s="31" t="n">
        <f aca="false">IF($B4123='設定（最初に1回）'!$C$4,N(U4122)+1,N(U4122))</f>
        <v>134</v>
      </c>
    </row>
    <row r="4124" customFormat="false" ht="15" hidden="false" customHeight="false" outlineLevel="0" collapsed="false">
      <c r="B4124" s="53"/>
      <c r="I4124" s="53"/>
      <c r="U4124" s="31" t="n">
        <f aca="false">IF($B4124='設定（最初に1回）'!$C$4,N(U4123)+1,N(U4123))</f>
        <v>134</v>
      </c>
    </row>
    <row r="4125" customFormat="false" ht="15" hidden="false" customHeight="false" outlineLevel="0" collapsed="false">
      <c r="B4125" s="53"/>
      <c r="I4125" s="53"/>
      <c r="U4125" s="31" t="n">
        <f aca="false">IF($B4125='設定（最初に1回）'!$C$4,N(U4124)+1,N(U4124))</f>
        <v>134</v>
      </c>
    </row>
    <row r="4126" customFormat="false" ht="15" hidden="false" customHeight="false" outlineLevel="0" collapsed="false">
      <c r="B4126" s="53"/>
      <c r="I4126" s="53"/>
      <c r="U4126" s="31" t="n">
        <f aca="false">IF($B4126='設定（最初に1回）'!$C$4,N(U4125)+1,N(U4125))</f>
        <v>134</v>
      </c>
    </row>
    <row r="4127" customFormat="false" ht="15" hidden="false" customHeight="false" outlineLevel="0" collapsed="false">
      <c r="B4127" s="53"/>
      <c r="I4127" s="53"/>
      <c r="U4127" s="31" t="n">
        <f aca="false">IF($B4127='設定（最初に1回）'!$C$4,N(U4126)+1,N(U4126))</f>
        <v>134</v>
      </c>
    </row>
    <row r="4128" customFormat="false" ht="15" hidden="false" customHeight="false" outlineLevel="0" collapsed="false">
      <c r="B4128" s="53"/>
      <c r="I4128" s="53"/>
      <c r="U4128" s="31" t="n">
        <f aca="false">IF($B4128='設定（最初に1回）'!$C$4,N(U4127)+1,N(U4127))</f>
        <v>134</v>
      </c>
    </row>
    <row r="4129" customFormat="false" ht="15" hidden="false" customHeight="false" outlineLevel="0" collapsed="false">
      <c r="B4129" s="53"/>
      <c r="I4129" s="53"/>
      <c r="U4129" s="31" t="n">
        <f aca="false">IF($B4129='設定（最初に1回）'!$C$4,N(U4128)+1,N(U4128))</f>
        <v>134</v>
      </c>
    </row>
    <row r="4130" customFormat="false" ht="15" hidden="false" customHeight="false" outlineLevel="0" collapsed="false">
      <c r="B4130" s="53"/>
      <c r="I4130" s="53"/>
      <c r="U4130" s="31" t="n">
        <f aca="false">IF($B4130='設定（最初に1回）'!$C$4,N(U4129)+1,N(U4129))</f>
        <v>134</v>
      </c>
    </row>
    <row r="4131" customFormat="false" ht="15" hidden="false" customHeight="false" outlineLevel="0" collapsed="false">
      <c r="B4131" s="53"/>
      <c r="I4131" s="53"/>
      <c r="U4131" s="31" t="n">
        <f aca="false">IF($B4131='設定（最初に1回）'!$C$4,N(U4130)+1,N(U4130))</f>
        <v>134</v>
      </c>
    </row>
    <row r="4132" customFormat="false" ht="15" hidden="false" customHeight="false" outlineLevel="0" collapsed="false">
      <c r="B4132" s="53"/>
      <c r="I4132" s="53"/>
      <c r="U4132" s="31" t="n">
        <f aca="false">IF($B4132='設定（最初に1回）'!$C$4,N(U4131)+1,N(U4131))</f>
        <v>134</v>
      </c>
    </row>
    <row r="4133" customFormat="false" ht="15" hidden="false" customHeight="false" outlineLevel="0" collapsed="false">
      <c r="B4133" s="53"/>
      <c r="I4133" s="53"/>
      <c r="U4133" s="31" t="n">
        <f aca="false">IF($B4133='設定（最初に1回）'!$C$4,N(U4132)+1,N(U4132))</f>
        <v>134</v>
      </c>
    </row>
    <row r="4134" customFormat="false" ht="15" hidden="false" customHeight="false" outlineLevel="0" collapsed="false">
      <c r="B4134" s="53"/>
      <c r="I4134" s="53"/>
      <c r="U4134" s="31" t="n">
        <f aca="false">IF($B4134='設定（最初に1回）'!$C$4,N(U4133)+1,N(U4133))</f>
        <v>134</v>
      </c>
    </row>
    <row r="4135" customFormat="false" ht="15" hidden="false" customHeight="false" outlineLevel="0" collapsed="false">
      <c r="B4135" s="53"/>
      <c r="I4135" s="53"/>
      <c r="U4135" s="31" t="n">
        <f aca="false">IF($B4135='設定（最初に1回）'!$C$4,N(U4134)+1,N(U4134))</f>
        <v>134</v>
      </c>
    </row>
    <row r="4136" customFormat="false" ht="15" hidden="false" customHeight="false" outlineLevel="0" collapsed="false">
      <c r="B4136" s="53"/>
      <c r="I4136" s="53"/>
      <c r="U4136" s="31" t="n">
        <f aca="false">IF($B4136='設定（最初に1回）'!$C$4,N(U4135)+1,N(U4135))</f>
        <v>134</v>
      </c>
    </row>
    <row r="4137" customFormat="false" ht="15" hidden="false" customHeight="false" outlineLevel="0" collapsed="false">
      <c r="B4137" s="53"/>
      <c r="I4137" s="53"/>
      <c r="U4137" s="31" t="n">
        <f aca="false">IF($B4137='設定（最初に1回）'!$C$4,N(U4136)+1,N(U4136))</f>
        <v>134</v>
      </c>
    </row>
    <row r="4138" customFormat="false" ht="15" hidden="false" customHeight="false" outlineLevel="0" collapsed="false">
      <c r="B4138" s="53"/>
      <c r="I4138" s="53"/>
      <c r="U4138" s="31" t="n">
        <f aca="false">IF($B4138='設定（最初に1回）'!$C$4,N(U4137)+1,N(U4137))</f>
        <v>134</v>
      </c>
    </row>
    <row r="4139" customFormat="false" ht="15" hidden="false" customHeight="false" outlineLevel="0" collapsed="false">
      <c r="B4139" s="53"/>
      <c r="I4139" s="53"/>
      <c r="U4139" s="31" t="n">
        <f aca="false">IF($B4139='設定（最初に1回）'!$C$4,N(U4138)+1,N(U4138))</f>
        <v>134</v>
      </c>
    </row>
    <row r="4140" customFormat="false" ht="15" hidden="false" customHeight="false" outlineLevel="0" collapsed="false">
      <c r="B4140" s="53"/>
      <c r="I4140" s="53"/>
      <c r="U4140" s="31" t="n">
        <f aca="false">IF($B4140='設定（最初に1回）'!$C$4,N(U4139)+1,N(U4139))</f>
        <v>134</v>
      </c>
    </row>
    <row r="4141" customFormat="false" ht="15" hidden="false" customHeight="false" outlineLevel="0" collapsed="false">
      <c r="B4141" s="53"/>
      <c r="I4141" s="53"/>
      <c r="U4141" s="31" t="n">
        <f aca="false">IF($B4141='設定（最初に1回）'!$C$4,N(U4140)+1,N(U4140))</f>
        <v>134</v>
      </c>
    </row>
    <row r="4142" customFormat="false" ht="15" hidden="false" customHeight="false" outlineLevel="0" collapsed="false">
      <c r="B4142" s="53"/>
      <c r="I4142" s="53"/>
      <c r="U4142" s="31" t="n">
        <f aca="false">IF($B4142='設定（最初に1回）'!$C$4,N(U4141)+1,N(U4141))</f>
        <v>134</v>
      </c>
    </row>
    <row r="4143" customFormat="false" ht="15" hidden="false" customHeight="false" outlineLevel="0" collapsed="false">
      <c r="B4143" s="53"/>
      <c r="I4143" s="53"/>
      <c r="U4143" s="31" t="n">
        <f aca="false">IF($B4143='設定（最初に1回）'!$C$4,N(U4142)+1,N(U4142))</f>
        <v>134</v>
      </c>
    </row>
    <row r="4144" customFormat="false" ht="15" hidden="false" customHeight="false" outlineLevel="0" collapsed="false">
      <c r="B4144" s="53"/>
      <c r="I4144" s="53"/>
      <c r="U4144" s="31" t="n">
        <f aca="false">IF($B4144='設定（最初に1回）'!$C$4,N(U4143)+1,N(U4143))</f>
        <v>134</v>
      </c>
    </row>
    <row r="4145" customFormat="false" ht="15" hidden="false" customHeight="false" outlineLevel="0" collapsed="false">
      <c r="B4145" s="53"/>
      <c r="I4145" s="53"/>
      <c r="U4145" s="31" t="n">
        <f aca="false">IF($B4145='設定（最初に1回）'!$C$4,N(U4144)+1,N(U4144))</f>
        <v>134</v>
      </c>
    </row>
    <row r="4146" customFormat="false" ht="15" hidden="false" customHeight="false" outlineLevel="0" collapsed="false">
      <c r="B4146" s="53"/>
      <c r="I4146" s="53"/>
      <c r="U4146" s="31" t="n">
        <f aca="false">IF($B4146='設定（最初に1回）'!$C$4,N(U4145)+1,N(U4145))</f>
        <v>134</v>
      </c>
    </row>
    <row r="4147" customFormat="false" ht="15" hidden="false" customHeight="false" outlineLevel="0" collapsed="false">
      <c r="B4147" s="53"/>
      <c r="I4147" s="53"/>
      <c r="U4147" s="31" t="n">
        <f aca="false">IF($B4147='設定（最初に1回）'!$C$4,N(U4146)+1,N(U4146))</f>
        <v>134</v>
      </c>
    </row>
    <row r="4148" customFormat="false" ht="15" hidden="false" customHeight="false" outlineLevel="0" collapsed="false">
      <c r="B4148" s="53"/>
      <c r="I4148" s="53"/>
      <c r="U4148" s="31" t="n">
        <f aca="false">IF($B4148='設定（最初に1回）'!$C$4,N(U4147)+1,N(U4147))</f>
        <v>134</v>
      </c>
    </row>
    <row r="4149" customFormat="false" ht="15" hidden="false" customHeight="false" outlineLevel="0" collapsed="false">
      <c r="B4149" s="53"/>
      <c r="I4149" s="53"/>
      <c r="U4149" s="31" t="n">
        <f aca="false">IF($B4149='設定（最初に1回）'!$C$4,N(U4148)+1,N(U4148))</f>
        <v>134</v>
      </c>
    </row>
    <row r="4150" customFormat="false" ht="15" hidden="false" customHeight="false" outlineLevel="0" collapsed="false">
      <c r="B4150" s="53"/>
      <c r="I4150" s="53"/>
      <c r="U4150" s="31" t="n">
        <f aca="false">IF($B4150='設定（最初に1回）'!$C$4,N(U4149)+1,N(U4149))</f>
        <v>134</v>
      </c>
    </row>
    <row r="4151" customFormat="false" ht="15" hidden="false" customHeight="false" outlineLevel="0" collapsed="false">
      <c r="B4151" s="53"/>
      <c r="I4151" s="53"/>
      <c r="U4151" s="31" t="n">
        <f aca="false">IF($B4151='設定（最初に1回）'!$C$4,N(U4150)+1,N(U4150))</f>
        <v>134</v>
      </c>
    </row>
    <row r="4152" customFormat="false" ht="15" hidden="false" customHeight="false" outlineLevel="0" collapsed="false">
      <c r="B4152" s="53"/>
      <c r="I4152" s="53"/>
      <c r="U4152" s="31" t="n">
        <f aca="false">IF($B4152='設定（最初に1回）'!$C$4,N(U4151)+1,N(U4151))</f>
        <v>134</v>
      </c>
    </row>
    <row r="4153" customFormat="false" ht="15" hidden="false" customHeight="false" outlineLevel="0" collapsed="false">
      <c r="B4153" s="53"/>
      <c r="I4153" s="53"/>
      <c r="U4153" s="31" t="n">
        <f aca="false">IF($B4153='設定（最初に1回）'!$C$4,N(U4152)+1,N(U4152))</f>
        <v>134</v>
      </c>
    </row>
    <row r="4154" customFormat="false" ht="15" hidden="false" customHeight="false" outlineLevel="0" collapsed="false">
      <c r="B4154" s="53"/>
      <c r="I4154" s="53"/>
      <c r="U4154" s="31" t="n">
        <f aca="false">IF($B4154='設定（最初に1回）'!$C$4,N(U4153)+1,N(U4153))</f>
        <v>134</v>
      </c>
    </row>
    <row r="4155" customFormat="false" ht="15" hidden="false" customHeight="false" outlineLevel="0" collapsed="false">
      <c r="B4155" s="53"/>
      <c r="I4155" s="53"/>
      <c r="U4155" s="31" t="n">
        <f aca="false">IF($B4155='設定（最初に1回）'!$C$4,N(U4154)+1,N(U4154))</f>
        <v>134</v>
      </c>
    </row>
    <row r="4156" customFormat="false" ht="15" hidden="false" customHeight="false" outlineLevel="0" collapsed="false">
      <c r="B4156" s="53"/>
      <c r="I4156" s="53"/>
      <c r="U4156" s="31" t="n">
        <f aca="false">IF($B4156='設定（最初に1回）'!$C$4,N(U4155)+1,N(U4155))</f>
        <v>134</v>
      </c>
    </row>
    <row r="4157" customFormat="false" ht="15" hidden="false" customHeight="false" outlineLevel="0" collapsed="false">
      <c r="B4157" s="53"/>
      <c r="I4157" s="53"/>
      <c r="U4157" s="31" t="n">
        <f aca="false">IF($B4157='設定（最初に1回）'!$C$4,N(U4156)+1,N(U4156))</f>
        <v>134</v>
      </c>
    </row>
    <row r="4158" customFormat="false" ht="15" hidden="false" customHeight="false" outlineLevel="0" collapsed="false">
      <c r="B4158" s="53"/>
      <c r="I4158" s="53"/>
      <c r="U4158" s="31" t="n">
        <f aca="false">IF($B4158='設定（最初に1回）'!$C$4,N(U4157)+1,N(U4157))</f>
        <v>134</v>
      </c>
    </row>
    <row r="4159" customFormat="false" ht="15" hidden="false" customHeight="false" outlineLevel="0" collapsed="false">
      <c r="B4159" s="53"/>
      <c r="I4159" s="53"/>
      <c r="U4159" s="31" t="n">
        <f aca="false">IF($B4159='設定（最初に1回）'!$C$4,N(U4158)+1,N(U4158))</f>
        <v>134</v>
      </c>
    </row>
    <row r="4160" customFormat="false" ht="15" hidden="false" customHeight="false" outlineLevel="0" collapsed="false">
      <c r="B4160" s="53"/>
      <c r="I4160" s="53"/>
      <c r="U4160" s="31" t="n">
        <f aca="false">IF($B4160='設定（最初に1回）'!$C$4,N(U4159)+1,N(U4159))</f>
        <v>134</v>
      </c>
    </row>
    <row r="4161" customFormat="false" ht="15" hidden="false" customHeight="false" outlineLevel="0" collapsed="false">
      <c r="B4161" s="53"/>
      <c r="I4161" s="53"/>
      <c r="U4161" s="31" t="n">
        <f aca="false">IF($B4161='設定（最初に1回）'!$C$4,N(U4160)+1,N(U4160))</f>
        <v>134</v>
      </c>
    </row>
    <row r="4162" customFormat="false" ht="15" hidden="false" customHeight="false" outlineLevel="0" collapsed="false">
      <c r="B4162" s="53"/>
      <c r="I4162" s="53"/>
      <c r="U4162" s="31" t="n">
        <f aca="false">IF($B4162='設定（最初に1回）'!$C$4,N(U4161)+1,N(U4161))</f>
        <v>134</v>
      </c>
    </row>
    <row r="4163" customFormat="false" ht="15" hidden="false" customHeight="false" outlineLevel="0" collapsed="false">
      <c r="B4163" s="53"/>
      <c r="I4163" s="53"/>
      <c r="U4163" s="31" t="n">
        <f aca="false">IF($B4163='設定（最初に1回）'!$C$4,N(U4162)+1,N(U4162))</f>
        <v>134</v>
      </c>
    </row>
    <row r="4164" customFormat="false" ht="15" hidden="false" customHeight="false" outlineLevel="0" collapsed="false">
      <c r="B4164" s="53"/>
      <c r="I4164" s="53"/>
      <c r="U4164" s="31" t="n">
        <f aca="false">IF($B4164='設定（最初に1回）'!$C$4,N(U4163)+1,N(U4163))</f>
        <v>134</v>
      </c>
    </row>
    <row r="4165" customFormat="false" ht="15" hidden="false" customHeight="false" outlineLevel="0" collapsed="false">
      <c r="B4165" s="53"/>
      <c r="I4165" s="53"/>
      <c r="U4165" s="31" t="n">
        <f aca="false">IF($B4165='設定（最初に1回）'!$C$4,N(U4164)+1,N(U4164))</f>
        <v>134</v>
      </c>
    </row>
    <row r="4166" customFormat="false" ht="15" hidden="false" customHeight="false" outlineLevel="0" collapsed="false">
      <c r="B4166" s="53"/>
      <c r="I4166" s="53"/>
      <c r="U4166" s="31" t="n">
        <f aca="false">IF($B4166='設定（最初に1回）'!$C$4,N(U4165)+1,N(U4165))</f>
        <v>134</v>
      </c>
    </row>
    <row r="4167" customFormat="false" ht="15" hidden="false" customHeight="false" outlineLevel="0" collapsed="false">
      <c r="B4167" s="53"/>
      <c r="I4167" s="53"/>
      <c r="U4167" s="31" t="n">
        <f aca="false">IF($B4167='設定（最初に1回）'!$C$4,N(U4166)+1,N(U4166))</f>
        <v>134</v>
      </c>
    </row>
    <row r="4168" customFormat="false" ht="15" hidden="false" customHeight="false" outlineLevel="0" collapsed="false">
      <c r="B4168" s="53"/>
      <c r="I4168" s="53"/>
      <c r="U4168" s="31" t="n">
        <f aca="false">IF($B4168='設定（最初に1回）'!$C$4,N(U4167)+1,N(U4167))</f>
        <v>134</v>
      </c>
    </row>
    <row r="4169" customFormat="false" ht="15" hidden="false" customHeight="false" outlineLevel="0" collapsed="false">
      <c r="B4169" s="53"/>
      <c r="I4169" s="53"/>
      <c r="U4169" s="31" t="n">
        <f aca="false">IF($B4169='設定（最初に1回）'!$C$4,N(U4168)+1,N(U4168))</f>
        <v>134</v>
      </c>
    </row>
    <row r="4170" customFormat="false" ht="15" hidden="false" customHeight="false" outlineLevel="0" collapsed="false">
      <c r="B4170" s="53"/>
      <c r="I4170" s="53"/>
      <c r="U4170" s="31" t="n">
        <f aca="false">IF($B4170='設定（最初に1回）'!$C$4,N(U4169)+1,N(U4169))</f>
        <v>134</v>
      </c>
    </row>
    <row r="4171" customFormat="false" ht="15" hidden="false" customHeight="false" outlineLevel="0" collapsed="false">
      <c r="B4171" s="53"/>
      <c r="I4171" s="53"/>
      <c r="U4171" s="31" t="n">
        <f aca="false">IF($B4171='設定（最初に1回）'!$C$4,N(U4170)+1,N(U4170))</f>
        <v>134</v>
      </c>
    </row>
    <row r="4172" customFormat="false" ht="15" hidden="false" customHeight="false" outlineLevel="0" collapsed="false">
      <c r="B4172" s="53"/>
      <c r="I4172" s="53"/>
      <c r="U4172" s="31" t="n">
        <f aca="false">IF($B4172='設定（最初に1回）'!$C$4,N(U4171)+1,N(U4171))</f>
        <v>134</v>
      </c>
    </row>
    <row r="4173" customFormat="false" ht="15" hidden="false" customHeight="false" outlineLevel="0" collapsed="false">
      <c r="B4173" s="53"/>
      <c r="I4173" s="53"/>
      <c r="U4173" s="31" t="n">
        <f aca="false">IF($B4173='設定（最初に1回）'!$C$4,N(U4172)+1,N(U4172))</f>
        <v>134</v>
      </c>
    </row>
    <row r="4174" customFormat="false" ht="15" hidden="false" customHeight="false" outlineLevel="0" collapsed="false">
      <c r="B4174" s="53"/>
      <c r="I4174" s="53"/>
      <c r="U4174" s="31" t="n">
        <f aca="false">IF($B4174='設定（最初に1回）'!$C$4,N(U4173)+1,N(U4173))</f>
        <v>134</v>
      </c>
    </row>
    <row r="4175" customFormat="false" ht="15" hidden="false" customHeight="false" outlineLevel="0" collapsed="false">
      <c r="B4175" s="53"/>
      <c r="I4175" s="53"/>
      <c r="U4175" s="31" t="n">
        <f aca="false">IF($B4175='設定（最初に1回）'!$C$4,N(U4174)+1,N(U4174))</f>
        <v>134</v>
      </c>
    </row>
    <row r="4176" customFormat="false" ht="15" hidden="false" customHeight="false" outlineLevel="0" collapsed="false">
      <c r="B4176" s="53"/>
      <c r="I4176" s="53"/>
      <c r="U4176" s="31" t="n">
        <f aca="false">IF($B4176='設定（最初に1回）'!$C$4,N(U4175)+1,N(U4175))</f>
        <v>134</v>
      </c>
    </row>
    <row r="4177" customFormat="false" ht="15" hidden="false" customHeight="false" outlineLevel="0" collapsed="false">
      <c r="B4177" s="53"/>
      <c r="I4177" s="53"/>
      <c r="U4177" s="31" t="n">
        <f aca="false">IF($B4177='設定（最初に1回）'!$C$4,N(U4176)+1,N(U4176))</f>
        <v>134</v>
      </c>
    </row>
    <row r="4178" customFormat="false" ht="15" hidden="false" customHeight="false" outlineLevel="0" collapsed="false">
      <c r="B4178" s="53"/>
      <c r="I4178" s="53"/>
      <c r="U4178" s="31" t="n">
        <f aca="false">IF($B4178='設定（最初に1回）'!$C$4,N(U4177)+1,N(U4177))</f>
        <v>134</v>
      </c>
    </row>
    <row r="4179" customFormat="false" ht="15" hidden="false" customHeight="false" outlineLevel="0" collapsed="false">
      <c r="B4179" s="53"/>
      <c r="I4179" s="53"/>
      <c r="U4179" s="31" t="n">
        <f aca="false">IF($B4179='設定（最初に1回）'!$C$4,N(U4178)+1,N(U4178))</f>
        <v>134</v>
      </c>
    </row>
    <row r="4180" customFormat="false" ht="15" hidden="false" customHeight="false" outlineLevel="0" collapsed="false">
      <c r="B4180" s="53"/>
      <c r="I4180" s="53"/>
      <c r="U4180" s="31" t="n">
        <f aca="false">IF($B4180='設定（最初に1回）'!$C$4,N(U4179)+1,N(U4179))</f>
        <v>134</v>
      </c>
    </row>
    <row r="4181" customFormat="false" ht="15" hidden="false" customHeight="false" outlineLevel="0" collapsed="false">
      <c r="B4181" s="53"/>
      <c r="I4181" s="53"/>
      <c r="U4181" s="31" t="n">
        <f aca="false">IF($B4181='設定（最初に1回）'!$C$4,N(U4180)+1,N(U4180))</f>
        <v>134</v>
      </c>
    </row>
    <row r="4182" customFormat="false" ht="15" hidden="false" customHeight="false" outlineLevel="0" collapsed="false">
      <c r="B4182" s="53"/>
      <c r="I4182" s="53"/>
      <c r="U4182" s="31" t="n">
        <f aca="false">IF($B4182='設定（最初に1回）'!$C$4,N(U4181)+1,N(U4181))</f>
        <v>134</v>
      </c>
    </row>
    <row r="4183" customFormat="false" ht="15" hidden="false" customHeight="false" outlineLevel="0" collapsed="false">
      <c r="B4183" s="53"/>
      <c r="I4183" s="53"/>
      <c r="U4183" s="31" t="n">
        <f aca="false">IF($B4183='設定（最初に1回）'!$C$4,N(U4182)+1,N(U4182))</f>
        <v>134</v>
      </c>
    </row>
    <row r="4184" customFormat="false" ht="15" hidden="false" customHeight="false" outlineLevel="0" collapsed="false">
      <c r="B4184" s="53"/>
      <c r="I4184" s="53"/>
      <c r="U4184" s="31" t="n">
        <f aca="false">IF($B4184='設定（最初に1回）'!$C$4,N(U4183)+1,N(U4183))</f>
        <v>134</v>
      </c>
    </row>
    <row r="4185" customFormat="false" ht="15" hidden="false" customHeight="false" outlineLevel="0" collapsed="false">
      <c r="B4185" s="53"/>
      <c r="I4185" s="53"/>
      <c r="U4185" s="31" t="n">
        <f aca="false">IF($B4185='設定（最初に1回）'!$C$4,N(U4184)+1,N(U4184))</f>
        <v>134</v>
      </c>
    </row>
    <row r="4186" customFormat="false" ht="15" hidden="false" customHeight="false" outlineLevel="0" collapsed="false">
      <c r="B4186" s="53"/>
      <c r="I4186" s="53"/>
      <c r="U4186" s="31" t="n">
        <f aca="false">IF($B4186='設定（最初に1回）'!$C$4,N(U4185)+1,N(U4185))</f>
        <v>134</v>
      </c>
    </row>
    <row r="4187" customFormat="false" ht="15" hidden="false" customHeight="false" outlineLevel="0" collapsed="false">
      <c r="B4187" s="53"/>
      <c r="I4187" s="53"/>
      <c r="U4187" s="31" t="n">
        <f aca="false">IF($B4187='設定（最初に1回）'!$C$4,N(U4186)+1,N(U4186))</f>
        <v>134</v>
      </c>
    </row>
    <row r="4188" customFormat="false" ht="15" hidden="false" customHeight="false" outlineLevel="0" collapsed="false">
      <c r="B4188" s="53"/>
      <c r="I4188" s="53"/>
      <c r="U4188" s="31" t="n">
        <f aca="false">IF($B4188='設定（最初に1回）'!$C$4,N(U4187)+1,N(U4187))</f>
        <v>134</v>
      </c>
    </row>
    <row r="4189" customFormat="false" ht="15" hidden="false" customHeight="false" outlineLevel="0" collapsed="false">
      <c r="B4189" s="53"/>
      <c r="I4189" s="53"/>
      <c r="U4189" s="31" t="n">
        <f aca="false">IF($B4189='設定（最初に1回）'!$C$4,N(U4188)+1,N(U4188))</f>
        <v>134</v>
      </c>
    </row>
    <row r="4190" customFormat="false" ht="15" hidden="false" customHeight="false" outlineLevel="0" collapsed="false">
      <c r="B4190" s="53"/>
      <c r="I4190" s="53"/>
      <c r="U4190" s="31" t="n">
        <f aca="false">IF($B4190='設定（最初に1回）'!$C$4,N(U4189)+1,N(U4189))</f>
        <v>134</v>
      </c>
    </row>
    <row r="4191" customFormat="false" ht="15" hidden="false" customHeight="false" outlineLevel="0" collapsed="false">
      <c r="B4191" s="53"/>
      <c r="I4191" s="53"/>
      <c r="U4191" s="31" t="n">
        <f aca="false">IF($B4191='設定（最初に1回）'!$C$4,N(U4190)+1,N(U4190))</f>
        <v>134</v>
      </c>
    </row>
    <row r="4192" customFormat="false" ht="15" hidden="false" customHeight="false" outlineLevel="0" collapsed="false">
      <c r="B4192" s="53"/>
      <c r="I4192" s="53"/>
      <c r="U4192" s="31" t="n">
        <f aca="false">IF($B4192='設定（最初に1回）'!$C$4,N(U4191)+1,N(U4191))</f>
        <v>134</v>
      </c>
    </row>
    <row r="4193" customFormat="false" ht="15" hidden="false" customHeight="false" outlineLevel="0" collapsed="false">
      <c r="B4193" s="53"/>
      <c r="I4193" s="53"/>
      <c r="U4193" s="31" t="n">
        <f aca="false">IF($B4193='設定（最初に1回）'!$C$4,N(U4192)+1,N(U4192))</f>
        <v>134</v>
      </c>
    </row>
    <row r="4194" customFormat="false" ht="15" hidden="false" customHeight="false" outlineLevel="0" collapsed="false">
      <c r="B4194" s="53"/>
      <c r="I4194" s="53"/>
      <c r="U4194" s="31" t="n">
        <f aca="false">IF($B4194='設定（最初に1回）'!$C$4,N(U4193)+1,N(U4193))</f>
        <v>134</v>
      </c>
    </row>
    <row r="4195" customFormat="false" ht="15" hidden="false" customHeight="false" outlineLevel="0" collapsed="false">
      <c r="B4195" s="53"/>
      <c r="I4195" s="53"/>
      <c r="U4195" s="31" t="n">
        <f aca="false">IF($B4195='設定（最初に1回）'!$C$4,N(U4194)+1,N(U4194))</f>
        <v>134</v>
      </c>
    </row>
    <row r="4196" customFormat="false" ht="15" hidden="false" customHeight="false" outlineLevel="0" collapsed="false">
      <c r="B4196" s="53"/>
      <c r="I4196" s="53"/>
      <c r="U4196" s="31" t="n">
        <f aca="false">IF($B4196='設定（最初に1回）'!$C$4,N(U4195)+1,N(U4195))</f>
        <v>134</v>
      </c>
    </row>
    <row r="4197" customFormat="false" ht="15" hidden="false" customHeight="false" outlineLevel="0" collapsed="false">
      <c r="B4197" s="53"/>
      <c r="I4197" s="53"/>
      <c r="U4197" s="31" t="n">
        <f aca="false">IF($B4197='設定（最初に1回）'!$C$4,N(U4196)+1,N(U4196))</f>
        <v>134</v>
      </c>
    </row>
    <row r="4198" customFormat="false" ht="15" hidden="false" customHeight="false" outlineLevel="0" collapsed="false">
      <c r="B4198" s="53"/>
      <c r="I4198" s="53"/>
      <c r="U4198" s="31" t="n">
        <f aca="false">IF($B4198='設定（最初に1回）'!$C$4,N(U4197)+1,N(U4197))</f>
        <v>134</v>
      </c>
    </row>
    <row r="4199" customFormat="false" ht="15" hidden="false" customHeight="false" outlineLevel="0" collapsed="false">
      <c r="B4199" s="53"/>
      <c r="I4199" s="53"/>
      <c r="U4199" s="31" t="n">
        <f aca="false">IF($B4199='設定（最初に1回）'!$C$4,N(U4198)+1,N(U4198))</f>
        <v>134</v>
      </c>
    </row>
    <row r="4200" customFormat="false" ht="15" hidden="false" customHeight="false" outlineLevel="0" collapsed="false">
      <c r="B4200" s="53"/>
      <c r="I4200" s="53"/>
      <c r="U4200" s="31" t="n">
        <f aca="false">IF($B4200='設定（最初に1回）'!$C$4,N(U4199)+1,N(U4199))</f>
        <v>134</v>
      </c>
    </row>
    <row r="4201" customFormat="false" ht="15" hidden="false" customHeight="false" outlineLevel="0" collapsed="false">
      <c r="B4201" s="53"/>
      <c r="I4201" s="53"/>
      <c r="U4201" s="31" t="n">
        <f aca="false">IF($B4201='設定（最初に1回）'!$C$4,N(U4200)+1,N(U4200))</f>
        <v>134</v>
      </c>
    </row>
    <row r="4202" customFormat="false" ht="15" hidden="false" customHeight="false" outlineLevel="0" collapsed="false">
      <c r="B4202" s="53"/>
      <c r="I4202" s="53"/>
      <c r="U4202" s="31" t="n">
        <f aca="false">IF($B4202='設定（最初に1回）'!$C$4,N(U4201)+1,N(U4201))</f>
        <v>134</v>
      </c>
    </row>
    <row r="4203" customFormat="false" ht="15" hidden="false" customHeight="false" outlineLevel="0" collapsed="false">
      <c r="B4203" s="53"/>
      <c r="I4203" s="53"/>
      <c r="U4203" s="31" t="n">
        <f aca="false">IF($B4203='設定（最初に1回）'!$C$4,N(U4202)+1,N(U4202))</f>
        <v>134</v>
      </c>
    </row>
    <row r="4204" customFormat="false" ht="15" hidden="false" customHeight="false" outlineLevel="0" collapsed="false">
      <c r="B4204" s="53"/>
      <c r="I4204" s="53"/>
      <c r="U4204" s="31" t="n">
        <f aca="false">IF($B4204='設定（最初に1回）'!$C$4,N(U4203)+1,N(U4203))</f>
        <v>134</v>
      </c>
    </row>
    <row r="4205" customFormat="false" ht="15" hidden="false" customHeight="false" outlineLevel="0" collapsed="false">
      <c r="B4205" s="53"/>
      <c r="I4205" s="53"/>
      <c r="U4205" s="31" t="n">
        <f aca="false">IF($B4205='設定（最初に1回）'!$C$4,N(U4204)+1,N(U4204))</f>
        <v>134</v>
      </c>
    </row>
    <row r="4206" customFormat="false" ht="15" hidden="false" customHeight="false" outlineLevel="0" collapsed="false">
      <c r="B4206" s="53"/>
      <c r="I4206" s="53"/>
      <c r="U4206" s="31" t="n">
        <f aca="false">IF($B4206='設定（最初に1回）'!$C$4,N(U4205)+1,N(U4205))</f>
        <v>134</v>
      </c>
    </row>
    <row r="4207" customFormat="false" ht="15" hidden="false" customHeight="false" outlineLevel="0" collapsed="false">
      <c r="B4207" s="53"/>
      <c r="I4207" s="53"/>
      <c r="U4207" s="31" t="n">
        <f aca="false">IF($B4207='設定（最初に1回）'!$C$4,N(U4206)+1,N(U4206))</f>
        <v>134</v>
      </c>
    </row>
    <row r="4208" customFormat="false" ht="15" hidden="false" customHeight="false" outlineLevel="0" collapsed="false">
      <c r="B4208" s="53"/>
      <c r="I4208" s="53"/>
      <c r="U4208" s="31" t="n">
        <f aca="false">IF($B4208='設定（最初に1回）'!$C$4,N(U4207)+1,N(U4207))</f>
        <v>134</v>
      </c>
    </row>
    <row r="4209" customFormat="false" ht="15" hidden="false" customHeight="false" outlineLevel="0" collapsed="false">
      <c r="B4209" s="53"/>
      <c r="I4209" s="53"/>
      <c r="U4209" s="31" t="n">
        <f aca="false">IF($B4209='設定（最初に1回）'!$C$4,N(U4208)+1,N(U4208))</f>
        <v>134</v>
      </c>
    </row>
    <row r="4210" customFormat="false" ht="15" hidden="false" customHeight="false" outlineLevel="0" collapsed="false">
      <c r="B4210" s="53"/>
      <c r="I4210" s="53"/>
      <c r="U4210" s="31" t="n">
        <f aca="false">IF($B4210='設定（最初に1回）'!$C$4,N(U4209)+1,N(U4209))</f>
        <v>134</v>
      </c>
    </row>
    <row r="4211" customFormat="false" ht="15" hidden="false" customHeight="false" outlineLevel="0" collapsed="false">
      <c r="B4211" s="53"/>
      <c r="I4211" s="53"/>
      <c r="U4211" s="31" t="n">
        <f aca="false">IF($B4211='設定（最初に1回）'!$C$4,N(U4210)+1,N(U4210))</f>
        <v>134</v>
      </c>
    </row>
    <row r="4212" customFormat="false" ht="15" hidden="false" customHeight="false" outlineLevel="0" collapsed="false">
      <c r="B4212" s="53"/>
      <c r="I4212" s="53"/>
      <c r="U4212" s="31" t="n">
        <f aca="false">IF($B4212='設定（最初に1回）'!$C$4,N(U4211)+1,N(U4211))</f>
        <v>134</v>
      </c>
    </row>
    <row r="4213" customFormat="false" ht="15" hidden="false" customHeight="false" outlineLevel="0" collapsed="false">
      <c r="B4213" s="53"/>
      <c r="I4213" s="53"/>
      <c r="U4213" s="31" t="n">
        <f aca="false">IF($B4213='設定（最初に1回）'!$C$4,N(U4212)+1,N(U4212))</f>
        <v>134</v>
      </c>
    </row>
    <row r="4214" customFormat="false" ht="15" hidden="false" customHeight="false" outlineLevel="0" collapsed="false">
      <c r="B4214" s="53"/>
      <c r="I4214" s="53"/>
      <c r="U4214" s="31" t="n">
        <f aca="false">IF($B4214='設定（最初に1回）'!$C$4,N(U4213)+1,N(U4213))</f>
        <v>134</v>
      </c>
    </row>
    <row r="4215" customFormat="false" ht="15" hidden="false" customHeight="false" outlineLevel="0" collapsed="false">
      <c r="B4215" s="53"/>
      <c r="I4215" s="53"/>
      <c r="U4215" s="31" t="n">
        <f aca="false">IF($B4215='設定（最初に1回）'!$C$4,N(U4214)+1,N(U4214))</f>
        <v>134</v>
      </c>
    </row>
    <row r="4216" customFormat="false" ht="15" hidden="false" customHeight="false" outlineLevel="0" collapsed="false">
      <c r="B4216" s="53"/>
      <c r="I4216" s="53"/>
      <c r="U4216" s="31" t="n">
        <f aca="false">IF($B4216='設定（最初に1回）'!$C$4,N(U4215)+1,N(U4215))</f>
        <v>134</v>
      </c>
    </row>
    <row r="4217" customFormat="false" ht="15" hidden="false" customHeight="false" outlineLevel="0" collapsed="false">
      <c r="B4217" s="53"/>
      <c r="I4217" s="53"/>
      <c r="U4217" s="31" t="n">
        <f aca="false">IF($B4217='設定（最初に1回）'!$C$4,N(U4216)+1,N(U4216))</f>
        <v>134</v>
      </c>
    </row>
    <row r="4218" customFormat="false" ht="15" hidden="false" customHeight="false" outlineLevel="0" collapsed="false">
      <c r="B4218" s="53"/>
      <c r="I4218" s="53"/>
      <c r="U4218" s="31" t="n">
        <f aca="false">IF($B4218='設定（最初に1回）'!$C$4,N(U4217)+1,N(U4217))</f>
        <v>134</v>
      </c>
    </row>
    <row r="4219" customFormat="false" ht="15" hidden="false" customHeight="false" outlineLevel="0" collapsed="false">
      <c r="B4219" s="53"/>
      <c r="I4219" s="53"/>
      <c r="U4219" s="31" t="n">
        <f aca="false">IF($B4219='設定（最初に1回）'!$C$4,N(U4218)+1,N(U4218))</f>
        <v>134</v>
      </c>
    </row>
    <row r="4220" customFormat="false" ht="15" hidden="false" customHeight="false" outlineLevel="0" collapsed="false">
      <c r="B4220" s="53"/>
      <c r="I4220" s="53"/>
      <c r="U4220" s="31" t="n">
        <f aca="false">IF($B4220='設定（最初に1回）'!$C$4,N(U4219)+1,N(U4219))</f>
        <v>134</v>
      </c>
    </row>
    <row r="4221" customFormat="false" ht="15" hidden="false" customHeight="false" outlineLevel="0" collapsed="false">
      <c r="B4221" s="53"/>
      <c r="I4221" s="53"/>
      <c r="U4221" s="31" t="n">
        <f aca="false">IF($B4221='設定（最初に1回）'!$C$4,N(U4220)+1,N(U4220))</f>
        <v>134</v>
      </c>
    </row>
    <row r="4222" customFormat="false" ht="15" hidden="false" customHeight="false" outlineLevel="0" collapsed="false">
      <c r="B4222" s="53"/>
      <c r="I4222" s="53"/>
      <c r="U4222" s="31" t="n">
        <f aca="false">IF($B4222='設定（最初に1回）'!$C$4,N(U4221)+1,N(U4221))</f>
        <v>134</v>
      </c>
    </row>
    <row r="4223" customFormat="false" ht="15" hidden="false" customHeight="false" outlineLevel="0" collapsed="false">
      <c r="B4223" s="53"/>
      <c r="I4223" s="53"/>
      <c r="U4223" s="31" t="n">
        <f aca="false">IF($B4223='設定（最初に1回）'!$C$4,N(U4222)+1,N(U4222))</f>
        <v>134</v>
      </c>
    </row>
    <row r="4224" customFormat="false" ht="15" hidden="false" customHeight="false" outlineLevel="0" collapsed="false">
      <c r="B4224" s="53"/>
      <c r="I4224" s="53"/>
      <c r="U4224" s="31" t="n">
        <f aca="false">IF($B4224='設定（最初に1回）'!$C$4,N(U4223)+1,N(U4223))</f>
        <v>134</v>
      </c>
    </row>
    <row r="4225" customFormat="false" ht="15" hidden="false" customHeight="false" outlineLevel="0" collapsed="false">
      <c r="B4225" s="53"/>
      <c r="I4225" s="53"/>
      <c r="U4225" s="31" t="n">
        <f aca="false">IF($B4225='設定（最初に1回）'!$C$4,N(U4224)+1,N(U4224))</f>
        <v>134</v>
      </c>
    </row>
    <row r="4226" customFormat="false" ht="15" hidden="false" customHeight="false" outlineLevel="0" collapsed="false">
      <c r="B4226" s="53"/>
      <c r="I4226" s="53"/>
      <c r="U4226" s="31" t="n">
        <f aca="false">IF($B4226='設定（最初に1回）'!$C$4,N(U4225)+1,N(U4225))</f>
        <v>134</v>
      </c>
    </row>
    <row r="4227" customFormat="false" ht="15" hidden="false" customHeight="false" outlineLevel="0" collapsed="false">
      <c r="B4227" s="53"/>
      <c r="I4227" s="53"/>
      <c r="U4227" s="31" t="n">
        <f aca="false">IF($B4227='設定（最初に1回）'!$C$4,N(U4226)+1,N(U4226))</f>
        <v>134</v>
      </c>
    </row>
    <row r="4228" customFormat="false" ht="15" hidden="false" customHeight="false" outlineLevel="0" collapsed="false">
      <c r="B4228" s="53"/>
      <c r="I4228" s="53"/>
      <c r="U4228" s="31" t="n">
        <f aca="false">IF($B4228='設定（最初に1回）'!$C$4,N(U4227)+1,N(U4227))</f>
        <v>134</v>
      </c>
    </row>
    <row r="4229" customFormat="false" ht="15" hidden="false" customHeight="false" outlineLevel="0" collapsed="false">
      <c r="B4229" s="53"/>
      <c r="I4229" s="53"/>
      <c r="U4229" s="31" t="n">
        <f aca="false">IF($B4229='設定（最初に1回）'!$C$4,N(U4228)+1,N(U4228))</f>
        <v>134</v>
      </c>
    </row>
    <row r="4230" customFormat="false" ht="15" hidden="false" customHeight="false" outlineLevel="0" collapsed="false">
      <c r="B4230" s="53"/>
      <c r="I4230" s="53"/>
      <c r="U4230" s="31" t="n">
        <f aca="false">IF($B4230='設定（最初に1回）'!$C$4,N(U4229)+1,N(U4229))</f>
        <v>134</v>
      </c>
    </row>
    <row r="4231" customFormat="false" ht="15" hidden="false" customHeight="false" outlineLevel="0" collapsed="false">
      <c r="B4231" s="53"/>
      <c r="I4231" s="53"/>
      <c r="U4231" s="31" t="n">
        <f aca="false">IF($B4231='設定（最初に1回）'!$C$4,N(U4230)+1,N(U4230))</f>
        <v>134</v>
      </c>
    </row>
    <row r="4232" customFormat="false" ht="15" hidden="false" customHeight="false" outlineLevel="0" collapsed="false">
      <c r="B4232" s="53"/>
      <c r="I4232" s="53"/>
      <c r="U4232" s="31" t="n">
        <f aca="false">IF($B4232='設定（最初に1回）'!$C$4,N(U4231)+1,N(U4231))</f>
        <v>134</v>
      </c>
    </row>
    <row r="4233" customFormat="false" ht="15" hidden="false" customHeight="false" outlineLevel="0" collapsed="false">
      <c r="B4233" s="53"/>
      <c r="I4233" s="53"/>
      <c r="U4233" s="31" t="n">
        <f aca="false">IF($B4233='設定（最初に1回）'!$C$4,N(U4232)+1,N(U4232))</f>
        <v>134</v>
      </c>
    </row>
    <row r="4234" customFormat="false" ht="15" hidden="false" customHeight="false" outlineLevel="0" collapsed="false">
      <c r="B4234" s="53"/>
      <c r="I4234" s="53"/>
      <c r="U4234" s="31" t="n">
        <f aca="false">IF($B4234='設定（最初に1回）'!$C$4,N(U4233)+1,N(U4233))</f>
        <v>134</v>
      </c>
    </row>
    <row r="4235" customFormat="false" ht="15" hidden="false" customHeight="false" outlineLevel="0" collapsed="false">
      <c r="B4235" s="53"/>
      <c r="I4235" s="53"/>
      <c r="U4235" s="31" t="n">
        <f aca="false">IF($B4235='設定（最初に1回）'!$C$4,N(U4234)+1,N(U4234))</f>
        <v>134</v>
      </c>
    </row>
    <row r="4236" customFormat="false" ht="15" hidden="false" customHeight="false" outlineLevel="0" collapsed="false">
      <c r="B4236" s="53"/>
      <c r="I4236" s="53"/>
      <c r="U4236" s="31" t="n">
        <f aca="false">IF($B4236='設定（最初に1回）'!$C$4,N(U4235)+1,N(U4235))</f>
        <v>134</v>
      </c>
    </row>
    <row r="4237" customFormat="false" ht="15" hidden="false" customHeight="false" outlineLevel="0" collapsed="false">
      <c r="B4237" s="53"/>
      <c r="I4237" s="53"/>
      <c r="U4237" s="31" t="n">
        <f aca="false">IF($B4237='設定（最初に1回）'!$C$4,N(U4236)+1,N(U4236))</f>
        <v>134</v>
      </c>
    </row>
    <row r="4238" customFormat="false" ht="15" hidden="false" customHeight="false" outlineLevel="0" collapsed="false">
      <c r="B4238" s="53"/>
      <c r="I4238" s="53"/>
      <c r="U4238" s="31" t="n">
        <f aca="false">IF($B4238='設定（最初に1回）'!$C$4,N(U4237)+1,N(U4237))</f>
        <v>134</v>
      </c>
    </row>
    <row r="4239" customFormat="false" ht="15" hidden="false" customHeight="false" outlineLevel="0" collapsed="false">
      <c r="B4239" s="53"/>
      <c r="I4239" s="53"/>
      <c r="U4239" s="31" t="n">
        <f aca="false">IF($B4239='設定（最初に1回）'!$C$4,N(U4238)+1,N(U4238))</f>
        <v>134</v>
      </c>
    </row>
    <row r="4240" customFormat="false" ht="15" hidden="false" customHeight="false" outlineLevel="0" collapsed="false">
      <c r="B4240" s="53"/>
      <c r="I4240" s="53"/>
      <c r="U4240" s="31" t="n">
        <f aca="false">IF($B4240='設定（最初に1回）'!$C$4,N(U4239)+1,N(U4239))</f>
        <v>134</v>
      </c>
    </row>
    <row r="4241" customFormat="false" ht="15" hidden="false" customHeight="false" outlineLevel="0" collapsed="false">
      <c r="B4241" s="53"/>
      <c r="I4241" s="53"/>
      <c r="U4241" s="31" t="n">
        <f aca="false">IF($B4241='設定（最初に1回）'!$C$4,N(U4240)+1,N(U4240))</f>
        <v>134</v>
      </c>
    </row>
    <row r="4242" customFormat="false" ht="15" hidden="false" customHeight="false" outlineLevel="0" collapsed="false">
      <c r="B4242" s="53"/>
      <c r="I4242" s="53"/>
      <c r="U4242" s="31" t="n">
        <f aca="false">IF($B4242='設定（最初に1回）'!$C$4,N(U4241)+1,N(U4241))</f>
        <v>134</v>
      </c>
    </row>
    <row r="4243" customFormat="false" ht="15" hidden="false" customHeight="false" outlineLevel="0" collapsed="false">
      <c r="B4243" s="53"/>
      <c r="I4243" s="53"/>
      <c r="U4243" s="31" t="n">
        <f aca="false">IF($B4243='設定（最初に1回）'!$C$4,N(U4242)+1,N(U4242))</f>
        <v>134</v>
      </c>
    </row>
    <row r="4244" customFormat="false" ht="15" hidden="false" customHeight="false" outlineLevel="0" collapsed="false">
      <c r="B4244" s="53"/>
      <c r="I4244" s="53"/>
      <c r="U4244" s="31" t="n">
        <f aca="false">IF($B4244='設定（最初に1回）'!$C$4,N(U4243)+1,N(U4243))</f>
        <v>134</v>
      </c>
    </row>
    <row r="4245" customFormat="false" ht="15" hidden="false" customHeight="false" outlineLevel="0" collapsed="false">
      <c r="B4245" s="53"/>
      <c r="I4245" s="53"/>
      <c r="U4245" s="31" t="n">
        <f aca="false">IF($B4245='設定（最初に1回）'!$C$4,N(U4244)+1,N(U4244))</f>
        <v>134</v>
      </c>
    </row>
    <row r="4246" customFormat="false" ht="15" hidden="false" customHeight="false" outlineLevel="0" collapsed="false">
      <c r="B4246" s="53"/>
      <c r="I4246" s="53"/>
      <c r="U4246" s="31" t="n">
        <f aca="false">IF($B4246='設定（最初に1回）'!$C$4,N(U4245)+1,N(U4245))</f>
        <v>134</v>
      </c>
    </row>
    <row r="4247" customFormat="false" ht="15" hidden="false" customHeight="false" outlineLevel="0" collapsed="false">
      <c r="B4247" s="53"/>
      <c r="I4247" s="53"/>
      <c r="U4247" s="31" t="n">
        <f aca="false">IF($B4247='設定（最初に1回）'!$C$4,N(U4246)+1,N(U4246))</f>
        <v>134</v>
      </c>
    </row>
    <row r="4248" customFormat="false" ht="15" hidden="false" customHeight="false" outlineLevel="0" collapsed="false">
      <c r="B4248" s="53"/>
      <c r="I4248" s="53"/>
      <c r="U4248" s="31" t="n">
        <f aca="false">IF($B4248='設定（最初に1回）'!$C$4,N(U4247)+1,N(U4247))</f>
        <v>134</v>
      </c>
    </row>
    <row r="4249" customFormat="false" ht="15" hidden="false" customHeight="false" outlineLevel="0" collapsed="false">
      <c r="B4249" s="53"/>
      <c r="I4249" s="53"/>
      <c r="U4249" s="31" t="n">
        <f aca="false">IF($B4249='設定（最初に1回）'!$C$4,N(U4248)+1,N(U4248))</f>
        <v>134</v>
      </c>
    </row>
    <row r="4250" customFormat="false" ht="15" hidden="false" customHeight="false" outlineLevel="0" collapsed="false">
      <c r="B4250" s="53"/>
      <c r="I4250" s="53"/>
      <c r="U4250" s="31" t="n">
        <f aca="false">IF($B4250='設定（最初に1回）'!$C$4,N(U4249)+1,N(U4249))</f>
        <v>134</v>
      </c>
    </row>
    <row r="4251" customFormat="false" ht="15" hidden="false" customHeight="false" outlineLevel="0" collapsed="false">
      <c r="B4251" s="53"/>
      <c r="I4251" s="53"/>
      <c r="U4251" s="31" t="n">
        <f aca="false">IF($B4251='設定（最初に1回）'!$C$4,N(U4250)+1,N(U4250))</f>
        <v>134</v>
      </c>
    </row>
    <row r="4252" customFormat="false" ht="15" hidden="false" customHeight="false" outlineLevel="0" collapsed="false">
      <c r="B4252" s="53"/>
      <c r="I4252" s="53"/>
      <c r="U4252" s="31" t="n">
        <f aca="false">IF($B4252='設定（最初に1回）'!$C$4,N(U4251)+1,N(U4251))</f>
        <v>134</v>
      </c>
    </row>
    <row r="4253" customFormat="false" ht="15" hidden="false" customHeight="false" outlineLevel="0" collapsed="false">
      <c r="B4253" s="53"/>
      <c r="I4253" s="53"/>
      <c r="U4253" s="31" t="n">
        <f aca="false">IF($B4253='設定（最初に1回）'!$C$4,N(U4252)+1,N(U4252))</f>
        <v>134</v>
      </c>
    </row>
    <row r="4254" customFormat="false" ht="15" hidden="false" customHeight="false" outlineLevel="0" collapsed="false">
      <c r="B4254" s="53"/>
      <c r="I4254" s="53"/>
      <c r="U4254" s="31" t="n">
        <f aca="false">IF($B4254='設定（最初に1回）'!$C$4,N(U4253)+1,N(U4253))</f>
        <v>134</v>
      </c>
    </row>
    <row r="4255" customFormat="false" ht="15" hidden="false" customHeight="false" outlineLevel="0" collapsed="false">
      <c r="B4255" s="53"/>
      <c r="I4255" s="53"/>
      <c r="U4255" s="31" t="n">
        <f aca="false">IF($B4255='設定（最初に1回）'!$C$4,N(U4254)+1,N(U4254))</f>
        <v>134</v>
      </c>
    </row>
    <row r="4256" customFormat="false" ht="15" hidden="false" customHeight="false" outlineLevel="0" collapsed="false">
      <c r="B4256" s="53"/>
      <c r="I4256" s="53"/>
      <c r="U4256" s="31" t="n">
        <f aca="false">IF($B4256='設定（最初に1回）'!$C$4,N(U4255)+1,N(U4255))</f>
        <v>134</v>
      </c>
    </row>
    <row r="4257" customFormat="false" ht="15" hidden="false" customHeight="false" outlineLevel="0" collapsed="false">
      <c r="B4257" s="53"/>
      <c r="I4257" s="53"/>
      <c r="U4257" s="31" t="n">
        <f aca="false">IF($B4257='設定（最初に1回）'!$C$4,N(U4256)+1,N(U4256))</f>
        <v>134</v>
      </c>
    </row>
    <row r="4258" customFormat="false" ht="15" hidden="false" customHeight="false" outlineLevel="0" collapsed="false">
      <c r="B4258" s="53"/>
      <c r="I4258" s="53"/>
      <c r="U4258" s="31" t="n">
        <f aca="false">IF($B4258='設定（最初に1回）'!$C$4,N(U4257)+1,N(U4257))</f>
        <v>134</v>
      </c>
    </row>
    <row r="4259" customFormat="false" ht="15" hidden="false" customHeight="false" outlineLevel="0" collapsed="false">
      <c r="B4259" s="53"/>
      <c r="I4259" s="53"/>
      <c r="U4259" s="31" t="n">
        <f aca="false">IF($B4259='設定（最初に1回）'!$C$4,N(U4258)+1,N(U4258))</f>
        <v>134</v>
      </c>
    </row>
    <row r="4260" customFormat="false" ht="15" hidden="false" customHeight="false" outlineLevel="0" collapsed="false">
      <c r="B4260" s="53"/>
      <c r="I4260" s="53"/>
      <c r="U4260" s="31" t="n">
        <f aca="false">IF($B4260='設定（最初に1回）'!$C$4,N(U4259)+1,N(U4259))</f>
        <v>134</v>
      </c>
    </row>
    <row r="4261" customFormat="false" ht="15" hidden="false" customHeight="false" outlineLevel="0" collapsed="false">
      <c r="B4261" s="53"/>
      <c r="I4261" s="53"/>
      <c r="U4261" s="31" t="n">
        <f aca="false">IF($B4261='設定（最初に1回）'!$C$4,N(U4260)+1,N(U4260))</f>
        <v>134</v>
      </c>
    </row>
    <row r="4262" customFormat="false" ht="15" hidden="false" customHeight="false" outlineLevel="0" collapsed="false">
      <c r="B4262" s="53"/>
      <c r="I4262" s="53"/>
      <c r="U4262" s="31" t="n">
        <f aca="false">IF($B4262='設定（最初に1回）'!$C$4,N(U4261)+1,N(U4261))</f>
        <v>134</v>
      </c>
    </row>
    <row r="4263" customFormat="false" ht="15" hidden="false" customHeight="false" outlineLevel="0" collapsed="false">
      <c r="B4263" s="53"/>
      <c r="I4263" s="53"/>
      <c r="U4263" s="31" t="n">
        <f aca="false">IF($B4263='設定（最初に1回）'!$C$4,N(U4262)+1,N(U4262))</f>
        <v>134</v>
      </c>
    </row>
    <row r="4264" customFormat="false" ht="15" hidden="false" customHeight="false" outlineLevel="0" collapsed="false">
      <c r="B4264" s="53"/>
      <c r="I4264" s="53"/>
      <c r="U4264" s="31" t="n">
        <f aca="false">IF($B4264='設定（最初に1回）'!$C$4,N(U4263)+1,N(U4263))</f>
        <v>134</v>
      </c>
    </row>
    <row r="4265" customFormat="false" ht="15" hidden="false" customHeight="false" outlineLevel="0" collapsed="false">
      <c r="B4265" s="53"/>
      <c r="I4265" s="53"/>
      <c r="U4265" s="31" t="n">
        <f aca="false">IF($B4265='設定（最初に1回）'!$C$4,N(U4264)+1,N(U4264))</f>
        <v>134</v>
      </c>
    </row>
    <row r="4266" customFormat="false" ht="15" hidden="false" customHeight="false" outlineLevel="0" collapsed="false">
      <c r="B4266" s="53"/>
      <c r="I4266" s="53"/>
      <c r="U4266" s="31" t="n">
        <f aca="false">IF($B4266='設定（最初に1回）'!$C$4,N(U4265)+1,N(U4265))</f>
        <v>134</v>
      </c>
    </row>
    <row r="4267" customFormat="false" ht="15" hidden="false" customHeight="false" outlineLevel="0" collapsed="false">
      <c r="B4267" s="53"/>
      <c r="I4267" s="53"/>
      <c r="U4267" s="31" t="n">
        <f aca="false">IF($B4267='設定（最初に1回）'!$C$4,N(U4266)+1,N(U4266))</f>
        <v>134</v>
      </c>
    </row>
    <row r="4268" customFormat="false" ht="15" hidden="false" customHeight="false" outlineLevel="0" collapsed="false">
      <c r="B4268" s="53"/>
      <c r="I4268" s="53"/>
      <c r="U4268" s="31" t="n">
        <f aca="false">IF($B4268='設定（最初に1回）'!$C$4,N(U4267)+1,N(U4267))</f>
        <v>134</v>
      </c>
    </row>
    <row r="4269" customFormat="false" ht="15" hidden="false" customHeight="false" outlineLevel="0" collapsed="false">
      <c r="B4269" s="53"/>
      <c r="I4269" s="53"/>
      <c r="U4269" s="31" t="n">
        <f aca="false">IF($B4269='設定（最初に1回）'!$C$4,N(U4268)+1,N(U4268))</f>
        <v>134</v>
      </c>
    </row>
    <row r="4270" customFormat="false" ht="15" hidden="false" customHeight="false" outlineLevel="0" collapsed="false">
      <c r="B4270" s="53"/>
      <c r="I4270" s="53"/>
      <c r="U4270" s="31" t="n">
        <f aca="false">IF($B4270='設定（最初に1回）'!$C$4,N(U4269)+1,N(U4269))</f>
        <v>134</v>
      </c>
    </row>
    <row r="4271" customFormat="false" ht="15" hidden="false" customHeight="false" outlineLevel="0" collapsed="false">
      <c r="B4271" s="53"/>
      <c r="I4271" s="53"/>
      <c r="U4271" s="31" t="n">
        <f aca="false">IF($B4271='設定（最初に1回）'!$C$4,N(U4270)+1,N(U4270))</f>
        <v>134</v>
      </c>
    </row>
    <row r="4272" customFormat="false" ht="15" hidden="false" customHeight="false" outlineLevel="0" collapsed="false">
      <c r="B4272" s="53"/>
      <c r="I4272" s="53"/>
      <c r="U4272" s="31" t="n">
        <f aca="false">IF($B4272='設定（最初に1回）'!$C$4,N(U4271)+1,N(U4271))</f>
        <v>134</v>
      </c>
    </row>
    <row r="4273" customFormat="false" ht="15" hidden="false" customHeight="false" outlineLevel="0" collapsed="false">
      <c r="B4273" s="53"/>
      <c r="I4273" s="53"/>
      <c r="U4273" s="31" t="n">
        <f aca="false">IF($B4273='設定（最初に1回）'!$C$4,N(U4272)+1,N(U4272))</f>
        <v>134</v>
      </c>
    </row>
    <row r="4274" customFormat="false" ht="15" hidden="false" customHeight="false" outlineLevel="0" collapsed="false">
      <c r="B4274" s="53"/>
      <c r="I4274" s="53"/>
      <c r="U4274" s="31" t="n">
        <f aca="false">IF($B4274='設定（最初に1回）'!$C$4,N(U4273)+1,N(U4273))</f>
        <v>134</v>
      </c>
    </row>
    <row r="4275" customFormat="false" ht="15" hidden="false" customHeight="false" outlineLevel="0" collapsed="false">
      <c r="B4275" s="53"/>
      <c r="I4275" s="53"/>
      <c r="U4275" s="31" t="n">
        <f aca="false">IF($B4275='設定（最初に1回）'!$C$4,N(U4274)+1,N(U4274))</f>
        <v>134</v>
      </c>
    </row>
    <row r="4276" customFormat="false" ht="15" hidden="false" customHeight="false" outlineLevel="0" collapsed="false">
      <c r="B4276" s="53"/>
      <c r="I4276" s="53"/>
      <c r="U4276" s="31" t="n">
        <f aca="false">IF($B4276='設定（最初に1回）'!$C$4,N(U4275)+1,N(U4275))</f>
        <v>134</v>
      </c>
    </row>
    <row r="4277" customFormat="false" ht="15" hidden="false" customHeight="false" outlineLevel="0" collapsed="false">
      <c r="B4277" s="53"/>
      <c r="I4277" s="53"/>
      <c r="U4277" s="31" t="n">
        <f aca="false">IF($B4277='設定（最初に1回）'!$C$4,N(U4276)+1,N(U4276))</f>
        <v>134</v>
      </c>
    </row>
    <row r="4278" customFormat="false" ht="15" hidden="false" customHeight="false" outlineLevel="0" collapsed="false">
      <c r="B4278" s="53"/>
      <c r="I4278" s="53"/>
      <c r="U4278" s="31" t="n">
        <f aca="false">IF($B4278='設定（最初に1回）'!$C$4,N(U4277)+1,N(U4277))</f>
        <v>134</v>
      </c>
    </row>
    <row r="4279" customFormat="false" ht="15" hidden="false" customHeight="false" outlineLevel="0" collapsed="false">
      <c r="B4279" s="53"/>
      <c r="I4279" s="53"/>
      <c r="U4279" s="31" t="n">
        <f aca="false">IF($B4279='設定（最初に1回）'!$C$4,N(U4278)+1,N(U4278))</f>
        <v>134</v>
      </c>
    </row>
    <row r="4280" customFormat="false" ht="15" hidden="false" customHeight="false" outlineLevel="0" collapsed="false">
      <c r="B4280" s="53"/>
      <c r="I4280" s="53"/>
      <c r="U4280" s="31" t="n">
        <f aca="false">IF($B4280='設定（最初に1回）'!$C$4,N(U4279)+1,N(U4279))</f>
        <v>134</v>
      </c>
    </row>
    <row r="4281" customFormat="false" ht="15" hidden="false" customHeight="false" outlineLevel="0" collapsed="false">
      <c r="B4281" s="53"/>
      <c r="I4281" s="53"/>
      <c r="U4281" s="31" t="n">
        <f aca="false">IF($B4281='設定（最初に1回）'!$C$4,N(U4280)+1,N(U4280))</f>
        <v>134</v>
      </c>
    </row>
    <row r="4282" customFormat="false" ht="15" hidden="false" customHeight="false" outlineLevel="0" collapsed="false">
      <c r="B4282" s="53"/>
      <c r="I4282" s="53"/>
      <c r="U4282" s="31" t="n">
        <f aca="false">IF($B4282='設定（最初に1回）'!$C$4,N(U4281)+1,N(U4281))</f>
        <v>134</v>
      </c>
    </row>
    <row r="4283" customFormat="false" ht="15" hidden="false" customHeight="false" outlineLevel="0" collapsed="false">
      <c r="B4283" s="53"/>
      <c r="I4283" s="53"/>
      <c r="U4283" s="31" t="n">
        <f aca="false">IF($B4283='設定（最初に1回）'!$C$4,N(U4282)+1,N(U4282))</f>
        <v>134</v>
      </c>
    </row>
    <row r="4284" customFormat="false" ht="15" hidden="false" customHeight="false" outlineLevel="0" collapsed="false">
      <c r="B4284" s="53"/>
      <c r="I4284" s="53"/>
      <c r="U4284" s="31" t="n">
        <f aca="false">IF($B4284='設定（最初に1回）'!$C$4,N(U4283)+1,N(U4283))</f>
        <v>134</v>
      </c>
    </row>
    <row r="4285" customFormat="false" ht="15" hidden="false" customHeight="false" outlineLevel="0" collapsed="false">
      <c r="B4285" s="53"/>
      <c r="I4285" s="53"/>
      <c r="U4285" s="31" t="n">
        <f aca="false">IF($B4285='設定（最初に1回）'!$C$4,N(U4284)+1,N(U4284))</f>
        <v>134</v>
      </c>
    </row>
    <row r="4286" customFormat="false" ht="15" hidden="false" customHeight="false" outlineLevel="0" collapsed="false">
      <c r="B4286" s="53"/>
      <c r="I4286" s="53"/>
      <c r="U4286" s="31" t="n">
        <f aca="false">IF($B4286='設定（最初に1回）'!$C$4,N(U4285)+1,N(U4285))</f>
        <v>134</v>
      </c>
    </row>
    <row r="4287" customFormat="false" ht="15" hidden="false" customHeight="false" outlineLevel="0" collapsed="false">
      <c r="B4287" s="53"/>
      <c r="I4287" s="53"/>
      <c r="U4287" s="31" t="n">
        <f aca="false">IF($B4287='設定（最初に1回）'!$C$4,N(U4286)+1,N(U4286))</f>
        <v>134</v>
      </c>
    </row>
    <row r="4288" customFormat="false" ht="15" hidden="false" customHeight="false" outlineLevel="0" collapsed="false">
      <c r="B4288" s="53"/>
      <c r="I4288" s="53"/>
      <c r="U4288" s="31" t="n">
        <f aca="false">IF($B4288='設定（最初に1回）'!$C$4,N(U4287)+1,N(U4287))</f>
        <v>134</v>
      </c>
    </row>
    <row r="4289" customFormat="false" ht="15" hidden="false" customHeight="false" outlineLevel="0" collapsed="false">
      <c r="B4289" s="53"/>
      <c r="I4289" s="53"/>
      <c r="U4289" s="31" t="n">
        <f aca="false">IF($B4289='設定（最初に1回）'!$C$4,N(U4288)+1,N(U4288))</f>
        <v>134</v>
      </c>
    </row>
    <row r="4290" customFormat="false" ht="15" hidden="false" customHeight="false" outlineLevel="0" collapsed="false">
      <c r="B4290" s="53"/>
      <c r="I4290" s="53"/>
      <c r="U4290" s="31" t="n">
        <f aca="false">IF($B4290='設定（最初に1回）'!$C$4,N(U4289)+1,N(U4289))</f>
        <v>134</v>
      </c>
    </row>
    <row r="4291" customFormat="false" ht="15" hidden="false" customHeight="false" outlineLevel="0" collapsed="false">
      <c r="B4291" s="53"/>
      <c r="I4291" s="53"/>
      <c r="U4291" s="31" t="n">
        <f aca="false">IF($B4291='設定（最初に1回）'!$C$4,N(U4290)+1,N(U4290))</f>
        <v>134</v>
      </c>
    </row>
    <row r="4292" customFormat="false" ht="15" hidden="false" customHeight="false" outlineLevel="0" collapsed="false">
      <c r="B4292" s="53"/>
      <c r="I4292" s="53"/>
      <c r="U4292" s="31" t="n">
        <f aca="false">IF($B4292='設定（最初に1回）'!$C$4,N(U4291)+1,N(U4291))</f>
        <v>134</v>
      </c>
    </row>
    <row r="4293" customFormat="false" ht="15" hidden="false" customHeight="false" outlineLevel="0" collapsed="false">
      <c r="B4293" s="53"/>
      <c r="I4293" s="53"/>
      <c r="U4293" s="31" t="n">
        <f aca="false">IF($B4293='設定（最初に1回）'!$C$4,N(U4292)+1,N(U4292))</f>
        <v>134</v>
      </c>
    </row>
    <row r="4294" customFormat="false" ht="15" hidden="false" customHeight="false" outlineLevel="0" collapsed="false">
      <c r="B4294" s="53"/>
      <c r="I4294" s="53"/>
      <c r="U4294" s="31" t="n">
        <f aca="false">IF($B4294='設定（最初に1回）'!$C$4,N(U4293)+1,N(U4293))</f>
        <v>134</v>
      </c>
    </row>
    <row r="4295" customFormat="false" ht="15" hidden="false" customHeight="false" outlineLevel="0" collapsed="false">
      <c r="B4295" s="53"/>
      <c r="I4295" s="53"/>
      <c r="U4295" s="31" t="n">
        <f aca="false">IF($B4295='設定（最初に1回）'!$C$4,N(U4294)+1,N(U4294))</f>
        <v>134</v>
      </c>
    </row>
    <row r="4296" customFormat="false" ht="15" hidden="false" customHeight="false" outlineLevel="0" collapsed="false">
      <c r="B4296" s="53"/>
      <c r="I4296" s="53"/>
      <c r="U4296" s="31" t="n">
        <f aca="false">IF($B4296='設定（最初に1回）'!$C$4,N(U4295)+1,N(U4295))</f>
        <v>134</v>
      </c>
    </row>
    <row r="4297" customFormat="false" ht="15" hidden="false" customHeight="false" outlineLevel="0" collapsed="false">
      <c r="B4297" s="53"/>
      <c r="I4297" s="53"/>
      <c r="U4297" s="31" t="n">
        <f aca="false">IF($B4297='設定（最初に1回）'!$C$4,N(U4296)+1,N(U4296))</f>
        <v>134</v>
      </c>
    </row>
    <row r="4298" customFormat="false" ht="15" hidden="false" customHeight="false" outlineLevel="0" collapsed="false">
      <c r="B4298" s="53"/>
      <c r="I4298" s="53"/>
      <c r="U4298" s="31" t="n">
        <f aca="false">IF($B4298='設定（最初に1回）'!$C$4,N(U4297)+1,N(U4297))</f>
        <v>134</v>
      </c>
    </row>
    <row r="4299" customFormat="false" ht="15" hidden="false" customHeight="false" outlineLevel="0" collapsed="false">
      <c r="B4299" s="53"/>
      <c r="I4299" s="53"/>
      <c r="U4299" s="31" t="n">
        <f aca="false">IF($B4299='設定（最初に1回）'!$C$4,N(U4298)+1,N(U4298))</f>
        <v>134</v>
      </c>
    </row>
    <row r="4300" customFormat="false" ht="15" hidden="false" customHeight="false" outlineLevel="0" collapsed="false">
      <c r="B4300" s="53"/>
      <c r="I4300" s="53"/>
      <c r="U4300" s="31" t="n">
        <f aca="false">IF($B4300='設定（最初に1回）'!$C$4,N(U4299)+1,N(U4299))</f>
        <v>134</v>
      </c>
    </row>
    <row r="4301" customFormat="false" ht="15" hidden="false" customHeight="false" outlineLevel="0" collapsed="false">
      <c r="B4301" s="53"/>
      <c r="I4301" s="53"/>
      <c r="U4301" s="31" t="n">
        <f aca="false">IF($B4301='設定（最初に1回）'!$C$4,N(U4300)+1,N(U4300))</f>
        <v>134</v>
      </c>
    </row>
    <row r="4302" customFormat="false" ht="15" hidden="false" customHeight="false" outlineLevel="0" collapsed="false">
      <c r="B4302" s="53"/>
      <c r="I4302" s="53"/>
      <c r="U4302" s="31" t="n">
        <f aca="false">IF($B4302='設定（最初に1回）'!$C$4,N(U4301)+1,N(U4301))</f>
        <v>134</v>
      </c>
    </row>
    <row r="4303" customFormat="false" ht="15" hidden="false" customHeight="false" outlineLevel="0" collapsed="false">
      <c r="B4303" s="53"/>
      <c r="I4303" s="53"/>
      <c r="U4303" s="31" t="n">
        <f aca="false">IF($B4303='設定（最初に1回）'!$C$4,N(U4302)+1,N(U4302))</f>
        <v>134</v>
      </c>
    </row>
    <row r="4304" customFormat="false" ht="15" hidden="false" customHeight="false" outlineLevel="0" collapsed="false">
      <c r="B4304" s="53"/>
      <c r="I4304" s="53"/>
      <c r="U4304" s="31" t="n">
        <f aca="false">IF($B4304='設定（最初に1回）'!$C$4,N(U4303)+1,N(U4303))</f>
        <v>134</v>
      </c>
    </row>
    <row r="4305" customFormat="false" ht="15" hidden="false" customHeight="false" outlineLevel="0" collapsed="false">
      <c r="B4305" s="53"/>
      <c r="I4305" s="53"/>
      <c r="U4305" s="31" t="n">
        <f aca="false">IF($B4305='設定（最初に1回）'!$C$4,N(U4304)+1,N(U4304))</f>
        <v>134</v>
      </c>
    </row>
    <row r="4306" customFormat="false" ht="15" hidden="false" customHeight="false" outlineLevel="0" collapsed="false">
      <c r="B4306" s="53"/>
      <c r="I4306" s="53"/>
      <c r="U4306" s="31" t="n">
        <f aca="false">IF($B4306='設定（最初に1回）'!$C$4,N(U4305)+1,N(U4305))</f>
        <v>134</v>
      </c>
    </row>
    <row r="4307" customFormat="false" ht="15" hidden="false" customHeight="false" outlineLevel="0" collapsed="false">
      <c r="B4307" s="53"/>
      <c r="I4307" s="53"/>
      <c r="U4307" s="31" t="n">
        <f aca="false">IF($B4307='設定（最初に1回）'!$C$4,N(U4306)+1,N(U4306))</f>
        <v>134</v>
      </c>
    </row>
    <row r="4308" customFormat="false" ht="15" hidden="false" customHeight="false" outlineLevel="0" collapsed="false">
      <c r="B4308" s="53"/>
      <c r="I4308" s="53"/>
      <c r="U4308" s="31" t="n">
        <f aca="false">IF($B4308='設定（最初に1回）'!$C$4,N(U4307)+1,N(U4307))</f>
        <v>134</v>
      </c>
    </row>
    <row r="4309" customFormat="false" ht="15" hidden="false" customHeight="false" outlineLevel="0" collapsed="false">
      <c r="B4309" s="53"/>
      <c r="I4309" s="53"/>
      <c r="U4309" s="31" t="n">
        <f aca="false">IF($B4309='設定（最初に1回）'!$C$4,N(U4308)+1,N(U4308))</f>
        <v>134</v>
      </c>
    </row>
    <row r="4310" customFormat="false" ht="15" hidden="false" customHeight="false" outlineLevel="0" collapsed="false">
      <c r="B4310" s="53"/>
      <c r="I4310" s="53"/>
      <c r="U4310" s="31" t="n">
        <f aca="false">IF($B4310='設定（最初に1回）'!$C$4,N(U4309)+1,N(U4309))</f>
        <v>134</v>
      </c>
    </row>
    <row r="4311" customFormat="false" ht="15" hidden="false" customHeight="false" outlineLevel="0" collapsed="false">
      <c r="B4311" s="53"/>
      <c r="I4311" s="53"/>
      <c r="U4311" s="31" t="n">
        <f aca="false">IF($B4311='設定（最初に1回）'!$C$4,N(U4310)+1,N(U4310))</f>
        <v>134</v>
      </c>
    </row>
    <row r="4312" customFormat="false" ht="15" hidden="false" customHeight="false" outlineLevel="0" collapsed="false">
      <c r="B4312" s="53"/>
      <c r="I4312" s="53"/>
      <c r="U4312" s="31" t="n">
        <f aca="false">IF($B4312='設定（最初に1回）'!$C$4,N(U4311)+1,N(U4311))</f>
        <v>134</v>
      </c>
    </row>
    <row r="4313" customFormat="false" ht="15" hidden="false" customHeight="false" outlineLevel="0" collapsed="false">
      <c r="B4313" s="53"/>
      <c r="I4313" s="53"/>
      <c r="U4313" s="31" t="n">
        <f aca="false">IF($B4313='設定（最初に1回）'!$C$4,N(U4312)+1,N(U4312))</f>
        <v>134</v>
      </c>
    </row>
    <row r="4314" customFormat="false" ht="15" hidden="false" customHeight="false" outlineLevel="0" collapsed="false">
      <c r="B4314" s="53"/>
      <c r="I4314" s="53"/>
      <c r="U4314" s="31" t="n">
        <f aca="false">IF($B4314='設定（最初に1回）'!$C$4,N(U4313)+1,N(U4313))</f>
        <v>134</v>
      </c>
    </row>
    <row r="4315" customFormat="false" ht="15" hidden="false" customHeight="false" outlineLevel="0" collapsed="false">
      <c r="B4315" s="53"/>
      <c r="I4315" s="53"/>
      <c r="U4315" s="31" t="n">
        <f aca="false">IF($B4315='設定（最初に1回）'!$C$4,N(U4314)+1,N(U4314))</f>
        <v>134</v>
      </c>
    </row>
    <row r="4316" customFormat="false" ht="15" hidden="false" customHeight="false" outlineLevel="0" collapsed="false">
      <c r="B4316" s="53"/>
      <c r="I4316" s="53"/>
      <c r="U4316" s="31" t="n">
        <f aca="false">IF($B4316='設定（最初に1回）'!$C$4,N(U4315)+1,N(U4315))</f>
        <v>134</v>
      </c>
    </row>
    <row r="4317" customFormat="false" ht="15" hidden="false" customHeight="false" outlineLevel="0" collapsed="false">
      <c r="B4317" s="53"/>
      <c r="I4317" s="53"/>
      <c r="U4317" s="31" t="n">
        <f aca="false">IF($B4317='設定（最初に1回）'!$C$4,N(U4316)+1,N(U4316))</f>
        <v>134</v>
      </c>
    </row>
    <row r="4318" customFormat="false" ht="15" hidden="false" customHeight="false" outlineLevel="0" collapsed="false">
      <c r="B4318" s="53"/>
      <c r="I4318" s="53"/>
      <c r="U4318" s="31" t="n">
        <f aca="false">IF($B4318='設定（最初に1回）'!$C$4,N(U4317)+1,N(U4317))</f>
        <v>134</v>
      </c>
    </row>
    <row r="4319" customFormat="false" ht="15" hidden="false" customHeight="false" outlineLevel="0" collapsed="false">
      <c r="B4319" s="53"/>
      <c r="I4319" s="53"/>
      <c r="U4319" s="31" t="n">
        <f aca="false">IF($B4319='設定（最初に1回）'!$C$4,N(U4318)+1,N(U4318))</f>
        <v>134</v>
      </c>
    </row>
    <row r="4320" customFormat="false" ht="15" hidden="false" customHeight="false" outlineLevel="0" collapsed="false">
      <c r="B4320" s="53"/>
      <c r="I4320" s="53"/>
      <c r="U4320" s="31" t="n">
        <f aca="false">IF($B4320='設定（最初に1回）'!$C$4,N(U4319)+1,N(U4319))</f>
        <v>134</v>
      </c>
    </row>
    <row r="4321" customFormat="false" ht="15" hidden="false" customHeight="false" outlineLevel="0" collapsed="false">
      <c r="B4321" s="53"/>
      <c r="I4321" s="53"/>
      <c r="U4321" s="31" t="n">
        <f aca="false">IF($B4321='設定（最初に1回）'!$C$4,N(U4320)+1,N(U4320))</f>
        <v>134</v>
      </c>
    </row>
    <row r="4322" customFormat="false" ht="15" hidden="false" customHeight="false" outlineLevel="0" collapsed="false">
      <c r="B4322" s="53"/>
      <c r="I4322" s="53"/>
      <c r="U4322" s="31" t="n">
        <f aca="false">IF($B4322='設定（最初に1回）'!$C$4,N(U4321)+1,N(U4321))</f>
        <v>134</v>
      </c>
    </row>
    <row r="4323" customFormat="false" ht="15" hidden="false" customHeight="false" outlineLevel="0" collapsed="false">
      <c r="B4323" s="53"/>
      <c r="I4323" s="53"/>
      <c r="U4323" s="31" t="n">
        <f aca="false">IF($B4323='設定（最初に1回）'!$C$4,N(U4322)+1,N(U4322))</f>
        <v>134</v>
      </c>
    </row>
    <row r="4324" customFormat="false" ht="15" hidden="false" customHeight="false" outlineLevel="0" collapsed="false">
      <c r="B4324" s="53"/>
      <c r="I4324" s="53"/>
      <c r="U4324" s="31" t="n">
        <f aca="false">IF($B4324='設定（最初に1回）'!$C$4,N(U4323)+1,N(U4323))</f>
        <v>134</v>
      </c>
    </row>
    <row r="4325" customFormat="false" ht="15" hidden="false" customHeight="false" outlineLevel="0" collapsed="false">
      <c r="B4325" s="53"/>
      <c r="I4325" s="53"/>
      <c r="U4325" s="31" t="n">
        <f aca="false">IF($B4325='設定（最初に1回）'!$C$4,N(U4324)+1,N(U4324))</f>
        <v>134</v>
      </c>
    </row>
    <row r="4326" customFormat="false" ht="15" hidden="false" customHeight="false" outlineLevel="0" collapsed="false">
      <c r="B4326" s="53"/>
      <c r="I4326" s="53"/>
      <c r="U4326" s="31" t="n">
        <f aca="false">IF($B4326='設定（最初に1回）'!$C$4,N(U4325)+1,N(U4325))</f>
        <v>134</v>
      </c>
    </row>
    <row r="4327" customFormat="false" ht="15" hidden="false" customHeight="false" outlineLevel="0" collapsed="false">
      <c r="B4327" s="53"/>
      <c r="I4327" s="53"/>
      <c r="U4327" s="31" t="n">
        <f aca="false">IF($B4327='設定（最初に1回）'!$C$4,N(U4326)+1,N(U4326))</f>
        <v>134</v>
      </c>
    </row>
    <row r="4328" customFormat="false" ht="15" hidden="false" customHeight="false" outlineLevel="0" collapsed="false">
      <c r="B4328" s="53"/>
      <c r="I4328" s="53"/>
      <c r="U4328" s="31" t="n">
        <f aca="false">IF($B4328='設定（最初に1回）'!$C$4,N(U4327)+1,N(U4327))</f>
        <v>134</v>
      </c>
    </row>
    <row r="4329" customFormat="false" ht="15" hidden="false" customHeight="false" outlineLevel="0" collapsed="false">
      <c r="B4329" s="53"/>
      <c r="I4329" s="53"/>
      <c r="U4329" s="31" t="n">
        <f aca="false">IF($B4329='設定（最初に1回）'!$C$4,N(U4328)+1,N(U4328))</f>
        <v>134</v>
      </c>
    </row>
    <row r="4330" customFormat="false" ht="15" hidden="false" customHeight="false" outlineLevel="0" collapsed="false">
      <c r="B4330" s="53"/>
      <c r="I4330" s="53"/>
      <c r="U4330" s="31" t="n">
        <f aca="false">IF($B4330='設定（最初に1回）'!$C$4,N(U4329)+1,N(U4329))</f>
        <v>134</v>
      </c>
    </row>
    <row r="4331" customFormat="false" ht="15" hidden="false" customHeight="false" outlineLevel="0" collapsed="false">
      <c r="B4331" s="53"/>
      <c r="I4331" s="53"/>
      <c r="U4331" s="31" t="n">
        <f aca="false">IF($B4331='設定（最初に1回）'!$C$4,N(U4330)+1,N(U4330))</f>
        <v>134</v>
      </c>
    </row>
    <row r="4332" customFormat="false" ht="15" hidden="false" customHeight="false" outlineLevel="0" collapsed="false">
      <c r="B4332" s="53"/>
      <c r="I4332" s="53"/>
      <c r="U4332" s="31" t="n">
        <f aca="false">IF($B4332='設定（最初に1回）'!$C$4,N(U4331)+1,N(U4331))</f>
        <v>134</v>
      </c>
    </row>
    <row r="4333" customFormat="false" ht="15" hidden="false" customHeight="false" outlineLevel="0" collapsed="false">
      <c r="B4333" s="53"/>
      <c r="I4333" s="53"/>
      <c r="U4333" s="31" t="n">
        <f aca="false">IF($B4333='設定（最初に1回）'!$C$4,N(U4332)+1,N(U4332))</f>
        <v>134</v>
      </c>
    </row>
    <row r="4334" customFormat="false" ht="15" hidden="false" customHeight="false" outlineLevel="0" collapsed="false">
      <c r="B4334" s="53"/>
      <c r="I4334" s="53"/>
      <c r="U4334" s="31" t="n">
        <f aca="false">IF($B4334='設定（最初に1回）'!$C$4,N(U4333)+1,N(U4333))</f>
        <v>134</v>
      </c>
    </row>
    <row r="4335" customFormat="false" ht="15" hidden="false" customHeight="false" outlineLevel="0" collapsed="false">
      <c r="B4335" s="53"/>
      <c r="I4335" s="53"/>
      <c r="U4335" s="31" t="n">
        <f aca="false">IF($B4335='設定（最初に1回）'!$C$4,N(U4334)+1,N(U4334))</f>
        <v>134</v>
      </c>
    </row>
    <row r="4336" customFormat="false" ht="15" hidden="false" customHeight="false" outlineLevel="0" collapsed="false">
      <c r="B4336" s="53"/>
      <c r="I4336" s="53"/>
      <c r="U4336" s="31" t="n">
        <f aca="false">IF($B4336='設定（最初に1回）'!$C$4,N(U4335)+1,N(U4335))</f>
        <v>134</v>
      </c>
    </row>
    <row r="4337" customFormat="false" ht="15" hidden="false" customHeight="false" outlineLevel="0" collapsed="false">
      <c r="B4337" s="53"/>
      <c r="I4337" s="53"/>
      <c r="U4337" s="31" t="n">
        <f aca="false">IF($B4337='設定（最初に1回）'!$C$4,N(U4336)+1,N(U4336))</f>
        <v>134</v>
      </c>
    </row>
    <row r="4338" customFormat="false" ht="15" hidden="false" customHeight="false" outlineLevel="0" collapsed="false">
      <c r="B4338" s="53"/>
      <c r="I4338" s="53"/>
      <c r="U4338" s="31" t="n">
        <f aca="false">IF($B4338='設定（最初に1回）'!$C$4,N(U4337)+1,N(U4337))</f>
        <v>134</v>
      </c>
    </row>
    <row r="4339" customFormat="false" ht="15" hidden="false" customHeight="false" outlineLevel="0" collapsed="false">
      <c r="B4339" s="53"/>
      <c r="I4339" s="53"/>
      <c r="U4339" s="31" t="n">
        <f aca="false">IF($B4339='設定（最初に1回）'!$C$4,N(U4338)+1,N(U4338))</f>
        <v>134</v>
      </c>
    </row>
    <row r="4340" customFormat="false" ht="15" hidden="false" customHeight="false" outlineLevel="0" collapsed="false">
      <c r="B4340" s="53"/>
      <c r="I4340" s="53"/>
      <c r="U4340" s="31" t="n">
        <f aca="false">IF($B4340='設定（最初に1回）'!$C$4,N(U4339)+1,N(U4339))</f>
        <v>134</v>
      </c>
    </row>
    <row r="4341" customFormat="false" ht="15" hidden="false" customHeight="false" outlineLevel="0" collapsed="false">
      <c r="B4341" s="53"/>
      <c r="I4341" s="53"/>
      <c r="U4341" s="31" t="n">
        <f aca="false">IF($B4341='設定（最初に1回）'!$C$4,N(U4340)+1,N(U4340))</f>
        <v>134</v>
      </c>
    </row>
    <row r="4342" customFormat="false" ht="15" hidden="false" customHeight="false" outlineLevel="0" collapsed="false">
      <c r="B4342" s="53"/>
      <c r="I4342" s="53"/>
      <c r="U4342" s="31" t="n">
        <f aca="false">IF($B4342='設定（最初に1回）'!$C$4,N(U4341)+1,N(U4341))</f>
        <v>134</v>
      </c>
    </row>
    <row r="4343" customFormat="false" ht="15" hidden="false" customHeight="false" outlineLevel="0" collapsed="false">
      <c r="B4343" s="53"/>
      <c r="I4343" s="53"/>
      <c r="U4343" s="31" t="n">
        <f aca="false">IF($B4343='設定（最初に1回）'!$C$4,N(U4342)+1,N(U4342))</f>
        <v>134</v>
      </c>
    </row>
    <row r="4344" customFormat="false" ht="15" hidden="false" customHeight="false" outlineLevel="0" collapsed="false">
      <c r="B4344" s="53"/>
      <c r="I4344" s="53"/>
      <c r="U4344" s="31" t="n">
        <f aca="false">IF($B4344='設定（最初に1回）'!$C$4,N(U4343)+1,N(U4343))</f>
        <v>134</v>
      </c>
    </row>
    <row r="4345" customFormat="false" ht="15" hidden="false" customHeight="false" outlineLevel="0" collapsed="false">
      <c r="B4345" s="53"/>
      <c r="I4345" s="53"/>
      <c r="U4345" s="31" t="n">
        <f aca="false">IF($B4345='設定（最初に1回）'!$C$4,N(U4344)+1,N(U4344))</f>
        <v>134</v>
      </c>
    </row>
    <row r="4346" customFormat="false" ht="15" hidden="false" customHeight="false" outlineLevel="0" collapsed="false">
      <c r="B4346" s="53"/>
      <c r="I4346" s="53"/>
      <c r="U4346" s="31" t="n">
        <f aca="false">IF($B4346='設定（最初に1回）'!$C$4,N(U4345)+1,N(U4345))</f>
        <v>134</v>
      </c>
    </row>
    <row r="4347" customFormat="false" ht="15" hidden="false" customHeight="false" outlineLevel="0" collapsed="false">
      <c r="B4347" s="53"/>
      <c r="I4347" s="53"/>
      <c r="U4347" s="31" t="n">
        <f aca="false">IF($B4347='設定（最初に1回）'!$C$4,N(U4346)+1,N(U4346))</f>
        <v>134</v>
      </c>
    </row>
    <row r="4348" customFormat="false" ht="15" hidden="false" customHeight="false" outlineLevel="0" collapsed="false">
      <c r="B4348" s="53"/>
      <c r="I4348" s="53"/>
      <c r="U4348" s="31" t="n">
        <f aca="false">IF($B4348='設定（最初に1回）'!$C$4,N(U4347)+1,N(U4347))</f>
        <v>134</v>
      </c>
    </row>
    <row r="4349" customFormat="false" ht="15" hidden="false" customHeight="false" outlineLevel="0" collapsed="false">
      <c r="B4349" s="53"/>
      <c r="I4349" s="53"/>
      <c r="U4349" s="31" t="n">
        <f aca="false">IF($B4349='設定（最初に1回）'!$C$4,N(U4348)+1,N(U4348))</f>
        <v>134</v>
      </c>
    </row>
    <row r="4350" customFormat="false" ht="15" hidden="false" customHeight="false" outlineLevel="0" collapsed="false">
      <c r="B4350" s="53"/>
      <c r="I4350" s="53"/>
      <c r="U4350" s="31" t="n">
        <f aca="false">IF($B4350='設定（最初に1回）'!$C$4,N(U4349)+1,N(U4349))</f>
        <v>134</v>
      </c>
    </row>
    <row r="4351" customFormat="false" ht="15" hidden="false" customHeight="false" outlineLevel="0" collapsed="false">
      <c r="B4351" s="53"/>
      <c r="I4351" s="53"/>
      <c r="U4351" s="31" t="n">
        <f aca="false">IF($B4351='設定（最初に1回）'!$C$4,N(U4350)+1,N(U4350))</f>
        <v>134</v>
      </c>
    </row>
    <row r="4352" customFormat="false" ht="15" hidden="false" customHeight="false" outlineLevel="0" collapsed="false">
      <c r="B4352" s="53"/>
      <c r="I4352" s="53"/>
      <c r="U4352" s="31" t="n">
        <f aca="false">IF($B4352='設定（最初に1回）'!$C$4,N(U4351)+1,N(U4351))</f>
        <v>134</v>
      </c>
    </row>
    <row r="4353" customFormat="false" ht="15" hidden="false" customHeight="false" outlineLevel="0" collapsed="false">
      <c r="B4353" s="53"/>
      <c r="I4353" s="53"/>
      <c r="U4353" s="31" t="n">
        <f aca="false">IF($B4353='設定（最初に1回）'!$C$4,N(U4352)+1,N(U4352))</f>
        <v>134</v>
      </c>
    </row>
    <row r="4354" customFormat="false" ht="15" hidden="false" customHeight="false" outlineLevel="0" collapsed="false">
      <c r="B4354" s="53"/>
      <c r="I4354" s="53"/>
      <c r="U4354" s="31" t="n">
        <f aca="false">IF($B4354='設定（最初に1回）'!$C$4,N(U4353)+1,N(U4353))</f>
        <v>134</v>
      </c>
    </row>
    <row r="4355" customFormat="false" ht="15" hidden="false" customHeight="false" outlineLevel="0" collapsed="false">
      <c r="B4355" s="53"/>
      <c r="I4355" s="53"/>
      <c r="U4355" s="31" t="n">
        <f aca="false">IF($B4355='設定（最初に1回）'!$C$4,N(U4354)+1,N(U4354))</f>
        <v>134</v>
      </c>
    </row>
    <row r="4356" customFormat="false" ht="15" hidden="false" customHeight="false" outlineLevel="0" collapsed="false">
      <c r="B4356" s="53"/>
      <c r="I4356" s="53"/>
      <c r="U4356" s="31" t="n">
        <f aca="false">IF($B4356='設定（最初に1回）'!$C$4,N(U4355)+1,N(U4355))</f>
        <v>134</v>
      </c>
    </row>
    <row r="4357" customFormat="false" ht="15" hidden="false" customHeight="false" outlineLevel="0" collapsed="false">
      <c r="B4357" s="53"/>
      <c r="I4357" s="53"/>
      <c r="U4357" s="31" t="n">
        <f aca="false">IF($B4357='設定（最初に1回）'!$C$4,N(U4356)+1,N(U4356))</f>
        <v>134</v>
      </c>
    </row>
    <row r="4358" customFormat="false" ht="15" hidden="false" customHeight="false" outlineLevel="0" collapsed="false">
      <c r="B4358" s="53"/>
      <c r="I4358" s="53"/>
      <c r="U4358" s="31" t="n">
        <f aca="false">IF($B4358='設定（最初に1回）'!$C$4,N(U4357)+1,N(U4357))</f>
        <v>134</v>
      </c>
    </row>
    <row r="4359" customFormat="false" ht="15" hidden="false" customHeight="false" outlineLevel="0" collapsed="false">
      <c r="B4359" s="53"/>
      <c r="I4359" s="53"/>
      <c r="U4359" s="31" t="n">
        <f aca="false">IF($B4359='設定（最初に1回）'!$C$4,N(U4358)+1,N(U4358))</f>
        <v>134</v>
      </c>
    </row>
    <row r="4360" customFormat="false" ht="15" hidden="false" customHeight="false" outlineLevel="0" collapsed="false">
      <c r="B4360" s="53"/>
      <c r="I4360" s="53"/>
      <c r="U4360" s="31" t="n">
        <f aca="false">IF($B4360='設定（最初に1回）'!$C$4,N(U4359)+1,N(U4359))</f>
        <v>134</v>
      </c>
    </row>
    <row r="4361" customFormat="false" ht="15" hidden="false" customHeight="false" outlineLevel="0" collapsed="false">
      <c r="B4361" s="53"/>
      <c r="I4361" s="53"/>
      <c r="U4361" s="31" t="n">
        <f aca="false">IF($B4361='設定（最初に1回）'!$C$4,N(U4360)+1,N(U4360))</f>
        <v>134</v>
      </c>
    </row>
    <row r="4362" customFormat="false" ht="15" hidden="false" customHeight="false" outlineLevel="0" collapsed="false">
      <c r="B4362" s="53"/>
      <c r="I4362" s="53"/>
      <c r="U4362" s="31" t="n">
        <f aca="false">IF($B4362='設定（最初に1回）'!$C$4,N(U4361)+1,N(U4361))</f>
        <v>134</v>
      </c>
    </row>
    <row r="4363" customFormat="false" ht="15" hidden="false" customHeight="false" outlineLevel="0" collapsed="false">
      <c r="B4363" s="53"/>
      <c r="I4363" s="53"/>
      <c r="U4363" s="31" t="n">
        <f aca="false">IF($B4363='設定（最初に1回）'!$C$4,N(U4362)+1,N(U4362))</f>
        <v>134</v>
      </c>
    </row>
    <row r="4364" customFormat="false" ht="15" hidden="false" customHeight="false" outlineLevel="0" collapsed="false">
      <c r="B4364" s="53"/>
      <c r="I4364" s="53"/>
      <c r="U4364" s="31" t="n">
        <f aca="false">IF($B4364='設定（最初に1回）'!$C$4,N(U4363)+1,N(U4363))</f>
        <v>134</v>
      </c>
    </row>
    <row r="4365" customFormat="false" ht="15" hidden="false" customHeight="false" outlineLevel="0" collapsed="false">
      <c r="B4365" s="53"/>
      <c r="I4365" s="53"/>
      <c r="U4365" s="31" t="n">
        <f aca="false">IF($B4365='設定（最初に1回）'!$C$4,N(U4364)+1,N(U4364))</f>
        <v>134</v>
      </c>
    </row>
    <row r="4366" customFormat="false" ht="15" hidden="false" customHeight="false" outlineLevel="0" collapsed="false">
      <c r="B4366" s="53"/>
      <c r="I4366" s="53"/>
      <c r="U4366" s="31" t="n">
        <f aca="false">IF($B4366='設定（最初に1回）'!$C$4,N(U4365)+1,N(U4365))</f>
        <v>134</v>
      </c>
    </row>
    <row r="4367" customFormat="false" ht="15" hidden="false" customHeight="false" outlineLevel="0" collapsed="false">
      <c r="B4367" s="53"/>
      <c r="I4367" s="53"/>
      <c r="U4367" s="31" t="n">
        <f aca="false">IF($B4367='設定（最初に1回）'!$C$4,N(U4366)+1,N(U4366))</f>
        <v>134</v>
      </c>
    </row>
    <row r="4368" customFormat="false" ht="15" hidden="false" customHeight="false" outlineLevel="0" collapsed="false">
      <c r="B4368" s="53"/>
      <c r="I4368" s="53"/>
      <c r="U4368" s="31" t="n">
        <f aca="false">IF($B4368='設定（最初に1回）'!$C$4,N(U4367)+1,N(U4367))</f>
        <v>134</v>
      </c>
    </row>
    <row r="4369" customFormat="false" ht="15" hidden="false" customHeight="false" outlineLevel="0" collapsed="false">
      <c r="B4369" s="53"/>
      <c r="I4369" s="53"/>
      <c r="U4369" s="31" t="n">
        <f aca="false">IF($B4369='設定（最初に1回）'!$C$4,N(U4368)+1,N(U4368))</f>
        <v>134</v>
      </c>
    </row>
    <row r="4370" customFormat="false" ht="15" hidden="false" customHeight="false" outlineLevel="0" collapsed="false">
      <c r="B4370" s="53"/>
      <c r="I4370" s="53"/>
      <c r="U4370" s="31" t="n">
        <f aca="false">IF($B4370='設定（最初に1回）'!$C$4,N(U4369)+1,N(U4369))</f>
        <v>134</v>
      </c>
    </row>
    <row r="4371" customFormat="false" ht="15" hidden="false" customHeight="false" outlineLevel="0" collapsed="false">
      <c r="B4371" s="53"/>
      <c r="I4371" s="53"/>
      <c r="U4371" s="31" t="n">
        <f aca="false">IF($B4371='設定（最初に1回）'!$C$4,N(U4370)+1,N(U4370))</f>
        <v>134</v>
      </c>
    </row>
    <row r="4372" customFormat="false" ht="15" hidden="false" customHeight="false" outlineLevel="0" collapsed="false">
      <c r="B4372" s="53"/>
      <c r="I4372" s="53"/>
      <c r="U4372" s="31" t="n">
        <f aca="false">IF($B4372='設定（最初に1回）'!$C$4,N(U4371)+1,N(U4371))</f>
        <v>134</v>
      </c>
    </row>
    <row r="4373" customFormat="false" ht="15" hidden="false" customHeight="false" outlineLevel="0" collapsed="false">
      <c r="B4373" s="53"/>
      <c r="I4373" s="53"/>
      <c r="U4373" s="31" t="n">
        <f aca="false">IF($B4373='設定（最初に1回）'!$C$4,N(U4372)+1,N(U4372))</f>
        <v>134</v>
      </c>
    </row>
    <row r="4374" customFormat="false" ht="15" hidden="false" customHeight="false" outlineLevel="0" collapsed="false">
      <c r="B4374" s="53"/>
      <c r="I4374" s="53"/>
      <c r="U4374" s="31" t="n">
        <f aca="false">IF($B4374='設定（最初に1回）'!$C$4,N(U4373)+1,N(U4373))</f>
        <v>134</v>
      </c>
    </row>
    <row r="4375" customFormat="false" ht="15" hidden="false" customHeight="false" outlineLevel="0" collapsed="false">
      <c r="B4375" s="53"/>
      <c r="I4375" s="53"/>
      <c r="U4375" s="31" t="n">
        <f aca="false">IF($B4375='設定（最初に1回）'!$C$4,N(U4374)+1,N(U4374))</f>
        <v>134</v>
      </c>
    </row>
    <row r="4376" customFormat="false" ht="15" hidden="false" customHeight="false" outlineLevel="0" collapsed="false">
      <c r="B4376" s="53"/>
      <c r="I4376" s="53"/>
      <c r="U4376" s="31" t="n">
        <f aca="false">IF($B4376='設定（最初に1回）'!$C$4,N(U4375)+1,N(U4375))</f>
        <v>134</v>
      </c>
    </row>
    <row r="4377" customFormat="false" ht="15" hidden="false" customHeight="false" outlineLevel="0" collapsed="false">
      <c r="B4377" s="53"/>
      <c r="I4377" s="53"/>
      <c r="U4377" s="31" t="n">
        <f aca="false">IF($B4377='設定（最初に1回）'!$C$4,N(U4376)+1,N(U4376))</f>
        <v>134</v>
      </c>
    </row>
    <row r="4378" customFormat="false" ht="15" hidden="false" customHeight="false" outlineLevel="0" collapsed="false">
      <c r="B4378" s="53"/>
      <c r="I4378" s="53"/>
      <c r="U4378" s="31" t="n">
        <f aca="false">IF($B4378='設定（最初に1回）'!$C$4,N(U4377)+1,N(U4377))</f>
        <v>134</v>
      </c>
    </row>
    <row r="4379" customFormat="false" ht="15" hidden="false" customHeight="false" outlineLevel="0" collapsed="false">
      <c r="B4379" s="53"/>
      <c r="I4379" s="53"/>
      <c r="U4379" s="31" t="n">
        <f aca="false">IF($B4379='設定（最初に1回）'!$C$4,N(U4378)+1,N(U4378))</f>
        <v>134</v>
      </c>
    </row>
    <row r="4380" customFormat="false" ht="15" hidden="false" customHeight="false" outlineLevel="0" collapsed="false">
      <c r="B4380" s="53"/>
      <c r="I4380" s="53"/>
      <c r="U4380" s="31" t="n">
        <f aca="false">IF($B4380='設定（最初に1回）'!$C$4,N(U4379)+1,N(U4379))</f>
        <v>134</v>
      </c>
    </row>
    <row r="4381" customFormat="false" ht="15" hidden="false" customHeight="false" outlineLevel="0" collapsed="false">
      <c r="B4381" s="53"/>
      <c r="I4381" s="53"/>
      <c r="U4381" s="31" t="n">
        <f aca="false">IF($B4381='設定（最初に1回）'!$C$4,N(U4380)+1,N(U4380))</f>
        <v>134</v>
      </c>
    </row>
    <row r="4382" customFormat="false" ht="15" hidden="false" customHeight="false" outlineLevel="0" collapsed="false">
      <c r="B4382" s="53"/>
      <c r="I4382" s="53"/>
      <c r="U4382" s="31" t="n">
        <f aca="false">IF($B4382='設定（最初に1回）'!$C$4,N(U4381)+1,N(U4381))</f>
        <v>134</v>
      </c>
    </row>
    <row r="4383" customFormat="false" ht="15" hidden="false" customHeight="false" outlineLevel="0" collapsed="false">
      <c r="B4383" s="53"/>
      <c r="I4383" s="53"/>
      <c r="U4383" s="31" t="n">
        <f aca="false">IF($B4383='設定（最初に1回）'!$C$4,N(U4382)+1,N(U4382))</f>
        <v>134</v>
      </c>
    </row>
    <row r="4384" customFormat="false" ht="15" hidden="false" customHeight="false" outlineLevel="0" collapsed="false">
      <c r="B4384" s="53"/>
      <c r="I4384" s="53"/>
      <c r="U4384" s="31" t="n">
        <f aca="false">IF($B4384='設定（最初に1回）'!$C$4,N(U4383)+1,N(U4383))</f>
        <v>134</v>
      </c>
    </row>
    <row r="4385" customFormat="false" ht="15" hidden="false" customHeight="false" outlineLevel="0" collapsed="false">
      <c r="B4385" s="53"/>
      <c r="I4385" s="53"/>
      <c r="U4385" s="31" t="n">
        <f aca="false">IF($B4385='設定（最初に1回）'!$C$4,N(U4384)+1,N(U4384))</f>
        <v>134</v>
      </c>
    </row>
    <row r="4386" customFormat="false" ht="15" hidden="false" customHeight="false" outlineLevel="0" collapsed="false">
      <c r="B4386" s="53"/>
      <c r="I4386" s="53"/>
      <c r="U4386" s="31" t="n">
        <f aca="false">IF($B4386='設定（最初に1回）'!$C$4,N(U4385)+1,N(U4385))</f>
        <v>134</v>
      </c>
    </row>
    <row r="4387" customFormat="false" ht="15" hidden="false" customHeight="false" outlineLevel="0" collapsed="false">
      <c r="B4387" s="53"/>
      <c r="I4387" s="53"/>
      <c r="U4387" s="31" t="n">
        <f aca="false">IF($B4387='設定（最初に1回）'!$C$4,N(U4386)+1,N(U4386))</f>
        <v>134</v>
      </c>
    </row>
    <row r="4388" customFormat="false" ht="15" hidden="false" customHeight="false" outlineLevel="0" collapsed="false">
      <c r="B4388" s="53"/>
      <c r="I4388" s="53"/>
      <c r="U4388" s="31" t="n">
        <f aca="false">IF($B4388='設定（最初に1回）'!$C$4,N(U4387)+1,N(U4387))</f>
        <v>134</v>
      </c>
    </row>
    <row r="4389" customFormat="false" ht="15" hidden="false" customHeight="false" outlineLevel="0" collapsed="false">
      <c r="B4389" s="53"/>
      <c r="I4389" s="53"/>
      <c r="U4389" s="31" t="n">
        <f aca="false">IF($B4389='設定（最初に1回）'!$C$4,N(U4388)+1,N(U4388))</f>
        <v>134</v>
      </c>
    </row>
    <row r="4390" customFormat="false" ht="15" hidden="false" customHeight="false" outlineLevel="0" collapsed="false">
      <c r="B4390" s="53"/>
      <c r="I4390" s="53"/>
      <c r="U4390" s="31" t="n">
        <f aca="false">IF($B4390='設定（最初に1回）'!$C$4,N(U4389)+1,N(U4389))</f>
        <v>134</v>
      </c>
    </row>
    <row r="4391" customFormat="false" ht="15" hidden="false" customHeight="false" outlineLevel="0" collapsed="false">
      <c r="B4391" s="53"/>
      <c r="I4391" s="53"/>
      <c r="U4391" s="31" t="n">
        <f aca="false">IF($B4391='設定（最初に1回）'!$C$4,N(U4390)+1,N(U4390))</f>
        <v>134</v>
      </c>
    </row>
    <row r="4392" customFormat="false" ht="15" hidden="false" customHeight="false" outlineLevel="0" collapsed="false">
      <c r="B4392" s="53"/>
      <c r="I4392" s="53"/>
      <c r="U4392" s="31" t="n">
        <f aca="false">IF($B4392='設定（最初に1回）'!$C$4,N(U4391)+1,N(U4391))</f>
        <v>134</v>
      </c>
    </row>
    <row r="4393" customFormat="false" ht="15" hidden="false" customHeight="false" outlineLevel="0" collapsed="false">
      <c r="B4393" s="53"/>
      <c r="I4393" s="53"/>
      <c r="U4393" s="31" t="n">
        <f aca="false">IF($B4393='設定（最初に1回）'!$C$4,N(U4392)+1,N(U4392))</f>
        <v>134</v>
      </c>
    </row>
    <row r="4394" customFormat="false" ht="15" hidden="false" customHeight="false" outlineLevel="0" collapsed="false">
      <c r="B4394" s="53"/>
      <c r="I4394" s="53"/>
      <c r="U4394" s="31" t="n">
        <f aca="false">IF($B4394='設定（最初に1回）'!$C$4,N(U4393)+1,N(U4393))</f>
        <v>134</v>
      </c>
    </row>
    <row r="4395" customFormat="false" ht="15" hidden="false" customHeight="false" outlineLevel="0" collapsed="false">
      <c r="B4395" s="53"/>
      <c r="I4395" s="53"/>
      <c r="U4395" s="31" t="n">
        <f aca="false">IF($B4395='設定（最初に1回）'!$C$4,N(U4394)+1,N(U4394))</f>
        <v>134</v>
      </c>
    </row>
    <row r="4396" customFormat="false" ht="15" hidden="false" customHeight="false" outlineLevel="0" collapsed="false">
      <c r="B4396" s="53"/>
      <c r="I4396" s="53"/>
      <c r="U4396" s="31" t="n">
        <f aca="false">IF($B4396='設定（最初に1回）'!$C$4,N(U4395)+1,N(U4395))</f>
        <v>134</v>
      </c>
    </row>
    <row r="4397" customFormat="false" ht="15" hidden="false" customHeight="false" outlineLevel="0" collapsed="false">
      <c r="B4397" s="53"/>
      <c r="I4397" s="53"/>
      <c r="U4397" s="31" t="n">
        <f aca="false">IF($B4397='設定（最初に1回）'!$C$4,N(U4396)+1,N(U4396))</f>
        <v>134</v>
      </c>
    </row>
    <row r="4398" customFormat="false" ht="15" hidden="false" customHeight="false" outlineLevel="0" collapsed="false">
      <c r="B4398" s="53"/>
      <c r="I4398" s="53"/>
      <c r="U4398" s="31" t="n">
        <f aca="false">IF($B4398='設定（最初に1回）'!$C$4,N(U4397)+1,N(U4397))</f>
        <v>134</v>
      </c>
    </row>
    <row r="4399" customFormat="false" ht="15" hidden="false" customHeight="false" outlineLevel="0" collapsed="false">
      <c r="B4399" s="53"/>
      <c r="I4399" s="53"/>
      <c r="U4399" s="31" t="n">
        <f aca="false">IF($B4399='設定（最初に1回）'!$C$4,N(U4398)+1,N(U4398))</f>
        <v>134</v>
      </c>
    </row>
    <row r="4400" customFormat="false" ht="15" hidden="false" customHeight="false" outlineLevel="0" collapsed="false">
      <c r="B4400" s="53"/>
      <c r="I4400" s="53"/>
      <c r="U4400" s="31" t="n">
        <f aca="false">IF($B4400='設定（最初に1回）'!$C$4,N(U4399)+1,N(U4399))</f>
        <v>134</v>
      </c>
    </row>
    <row r="4401" customFormat="false" ht="15" hidden="false" customHeight="false" outlineLevel="0" collapsed="false">
      <c r="B4401" s="53"/>
      <c r="I4401" s="53"/>
      <c r="U4401" s="31" t="n">
        <f aca="false">IF($B4401='設定（最初に1回）'!$C$4,N(U4400)+1,N(U4400))</f>
        <v>134</v>
      </c>
    </row>
    <row r="4402" customFormat="false" ht="15" hidden="false" customHeight="false" outlineLevel="0" collapsed="false">
      <c r="B4402" s="53"/>
      <c r="I4402" s="53"/>
      <c r="U4402" s="31" t="n">
        <f aca="false">IF($B4402='設定（最初に1回）'!$C$4,N(U4401)+1,N(U4401))</f>
        <v>134</v>
      </c>
    </row>
    <row r="4403" customFormat="false" ht="15" hidden="false" customHeight="false" outlineLevel="0" collapsed="false">
      <c r="B4403" s="53"/>
      <c r="I4403" s="53"/>
      <c r="U4403" s="31" t="n">
        <f aca="false">IF($B4403='設定（最初に1回）'!$C$4,N(U4402)+1,N(U4402))</f>
        <v>134</v>
      </c>
    </row>
    <row r="4404" customFormat="false" ht="15" hidden="false" customHeight="false" outlineLevel="0" collapsed="false">
      <c r="B4404" s="53"/>
      <c r="I4404" s="53"/>
      <c r="U4404" s="31" t="n">
        <f aca="false">IF($B4404='設定（最初に1回）'!$C$4,N(U4403)+1,N(U4403))</f>
        <v>134</v>
      </c>
    </row>
    <row r="4405" customFormat="false" ht="15" hidden="false" customHeight="false" outlineLevel="0" collapsed="false">
      <c r="B4405" s="53"/>
      <c r="I4405" s="53"/>
      <c r="U4405" s="31" t="n">
        <f aca="false">IF($B4405='設定（最初に1回）'!$C$4,N(U4404)+1,N(U4404))</f>
        <v>134</v>
      </c>
    </row>
    <row r="4406" customFormat="false" ht="15" hidden="false" customHeight="false" outlineLevel="0" collapsed="false">
      <c r="B4406" s="53"/>
      <c r="I4406" s="53"/>
      <c r="U4406" s="31" t="n">
        <f aca="false">IF($B4406='設定（最初に1回）'!$C$4,N(U4405)+1,N(U4405))</f>
        <v>134</v>
      </c>
    </row>
    <row r="4407" customFormat="false" ht="15" hidden="false" customHeight="false" outlineLevel="0" collapsed="false">
      <c r="B4407" s="53"/>
      <c r="I4407" s="53"/>
      <c r="U4407" s="31" t="n">
        <f aca="false">IF($B4407='設定（最初に1回）'!$C$4,N(U4406)+1,N(U4406))</f>
        <v>134</v>
      </c>
    </row>
    <row r="4408" customFormat="false" ht="15" hidden="false" customHeight="false" outlineLevel="0" collapsed="false">
      <c r="B4408" s="53"/>
      <c r="I4408" s="53"/>
      <c r="U4408" s="31" t="n">
        <f aca="false">IF($B4408='設定（最初に1回）'!$C$4,N(U4407)+1,N(U4407))</f>
        <v>134</v>
      </c>
    </row>
    <row r="4409" customFormat="false" ht="15" hidden="false" customHeight="false" outlineLevel="0" collapsed="false">
      <c r="B4409" s="53"/>
      <c r="I4409" s="53"/>
      <c r="U4409" s="31" t="n">
        <f aca="false">IF($B4409='設定（最初に1回）'!$C$4,N(U4408)+1,N(U4408))</f>
        <v>134</v>
      </c>
    </row>
    <row r="4410" customFormat="false" ht="15" hidden="false" customHeight="false" outlineLevel="0" collapsed="false">
      <c r="B4410" s="53"/>
      <c r="I4410" s="53"/>
      <c r="U4410" s="31" t="n">
        <f aca="false">IF($B4410='設定（最初に1回）'!$C$4,N(U4409)+1,N(U4409))</f>
        <v>134</v>
      </c>
    </row>
    <row r="4411" customFormat="false" ht="15" hidden="false" customHeight="false" outlineLevel="0" collapsed="false">
      <c r="B4411" s="53"/>
      <c r="I4411" s="53"/>
      <c r="U4411" s="31" t="n">
        <f aca="false">IF($B4411='設定（最初に1回）'!$C$4,N(U4410)+1,N(U4410))</f>
        <v>134</v>
      </c>
    </row>
    <row r="4412" customFormat="false" ht="15" hidden="false" customHeight="false" outlineLevel="0" collapsed="false">
      <c r="B4412" s="53"/>
      <c r="I4412" s="53"/>
      <c r="U4412" s="31" t="n">
        <f aca="false">IF($B4412='設定（最初に1回）'!$C$4,N(U4411)+1,N(U4411))</f>
        <v>134</v>
      </c>
    </row>
    <row r="4413" customFormat="false" ht="15" hidden="false" customHeight="false" outlineLevel="0" collapsed="false">
      <c r="B4413" s="53"/>
      <c r="I4413" s="53"/>
      <c r="U4413" s="31" t="n">
        <f aca="false">IF($B4413='設定（最初に1回）'!$C$4,N(U4412)+1,N(U4412))</f>
        <v>134</v>
      </c>
    </row>
    <row r="4414" customFormat="false" ht="15" hidden="false" customHeight="false" outlineLevel="0" collapsed="false">
      <c r="B4414" s="53"/>
      <c r="I4414" s="53"/>
      <c r="U4414" s="31" t="n">
        <f aca="false">IF($B4414='設定（最初に1回）'!$C$4,N(U4413)+1,N(U4413))</f>
        <v>134</v>
      </c>
    </row>
    <row r="4415" customFormat="false" ht="15" hidden="false" customHeight="false" outlineLevel="0" collapsed="false">
      <c r="B4415" s="53"/>
      <c r="I4415" s="53"/>
      <c r="U4415" s="31" t="n">
        <f aca="false">IF($B4415='設定（最初に1回）'!$C$4,N(U4414)+1,N(U4414))</f>
        <v>134</v>
      </c>
    </row>
    <row r="4416" customFormat="false" ht="15" hidden="false" customHeight="false" outlineLevel="0" collapsed="false">
      <c r="B4416" s="53"/>
      <c r="I4416" s="53"/>
      <c r="U4416" s="31" t="n">
        <f aca="false">IF($B4416='設定（最初に1回）'!$C$4,N(U4415)+1,N(U4415))</f>
        <v>134</v>
      </c>
    </row>
    <row r="4417" customFormat="false" ht="15" hidden="false" customHeight="false" outlineLevel="0" collapsed="false">
      <c r="B4417" s="53"/>
      <c r="I4417" s="53"/>
      <c r="U4417" s="31" t="n">
        <f aca="false">IF($B4417='設定（最初に1回）'!$C$4,N(U4416)+1,N(U4416))</f>
        <v>134</v>
      </c>
    </row>
    <row r="4418" customFormat="false" ht="15" hidden="false" customHeight="false" outlineLevel="0" collapsed="false">
      <c r="B4418" s="53"/>
      <c r="I4418" s="53"/>
      <c r="U4418" s="31" t="n">
        <f aca="false">IF($B4418='設定（最初に1回）'!$C$4,N(U4417)+1,N(U4417))</f>
        <v>134</v>
      </c>
    </row>
    <row r="4419" customFormat="false" ht="15" hidden="false" customHeight="false" outlineLevel="0" collapsed="false">
      <c r="B4419" s="53"/>
      <c r="I4419" s="53"/>
      <c r="U4419" s="31" t="n">
        <f aca="false">IF($B4419='設定（最初に1回）'!$C$4,N(U4418)+1,N(U4418))</f>
        <v>134</v>
      </c>
    </row>
    <row r="4420" customFormat="false" ht="15" hidden="false" customHeight="false" outlineLevel="0" collapsed="false">
      <c r="B4420" s="53"/>
      <c r="I4420" s="53"/>
      <c r="U4420" s="31" t="n">
        <f aca="false">IF($B4420='設定（最初に1回）'!$C$4,N(U4419)+1,N(U4419))</f>
        <v>134</v>
      </c>
    </row>
    <row r="4421" customFormat="false" ht="15" hidden="false" customHeight="false" outlineLevel="0" collapsed="false">
      <c r="B4421" s="53"/>
      <c r="I4421" s="53"/>
      <c r="U4421" s="31" t="n">
        <f aca="false">IF($B4421='設定（最初に1回）'!$C$4,N(U4420)+1,N(U4420))</f>
        <v>134</v>
      </c>
    </row>
    <row r="4422" customFormat="false" ht="15" hidden="false" customHeight="false" outlineLevel="0" collapsed="false">
      <c r="B4422" s="53"/>
      <c r="I4422" s="53"/>
      <c r="U4422" s="31" t="n">
        <f aca="false">IF($B4422='設定（最初に1回）'!$C$4,N(U4421)+1,N(U4421))</f>
        <v>134</v>
      </c>
    </row>
    <row r="4423" customFormat="false" ht="15" hidden="false" customHeight="false" outlineLevel="0" collapsed="false">
      <c r="B4423" s="53"/>
      <c r="I4423" s="53"/>
      <c r="U4423" s="31" t="n">
        <f aca="false">IF($B4423='設定（最初に1回）'!$C$4,N(U4422)+1,N(U4422))</f>
        <v>134</v>
      </c>
    </row>
    <row r="4424" customFormat="false" ht="15" hidden="false" customHeight="false" outlineLevel="0" collapsed="false">
      <c r="B4424" s="53"/>
      <c r="I4424" s="53"/>
      <c r="U4424" s="31" t="n">
        <f aca="false">IF($B4424='設定（最初に1回）'!$C$4,N(U4423)+1,N(U4423))</f>
        <v>134</v>
      </c>
    </row>
    <row r="4425" customFormat="false" ht="15" hidden="false" customHeight="false" outlineLevel="0" collapsed="false">
      <c r="B4425" s="53"/>
      <c r="I4425" s="53"/>
      <c r="U4425" s="31" t="n">
        <f aca="false">IF($B4425='設定（最初に1回）'!$C$4,N(U4424)+1,N(U4424))</f>
        <v>134</v>
      </c>
    </row>
    <row r="4426" customFormat="false" ht="15" hidden="false" customHeight="false" outlineLevel="0" collapsed="false">
      <c r="B4426" s="53"/>
      <c r="I4426" s="53"/>
      <c r="U4426" s="31" t="n">
        <f aca="false">IF($B4426='設定（最初に1回）'!$C$4,N(U4425)+1,N(U4425))</f>
        <v>134</v>
      </c>
    </row>
    <row r="4427" customFormat="false" ht="15" hidden="false" customHeight="false" outlineLevel="0" collapsed="false">
      <c r="B4427" s="53"/>
      <c r="I4427" s="53"/>
      <c r="U4427" s="31" t="n">
        <f aca="false">IF($B4427='設定（最初に1回）'!$C$4,N(U4426)+1,N(U4426))</f>
        <v>134</v>
      </c>
    </row>
    <row r="4428" customFormat="false" ht="15" hidden="false" customHeight="false" outlineLevel="0" collapsed="false">
      <c r="B4428" s="53"/>
      <c r="I4428" s="53"/>
      <c r="U4428" s="31" t="n">
        <f aca="false">IF($B4428='設定（最初に1回）'!$C$4,N(U4427)+1,N(U4427))</f>
        <v>134</v>
      </c>
    </row>
    <row r="4429" customFormat="false" ht="15" hidden="false" customHeight="false" outlineLevel="0" collapsed="false">
      <c r="B4429" s="53"/>
      <c r="I4429" s="53"/>
      <c r="U4429" s="31" t="n">
        <f aca="false">IF($B4429='設定（最初に1回）'!$C$4,N(U4428)+1,N(U4428))</f>
        <v>134</v>
      </c>
    </row>
    <row r="4430" customFormat="false" ht="15" hidden="false" customHeight="false" outlineLevel="0" collapsed="false">
      <c r="B4430" s="53"/>
      <c r="I4430" s="53"/>
      <c r="U4430" s="31" t="n">
        <f aca="false">IF($B4430='設定（最初に1回）'!$C$4,N(U4429)+1,N(U4429))</f>
        <v>134</v>
      </c>
    </row>
    <row r="4431" customFormat="false" ht="15" hidden="false" customHeight="false" outlineLevel="0" collapsed="false">
      <c r="B4431" s="53"/>
      <c r="I4431" s="53"/>
      <c r="U4431" s="31" t="n">
        <f aca="false">IF($B4431='設定（最初に1回）'!$C$4,N(U4430)+1,N(U4430))</f>
        <v>134</v>
      </c>
    </row>
    <row r="4432" customFormat="false" ht="15" hidden="false" customHeight="false" outlineLevel="0" collapsed="false">
      <c r="B4432" s="53"/>
      <c r="I4432" s="53"/>
      <c r="U4432" s="31" t="n">
        <f aca="false">IF($B4432='設定（最初に1回）'!$C$4,N(U4431)+1,N(U4431))</f>
        <v>134</v>
      </c>
    </row>
    <row r="4433" customFormat="false" ht="15" hidden="false" customHeight="false" outlineLevel="0" collapsed="false">
      <c r="B4433" s="53"/>
      <c r="I4433" s="53"/>
      <c r="U4433" s="31" t="n">
        <f aca="false">IF($B4433='設定（最初に1回）'!$C$4,N(U4432)+1,N(U4432))</f>
        <v>134</v>
      </c>
    </row>
    <row r="4434" customFormat="false" ht="15" hidden="false" customHeight="false" outlineLevel="0" collapsed="false">
      <c r="B4434" s="53"/>
      <c r="I4434" s="53"/>
      <c r="U4434" s="31" t="n">
        <f aca="false">IF($B4434='設定（最初に1回）'!$C$4,N(U4433)+1,N(U4433))</f>
        <v>134</v>
      </c>
    </row>
    <row r="4435" customFormat="false" ht="15" hidden="false" customHeight="false" outlineLevel="0" collapsed="false">
      <c r="B4435" s="53"/>
      <c r="I4435" s="53"/>
      <c r="U4435" s="31" t="n">
        <f aca="false">IF($B4435='設定（最初に1回）'!$C$4,N(U4434)+1,N(U4434))</f>
        <v>134</v>
      </c>
    </row>
    <row r="4436" customFormat="false" ht="15" hidden="false" customHeight="false" outlineLevel="0" collapsed="false">
      <c r="B4436" s="53"/>
      <c r="I4436" s="53"/>
      <c r="U4436" s="31" t="n">
        <f aca="false">IF($B4436='設定（最初に1回）'!$C$4,N(U4435)+1,N(U4435))</f>
        <v>134</v>
      </c>
    </row>
    <row r="4437" customFormat="false" ht="15" hidden="false" customHeight="false" outlineLevel="0" collapsed="false">
      <c r="B4437" s="53"/>
      <c r="I4437" s="53"/>
      <c r="U4437" s="31" t="n">
        <f aca="false">IF($B4437='設定（最初に1回）'!$C$4,N(U4436)+1,N(U4436))</f>
        <v>134</v>
      </c>
    </row>
    <row r="4438" customFormat="false" ht="15" hidden="false" customHeight="false" outlineLevel="0" collapsed="false">
      <c r="B4438" s="53"/>
      <c r="I4438" s="53"/>
      <c r="U4438" s="31" t="n">
        <f aca="false">IF($B4438='設定（最初に1回）'!$C$4,N(U4437)+1,N(U4437))</f>
        <v>134</v>
      </c>
    </row>
    <row r="4439" customFormat="false" ht="15" hidden="false" customHeight="false" outlineLevel="0" collapsed="false">
      <c r="B4439" s="53"/>
      <c r="I4439" s="53"/>
      <c r="U4439" s="31" t="n">
        <f aca="false">IF($B4439='設定（最初に1回）'!$C$4,N(U4438)+1,N(U4438))</f>
        <v>134</v>
      </c>
    </row>
    <row r="4440" customFormat="false" ht="15" hidden="false" customHeight="false" outlineLevel="0" collapsed="false">
      <c r="B4440" s="53"/>
      <c r="I4440" s="53"/>
      <c r="U4440" s="31" t="n">
        <f aca="false">IF($B4440='設定（最初に1回）'!$C$4,N(U4439)+1,N(U4439))</f>
        <v>134</v>
      </c>
    </row>
    <row r="4441" customFormat="false" ht="15" hidden="false" customHeight="false" outlineLevel="0" collapsed="false">
      <c r="B4441" s="53"/>
      <c r="I4441" s="53"/>
      <c r="U4441" s="31" t="n">
        <f aca="false">IF($B4441='設定（最初に1回）'!$C$4,N(U4440)+1,N(U4440))</f>
        <v>134</v>
      </c>
    </row>
    <row r="4442" customFormat="false" ht="15" hidden="false" customHeight="false" outlineLevel="0" collapsed="false">
      <c r="B4442" s="53"/>
      <c r="I4442" s="53"/>
      <c r="U4442" s="31" t="n">
        <f aca="false">IF($B4442='設定（最初に1回）'!$C$4,N(U4441)+1,N(U4441))</f>
        <v>134</v>
      </c>
    </row>
    <row r="4443" customFormat="false" ht="15" hidden="false" customHeight="false" outlineLevel="0" collapsed="false">
      <c r="B4443" s="53"/>
      <c r="I4443" s="53"/>
      <c r="U4443" s="31" t="n">
        <f aca="false">IF($B4443='設定（最初に1回）'!$C$4,N(U4442)+1,N(U4442))</f>
        <v>134</v>
      </c>
    </row>
    <row r="4444" customFormat="false" ht="15" hidden="false" customHeight="false" outlineLevel="0" collapsed="false">
      <c r="B4444" s="53"/>
      <c r="I4444" s="53"/>
      <c r="U4444" s="31" t="n">
        <f aca="false">IF($B4444='設定（最初に1回）'!$C$4,N(U4443)+1,N(U4443))</f>
        <v>134</v>
      </c>
    </row>
    <row r="4445" customFormat="false" ht="15" hidden="false" customHeight="false" outlineLevel="0" collapsed="false">
      <c r="B4445" s="53"/>
      <c r="I4445" s="53"/>
      <c r="U4445" s="31" t="n">
        <f aca="false">IF($B4445='設定（最初に1回）'!$C$4,N(U4444)+1,N(U4444))</f>
        <v>134</v>
      </c>
    </row>
    <row r="4446" customFormat="false" ht="15" hidden="false" customHeight="false" outlineLevel="0" collapsed="false">
      <c r="B4446" s="53"/>
      <c r="I4446" s="53"/>
      <c r="U4446" s="31" t="n">
        <f aca="false">IF($B4446='設定（最初に1回）'!$C$4,N(U4445)+1,N(U4445))</f>
        <v>134</v>
      </c>
    </row>
    <row r="4447" customFormat="false" ht="15" hidden="false" customHeight="false" outlineLevel="0" collapsed="false">
      <c r="B4447" s="53"/>
      <c r="I4447" s="53"/>
      <c r="U4447" s="31" t="n">
        <f aca="false">IF($B4447='設定（最初に1回）'!$C$4,N(U4446)+1,N(U4446))</f>
        <v>134</v>
      </c>
    </row>
    <row r="4448" customFormat="false" ht="15" hidden="false" customHeight="false" outlineLevel="0" collapsed="false">
      <c r="B4448" s="53"/>
      <c r="I4448" s="53"/>
      <c r="U4448" s="31" t="n">
        <f aca="false">IF($B4448='設定（最初に1回）'!$C$4,N(U4447)+1,N(U4447))</f>
        <v>134</v>
      </c>
    </row>
    <row r="4449" customFormat="false" ht="15" hidden="false" customHeight="false" outlineLevel="0" collapsed="false">
      <c r="B4449" s="53"/>
      <c r="I4449" s="53"/>
      <c r="U4449" s="31" t="n">
        <f aca="false">IF($B4449='設定（最初に1回）'!$C$4,N(U4448)+1,N(U4448))</f>
        <v>134</v>
      </c>
    </row>
    <row r="4450" customFormat="false" ht="15" hidden="false" customHeight="false" outlineLevel="0" collapsed="false">
      <c r="B4450" s="53"/>
      <c r="I4450" s="53"/>
      <c r="U4450" s="31" t="n">
        <f aca="false">IF($B4450='設定（最初に1回）'!$C$4,N(U4449)+1,N(U4449))</f>
        <v>134</v>
      </c>
    </row>
    <row r="4451" customFormat="false" ht="15" hidden="false" customHeight="false" outlineLevel="0" collapsed="false">
      <c r="B4451" s="53"/>
      <c r="I4451" s="53"/>
      <c r="U4451" s="31" t="n">
        <f aca="false">IF($B4451='設定（最初に1回）'!$C$4,N(U4450)+1,N(U4450))</f>
        <v>134</v>
      </c>
    </row>
    <row r="4452" customFormat="false" ht="15" hidden="false" customHeight="false" outlineLevel="0" collapsed="false">
      <c r="B4452" s="53"/>
      <c r="I4452" s="53"/>
      <c r="U4452" s="31" t="n">
        <f aca="false">IF($B4452='設定（最初に1回）'!$C$4,N(U4451)+1,N(U4451))</f>
        <v>134</v>
      </c>
    </row>
    <row r="4453" customFormat="false" ht="15" hidden="false" customHeight="false" outlineLevel="0" collapsed="false">
      <c r="B4453" s="53"/>
      <c r="I4453" s="53"/>
      <c r="U4453" s="31" t="n">
        <f aca="false">IF($B4453='設定（最初に1回）'!$C$4,N(U4452)+1,N(U4452))</f>
        <v>134</v>
      </c>
    </row>
    <row r="4454" customFormat="false" ht="15" hidden="false" customHeight="false" outlineLevel="0" collapsed="false">
      <c r="B4454" s="53"/>
      <c r="I4454" s="53"/>
      <c r="U4454" s="31" t="n">
        <f aca="false">IF($B4454='設定（最初に1回）'!$C$4,N(U4453)+1,N(U4453))</f>
        <v>134</v>
      </c>
    </row>
    <row r="4455" customFormat="false" ht="15" hidden="false" customHeight="false" outlineLevel="0" collapsed="false">
      <c r="B4455" s="53"/>
      <c r="I4455" s="53"/>
      <c r="U4455" s="31" t="n">
        <f aca="false">IF($B4455='設定（最初に1回）'!$C$4,N(U4454)+1,N(U4454))</f>
        <v>134</v>
      </c>
    </row>
    <row r="4456" customFormat="false" ht="15" hidden="false" customHeight="false" outlineLevel="0" collapsed="false">
      <c r="B4456" s="53"/>
      <c r="I4456" s="53"/>
      <c r="U4456" s="31" t="n">
        <f aca="false">IF($B4456='設定（最初に1回）'!$C$4,N(U4455)+1,N(U4455))</f>
        <v>134</v>
      </c>
    </row>
    <row r="4457" customFormat="false" ht="15" hidden="false" customHeight="false" outlineLevel="0" collapsed="false">
      <c r="B4457" s="53"/>
      <c r="I4457" s="53"/>
      <c r="U4457" s="31" t="n">
        <f aca="false">IF($B4457='設定（最初に1回）'!$C$4,N(U4456)+1,N(U4456))</f>
        <v>134</v>
      </c>
    </row>
    <row r="4458" customFormat="false" ht="15" hidden="false" customHeight="false" outlineLevel="0" collapsed="false">
      <c r="B4458" s="53"/>
      <c r="I4458" s="53"/>
      <c r="U4458" s="31" t="n">
        <f aca="false">IF($B4458='設定（最初に1回）'!$C$4,N(U4457)+1,N(U4457))</f>
        <v>134</v>
      </c>
    </row>
    <row r="4459" customFormat="false" ht="15" hidden="false" customHeight="false" outlineLevel="0" collapsed="false">
      <c r="B4459" s="53"/>
      <c r="I4459" s="53"/>
      <c r="U4459" s="31" t="n">
        <f aca="false">IF($B4459='設定（最初に1回）'!$C$4,N(U4458)+1,N(U4458))</f>
        <v>134</v>
      </c>
    </row>
    <row r="4460" customFormat="false" ht="15" hidden="false" customHeight="false" outlineLevel="0" collapsed="false">
      <c r="B4460" s="53"/>
      <c r="I4460" s="53"/>
      <c r="U4460" s="31" t="n">
        <f aca="false">IF($B4460='設定（最初に1回）'!$C$4,N(U4459)+1,N(U4459))</f>
        <v>134</v>
      </c>
    </row>
    <row r="4461" customFormat="false" ht="15" hidden="false" customHeight="false" outlineLevel="0" collapsed="false">
      <c r="B4461" s="53"/>
      <c r="I4461" s="53"/>
      <c r="U4461" s="31" t="n">
        <f aca="false">IF($B4461='設定（最初に1回）'!$C$4,N(U4460)+1,N(U4460))</f>
        <v>134</v>
      </c>
    </row>
    <row r="4462" customFormat="false" ht="15" hidden="false" customHeight="false" outlineLevel="0" collapsed="false">
      <c r="B4462" s="53"/>
      <c r="I4462" s="53"/>
      <c r="U4462" s="31" t="n">
        <f aca="false">IF($B4462='設定（最初に1回）'!$C$4,N(U4461)+1,N(U4461))</f>
        <v>134</v>
      </c>
    </row>
    <row r="4463" customFormat="false" ht="15" hidden="false" customHeight="false" outlineLevel="0" collapsed="false">
      <c r="B4463" s="53"/>
      <c r="I4463" s="53"/>
      <c r="U4463" s="31" t="n">
        <f aca="false">IF($B4463='設定（最初に1回）'!$C$4,N(U4462)+1,N(U4462))</f>
        <v>134</v>
      </c>
    </row>
    <row r="4464" customFormat="false" ht="15" hidden="false" customHeight="false" outlineLevel="0" collapsed="false">
      <c r="B4464" s="53"/>
      <c r="I4464" s="53"/>
      <c r="U4464" s="31" t="n">
        <f aca="false">IF($B4464='設定（最初に1回）'!$C$4,N(U4463)+1,N(U4463))</f>
        <v>134</v>
      </c>
    </row>
    <row r="4465" customFormat="false" ht="15" hidden="false" customHeight="false" outlineLevel="0" collapsed="false">
      <c r="B4465" s="53"/>
      <c r="I4465" s="53"/>
      <c r="U4465" s="31" t="n">
        <f aca="false">IF($B4465='設定（最初に1回）'!$C$4,N(U4464)+1,N(U4464))</f>
        <v>134</v>
      </c>
    </row>
    <row r="4466" customFormat="false" ht="15" hidden="false" customHeight="false" outlineLevel="0" collapsed="false">
      <c r="B4466" s="53"/>
      <c r="I4466" s="53"/>
      <c r="U4466" s="31" t="n">
        <f aca="false">IF($B4466='設定（最初に1回）'!$C$4,N(U4465)+1,N(U4465))</f>
        <v>134</v>
      </c>
    </row>
    <row r="4467" customFormat="false" ht="15" hidden="false" customHeight="false" outlineLevel="0" collapsed="false">
      <c r="B4467" s="53"/>
      <c r="I4467" s="53"/>
      <c r="U4467" s="31" t="n">
        <f aca="false">IF($B4467='設定（最初に1回）'!$C$4,N(U4466)+1,N(U4466))</f>
        <v>134</v>
      </c>
    </row>
    <row r="4468" customFormat="false" ht="15" hidden="false" customHeight="false" outlineLevel="0" collapsed="false">
      <c r="B4468" s="53"/>
      <c r="I4468" s="53"/>
      <c r="U4468" s="31" t="n">
        <f aca="false">IF($B4468='設定（最初に1回）'!$C$4,N(U4467)+1,N(U4467))</f>
        <v>134</v>
      </c>
    </row>
    <row r="4469" customFormat="false" ht="15" hidden="false" customHeight="false" outlineLevel="0" collapsed="false">
      <c r="B4469" s="53"/>
      <c r="I4469" s="53"/>
      <c r="U4469" s="31" t="n">
        <f aca="false">IF($B4469='設定（最初に1回）'!$C$4,N(U4468)+1,N(U4468))</f>
        <v>134</v>
      </c>
    </row>
    <row r="4470" customFormat="false" ht="15" hidden="false" customHeight="false" outlineLevel="0" collapsed="false">
      <c r="B4470" s="53"/>
      <c r="I4470" s="53"/>
      <c r="U4470" s="31" t="n">
        <f aca="false">IF($B4470='設定（最初に1回）'!$C$4,N(U4469)+1,N(U4469))</f>
        <v>134</v>
      </c>
    </row>
    <row r="4471" customFormat="false" ht="15" hidden="false" customHeight="false" outlineLevel="0" collapsed="false">
      <c r="B4471" s="53"/>
      <c r="I4471" s="53"/>
      <c r="U4471" s="31" t="n">
        <f aca="false">IF($B4471='設定（最初に1回）'!$C$4,N(U4470)+1,N(U4470))</f>
        <v>134</v>
      </c>
    </row>
    <row r="4472" customFormat="false" ht="15" hidden="false" customHeight="false" outlineLevel="0" collapsed="false">
      <c r="B4472" s="53"/>
      <c r="I4472" s="53"/>
      <c r="U4472" s="31" t="n">
        <f aca="false">IF($B4472='設定（最初に1回）'!$C$4,N(U4471)+1,N(U4471))</f>
        <v>134</v>
      </c>
    </row>
    <row r="4473" customFormat="false" ht="15" hidden="false" customHeight="false" outlineLevel="0" collapsed="false">
      <c r="B4473" s="53"/>
      <c r="I4473" s="53"/>
      <c r="U4473" s="31" t="n">
        <f aca="false">IF($B4473='設定（最初に1回）'!$C$4,N(U4472)+1,N(U4472))</f>
        <v>134</v>
      </c>
    </row>
    <row r="4474" customFormat="false" ht="15" hidden="false" customHeight="false" outlineLevel="0" collapsed="false">
      <c r="B4474" s="53"/>
      <c r="I4474" s="53"/>
      <c r="U4474" s="31" t="n">
        <f aca="false">IF($B4474='設定（最初に1回）'!$C$4,N(U4473)+1,N(U4473))</f>
        <v>134</v>
      </c>
    </row>
    <row r="4475" customFormat="false" ht="15" hidden="false" customHeight="false" outlineLevel="0" collapsed="false">
      <c r="B4475" s="53"/>
      <c r="I4475" s="53"/>
      <c r="U4475" s="31" t="n">
        <f aca="false">IF($B4475='設定（最初に1回）'!$C$4,N(U4474)+1,N(U4474))</f>
        <v>134</v>
      </c>
    </row>
    <row r="4476" customFormat="false" ht="15" hidden="false" customHeight="false" outlineLevel="0" collapsed="false">
      <c r="B4476" s="53"/>
      <c r="I4476" s="53"/>
      <c r="U4476" s="31" t="n">
        <f aca="false">IF($B4476='設定（最初に1回）'!$C$4,N(U4475)+1,N(U4475))</f>
        <v>134</v>
      </c>
    </row>
    <row r="4477" customFormat="false" ht="15" hidden="false" customHeight="false" outlineLevel="0" collapsed="false">
      <c r="B4477" s="53"/>
      <c r="I4477" s="53"/>
      <c r="U4477" s="31" t="n">
        <f aca="false">IF($B4477='設定（最初に1回）'!$C$4,N(U4476)+1,N(U4476))</f>
        <v>134</v>
      </c>
    </row>
    <row r="4478" customFormat="false" ht="15" hidden="false" customHeight="false" outlineLevel="0" collapsed="false">
      <c r="B4478" s="53"/>
      <c r="I4478" s="53"/>
      <c r="U4478" s="31" t="n">
        <f aca="false">IF($B4478='設定（最初に1回）'!$C$4,N(U4477)+1,N(U4477))</f>
        <v>134</v>
      </c>
    </row>
    <row r="4479" customFormat="false" ht="15" hidden="false" customHeight="false" outlineLevel="0" collapsed="false">
      <c r="B4479" s="53"/>
      <c r="I4479" s="53"/>
      <c r="U4479" s="31" t="n">
        <f aca="false">IF($B4479='設定（最初に1回）'!$C$4,N(U4478)+1,N(U4478))</f>
        <v>134</v>
      </c>
    </row>
    <row r="4480" customFormat="false" ht="15" hidden="false" customHeight="false" outlineLevel="0" collapsed="false">
      <c r="B4480" s="53"/>
      <c r="I4480" s="53"/>
      <c r="U4480" s="31" t="n">
        <f aca="false">IF($B4480='設定（最初に1回）'!$C$4,N(U4479)+1,N(U4479))</f>
        <v>134</v>
      </c>
    </row>
    <row r="4481" customFormat="false" ht="15" hidden="false" customHeight="false" outlineLevel="0" collapsed="false">
      <c r="B4481" s="53"/>
      <c r="I4481" s="53"/>
      <c r="U4481" s="31" t="n">
        <f aca="false">IF($B4481='設定（最初に1回）'!$C$4,N(U4480)+1,N(U4480))</f>
        <v>134</v>
      </c>
    </row>
    <row r="4482" customFormat="false" ht="15" hidden="false" customHeight="false" outlineLevel="0" collapsed="false">
      <c r="B4482" s="53"/>
      <c r="I4482" s="53"/>
      <c r="U4482" s="31" t="n">
        <f aca="false">IF($B4482='設定（最初に1回）'!$C$4,N(U4481)+1,N(U4481))</f>
        <v>134</v>
      </c>
    </row>
    <row r="4483" customFormat="false" ht="15" hidden="false" customHeight="false" outlineLevel="0" collapsed="false">
      <c r="B4483" s="53"/>
      <c r="I4483" s="53"/>
      <c r="U4483" s="31" t="n">
        <f aca="false">IF($B4483='設定（最初に1回）'!$C$4,N(U4482)+1,N(U4482))</f>
        <v>134</v>
      </c>
    </row>
    <row r="4484" customFormat="false" ht="15" hidden="false" customHeight="false" outlineLevel="0" collapsed="false">
      <c r="B4484" s="53"/>
      <c r="I4484" s="53"/>
      <c r="U4484" s="31" t="n">
        <f aca="false">IF($B4484='設定（最初に1回）'!$C$4,N(U4483)+1,N(U4483))</f>
        <v>134</v>
      </c>
    </row>
    <row r="4485" customFormat="false" ht="15" hidden="false" customHeight="false" outlineLevel="0" collapsed="false">
      <c r="B4485" s="53"/>
      <c r="I4485" s="53"/>
      <c r="U4485" s="31" t="n">
        <f aca="false">IF($B4485='設定（最初に1回）'!$C$4,N(U4484)+1,N(U4484))</f>
        <v>134</v>
      </c>
    </row>
    <row r="4486" customFormat="false" ht="15" hidden="false" customHeight="false" outlineLevel="0" collapsed="false">
      <c r="B4486" s="53"/>
      <c r="I4486" s="53"/>
      <c r="U4486" s="31" t="n">
        <f aca="false">IF($B4486='設定（最初に1回）'!$C$4,N(U4485)+1,N(U4485))</f>
        <v>134</v>
      </c>
    </row>
    <row r="4487" customFormat="false" ht="15" hidden="false" customHeight="false" outlineLevel="0" collapsed="false">
      <c r="B4487" s="53"/>
      <c r="I4487" s="53"/>
      <c r="U4487" s="31" t="n">
        <f aca="false">IF($B4487='設定（最初に1回）'!$C$4,N(U4486)+1,N(U4486))</f>
        <v>134</v>
      </c>
    </row>
    <row r="4488" customFormat="false" ht="15" hidden="false" customHeight="false" outlineLevel="0" collapsed="false">
      <c r="B4488" s="53"/>
      <c r="I4488" s="53"/>
      <c r="U4488" s="31" t="n">
        <f aca="false">IF($B4488='設定（最初に1回）'!$C$4,N(U4487)+1,N(U4487))</f>
        <v>134</v>
      </c>
    </row>
    <row r="4489" customFormat="false" ht="15" hidden="false" customHeight="false" outlineLevel="0" collapsed="false">
      <c r="B4489" s="53"/>
      <c r="I4489" s="53"/>
      <c r="U4489" s="31" t="n">
        <f aca="false">IF($B4489='設定（最初に1回）'!$C$4,N(U4488)+1,N(U4488))</f>
        <v>134</v>
      </c>
    </row>
    <row r="4490" customFormat="false" ht="15" hidden="false" customHeight="false" outlineLevel="0" collapsed="false">
      <c r="B4490" s="53"/>
      <c r="I4490" s="53"/>
      <c r="U4490" s="31" t="n">
        <f aca="false">IF($B4490='設定（最初に1回）'!$C$4,N(U4489)+1,N(U4489))</f>
        <v>134</v>
      </c>
    </row>
    <row r="4491" customFormat="false" ht="15" hidden="false" customHeight="false" outlineLevel="0" collapsed="false">
      <c r="B4491" s="53"/>
      <c r="I4491" s="53"/>
      <c r="U4491" s="31" t="n">
        <f aca="false">IF($B4491='設定（最初に1回）'!$C$4,N(U4490)+1,N(U4490))</f>
        <v>134</v>
      </c>
    </row>
    <row r="4492" customFormat="false" ht="15" hidden="false" customHeight="false" outlineLevel="0" collapsed="false">
      <c r="B4492" s="53"/>
      <c r="I4492" s="53"/>
      <c r="U4492" s="31" t="n">
        <f aca="false">IF($B4492='設定（最初に1回）'!$C$4,N(U4491)+1,N(U4491))</f>
        <v>134</v>
      </c>
    </row>
    <row r="4493" customFormat="false" ht="15" hidden="false" customHeight="false" outlineLevel="0" collapsed="false">
      <c r="B4493" s="53"/>
      <c r="I4493" s="53"/>
      <c r="U4493" s="31" t="n">
        <f aca="false">IF($B4493='設定（最初に1回）'!$C$4,N(U4492)+1,N(U4492))</f>
        <v>134</v>
      </c>
    </row>
    <row r="4494" customFormat="false" ht="15" hidden="false" customHeight="false" outlineLevel="0" collapsed="false">
      <c r="B4494" s="53"/>
      <c r="I4494" s="53"/>
      <c r="U4494" s="31" t="n">
        <f aca="false">IF($B4494='設定（最初に1回）'!$C$4,N(U4493)+1,N(U4493))</f>
        <v>134</v>
      </c>
    </row>
    <row r="4495" customFormat="false" ht="15" hidden="false" customHeight="false" outlineLevel="0" collapsed="false">
      <c r="B4495" s="53"/>
      <c r="I4495" s="53"/>
      <c r="U4495" s="31" t="n">
        <f aca="false">IF($B4495='設定（最初に1回）'!$C$4,N(U4494)+1,N(U4494))</f>
        <v>134</v>
      </c>
    </row>
    <row r="4496" customFormat="false" ht="15" hidden="false" customHeight="false" outlineLevel="0" collapsed="false">
      <c r="B4496" s="53"/>
      <c r="I4496" s="53"/>
      <c r="U4496" s="31" t="n">
        <f aca="false">IF($B4496='設定（最初に1回）'!$C$4,N(U4495)+1,N(U4495))</f>
        <v>134</v>
      </c>
    </row>
    <row r="4497" customFormat="false" ht="15" hidden="false" customHeight="false" outlineLevel="0" collapsed="false">
      <c r="B4497" s="53"/>
      <c r="I4497" s="53"/>
      <c r="U4497" s="31" t="n">
        <f aca="false">IF($B4497='設定（最初に1回）'!$C$4,N(U4496)+1,N(U4496))</f>
        <v>134</v>
      </c>
    </row>
    <row r="4498" customFormat="false" ht="15" hidden="false" customHeight="false" outlineLevel="0" collapsed="false">
      <c r="B4498" s="53"/>
      <c r="I4498" s="53"/>
      <c r="U4498" s="31" t="n">
        <f aca="false">IF($B4498='設定（最初に1回）'!$C$4,N(U4497)+1,N(U4497))</f>
        <v>134</v>
      </c>
    </row>
    <row r="4499" customFormat="false" ht="15" hidden="false" customHeight="false" outlineLevel="0" collapsed="false">
      <c r="B4499" s="53"/>
      <c r="I4499" s="53"/>
      <c r="U4499" s="31" t="n">
        <f aca="false">IF($B4499='設定（最初に1回）'!$C$4,N(U4498)+1,N(U4498))</f>
        <v>134</v>
      </c>
    </row>
    <row r="4500" customFormat="false" ht="15" hidden="false" customHeight="false" outlineLevel="0" collapsed="false">
      <c r="B4500" s="53"/>
      <c r="I4500" s="53"/>
      <c r="U4500" s="31" t="n">
        <f aca="false">IF($B4500='設定（最初に1回）'!$C$4,N(U4499)+1,N(U4499))</f>
        <v>134</v>
      </c>
    </row>
    <row r="4501" customFormat="false" ht="15" hidden="false" customHeight="false" outlineLevel="0" collapsed="false">
      <c r="B4501" s="53"/>
      <c r="I4501" s="53"/>
      <c r="U4501" s="31" t="n">
        <f aca="false">IF($B4501='設定（最初に1回）'!$C$4,N(U4500)+1,N(U4500))</f>
        <v>134</v>
      </c>
    </row>
    <row r="4502" customFormat="false" ht="15" hidden="false" customHeight="false" outlineLevel="0" collapsed="false">
      <c r="B4502" s="53"/>
      <c r="I4502" s="53"/>
      <c r="U4502" s="31" t="n">
        <f aca="false">IF($B4502='設定（最初に1回）'!$C$4,N(U4501)+1,N(U4501))</f>
        <v>134</v>
      </c>
    </row>
    <row r="4503" customFormat="false" ht="15" hidden="false" customHeight="false" outlineLevel="0" collapsed="false">
      <c r="B4503" s="53"/>
      <c r="I4503" s="53"/>
      <c r="U4503" s="31" t="n">
        <f aca="false">IF($B4503='設定（最初に1回）'!$C$4,N(U4502)+1,N(U4502))</f>
        <v>134</v>
      </c>
    </row>
    <row r="4504" customFormat="false" ht="15" hidden="false" customHeight="false" outlineLevel="0" collapsed="false">
      <c r="B4504" s="53"/>
      <c r="I4504" s="53"/>
      <c r="U4504" s="31" t="n">
        <f aca="false">IF($B4504='設定（最初に1回）'!$C$4,N(U4503)+1,N(U4503))</f>
        <v>134</v>
      </c>
    </row>
    <row r="4505" customFormat="false" ht="15" hidden="false" customHeight="false" outlineLevel="0" collapsed="false">
      <c r="B4505" s="53"/>
      <c r="I4505" s="53"/>
      <c r="U4505" s="31" t="n">
        <f aca="false">IF($B4505='設定（最初に1回）'!$C$4,N(U4504)+1,N(U4504))</f>
        <v>134</v>
      </c>
    </row>
    <row r="4506" customFormat="false" ht="15" hidden="false" customHeight="false" outlineLevel="0" collapsed="false">
      <c r="B4506" s="53"/>
      <c r="I4506" s="53"/>
      <c r="U4506" s="31" t="n">
        <f aca="false">IF($B4506='設定（最初に1回）'!$C$4,N(U4505)+1,N(U4505))</f>
        <v>134</v>
      </c>
    </row>
    <row r="4507" customFormat="false" ht="15" hidden="false" customHeight="false" outlineLevel="0" collapsed="false">
      <c r="B4507" s="53"/>
      <c r="I4507" s="53"/>
      <c r="U4507" s="31" t="n">
        <f aca="false">IF($B4507='設定（最初に1回）'!$C$4,N(U4506)+1,N(U4506))</f>
        <v>134</v>
      </c>
    </row>
    <row r="4508" customFormat="false" ht="15" hidden="false" customHeight="false" outlineLevel="0" collapsed="false">
      <c r="B4508" s="53"/>
      <c r="I4508" s="53"/>
      <c r="U4508" s="31" t="n">
        <f aca="false">IF($B4508='設定（最初に1回）'!$C$4,N(U4507)+1,N(U4507))</f>
        <v>134</v>
      </c>
    </row>
    <row r="4509" customFormat="false" ht="15" hidden="false" customHeight="false" outlineLevel="0" collapsed="false">
      <c r="B4509" s="53"/>
      <c r="I4509" s="53"/>
      <c r="U4509" s="31" t="n">
        <f aca="false">IF($B4509='設定（最初に1回）'!$C$4,N(U4508)+1,N(U4508))</f>
        <v>134</v>
      </c>
    </row>
    <row r="4510" customFormat="false" ht="15" hidden="false" customHeight="false" outlineLevel="0" collapsed="false">
      <c r="B4510" s="53"/>
      <c r="I4510" s="53"/>
      <c r="U4510" s="31" t="n">
        <f aca="false">IF($B4510='設定（最初に1回）'!$C$4,N(U4509)+1,N(U4509))</f>
        <v>134</v>
      </c>
    </row>
    <row r="4511" customFormat="false" ht="15" hidden="false" customHeight="false" outlineLevel="0" collapsed="false">
      <c r="B4511" s="53"/>
      <c r="I4511" s="53"/>
      <c r="U4511" s="31" t="n">
        <f aca="false">IF($B4511='設定（最初に1回）'!$C$4,N(U4510)+1,N(U4510))</f>
        <v>134</v>
      </c>
    </row>
    <row r="4512" customFormat="false" ht="15" hidden="false" customHeight="false" outlineLevel="0" collapsed="false">
      <c r="B4512" s="53"/>
      <c r="I4512" s="53"/>
      <c r="U4512" s="31" t="n">
        <f aca="false">IF($B4512='設定（最初に1回）'!$C$4,N(U4511)+1,N(U4511))</f>
        <v>134</v>
      </c>
    </row>
    <row r="4513" customFormat="false" ht="15" hidden="false" customHeight="false" outlineLevel="0" collapsed="false">
      <c r="B4513" s="53"/>
      <c r="I4513" s="53"/>
      <c r="U4513" s="31" t="n">
        <f aca="false">IF($B4513='設定（最初に1回）'!$C$4,N(U4512)+1,N(U4512))</f>
        <v>134</v>
      </c>
    </row>
    <row r="4514" customFormat="false" ht="15" hidden="false" customHeight="false" outlineLevel="0" collapsed="false">
      <c r="B4514" s="53"/>
      <c r="I4514" s="53"/>
      <c r="U4514" s="31" t="n">
        <f aca="false">IF($B4514='設定（最初に1回）'!$C$4,N(U4513)+1,N(U4513))</f>
        <v>134</v>
      </c>
    </row>
    <row r="4515" customFormat="false" ht="15" hidden="false" customHeight="false" outlineLevel="0" collapsed="false">
      <c r="B4515" s="53"/>
      <c r="I4515" s="53"/>
      <c r="U4515" s="31" t="n">
        <f aca="false">IF($B4515='設定（最初に1回）'!$C$4,N(U4514)+1,N(U4514))</f>
        <v>134</v>
      </c>
    </row>
    <row r="4516" customFormat="false" ht="15" hidden="false" customHeight="false" outlineLevel="0" collapsed="false">
      <c r="B4516" s="53"/>
      <c r="I4516" s="53"/>
      <c r="U4516" s="31" t="n">
        <f aca="false">IF($B4516='設定（最初に1回）'!$C$4,N(U4515)+1,N(U4515))</f>
        <v>134</v>
      </c>
    </row>
    <row r="4517" customFormat="false" ht="15" hidden="false" customHeight="false" outlineLevel="0" collapsed="false">
      <c r="B4517" s="53"/>
      <c r="I4517" s="53"/>
      <c r="U4517" s="31" t="n">
        <f aca="false">IF($B4517='設定（最初に1回）'!$C$4,N(U4516)+1,N(U4516))</f>
        <v>134</v>
      </c>
    </row>
    <row r="4518" customFormat="false" ht="15" hidden="false" customHeight="false" outlineLevel="0" collapsed="false">
      <c r="B4518" s="53"/>
      <c r="I4518" s="53"/>
      <c r="U4518" s="31" t="n">
        <f aca="false">IF($B4518='設定（最初に1回）'!$C$4,N(U4517)+1,N(U4517))</f>
        <v>134</v>
      </c>
    </row>
    <row r="4519" customFormat="false" ht="15" hidden="false" customHeight="false" outlineLevel="0" collapsed="false">
      <c r="B4519" s="53"/>
      <c r="I4519" s="53"/>
      <c r="U4519" s="31" t="n">
        <f aca="false">IF($B4519='設定（最初に1回）'!$C$4,N(U4518)+1,N(U4518))</f>
        <v>134</v>
      </c>
    </row>
    <row r="4520" customFormat="false" ht="15" hidden="false" customHeight="false" outlineLevel="0" collapsed="false">
      <c r="B4520" s="53"/>
      <c r="I4520" s="53"/>
      <c r="U4520" s="31" t="n">
        <f aca="false">IF($B4520='設定（最初に1回）'!$C$4,N(U4519)+1,N(U4519))</f>
        <v>134</v>
      </c>
    </row>
    <row r="4521" customFormat="false" ht="15" hidden="false" customHeight="false" outlineLevel="0" collapsed="false">
      <c r="B4521" s="53"/>
      <c r="I4521" s="53"/>
      <c r="U4521" s="31" t="n">
        <f aca="false">IF($B4521='設定（最初に1回）'!$C$4,N(U4520)+1,N(U4520))</f>
        <v>134</v>
      </c>
    </row>
    <row r="4522" customFormat="false" ht="15" hidden="false" customHeight="false" outlineLevel="0" collapsed="false">
      <c r="B4522" s="53"/>
      <c r="I4522" s="53"/>
      <c r="U4522" s="31" t="n">
        <f aca="false">IF($B4522='設定（最初に1回）'!$C$4,N(U4521)+1,N(U4521))</f>
        <v>134</v>
      </c>
    </row>
    <row r="4523" customFormat="false" ht="15" hidden="false" customHeight="false" outlineLevel="0" collapsed="false">
      <c r="B4523" s="53"/>
      <c r="I4523" s="53"/>
      <c r="U4523" s="31" t="n">
        <f aca="false">IF($B4523='設定（最初に1回）'!$C$4,N(U4522)+1,N(U4522))</f>
        <v>134</v>
      </c>
    </row>
    <row r="4524" customFormat="false" ht="15" hidden="false" customHeight="false" outlineLevel="0" collapsed="false">
      <c r="B4524" s="53"/>
      <c r="I4524" s="53"/>
      <c r="U4524" s="31" t="n">
        <f aca="false">IF($B4524='設定（最初に1回）'!$C$4,N(U4523)+1,N(U4523))</f>
        <v>134</v>
      </c>
    </row>
    <row r="4525" customFormat="false" ht="15" hidden="false" customHeight="false" outlineLevel="0" collapsed="false">
      <c r="B4525" s="53"/>
      <c r="I4525" s="53"/>
      <c r="U4525" s="31" t="n">
        <f aca="false">IF($B4525='設定（最初に1回）'!$C$4,N(U4524)+1,N(U4524))</f>
        <v>134</v>
      </c>
    </row>
    <row r="4526" customFormat="false" ht="15" hidden="false" customHeight="false" outlineLevel="0" collapsed="false">
      <c r="B4526" s="53"/>
      <c r="I4526" s="53"/>
      <c r="U4526" s="31" t="n">
        <f aca="false">IF($B4526='設定（最初に1回）'!$C$4,N(U4525)+1,N(U4525))</f>
        <v>134</v>
      </c>
    </row>
    <row r="4527" customFormat="false" ht="15" hidden="false" customHeight="false" outlineLevel="0" collapsed="false">
      <c r="B4527" s="53"/>
      <c r="I4527" s="53"/>
      <c r="U4527" s="31" t="n">
        <f aca="false">IF($B4527='設定（最初に1回）'!$C$4,N(U4526)+1,N(U4526))</f>
        <v>134</v>
      </c>
    </row>
    <row r="4528" customFormat="false" ht="15" hidden="false" customHeight="false" outlineLevel="0" collapsed="false">
      <c r="B4528" s="53"/>
      <c r="I4528" s="53"/>
      <c r="U4528" s="31" t="n">
        <f aca="false">IF($B4528='設定（最初に1回）'!$C$4,N(U4527)+1,N(U4527))</f>
        <v>134</v>
      </c>
    </row>
    <row r="4529" customFormat="false" ht="15" hidden="false" customHeight="false" outlineLevel="0" collapsed="false">
      <c r="B4529" s="53"/>
      <c r="I4529" s="53"/>
      <c r="U4529" s="31" t="n">
        <f aca="false">IF($B4529='設定（最初に1回）'!$C$4,N(U4528)+1,N(U4528))</f>
        <v>134</v>
      </c>
    </row>
    <row r="4530" customFormat="false" ht="15" hidden="false" customHeight="false" outlineLevel="0" collapsed="false">
      <c r="B4530" s="53"/>
      <c r="I4530" s="53"/>
      <c r="U4530" s="31" t="n">
        <f aca="false">IF($B4530='設定（最初に1回）'!$C$4,N(U4529)+1,N(U4529))</f>
        <v>134</v>
      </c>
    </row>
    <row r="4531" customFormat="false" ht="15" hidden="false" customHeight="false" outlineLevel="0" collapsed="false">
      <c r="B4531" s="53"/>
      <c r="I4531" s="53"/>
      <c r="U4531" s="31" t="n">
        <f aca="false">IF($B4531='設定（最初に1回）'!$C$4,N(U4530)+1,N(U4530))</f>
        <v>134</v>
      </c>
    </row>
    <row r="4532" customFormat="false" ht="15" hidden="false" customHeight="false" outlineLevel="0" collapsed="false">
      <c r="B4532" s="53"/>
      <c r="I4532" s="53"/>
      <c r="U4532" s="31" t="n">
        <f aca="false">IF($B4532='設定（最初に1回）'!$C$4,N(U4531)+1,N(U4531))</f>
        <v>134</v>
      </c>
    </row>
    <row r="4533" customFormat="false" ht="15" hidden="false" customHeight="false" outlineLevel="0" collapsed="false">
      <c r="B4533" s="53"/>
      <c r="I4533" s="53"/>
      <c r="U4533" s="31" t="n">
        <f aca="false">IF($B4533='設定（最初に1回）'!$C$4,N(U4532)+1,N(U4532))</f>
        <v>134</v>
      </c>
    </row>
    <row r="4534" customFormat="false" ht="15" hidden="false" customHeight="false" outlineLevel="0" collapsed="false">
      <c r="B4534" s="53"/>
      <c r="I4534" s="53"/>
      <c r="U4534" s="31" t="n">
        <f aca="false">IF($B4534='設定（最初に1回）'!$C$4,N(U4533)+1,N(U4533))</f>
        <v>134</v>
      </c>
    </row>
    <row r="4535" customFormat="false" ht="15" hidden="false" customHeight="false" outlineLevel="0" collapsed="false">
      <c r="B4535" s="53"/>
      <c r="I4535" s="53"/>
      <c r="U4535" s="31" t="n">
        <f aca="false">IF($B4535='設定（最初に1回）'!$C$4,N(U4534)+1,N(U4534))</f>
        <v>134</v>
      </c>
    </row>
    <row r="4536" customFormat="false" ht="15" hidden="false" customHeight="false" outlineLevel="0" collapsed="false">
      <c r="B4536" s="53"/>
      <c r="I4536" s="53"/>
      <c r="U4536" s="31" t="n">
        <f aca="false">IF($B4536='設定（最初に1回）'!$C$4,N(U4535)+1,N(U4535))</f>
        <v>134</v>
      </c>
    </row>
    <row r="4537" customFormat="false" ht="15" hidden="false" customHeight="false" outlineLevel="0" collapsed="false">
      <c r="B4537" s="53"/>
      <c r="I4537" s="53"/>
      <c r="U4537" s="31" t="n">
        <f aca="false">IF($B4537='設定（最初に1回）'!$C$4,N(U4536)+1,N(U4536))</f>
        <v>134</v>
      </c>
    </row>
    <row r="4538" customFormat="false" ht="15" hidden="false" customHeight="false" outlineLevel="0" collapsed="false">
      <c r="B4538" s="53"/>
      <c r="I4538" s="53"/>
      <c r="U4538" s="31" t="n">
        <f aca="false">IF($B4538='設定（最初に1回）'!$C$4,N(U4537)+1,N(U4537))</f>
        <v>134</v>
      </c>
    </row>
    <row r="4539" customFormat="false" ht="15" hidden="false" customHeight="false" outlineLevel="0" collapsed="false">
      <c r="B4539" s="53"/>
      <c r="I4539" s="53"/>
      <c r="U4539" s="31" t="n">
        <f aca="false">IF($B4539='設定（最初に1回）'!$C$4,N(U4538)+1,N(U4538))</f>
        <v>134</v>
      </c>
    </row>
    <row r="4540" customFormat="false" ht="15" hidden="false" customHeight="false" outlineLevel="0" collapsed="false">
      <c r="B4540" s="53"/>
      <c r="I4540" s="53"/>
      <c r="U4540" s="31" t="n">
        <f aca="false">IF($B4540='設定（最初に1回）'!$C$4,N(U4539)+1,N(U4539))</f>
        <v>134</v>
      </c>
    </row>
    <row r="4541" customFormat="false" ht="15" hidden="false" customHeight="false" outlineLevel="0" collapsed="false">
      <c r="B4541" s="53"/>
      <c r="I4541" s="53"/>
      <c r="U4541" s="31" t="n">
        <f aca="false">IF($B4541='設定（最初に1回）'!$C$4,N(U4540)+1,N(U4540))</f>
        <v>134</v>
      </c>
    </row>
    <row r="4542" customFormat="false" ht="15" hidden="false" customHeight="false" outlineLevel="0" collapsed="false">
      <c r="B4542" s="53"/>
      <c r="I4542" s="53"/>
      <c r="U4542" s="31" t="n">
        <f aca="false">IF($B4542='設定（最初に1回）'!$C$4,N(U4541)+1,N(U4541))</f>
        <v>134</v>
      </c>
    </row>
    <row r="4543" customFormat="false" ht="15" hidden="false" customHeight="false" outlineLevel="0" collapsed="false">
      <c r="B4543" s="53"/>
      <c r="I4543" s="53"/>
      <c r="U4543" s="31" t="n">
        <f aca="false">IF($B4543='設定（最初に1回）'!$C$4,N(U4542)+1,N(U4542))</f>
        <v>134</v>
      </c>
    </row>
    <row r="4544" customFormat="false" ht="15" hidden="false" customHeight="false" outlineLevel="0" collapsed="false">
      <c r="B4544" s="53"/>
      <c r="I4544" s="53"/>
      <c r="U4544" s="31" t="n">
        <f aca="false">IF($B4544='設定（最初に1回）'!$C$4,N(U4543)+1,N(U4543))</f>
        <v>134</v>
      </c>
    </row>
    <row r="4545" customFormat="false" ht="15" hidden="false" customHeight="false" outlineLevel="0" collapsed="false">
      <c r="B4545" s="53"/>
      <c r="I4545" s="53"/>
      <c r="U4545" s="31" t="n">
        <f aca="false">IF($B4545='設定（最初に1回）'!$C$4,N(U4544)+1,N(U4544))</f>
        <v>134</v>
      </c>
    </row>
    <row r="4546" customFormat="false" ht="15" hidden="false" customHeight="false" outlineLevel="0" collapsed="false">
      <c r="B4546" s="53"/>
      <c r="I4546" s="53"/>
      <c r="U4546" s="31" t="n">
        <f aca="false">IF($B4546='設定（最初に1回）'!$C$4,N(U4545)+1,N(U4545))</f>
        <v>134</v>
      </c>
    </row>
    <row r="4547" customFormat="false" ht="15" hidden="false" customHeight="false" outlineLevel="0" collapsed="false">
      <c r="B4547" s="53"/>
      <c r="I4547" s="53"/>
      <c r="U4547" s="31" t="n">
        <f aca="false">IF($B4547='設定（最初に1回）'!$C$4,N(U4546)+1,N(U4546))</f>
        <v>134</v>
      </c>
    </row>
    <row r="4548" customFormat="false" ht="15" hidden="false" customHeight="false" outlineLevel="0" collapsed="false">
      <c r="B4548" s="53"/>
      <c r="I4548" s="53"/>
      <c r="U4548" s="31" t="n">
        <f aca="false">IF($B4548='設定（最初に1回）'!$C$4,N(U4547)+1,N(U4547))</f>
        <v>134</v>
      </c>
    </row>
    <row r="4549" customFormat="false" ht="15" hidden="false" customHeight="false" outlineLevel="0" collapsed="false">
      <c r="B4549" s="53"/>
      <c r="I4549" s="53"/>
      <c r="U4549" s="31" t="n">
        <f aca="false">IF($B4549='設定（最初に1回）'!$C$4,N(U4548)+1,N(U4548))</f>
        <v>134</v>
      </c>
    </row>
    <row r="4550" customFormat="false" ht="15" hidden="false" customHeight="false" outlineLevel="0" collapsed="false">
      <c r="B4550" s="53"/>
      <c r="I4550" s="53"/>
      <c r="U4550" s="31" t="n">
        <f aca="false">IF($B4550='設定（最初に1回）'!$C$4,N(U4549)+1,N(U4549))</f>
        <v>134</v>
      </c>
    </row>
    <row r="4551" customFormat="false" ht="15" hidden="false" customHeight="false" outlineLevel="0" collapsed="false">
      <c r="B4551" s="53"/>
      <c r="I4551" s="53"/>
      <c r="U4551" s="31" t="n">
        <f aca="false">IF($B4551='設定（最初に1回）'!$C$4,N(U4550)+1,N(U4550))</f>
        <v>134</v>
      </c>
    </row>
    <row r="4552" customFormat="false" ht="15" hidden="false" customHeight="false" outlineLevel="0" collapsed="false">
      <c r="B4552" s="53"/>
      <c r="I4552" s="53"/>
      <c r="U4552" s="31" t="n">
        <f aca="false">IF($B4552='設定（最初に1回）'!$C$4,N(U4551)+1,N(U4551))</f>
        <v>134</v>
      </c>
    </row>
    <row r="4553" customFormat="false" ht="15" hidden="false" customHeight="false" outlineLevel="0" collapsed="false">
      <c r="B4553" s="53"/>
      <c r="I4553" s="53"/>
      <c r="U4553" s="31" t="n">
        <f aca="false">IF($B4553='設定（最初に1回）'!$C$4,N(U4552)+1,N(U4552))</f>
        <v>134</v>
      </c>
    </row>
    <row r="4554" customFormat="false" ht="15" hidden="false" customHeight="false" outlineLevel="0" collapsed="false">
      <c r="B4554" s="53"/>
      <c r="I4554" s="53"/>
      <c r="U4554" s="31" t="n">
        <f aca="false">IF($B4554='設定（最初に1回）'!$C$4,N(U4553)+1,N(U4553))</f>
        <v>134</v>
      </c>
    </row>
    <row r="4555" customFormat="false" ht="15" hidden="false" customHeight="false" outlineLevel="0" collapsed="false">
      <c r="B4555" s="53"/>
      <c r="I4555" s="53"/>
      <c r="U4555" s="31" t="n">
        <f aca="false">IF($B4555='設定（最初に1回）'!$C$4,N(U4554)+1,N(U4554))</f>
        <v>134</v>
      </c>
    </row>
    <row r="4556" customFormat="false" ht="15" hidden="false" customHeight="false" outlineLevel="0" collapsed="false">
      <c r="B4556" s="53"/>
      <c r="I4556" s="53"/>
      <c r="U4556" s="31" t="n">
        <f aca="false">IF($B4556='設定（最初に1回）'!$C$4,N(U4555)+1,N(U4555))</f>
        <v>134</v>
      </c>
    </row>
    <row r="4557" customFormat="false" ht="15" hidden="false" customHeight="false" outlineLevel="0" collapsed="false">
      <c r="B4557" s="53"/>
      <c r="I4557" s="53"/>
      <c r="U4557" s="31" t="n">
        <f aca="false">IF($B4557='設定（最初に1回）'!$C$4,N(U4556)+1,N(U4556))</f>
        <v>134</v>
      </c>
    </row>
    <row r="4558" customFormat="false" ht="15" hidden="false" customHeight="false" outlineLevel="0" collapsed="false">
      <c r="B4558" s="53"/>
      <c r="I4558" s="53"/>
      <c r="U4558" s="31" t="n">
        <f aca="false">IF($B4558='設定（最初に1回）'!$C$4,N(U4557)+1,N(U4557))</f>
        <v>134</v>
      </c>
    </row>
    <row r="4559" customFormat="false" ht="15" hidden="false" customHeight="false" outlineLevel="0" collapsed="false">
      <c r="B4559" s="53"/>
      <c r="I4559" s="53"/>
      <c r="U4559" s="31" t="n">
        <f aca="false">IF($B4559='設定（最初に1回）'!$C$4,N(U4558)+1,N(U4558))</f>
        <v>134</v>
      </c>
    </row>
    <row r="4560" customFormat="false" ht="15" hidden="false" customHeight="false" outlineLevel="0" collapsed="false">
      <c r="B4560" s="53"/>
      <c r="I4560" s="53"/>
      <c r="U4560" s="31" t="n">
        <f aca="false">IF($B4560='設定（最初に1回）'!$C$4,N(U4559)+1,N(U4559))</f>
        <v>134</v>
      </c>
    </row>
    <row r="4561" customFormat="false" ht="15" hidden="false" customHeight="false" outlineLevel="0" collapsed="false">
      <c r="B4561" s="53"/>
      <c r="I4561" s="53"/>
      <c r="U4561" s="31" t="n">
        <f aca="false">IF($B4561='設定（最初に1回）'!$C$4,N(U4560)+1,N(U4560))</f>
        <v>134</v>
      </c>
    </row>
    <row r="4562" customFormat="false" ht="15" hidden="false" customHeight="false" outlineLevel="0" collapsed="false">
      <c r="B4562" s="53"/>
      <c r="I4562" s="53"/>
      <c r="U4562" s="31" t="n">
        <f aca="false">IF($B4562='設定（最初に1回）'!$C$4,N(U4561)+1,N(U4561))</f>
        <v>134</v>
      </c>
    </row>
    <row r="4563" customFormat="false" ht="15" hidden="false" customHeight="false" outlineLevel="0" collapsed="false">
      <c r="B4563" s="53"/>
      <c r="I4563" s="53"/>
      <c r="U4563" s="31" t="n">
        <f aca="false">IF($B4563='設定（最初に1回）'!$C$4,N(U4562)+1,N(U4562))</f>
        <v>134</v>
      </c>
    </row>
    <row r="4564" customFormat="false" ht="15" hidden="false" customHeight="false" outlineLevel="0" collapsed="false">
      <c r="B4564" s="53"/>
      <c r="I4564" s="53"/>
      <c r="U4564" s="31" t="n">
        <f aca="false">IF($B4564='設定（最初に1回）'!$C$4,N(U4563)+1,N(U4563))</f>
        <v>134</v>
      </c>
    </row>
    <row r="4565" customFormat="false" ht="15" hidden="false" customHeight="false" outlineLevel="0" collapsed="false">
      <c r="B4565" s="53"/>
      <c r="I4565" s="53"/>
      <c r="U4565" s="31" t="n">
        <f aca="false">IF($B4565='設定（最初に1回）'!$C$4,N(U4564)+1,N(U4564))</f>
        <v>134</v>
      </c>
    </row>
    <row r="4566" customFormat="false" ht="15" hidden="false" customHeight="false" outlineLevel="0" collapsed="false">
      <c r="B4566" s="53"/>
      <c r="I4566" s="53"/>
      <c r="U4566" s="31" t="n">
        <f aca="false">IF($B4566='設定（最初に1回）'!$C$4,N(U4565)+1,N(U4565))</f>
        <v>134</v>
      </c>
    </row>
    <row r="4567" customFormat="false" ht="15" hidden="false" customHeight="false" outlineLevel="0" collapsed="false">
      <c r="B4567" s="53"/>
      <c r="I4567" s="53"/>
      <c r="U4567" s="31" t="n">
        <f aca="false">IF($B4567='設定（最初に1回）'!$C$4,N(U4566)+1,N(U4566))</f>
        <v>134</v>
      </c>
    </row>
    <row r="4568" customFormat="false" ht="15" hidden="false" customHeight="false" outlineLevel="0" collapsed="false">
      <c r="B4568" s="53"/>
      <c r="I4568" s="53"/>
      <c r="U4568" s="31" t="n">
        <f aca="false">IF($B4568='設定（最初に1回）'!$C$4,N(U4567)+1,N(U4567))</f>
        <v>134</v>
      </c>
    </row>
    <row r="4569" customFormat="false" ht="15" hidden="false" customHeight="false" outlineLevel="0" collapsed="false">
      <c r="B4569" s="53"/>
      <c r="I4569" s="53"/>
      <c r="U4569" s="31" t="n">
        <f aca="false">IF($B4569='設定（最初に1回）'!$C$4,N(U4568)+1,N(U4568))</f>
        <v>134</v>
      </c>
    </row>
    <row r="4570" customFormat="false" ht="15" hidden="false" customHeight="false" outlineLevel="0" collapsed="false">
      <c r="B4570" s="53"/>
      <c r="I4570" s="53"/>
      <c r="U4570" s="31" t="n">
        <f aca="false">IF($B4570='設定（最初に1回）'!$C$4,N(U4569)+1,N(U4569))</f>
        <v>134</v>
      </c>
    </row>
    <row r="4571" customFormat="false" ht="15" hidden="false" customHeight="false" outlineLevel="0" collapsed="false">
      <c r="B4571" s="53"/>
      <c r="I4571" s="53"/>
      <c r="U4571" s="31" t="n">
        <f aca="false">IF($B4571='設定（最初に1回）'!$C$4,N(U4570)+1,N(U4570))</f>
        <v>134</v>
      </c>
    </row>
    <row r="4572" customFormat="false" ht="15" hidden="false" customHeight="false" outlineLevel="0" collapsed="false">
      <c r="B4572" s="53"/>
      <c r="I4572" s="53"/>
      <c r="U4572" s="31" t="n">
        <f aca="false">IF($B4572='設定（最初に1回）'!$C$4,N(U4571)+1,N(U4571))</f>
        <v>134</v>
      </c>
    </row>
    <row r="4573" customFormat="false" ht="15" hidden="false" customHeight="false" outlineLevel="0" collapsed="false">
      <c r="B4573" s="53"/>
      <c r="I4573" s="53"/>
      <c r="U4573" s="31" t="n">
        <f aca="false">IF($B4573='設定（最初に1回）'!$C$4,N(U4572)+1,N(U4572))</f>
        <v>134</v>
      </c>
    </row>
    <row r="4574" customFormat="false" ht="15" hidden="false" customHeight="false" outlineLevel="0" collapsed="false">
      <c r="B4574" s="53"/>
      <c r="I4574" s="53"/>
      <c r="U4574" s="31" t="n">
        <f aca="false">IF($B4574='設定（最初に1回）'!$C$4,N(U4573)+1,N(U4573))</f>
        <v>134</v>
      </c>
    </row>
    <row r="4575" customFormat="false" ht="15" hidden="false" customHeight="false" outlineLevel="0" collapsed="false">
      <c r="B4575" s="53"/>
      <c r="I4575" s="53"/>
      <c r="U4575" s="31" t="n">
        <f aca="false">IF($B4575='設定（最初に1回）'!$C$4,N(U4574)+1,N(U4574))</f>
        <v>134</v>
      </c>
    </row>
    <row r="4576" customFormat="false" ht="15" hidden="false" customHeight="false" outlineLevel="0" collapsed="false">
      <c r="B4576" s="53"/>
      <c r="I4576" s="53"/>
      <c r="U4576" s="31" t="n">
        <f aca="false">IF($B4576='設定（最初に1回）'!$C$4,N(U4575)+1,N(U4575))</f>
        <v>134</v>
      </c>
    </row>
    <row r="4577" customFormat="false" ht="15" hidden="false" customHeight="false" outlineLevel="0" collapsed="false">
      <c r="B4577" s="53"/>
      <c r="I4577" s="53"/>
      <c r="U4577" s="31" t="n">
        <f aca="false">IF($B4577='設定（最初に1回）'!$C$4,N(U4576)+1,N(U4576))</f>
        <v>134</v>
      </c>
    </row>
    <row r="4578" customFormat="false" ht="15" hidden="false" customHeight="false" outlineLevel="0" collapsed="false">
      <c r="B4578" s="53"/>
      <c r="I4578" s="53"/>
      <c r="U4578" s="31" t="n">
        <f aca="false">IF($B4578='設定（最初に1回）'!$C$4,N(U4577)+1,N(U4577))</f>
        <v>134</v>
      </c>
    </row>
    <row r="4579" customFormat="false" ht="15" hidden="false" customHeight="false" outlineLevel="0" collapsed="false">
      <c r="B4579" s="53"/>
      <c r="I4579" s="53"/>
      <c r="U4579" s="31" t="n">
        <f aca="false">IF($B4579='設定（最初に1回）'!$C$4,N(U4578)+1,N(U4578))</f>
        <v>134</v>
      </c>
    </row>
    <row r="4580" customFormat="false" ht="15" hidden="false" customHeight="false" outlineLevel="0" collapsed="false">
      <c r="B4580" s="53"/>
      <c r="I4580" s="53"/>
      <c r="U4580" s="31" t="n">
        <f aca="false">IF($B4580='設定（最初に1回）'!$C$4,N(U4579)+1,N(U4579))</f>
        <v>134</v>
      </c>
    </row>
    <row r="4581" customFormat="false" ht="15" hidden="false" customHeight="false" outlineLevel="0" collapsed="false">
      <c r="B4581" s="53"/>
      <c r="I4581" s="53"/>
      <c r="U4581" s="31" t="n">
        <f aca="false">IF($B4581='設定（最初に1回）'!$C$4,N(U4580)+1,N(U4580))</f>
        <v>134</v>
      </c>
    </row>
    <row r="4582" customFormat="false" ht="15" hidden="false" customHeight="false" outlineLevel="0" collapsed="false">
      <c r="B4582" s="53"/>
      <c r="I4582" s="53"/>
      <c r="U4582" s="31" t="n">
        <f aca="false">IF($B4582='設定（最初に1回）'!$C$4,N(U4581)+1,N(U4581))</f>
        <v>134</v>
      </c>
    </row>
    <row r="4583" customFormat="false" ht="15" hidden="false" customHeight="false" outlineLevel="0" collapsed="false">
      <c r="B4583" s="53"/>
      <c r="I4583" s="53"/>
      <c r="U4583" s="31" t="n">
        <f aca="false">IF($B4583='設定（最初に1回）'!$C$4,N(U4582)+1,N(U4582))</f>
        <v>134</v>
      </c>
    </row>
    <row r="4584" customFormat="false" ht="15" hidden="false" customHeight="false" outlineLevel="0" collapsed="false">
      <c r="B4584" s="53"/>
      <c r="I4584" s="53"/>
      <c r="U4584" s="31" t="n">
        <f aca="false">IF($B4584='設定（最初に1回）'!$C$4,N(U4583)+1,N(U4583))</f>
        <v>134</v>
      </c>
    </row>
    <row r="4585" customFormat="false" ht="15" hidden="false" customHeight="false" outlineLevel="0" collapsed="false">
      <c r="B4585" s="53"/>
      <c r="I4585" s="53"/>
      <c r="U4585" s="31" t="n">
        <f aca="false">IF($B4585='設定（最初に1回）'!$C$4,N(U4584)+1,N(U4584))</f>
        <v>134</v>
      </c>
    </row>
    <row r="4586" customFormat="false" ht="15" hidden="false" customHeight="false" outlineLevel="0" collapsed="false">
      <c r="B4586" s="53"/>
      <c r="I4586" s="53"/>
      <c r="U4586" s="31" t="n">
        <f aca="false">IF($B4586='設定（最初に1回）'!$C$4,N(U4585)+1,N(U4585))</f>
        <v>134</v>
      </c>
    </row>
    <row r="4587" customFormat="false" ht="15" hidden="false" customHeight="false" outlineLevel="0" collapsed="false">
      <c r="B4587" s="53"/>
      <c r="I4587" s="53"/>
      <c r="U4587" s="31" t="n">
        <f aca="false">IF($B4587='設定（最初に1回）'!$C$4,N(U4586)+1,N(U4586))</f>
        <v>134</v>
      </c>
    </row>
    <row r="4588" customFormat="false" ht="15" hidden="false" customHeight="false" outlineLevel="0" collapsed="false">
      <c r="B4588" s="53"/>
      <c r="I4588" s="53"/>
      <c r="U4588" s="31" t="n">
        <f aca="false">IF($B4588='設定（最初に1回）'!$C$4,N(U4587)+1,N(U4587))</f>
        <v>134</v>
      </c>
    </row>
    <row r="4589" customFormat="false" ht="15" hidden="false" customHeight="false" outlineLevel="0" collapsed="false">
      <c r="B4589" s="53"/>
      <c r="I4589" s="53"/>
      <c r="U4589" s="31" t="n">
        <f aca="false">IF($B4589='設定（最初に1回）'!$C$4,N(U4588)+1,N(U4588))</f>
        <v>134</v>
      </c>
    </row>
    <row r="4590" customFormat="false" ht="15" hidden="false" customHeight="false" outlineLevel="0" collapsed="false">
      <c r="B4590" s="53"/>
      <c r="I4590" s="53"/>
      <c r="U4590" s="31" t="n">
        <f aca="false">IF($B4590='設定（最初に1回）'!$C$4,N(U4589)+1,N(U4589))</f>
        <v>134</v>
      </c>
    </row>
    <row r="4591" customFormat="false" ht="15" hidden="false" customHeight="false" outlineLevel="0" collapsed="false">
      <c r="B4591" s="53"/>
      <c r="I4591" s="53"/>
      <c r="U4591" s="31" t="n">
        <f aca="false">IF($B4591='設定（最初に1回）'!$C$4,N(U4590)+1,N(U4590))</f>
        <v>134</v>
      </c>
    </row>
    <row r="4592" customFormat="false" ht="15" hidden="false" customHeight="false" outlineLevel="0" collapsed="false">
      <c r="B4592" s="53"/>
      <c r="I4592" s="53"/>
      <c r="U4592" s="31" t="n">
        <f aca="false">IF($B4592='設定（最初に1回）'!$C$4,N(U4591)+1,N(U4591))</f>
        <v>134</v>
      </c>
    </row>
    <row r="4593" customFormat="false" ht="15" hidden="false" customHeight="false" outlineLevel="0" collapsed="false">
      <c r="B4593" s="53"/>
      <c r="I4593" s="53"/>
      <c r="U4593" s="31" t="n">
        <f aca="false">IF($B4593='設定（最初に1回）'!$C$4,N(U4592)+1,N(U4592))</f>
        <v>134</v>
      </c>
    </row>
    <row r="4594" customFormat="false" ht="15" hidden="false" customHeight="false" outlineLevel="0" collapsed="false">
      <c r="B4594" s="53"/>
      <c r="I4594" s="53"/>
      <c r="U4594" s="31" t="n">
        <f aca="false">IF($B4594='設定（最初に1回）'!$C$4,N(U4593)+1,N(U4593))</f>
        <v>134</v>
      </c>
    </row>
    <row r="4595" customFormat="false" ht="15" hidden="false" customHeight="false" outlineLevel="0" collapsed="false">
      <c r="B4595" s="53"/>
      <c r="I4595" s="53"/>
      <c r="U4595" s="31" t="n">
        <f aca="false">IF($B4595='設定（最初に1回）'!$C$4,N(U4594)+1,N(U4594))</f>
        <v>134</v>
      </c>
    </row>
    <row r="4596" customFormat="false" ht="15" hidden="false" customHeight="false" outlineLevel="0" collapsed="false">
      <c r="B4596" s="53"/>
      <c r="I4596" s="53"/>
      <c r="U4596" s="31" t="n">
        <f aca="false">IF($B4596='設定（最初に1回）'!$C$4,N(U4595)+1,N(U4595))</f>
        <v>134</v>
      </c>
    </row>
    <row r="4597" customFormat="false" ht="15" hidden="false" customHeight="false" outlineLevel="0" collapsed="false">
      <c r="B4597" s="53"/>
      <c r="I4597" s="53"/>
      <c r="U4597" s="31" t="n">
        <f aca="false">IF($B4597='設定（最初に1回）'!$C$4,N(U4596)+1,N(U4596))</f>
        <v>134</v>
      </c>
    </row>
    <row r="4598" customFormat="false" ht="15" hidden="false" customHeight="false" outlineLevel="0" collapsed="false">
      <c r="B4598" s="53"/>
      <c r="I4598" s="53"/>
      <c r="U4598" s="31" t="n">
        <f aca="false">IF($B4598='設定（最初に1回）'!$C$4,N(U4597)+1,N(U4597))</f>
        <v>134</v>
      </c>
    </row>
    <row r="4599" customFormat="false" ht="15" hidden="false" customHeight="false" outlineLevel="0" collapsed="false">
      <c r="B4599" s="53"/>
      <c r="I4599" s="53"/>
      <c r="U4599" s="31" t="n">
        <f aca="false">IF($B4599='設定（最初に1回）'!$C$4,N(U4598)+1,N(U4598))</f>
        <v>134</v>
      </c>
    </row>
    <row r="4600" customFormat="false" ht="15" hidden="false" customHeight="false" outlineLevel="0" collapsed="false">
      <c r="B4600" s="53"/>
      <c r="I4600" s="53"/>
      <c r="U4600" s="31" t="n">
        <f aca="false">IF($B4600='設定（最初に1回）'!$C$4,N(U4599)+1,N(U4599))</f>
        <v>134</v>
      </c>
    </row>
    <row r="4601" customFormat="false" ht="15" hidden="false" customHeight="false" outlineLevel="0" collapsed="false">
      <c r="B4601" s="53"/>
      <c r="I4601" s="53"/>
      <c r="U4601" s="31" t="n">
        <f aca="false">IF($B4601='設定（最初に1回）'!$C$4,N(U4600)+1,N(U4600))</f>
        <v>134</v>
      </c>
    </row>
    <row r="4602" customFormat="false" ht="15" hidden="false" customHeight="false" outlineLevel="0" collapsed="false">
      <c r="B4602" s="53"/>
      <c r="I4602" s="53"/>
      <c r="U4602" s="31" t="n">
        <f aca="false">IF($B4602='設定（最初に1回）'!$C$4,N(U4601)+1,N(U4601))</f>
        <v>134</v>
      </c>
    </row>
    <row r="4603" customFormat="false" ht="15" hidden="false" customHeight="false" outlineLevel="0" collapsed="false">
      <c r="B4603" s="53"/>
      <c r="I4603" s="53"/>
      <c r="U4603" s="31" t="n">
        <f aca="false">IF($B4603='設定（最初に1回）'!$C$4,N(U4602)+1,N(U4602))</f>
        <v>134</v>
      </c>
    </row>
    <row r="4604" customFormat="false" ht="15" hidden="false" customHeight="false" outlineLevel="0" collapsed="false">
      <c r="B4604" s="53"/>
      <c r="I4604" s="53"/>
      <c r="U4604" s="31" t="n">
        <f aca="false">IF($B4604='設定（最初に1回）'!$C$4,N(U4603)+1,N(U4603))</f>
        <v>134</v>
      </c>
    </row>
    <row r="4605" customFormat="false" ht="15" hidden="false" customHeight="false" outlineLevel="0" collapsed="false">
      <c r="B4605" s="53"/>
      <c r="I4605" s="53"/>
      <c r="U4605" s="31" t="n">
        <f aca="false">IF($B4605='設定（最初に1回）'!$C$4,N(U4604)+1,N(U4604))</f>
        <v>134</v>
      </c>
    </row>
    <row r="4606" customFormat="false" ht="15" hidden="false" customHeight="false" outlineLevel="0" collapsed="false">
      <c r="B4606" s="53"/>
      <c r="I4606" s="53"/>
      <c r="U4606" s="31" t="n">
        <f aca="false">IF($B4606='設定（最初に1回）'!$C$4,N(U4605)+1,N(U4605))</f>
        <v>134</v>
      </c>
    </row>
    <row r="4607" customFormat="false" ht="15" hidden="false" customHeight="false" outlineLevel="0" collapsed="false">
      <c r="B4607" s="53"/>
      <c r="I4607" s="53"/>
      <c r="U4607" s="31" t="n">
        <f aca="false">IF($B4607='設定（最初に1回）'!$C$4,N(U4606)+1,N(U4606))</f>
        <v>134</v>
      </c>
    </row>
    <row r="4608" customFormat="false" ht="15" hidden="false" customHeight="false" outlineLevel="0" collapsed="false">
      <c r="B4608" s="53"/>
      <c r="I4608" s="53"/>
      <c r="U4608" s="31" t="n">
        <f aca="false">IF($B4608='設定（最初に1回）'!$C$4,N(U4607)+1,N(U4607))</f>
        <v>134</v>
      </c>
    </row>
    <row r="4609" customFormat="false" ht="15" hidden="false" customHeight="false" outlineLevel="0" collapsed="false">
      <c r="B4609" s="53"/>
      <c r="I4609" s="53"/>
      <c r="U4609" s="31" t="n">
        <f aca="false">IF($B4609='設定（最初に1回）'!$C$4,N(U4608)+1,N(U4608))</f>
        <v>134</v>
      </c>
    </row>
    <row r="4610" customFormat="false" ht="15" hidden="false" customHeight="false" outlineLevel="0" collapsed="false">
      <c r="B4610" s="53"/>
      <c r="I4610" s="53"/>
      <c r="U4610" s="31" t="n">
        <f aca="false">IF($B4610='設定（最初に1回）'!$C$4,N(U4609)+1,N(U4609))</f>
        <v>134</v>
      </c>
    </row>
    <row r="4611" customFormat="false" ht="15" hidden="false" customHeight="false" outlineLevel="0" collapsed="false">
      <c r="B4611" s="53"/>
      <c r="I4611" s="53"/>
      <c r="U4611" s="31" t="n">
        <f aca="false">IF($B4611='設定（最初に1回）'!$C$4,N(U4610)+1,N(U4610))</f>
        <v>134</v>
      </c>
    </row>
    <row r="4612" customFormat="false" ht="15" hidden="false" customHeight="false" outlineLevel="0" collapsed="false">
      <c r="B4612" s="53"/>
      <c r="I4612" s="53"/>
      <c r="U4612" s="31" t="n">
        <f aca="false">IF($B4612='設定（最初に1回）'!$C$4,N(U4611)+1,N(U4611))</f>
        <v>134</v>
      </c>
    </row>
    <row r="4613" customFormat="false" ht="15" hidden="false" customHeight="false" outlineLevel="0" collapsed="false">
      <c r="B4613" s="53"/>
      <c r="I4613" s="53"/>
      <c r="U4613" s="31" t="n">
        <f aca="false">IF($B4613='設定（最初に1回）'!$C$4,N(U4612)+1,N(U4612))</f>
        <v>134</v>
      </c>
    </row>
    <row r="4614" customFormat="false" ht="15" hidden="false" customHeight="false" outlineLevel="0" collapsed="false">
      <c r="B4614" s="53"/>
      <c r="I4614" s="53"/>
      <c r="U4614" s="31" t="n">
        <f aca="false">IF($B4614='設定（最初に1回）'!$C$4,N(U4613)+1,N(U4613))</f>
        <v>134</v>
      </c>
    </row>
    <row r="4615" customFormat="false" ht="15" hidden="false" customHeight="false" outlineLevel="0" collapsed="false">
      <c r="B4615" s="53"/>
      <c r="I4615" s="53"/>
      <c r="U4615" s="31" t="n">
        <f aca="false">IF($B4615='設定（最初に1回）'!$C$4,N(U4614)+1,N(U4614))</f>
        <v>134</v>
      </c>
    </row>
    <row r="4616" customFormat="false" ht="15" hidden="false" customHeight="false" outlineLevel="0" collapsed="false">
      <c r="B4616" s="53"/>
      <c r="I4616" s="53"/>
      <c r="U4616" s="31" t="n">
        <f aca="false">IF($B4616='設定（最初に1回）'!$C$4,N(U4615)+1,N(U4615))</f>
        <v>134</v>
      </c>
    </row>
    <row r="4617" customFormat="false" ht="15" hidden="false" customHeight="false" outlineLevel="0" collapsed="false">
      <c r="B4617" s="53"/>
      <c r="I4617" s="53"/>
      <c r="U4617" s="31" t="n">
        <f aca="false">IF($B4617='設定（最初に1回）'!$C$4,N(U4616)+1,N(U4616))</f>
        <v>134</v>
      </c>
    </row>
    <row r="4618" customFormat="false" ht="15" hidden="false" customHeight="false" outlineLevel="0" collapsed="false">
      <c r="B4618" s="53"/>
      <c r="I4618" s="53"/>
      <c r="U4618" s="31" t="n">
        <f aca="false">IF($B4618='設定（最初に1回）'!$C$4,N(U4617)+1,N(U4617))</f>
        <v>134</v>
      </c>
    </row>
    <row r="4619" customFormat="false" ht="15" hidden="false" customHeight="false" outlineLevel="0" collapsed="false">
      <c r="B4619" s="53"/>
      <c r="I4619" s="53"/>
      <c r="U4619" s="31" t="n">
        <f aca="false">IF($B4619='設定（最初に1回）'!$C$4,N(U4618)+1,N(U4618))</f>
        <v>134</v>
      </c>
    </row>
    <row r="4620" customFormat="false" ht="15" hidden="false" customHeight="false" outlineLevel="0" collapsed="false">
      <c r="B4620" s="53"/>
      <c r="I4620" s="53"/>
      <c r="U4620" s="31" t="n">
        <f aca="false">IF($B4620='設定（最初に1回）'!$C$4,N(U4619)+1,N(U4619))</f>
        <v>134</v>
      </c>
    </row>
    <row r="4621" customFormat="false" ht="15" hidden="false" customHeight="false" outlineLevel="0" collapsed="false">
      <c r="B4621" s="53"/>
      <c r="I4621" s="53"/>
      <c r="U4621" s="31" t="n">
        <f aca="false">IF($B4621='設定（最初に1回）'!$C$4,N(U4620)+1,N(U4620))</f>
        <v>134</v>
      </c>
    </row>
    <row r="4622" customFormat="false" ht="15" hidden="false" customHeight="false" outlineLevel="0" collapsed="false">
      <c r="B4622" s="53"/>
      <c r="I4622" s="53"/>
      <c r="U4622" s="31" t="n">
        <f aca="false">IF($B4622='設定（最初に1回）'!$C$4,N(U4621)+1,N(U4621))</f>
        <v>134</v>
      </c>
    </row>
    <row r="4623" customFormat="false" ht="15" hidden="false" customHeight="false" outlineLevel="0" collapsed="false">
      <c r="B4623" s="53"/>
      <c r="I4623" s="53"/>
      <c r="U4623" s="31" t="n">
        <f aca="false">IF($B4623='設定（最初に1回）'!$C$4,N(U4622)+1,N(U4622))</f>
        <v>134</v>
      </c>
    </row>
    <row r="4624" customFormat="false" ht="15" hidden="false" customHeight="false" outlineLevel="0" collapsed="false">
      <c r="B4624" s="53"/>
      <c r="I4624" s="53"/>
      <c r="U4624" s="31" t="n">
        <f aca="false">IF($B4624='設定（最初に1回）'!$C$4,N(U4623)+1,N(U4623))</f>
        <v>134</v>
      </c>
    </row>
    <row r="4625" customFormat="false" ht="15" hidden="false" customHeight="false" outlineLevel="0" collapsed="false">
      <c r="B4625" s="53"/>
      <c r="I4625" s="53"/>
      <c r="U4625" s="31" t="n">
        <f aca="false">IF($B4625='設定（最初に1回）'!$C$4,N(U4624)+1,N(U4624))</f>
        <v>134</v>
      </c>
    </row>
    <row r="4626" customFormat="false" ht="15" hidden="false" customHeight="false" outlineLevel="0" collapsed="false">
      <c r="B4626" s="53"/>
      <c r="I4626" s="53"/>
      <c r="U4626" s="31" t="n">
        <f aca="false">IF($B4626='設定（最初に1回）'!$C$4,N(U4625)+1,N(U4625))</f>
        <v>134</v>
      </c>
    </row>
    <row r="4627" customFormat="false" ht="15" hidden="false" customHeight="false" outlineLevel="0" collapsed="false">
      <c r="B4627" s="53"/>
      <c r="I4627" s="53"/>
      <c r="U4627" s="31" t="n">
        <f aca="false">IF($B4627='設定（最初に1回）'!$C$4,N(U4626)+1,N(U4626))</f>
        <v>134</v>
      </c>
    </row>
    <row r="4628" customFormat="false" ht="15" hidden="false" customHeight="false" outlineLevel="0" collapsed="false">
      <c r="B4628" s="53"/>
      <c r="I4628" s="53"/>
      <c r="U4628" s="31" t="n">
        <f aca="false">IF($B4628='設定（最初に1回）'!$C$4,N(U4627)+1,N(U4627))</f>
        <v>134</v>
      </c>
    </row>
    <row r="4629" customFormat="false" ht="15" hidden="false" customHeight="false" outlineLevel="0" collapsed="false">
      <c r="B4629" s="53"/>
      <c r="I4629" s="53"/>
      <c r="U4629" s="31" t="n">
        <f aca="false">IF($B4629='設定（最初に1回）'!$C$4,N(U4628)+1,N(U4628))</f>
        <v>134</v>
      </c>
    </row>
    <row r="4630" customFormat="false" ht="15" hidden="false" customHeight="false" outlineLevel="0" collapsed="false">
      <c r="B4630" s="53"/>
      <c r="I4630" s="53"/>
      <c r="U4630" s="31" t="n">
        <f aca="false">IF($B4630='設定（最初に1回）'!$C$4,N(U4629)+1,N(U4629))</f>
        <v>134</v>
      </c>
    </row>
    <row r="4631" customFormat="false" ht="15" hidden="false" customHeight="false" outlineLevel="0" collapsed="false">
      <c r="B4631" s="53"/>
      <c r="I4631" s="53"/>
      <c r="U4631" s="31" t="n">
        <f aca="false">IF($B4631='設定（最初に1回）'!$C$4,N(U4630)+1,N(U4630))</f>
        <v>134</v>
      </c>
    </row>
    <row r="4632" customFormat="false" ht="15" hidden="false" customHeight="false" outlineLevel="0" collapsed="false">
      <c r="B4632" s="53"/>
      <c r="I4632" s="53"/>
      <c r="U4632" s="31" t="n">
        <f aca="false">IF($B4632='設定（最初に1回）'!$C$4,N(U4631)+1,N(U4631))</f>
        <v>134</v>
      </c>
    </row>
    <row r="4633" customFormat="false" ht="15" hidden="false" customHeight="false" outlineLevel="0" collapsed="false">
      <c r="B4633" s="53"/>
      <c r="I4633" s="53"/>
      <c r="U4633" s="31" t="n">
        <f aca="false">IF($B4633='設定（最初に1回）'!$C$4,N(U4632)+1,N(U4632))</f>
        <v>134</v>
      </c>
    </row>
    <row r="4634" customFormat="false" ht="15" hidden="false" customHeight="false" outlineLevel="0" collapsed="false">
      <c r="B4634" s="53"/>
      <c r="I4634" s="53"/>
      <c r="U4634" s="31" t="n">
        <f aca="false">IF($B4634='設定（最初に1回）'!$C$4,N(U4633)+1,N(U4633))</f>
        <v>134</v>
      </c>
    </row>
    <row r="4635" customFormat="false" ht="15" hidden="false" customHeight="false" outlineLevel="0" collapsed="false">
      <c r="B4635" s="53"/>
      <c r="I4635" s="53"/>
      <c r="U4635" s="31" t="n">
        <f aca="false">IF($B4635='設定（最初に1回）'!$C$4,N(U4634)+1,N(U4634))</f>
        <v>134</v>
      </c>
    </row>
    <row r="4636" customFormat="false" ht="15" hidden="false" customHeight="false" outlineLevel="0" collapsed="false">
      <c r="B4636" s="53"/>
      <c r="I4636" s="53"/>
      <c r="U4636" s="31" t="n">
        <f aca="false">IF($B4636='設定（最初に1回）'!$C$4,N(U4635)+1,N(U4635))</f>
        <v>134</v>
      </c>
    </row>
    <row r="4637" customFormat="false" ht="15" hidden="false" customHeight="false" outlineLevel="0" collapsed="false">
      <c r="B4637" s="53"/>
      <c r="I4637" s="53"/>
      <c r="U4637" s="31" t="n">
        <f aca="false">IF($B4637='設定（最初に1回）'!$C$4,N(U4636)+1,N(U4636))</f>
        <v>134</v>
      </c>
    </row>
    <row r="4638" customFormat="false" ht="15" hidden="false" customHeight="false" outlineLevel="0" collapsed="false">
      <c r="B4638" s="53"/>
      <c r="I4638" s="53"/>
      <c r="U4638" s="31" t="n">
        <f aca="false">IF($B4638='設定（最初に1回）'!$C$4,N(U4637)+1,N(U4637))</f>
        <v>134</v>
      </c>
    </row>
    <row r="4639" customFormat="false" ht="15" hidden="false" customHeight="false" outlineLevel="0" collapsed="false">
      <c r="B4639" s="53"/>
      <c r="I4639" s="53"/>
      <c r="U4639" s="31" t="n">
        <f aca="false">IF($B4639='設定（最初に1回）'!$C$4,N(U4638)+1,N(U4638))</f>
        <v>134</v>
      </c>
    </row>
    <row r="4640" customFormat="false" ht="15" hidden="false" customHeight="false" outlineLevel="0" collapsed="false">
      <c r="B4640" s="53"/>
      <c r="I4640" s="53"/>
      <c r="U4640" s="31" t="n">
        <f aca="false">IF($B4640='設定（最初に1回）'!$C$4,N(U4639)+1,N(U4639))</f>
        <v>134</v>
      </c>
    </row>
    <row r="4641" customFormat="false" ht="15" hidden="false" customHeight="false" outlineLevel="0" collapsed="false">
      <c r="B4641" s="53"/>
      <c r="I4641" s="53"/>
      <c r="U4641" s="31" t="n">
        <f aca="false">IF($B4641='設定（最初に1回）'!$C$4,N(U4640)+1,N(U4640))</f>
        <v>134</v>
      </c>
    </row>
    <row r="4642" customFormat="false" ht="15" hidden="false" customHeight="false" outlineLevel="0" collapsed="false">
      <c r="B4642" s="53"/>
      <c r="I4642" s="53"/>
      <c r="U4642" s="31" t="n">
        <f aca="false">IF($B4642='設定（最初に1回）'!$C$4,N(U4641)+1,N(U4641))</f>
        <v>134</v>
      </c>
    </row>
    <row r="4643" customFormat="false" ht="15" hidden="false" customHeight="false" outlineLevel="0" collapsed="false">
      <c r="B4643" s="53"/>
      <c r="I4643" s="53"/>
      <c r="U4643" s="31" t="n">
        <f aca="false">IF($B4643='設定（最初に1回）'!$C$4,N(U4642)+1,N(U4642))</f>
        <v>134</v>
      </c>
    </row>
    <row r="4644" customFormat="false" ht="15" hidden="false" customHeight="false" outlineLevel="0" collapsed="false">
      <c r="B4644" s="53"/>
      <c r="I4644" s="53"/>
      <c r="U4644" s="31" t="n">
        <f aca="false">IF($B4644='設定（最初に1回）'!$C$4,N(U4643)+1,N(U4643))</f>
        <v>134</v>
      </c>
    </row>
    <row r="4645" customFormat="false" ht="15" hidden="false" customHeight="false" outlineLevel="0" collapsed="false">
      <c r="B4645" s="53"/>
      <c r="I4645" s="53"/>
      <c r="U4645" s="31" t="n">
        <f aca="false">IF($B4645='設定（最初に1回）'!$C$4,N(U4644)+1,N(U4644))</f>
        <v>134</v>
      </c>
    </row>
    <row r="4646" customFormat="false" ht="15" hidden="false" customHeight="false" outlineLevel="0" collapsed="false">
      <c r="B4646" s="53"/>
      <c r="I4646" s="53"/>
      <c r="U4646" s="31" t="n">
        <f aca="false">IF($B4646='設定（最初に1回）'!$C$4,N(U4645)+1,N(U4645))</f>
        <v>134</v>
      </c>
    </row>
    <row r="4647" customFormat="false" ht="15" hidden="false" customHeight="false" outlineLevel="0" collapsed="false">
      <c r="B4647" s="53"/>
      <c r="I4647" s="53"/>
      <c r="U4647" s="31" t="n">
        <f aca="false">IF($B4647='設定（最初に1回）'!$C$4,N(U4646)+1,N(U4646))</f>
        <v>134</v>
      </c>
    </row>
    <row r="4648" customFormat="false" ht="15" hidden="false" customHeight="false" outlineLevel="0" collapsed="false">
      <c r="B4648" s="53"/>
      <c r="I4648" s="53"/>
      <c r="U4648" s="31" t="n">
        <f aca="false">IF($B4648='設定（最初に1回）'!$C$4,N(U4647)+1,N(U4647))</f>
        <v>134</v>
      </c>
    </row>
    <row r="4649" customFormat="false" ht="15" hidden="false" customHeight="false" outlineLevel="0" collapsed="false">
      <c r="B4649" s="53"/>
      <c r="I4649" s="53"/>
      <c r="U4649" s="31" t="n">
        <f aca="false">IF($B4649='設定（最初に1回）'!$C$4,N(U4648)+1,N(U4648))</f>
        <v>134</v>
      </c>
    </row>
    <row r="4650" customFormat="false" ht="15" hidden="false" customHeight="false" outlineLevel="0" collapsed="false">
      <c r="B4650" s="53"/>
      <c r="I4650" s="53"/>
      <c r="U4650" s="31" t="n">
        <f aca="false">IF($B4650='設定（最初に1回）'!$C$4,N(U4649)+1,N(U4649))</f>
        <v>134</v>
      </c>
    </row>
    <row r="4651" customFormat="false" ht="15" hidden="false" customHeight="false" outlineLevel="0" collapsed="false">
      <c r="B4651" s="53"/>
      <c r="I4651" s="53"/>
      <c r="U4651" s="31" t="n">
        <f aca="false">IF($B4651='設定（最初に1回）'!$C$4,N(U4650)+1,N(U4650))</f>
        <v>134</v>
      </c>
    </row>
    <row r="4652" customFormat="false" ht="15" hidden="false" customHeight="false" outlineLevel="0" collapsed="false">
      <c r="B4652" s="53"/>
      <c r="I4652" s="53"/>
      <c r="U4652" s="31" t="n">
        <f aca="false">IF($B4652='設定（最初に1回）'!$C$4,N(U4651)+1,N(U4651))</f>
        <v>134</v>
      </c>
    </row>
    <row r="4653" customFormat="false" ht="15" hidden="false" customHeight="false" outlineLevel="0" collapsed="false">
      <c r="B4653" s="53"/>
      <c r="I4653" s="53"/>
      <c r="U4653" s="31" t="n">
        <f aca="false">IF($B4653='設定（最初に1回）'!$C$4,N(U4652)+1,N(U4652))</f>
        <v>134</v>
      </c>
    </row>
    <row r="4654" customFormat="false" ht="15" hidden="false" customHeight="false" outlineLevel="0" collapsed="false">
      <c r="B4654" s="53"/>
      <c r="I4654" s="53"/>
      <c r="U4654" s="31" t="n">
        <f aca="false">IF($B4654='設定（最初に1回）'!$C$4,N(U4653)+1,N(U4653))</f>
        <v>134</v>
      </c>
    </row>
    <row r="4655" customFormat="false" ht="15" hidden="false" customHeight="false" outlineLevel="0" collapsed="false">
      <c r="B4655" s="53"/>
      <c r="I4655" s="53"/>
      <c r="U4655" s="31" t="n">
        <f aca="false">IF($B4655='設定（最初に1回）'!$C$4,N(U4654)+1,N(U4654))</f>
        <v>134</v>
      </c>
    </row>
    <row r="4656" customFormat="false" ht="15" hidden="false" customHeight="false" outlineLevel="0" collapsed="false">
      <c r="B4656" s="53"/>
      <c r="I4656" s="53"/>
      <c r="U4656" s="31" t="n">
        <f aca="false">IF($B4656='設定（最初に1回）'!$C$4,N(U4655)+1,N(U4655))</f>
        <v>134</v>
      </c>
    </row>
    <row r="4657" customFormat="false" ht="15" hidden="false" customHeight="false" outlineLevel="0" collapsed="false">
      <c r="B4657" s="53"/>
      <c r="I4657" s="53"/>
      <c r="U4657" s="31" t="n">
        <f aca="false">IF($B4657='設定（最初に1回）'!$C$4,N(U4656)+1,N(U4656))</f>
        <v>134</v>
      </c>
    </row>
    <row r="4658" customFormat="false" ht="15" hidden="false" customHeight="false" outlineLevel="0" collapsed="false">
      <c r="B4658" s="53"/>
      <c r="I4658" s="53"/>
      <c r="U4658" s="31" t="n">
        <f aca="false">IF($B4658='設定（最初に1回）'!$C$4,N(U4657)+1,N(U4657))</f>
        <v>134</v>
      </c>
    </row>
    <row r="4659" customFormat="false" ht="15" hidden="false" customHeight="false" outlineLevel="0" collapsed="false">
      <c r="B4659" s="53"/>
      <c r="I4659" s="53"/>
      <c r="U4659" s="31" t="n">
        <f aca="false">IF($B4659='設定（最初に1回）'!$C$4,N(U4658)+1,N(U4658))</f>
        <v>134</v>
      </c>
    </row>
    <row r="4660" customFormat="false" ht="15" hidden="false" customHeight="false" outlineLevel="0" collapsed="false">
      <c r="B4660" s="53"/>
      <c r="I4660" s="53"/>
      <c r="U4660" s="31" t="n">
        <f aca="false">IF($B4660='設定（最初に1回）'!$C$4,N(U4659)+1,N(U4659))</f>
        <v>134</v>
      </c>
    </row>
    <row r="4661" customFormat="false" ht="15" hidden="false" customHeight="false" outlineLevel="0" collapsed="false">
      <c r="B4661" s="53"/>
      <c r="I4661" s="53"/>
      <c r="U4661" s="31" t="n">
        <f aca="false">IF($B4661='設定（最初に1回）'!$C$4,N(U4660)+1,N(U4660))</f>
        <v>134</v>
      </c>
    </row>
    <row r="4662" customFormat="false" ht="15" hidden="false" customHeight="false" outlineLevel="0" collapsed="false">
      <c r="B4662" s="53"/>
      <c r="I4662" s="53"/>
      <c r="U4662" s="31" t="n">
        <f aca="false">IF($B4662='設定（最初に1回）'!$C$4,N(U4661)+1,N(U4661))</f>
        <v>134</v>
      </c>
    </row>
    <row r="4663" customFormat="false" ht="15" hidden="false" customHeight="false" outlineLevel="0" collapsed="false">
      <c r="B4663" s="53"/>
      <c r="I4663" s="53"/>
      <c r="U4663" s="31" t="n">
        <f aca="false">IF($B4663='設定（最初に1回）'!$C$4,N(U4662)+1,N(U4662))</f>
        <v>134</v>
      </c>
    </row>
    <row r="4664" customFormat="false" ht="15" hidden="false" customHeight="false" outlineLevel="0" collapsed="false">
      <c r="B4664" s="53"/>
      <c r="I4664" s="53"/>
      <c r="U4664" s="31" t="n">
        <f aca="false">IF($B4664='設定（最初に1回）'!$C$4,N(U4663)+1,N(U4663))</f>
        <v>134</v>
      </c>
    </row>
    <row r="4665" customFormat="false" ht="15" hidden="false" customHeight="false" outlineLevel="0" collapsed="false">
      <c r="B4665" s="53"/>
      <c r="I4665" s="53"/>
      <c r="U4665" s="31" t="n">
        <f aca="false">IF($B4665='設定（最初に1回）'!$C$4,N(U4664)+1,N(U4664))</f>
        <v>134</v>
      </c>
    </row>
    <row r="4666" customFormat="false" ht="15" hidden="false" customHeight="false" outlineLevel="0" collapsed="false">
      <c r="B4666" s="53"/>
      <c r="I4666" s="53"/>
      <c r="U4666" s="31" t="n">
        <f aca="false">IF($B4666='設定（最初に1回）'!$C$4,N(U4665)+1,N(U4665))</f>
        <v>134</v>
      </c>
    </row>
    <row r="4667" customFormat="false" ht="15" hidden="false" customHeight="false" outlineLevel="0" collapsed="false">
      <c r="B4667" s="53"/>
      <c r="I4667" s="53"/>
      <c r="U4667" s="31" t="n">
        <f aca="false">IF($B4667='設定（最初に1回）'!$C$4,N(U4666)+1,N(U4666))</f>
        <v>134</v>
      </c>
    </row>
    <row r="4668" customFormat="false" ht="15" hidden="false" customHeight="false" outlineLevel="0" collapsed="false">
      <c r="B4668" s="53"/>
      <c r="I4668" s="53"/>
      <c r="U4668" s="31" t="n">
        <f aca="false">IF($B4668='設定（最初に1回）'!$C$4,N(U4667)+1,N(U4667))</f>
        <v>134</v>
      </c>
    </row>
    <row r="4669" customFormat="false" ht="15" hidden="false" customHeight="false" outlineLevel="0" collapsed="false">
      <c r="B4669" s="53"/>
      <c r="I4669" s="53"/>
      <c r="U4669" s="31" t="n">
        <f aca="false">IF($B4669='設定（最初に1回）'!$C$4,N(U4668)+1,N(U4668))</f>
        <v>134</v>
      </c>
    </row>
    <row r="4670" customFormat="false" ht="15" hidden="false" customHeight="false" outlineLevel="0" collapsed="false">
      <c r="B4670" s="53"/>
      <c r="I4670" s="53"/>
      <c r="U4670" s="31" t="n">
        <f aca="false">IF($B4670='設定（最初に1回）'!$C$4,N(U4669)+1,N(U4669))</f>
        <v>134</v>
      </c>
    </row>
    <row r="4671" customFormat="false" ht="15" hidden="false" customHeight="false" outlineLevel="0" collapsed="false">
      <c r="B4671" s="53"/>
      <c r="I4671" s="53"/>
      <c r="U4671" s="31" t="n">
        <f aca="false">IF($B4671='設定（最初に1回）'!$C$4,N(U4670)+1,N(U4670))</f>
        <v>134</v>
      </c>
    </row>
    <row r="4672" customFormat="false" ht="15" hidden="false" customHeight="false" outlineLevel="0" collapsed="false">
      <c r="B4672" s="53"/>
      <c r="I4672" s="53"/>
      <c r="U4672" s="31" t="n">
        <f aca="false">IF($B4672='設定（最初に1回）'!$C$4,N(U4671)+1,N(U4671))</f>
        <v>134</v>
      </c>
    </row>
    <row r="4673" customFormat="false" ht="15" hidden="false" customHeight="false" outlineLevel="0" collapsed="false">
      <c r="B4673" s="53"/>
      <c r="I4673" s="53"/>
      <c r="U4673" s="31" t="n">
        <f aca="false">IF($B4673='設定（最初に1回）'!$C$4,N(U4672)+1,N(U4672))</f>
        <v>134</v>
      </c>
    </row>
    <row r="4674" customFormat="false" ht="15" hidden="false" customHeight="false" outlineLevel="0" collapsed="false">
      <c r="B4674" s="53"/>
      <c r="I4674" s="53"/>
      <c r="U4674" s="31" t="n">
        <f aca="false">IF($B4674='設定（最初に1回）'!$C$4,N(U4673)+1,N(U4673))</f>
        <v>134</v>
      </c>
    </row>
    <row r="4675" customFormat="false" ht="15" hidden="false" customHeight="false" outlineLevel="0" collapsed="false">
      <c r="B4675" s="53"/>
      <c r="I4675" s="53"/>
      <c r="U4675" s="31" t="n">
        <f aca="false">IF($B4675='設定（最初に1回）'!$C$4,N(U4674)+1,N(U4674))</f>
        <v>134</v>
      </c>
    </row>
    <row r="4676" customFormat="false" ht="15" hidden="false" customHeight="false" outlineLevel="0" collapsed="false">
      <c r="B4676" s="53"/>
      <c r="I4676" s="53"/>
      <c r="U4676" s="31" t="n">
        <f aca="false">IF($B4676='設定（最初に1回）'!$C$4,N(U4675)+1,N(U4675))</f>
        <v>134</v>
      </c>
    </row>
    <row r="4677" customFormat="false" ht="15" hidden="false" customHeight="false" outlineLevel="0" collapsed="false">
      <c r="B4677" s="53"/>
      <c r="I4677" s="53"/>
      <c r="U4677" s="31" t="n">
        <f aca="false">IF($B4677='設定（最初に1回）'!$C$4,N(U4676)+1,N(U4676))</f>
        <v>134</v>
      </c>
    </row>
    <row r="4678" customFormat="false" ht="15" hidden="false" customHeight="false" outlineLevel="0" collapsed="false">
      <c r="B4678" s="53"/>
      <c r="I4678" s="53"/>
      <c r="U4678" s="31" t="n">
        <f aca="false">IF($B4678='設定（最初に1回）'!$C$4,N(U4677)+1,N(U4677))</f>
        <v>134</v>
      </c>
    </row>
    <row r="4679" customFormat="false" ht="15" hidden="false" customHeight="false" outlineLevel="0" collapsed="false">
      <c r="B4679" s="53"/>
      <c r="I4679" s="53"/>
      <c r="U4679" s="31" t="n">
        <f aca="false">IF($B4679='設定（最初に1回）'!$C$4,N(U4678)+1,N(U4678))</f>
        <v>134</v>
      </c>
    </row>
    <row r="4680" customFormat="false" ht="15" hidden="false" customHeight="false" outlineLevel="0" collapsed="false">
      <c r="B4680" s="53"/>
      <c r="I4680" s="53"/>
      <c r="U4680" s="31" t="n">
        <f aca="false">IF($B4680='設定（最初に1回）'!$C$4,N(U4679)+1,N(U4679))</f>
        <v>134</v>
      </c>
    </row>
    <row r="4681" customFormat="false" ht="15" hidden="false" customHeight="false" outlineLevel="0" collapsed="false">
      <c r="B4681" s="53"/>
      <c r="I4681" s="53"/>
      <c r="U4681" s="31" t="n">
        <f aca="false">IF($B4681='設定（最初に1回）'!$C$4,N(U4680)+1,N(U4680))</f>
        <v>134</v>
      </c>
    </row>
    <row r="4682" customFormat="false" ht="15" hidden="false" customHeight="false" outlineLevel="0" collapsed="false">
      <c r="B4682" s="53"/>
      <c r="I4682" s="53"/>
      <c r="U4682" s="31" t="n">
        <f aca="false">IF($B4682='設定（最初に1回）'!$C$4,N(U4681)+1,N(U4681))</f>
        <v>134</v>
      </c>
    </row>
    <row r="4683" customFormat="false" ht="15" hidden="false" customHeight="false" outlineLevel="0" collapsed="false">
      <c r="B4683" s="53"/>
      <c r="I4683" s="53"/>
      <c r="U4683" s="31" t="n">
        <f aca="false">IF($B4683='設定（最初に1回）'!$C$4,N(U4682)+1,N(U4682))</f>
        <v>134</v>
      </c>
    </row>
    <row r="4684" customFormat="false" ht="15" hidden="false" customHeight="false" outlineLevel="0" collapsed="false">
      <c r="B4684" s="53"/>
      <c r="I4684" s="53"/>
      <c r="U4684" s="31" t="n">
        <f aca="false">IF($B4684='設定（最初に1回）'!$C$4,N(U4683)+1,N(U4683))</f>
        <v>134</v>
      </c>
    </row>
    <row r="4685" customFormat="false" ht="15" hidden="false" customHeight="false" outlineLevel="0" collapsed="false">
      <c r="B4685" s="53"/>
      <c r="I4685" s="53"/>
      <c r="U4685" s="31" t="n">
        <f aca="false">IF($B4685='設定（最初に1回）'!$C$4,N(U4684)+1,N(U4684))</f>
        <v>134</v>
      </c>
    </row>
    <row r="4686" customFormat="false" ht="15" hidden="false" customHeight="false" outlineLevel="0" collapsed="false">
      <c r="B4686" s="53"/>
      <c r="I4686" s="53"/>
      <c r="U4686" s="31" t="n">
        <f aca="false">IF($B4686='設定（最初に1回）'!$C$4,N(U4685)+1,N(U4685))</f>
        <v>134</v>
      </c>
    </row>
    <row r="4687" customFormat="false" ht="15" hidden="false" customHeight="false" outlineLevel="0" collapsed="false">
      <c r="B4687" s="53"/>
      <c r="I4687" s="53"/>
      <c r="U4687" s="31" t="n">
        <f aca="false">IF($B4687='設定（最初に1回）'!$C$4,N(U4686)+1,N(U4686))</f>
        <v>134</v>
      </c>
    </row>
    <row r="4688" customFormat="false" ht="15" hidden="false" customHeight="false" outlineLevel="0" collapsed="false">
      <c r="B4688" s="53"/>
      <c r="I4688" s="53"/>
      <c r="U4688" s="31" t="n">
        <f aca="false">IF($B4688='設定（最初に1回）'!$C$4,N(U4687)+1,N(U4687))</f>
        <v>134</v>
      </c>
    </row>
    <row r="4689" customFormat="false" ht="15" hidden="false" customHeight="false" outlineLevel="0" collapsed="false">
      <c r="B4689" s="53"/>
      <c r="I4689" s="53"/>
      <c r="U4689" s="31" t="n">
        <f aca="false">IF($B4689='設定（最初に1回）'!$C$4,N(U4688)+1,N(U4688))</f>
        <v>134</v>
      </c>
    </row>
    <row r="4690" customFormat="false" ht="15" hidden="false" customHeight="false" outlineLevel="0" collapsed="false">
      <c r="B4690" s="53"/>
      <c r="I4690" s="53"/>
      <c r="U4690" s="31" t="n">
        <f aca="false">IF($B4690='設定（最初に1回）'!$C$4,N(U4689)+1,N(U4689))</f>
        <v>134</v>
      </c>
    </row>
    <row r="4691" customFormat="false" ht="15" hidden="false" customHeight="false" outlineLevel="0" collapsed="false">
      <c r="B4691" s="53"/>
      <c r="I4691" s="53"/>
      <c r="U4691" s="31" t="n">
        <f aca="false">IF($B4691='設定（最初に1回）'!$C$4,N(U4690)+1,N(U4690))</f>
        <v>134</v>
      </c>
    </row>
    <row r="4692" customFormat="false" ht="15" hidden="false" customHeight="false" outlineLevel="0" collapsed="false">
      <c r="B4692" s="53"/>
      <c r="I4692" s="53"/>
      <c r="U4692" s="31" t="n">
        <f aca="false">IF($B4692='設定（最初に1回）'!$C$4,N(U4691)+1,N(U4691))</f>
        <v>134</v>
      </c>
    </row>
    <row r="4693" customFormat="false" ht="15" hidden="false" customHeight="false" outlineLevel="0" collapsed="false">
      <c r="B4693" s="53"/>
      <c r="I4693" s="53"/>
      <c r="U4693" s="31" t="n">
        <f aca="false">IF($B4693='設定（最初に1回）'!$C$4,N(U4692)+1,N(U4692))</f>
        <v>134</v>
      </c>
    </row>
    <row r="4694" customFormat="false" ht="15" hidden="false" customHeight="false" outlineLevel="0" collapsed="false">
      <c r="B4694" s="53"/>
      <c r="I4694" s="53"/>
      <c r="U4694" s="31" t="n">
        <f aca="false">IF($B4694='設定（最初に1回）'!$C$4,N(U4693)+1,N(U4693))</f>
        <v>134</v>
      </c>
    </row>
    <row r="4695" customFormat="false" ht="15" hidden="false" customHeight="false" outlineLevel="0" collapsed="false">
      <c r="B4695" s="53"/>
      <c r="I4695" s="53"/>
      <c r="U4695" s="31" t="n">
        <f aca="false">IF($B4695='設定（最初に1回）'!$C$4,N(U4694)+1,N(U4694))</f>
        <v>134</v>
      </c>
    </row>
    <row r="4696" customFormat="false" ht="15" hidden="false" customHeight="false" outlineLevel="0" collapsed="false">
      <c r="B4696" s="53"/>
      <c r="I4696" s="53"/>
      <c r="U4696" s="31" t="n">
        <f aca="false">IF($B4696='設定（最初に1回）'!$C$4,N(U4695)+1,N(U4695))</f>
        <v>134</v>
      </c>
    </row>
    <row r="4697" customFormat="false" ht="15" hidden="false" customHeight="false" outlineLevel="0" collapsed="false">
      <c r="B4697" s="53"/>
      <c r="I4697" s="53"/>
      <c r="U4697" s="31" t="n">
        <f aca="false">IF($B4697='設定（最初に1回）'!$C$4,N(U4696)+1,N(U4696))</f>
        <v>134</v>
      </c>
    </row>
    <row r="4698" customFormat="false" ht="15" hidden="false" customHeight="false" outlineLevel="0" collapsed="false">
      <c r="B4698" s="53"/>
      <c r="I4698" s="53"/>
      <c r="U4698" s="31" t="n">
        <f aca="false">IF($B4698='設定（最初に1回）'!$C$4,N(U4697)+1,N(U4697))</f>
        <v>134</v>
      </c>
    </row>
    <row r="4699" customFormat="false" ht="15" hidden="false" customHeight="false" outlineLevel="0" collapsed="false">
      <c r="B4699" s="53"/>
      <c r="I4699" s="53"/>
      <c r="U4699" s="31" t="n">
        <f aca="false">IF($B4699='設定（最初に1回）'!$C$4,N(U4698)+1,N(U4698))</f>
        <v>134</v>
      </c>
    </row>
    <row r="4700" customFormat="false" ht="15" hidden="false" customHeight="false" outlineLevel="0" collapsed="false">
      <c r="B4700" s="53"/>
      <c r="I4700" s="53"/>
      <c r="U4700" s="31" t="n">
        <f aca="false">IF($B4700='設定（最初に1回）'!$C$4,N(U4699)+1,N(U4699))</f>
        <v>134</v>
      </c>
    </row>
    <row r="4701" customFormat="false" ht="15" hidden="false" customHeight="false" outlineLevel="0" collapsed="false">
      <c r="B4701" s="53"/>
      <c r="I4701" s="53"/>
      <c r="U4701" s="31" t="n">
        <f aca="false">IF($B4701='設定（最初に1回）'!$C$4,N(U4700)+1,N(U4700))</f>
        <v>134</v>
      </c>
    </row>
    <row r="4702" customFormat="false" ht="15" hidden="false" customHeight="false" outlineLevel="0" collapsed="false">
      <c r="B4702" s="53"/>
      <c r="I4702" s="53"/>
      <c r="U4702" s="31" t="n">
        <f aca="false">IF($B4702='設定（最初に1回）'!$C$4,N(U4701)+1,N(U4701))</f>
        <v>134</v>
      </c>
    </row>
    <row r="4703" customFormat="false" ht="15" hidden="false" customHeight="false" outlineLevel="0" collapsed="false">
      <c r="B4703" s="53"/>
      <c r="I4703" s="53"/>
      <c r="U4703" s="31" t="n">
        <f aca="false">IF($B4703='設定（最初に1回）'!$C$4,N(U4702)+1,N(U4702))</f>
        <v>134</v>
      </c>
    </row>
    <row r="4704" customFormat="false" ht="15" hidden="false" customHeight="false" outlineLevel="0" collapsed="false">
      <c r="B4704" s="53"/>
      <c r="I4704" s="53"/>
      <c r="U4704" s="31" t="n">
        <f aca="false">IF($B4704='設定（最初に1回）'!$C$4,N(U4703)+1,N(U4703))</f>
        <v>134</v>
      </c>
    </row>
    <row r="4705" customFormat="false" ht="15" hidden="false" customHeight="false" outlineLevel="0" collapsed="false">
      <c r="B4705" s="53"/>
      <c r="I4705" s="53"/>
      <c r="U4705" s="31" t="n">
        <f aca="false">IF($B4705='設定（最初に1回）'!$C$4,N(U4704)+1,N(U4704))</f>
        <v>134</v>
      </c>
    </row>
    <row r="4706" customFormat="false" ht="15" hidden="false" customHeight="false" outlineLevel="0" collapsed="false">
      <c r="B4706" s="53"/>
      <c r="I4706" s="53"/>
      <c r="U4706" s="31" t="n">
        <f aca="false">IF($B4706='設定（最初に1回）'!$C$4,N(U4705)+1,N(U4705))</f>
        <v>134</v>
      </c>
    </row>
    <row r="4707" customFormat="false" ht="15" hidden="false" customHeight="false" outlineLevel="0" collapsed="false">
      <c r="B4707" s="53"/>
      <c r="I4707" s="53"/>
      <c r="U4707" s="31" t="n">
        <f aca="false">IF($B4707='設定（最初に1回）'!$C$4,N(U4706)+1,N(U4706))</f>
        <v>134</v>
      </c>
    </row>
    <row r="4708" customFormat="false" ht="15" hidden="false" customHeight="false" outlineLevel="0" collapsed="false">
      <c r="B4708" s="53"/>
      <c r="I4708" s="53"/>
      <c r="U4708" s="31" t="n">
        <f aca="false">IF($B4708='設定（最初に1回）'!$C$4,N(U4707)+1,N(U4707))</f>
        <v>134</v>
      </c>
    </row>
    <row r="4709" customFormat="false" ht="15" hidden="false" customHeight="false" outlineLevel="0" collapsed="false">
      <c r="B4709" s="53"/>
      <c r="I4709" s="53"/>
      <c r="U4709" s="31" t="n">
        <f aca="false">IF($B4709='設定（最初に1回）'!$C$4,N(U4708)+1,N(U4708))</f>
        <v>134</v>
      </c>
    </row>
    <row r="4710" customFormat="false" ht="15" hidden="false" customHeight="false" outlineLevel="0" collapsed="false">
      <c r="B4710" s="53"/>
      <c r="I4710" s="53"/>
      <c r="U4710" s="31" t="n">
        <f aca="false">IF($B4710='設定（最初に1回）'!$C$4,N(U4709)+1,N(U4709))</f>
        <v>134</v>
      </c>
    </row>
    <row r="4711" customFormat="false" ht="15" hidden="false" customHeight="false" outlineLevel="0" collapsed="false">
      <c r="B4711" s="53"/>
      <c r="I4711" s="53"/>
      <c r="U4711" s="31" t="n">
        <f aca="false">IF($B4711='設定（最初に1回）'!$C$4,N(U4710)+1,N(U4710))</f>
        <v>134</v>
      </c>
    </row>
    <row r="4712" customFormat="false" ht="15" hidden="false" customHeight="false" outlineLevel="0" collapsed="false">
      <c r="B4712" s="53"/>
      <c r="I4712" s="53"/>
      <c r="U4712" s="31" t="n">
        <f aca="false">IF($B4712='設定（最初に1回）'!$C$4,N(U4711)+1,N(U4711))</f>
        <v>134</v>
      </c>
    </row>
    <row r="4713" customFormat="false" ht="15" hidden="false" customHeight="false" outlineLevel="0" collapsed="false">
      <c r="B4713" s="53"/>
      <c r="I4713" s="53"/>
      <c r="U4713" s="31" t="n">
        <f aca="false">IF($B4713='設定（最初に1回）'!$C$4,N(U4712)+1,N(U4712))</f>
        <v>134</v>
      </c>
    </row>
    <row r="4714" customFormat="false" ht="15" hidden="false" customHeight="false" outlineLevel="0" collapsed="false">
      <c r="B4714" s="53"/>
      <c r="I4714" s="53"/>
      <c r="U4714" s="31" t="n">
        <f aca="false">IF($B4714='設定（最初に1回）'!$C$4,N(U4713)+1,N(U4713))</f>
        <v>134</v>
      </c>
    </row>
    <row r="4715" customFormat="false" ht="15" hidden="false" customHeight="false" outlineLevel="0" collapsed="false">
      <c r="B4715" s="53"/>
      <c r="I4715" s="53"/>
      <c r="U4715" s="31" t="n">
        <f aca="false">IF($B4715='設定（最初に1回）'!$C$4,N(U4714)+1,N(U4714))</f>
        <v>134</v>
      </c>
    </row>
    <row r="4716" customFormat="false" ht="15" hidden="false" customHeight="false" outlineLevel="0" collapsed="false">
      <c r="B4716" s="53"/>
      <c r="I4716" s="53"/>
      <c r="U4716" s="31" t="n">
        <f aca="false">IF($B4716='設定（最初に1回）'!$C$4,N(U4715)+1,N(U4715))</f>
        <v>134</v>
      </c>
    </row>
    <row r="4717" customFormat="false" ht="15" hidden="false" customHeight="false" outlineLevel="0" collapsed="false">
      <c r="B4717" s="53"/>
      <c r="I4717" s="53"/>
      <c r="U4717" s="31" t="n">
        <f aca="false">IF($B4717='設定（最初に1回）'!$C$4,N(U4716)+1,N(U4716))</f>
        <v>134</v>
      </c>
    </row>
    <row r="4718" customFormat="false" ht="15" hidden="false" customHeight="false" outlineLevel="0" collapsed="false">
      <c r="B4718" s="53"/>
      <c r="I4718" s="53"/>
      <c r="U4718" s="31" t="n">
        <f aca="false">IF($B4718='設定（最初に1回）'!$C$4,N(U4717)+1,N(U4717))</f>
        <v>134</v>
      </c>
    </row>
    <row r="4719" customFormat="false" ht="15" hidden="false" customHeight="false" outlineLevel="0" collapsed="false">
      <c r="B4719" s="53"/>
      <c r="I4719" s="53"/>
      <c r="U4719" s="31" t="n">
        <f aca="false">IF($B4719='設定（最初に1回）'!$C$4,N(U4718)+1,N(U4718))</f>
        <v>134</v>
      </c>
    </row>
    <row r="4720" customFormat="false" ht="15" hidden="false" customHeight="false" outlineLevel="0" collapsed="false">
      <c r="B4720" s="53"/>
      <c r="I4720" s="53"/>
      <c r="U4720" s="31" t="n">
        <f aca="false">IF($B4720='設定（最初に1回）'!$C$4,N(U4719)+1,N(U4719))</f>
        <v>134</v>
      </c>
    </row>
    <row r="4721" customFormat="false" ht="15" hidden="false" customHeight="false" outlineLevel="0" collapsed="false">
      <c r="B4721" s="53"/>
      <c r="I4721" s="53"/>
      <c r="U4721" s="31" t="n">
        <f aca="false">IF($B4721='設定（最初に1回）'!$C$4,N(U4720)+1,N(U4720))</f>
        <v>134</v>
      </c>
    </row>
    <row r="4722" customFormat="false" ht="15" hidden="false" customHeight="false" outlineLevel="0" collapsed="false">
      <c r="B4722" s="53"/>
      <c r="I4722" s="53"/>
      <c r="U4722" s="31" t="n">
        <f aca="false">IF($B4722='設定（最初に1回）'!$C$4,N(U4721)+1,N(U4721))</f>
        <v>134</v>
      </c>
    </row>
    <row r="4723" customFormat="false" ht="15" hidden="false" customHeight="false" outlineLevel="0" collapsed="false">
      <c r="B4723" s="53"/>
      <c r="I4723" s="53"/>
      <c r="U4723" s="31" t="n">
        <f aca="false">IF($B4723='設定（最初に1回）'!$C$4,N(U4722)+1,N(U4722))</f>
        <v>134</v>
      </c>
    </row>
    <row r="4724" customFormat="false" ht="15" hidden="false" customHeight="false" outlineLevel="0" collapsed="false">
      <c r="B4724" s="53"/>
      <c r="I4724" s="53"/>
      <c r="U4724" s="31" t="n">
        <f aca="false">IF($B4724='設定（最初に1回）'!$C$4,N(U4723)+1,N(U4723))</f>
        <v>134</v>
      </c>
    </row>
    <row r="4725" customFormat="false" ht="15" hidden="false" customHeight="false" outlineLevel="0" collapsed="false">
      <c r="B4725" s="53"/>
      <c r="I4725" s="53"/>
      <c r="U4725" s="31" t="n">
        <f aca="false">IF($B4725='設定（最初に1回）'!$C$4,N(U4724)+1,N(U4724))</f>
        <v>134</v>
      </c>
    </row>
    <row r="4726" customFormat="false" ht="15" hidden="false" customHeight="false" outlineLevel="0" collapsed="false">
      <c r="B4726" s="53"/>
      <c r="I4726" s="53"/>
      <c r="U4726" s="31" t="n">
        <f aca="false">IF($B4726='設定（最初に1回）'!$C$4,N(U4725)+1,N(U4725))</f>
        <v>134</v>
      </c>
    </row>
    <row r="4727" customFormat="false" ht="15" hidden="false" customHeight="false" outlineLevel="0" collapsed="false">
      <c r="B4727" s="53"/>
      <c r="I4727" s="53"/>
      <c r="U4727" s="31" t="n">
        <f aca="false">IF($B4727='設定（最初に1回）'!$C$4,N(U4726)+1,N(U4726))</f>
        <v>134</v>
      </c>
    </row>
    <row r="4728" customFormat="false" ht="15" hidden="false" customHeight="false" outlineLevel="0" collapsed="false">
      <c r="B4728" s="53"/>
      <c r="I4728" s="53"/>
      <c r="U4728" s="31" t="n">
        <f aca="false">IF($B4728='設定（最初に1回）'!$C$4,N(U4727)+1,N(U4727))</f>
        <v>134</v>
      </c>
    </row>
    <row r="4729" customFormat="false" ht="15" hidden="false" customHeight="false" outlineLevel="0" collapsed="false">
      <c r="B4729" s="53"/>
      <c r="I4729" s="53"/>
      <c r="U4729" s="31" t="n">
        <f aca="false">IF($B4729='設定（最初に1回）'!$C$4,N(U4728)+1,N(U4728))</f>
        <v>134</v>
      </c>
    </row>
    <row r="4730" customFormat="false" ht="15" hidden="false" customHeight="false" outlineLevel="0" collapsed="false">
      <c r="B4730" s="53"/>
      <c r="I4730" s="53"/>
      <c r="U4730" s="31" t="n">
        <f aca="false">IF($B4730='設定（最初に1回）'!$C$4,N(U4729)+1,N(U4729))</f>
        <v>134</v>
      </c>
    </row>
    <row r="4731" customFormat="false" ht="15" hidden="false" customHeight="false" outlineLevel="0" collapsed="false">
      <c r="B4731" s="53"/>
      <c r="I4731" s="53"/>
      <c r="U4731" s="31" t="n">
        <f aca="false">IF($B4731='設定（最初に1回）'!$C$4,N(U4730)+1,N(U4730))</f>
        <v>134</v>
      </c>
    </row>
    <row r="4732" customFormat="false" ht="15" hidden="false" customHeight="false" outlineLevel="0" collapsed="false">
      <c r="B4732" s="53"/>
      <c r="I4732" s="53"/>
      <c r="U4732" s="31" t="n">
        <f aca="false">IF($B4732='設定（最初に1回）'!$C$4,N(U4731)+1,N(U4731))</f>
        <v>134</v>
      </c>
    </row>
    <row r="4733" customFormat="false" ht="15" hidden="false" customHeight="false" outlineLevel="0" collapsed="false">
      <c r="B4733" s="53"/>
      <c r="I4733" s="53"/>
      <c r="U4733" s="31" t="n">
        <f aca="false">IF($B4733='設定（最初に1回）'!$C$4,N(U4732)+1,N(U4732))</f>
        <v>134</v>
      </c>
    </row>
    <row r="4734" customFormat="false" ht="15" hidden="false" customHeight="false" outlineLevel="0" collapsed="false">
      <c r="B4734" s="53"/>
      <c r="I4734" s="53"/>
      <c r="U4734" s="31" t="n">
        <f aca="false">IF($B4734='設定（最初に1回）'!$C$4,N(U4733)+1,N(U4733))</f>
        <v>134</v>
      </c>
    </row>
    <row r="4735" customFormat="false" ht="15" hidden="false" customHeight="false" outlineLevel="0" collapsed="false">
      <c r="B4735" s="53"/>
      <c r="I4735" s="53"/>
      <c r="U4735" s="31" t="n">
        <f aca="false">IF($B4735='設定（最初に1回）'!$C$4,N(U4734)+1,N(U4734))</f>
        <v>134</v>
      </c>
    </row>
    <row r="4736" customFormat="false" ht="15" hidden="false" customHeight="false" outlineLevel="0" collapsed="false">
      <c r="B4736" s="53"/>
      <c r="I4736" s="53"/>
      <c r="U4736" s="31" t="n">
        <f aca="false">IF($B4736='設定（最初に1回）'!$C$4,N(U4735)+1,N(U4735))</f>
        <v>134</v>
      </c>
    </row>
    <row r="4737" customFormat="false" ht="15" hidden="false" customHeight="false" outlineLevel="0" collapsed="false">
      <c r="B4737" s="53"/>
      <c r="I4737" s="53"/>
      <c r="U4737" s="31" t="n">
        <f aca="false">IF($B4737='設定（最初に1回）'!$C$4,N(U4736)+1,N(U4736))</f>
        <v>134</v>
      </c>
    </row>
    <row r="4738" customFormat="false" ht="15" hidden="false" customHeight="false" outlineLevel="0" collapsed="false">
      <c r="B4738" s="53"/>
      <c r="I4738" s="53"/>
      <c r="U4738" s="31" t="n">
        <f aca="false">IF($B4738='設定（最初に1回）'!$C$4,N(U4737)+1,N(U4737))</f>
        <v>134</v>
      </c>
    </row>
    <row r="4739" customFormat="false" ht="15" hidden="false" customHeight="false" outlineLevel="0" collapsed="false">
      <c r="B4739" s="53"/>
      <c r="I4739" s="53"/>
      <c r="U4739" s="31" t="n">
        <f aca="false">IF($B4739='設定（最初に1回）'!$C$4,N(U4738)+1,N(U4738))</f>
        <v>134</v>
      </c>
    </row>
    <row r="4740" customFormat="false" ht="15" hidden="false" customHeight="false" outlineLevel="0" collapsed="false">
      <c r="B4740" s="53"/>
      <c r="I4740" s="53"/>
      <c r="U4740" s="31" t="n">
        <f aca="false">IF($B4740='設定（最初に1回）'!$C$4,N(U4739)+1,N(U4739))</f>
        <v>134</v>
      </c>
    </row>
    <row r="4741" customFormat="false" ht="15" hidden="false" customHeight="false" outlineLevel="0" collapsed="false">
      <c r="B4741" s="53"/>
      <c r="I4741" s="53"/>
      <c r="U4741" s="31" t="n">
        <f aca="false">IF($B4741='設定（最初に1回）'!$C$4,N(U4740)+1,N(U4740))</f>
        <v>134</v>
      </c>
    </row>
    <row r="4742" customFormat="false" ht="15" hidden="false" customHeight="false" outlineLevel="0" collapsed="false">
      <c r="B4742" s="53"/>
      <c r="I4742" s="53"/>
      <c r="U4742" s="31" t="n">
        <f aca="false">IF($B4742='設定（最初に1回）'!$C$4,N(U4741)+1,N(U4741))</f>
        <v>134</v>
      </c>
    </row>
    <row r="4743" customFormat="false" ht="15" hidden="false" customHeight="false" outlineLevel="0" collapsed="false">
      <c r="B4743" s="53"/>
      <c r="I4743" s="53"/>
      <c r="U4743" s="31" t="n">
        <f aca="false">IF($B4743='設定（最初に1回）'!$C$4,N(U4742)+1,N(U4742))</f>
        <v>134</v>
      </c>
    </row>
    <row r="4744" customFormat="false" ht="15" hidden="false" customHeight="false" outlineLevel="0" collapsed="false">
      <c r="B4744" s="53"/>
      <c r="I4744" s="53"/>
      <c r="U4744" s="31" t="n">
        <f aca="false">IF($B4744='設定（最初に1回）'!$C$4,N(U4743)+1,N(U4743))</f>
        <v>134</v>
      </c>
    </row>
    <row r="4745" customFormat="false" ht="15" hidden="false" customHeight="false" outlineLevel="0" collapsed="false">
      <c r="B4745" s="53"/>
      <c r="I4745" s="53"/>
      <c r="U4745" s="31" t="n">
        <f aca="false">IF($B4745='設定（最初に1回）'!$C$4,N(U4744)+1,N(U4744))</f>
        <v>134</v>
      </c>
    </row>
    <row r="4746" customFormat="false" ht="15" hidden="false" customHeight="false" outlineLevel="0" collapsed="false">
      <c r="B4746" s="53"/>
      <c r="I4746" s="53"/>
      <c r="U4746" s="31" t="n">
        <f aca="false">IF($B4746='設定（最初に1回）'!$C$4,N(U4745)+1,N(U4745))</f>
        <v>134</v>
      </c>
    </row>
    <row r="4747" customFormat="false" ht="15" hidden="false" customHeight="false" outlineLevel="0" collapsed="false">
      <c r="B4747" s="53"/>
      <c r="I4747" s="53"/>
      <c r="U4747" s="31" t="n">
        <f aca="false">IF($B4747='設定（最初に1回）'!$C$4,N(U4746)+1,N(U4746))</f>
        <v>134</v>
      </c>
    </row>
    <row r="4748" customFormat="false" ht="15" hidden="false" customHeight="false" outlineLevel="0" collapsed="false">
      <c r="B4748" s="53"/>
      <c r="I4748" s="53"/>
      <c r="U4748" s="31" t="n">
        <f aca="false">IF($B4748='設定（最初に1回）'!$C$4,N(U4747)+1,N(U4747))</f>
        <v>134</v>
      </c>
    </row>
    <row r="4749" customFormat="false" ht="15" hidden="false" customHeight="false" outlineLevel="0" collapsed="false">
      <c r="B4749" s="53"/>
      <c r="I4749" s="53"/>
      <c r="U4749" s="31" t="n">
        <f aca="false">IF($B4749='設定（最初に1回）'!$C$4,N(U4748)+1,N(U4748))</f>
        <v>134</v>
      </c>
    </row>
    <row r="4750" customFormat="false" ht="15" hidden="false" customHeight="false" outlineLevel="0" collapsed="false">
      <c r="B4750" s="53"/>
      <c r="I4750" s="53"/>
      <c r="U4750" s="31" t="n">
        <f aca="false">IF($B4750='設定（最初に1回）'!$C$4,N(U4749)+1,N(U4749))</f>
        <v>134</v>
      </c>
    </row>
    <row r="4751" customFormat="false" ht="15" hidden="false" customHeight="false" outlineLevel="0" collapsed="false">
      <c r="B4751" s="53"/>
      <c r="I4751" s="53"/>
      <c r="U4751" s="31" t="n">
        <f aca="false">IF($B4751='設定（最初に1回）'!$C$4,N(U4750)+1,N(U4750))</f>
        <v>134</v>
      </c>
    </row>
    <row r="4752" customFormat="false" ht="15" hidden="false" customHeight="false" outlineLevel="0" collapsed="false">
      <c r="B4752" s="53"/>
      <c r="I4752" s="53"/>
      <c r="U4752" s="31" t="n">
        <f aca="false">IF($B4752='設定（最初に1回）'!$C$4,N(U4751)+1,N(U4751))</f>
        <v>134</v>
      </c>
    </row>
    <row r="4753" customFormat="false" ht="15" hidden="false" customHeight="false" outlineLevel="0" collapsed="false">
      <c r="B4753" s="53"/>
      <c r="I4753" s="53"/>
      <c r="U4753" s="31" t="n">
        <f aca="false">IF($B4753='設定（最初に1回）'!$C$4,N(U4752)+1,N(U4752))</f>
        <v>134</v>
      </c>
    </row>
    <row r="4754" customFormat="false" ht="15" hidden="false" customHeight="false" outlineLevel="0" collapsed="false">
      <c r="B4754" s="53"/>
      <c r="I4754" s="53"/>
      <c r="U4754" s="31" t="n">
        <f aca="false">IF($B4754='設定（最初に1回）'!$C$4,N(U4753)+1,N(U4753))</f>
        <v>134</v>
      </c>
    </row>
    <row r="4755" customFormat="false" ht="15" hidden="false" customHeight="false" outlineLevel="0" collapsed="false">
      <c r="B4755" s="53"/>
      <c r="I4755" s="53"/>
      <c r="U4755" s="31" t="n">
        <f aca="false">IF($B4755='設定（最初に1回）'!$C$4,N(U4754)+1,N(U4754))</f>
        <v>134</v>
      </c>
    </row>
    <row r="4756" customFormat="false" ht="15" hidden="false" customHeight="false" outlineLevel="0" collapsed="false">
      <c r="B4756" s="53"/>
      <c r="I4756" s="53"/>
      <c r="U4756" s="31" t="n">
        <f aca="false">IF($B4756='設定（最初に1回）'!$C$4,N(U4755)+1,N(U4755))</f>
        <v>134</v>
      </c>
    </row>
    <row r="4757" customFormat="false" ht="15" hidden="false" customHeight="false" outlineLevel="0" collapsed="false">
      <c r="B4757" s="53"/>
      <c r="I4757" s="53"/>
      <c r="U4757" s="31" t="n">
        <f aca="false">IF($B4757='設定（最初に1回）'!$C$4,N(U4756)+1,N(U4756))</f>
        <v>134</v>
      </c>
    </row>
    <row r="4758" customFormat="false" ht="15" hidden="false" customHeight="false" outlineLevel="0" collapsed="false">
      <c r="B4758" s="53"/>
      <c r="I4758" s="53"/>
      <c r="U4758" s="31" t="n">
        <f aca="false">IF($B4758='設定（最初に1回）'!$C$4,N(U4757)+1,N(U4757))</f>
        <v>134</v>
      </c>
    </row>
    <row r="4759" customFormat="false" ht="15" hidden="false" customHeight="false" outlineLevel="0" collapsed="false">
      <c r="B4759" s="53"/>
      <c r="I4759" s="53"/>
      <c r="U4759" s="31" t="n">
        <f aca="false">IF($B4759='設定（最初に1回）'!$C$4,N(U4758)+1,N(U4758))</f>
        <v>134</v>
      </c>
    </row>
    <row r="4760" customFormat="false" ht="15" hidden="false" customHeight="false" outlineLevel="0" collapsed="false">
      <c r="B4760" s="53"/>
      <c r="I4760" s="53"/>
      <c r="U4760" s="31" t="n">
        <f aca="false">IF($B4760='設定（最初に1回）'!$C$4,N(U4759)+1,N(U4759))</f>
        <v>134</v>
      </c>
    </row>
    <row r="4761" customFormat="false" ht="15" hidden="false" customHeight="false" outlineLevel="0" collapsed="false">
      <c r="B4761" s="53"/>
      <c r="I4761" s="53"/>
      <c r="U4761" s="31" t="n">
        <f aca="false">IF($B4761='設定（最初に1回）'!$C$4,N(U4760)+1,N(U4760))</f>
        <v>134</v>
      </c>
    </row>
    <row r="4762" customFormat="false" ht="15" hidden="false" customHeight="false" outlineLevel="0" collapsed="false">
      <c r="B4762" s="53"/>
      <c r="I4762" s="53"/>
      <c r="U4762" s="31" t="n">
        <f aca="false">IF($B4762='設定（最初に1回）'!$C$4,N(U4761)+1,N(U4761))</f>
        <v>134</v>
      </c>
    </row>
    <row r="4763" customFormat="false" ht="15" hidden="false" customHeight="false" outlineLevel="0" collapsed="false">
      <c r="B4763" s="53"/>
      <c r="I4763" s="53"/>
      <c r="U4763" s="31" t="n">
        <f aca="false">IF($B4763='設定（最初に1回）'!$C$4,N(U4762)+1,N(U4762))</f>
        <v>134</v>
      </c>
    </row>
    <row r="4764" customFormat="false" ht="15" hidden="false" customHeight="false" outlineLevel="0" collapsed="false">
      <c r="B4764" s="53"/>
      <c r="I4764" s="53"/>
      <c r="U4764" s="31" t="n">
        <f aca="false">IF($B4764='設定（最初に1回）'!$C$4,N(U4763)+1,N(U4763))</f>
        <v>134</v>
      </c>
    </row>
    <row r="4765" customFormat="false" ht="15" hidden="false" customHeight="false" outlineLevel="0" collapsed="false">
      <c r="B4765" s="53"/>
      <c r="I4765" s="53"/>
      <c r="U4765" s="31" t="n">
        <f aca="false">IF($B4765='設定（最初に1回）'!$C$4,N(U4764)+1,N(U4764))</f>
        <v>134</v>
      </c>
    </row>
    <row r="4766" customFormat="false" ht="15" hidden="false" customHeight="false" outlineLevel="0" collapsed="false">
      <c r="B4766" s="53"/>
      <c r="I4766" s="53"/>
      <c r="U4766" s="31" t="n">
        <f aca="false">IF($B4766='設定（最初に1回）'!$C$4,N(U4765)+1,N(U4765))</f>
        <v>134</v>
      </c>
    </row>
    <row r="4767" customFormat="false" ht="15" hidden="false" customHeight="false" outlineLevel="0" collapsed="false">
      <c r="B4767" s="53"/>
      <c r="I4767" s="53"/>
      <c r="U4767" s="31" t="n">
        <f aca="false">IF($B4767='設定（最初に1回）'!$C$4,N(U4766)+1,N(U4766))</f>
        <v>134</v>
      </c>
    </row>
    <row r="4768" customFormat="false" ht="15" hidden="false" customHeight="false" outlineLevel="0" collapsed="false">
      <c r="B4768" s="53"/>
      <c r="I4768" s="53"/>
      <c r="U4768" s="31" t="n">
        <f aca="false">IF($B4768='設定（最初に1回）'!$C$4,N(U4767)+1,N(U4767))</f>
        <v>134</v>
      </c>
    </row>
    <row r="4769" customFormat="false" ht="15" hidden="false" customHeight="false" outlineLevel="0" collapsed="false">
      <c r="B4769" s="53"/>
      <c r="I4769" s="53"/>
      <c r="U4769" s="31" t="n">
        <f aca="false">IF($B4769='設定（最初に1回）'!$C$4,N(U4768)+1,N(U4768))</f>
        <v>134</v>
      </c>
    </row>
    <row r="4770" customFormat="false" ht="15" hidden="false" customHeight="false" outlineLevel="0" collapsed="false">
      <c r="B4770" s="53"/>
      <c r="I4770" s="53"/>
      <c r="U4770" s="31" t="n">
        <f aca="false">IF($B4770='設定（最初に1回）'!$C$4,N(U4769)+1,N(U4769))</f>
        <v>134</v>
      </c>
    </row>
    <row r="4771" customFormat="false" ht="15" hidden="false" customHeight="false" outlineLevel="0" collapsed="false">
      <c r="B4771" s="53"/>
      <c r="I4771" s="53"/>
      <c r="U4771" s="31" t="n">
        <f aca="false">IF($B4771='設定（最初に1回）'!$C$4,N(U4770)+1,N(U4770))</f>
        <v>134</v>
      </c>
    </row>
    <row r="4772" customFormat="false" ht="15" hidden="false" customHeight="false" outlineLevel="0" collapsed="false">
      <c r="B4772" s="53"/>
      <c r="I4772" s="53"/>
      <c r="U4772" s="31" t="n">
        <f aca="false">IF($B4772='設定（最初に1回）'!$C$4,N(U4771)+1,N(U4771))</f>
        <v>134</v>
      </c>
    </row>
    <row r="4773" customFormat="false" ht="15" hidden="false" customHeight="false" outlineLevel="0" collapsed="false">
      <c r="B4773" s="53"/>
      <c r="I4773" s="53"/>
      <c r="U4773" s="31" t="n">
        <f aca="false">IF($B4773='設定（最初に1回）'!$C$4,N(U4772)+1,N(U4772))</f>
        <v>134</v>
      </c>
    </row>
    <row r="4774" customFormat="false" ht="15" hidden="false" customHeight="false" outlineLevel="0" collapsed="false">
      <c r="B4774" s="53"/>
      <c r="I4774" s="53"/>
      <c r="U4774" s="31" t="n">
        <f aca="false">IF($B4774='設定（最初に1回）'!$C$4,N(U4773)+1,N(U4773))</f>
        <v>134</v>
      </c>
    </row>
    <row r="4775" customFormat="false" ht="15" hidden="false" customHeight="false" outlineLevel="0" collapsed="false">
      <c r="B4775" s="53"/>
      <c r="I4775" s="53"/>
      <c r="U4775" s="31" t="n">
        <f aca="false">IF($B4775='設定（最初に1回）'!$C$4,N(U4774)+1,N(U4774))</f>
        <v>134</v>
      </c>
    </row>
    <row r="4776" customFormat="false" ht="15" hidden="false" customHeight="false" outlineLevel="0" collapsed="false">
      <c r="B4776" s="53"/>
      <c r="I4776" s="53"/>
      <c r="U4776" s="31" t="n">
        <f aca="false">IF($B4776='設定（最初に1回）'!$C$4,N(U4775)+1,N(U4775))</f>
        <v>134</v>
      </c>
    </row>
    <row r="4777" customFormat="false" ht="15" hidden="false" customHeight="false" outlineLevel="0" collapsed="false">
      <c r="B4777" s="53"/>
      <c r="I4777" s="53"/>
      <c r="U4777" s="31" t="n">
        <f aca="false">IF($B4777='設定（最初に1回）'!$C$4,N(U4776)+1,N(U4776))</f>
        <v>134</v>
      </c>
    </row>
    <row r="4778" customFormat="false" ht="15" hidden="false" customHeight="false" outlineLevel="0" collapsed="false">
      <c r="B4778" s="53"/>
      <c r="I4778" s="53"/>
      <c r="U4778" s="31" t="n">
        <f aca="false">IF($B4778='設定（最初に1回）'!$C$4,N(U4777)+1,N(U4777))</f>
        <v>134</v>
      </c>
    </row>
    <row r="4779" customFormat="false" ht="15" hidden="false" customHeight="false" outlineLevel="0" collapsed="false">
      <c r="B4779" s="53"/>
      <c r="I4779" s="53"/>
      <c r="U4779" s="31" t="n">
        <f aca="false">IF($B4779='設定（最初に1回）'!$C$4,N(U4778)+1,N(U4778))</f>
        <v>134</v>
      </c>
    </row>
    <row r="4780" customFormat="false" ht="15" hidden="false" customHeight="false" outlineLevel="0" collapsed="false">
      <c r="B4780" s="53"/>
      <c r="I4780" s="53"/>
      <c r="U4780" s="31" t="n">
        <f aca="false">IF($B4780='設定（最初に1回）'!$C$4,N(U4779)+1,N(U4779))</f>
        <v>134</v>
      </c>
    </row>
    <row r="4781" customFormat="false" ht="15" hidden="false" customHeight="false" outlineLevel="0" collapsed="false">
      <c r="B4781" s="53"/>
      <c r="I4781" s="53"/>
      <c r="U4781" s="31" t="n">
        <f aca="false">IF($B4781='設定（最初に1回）'!$C$4,N(U4780)+1,N(U4780))</f>
        <v>134</v>
      </c>
    </row>
    <row r="4782" customFormat="false" ht="15" hidden="false" customHeight="false" outlineLevel="0" collapsed="false">
      <c r="B4782" s="53"/>
      <c r="I4782" s="53"/>
      <c r="U4782" s="31" t="n">
        <f aca="false">IF($B4782='設定（最初に1回）'!$C$4,N(U4781)+1,N(U4781))</f>
        <v>134</v>
      </c>
    </row>
    <row r="4783" customFormat="false" ht="15" hidden="false" customHeight="false" outlineLevel="0" collapsed="false">
      <c r="B4783" s="53"/>
      <c r="I4783" s="53"/>
      <c r="U4783" s="31" t="n">
        <f aca="false">IF($B4783='設定（最初に1回）'!$C$4,N(U4782)+1,N(U4782))</f>
        <v>134</v>
      </c>
    </row>
    <row r="4784" customFormat="false" ht="15" hidden="false" customHeight="false" outlineLevel="0" collapsed="false">
      <c r="B4784" s="53"/>
      <c r="I4784" s="53"/>
      <c r="U4784" s="31" t="n">
        <f aca="false">IF($B4784='設定（最初に1回）'!$C$4,N(U4783)+1,N(U4783))</f>
        <v>134</v>
      </c>
    </row>
    <row r="4785" customFormat="false" ht="15" hidden="false" customHeight="false" outlineLevel="0" collapsed="false">
      <c r="B4785" s="53"/>
      <c r="I4785" s="53"/>
      <c r="U4785" s="31" t="n">
        <f aca="false">IF($B4785='設定（最初に1回）'!$C$4,N(U4784)+1,N(U4784))</f>
        <v>134</v>
      </c>
    </row>
    <row r="4786" customFormat="false" ht="15" hidden="false" customHeight="false" outlineLevel="0" collapsed="false">
      <c r="B4786" s="53"/>
      <c r="I4786" s="53"/>
      <c r="U4786" s="31" t="n">
        <f aca="false">IF($B4786='設定（最初に1回）'!$C$4,N(U4785)+1,N(U4785))</f>
        <v>134</v>
      </c>
    </row>
    <row r="4787" customFormat="false" ht="15" hidden="false" customHeight="false" outlineLevel="0" collapsed="false">
      <c r="B4787" s="53"/>
      <c r="I4787" s="53"/>
      <c r="U4787" s="31" t="n">
        <f aca="false">IF($B4787='設定（最初に1回）'!$C$4,N(U4786)+1,N(U4786))</f>
        <v>134</v>
      </c>
    </row>
    <row r="4788" customFormat="false" ht="15" hidden="false" customHeight="false" outlineLevel="0" collapsed="false">
      <c r="B4788" s="53"/>
      <c r="I4788" s="53"/>
      <c r="U4788" s="31" t="n">
        <f aca="false">IF($B4788='設定（最初に1回）'!$C$4,N(U4787)+1,N(U4787))</f>
        <v>134</v>
      </c>
    </row>
    <row r="4789" customFormat="false" ht="15" hidden="false" customHeight="false" outlineLevel="0" collapsed="false">
      <c r="B4789" s="53"/>
      <c r="I4789" s="53"/>
      <c r="U4789" s="31" t="n">
        <f aca="false">IF($B4789='設定（最初に1回）'!$C$4,N(U4788)+1,N(U4788))</f>
        <v>134</v>
      </c>
    </row>
    <row r="4790" customFormat="false" ht="15" hidden="false" customHeight="false" outlineLevel="0" collapsed="false">
      <c r="B4790" s="53"/>
      <c r="I4790" s="53"/>
      <c r="U4790" s="31" t="n">
        <f aca="false">IF($B4790='設定（最初に1回）'!$C$4,N(U4789)+1,N(U4789))</f>
        <v>134</v>
      </c>
    </row>
    <row r="4791" customFormat="false" ht="15" hidden="false" customHeight="false" outlineLevel="0" collapsed="false">
      <c r="B4791" s="53"/>
      <c r="I4791" s="53"/>
      <c r="U4791" s="31" t="n">
        <f aca="false">IF($B4791='設定（最初に1回）'!$C$4,N(U4790)+1,N(U4790))</f>
        <v>134</v>
      </c>
    </row>
    <row r="4792" customFormat="false" ht="15" hidden="false" customHeight="false" outlineLevel="0" collapsed="false">
      <c r="B4792" s="53"/>
      <c r="I4792" s="53"/>
      <c r="U4792" s="31" t="n">
        <f aca="false">IF($B4792='設定（最初に1回）'!$C$4,N(U4791)+1,N(U4791))</f>
        <v>134</v>
      </c>
    </row>
    <row r="4793" customFormat="false" ht="15" hidden="false" customHeight="false" outlineLevel="0" collapsed="false">
      <c r="B4793" s="53"/>
      <c r="I4793" s="53"/>
      <c r="U4793" s="31" t="n">
        <f aca="false">IF($B4793='設定（最初に1回）'!$C$4,N(U4792)+1,N(U4792))</f>
        <v>134</v>
      </c>
    </row>
    <row r="4794" customFormat="false" ht="15" hidden="false" customHeight="false" outlineLevel="0" collapsed="false">
      <c r="B4794" s="53"/>
      <c r="I4794" s="53"/>
      <c r="U4794" s="31" t="n">
        <f aca="false">IF($B4794='設定（最初に1回）'!$C$4,N(U4793)+1,N(U4793))</f>
        <v>134</v>
      </c>
    </row>
    <row r="4795" customFormat="false" ht="15" hidden="false" customHeight="false" outlineLevel="0" collapsed="false">
      <c r="B4795" s="53"/>
      <c r="I4795" s="53"/>
      <c r="U4795" s="31" t="n">
        <f aca="false">IF($B4795='設定（最初に1回）'!$C$4,N(U4794)+1,N(U4794))</f>
        <v>134</v>
      </c>
    </row>
    <row r="4796" customFormat="false" ht="15" hidden="false" customHeight="false" outlineLevel="0" collapsed="false">
      <c r="B4796" s="53"/>
      <c r="I4796" s="53"/>
      <c r="U4796" s="31" t="n">
        <f aca="false">IF($B4796='設定（最初に1回）'!$C$4,N(U4795)+1,N(U4795))</f>
        <v>134</v>
      </c>
    </row>
    <row r="4797" customFormat="false" ht="15" hidden="false" customHeight="false" outlineLevel="0" collapsed="false">
      <c r="B4797" s="53"/>
      <c r="I4797" s="53"/>
      <c r="U4797" s="31" t="n">
        <f aca="false">IF($B4797='設定（最初に1回）'!$C$4,N(U4796)+1,N(U4796))</f>
        <v>134</v>
      </c>
    </row>
    <row r="4798" customFormat="false" ht="15" hidden="false" customHeight="false" outlineLevel="0" collapsed="false">
      <c r="B4798" s="53"/>
      <c r="I4798" s="53"/>
      <c r="U4798" s="31" t="n">
        <f aca="false">IF($B4798='設定（最初に1回）'!$C$4,N(U4797)+1,N(U4797))</f>
        <v>134</v>
      </c>
    </row>
    <row r="4799" customFormat="false" ht="15" hidden="false" customHeight="false" outlineLevel="0" collapsed="false">
      <c r="B4799" s="53"/>
      <c r="I4799" s="53"/>
      <c r="U4799" s="31" t="n">
        <f aca="false">IF($B4799='設定（最初に1回）'!$C$4,N(U4798)+1,N(U4798))</f>
        <v>134</v>
      </c>
    </row>
    <row r="4800" customFormat="false" ht="15" hidden="false" customHeight="false" outlineLevel="0" collapsed="false">
      <c r="B4800" s="53"/>
      <c r="I4800" s="53"/>
      <c r="U4800" s="31" t="n">
        <f aca="false">IF($B4800='設定（最初に1回）'!$C$4,N(U4799)+1,N(U4799))</f>
        <v>134</v>
      </c>
    </row>
    <row r="4801" customFormat="false" ht="15" hidden="false" customHeight="false" outlineLevel="0" collapsed="false">
      <c r="B4801" s="53"/>
      <c r="I4801" s="53"/>
      <c r="U4801" s="31" t="n">
        <f aca="false">IF($B4801='設定（最初に1回）'!$C$4,N(U4800)+1,N(U4800))</f>
        <v>134</v>
      </c>
    </row>
    <row r="4802" customFormat="false" ht="15" hidden="false" customHeight="false" outlineLevel="0" collapsed="false">
      <c r="B4802" s="53"/>
      <c r="I4802" s="53"/>
      <c r="U4802" s="31" t="n">
        <f aca="false">IF($B4802='設定（最初に1回）'!$C$4,N(U4801)+1,N(U4801))</f>
        <v>134</v>
      </c>
    </row>
    <row r="4803" customFormat="false" ht="15" hidden="false" customHeight="false" outlineLevel="0" collapsed="false">
      <c r="B4803" s="53"/>
      <c r="I4803" s="53"/>
      <c r="U4803" s="31" t="n">
        <f aca="false">IF($B4803='設定（最初に1回）'!$C$4,N(U4802)+1,N(U4802))</f>
        <v>134</v>
      </c>
    </row>
    <row r="4804" customFormat="false" ht="15" hidden="false" customHeight="false" outlineLevel="0" collapsed="false">
      <c r="B4804" s="53"/>
      <c r="I4804" s="53"/>
      <c r="U4804" s="31" t="n">
        <f aca="false">IF($B4804='設定（最初に1回）'!$C$4,N(U4803)+1,N(U4803))</f>
        <v>134</v>
      </c>
    </row>
    <row r="4805" customFormat="false" ht="15" hidden="false" customHeight="false" outlineLevel="0" collapsed="false">
      <c r="B4805" s="53"/>
      <c r="I4805" s="53"/>
      <c r="U4805" s="31" t="n">
        <f aca="false">IF($B4805='設定（最初に1回）'!$C$4,N(U4804)+1,N(U4804))</f>
        <v>134</v>
      </c>
    </row>
    <row r="4806" customFormat="false" ht="15" hidden="false" customHeight="false" outlineLevel="0" collapsed="false">
      <c r="B4806" s="53"/>
      <c r="I4806" s="53"/>
      <c r="U4806" s="31" t="n">
        <f aca="false">IF($B4806='設定（最初に1回）'!$C$4,N(U4805)+1,N(U4805))</f>
        <v>134</v>
      </c>
    </row>
    <row r="4807" customFormat="false" ht="15" hidden="false" customHeight="false" outlineLevel="0" collapsed="false">
      <c r="B4807" s="53"/>
      <c r="I4807" s="53"/>
      <c r="U4807" s="31" t="n">
        <f aca="false">IF($B4807='設定（最初に1回）'!$C$4,N(U4806)+1,N(U4806))</f>
        <v>134</v>
      </c>
    </row>
    <row r="4808" customFormat="false" ht="15" hidden="false" customHeight="false" outlineLevel="0" collapsed="false">
      <c r="B4808" s="53"/>
      <c r="I4808" s="53"/>
      <c r="U4808" s="31" t="n">
        <f aca="false">IF($B4808='設定（最初に1回）'!$C$4,N(U4807)+1,N(U4807))</f>
        <v>134</v>
      </c>
    </row>
    <row r="4809" customFormat="false" ht="15" hidden="false" customHeight="false" outlineLevel="0" collapsed="false">
      <c r="B4809" s="53"/>
      <c r="I4809" s="53"/>
      <c r="U4809" s="31" t="n">
        <f aca="false">IF($B4809='設定（最初に1回）'!$C$4,N(U4808)+1,N(U4808))</f>
        <v>134</v>
      </c>
    </row>
    <row r="4810" customFormat="false" ht="15" hidden="false" customHeight="false" outlineLevel="0" collapsed="false">
      <c r="B4810" s="53"/>
      <c r="I4810" s="53"/>
      <c r="U4810" s="31" t="n">
        <f aca="false">IF($B4810='設定（最初に1回）'!$C$4,N(U4809)+1,N(U4809))</f>
        <v>134</v>
      </c>
    </row>
    <row r="4811" customFormat="false" ht="15" hidden="false" customHeight="false" outlineLevel="0" collapsed="false">
      <c r="B4811" s="53"/>
      <c r="I4811" s="53"/>
      <c r="U4811" s="31" t="n">
        <f aca="false">IF($B4811='設定（最初に1回）'!$C$4,N(U4810)+1,N(U4810))</f>
        <v>134</v>
      </c>
    </row>
    <row r="4812" customFormat="false" ht="15" hidden="false" customHeight="false" outlineLevel="0" collapsed="false">
      <c r="B4812" s="53"/>
      <c r="I4812" s="53"/>
      <c r="U4812" s="31" t="n">
        <f aca="false">IF($B4812='設定（最初に1回）'!$C$4,N(U4811)+1,N(U4811))</f>
        <v>134</v>
      </c>
    </row>
    <row r="4813" customFormat="false" ht="15" hidden="false" customHeight="false" outlineLevel="0" collapsed="false">
      <c r="B4813" s="53"/>
      <c r="I4813" s="53"/>
      <c r="U4813" s="31" t="n">
        <f aca="false">IF($B4813='設定（最初に1回）'!$C$4,N(U4812)+1,N(U4812))</f>
        <v>134</v>
      </c>
    </row>
    <row r="4814" customFormat="false" ht="15" hidden="false" customHeight="false" outlineLevel="0" collapsed="false">
      <c r="B4814" s="53"/>
      <c r="I4814" s="53"/>
      <c r="U4814" s="31" t="n">
        <f aca="false">IF($B4814='設定（最初に1回）'!$C$4,N(U4813)+1,N(U4813))</f>
        <v>134</v>
      </c>
    </row>
    <row r="4815" customFormat="false" ht="15" hidden="false" customHeight="false" outlineLevel="0" collapsed="false">
      <c r="B4815" s="53"/>
      <c r="I4815" s="53"/>
      <c r="U4815" s="31" t="n">
        <f aca="false">IF($B4815='設定（最初に1回）'!$C$4,N(U4814)+1,N(U4814))</f>
        <v>134</v>
      </c>
    </row>
    <row r="4816" customFormat="false" ht="15" hidden="false" customHeight="false" outlineLevel="0" collapsed="false">
      <c r="B4816" s="53"/>
      <c r="I4816" s="53"/>
      <c r="U4816" s="31" t="n">
        <f aca="false">IF($B4816='設定（最初に1回）'!$C$4,N(U4815)+1,N(U4815))</f>
        <v>134</v>
      </c>
    </row>
    <row r="4817" customFormat="false" ht="15" hidden="false" customHeight="false" outlineLevel="0" collapsed="false">
      <c r="B4817" s="53"/>
      <c r="I4817" s="53"/>
      <c r="U4817" s="31" t="n">
        <f aca="false">IF($B4817='設定（最初に1回）'!$C$4,N(U4816)+1,N(U4816))</f>
        <v>134</v>
      </c>
    </row>
    <row r="4818" customFormat="false" ht="15" hidden="false" customHeight="false" outlineLevel="0" collapsed="false">
      <c r="B4818" s="53"/>
      <c r="I4818" s="53"/>
      <c r="U4818" s="31" t="n">
        <f aca="false">IF($B4818='設定（最初に1回）'!$C$4,N(U4817)+1,N(U4817))</f>
        <v>134</v>
      </c>
    </row>
    <row r="4819" customFormat="false" ht="15" hidden="false" customHeight="false" outlineLevel="0" collapsed="false">
      <c r="B4819" s="53"/>
      <c r="I4819" s="53"/>
      <c r="U4819" s="31" t="n">
        <f aca="false">IF($B4819='設定（最初に1回）'!$C$4,N(U4818)+1,N(U4818))</f>
        <v>134</v>
      </c>
    </row>
    <row r="4820" customFormat="false" ht="15" hidden="false" customHeight="false" outlineLevel="0" collapsed="false">
      <c r="B4820" s="53"/>
      <c r="I4820" s="53"/>
      <c r="U4820" s="31" t="n">
        <f aca="false">IF($B4820='設定（最初に1回）'!$C$4,N(U4819)+1,N(U4819))</f>
        <v>134</v>
      </c>
    </row>
    <row r="4821" customFormat="false" ht="15" hidden="false" customHeight="false" outlineLevel="0" collapsed="false">
      <c r="B4821" s="53"/>
      <c r="I4821" s="53"/>
      <c r="U4821" s="31" t="n">
        <f aca="false">IF($B4821='設定（最初に1回）'!$C$4,N(U4820)+1,N(U4820))</f>
        <v>134</v>
      </c>
    </row>
    <row r="4822" customFormat="false" ht="15" hidden="false" customHeight="false" outlineLevel="0" collapsed="false">
      <c r="B4822" s="53"/>
      <c r="I4822" s="53"/>
      <c r="U4822" s="31" t="n">
        <f aca="false">IF($B4822='設定（最初に1回）'!$C$4,N(U4821)+1,N(U4821))</f>
        <v>134</v>
      </c>
    </row>
    <row r="4823" customFormat="false" ht="15" hidden="false" customHeight="false" outlineLevel="0" collapsed="false">
      <c r="B4823" s="53"/>
      <c r="I4823" s="53"/>
      <c r="U4823" s="31" t="n">
        <f aca="false">IF($B4823='設定（最初に1回）'!$C$4,N(U4822)+1,N(U4822))</f>
        <v>134</v>
      </c>
    </row>
    <row r="4824" customFormat="false" ht="15" hidden="false" customHeight="false" outlineLevel="0" collapsed="false">
      <c r="B4824" s="53"/>
      <c r="I4824" s="53"/>
      <c r="U4824" s="31" t="n">
        <f aca="false">IF($B4824='設定（最初に1回）'!$C$4,N(U4823)+1,N(U4823))</f>
        <v>134</v>
      </c>
    </row>
    <row r="4825" customFormat="false" ht="15" hidden="false" customHeight="false" outlineLevel="0" collapsed="false">
      <c r="B4825" s="53"/>
      <c r="I4825" s="53"/>
      <c r="U4825" s="31" t="n">
        <f aca="false">IF($B4825='設定（最初に1回）'!$C$4,N(U4824)+1,N(U4824))</f>
        <v>134</v>
      </c>
    </row>
    <row r="4826" customFormat="false" ht="15" hidden="false" customHeight="false" outlineLevel="0" collapsed="false">
      <c r="B4826" s="53"/>
      <c r="I4826" s="53"/>
      <c r="U4826" s="31" t="n">
        <f aca="false">IF($B4826='設定（最初に1回）'!$C$4,N(U4825)+1,N(U4825))</f>
        <v>134</v>
      </c>
    </row>
    <row r="4827" customFormat="false" ht="15" hidden="false" customHeight="false" outlineLevel="0" collapsed="false">
      <c r="B4827" s="53"/>
      <c r="I4827" s="53"/>
      <c r="U4827" s="31" t="n">
        <f aca="false">IF($B4827='設定（最初に1回）'!$C$4,N(U4826)+1,N(U4826))</f>
        <v>134</v>
      </c>
    </row>
    <row r="4828" customFormat="false" ht="15" hidden="false" customHeight="false" outlineLevel="0" collapsed="false">
      <c r="B4828" s="53"/>
      <c r="I4828" s="53"/>
      <c r="U4828" s="31" t="n">
        <f aca="false">IF($B4828='設定（最初に1回）'!$C$4,N(U4827)+1,N(U4827))</f>
        <v>134</v>
      </c>
    </row>
    <row r="4829" customFormat="false" ht="15" hidden="false" customHeight="false" outlineLevel="0" collapsed="false">
      <c r="B4829" s="53"/>
      <c r="I4829" s="53"/>
      <c r="U4829" s="31" t="n">
        <f aca="false">IF($B4829='設定（最初に1回）'!$C$4,N(U4828)+1,N(U4828))</f>
        <v>134</v>
      </c>
    </row>
    <row r="4830" customFormat="false" ht="15" hidden="false" customHeight="false" outlineLevel="0" collapsed="false">
      <c r="B4830" s="53"/>
      <c r="I4830" s="53"/>
      <c r="U4830" s="31" t="n">
        <f aca="false">IF($B4830='設定（最初に1回）'!$C$4,N(U4829)+1,N(U4829))</f>
        <v>134</v>
      </c>
    </row>
    <row r="4831" customFormat="false" ht="15" hidden="false" customHeight="false" outlineLevel="0" collapsed="false">
      <c r="B4831" s="53"/>
      <c r="I4831" s="53"/>
      <c r="U4831" s="31" t="n">
        <f aca="false">IF($B4831='設定（最初に1回）'!$C$4,N(U4830)+1,N(U4830))</f>
        <v>134</v>
      </c>
    </row>
    <row r="4832" customFormat="false" ht="15" hidden="false" customHeight="false" outlineLevel="0" collapsed="false">
      <c r="B4832" s="53"/>
      <c r="I4832" s="53"/>
      <c r="U4832" s="31" t="n">
        <f aca="false">IF($B4832='設定（最初に1回）'!$C$4,N(U4831)+1,N(U4831))</f>
        <v>134</v>
      </c>
    </row>
    <row r="4833" customFormat="false" ht="15" hidden="false" customHeight="false" outlineLevel="0" collapsed="false">
      <c r="B4833" s="53"/>
      <c r="I4833" s="53"/>
      <c r="U4833" s="31" t="n">
        <f aca="false">IF($B4833='設定（最初に1回）'!$C$4,N(U4832)+1,N(U4832))</f>
        <v>134</v>
      </c>
    </row>
    <row r="4834" customFormat="false" ht="15" hidden="false" customHeight="false" outlineLevel="0" collapsed="false">
      <c r="B4834" s="53"/>
      <c r="I4834" s="53"/>
      <c r="U4834" s="31" t="n">
        <f aca="false">IF($B4834='設定（最初に1回）'!$C$4,N(U4833)+1,N(U4833))</f>
        <v>134</v>
      </c>
    </row>
    <row r="4835" customFormat="false" ht="15" hidden="false" customHeight="false" outlineLevel="0" collapsed="false">
      <c r="B4835" s="53"/>
      <c r="I4835" s="53"/>
      <c r="U4835" s="31" t="n">
        <f aca="false">IF($B4835='設定（最初に1回）'!$C$4,N(U4834)+1,N(U4834))</f>
        <v>134</v>
      </c>
    </row>
    <row r="4836" customFormat="false" ht="15" hidden="false" customHeight="false" outlineLevel="0" collapsed="false">
      <c r="B4836" s="53"/>
      <c r="I4836" s="53"/>
      <c r="U4836" s="31" t="n">
        <f aca="false">IF($B4836='設定（最初に1回）'!$C$4,N(U4835)+1,N(U4835))</f>
        <v>134</v>
      </c>
    </row>
    <row r="4837" customFormat="false" ht="15" hidden="false" customHeight="false" outlineLevel="0" collapsed="false">
      <c r="B4837" s="53"/>
      <c r="I4837" s="53"/>
      <c r="U4837" s="31" t="n">
        <f aca="false">IF($B4837='設定（最初に1回）'!$C$4,N(U4836)+1,N(U4836))</f>
        <v>134</v>
      </c>
    </row>
    <row r="4838" customFormat="false" ht="15" hidden="false" customHeight="false" outlineLevel="0" collapsed="false">
      <c r="B4838" s="53"/>
      <c r="I4838" s="53"/>
      <c r="U4838" s="31" t="n">
        <f aca="false">IF($B4838='設定（最初に1回）'!$C$4,N(U4837)+1,N(U4837))</f>
        <v>134</v>
      </c>
    </row>
    <row r="4839" customFormat="false" ht="15" hidden="false" customHeight="false" outlineLevel="0" collapsed="false">
      <c r="B4839" s="53"/>
      <c r="I4839" s="53"/>
      <c r="U4839" s="31" t="n">
        <f aca="false">IF($B4839='設定（最初に1回）'!$C$4,N(U4838)+1,N(U4838))</f>
        <v>134</v>
      </c>
    </row>
    <row r="4840" customFormat="false" ht="15" hidden="false" customHeight="false" outlineLevel="0" collapsed="false">
      <c r="B4840" s="53"/>
      <c r="I4840" s="53"/>
      <c r="U4840" s="31" t="n">
        <f aca="false">IF($B4840='設定（最初に1回）'!$C$4,N(U4839)+1,N(U4839))</f>
        <v>134</v>
      </c>
    </row>
    <row r="4841" customFormat="false" ht="15" hidden="false" customHeight="false" outlineLevel="0" collapsed="false">
      <c r="B4841" s="53"/>
      <c r="I4841" s="53"/>
      <c r="U4841" s="31" t="n">
        <f aca="false">IF($B4841='設定（最初に1回）'!$C$4,N(U4840)+1,N(U4840))</f>
        <v>134</v>
      </c>
    </row>
    <row r="4842" customFormat="false" ht="15" hidden="false" customHeight="false" outlineLevel="0" collapsed="false">
      <c r="B4842" s="53"/>
      <c r="I4842" s="53"/>
      <c r="U4842" s="31" t="n">
        <f aca="false">IF($B4842='設定（最初に1回）'!$C$4,N(U4841)+1,N(U4841))</f>
        <v>134</v>
      </c>
    </row>
    <row r="4843" customFormat="false" ht="15" hidden="false" customHeight="false" outlineLevel="0" collapsed="false">
      <c r="B4843" s="53"/>
      <c r="I4843" s="53"/>
      <c r="U4843" s="31" t="n">
        <f aca="false">IF($B4843='設定（最初に1回）'!$C$4,N(U4842)+1,N(U4842))</f>
        <v>134</v>
      </c>
    </row>
    <row r="4844" customFormat="false" ht="15" hidden="false" customHeight="false" outlineLevel="0" collapsed="false">
      <c r="B4844" s="53"/>
      <c r="I4844" s="53"/>
      <c r="U4844" s="31" t="n">
        <f aca="false">IF($B4844='設定（最初に1回）'!$C$4,N(U4843)+1,N(U4843))</f>
        <v>134</v>
      </c>
    </row>
    <row r="4845" customFormat="false" ht="15" hidden="false" customHeight="false" outlineLevel="0" collapsed="false">
      <c r="B4845" s="53"/>
      <c r="I4845" s="53"/>
      <c r="U4845" s="31" t="n">
        <f aca="false">IF($B4845='設定（最初に1回）'!$C$4,N(U4844)+1,N(U4844))</f>
        <v>134</v>
      </c>
    </row>
    <row r="4846" customFormat="false" ht="15" hidden="false" customHeight="false" outlineLevel="0" collapsed="false">
      <c r="B4846" s="53"/>
      <c r="I4846" s="53"/>
      <c r="U4846" s="31" t="n">
        <f aca="false">IF($B4846='設定（最初に1回）'!$C$4,N(U4845)+1,N(U4845))</f>
        <v>134</v>
      </c>
    </row>
    <row r="4847" customFormat="false" ht="15" hidden="false" customHeight="false" outlineLevel="0" collapsed="false">
      <c r="B4847" s="53"/>
      <c r="I4847" s="53"/>
      <c r="U4847" s="31" t="n">
        <f aca="false">IF($B4847='設定（最初に1回）'!$C$4,N(U4846)+1,N(U4846))</f>
        <v>134</v>
      </c>
    </row>
    <row r="4848" customFormat="false" ht="15" hidden="false" customHeight="false" outlineLevel="0" collapsed="false">
      <c r="B4848" s="53"/>
      <c r="I4848" s="53"/>
      <c r="U4848" s="31" t="n">
        <f aca="false">IF($B4848='設定（最初に1回）'!$C$4,N(U4847)+1,N(U4847))</f>
        <v>134</v>
      </c>
    </row>
    <row r="4849" customFormat="false" ht="15" hidden="false" customHeight="false" outlineLevel="0" collapsed="false">
      <c r="B4849" s="53"/>
      <c r="I4849" s="53"/>
      <c r="U4849" s="31" t="n">
        <f aca="false">IF($B4849='設定（最初に1回）'!$C$4,N(U4848)+1,N(U4848))</f>
        <v>134</v>
      </c>
    </row>
    <row r="4850" customFormat="false" ht="15" hidden="false" customHeight="false" outlineLevel="0" collapsed="false">
      <c r="B4850" s="53"/>
      <c r="I4850" s="53"/>
      <c r="U4850" s="31" t="n">
        <f aca="false">IF($B4850='設定（最初に1回）'!$C$4,N(U4849)+1,N(U4849))</f>
        <v>134</v>
      </c>
    </row>
    <row r="4851" customFormat="false" ht="15" hidden="false" customHeight="false" outlineLevel="0" collapsed="false">
      <c r="B4851" s="53"/>
      <c r="I4851" s="53"/>
      <c r="U4851" s="31" t="n">
        <f aca="false">IF($B4851='設定（最初に1回）'!$C$4,N(U4850)+1,N(U4850))</f>
        <v>134</v>
      </c>
    </row>
    <row r="4852" customFormat="false" ht="15" hidden="false" customHeight="false" outlineLevel="0" collapsed="false">
      <c r="B4852" s="53"/>
      <c r="I4852" s="53"/>
      <c r="U4852" s="31" t="n">
        <f aca="false">IF($B4852='設定（最初に1回）'!$C$4,N(U4851)+1,N(U4851))</f>
        <v>134</v>
      </c>
    </row>
    <row r="4853" customFormat="false" ht="15" hidden="false" customHeight="false" outlineLevel="0" collapsed="false">
      <c r="B4853" s="53"/>
      <c r="I4853" s="53"/>
      <c r="U4853" s="31" t="n">
        <f aca="false">IF($B4853='設定（最初に1回）'!$C$4,N(U4852)+1,N(U4852))</f>
        <v>134</v>
      </c>
    </row>
    <row r="4854" customFormat="false" ht="15" hidden="false" customHeight="false" outlineLevel="0" collapsed="false">
      <c r="B4854" s="53"/>
      <c r="I4854" s="53"/>
      <c r="U4854" s="31" t="n">
        <f aca="false">IF($B4854='設定（最初に1回）'!$C$4,N(U4853)+1,N(U4853))</f>
        <v>134</v>
      </c>
    </row>
    <row r="4855" customFormat="false" ht="15" hidden="false" customHeight="false" outlineLevel="0" collapsed="false">
      <c r="B4855" s="53"/>
      <c r="I4855" s="53"/>
      <c r="U4855" s="31" t="n">
        <f aca="false">IF($B4855='設定（最初に1回）'!$C$4,N(U4854)+1,N(U4854))</f>
        <v>134</v>
      </c>
    </row>
    <row r="4856" customFormat="false" ht="15" hidden="false" customHeight="false" outlineLevel="0" collapsed="false">
      <c r="B4856" s="53"/>
      <c r="I4856" s="53"/>
      <c r="U4856" s="31" t="n">
        <f aca="false">IF($B4856='設定（最初に1回）'!$C$4,N(U4855)+1,N(U4855))</f>
        <v>134</v>
      </c>
    </row>
    <row r="4857" customFormat="false" ht="15" hidden="false" customHeight="false" outlineLevel="0" collapsed="false">
      <c r="B4857" s="53"/>
      <c r="I4857" s="53"/>
      <c r="U4857" s="31" t="n">
        <f aca="false">IF($B4857='設定（最初に1回）'!$C$4,N(U4856)+1,N(U4856))</f>
        <v>134</v>
      </c>
    </row>
    <row r="4858" customFormat="false" ht="15" hidden="false" customHeight="false" outlineLevel="0" collapsed="false">
      <c r="B4858" s="53"/>
      <c r="I4858" s="53"/>
      <c r="U4858" s="31" t="n">
        <f aca="false">IF($B4858='設定（最初に1回）'!$C$4,N(U4857)+1,N(U4857))</f>
        <v>134</v>
      </c>
    </row>
    <row r="4859" customFormat="false" ht="15" hidden="false" customHeight="false" outlineLevel="0" collapsed="false">
      <c r="B4859" s="53"/>
      <c r="I4859" s="53"/>
      <c r="U4859" s="31" t="n">
        <f aca="false">IF($B4859='設定（最初に1回）'!$C$4,N(U4858)+1,N(U4858))</f>
        <v>134</v>
      </c>
    </row>
    <row r="4860" customFormat="false" ht="15" hidden="false" customHeight="false" outlineLevel="0" collapsed="false">
      <c r="B4860" s="53"/>
      <c r="I4860" s="53"/>
      <c r="U4860" s="31" t="n">
        <f aca="false">IF($B4860='設定（最初に1回）'!$C$4,N(U4859)+1,N(U4859))</f>
        <v>134</v>
      </c>
    </row>
    <row r="4861" customFormat="false" ht="15" hidden="false" customHeight="false" outlineLevel="0" collapsed="false">
      <c r="B4861" s="53"/>
      <c r="I4861" s="53"/>
      <c r="U4861" s="31" t="n">
        <f aca="false">IF($B4861='設定（最初に1回）'!$C$4,N(U4860)+1,N(U4860))</f>
        <v>134</v>
      </c>
    </row>
    <row r="4862" customFormat="false" ht="15" hidden="false" customHeight="false" outlineLevel="0" collapsed="false">
      <c r="B4862" s="53"/>
      <c r="I4862" s="53"/>
      <c r="U4862" s="31" t="n">
        <f aca="false">IF($B4862='設定（最初に1回）'!$C$4,N(U4861)+1,N(U4861))</f>
        <v>134</v>
      </c>
    </row>
    <row r="4863" customFormat="false" ht="15" hidden="false" customHeight="false" outlineLevel="0" collapsed="false">
      <c r="B4863" s="53"/>
      <c r="I4863" s="53"/>
      <c r="U4863" s="31" t="n">
        <f aca="false">IF($B4863='設定（最初に1回）'!$C$4,N(U4862)+1,N(U4862))</f>
        <v>134</v>
      </c>
    </row>
    <row r="4864" customFormat="false" ht="15" hidden="false" customHeight="false" outlineLevel="0" collapsed="false">
      <c r="B4864" s="53"/>
      <c r="I4864" s="53"/>
      <c r="U4864" s="31" t="n">
        <f aca="false">IF($B4864='設定（最初に1回）'!$C$4,N(U4863)+1,N(U4863))</f>
        <v>134</v>
      </c>
    </row>
    <row r="4865" customFormat="false" ht="15" hidden="false" customHeight="false" outlineLevel="0" collapsed="false">
      <c r="B4865" s="53"/>
      <c r="I4865" s="53"/>
      <c r="U4865" s="31" t="n">
        <f aca="false">IF($B4865='設定（最初に1回）'!$C$4,N(U4864)+1,N(U4864))</f>
        <v>134</v>
      </c>
    </row>
    <row r="4866" customFormat="false" ht="15" hidden="false" customHeight="false" outlineLevel="0" collapsed="false">
      <c r="B4866" s="53"/>
      <c r="I4866" s="53"/>
      <c r="U4866" s="31" t="n">
        <f aca="false">IF($B4866='設定（最初に1回）'!$C$4,N(U4865)+1,N(U4865))</f>
        <v>134</v>
      </c>
    </row>
    <row r="4867" customFormat="false" ht="15" hidden="false" customHeight="false" outlineLevel="0" collapsed="false">
      <c r="B4867" s="53"/>
      <c r="I4867" s="53"/>
      <c r="U4867" s="31" t="n">
        <f aca="false">IF($B4867='設定（最初に1回）'!$C$4,N(U4866)+1,N(U4866))</f>
        <v>134</v>
      </c>
    </row>
    <row r="4868" customFormat="false" ht="15" hidden="false" customHeight="false" outlineLevel="0" collapsed="false">
      <c r="B4868" s="53"/>
      <c r="I4868" s="53"/>
      <c r="U4868" s="31" t="n">
        <f aca="false">IF($B4868='設定（最初に1回）'!$C$4,N(U4867)+1,N(U4867))</f>
        <v>134</v>
      </c>
    </row>
    <row r="4869" customFormat="false" ht="15" hidden="false" customHeight="false" outlineLevel="0" collapsed="false">
      <c r="B4869" s="53"/>
      <c r="I4869" s="53"/>
      <c r="U4869" s="31" t="n">
        <f aca="false">IF($B4869='設定（最初に1回）'!$C$4,N(U4868)+1,N(U4868))</f>
        <v>134</v>
      </c>
    </row>
    <row r="4870" customFormat="false" ht="15" hidden="false" customHeight="false" outlineLevel="0" collapsed="false">
      <c r="B4870" s="53"/>
      <c r="I4870" s="53"/>
      <c r="U4870" s="31" t="n">
        <f aca="false">IF($B4870='設定（最初に1回）'!$C$4,N(U4869)+1,N(U4869))</f>
        <v>134</v>
      </c>
    </row>
    <row r="4871" customFormat="false" ht="15" hidden="false" customHeight="false" outlineLevel="0" collapsed="false">
      <c r="B4871" s="53"/>
      <c r="I4871" s="53"/>
      <c r="U4871" s="31" t="n">
        <f aca="false">IF($B4871='設定（最初に1回）'!$C$4,N(U4870)+1,N(U4870))</f>
        <v>134</v>
      </c>
    </row>
    <row r="4872" customFormat="false" ht="15" hidden="false" customHeight="false" outlineLevel="0" collapsed="false">
      <c r="B4872" s="53"/>
      <c r="I4872" s="53"/>
      <c r="U4872" s="31" t="n">
        <f aca="false">IF($B4872='設定（最初に1回）'!$C$4,N(U4871)+1,N(U4871))</f>
        <v>134</v>
      </c>
    </row>
    <row r="4873" customFormat="false" ht="15" hidden="false" customHeight="false" outlineLevel="0" collapsed="false">
      <c r="B4873" s="53"/>
      <c r="I4873" s="53"/>
      <c r="U4873" s="31" t="n">
        <f aca="false">IF($B4873='設定（最初に1回）'!$C$4,N(U4872)+1,N(U4872))</f>
        <v>134</v>
      </c>
    </row>
    <row r="4874" customFormat="false" ht="15" hidden="false" customHeight="false" outlineLevel="0" collapsed="false">
      <c r="B4874" s="53"/>
      <c r="I4874" s="53"/>
      <c r="U4874" s="31" t="n">
        <f aca="false">IF($B4874='設定（最初に1回）'!$C$4,N(U4873)+1,N(U4873))</f>
        <v>134</v>
      </c>
    </row>
    <row r="4875" customFormat="false" ht="15" hidden="false" customHeight="false" outlineLevel="0" collapsed="false">
      <c r="B4875" s="53"/>
      <c r="I4875" s="53"/>
      <c r="U4875" s="31" t="n">
        <f aca="false">IF($B4875='設定（最初に1回）'!$C$4,N(U4874)+1,N(U4874))</f>
        <v>134</v>
      </c>
    </row>
    <row r="4876" customFormat="false" ht="15" hidden="false" customHeight="false" outlineLevel="0" collapsed="false">
      <c r="B4876" s="53"/>
      <c r="I4876" s="53"/>
      <c r="U4876" s="31" t="n">
        <f aca="false">IF($B4876='設定（最初に1回）'!$C$4,N(U4875)+1,N(U4875))</f>
        <v>134</v>
      </c>
    </row>
    <row r="4877" customFormat="false" ht="15" hidden="false" customHeight="false" outlineLevel="0" collapsed="false">
      <c r="B4877" s="53"/>
      <c r="I4877" s="53"/>
      <c r="U4877" s="31" t="n">
        <f aca="false">IF($B4877='設定（最初に1回）'!$C$4,N(U4876)+1,N(U4876))</f>
        <v>134</v>
      </c>
    </row>
    <row r="4878" customFormat="false" ht="15" hidden="false" customHeight="false" outlineLevel="0" collapsed="false">
      <c r="B4878" s="53"/>
      <c r="I4878" s="53"/>
      <c r="U4878" s="31" t="n">
        <f aca="false">IF($B4878='設定（最初に1回）'!$C$4,N(U4877)+1,N(U4877))</f>
        <v>134</v>
      </c>
    </row>
    <row r="4879" customFormat="false" ht="15" hidden="false" customHeight="false" outlineLevel="0" collapsed="false">
      <c r="B4879" s="53"/>
      <c r="I4879" s="53"/>
      <c r="U4879" s="31" t="n">
        <f aca="false">IF($B4879='設定（最初に1回）'!$C$4,N(U4878)+1,N(U4878))</f>
        <v>134</v>
      </c>
    </row>
    <row r="4880" customFormat="false" ht="15" hidden="false" customHeight="false" outlineLevel="0" collapsed="false">
      <c r="B4880" s="53"/>
      <c r="I4880" s="53"/>
      <c r="U4880" s="31" t="n">
        <f aca="false">IF($B4880='設定（最初に1回）'!$C$4,N(U4879)+1,N(U4879))</f>
        <v>134</v>
      </c>
    </row>
    <row r="4881" customFormat="false" ht="15" hidden="false" customHeight="false" outlineLevel="0" collapsed="false">
      <c r="B4881" s="53"/>
      <c r="I4881" s="53"/>
      <c r="U4881" s="31" t="n">
        <f aca="false">IF($B4881='設定（最初に1回）'!$C$4,N(U4880)+1,N(U4880))</f>
        <v>134</v>
      </c>
    </row>
    <row r="4882" customFormat="false" ht="15" hidden="false" customHeight="false" outlineLevel="0" collapsed="false">
      <c r="B4882" s="53"/>
      <c r="I4882" s="53"/>
      <c r="U4882" s="31" t="n">
        <f aca="false">IF($B4882='設定（最初に1回）'!$C$4,N(U4881)+1,N(U4881))</f>
        <v>134</v>
      </c>
    </row>
    <row r="4883" customFormat="false" ht="15" hidden="false" customHeight="false" outlineLevel="0" collapsed="false">
      <c r="B4883" s="53"/>
      <c r="I4883" s="53"/>
      <c r="U4883" s="31" t="n">
        <f aca="false">IF($B4883='設定（最初に1回）'!$C$4,N(U4882)+1,N(U4882))</f>
        <v>134</v>
      </c>
    </row>
    <row r="4884" customFormat="false" ht="15" hidden="false" customHeight="false" outlineLevel="0" collapsed="false">
      <c r="B4884" s="53"/>
      <c r="I4884" s="53"/>
      <c r="U4884" s="31" t="n">
        <f aca="false">IF($B4884='設定（最初に1回）'!$C$4,N(U4883)+1,N(U4883))</f>
        <v>134</v>
      </c>
    </row>
    <row r="4885" customFormat="false" ht="15" hidden="false" customHeight="false" outlineLevel="0" collapsed="false">
      <c r="B4885" s="53"/>
      <c r="I4885" s="53"/>
      <c r="U4885" s="31" t="n">
        <f aca="false">IF($B4885='設定（最初に1回）'!$C$4,N(U4884)+1,N(U4884))</f>
        <v>134</v>
      </c>
    </row>
    <row r="4886" customFormat="false" ht="15" hidden="false" customHeight="false" outlineLevel="0" collapsed="false">
      <c r="B4886" s="53"/>
      <c r="I4886" s="53"/>
      <c r="U4886" s="31" t="n">
        <f aca="false">IF($B4886='設定（最初に1回）'!$C$4,N(U4885)+1,N(U4885))</f>
        <v>134</v>
      </c>
    </row>
    <row r="4887" customFormat="false" ht="15" hidden="false" customHeight="false" outlineLevel="0" collapsed="false">
      <c r="B4887" s="53"/>
      <c r="I4887" s="53"/>
      <c r="U4887" s="31" t="n">
        <f aca="false">IF($B4887='設定（最初に1回）'!$C$4,N(U4886)+1,N(U4886))</f>
        <v>134</v>
      </c>
    </row>
    <row r="4888" customFormat="false" ht="15" hidden="false" customHeight="false" outlineLevel="0" collapsed="false">
      <c r="B4888" s="53"/>
      <c r="I4888" s="53"/>
      <c r="U4888" s="31" t="n">
        <f aca="false">IF($B4888='設定（最初に1回）'!$C$4,N(U4887)+1,N(U4887))</f>
        <v>134</v>
      </c>
    </row>
    <row r="4889" customFormat="false" ht="15" hidden="false" customHeight="false" outlineLevel="0" collapsed="false">
      <c r="B4889" s="53"/>
      <c r="I4889" s="53"/>
      <c r="U4889" s="31" t="n">
        <f aca="false">IF($B4889='設定（最初に1回）'!$C$4,N(U4888)+1,N(U4888))</f>
        <v>134</v>
      </c>
    </row>
    <row r="4890" customFormat="false" ht="15" hidden="false" customHeight="false" outlineLevel="0" collapsed="false">
      <c r="B4890" s="53"/>
      <c r="I4890" s="53"/>
      <c r="U4890" s="31" t="n">
        <f aca="false">IF($B4890='設定（最初に1回）'!$C$4,N(U4889)+1,N(U4889))</f>
        <v>134</v>
      </c>
    </row>
    <row r="4891" customFormat="false" ht="15" hidden="false" customHeight="false" outlineLevel="0" collapsed="false">
      <c r="B4891" s="53"/>
      <c r="I4891" s="53"/>
      <c r="U4891" s="31" t="n">
        <f aca="false">IF($B4891='設定（最初に1回）'!$C$4,N(U4890)+1,N(U4890))</f>
        <v>134</v>
      </c>
    </row>
    <row r="4892" customFormat="false" ht="15" hidden="false" customHeight="false" outlineLevel="0" collapsed="false">
      <c r="B4892" s="53"/>
      <c r="I4892" s="53"/>
      <c r="U4892" s="31" t="n">
        <f aca="false">IF($B4892='設定（最初に1回）'!$C$4,N(U4891)+1,N(U4891))</f>
        <v>134</v>
      </c>
    </row>
    <row r="4893" customFormat="false" ht="15" hidden="false" customHeight="false" outlineLevel="0" collapsed="false">
      <c r="B4893" s="53"/>
      <c r="I4893" s="53"/>
      <c r="U4893" s="31" t="n">
        <f aca="false">IF($B4893='設定（最初に1回）'!$C$4,N(U4892)+1,N(U4892))</f>
        <v>134</v>
      </c>
    </row>
    <row r="4894" customFormat="false" ht="15" hidden="false" customHeight="false" outlineLevel="0" collapsed="false">
      <c r="B4894" s="53"/>
      <c r="I4894" s="53"/>
      <c r="U4894" s="31" t="n">
        <f aca="false">IF($B4894='設定（最初に1回）'!$C$4,N(U4893)+1,N(U4893))</f>
        <v>134</v>
      </c>
    </row>
    <row r="4895" customFormat="false" ht="15" hidden="false" customHeight="false" outlineLevel="0" collapsed="false">
      <c r="B4895" s="53"/>
      <c r="I4895" s="53"/>
      <c r="U4895" s="31" t="n">
        <f aca="false">IF($B4895='設定（最初に1回）'!$C$4,N(U4894)+1,N(U4894))</f>
        <v>134</v>
      </c>
    </row>
    <row r="4896" customFormat="false" ht="15" hidden="false" customHeight="false" outlineLevel="0" collapsed="false">
      <c r="B4896" s="53"/>
      <c r="I4896" s="53"/>
      <c r="U4896" s="31" t="n">
        <f aca="false">IF($B4896='設定（最初に1回）'!$C$4,N(U4895)+1,N(U4895))</f>
        <v>134</v>
      </c>
    </row>
    <row r="4897" customFormat="false" ht="15" hidden="false" customHeight="false" outlineLevel="0" collapsed="false">
      <c r="B4897" s="53"/>
      <c r="I4897" s="53"/>
      <c r="U4897" s="31" t="n">
        <f aca="false">IF($B4897='設定（最初に1回）'!$C$4,N(U4896)+1,N(U4896))</f>
        <v>134</v>
      </c>
    </row>
    <row r="4898" customFormat="false" ht="15" hidden="false" customHeight="false" outlineLevel="0" collapsed="false">
      <c r="B4898" s="53"/>
      <c r="I4898" s="53"/>
      <c r="U4898" s="31" t="n">
        <f aca="false">IF($B4898='設定（最初に1回）'!$C$4,N(U4897)+1,N(U4897))</f>
        <v>134</v>
      </c>
    </row>
    <row r="4899" customFormat="false" ht="15" hidden="false" customHeight="false" outlineLevel="0" collapsed="false">
      <c r="B4899" s="53"/>
      <c r="I4899" s="53"/>
      <c r="U4899" s="31" t="n">
        <f aca="false">IF($B4899='設定（最初に1回）'!$C$4,N(U4898)+1,N(U4898))</f>
        <v>134</v>
      </c>
    </row>
    <row r="4900" customFormat="false" ht="15" hidden="false" customHeight="false" outlineLevel="0" collapsed="false">
      <c r="B4900" s="53"/>
      <c r="I4900" s="53"/>
      <c r="U4900" s="31" t="n">
        <f aca="false">IF($B4900='設定（最初に1回）'!$C$4,N(U4899)+1,N(U4899))</f>
        <v>134</v>
      </c>
    </row>
    <row r="4901" customFormat="false" ht="15" hidden="false" customHeight="false" outlineLevel="0" collapsed="false">
      <c r="B4901" s="53"/>
      <c r="I4901" s="53"/>
      <c r="U4901" s="31" t="n">
        <f aca="false">IF($B4901='設定（最初に1回）'!$C$4,N(U4900)+1,N(U4900))</f>
        <v>134</v>
      </c>
    </row>
    <row r="4902" customFormat="false" ht="15" hidden="false" customHeight="false" outlineLevel="0" collapsed="false">
      <c r="B4902" s="53"/>
      <c r="I4902" s="53"/>
      <c r="U4902" s="31" t="n">
        <f aca="false">IF($B4902='設定（最初に1回）'!$C$4,N(U4901)+1,N(U4901))</f>
        <v>134</v>
      </c>
    </row>
    <row r="4903" customFormat="false" ht="15" hidden="false" customHeight="false" outlineLevel="0" collapsed="false">
      <c r="B4903" s="53"/>
      <c r="I4903" s="53"/>
      <c r="U4903" s="31" t="n">
        <f aca="false">IF($B4903='設定（最初に1回）'!$C$4,N(U4902)+1,N(U4902))</f>
        <v>134</v>
      </c>
    </row>
    <row r="4904" customFormat="false" ht="15" hidden="false" customHeight="false" outlineLevel="0" collapsed="false">
      <c r="B4904" s="53"/>
      <c r="I4904" s="53"/>
      <c r="U4904" s="31" t="n">
        <f aca="false">IF($B4904='設定（最初に1回）'!$C$4,N(U4903)+1,N(U4903))</f>
        <v>134</v>
      </c>
    </row>
    <row r="4905" customFormat="false" ht="15" hidden="false" customHeight="false" outlineLevel="0" collapsed="false">
      <c r="B4905" s="53"/>
      <c r="I4905" s="53"/>
      <c r="U4905" s="31" t="n">
        <f aca="false">IF($B4905='設定（最初に1回）'!$C$4,N(U4904)+1,N(U4904))</f>
        <v>134</v>
      </c>
    </row>
    <row r="4906" customFormat="false" ht="15" hidden="false" customHeight="false" outlineLevel="0" collapsed="false">
      <c r="B4906" s="53"/>
      <c r="I4906" s="53"/>
      <c r="U4906" s="31" t="n">
        <f aca="false">IF($B4906='設定（最初に1回）'!$C$4,N(U4905)+1,N(U4905))</f>
        <v>134</v>
      </c>
    </row>
    <row r="4907" customFormat="false" ht="15" hidden="false" customHeight="false" outlineLevel="0" collapsed="false">
      <c r="B4907" s="53"/>
      <c r="I4907" s="53"/>
      <c r="U4907" s="31" t="n">
        <f aca="false">IF($B4907='設定（最初に1回）'!$C$4,N(U4906)+1,N(U4906))</f>
        <v>134</v>
      </c>
    </row>
    <row r="4908" customFormat="false" ht="15" hidden="false" customHeight="false" outlineLevel="0" collapsed="false">
      <c r="B4908" s="53"/>
      <c r="I4908" s="53"/>
      <c r="U4908" s="31" t="n">
        <f aca="false">IF($B4908='設定（最初に1回）'!$C$4,N(U4907)+1,N(U4907))</f>
        <v>134</v>
      </c>
    </row>
    <row r="4909" customFormat="false" ht="15" hidden="false" customHeight="false" outlineLevel="0" collapsed="false">
      <c r="B4909" s="53"/>
      <c r="I4909" s="53"/>
      <c r="U4909" s="31" t="n">
        <f aca="false">IF($B4909='設定（最初に1回）'!$C$4,N(U4908)+1,N(U4908))</f>
        <v>134</v>
      </c>
    </row>
    <row r="4910" customFormat="false" ht="15" hidden="false" customHeight="false" outlineLevel="0" collapsed="false">
      <c r="B4910" s="53"/>
      <c r="I4910" s="53"/>
      <c r="U4910" s="31" t="n">
        <f aca="false">IF($B4910='設定（最初に1回）'!$C$4,N(U4909)+1,N(U4909))</f>
        <v>134</v>
      </c>
    </row>
    <row r="4911" customFormat="false" ht="15" hidden="false" customHeight="false" outlineLevel="0" collapsed="false">
      <c r="B4911" s="53"/>
      <c r="I4911" s="53"/>
      <c r="U4911" s="31" t="n">
        <f aca="false">IF($B4911='設定（最初に1回）'!$C$4,N(U4910)+1,N(U4910))</f>
        <v>134</v>
      </c>
    </row>
    <row r="4912" customFormat="false" ht="15" hidden="false" customHeight="false" outlineLevel="0" collapsed="false">
      <c r="B4912" s="53"/>
      <c r="I4912" s="53"/>
      <c r="U4912" s="31" t="n">
        <f aca="false">IF($B4912='設定（最初に1回）'!$C$4,N(U4911)+1,N(U4911))</f>
        <v>134</v>
      </c>
    </row>
    <row r="4913" customFormat="false" ht="15" hidden="false" customHeight="false" outlineLevel="0" collapsed="false">
      <c r="B4913" s="53"/>
      <c r="I4913" s="53"/>
      <c r="U4913" s="31" t="n">
        <f aca="false">IF($B4913='設定（最初に1回）'!$C$4,N(U4912)+1,N(U4912))</f>
        <v>134</v>
      </c>
    </row>
    <row r="4914" customFormat="false" ht="15" hidden="false" customHeight="false" outlineLevel="0" collapsed="false">
      <c r="B4914" s="53"/>
      <c r="I4914" s="53"/>
      <c r="U4914" s="31" t="n">
        <f aca="false">IF($B4914='設定（最初に1回）'!$C$4,N(U4913)+1,N(U4913))</f>
        <v>134</v>
      </c>
    </row>
    <row r="4915" customFormat="false" ht="15" hidden="false" customHeight="false" outlineLevel="0" collapsed="false">
      <c r="B4915" s="53"/>
      <c r="I4915" s="53"/>
      <c r="U4915" s="31" t="n">
        <f aca="false">IF($B4915='設定（最初に1回）'!$C$4,N(U4914)+1,N(U4914))</f>
        <v>134</v>
      </c>
    </row>
    <row r="4916" customFormat="false" ht="15" hidden="false" customHeight="false" outlineLevel="0" collapsed="false">
      <c r="B4916" s="53"/>
      <c r="I4916" s="53"/>
      <c r="U4916" s="31" t="n">
        <f aca="false">IF($B4916='設定（最初に1回）'!$C$4,N(U4915)+1,N(U4915))</f>
        <v>134</v>
      </c>
    </row>
    <row r="4917" customFormat="false" ht="15" hidden="false" customHeight="false" outlineLevel="0" collapsed="false">
      <c r="B4917" s="53"/>
      <c r="I4917" s="53"/>
      <c r="U4917" s="31" t="n">
        <f aca="false">IF($B4917='設定（最初に1回）'!$C$4,N(U4916)+1,N(U4916))</f>
        <v>134</v>
      </c>
    </row>
    <row r="4918" customFormat="false" ht="15" hidden="false" customHeight="false" outlineLevel="0" collapsed="false">
      <c r="B4918" s="53"/>
      <c r="I4918" s="53"/>
      <c r="U4918" s="31" t="n">
        <f aca="false">IF($B4918='設定（最初に1回）'!$C$4,N(U4917)+1,N(U4917))</f>
        <v>134</v>
      </c>
    </row>
    <row r="4919" customFormat="false" ht="15" hidden="false" customHeight="false" outlineLevel="0" collapsed="false">
      <c r="B4919" s="53"/>
      <c r="I4919" s="53"/>
      <c r="U4919" s="31" t="n">
        <f aca="false">IF($B4919='設定（最初に1回）'!$C$4,N(U4918)+1,N(U4918))</f>
        <v>134</v>
      </c>
    </row>
    <row r="4920" customFormat="false" ht="15" hidden="false" customHeight="false" outlineLevel="0" collapsed="false">
      <c r="B4920" s="53"/>
      <c r="I4920" s="53"/>
      <c r="U4920" s="31" t="n">
        <f aca="false">IF($B4920='設定（最初に1回）'!$C$4,N(U4919)+1,N(U4919))</f>
        <v>134</v>
      </c>
    </row>
    <row r="4921" customFormat="false" ht="15" hidden="false" customHeight="false" outlineLevel="0" collapsed="false">
      <c r="B4921" s="53"/>
      <c r="I4921" s="53"/>
      <c r="U4921" s="31" t="n">
        <f aca="false">IF($B4921='設定（最初に1回）'!$C$4,N(U4920)+1,N(U4920))</f>
        <v>134</v>
      </c>
    </row>
    <row r="4922" customFormat="false" ht="15" hidden="false" customHeight="false" outlineLevel="0" collapsed="false">
      <c r="B4922" s="53"/>
      <c r="I4922" s="53"/>
      <c r="U4922" s="31" t="n">
        <f aca="false">IF($B4922='設定（最初に1回）'!$C$4,N(U4921)+1,N(U4921))</f>
        <v>134</v>
      </c>
    </row>
    <row r="4923" customFormat="false" ht="15" hidden="false" customHeight="false" outlineLevel="0" collapsed="false">
      <c r="B4923" s="53"/>
      <c r="I4923" s="53"/>
      <c r="U4923" s="31" t="n">
        <f aca="false">IF($B4923='設定（最初に1回）'!$C$4,N(U4922)+1,N(U4922))</f>
        <v>134</v>
      </c>
    </row>
    <row r="4924" customFormat="false" ht="15" hidden="false" customHeight="false" outlineLevel="0" collapsed="false">
      <c r="B4924" s="53"/>
      <c r="I4924" s="53"/>
      <c r="U4924" s="31" t="n">
        <f aca="false">IF($B4924='設定（最初に1回）'!$C$4,N(U4923)+1,N(U4923))</f>
        <v>134</v>
      </c>
    </row>
    <row r="4925" customFormat="false" ht="15" hidden="false" customHeight="false" outlineLevel="0" collapsed="false">
      <c r="B4925" s="53"/>
      <c r="I4925" s="53"/>
      <c r="U4925" s="31" t="n">
        <f aca="false">IF($B4925='設定（最初に1回）'!$C$4,N(U4924)+1,N(U4924))</f>
        <v>134</v>
      </c>
    </row>
    <row r="4926" customFormat="false" ht="15" hidden="false" customHeight="false" outlineLevel="0" collapsed="false">
      <c r="B4926" s="53"/>
      <c r="I4926" s="53"/>
      <c r="U4926" s="31" t="n">
        <f aca="false">IF($B4926='設定（最初に1回）'!$C$4,N(U4925)+1,N(U4925))</f>
        <v>134</v>
      </c>
    </row>
    <row r="4927" customFormat="false" ht="15" hidden="false" customHeight="false" outlineLevel="0" collapsed="false">
      <c r="B4927" s="53"/>
      <c r="I4927" s="53"/>
      <c r="U4927" s="31" t="n">
        <f aca="false">IF($B4927='設定（最初に1回）'!$C$4,N(U4926)+1,N(U4926))</f>
        <v>134</v>
      </c>
    </row>
    <row r="4928" customFormat="false" ht="15" hidden="false" customHeight="false" outlineLevel="0" collapsed="false">
      <c r="B4928" s="53"/>
      <c r="I4928" s="53"/>
      <c r="U4928" s="31" t="n">
        <f aca="false">IF($B4928='設定（最初に1回）'!$C$4,N(U4927)+1,N(U4927))</f>
        <v>134</v>
      </c>
    </row>
    <row r="4929" customFormat="false" ht="15" hidden="false" customHeight="false" outlineLevel="0" collapsed="false">
      <c r="B4929" s="53"/>
      <c r="I4929" s="53"/>
      <c r="U4929" s="31" t="n">
        <f aca="false">IF($B4929='設定（最初に1回）'!$C$4,N(U4928)+1,N(U4928))</f>
        <v>134</v>
      </c>
    </row>
    <row r="4930" customFormat="false" ht="15" hidden="false" customHeight="false" outlineLevel="0" collapsed="false">
      <c r="B4930" s="53"/>
      <c r="I4930" s="53"/>
      <c r="U4930" s="31" t="n">
        <f aca="false">IF($B4930='設定（最初に1回）'!$C$4,N(U4929)+1,N(U4929))</f>
        <v>134</v>
      </c>
    </row>
    <row r="4931" customFormat="false" ht="15" hidden="false" customHeight="false" outlineLevel="0" collapsed="false">
      <c r="B4931" s="53"/>
      <c r="I4931" s="53"/>
      <c r="U4931" s="31" t="n">
        <f aca="false">IF($B4931='設定（最初に1回）'!$C$4,N(U4930)+1,N(U4930))</f>
        <v>134</v>
      </c>
    </row>
    <row r="4932" customFormat="false" ht="15" hidden="false" customHeight="false" outlineLevel="0" collapsed="false">
      <c r="B4932" s="53"/>
      <c r="I4932" s="53"/>
      <c r="U4932" s="31" t="n">
        <f aca="false">IF($B4932='設定（最初に1回）'!$C$4,N(U4931)+1,N(U4931))</f>
        <v>134</v>
      </c>
    </row>
    <row r="4933" customFormat="false" ht="15" hidden="false" customHeight="false" outlineLevel="0" collapsed="false">
      <c r="B4933" s="53"/>
      <c r="I4933" s="53"/>
      <c r="U4933" s="31" t="n">
        <f aca="false">IF($B4933='設定（最初に1回）'!$C$4,N(U4932)+1,N(U4932))</f>
        <v>134</v>
      </c>
    </row>
    <row r="4934" customFormat="false" ht="15" hidden="false" customHeight="false" outlineLevel="0" collapsed="false">
      <c r="B4934" s="53"/>
      <c r="I4934" s="53"/>
      <c r="U4934" s="31" t="n">
        <f aca="false">IF($B4934='設定（最初に1回）'!$C$4,N(U4933)+1,N(U4933))</f>
        <v>134</v>
      </c>
    </row>
    <row r="4935" customFormat="false" ht="15" hidden="false" customHeight="false" outlineLevel="0" collapsed="false">
      <c r="B4935" s="53"/>
      <c r="I4935" s="53"/>
      <c r="U4935" s="31" t="n">
        <f aca="false">IF($B4935='設定（最初に1回）'!$C$4,N(U4934)+1,N(U4934))</f>
        <v>134</v>
      </c>
    </row>
    <row r="4936" customFormat="false" ht="15" hidden="false" customHeight="false" outlineLevel="0" collapsed="false">
      <c r="B4936" s="53"/>
      <c r="I4936" s="53"/>
      <c r="U4936" s="31" t="n">
        <f aca="false">IF($B4936='設定（最初に1回）'!$C$4,N(U4935)+1,N(U4935))</f>
        <v>134</v>
      </c>
    </row>
    <row r="4937" customFormat="false" ht="15" hidden="false" customHeight="false" outlineLevel="0" collapsed="false">
      <c r="B4937" s="53"/>
      <c r="I4937" s="53"/>
      <c r="U4937" s="31" t="n">
        <f aca="false">IF($B4937='設定（最初に1回）'!$C$4,N(U4936)+1,N(U4936))</f>
        <v>134</v>
      </c>
    </row>
    <row r="4938" customFormat="false" ht="15" hidden="false" customHeight="false" outlineLevel="0" collapsed="false">
      <c r="B4938" s="53"/>
      <c r="I4938" s="53"/>
      <c r="U4938" s="31" t="n">
        <f aca="false">IF($B4938='設定（最初に1回）'!$C$4,N(U4937)+1,N(U4937))</f>
        <v>134</v>
      </c>
    </row>
    <row r="4939" customFormat="false" ht="15" hidden="false" customHeight="false" outlineLevel="0" collapsed="false">
      <c r="B4939" s="53"/>
      <c r="I4939" s="53"/>
      <c r="U4939" s="31" t="n">
        <f aca="false">IF($B4939='設定（最初に1回）'!$C$4,N(U4938)+1,N(U4938))</f>
        <v>134</v>
      </c>
    </row>
    <row r="4940" customFormat="false" ht="15" hidden="false" customHeight="false" outlineLevel="0" collapsed="false">
      <c r="B4940" s="53"/>
      <c r="I4940" s="53"/>
      <c r="U4940" s="31" t="n">
        <f aca="false">IF($B4940='設定（最初に1回）'!$C$4,N(U4939)+1,N(U4939))</f>
        <v>134</v>
      </c>
    </row>
    <row r="4941" customFormat="false" ht="15" hidden="false" customHeight="false" outlineLevel="0" collapsed="false">
      <c r="B4941" s="53"/>
      <c r="I4941" s="53"/>
      <c r="U4941" s="31" t="n">
        <f aca="false">IF($B4941='設定（最初に1回）'!$C$4,N(U4940)+1,N(U4940))</f>
        <v>134</v>
      </c>
    </row>
    <row r="4942" customFormat="false" ht="15" hidden="false" customHeight="false" outlineLevel="0" collapsed="false">
      <c r="B4942" s="53"/>
      <c r="I4942" s="53"/>
      <c r="U4942" s="31" t="n">
        <f aca="false">IF($B4942='設定（最初に1回）'!$C$4,N(U4941)+1,N(U4941))</f>
        <v>134</v>
      </c>
    </row>
    <row r="4943" customFormat="false" ht="15" hidden="false" customHeight="false" outlineLevel="0" collapsed="false">
      <c r="B4943" s="53"/>
      <c r="I4943" s="53"/>
      <c r="U4943" s="31" t="n">
        <f aca="false">IF($B4943='設定（最初に1回）'!$C$4,N(U4942)+1,N(U4942))</f>
        <v>134</v>
      </c>
    </row>
    <row r="4944" customFormat="false" ht="15" hidden="false" customHeight="false" outlineLevel="0" collapsed="false">
      <c r="B4944" s="53"/>
      <c r="I4944" s="53"/>
      <c r="U4944" s="31" t="n">
        <f aca="false">IF($B4944='設定（最初に1回）'!$C$4,N(U4943)+1,N(U4943))</f>
        <v>134</v>
      </c>
    </row>
    <row r="4945" customFormat="false" ht="15" hidden="false" customHeight="false" outlineLevel="0" collapsed="false">
      <c r="B4945" s="53"/>
      <c r="I4945" s="53"/>
      <c r="U4945" s="31" t="n">
        <f aca="false">IF($B4945='設定（最初に1回）'!$C$4,N(U4944)+1,N(U4944))</f>
        <v>134</v>
      </c>
    </row>
    <row r="4946" customFormat="false" ht="15" hidden="false" customHeight="false" outlineLevel="0" collapsed="false">
      <c r="B4946" s="53"/>
      <c r="I4946" s="53"/>
      <c r="U4946" s="31" t="n">
        <f aca="false">IF($B4946='設定（最初に1回）'!$C$4,N(U4945)+1,N(U4945))</f>
        <v>134</v>
      </c>
    </row>
    <row r="4947" customFormat="false" ht="15" hidden="false" customHeight="false" outlineLevel="0" collapsed="false">
      <c r="B4947" s="53"/>
      <c r="I4947" s="53"/>
      <c r="U4947" s="31" t="n">
        <f aca="false">IF($B4947='設定（最初に1回）'!$C$4,N(U4946)+1,N(U4946))</f>
        <v>134</v>
      </c>
    </row>
    <row r="4948" customFormat="false" ht="15" hidden="false" customHeight="false" outlineLevel="0" collapsed="false">
      <c r="B4948" s="53"/>
      <c r="I4948" s="53"/>
      <c r="U4948" s="31" t="n">
        <f aca="false">IF($B4948='設定（最初に1回）'!$C$4,N(U4947)+1,N(U4947))</f>
        <v>134</v>
      </c>
    </row>
    <row r="4949" customFormat="false" ht="15" hidden="false" customHeight="false" outlineLevel="0" collapsed="false">
      <c r="B4949" s="53"/>
      <c r="I4949" s="53"/>
      <c r="U4949" s="31" t="n">
        <f aca="false">IF($B4949='設定（最初に1回）'!$C$4,N(U4948)+1,N(U4948))</f>
        <v>134</v>
      </c>
    </row>
    <row r="4950" customFormat="false" ht="15" hidden="false" customHeight="false" outlineLevel="0" collapsed="false">
      <c r="B4950" s="53"/>
      <c r="I4950" s="53"/>
      <c r="U4950" s="31" t="n">
        <f aca="false">IF($B4950='設定（最初に1回）'!$C$4,N(U4949)+1,N(U4949))</f>
        <v>134</v>
      </c>
    </row>
    <row r="4951" customFormat="false" ht="15" hidden="false" customHeight="false" outlineLevel="0" collapsed="false">
      <c r="B4951" s="53"/>
      <c r="I4951" s="53"/>
      <c r="U4951" s="31" t="n">
        <f aca="false">IF($B4951='設定（最初に1回）'!$C$4,N(U4950)+1,N(U4950))</f>
        <v>134</v>
      </c>
    </row>
    <row r="4952" customFormat="false" ht="15" hidden="false" customHeight="false" outlineLevel="0" collapsed="false">
      <c r="B4952" s="53"/>
      <c r="I4952" s="53"/>
      <c r="U4952" s="31" t="n">
        <f aca="false">IF($B4952='設定（最初に1回）'!$C$4,N(U4951)+1,N(U4951))</f>
        <v>134</v>
      </c>
    </row>
    <row r="4953" customFormat="false" ht="15" hidden="false" customHeight="false" outlineLevel="0" collapsed="false">
      <c r="B4953" s="53"/>
      <c r="I4953" s="53"/>
      <c r="U4953" s="31" t="n">
        <f aca="false">IF($B4953='設定（最初に1回）'!$C$4,N(U4952)+1,N(U4952))</f>
        <v>134</v>
      </c>
    </row>
    <row r="4954" customFormat="false" ht="15" hidden="false" customHeight="false" outlineLevel="0" collapsed="false">
      <c r="B4954" s="53"/>
      <c r="I4954" s="53"/>
      <c r="U4954" s="31" t="n">
        <f aca="false">IF($B4954='設定（最初に1回）'!$C$4,N(U4953)+1,N(U4953))</f>
        <v>134</v>
      </c>
    </row>
    <row r="4955" customFormat="false" ht="15" hidden="false" customHeight="false" outlineLevel="0" collapsed="false">
      <c r="B4955" s="53"/>
      <c r="I4955" s="53"/>
      <c r="U4955" s="31" t="n">
        <f aca="false">IF($B4955='設定（最初に1回）'!$C$4,N(U4954)+1,N(U4954))</f>
        <v>134</v>
      </c>
    </row>
    <row r="4956" customFormat="false" ht="15" hidden="false" customHeight="false" outlineLevel="0" collapsed="false">
      <c r="B4956" s="53"/>
      <c r="I4956" s="53"/>
      <c r="U4956" s="31" t="n">
        <f aca="false">IF($B4956='設定（最初に1回）'!$C$4,N(U4955)+1,N(U4955))</f>
        <v>134</v>
      </c>
    </row>
    <row r="4957" customFormat="false" ht="15" hidden="false" customHeight="false" outlineLevel="0" collapsed="false">
      <c r="B4957" s="53"/>
      <c r="I4957" s="53"/>
      <c r="U4957" s="31" t="n">
        <f aca="false">IF($B4957='設定（最初に1回）'!$C$4,N(U4956)+1,N(U4956))</f>
        <v>134</v>
      </c>
    </row>
    <row r="4958" customFormat="false" ht="15" hidden="false" customHeight="false" outlineLevel="0" collapsed="false">
      <c r="B4958" s="53"/>
      <c r="I4958" s="53"/>
      <c r="U4958" s="31" t="n">
        <f aca="false">IF($B4958='設定（最初に1回）'!$C$4,N(U4957)+1,N(U4957))</f>
        <v>134</v>
      </c>
    </row>
    <row r="4959" customFormat="false" ht="15" hidden="false" customHeight="false" outlineLevel="0" collapsed="false">
      <c r="B4959" s="53"/>
      <c r="I4959" s="53"/>
      <c r="U4959" s="31" t="n">
        <f aca="false">IF($B4959='設定（最初に1回）'!$C$4,N(U4958)+1,N(U4958))</f>
        <v>134</v>
      </c>
    </row>
    <row r="4960" customFormat="false" ht="15" hidden="false" customHeight="false" outlineLevel="0" collapsed="false">
      <c r="B4960" s="53"/>
      <c r="I4960" s="53"/>
      <c r="U4960" s="31" t="n">
        <f aca="false">IF($B4960='設定（最初に1回）'!$C$4,N(U4959)+1,N(U4959))</f>
        <v>134</v>
      </c>
    </row>
    <row r="4961" customFormat="false" ht="15" hidden="false" customHeight="false" outlineLevel="0" collapsed="false">
      <c r="B4961" s="53"/>
      <c r="I4961" s="53"/>
      <c r="U4961" s="31" t="n">
        <f aca="false">IF($B4961='設定（最初に1回）'!$C$4,N(U4960)+1,N(U4960))</f>
        <v>134</v>
      </c>
    </row>
    <row r="4962" customFormat="false" ht="15" hidden="false" customHeight="false" outlineLevel="0" collapsed="false">
      <c r="B4962" s="53"/>
      <c r="I4962" s="53"/>
      <c r="U4962" s="31" t="n">
        <f aca="false">IF($B4962='設定（最初に1回）'!$C$4,N(U4961)+1,N(U4961))</f>
        <v>134</v>
      </c>
    </row>
    <row r="4963" customFormat="false" ht="15" hidden="false" customHeight="false" outlineLevel="0" collapsed="false">
      <c r="B4963" s="53"/>
      <c r="I4963" s="53"/>
      <c r="U4963" s="31" t="n">
        <f aca="false">IF($B4963='設定（最初に1回）'!$C$4,N(U4962)+1,N(U4962))</f>
        <v>134</v>
      </c>
    </row>
    <row r="4964" customFormat="false" ht="15" hidden="false" customHeight="false" outlineLevel="0" collapsed="false">
      <c r="B4964" s="53"/>
      <c r="I4964" s="53"/>
      <c r="U4964" s="31" t="n">
        <f aca="false">IF($B4964='設定（最初に1回）'!$C$4,N(U4963)+1,N(U4963))</f>
        <v>134</v>
      </c>
    </row>
    <row r="4965" customFormat="false" ht="15" hidden="false" customHeight="false" outlineLevel="0" collapsed="false">
      <c r="B4965" s="53"/>
      <c r="I4965" s="53"/>
      <c r="U4965" s="31" t="n">
        <f aca="false">IF($B4965='設定（最初に1回）'!$C$4,N(U4964)+1,N(U4964))</f>
        <v>134</v>
      </c>
    </row>
    <row r="4966" customFormat="false" ht="15" hidden="false" customHeight="false" outlineLevel="0" collapsed="false">
      <c r="B4966" s="53"/>
      <c r="I4966" s="53"/>
      <c r="U4966" s="31" t="n">
        <f aca="false">IF($B4966='設定（最初に1回）'!$C$4,N(U4965)+1,N(U4965))</f>
        <v>134</v>
      </c>
    </row>
    <row r="4967" customFormat="false" ht="15" hidden="false" customHeight="false" outlineLevel="0" collapsed="false">
      <c r="B4967" s="53"/>
      <c r="I4967" s="53"/>
      <c r="U4967" s="31" t="n">
        <f aca="false">IF($B4967='設定（最初に1回）'!$C$4,N(U4966)+1,N(U4966))</f>
        <v>134</v>
      </c>
    </row>
    <row r="4968" customFormat="false" ht="15" hidden="false" customHeight="false" outlineLevel="0" collapsed="false">
      <c r="B4968" s="53"/>
      <c r="I4968" s="53"/>
      <c r="U4968" s="31" t="n">
        <f aca="false">IF($B4968='設定（最初に1回）'!$C$4,N(U4967)+1,N(U4967))</f>
        <v>134</v>
      </c>
    </row>
    <row r="4969" customFormat="false" ht="15" hidden="false" customHeight="false" outlineLevel="0" collapsed="false">
      <c r="B4969" s="53"/>
      <c r="I4969" s="53"/>
      <c r="U4969" s="31" t="n">
        <f aca="false">IF($B4969='設定（最初に1回）'!$C$4,N(U4968)+1,N(U4968))</f>
        <v>134</v>
      </c>
    </row>
    <row r="4970" customFormat="false" ht="15" hidden="false" customHeight="false" outlineLevel="0" collapsed="false">
      <c r="B4970" s="53"/>
      <c r="I4970" s="53"/>
      <c r="U4970" s="31" t="n">
        <f aca="false">IF($B4970='設定（最初に1回）'!$C$4,N(U4969)+1,N(U4969))</f>
        <v>134</v>
      </c>
    </row>
    <row r="4971" customFormat="false" ht="15" hidden="false" customHeight="false" outlineLevel="0" collapsed="false">
      <c r="B4971" s="53"/>
      <c r="I4971" s="53"/>
      <c r="U4971" s="31" t="n">
        <f aca="false">IF($B4971='設定（最初に1回）'!$C$4,N(U4970)+1,N(U4970))</f>
        <v>134</v>
      </c>
    </row>
    <row r="4972" customFormat="false" ht="15" hidden="false" customHeight="false" outlineLevel="0" collapsed="false">
      <c r="B4972" s="53"/>
      <c r="I4972" s="53"/>
      <c r="U4972" s="31" t="n">
        <f aca="false">IF($B4972='設定（最初に1回）'!$C$4,N(U4971)+1,N(U4971))</f>
        <v>134</v>
      </c>
    </row>
    <row r="4973" customFormat="false" ht="15" hidden="false" customHeight="false" outlineLevel="0" collapsed="false">
      <c r="B4973" s="53"/>
      <c r="I4973" s="53"/>
      <c r="U4973" s="31" t="n">
        <f aca="false">IF($B4973='設定（最初に1回）'!$C$4,N(U4972)+1,N(U4972))</f>
        <v>134</v>
      </c>
    </row>
    <row r="4974" customFormat="false" ht="15" hidden="false" customHeight="false" outlineLevel="0" collapsed="false">
      <c r="B4974" s="53"/>
      <c r="I4974" s="53"/>
      <c r="U4974" s="31" t="n">
        <f aca="false">IF($B4974='設定（最初に1回）'!$C$4,N(U4973)+1,N(U4973))</f>
        <v>134</v>
      </c>
    </row>
    <row r="4975" customFormat="false" ht="15" hidden="false" customHeight="false" outlineLevel="0" collapsed="false">
      <c r="B4975" s="53"/>
      <c r="I4975" s="53"/>
      <c r="U4975" s="31" t="n">
        <f aca="false">IF($B4975='設定（最初に1回）'!$C$4,N(U4974)+1,N(U4974))</f>
        <v>134</v>
      </c>
    </row>
    <row r="4976" customFormat="false" ht="15" hidden="false" customHeight="false" outlineLevel="0" collapsed="false">
      <c r="B4976" s="53"/>
      <c r="I4976" s="53"/>
      <c r="U4976" s="31" t="n">
        <f aca="false">IF($B4976='設定（最初に1回）'!$C$4,N(U4975)+1,N(U4975))</f>
        <v>134</v>
      </c>
    </row>
    <row r="4977" customFormat="false" ht="15" hidden="false" customHeight="false" outlineLevel="0" collapsed="false">
      <c r="B4977" s="53"/>
      <c r="I4977" s="53"/>
      <c r="U4977" s="31" t="n">
        <f aca="false">IF($B4977='設定（最初に1回）'!$C$4,N(U4976)+1,N(U4976))</f>
        <v>134</v>
      </c>
    </row>
    <row r="4978" customFormat="false" ht="15" hidden="false" customHeight="false" outlineLevel="0" collapsed="false">
      <c r="B4978" s="53"/>
      <c r="I4978" s="53"/>
      <c r="U4978" s="31" t="n">
        <f aca="false">IF($B4978='設定（最初に1回）'!$C$4,N(U4977)+1,N(U4977))</f>
        <v>134</v>
      </c>
    </row>
    <row r="4979" customFormat="false" ht="15" hidden="false" customHeight="false" outlineLevel="0" collapsed="false">
      <c r="B4979" s="53"/>
      <c r="I4979" s="53"/>
      <c r="U4979" s="31" t="n">
        <f aca="false">IF($B4979='設定（最初に1回）'!$C$4,N(U4978)+1,N(U4978))</f>
        <v>134</v>
      </c>
    </row>
    <row r="4980" customFormat="false" ht="15" hidden="false" customHeight="false" outlineLevel="0" collapsed="false">
      <c r="B4980" s="53"/>
      <c r="I4980" s="53"/>
      <c r="U4980" s="31" t="n">
        <f aca="false">IF($B4980='設定（最初に1回）'!$C$4,N(U4979)+1,N(U4979))</f>
        <v>134</v>
      </c>
    </row>
    <row r="4981" customFormat="false" ht="15" hidden="false" customHeight="false" outlineLevel="0" collapsed="false">
      <c r="B4981" s="53"/>
      <c r="I4981" s="53"/>
      <c r="U4981" s="31" t="n">
        <f aca="false">IF($B4981='設定（最初に1回）'!$C$4,N(U4980)+1,N(U4980))</f>
        <v>134</v>
      </c>
    </row>
    <row r="4982" customFormat="false" ht="15" hidden="false" customHeight="false" outlineLevel="0" collapsed="false">
      <c r="B4982" s="53"/>
      <c r="I4982" s="53"/>
      <c r="U4982" s="31" t="n">
        <f aca="false">IF($B4982='設定（最初に1回）'!$C$4,N(U4981)+1,N(U4981))</f>
        <v>134</v>
      </c>
    </row>
    <row r="4983" customFormat="false" ht="15" hidden="false" customHeight="false" outlineLevel="0" collapsed="false">
      <c r="B4983" s="53"/>
      <c r="I4983" s="53"/>
      <c r="U4983" s="31" t="n">
        <f aca="false">IF($B4983='設定（最初に1回）'!$C$4,N(U4982)+1,N(U4982))</f>
        <v>134</v>
      </c>
    </row>
    <row r="4984" customFormat="false" ht="15" hidden="false" customHeight="false" outlineLevel="0" collapsed="false">
      <c r="B4984" s="53"/>
      <c r="I4984" s="53"/>
      <c r="U4984" s="31" t="n">
        <f aca="false">IF($B4984='設定（最初に1回）'!$C$4,N(U4983)+1,N(U4983))</f>
        <v>134</v>
      </c>
    </row>
    <row r="4985" customFormat="false" ht="15" hidden="false" customHeight="false" outlineLevel="0" collapsed="false">
      <c r="B4985" s="53"/>
      <c r="I4985" s="53"/>
      <c r="U4985" s="31" t="n">
        <f aca="false">IF($B4985='設定（最初に1回）'!$C$4,N(U4984)+1,N(U4984))</f>
        <v>134</v>
      </c>
    </row>
    <row r="4986" customFormat="false" ht="15" hidden="false" customHeight="false" outlineLevel="0" collapsed="false">
      <c r="B4986" s="53"/>
      <c r="I4986" s="53"/>
      <c r="U4986" s="31" t="n">
        <f aca="false">IF($B4986='設定（最初に1回）'!$C$4,N(U4985)+1,N(U4985))</f>
        <v>134</v>
      </c>
    </row>
    <row r="4987" customFormat="false" ht="15" hidden="false" customHeight="false" outlineLevel="0" collapsed="false">
      <c r="B4987" s="53"/>
      <c r="I4987" s="53"/>
      <c r="U4987" s="31" t="n">
        <f aca="false">IF($B4987='設定（最初に1回）'!$C$4,N(U4986)+1,N(U4986))</f>
        <v>134</v>
      </c>
    </row>
    <row r="4988" customFormat="false" ht="15" hidden="false" customHeight="false" outlineLevel="0" collapsed="false">
      <c r="B4988" s="53"/>
      <c r="I4988" s="53"/>
      <c r="U4988" s="31" t="n">
        <f aca="false">IF($B4988='設定（最初に1回）'!$C$4,N(U4987)+1,N(U4987))</f>
        <v>134</v>
      </c>
    </row>
    <row r="4989" customFormat="false" ht="15" hidden="false" customHeight="false" outlineLevel="0" collapsed="false">
      <c r="B4989" s="53"/>
      <c r="I4989" s="53"/>
      <c r="U4989" s="31" t="n">
        <f aca="false">IF($B4989='設定（最初に1回）'!$C$4,N(U4988)+1,N(U4988))</f>
        <v>134</v>
      </c>
    </row>
    <row r="4990" customFormat="false" ht="15" hidden="false" customHeight="false" outlineLevel="0" collapsed="false">
      <c r="B4990" s="53"/>
      <c r="I4990" s="53"/>
      <c r="U4990" s="31" t="n">
        <f aca="false">IF($B4990='設定（最初に1回）'!$C$4,N(U4989)+1,N(U4989))</f>
        <v>134</v>
      </c>
    </row>
    <row r="4991" customFormat="false" ht="15" hidden="false" customHeight="false" outlineLevel="0" collapsed="false">
      <c r="B4991" s="53"/>
      <c r="I4991" s="53"/>
      <c r="U4991" s="31" t="n">
        <f aca="false">IF($B4991='設定（最初に1回）'!$C$4,N(U4990)+1,N(U4990))</f>
        <v>134</v>
      </c>
    </row>
    <row r="4992" customFormat="false" ht="15" hidden="false" customHeight="false" outlineLevel="0" collapsed="false">
      <c r="B4992" s="53"/>
      <c r="I4992" s="53"/>
      <c r="U4992" s="31" t="n">
        <f aca="false">IF($B4992='設定（最初に1回）'!$C$4,N(U4991)+1,N(U4991))</f>
        <v>134</v>
      </c>
    </row>
    <row r="4993" customFormat="false" ht="15" hidden="false" customHeight="false" outlineLevel="0" collapsed="false">
      <c r="B4993" s="53"/>
      <c r="I4993" s="53"/>
      <c r="U4993" s="31" t="n">
        <f aca="false">IF($B4993='設定（最初に1回）'!$C$4,N(U4992)+1,N(U4992))</f>
        <v>134</v>
      </c>
    </row>
    <row r="4994" customFormat="false" ht="15" hidden="false" customHeight="false" outlineLevel="0" collapsed="false">
      <c r="B4994" s="53"/>
      <c r="I4994" s="53"/>
      <c r="U4994" s="31" t="n">
        <f aca="false">IF($B4994='設定（最初に1回）'!$C$4,N(U4993)+1,N(U4993))</f>
        <v>134</v>
      </c>
    </row>
    <row r="4995" customFormat="false" ht="15" hidden="false" customHeight="false" outlineLevel="0" collapsed="false">
      <c r="B4995" s="53"/>
      <c r="I4995" s="53"/>
      <c r="U4995" s="31" t="n">
        <f aca="false">IF($B4995='設定（最初に1回）'!$C$4,N(U4994)+1,N(U4994))</f>
        <v>134</v>
      </c>
    </row>
    <row r="4996" customFormat="false" ht="15" hidden="false" customHeight="false" outlineLevel="0" collapsed="false">
      <c r="B4996" s="53"/>
      <c r="I4996" s="53"/>
      <c r="U4996" s="31" t="n">
        <f aca="false">IF($B4996='設定（最初に1回）'!$C$4,N(U4995)+1,N(U4995))</f>
        <v>134</v>
      </c>
    </row>
    <row r="4997" customFormat="false" ht="15" hidden="false" customHeight="false" outlineLevel="0" collapsed="false">
      <c r="B4997" s="53"/>
      <c r="I4997" s="53"/>
      <c r="U4997" s="31" t="n">
        <f aca="false">IF($B4997='設定（最初に1回）'!$C$4,N(U4996)+1,N(U4996))</f>
        <v>134</v>
      </c>
    </row>
    <row r="4998" customFormat="false" ht="15" hidden="false" customHeight="false" outlineLevel="0" collapsed="false">
      <c r="B4998" s="53"/>
      <c r="I4998" s="53"/>
      <c r="U4998" s="31" t="n">
        <f aca="false">IF($B4998='設定（最初に1回）'!$C$4,N(U4997)+1,N(U4997))</f>
        <v>134</v>
      </c>
    </row>
    <row r="4999" customFormat="false" ht="15" hidden="false" customHeight="false" outlineLevel="0" collapsed="false">
      <c r="B4999" s="53"/>
      <c r="I4999" s="53"/>
      <c r="U4999" s="31" t="n">
        <f aca="false">IF($B4999='設定（最初に1回）'!$C$4,N(U4998)+1,N(U4998))</f>
        <v>134</v>
      </c>
    </row>
    <row r="5000" customFormat="false" ht="15" hidden="false" customHeight="false" outlineLevel="0" collapsed="false">
      <c r="B5000" s="53"/>
      <c r="I5000" s="53"/>
      <c r="U5000" s="31" t="n">
        <f aca="false">IF($B5000='設定（最初に1回）'!$C$4,N(U4999)+1,N(U4999))</f>
        <v>134</v>
      </c>
    </row>
    <row r="5001" customFormat="false" ht="15" hidden="false" customHeight="false" outlineLevel="0" collapsed="false">
      <c r="B5001" s="53"/>
      <c r="I5001" s="53"/>
      <c r="U5001" s="31" t="n">
        <f aca="false">IF($B5001='設定（最初に1回）'!$C$4,N(U5000)+1,N(U5000))</f>
        <v>134</v>
      </c>
    </row>
    <row r="5002" customFormat="false" ht="15" hidden="false" customHeight="false" outlineLevel="0" collapsed="false">
      <c r="B5002" s="53"/>
      <c r="I5002" s="53"/>
      <c r="U5002" s="31" t="n">
        <f aca="false">IF($B5002='設定（最初に1回）'!$C$4,N(U5001)+1,N(U5001))</f>
        <v>134</v>
      </c>
    </row>
    <row r="5003" customFormat="false" ht="15" hidden="false" customHeight="false" outlineLevel="0" collapsed="false">
      <c r="B5003" s="53"/>
      <c r="I5003" s="53"/>
      <c r="U5003" s="31" t="n">
        <f aca="false">IF($B5003='設定（最初に1回）'!$C$4,N(U5002)+1,N(U5002))</f>
        <v>134</v>
      </c>
    </row>
    <row r="5004" customFormat="false" ht="15" hidden="false" customHeight="false" outlineLevel="0" collapsed="false">
      <c r="B5004" s="53"/>
      <c r="I5004" s="53"/>
      <c r="U5004" s="31" t="n">
        <f aca="false">IF($B5004='設定（最初に1回）'!$C$4,N(U5003)+1,N(U5003))</f>
        <v>134</v>
      </c>
    </row>
    <row r="5005" customFormat="false" ht="15" hidden="false" customHeight="false" outlineLevel="0" collapsed="false">
      <c r="B5005" s="53"/>
      <c r="I5005" s="53"/>
      <c r="U5005" s="31" t="n">
        <f aca="false">IF($B5005='設定（最初に1回）'!$C$4,N(U5004)+1,N(U5004))</f>
        <v>134</v>
      </c>
    </row>
    <row r="5006" customFormat="false" ht="15" hidden="false" customHeight="false" outlineLevel="0" collapsed="false">
      <c r="B5006" s="53"/>
      <c r="I5006" s="53"/>
      <c r="U5006" s="31" t="n">
        <f aca="false">IF($B5006='設定（最初に1回）'!$C$4,N(U5005)+1,N(U5005))</f>
        <v>134</v>
      </c>
    </row>
    <row r="5007" customFormat="false" ht="15" hidden="false" customHeight="false" outlineLevel="0" collapsed="false">
      <c r="B5007" s="53"/>
      <c r="I5007" s="53"/>
      <c r="U5007" s="31" t="n">
        <f aca="false">IF($B5007='設定（最初に1回）'!$C$4,N(U5006)+1,N(U5006))</f>
        <v>134</v>
      </c>
    </row>
    <row r="5008" customFormat="false" ht="15" hidden="false" customHeight="false" outlineLevel="0" collapsed="false">
      <c r="B5008" s="53"/>
      <c r="I5008" s="53"/>
      <c r="U5008" s="31" t="n">
        <f aca="false">IF($B5008='設定（最初に1回）'!$C$4,N(U5007)+1,N(U5007))</f>
        <v>134</v>
      </c>
    </row>
    <row r="5009" customFormat="false" ht="15" hidden="false" customHeight="false" outlineLevel="0" collapsed="false">
      <c r="B5009" s="53"/>
      <c r="I5009" s="53"/>
      <c r="U5009" s="31" t="n">
        <f aca="false">IF($B5009='設定（最初に1回）'!$C$4,N(U5008)+1,N(U5008))</f>
        <v>134</v>
      </c>
    </row>
    <row r="5010" customFormat="false" ht="15" hidden="false" customHeight="false" outlineLevel="0" collapsed="false">
      <c r="B5010" s="53"/>
      <c r="I5010" s="53"/>
      <c r="U5010" s="31" t="n">
        <f aca="false">IF($B5010='設定（最初に1回）'!$C$4,N(U5009)+1,N(U5009))</f>
        <v>134</v>
      </c>
    </row>
    <row r="5011" customFormat="false" ht="15" hidden="false" customHeight="false" outlineLevel="0" collapsed="false">
      <c r="B5011" s="53"/>
      <c r="I5011" s="53"/>
      <c r="U5011" s="31" t="n">
        <f aca="false">IF($B5011='設定（最初に1回）'!$C$4,N(U5010)+1,N(U5010))</f>
        <v>134</v>
      </c>
    </row>
    <row r="5012" customFormat="false" ht="15" hidden="false" customHeight="false" outlineLevel="0" collapsed="false">
      <c r="B5012" s="53"/>
      <c r="I5012" s="53"/>
      <c r="U5012" s="31" t="n">
        <f aca="false">IF($B5012='設定（最初に1回）'!$C$4,N(U5011)+1,N(U5011))</f>
        <v>134</v>
      </c>
    </row>
    <row r="5013" customFormat="false" ht="15" hidden="false" customHeight="false" outlineLevel="0" collapsed="false">
      <c r="B5013" s="53"/>
      <c r="I5013" s="53"/>
      <c r="U5013" s="31" t="n">
        <f aca="false">IF($B5013='設定（最初に1回）'!$C$4,N(U5012)+1,N(U5012))</f>
        <v>134</v>
      </c>
    </row>
    <row r="5014" customFormat="false" ht="15" hidden="false" customHeight="false" outlineLevel="0" collapsed="false">
      <c r="B5014" s="53"/>
      <c r="I5014" s="53"/>
      <c r="U5014" s="31" t="n">
        <f aca="false">IF($B5014='設定（最初に1回）'!$C$4,N(U5013)+1,N(U5013))</f>
        <v>134</v>
      </c>
    </row>
    <row r="5015" customFormat="false" ht="15" hidden="false" customHeight="false" outlineLevel="0" collapsed="false">
      <c r="B5015" s="53"/>
      <c r="I5015" s="53"/>
      <c r="U5015" s="31" t="n">
        <f aca="false">IF($B5015='設定（最初に1回）'!$C$4,N(U5014)+1,N(U5014))</f>
        <v>134</v>
      </c>
    </row>
    <row r="5016" customFormat="false" ht="15" hidden="false" customHeight="false" outlineLevel="0" collapsed="false">
      <c r="B5016" s="53"/>
      <c r="I5016" s="53"/>
      <c r="U5016" s="31" t="n">
        <f aca="false">IF($B5016='設定（最初に1回）'!$C$4,N(U5015)+1,N(U5015))</f>
        <v>134</v>
      </c>
    </row>
    <row r="5017" customFormat="false" ht="15" hidden="false" customHeight="false" outlineLevel="0" collapsed="false">
      <c r="B5017" s="53"/>
      <c r="I5017" s="53"/>
      <c r="U5017" s="31" t="n">
        <f aca="false">IF($B5017='設定（最初に1回）'!$C$4,N(U5016)+1,N(U5016))</f>
        <v>134</v>
      </c>
    </row>
    <row r="5018" customFormat="false" ht="15" hidden="false" customHeight="false" outlineLevel="0" collapsed="false">
      <c r="B5018" s="53"/>
      <c r="I5018" s="53"/>
      <c r="U5018" s="31" t="n">
        <f aca="false">IF($B5018='設定（最初に1回）'!$C$4,N(U5017)+1,N(U5017))</f>
        <v>134</v>
      </c>
    </row>
    <row r="5019" customFormat="false" ht="15" hidden="false" customHeight="false" outlineLevel="0" collapsed="false">
      <c r="B5019" s="53"/>
      <c r="I5019" s="53"/>
      <c r="U5019" s="31" t="n">
        <f aca="false">IF($B5019='設定（最初に1回）'!$C$4,N(U5018)+1,N(U5018))</f>
        <v>134</v>
      </c>
    </row>
    <row r="5020" customFormat="false" ht="15" hidden="false" customHeight="false" outlineLevel="0" collapsed="false">
      <c r="B5020" s="53"/>
      <c r="I5020" s="53"/>
      <c r="U5020" s="31" t="n">
        <f aca="false">IF($B5020='設定（最初に1回）'!$C$4,N(U5019)+1,N(U5019))</f>
        <v>134</v>
      </c>
    </row>
    <row r="5021" customFormat="false" ht="15" hidden="false" customHeight="false" outlineLevel="0" collapsed="false">
      <c r="B5021" s="53"/>
      <c r="I5021" s="53"/>
      <c r="U5021" s="31" t="n">
        <f aca="false">IF($B5021='設定（最初に1回）'!$C$4,N(U5020)+1,N(U5020))</f>
        <v>134</v>
      </c>
    </row>
    <row r="5022" customFormat="false" ht="15" hidden="false" customHeight="false" outlineLevel="0" collapsed="false">
      <c r="B5022" s="53"/>
      <c r="I5022" s="53"/>
      <c r="U5022" s="31" t="n">
        <f aca="false">IF($B5022='設定（最初に1回）'!$C$4,N(U5021)+1,N(U5021))</f>
        <v>134</v>
      </c>
    </row>
    <row r="5023" customFormat="false" ht="15" hidden="false" customHeight="false" outlineLevel="0" collapsed="false">
      <c r="B5023" s="53"/>
      <c r="I5023" s="53"/>
      <c r="U5023" s="31" t="n">
        <f aca="false">IF($B5023='設定（最初に1回）'!$C$4,N(U5022)+1,N(U5022))</f>
        <v>134</v>
      </c>
    </row>
    <row r="5024" customFormat="false" ht="15" hidden="false" customHeight="false" outlineLevel="0" collapsed="false">
      <c r="B5024" s="53"/>
      <c r="I5024" s="53"/>
      <c r="U5024" s="31" t="n">
        <f aca="false">IF($B5024='設定（最初に1回）'!$C$4,N(U5023)+1,N(U5023))</f>
        <v>134</v>
      </c>
    </row>
    <row r="5025" customFormat="false" ht="15" hidden="false" customHeight="false" outlineLevel="0" collapsed="false">
      <c r="B5025" s="53"/>
      <c r="I5025" s="53"/>
      <c r="U5025" s="31" t="n">
        <f aca="false">IF($B5025='設定（最初に1回）'!$C$4,N(U5024)+1,N(U5024))</f>
        <v>134</v>
      </c>
    </row>
    <row r="5026" customFormat="false" ht="15" hidden="false" customHeight="false" outlineLevel="0" collapsed="false">
      <c r="B5026" s="53"/>
      <c r="I5026" s="53"/>
      <c r="U5026" s="31" t="n">
        <f aca="false">IF($B5026='設定（最初に1回）'!$C$4,N(U5025)+1,N(U5025))</f>
        <v>134</v>
      </c>
    </row>
    <row r="5027" customFormat="false" ht="15" hidden="false" customHeight="false" outlineLevel="0" collapsed="false">
      <c r="B5027" s="53"/>
      <c r="I5027" s="53"/>
      <c r="U5027" s="31" t="n">
        <f aca="false">IF($B5027='設定（最初に1回）'!$C$4,N(U5026)+1,N(U5026))</f>
        <v>134</v>
      </c>
    </row>
    <row r="5028" customFormat="false" ht="15" hidden="false" customHeight="false" outlineLevel="0" collapsed="false">
      <c r="B5028" s="53"/>
      <c r="I5028" s="53"/>
      <c r="U5028" s="31" t="n">
        <f aca="false">IF($B5028='設定（最初に1回）'!$C$4,N(U5027)+1,N(U5027))</f>
        <v>134</v>
      </c>
    </row>
    <row r="5029" customFormat="false" ht="15" hidden="false" customHeight="false" outlineLevel="0" collapsed="false">
      <c r="B5029" s="53"/>
      <c r="I5029" s="53"/>
      <c r="U5029" s="31" t="n">
        <f aca="false">IF($B5029='設定（最初に1回）'!$C$4,N(U5028)+1,N(U5028))</f>
        <v>134</v>
      </c>
    </row>
    <row r="5030" customFormat="false" ht="15" hidden="false" customHeight="false" outlineLevel="0" collapsed="false">
      <c r="B5030" s="53"/>
      <c r="I5030" s="53"/>
      <c r="U5030" s="31" t="n">
        <f aca="false">IF($B5030='設定（最初に1回）'!$C$4,N(U5029)+1,N(U5029))</f>
        <v>134</v>
      </c>
    </row>
    <row r="5031" customFormat="false" ht="15" hidden="false" customHeight="false" outlineLevel="0" collapsed="false">
      <c r="B5031" s="53"/>
      <c r="I5031" s="53"/>
      <c r="U5031" s="31" t="n">
        <f aca="false">IF($B5031='設定（最初に1回）'!$C$4,N(U5030)+1,N(U5030))</f>
        <v>134</v>
      </c>
    </row>
    <row r="5032" customFormat="false" ht="15" hidden="false" customHeight="false" outlineLevel="0" collapsed="false">
      <c r="B5032" s="53"/>
      <c r="I5032" s="53"/>
      <c r="U5032" s="31" t="n">
        <f aca="false">IF($B5032='設定（最初に1回）'!$C$4,N(U5031)+1,N(U5031))</f>
        <v>134</v>
      </c>
    </row>
    <row r="5033" customFormat="false" ht="15" hidden="false" customHeight="false" outlineLevel="0" collapsed="false">
      <c r="B5033" s="53"/>
      <c r="I5033" s="53"/>
      <c r="U5033" s="31" t="n">
        <f aca="false">IF($B5033='設定（最初に1回）'!$C$4,N(U5032)+1,N(U5032))</f>
        <v>134</v>
      </c>
    </row>
    <row r="5034" customFormat="false" ht="15" hidden="false" customHeight="false" outlineLevel="0" collapsed="false">
      <c r="B5034" s="53"/>
      <c r="I5034" s="53"/>
      <c r="U5034" s="31" t="n">
        <f aca="false">IF($B5034='設定（最初に1回）'!$C$4,N(U5033)+1,N(U5033))</f>
        <v>134</v>
      </c>
    </row>
    <row r="5035" customFormat="false" ht="15" hidden="false" customHeight="false" outlineLevel="0" collapsed="false">
      <c r="B5035" s="53"/>
      <c r="I5035" s="53"/>
      <c r="U5035" s="31" t="n">
        <f aca="false">IF($B5035='設定（最初に1回）'!$C$4,N(U5034)+1,N(U5034))</f>
        <v>134</v>
      </c>
    </row>
    <row r="5036" customFormat="false" ht="15" hidden="false" customHeight="false" outlineLevel="0" collapsed="false">
      <c r="B5036" s="53"/>
      <c r="I5036" s="53"/>
      <c r="U5036" s="31" t="n">
        <f aca="false">IF($B5036='設定（最初に1回）'!$C$4,N(U5035)+1,N(U5035))</f>
        <v>134</v>
      </c>
    </row>
    <row r="5037" customFormat="false" ht="15" hidden="false" customHeight="false" outlineLevel="0" collapsed="false">
      <c r="B5037" s="53"/>
      <c r="I5037" s="53"/>
      <c r="U5037" s="31" t="n">
        <f aca="false">IF($B5037='設定（最初に1回）'!$C$4,N(U5036)+1,N(U5036))</f>
        <v>134</v>
      </c>
    </row>
    <row r="5038" customFormat="false" ht="15" hidden="false" customHeight="false" outlineLevel="0" collapsed="false">
      <c r="B5038" s="53"/>
      <c r="I5038" s="53"/>
      <c r="U5038" s="31" t="n">
        <f aca="false">IF($B5038='設定（最初に1回）'!$C$4,N(U5037)+1,N(U5037))</f>
        <v>134</v>
      </c>
    </row>
    <row r="5039" customFormat="false" ht="15" hidden="false" customHeight="false" outlineLevel="0" collapsed="false">
      <c r="B5039" s="53"/>
      <c r="I5039" s="53"/>
      <c r="U5039" s="31" t="n">
        <f aca="false">IF($B5039='設定（最初に1回）'!$C$4,N(U5038)+1,N(U5038))</f>
        <v>134</v>
      </c>
    </row>
    <row r="5040" customFormat="false" ht="15" hidden="false" customHeight="false" outlineLevel="0" collapsed="false">
      <c r="B5040" s="53"/>
      <c r="I5040" s="53"/>
      <c r="U5040" s="31" t="n">
        <f aca="false">IF($B5040='設定（最初に1回）'!$C$4,N(U5039)+1,N(U5039))</f>
        <v>134</v>
      </c>
    </row>
    <row r="5041" customFormat="false" ht="15" hidden="false" customHeight="false" outlineLevel="0" collapsed="false">
      <c r="B5041" s="53"/>
      <c r="I5041" s="53"/>
      <c r="U5041" s="31" t="n">
        <f aca="false">IF($B5041='設定（最初に1回）'!$C$4,N(U5040)+1,N(U5040))</f>
        <v>134</v>
      </c>
    </row>
    <row r="5042" customFormat="false" ht="15" hidden="false" customHeight="false" outlineLevel="0" collapsed="false">
      <c r="B5042" s="53"/>
      <c r="I5042" s="53"/>
      <c r="U5042" s="31" t="n">
        <f aca="false">IF($B5042='設定（最初に1回）'!$C$4,N(U5041)+1,N(U5041))</f>
        <v>134</v>
      </c>
    </row>
    <row r="5043" customFormat="false" ht="15" hidden="false" customHeight="false" outlineLevel="0" collapsed="false">
      <c r="B5043" s="53"/>
      <c r="I5043" s="53"/>
      <c r="U5043" s="31" t="n">
        <f aca="false">IF($B5043='設定（最初に1回）'!$C$4,N(U5042)+1,N(U5042))</f>
        <v>134</v>
      </c>
    </row>
    <row r="5044" customFormat="false" ht="15" hidden="false" customHeight="false" outlineLevel="0" collapsed="false">
      <c r="B5044" s="53"/>
      <c r="I5044" s="53"/>
      <c r="U5044" s="31" t="n">
        <f aca="false">IF($B5044='設定（最初に1回）'!$C$4,N(U5043)+1,N(U5043))</f>
        <v>134</v>
      </c>
    </row>
    <row r="5045" customFormat="false" ht="15" hidden="false" customHeight="false" outlineLevel="0" collapsed="false">
      <c r="B5045" s="53"/>
      <c r="I5045" s="53"/>
      <c r="U5045" s="31" t="n">
        <f aca="false">IF($B5045='設定（最初に1回）'!$C$4,N(U5044)+1,N(U5044))</f>
        <v>134</v>
      </c>
    </row>
    <row r="5046" customFormat="false" ht="15" hidden="false" customHeight="false" outlineLevel="0" collapsed="false">
      <c r="B5046" s="53"/>
      <c r="I5046" s="53"/>
      <c r="U5046" s="31" t="n">
        <f aca="false">IF($B5046='設定（最初に1回）'!$C$4,N(U5045)+1,N(U5045))</f>
        <v>134</v>
      </c>
    </row>
    <row r="5047" customFormat="false" ht="15" hidden="false" customHeight="false" outlineLevel="0" collapsed="false">
      <c r="B5047" s="53"/>
      <c r="I5047" s="53"/>
      <c r="U5047" s="31" t="n">
        <f aca="false">IF($B5047='設定（最初に1回）'!$C$4,N(U5046)+1,N(U5046))</f>
        <v>134</v>
      </c>
    </row>
    <row r="5048" customFormat="false" ht="15" hidden="false" customHeight="false" outlineLevel="0" collapsed="false">
      <c r="B5048" s="53"/>
      <c r="I5048" s="53"/>
      <c r="U5048" s="31" t="n">
        <f aca="false">IF($B5048='設定（最初に1回）'!$C$4,N(U5047)+1,N(U5047))</f>
        <v>134</v>
      </c>
    </row>
    <row r="5049" customFormat="false" ht="15" hidden="false" customHeight="false" outlineLevel="0" collapsed="false">
      <c r="B5049" s="53"/>
      <c r="I5049" s="53"/>
      <c r="U5049" s="31" t="n">
        <f aca="false">IF($B5049='設定（最初に1回）'!$C$4,N(U5048)+1,N(U5048))</f>
        <v>134</v>
      </c>
    </row>
    <row r="5050" customFormat="false" ht="15" hidden="false" customHeight="false" outlineLevel="0" collapsed="false">
      <c r="B5050" s="53"/>
      <c r="I5050" s="53"/>
      <c r="U5050" s="31" t="n">
        <f aca="false">IF($B5050='設定（最初に1回）'!$C$4,N(U5049)+1,N(U5049))</f>
        <v>134</v>
      </c>
    </row>
    <row r="5051" customFormat="false" ht="15" hidden="false" customHeight="false" outlineLevel="0" collapsed="false">
      <c r="B5051" s="53"/>
      <c r="I5051" s="53"/>
      <c r="U5051" s="31" t="n">
        <f aca="false">IF($B5051='設定（最初に1回）'!$C$4,N(U5050)+1,N(U5050))</f>
        <v>134</v>
      </c>
    </row>
    <row r="5052" customFormat="false" ht="15" hidden="false" customHeight="false" outlineLevel="0" collapsed="false">
      <c r="B5052" s="53"/>
      <c r="I5052" s="53"/>
      <c r="U5052" s="31" t="n">
        <f aca="false">IF($B5052='設定（最初に1回）'!$C$4,N(U5051)+1,N(U5051))</f>
        <v>134</v>
      </c>
    </row>
    <row r="5053" customFormat="false" ht="15" hidden="false" customHeight="false" outlineLevel="0" collapsed="false">
      <c r="B5053" s="53"/>
      <c r="I5053" s="53"/>
      <c r="U5053" s="31" t="n">
        <f aca="false">IF($B5053='設定（最初に1回）'!$C$4,N(U5052)+1,N(U5052))</f>
        <v>134</v>
      </c>
    </row>
    <row r="5054" customFormat="false" ht="15" hidden="false" customHeight="false" outlineLevel="0" collapsed="false">
      <c r="B5054" s="53"/>
      <c r="I5054" s="53"/>
      <c r="U5054" s="31" t="n">
        <f aca="false">IF($B5054='設定（最初に1回）'!$C$4,N(U5053)+1,N(U5053))</f>
        <v>134</v>
      </c>
    </row>
    <row r="5055" customFormat="false" ht="15" hidden="false" customHeight="false" outlineLevel="0" collapsed="false">
      <c r="B5055" s="53"/>
      <c r="I5055" s="53"/>
      <c r="U5055" s="31" t="n">
        <f aca="false">IF($B5055='設定（最初に1回）'!$C$4,N(U5054)+1,N(U5054))</f>
        <v>134</v>
      </c>
    </row>
    <row r="5056" customFormat="false" ht="15" hidden="false" customHeight="false" outlineLevel="0" collapsed="false">
      <c r="B5056" s="53"/>
      <c r="I5056" s="53"/>
      <c r="U5056" s="31" t="n">
        <f aca="false">IF($B5056='設定（最初に1回）'!$C$4,N(U5055)+1,N(U5055))</f>
        <v>134</v>
      </c>
    </row>
    <row r="5057" customFormat="false" ht="15" hidden="false" customHeight="false" outlineLevel="0" collapsed="false">
      <c r="B5057" s="53"/>
      <c r="I5057" s="53"/>
      <c r="U5057" s="31" t="n">
        <f aca="false">IF($B5057='設定（最初に1回）'!$C$4,N(U5056)+1,N(U5056))</f>
        <v>134</v>
      </c>
    </row>
    <row r="5058" customFormat="false" ht="15" hidden="false" customHeight="false" outlineLevel="0" collapsed="false">
      <c r="B5058" s="53"/>
      <c r="I5058" s="53"/>
      <c r="U5058" s="31" t="n">
        <f aca="false">IF($B5058='設定（最初に1回）'!$C$4,N(U5057)+1,N(U5057))</f>
        <v>134</v>
      </c>
    </row>
    <row r="5059" customFormat="false" ht="15" hidden="false" customHeight="false" outlineLevel="0" collapsed="false">
      <c r="B5059" s="53"/>
      <c r="I5059" s="53"/>
      <c r="U5059" s="31" t="n">
        <f aca="false">IF($B5059='設定（最初に1回）'!$C$4,N(U5058)+1,N(U5058))</f>
        <v>134</v>
      </c>
    </row>
    <row r="5060" customFormat="false" ht="15" hidden="false" customHeight="false" outlineLevel="0" collapsed="false">
      <c r="B5060" s="53"/>
      <c r="I5060" s="53"/>
      <c r="U5060" s="31" t="n">
        <f aca="false">IF($B5060='設定（最初に1回）'!$C$4,N(U5059)+1,N(U5059))</f>
        <v>134</v>
      </c>
    </row>
    <row r="5061" customFormat="false" ht="15" hidden="false" customHeight="false" outlineLevel="0" collapsed="false">
      <c r="B5061" s="53"/>
      <c r="I5061" s="53"/>
      <c r="U5061" s="31" t="n">
        <f aca="false">IF($B5061='設定（最初に1回）'!$C$4,N(U5060)+1,N(U5060))</f>
        <v>134</v>
      </c>
    </row>
    <row r="5062" customFormat="false" ht="15" hidden="false" customHeight="false" outlineLevel="0" collapsed="false">
      <c r="B5062" s="53"/>
      <c r="I5062" s="53"/>
      <c r="U5062" s="31" t="n">
        <f aca="false">IF($B5062='設定（最初に1回）'!$C$4,N(U5061)+1,N(U5061))</f>
        <v>134</v>
      </c>
    </row>
    <row r="5063" customFormat="false" ht="15" hidden="false" customHeight="false" outlineLevel="0" collapsed="false">
      <c r="B5063" s="53"/>
      <c r="I5063" s="53"/>
      <c r="U5063" s="31" t="n">
        <f aca="false">IF($B5063='設定（最初に1回）'!$C$4,N(U5062)+1,N(U5062))</f>
        <v>134</v>
      </c>
    </row>
    <row r="5064" customFormat="false" ht="15" hidden="false" customHeight="false" outlineLevel="0" collapsed="false">
      <c r="B5064" s="53"/>
      <c r="I5064" s="53"/>
      <c r="U5064" s="31" t="n">
        <f aca="false">IF($B5064='設定（最初に1回）'!$C$4,N(U5063)+1,N(U5063))</f>
        <v>134</v>
      </c>
    </row>
    <row r="5065" customFormat="false" ht="15" hidden="false" customHeight="false" outlineLevel="0" collapsed="false">
      <c r="B5065" s="53"/>
      <c r="I5065" s="53"/>
      <c r="U5065" s="31" t="n">
        <f aca="false">IF($B5065='設定（最初に1回）'!$C$4,N(U5064)+1,N(U5064))</f>
        <v>134</v>
      </c>
    </row>
    <row r="5066" customFormat="false" ht="15" hidden="false" customHeight="false" outlineLevel="0" collapsed="false">
      <c r="B5066" s="53"/>
      <c r="I5066" s="53"/>
      <c r="U5066" s="31" t="n">
        <f aca="false">IF($B5066='設定（最初に1回）'!$C$4,N(U5065)+1,N(U5065))</f>
        <v>134</v>
      </c>
    </row>
    <row r="5067" customFormat="false" ht="15" hidden="false" customHeight="false" outlineLevel="0" collapsed="false">
      <c r="B5067" s="53"/>
      <c r="I5067" s="53"/>
      <c r="U5067" s="31" t="n">
        <f aca="false">IF($B5067='設定（最初に1回）'!$C$4,N(U5066)+1,N(U5066))</f>
        <v>134</v>
      </c>
    </row>
    <row r="5068" customFormat="false" ht="15" hidden="false" customHeight="false" outlineLevel="0" collapsed="false">
      <c r="B5068" s="53"/>
      <c r="I5068" s="53"/>
      <c r="U5068" s="31" t="n">
        <f aca="false">IF($B5068='設定（最初に1回）'!$C$4,N(U5067)+1,N(U5067))</f>
        <v>134</v>
      </c>
    </row>
    <row r="5069" customFormat="false" ht="15" hidden="false" customHeight="false" outlineLevel="0" collapsed="false">
      <c r="B5069" s="53"/>
      <c r="I5069" s="53"/>
      <c r="U5069" s="31" t="n">
        <f aca="false">IF($B5069='設定（最初に1回）'!$C$4,N(U5068)+1,N(U5068))</f>
        <v>134</v>
      </c>
    </row>
    <row r="5070" customFormat="false" ht="15" hidden="false" customHeight="false" outlineLevel="0" collapsed="false">
      <c r="B5070" s="53"/>
      <c r="I5070" s="53"/>
      <c r="U5070" s="31" t="n">
        <f aca="false">IF($B5070='設定（最初に1回）'!$C$4,N(U5069)+1,N(U5069))</f>
        <v>134</v>
      </c>
    </row>
    <row r="5071" customFormat="false" ht="15" hidden="false" customHeight="false" outlineLevel="0" collapsed="false">
      <c r="B5071" s="53"/>
      <c r="I5071" s="53"/>
      <c r="U5071" s="31" t="n">
        <f aca="false">IF($B5071='設定（最初に1回）'!$C$4,N(U5070)+1,N(U5070))</f>
        <v>134</v>
      </c>
    </row>
    <row r="5072" customFormat="false" ht="15" hidden="false" customHeight="false" outlineLevel="0" collapsed="false">
      <c r="B5072" s="53"/>
      <c r="I5072" s="53"/>
      <c r="U5072" s="31" t="n">
        <f aca="false">IF($B5072='設定（最初に1回）'!$C$4,N(U5071)+1,N(U5071))</f>
        <v>134</v>
      </c>
    </row>
    <row r="5073" customFormat="false" ht="15" hidden="false" customHeight="false" outlineLevel="0" collapsed="false">
      <c r="B5073" s="53"/>
      <c r="I5073" s="53"/>
      <c r="U5073" s="31" t="n">
        <f aca="false">IF($B5073='設定（最初に1回）'!$C$4,N(U5072)+1,N(U5072))</f>
        <v>134</v>
      </c>
    </row>
    <row r="5074" customFormat="false" ht="15" hidden="false" customHeight="false" outlineLevel="0" collapsed="false">
      <c r="B5074" s="53"/>
      <c r="I5074" s="53"/>
      <c r="U5074" s="31" t="n">
        <f aca="false">IF($B5074='設定（最初に1回）'!$C$4,N(U5073)+1,N(U5073))</f>
        <v>134</v>
      </c>
    </row>
    <row r="5075" customFormat="false" ht="15" hidden="false" customHeight="false" outlineLevel="0" collapsed="false">
      <c r="B5075" s="53"/>
      <c r="I5075" s="53"/>
      <c r="U5075" s="31" t="n">
        <f aca="false">IF($B5075='設定（最初に1回）'!$C$4,N(U5074)+1,N(U5074))</f>
        <v>134</v>
      </c>
    </row>
    <row r="5076" customFormat="false" ht="15" hidden="false" customHeight="false" outlineLevel="0" collapsed="false">
      <c r="B5076" s="53"/>
      <c r="I5076" s="53"/>
      <c r="U5076" s="31" t="n">
        <f aca="false">IF($B5076='設定（最初に1回）'!$C$4,N(U5075)+1,N(U5075))</f>
        <v>134</v>
      </c>
    </row>
    <row r="5077" customFormat="false" ht="15" hidden="false" customHeight="false" outlineLevel="0" collapsed="false">
      <c r="B5077" s="53"/>
      <c r="I5077" s="53"/>
      <c r="U5077" s="31" t="n">
        <f aca="false">IF($B5077='設定（最初に1回）'!$C$4,N(U5076)+1,N(U5076))</f>
        <v>134</v>
      </c>
    </row>
    <row r="5078" customFormat="false" ht="15" hidden="false" customHeight="false" outlineLevel="0" collapsed="false">
      <c r="B5078" s="53"/>
      <c r="I5078" s="53"/>
      <c r="U5078" s="31" t="n">
        <f aca="false">IF($B5078='設定（最初に1回）'!$C$4,N(U5077)+1,N(U5077))</f>
        <v>134</v>
      </c>
    </row>
    <row r="5079" customFormat="false" ht="15" hidden="false" customHeight="false" outlineLevel="0" collapsed="false">
      <c r="B5079" s="53"/>
      <c r="I5079" s="53"/>
      <c r="U5079" s="31" t="n">
        <f aca="false">IF($B5079='設定（最初に1回）'!$C$4,N(U5078)+1,N(U5078))</f>
        <v>134</v>
      </c>
    </row>
    <row r="5080" customFormat="false" ht="15" hidden="false" customHeight="false" outlineLevel="0" collapsed="false">
      <c r="B5080" s="53"/>
      <c r="I5080" s="53"/>
      <c r="U5080" s="31" t="n">
        <f aca="false">IF($B5080='設定（最初に1回）'!$C$4,N(U5079)+1,N(U5079))</f>
        <v>134</v>
      </c>
    </row>
    <row r="5081" customFormat="false" ht="15" hidden="false" customHeight="false" outlineLevel="0" collapsed="false">
      <c r="B5081" s="53"/>
      <c r="I5081" s="53"/>
      <c r="U5081" s="31" t="n">
        <f aca="false">IF($B5081='設定（最初に1回）'!$C$4,N(U5080)+1,N(U5080))</f>
        <v>134</v>
      </c>
    </row>
    <row r="5082" customFormat="false" ht="15" hidden="false" customHeight="false" outlineLevel="0" collapsed="false">
      <c r="B5082" s="53"/>
      <c r="I5082" s="53"/>
      <c r="U5082" s="31" t="n">
        <f aca="false">IF($B5082='設定（最初に1回）'!$C$4,N(U5081)+1,N(U5081))</f>
        <v>134</v>
      </c>
    </row>
    <row r="5083" customFormat="false" ht="15" hidden="false" customHeight="false" outlineLevel="0" collapsed="false">
      <c r="B5083" s="53"/>
      <c r="I5083" s="53"/>
      <c r="U5083" s="31" t="n">
        <f aca="false">IF($B5083='設定（最初に1回）'!$C$4,N(U5082)+1,N(U5082))</f>
        <v>134</v>
      </c>
    </row>
    <row r="5084" customFormat="false" ht="15" hidden="false" customHeight="false" outlineLevel="0" collapsed="false">
      <c r="B5084" s="53"/>
      <c r="I5084" s="53"/>
      <c r="U5084" s="31" t="n">
        <f aca="false">IF($B5084='設定（最初に1回）'!$C$4,N(U5083)+1,N(U5083))</f>
        <v>134</v>
      </c>
    </row>
    <row r="5085" customFormat="false" ht="15" hidden="false" customHeight="false" outlineLevel="0" collapsed="false">
      <c r="B5085" s="53"/>
      <c r="I5085" s="53"/>
      <c r="U5085" s="31" t="n">
        <f aca="false">IF($B5085='設定（最初に1回）'!$C$4,N(U5084)+1,N(U5084))</f>
        <v>134</v>
      </c>
    </row>
    <row r="5086" customFormat="false" ht="15" hidden="false" customHeight="false" outlineLevel="0" collapsed="false">
      <c r="B5086" s="53"/>
      <c r="I5086" s="53"/>
      <c r="U5086" s="31" t="n">
        <f aca="false">IF($B5086='設定（最初に1回）'!$C$4,N(U5085)+1,N(U5085))</f>
        <v>134</v>
      </c>
    </row>
    <row r="5087" customFormat="false" ht="15" hidden="false" customHeight="false" outlineLevel="0" collapsed="false">
      <c r="B5087" s="53"/>
      <c r="I5087" s="53"/>
      <c r="U5087" s="31" t="n">
        <f aca="false">IF($B5087='設定（最初に1回）'!$C$4,N(U5086)+1,N(U5086))</f>
        <v>134</v>
      </c>
    </row>
    <row r="5088" customFormat="false" ht="15" hidden="false" customHeight="false" outlineLevel="0" collapsed="false">
      <c r="B5088" s="53"/>
      <c r="I5088" s="53"/>
      <c r="U5088" s="31" t="n">
        <f aca="false">IF($B5088='設定（最初に1回）'!$C$4,N(U5087)+1,N(U5087))</f>
        <v>134</v>
      </c>
    </row>
    <row r="5089" customFormat="false" ht="15" hidden="false" customHeight="false" outlineLevel="0" collapsed="false">
      <c r="B5089" s="53"/>
      <c r="I5089" s="53"/>
      <c r="U5089" s="31" t="n">
        <f aca="false">IF($B5089='設定（最初に1回）'!$C$4,N(U5088)+1,N(U5088))</f>
        <v>134</v>
      </c>
    </row>
    <row r="5090" customFormat="false" ht="15" hidden="false" customHeight="false" outlineLevel="0" collapsed="false">
      <c r="B5090" s="53"/>
      <c r="I5090" s="53"/>
      <c r="U5090" s="31" t="n">
        <f aca="false">IF($B5090='設定（最初に1回）'!$C$4,N(U5089)+1,N(U5089))</f>
        <v>134</v>
      </c>
    </row>
    <row r="5091" customFormat="false" ht="15" hidden="false" customHeight="false" outlineLevel="0" collapsed="false">
      <c r="B5091" s="53"/>
      <c r="I5091" s="53"/>
      <c r="U5091" s="31" t="n">
        <f aca="false">IF($B5091='設定（最初に1回）'!$C$4,N(U5090)+1,N(U5090))</f>
        <v>134</v>
      </c>
    </row>
    <row r="5092" customFormat="false" ht="15" hidden="false" customHeight="false" outlineLevel="0" collapsed="false">
      <c r="B5092" s="53"/>
      <c r="I5092" s="53"/>
      <c r="U5092" s="31" t="n">
        <f aca="false">IF($B5092='設定（最初に1回）'!$C$4,N(U5091)+1,N(U5091))</f>
        <v>134</v>
      </c>
    </row>
    <row r="5093" customFormat="false" ht="15" hidden="false" customHeight="false" outlineLevel="0" collapsed="false">
      <c r="B5093" s="53"/>
      <c r="I5093" s="53"/>
      <c r="U5093" s="31" t="n">
        <f aca="false">IF($B5093='設定（最初に1回）'!$C$4,N(U5092)+1,N(U5092))</f>
        <v>134</v>
      </c>
    </row>
    <row r="5094" customFormat="false" ht="15" hidden="false" customHeight="false" outlineLevel="0" collapsed="false">
      <c r="B5094" s="53"/>
      <c r="I5094" s="53"/>
      <c r="U5094" s="31" t="n">
        <f aca="false">IF($B5094='設定（最初に1回）'!$C$4,N(U5093)+1,N(U5093))</f>
        <v>134</v>
      </c>
    </row>
    <row r="5095" customFormat="false" ht="15" hidden="false" customHeight="false" outlineLevel="0" collapsed="false">
      <c r="B5095" s="53"/>
      <c r="I5095" s="53"/>
      <c r="U5095" s="31" t="n">
        <f aca="false">IF($B5095='設定（最初に1回）'!$C$4,N(U5094)+1,N(U5094))</f>
        <v>134</v>
      </c>
    </row>
    <row r="5096" customFormat="false" ht="15" hidden="false" customHeight="false" outlineLevel="0" collapsed="false">
      <c r="B5096" s="53"/>
      <c r="I5096" s="53"/>
      <c r="U5096" s="31" t="n">
        <f aca="false">IF($B5096='設定（最初に1回）'!$C$4,N(U5095)+1,N(U5095))</f>
        <v>134</v>
      </c>
    </row>
    <row r="5097" customFormat="false" ht="15" hidden="false" customHeight="false" outlineLevel="0" collapsed="false">
      <c r="B5097" s="53"/>
      <c r="I5097" s="53"/>
      <c r="U5097" s="31" t="n">
        <f aca="false">IF($B5097='設定（最初に1回）'!$C$4,N(U5096)+1,N(U5096))</f>
        <v>134</v>
      </c>
    </row>
    <row r="5098" customFormat="false" ht="15" hidden="false" customHeight="false" outlineLevel="0" collapsed="false">
      <c r="B5098" s="53"/>
      <c r="I5098" s="53"/>
      <c r="U5098" s="31" t="n">
        <f aca="false">IF($B5098='設定（最初に1回）'!$C$4,N(U5097)+1,N(U5097))</f>
        <v>134</v>
      </c>
    </row>
    <row r="5099" customFormat="false" ht="15" hidden="false" customHeight="false" outlineLevel="0" collapsed="false">
      <c r="B5099" s="53"/>
      <c r="I5099" s="53"/>
      <c r="U5099" s="31" t="n">
        <f aca="false">IF($B5099='設定（最初に1回）'!$C$4,N(U5098)+1,N(U5098))</f>
        <v>134</v>
      </c>
    </row>
    <row r="5100" customFormat="false" ht="15" hidden="false" customHeight="false" outlineLevel="0" collapsed="false">
      <c r="B5100" s="53"/>
      <c r="I5100" s="53"/>
      <c r="U5100" s="31" t="n">
        <f aca="false">IF($B5100='設定（最初に1回）'!$C$4,N(U5099)+1,N(U5099))</f>
        <v>134</v>
      </c>
    </row>
    <row r="5101" customFormat="false" ht="15" hidden="false" customHeight="false" outlineLevel="0" collapsed="false">
      <c r="B5101" s="53"/>
      <c r="I5101" s="53"/>
      <c r="U5101" s="31" t="n">
        <f aca="false">IF($B5101='設定（最初に1回）'!$C$4,N(U5100)+1,N(U5100))</f>
        <v>134</v>
      </c>
    </row>
    <row r="5102" customFormat="false" ht="15" hidden="false" customHeight="false" outlineLevel="0" collapsed="false">
      <c r="B5102" s="53"/>
      <c r="I5102" s="53"/>
      <c r="U5102" s="31" t="n">
        <f aca="false">IF($B5102='設定（最初に1回）'!$C$4,N(U5101)+1,N(U5101))</f>
        <v>134</v>
      </c>
    </row>
    <row r="5103" customFormat="false" ht="15" hidden="false" customHeight="false" outlineLevel="0" collapsed="false">
      <c r="B5103" s="53"/>
      <c r="I5103" s="53"/>
      <c r="U5103" s="31" t="n">
        <f aca="false">IF($B5103='設定（最初に1回）'!$C$4,N(U5102)+1,N(U5102))</f>
        <v>134</v>
      </c>
    </row>
    <row r="5104" customFormat="false" ht="15" hidden="false" customHeight="false" outlineLevel="0" collapsed="false">
      <c r="B5104" s="53"/>
      <c r="I5104" s="53"/>
      <c r="U5104" s="31" t="n">
        <f aca="false">IF($B5104='設定（最初に1回）'!$C$4,N(U5103)+1,N(U5103))</f>
        <v>134</v>
      </c>
    </row>
    <row r="5105" customFormat="false" ht="15" hidden="false" customHeight="false" outlineLevel="0" collapsed="false">
      <c r="B5105" s="53"/>
      <c r="I5105" s="53"/>
      <c r="U5105" s="31" t="n">
        <f aca="false">IF($B5105='設定（最初に1回）'!$C$4,N(U5104)+1,N(U5104))</f>
        <v>134</v>
      </c>
    </row>
    <row r="5106" customFormat="false" ht="15" hidden="false" customHeight="false" outlineLevel="0" collapsed="false">
      <c r="B5106" s="53"/>
      <c r="I5106" s="53"/>
      <c r="U5106" s="31" t="n">
        <f aca="false">IF($B5106='設定（最初に1回）'!$C$4,N(U5105)+1,N(U5105))</f>
        <v>134</v>
      </c>
    </row>
    <row r="5107" customFormat="false" ht="15" hidden="false" customHeight="false" outlineLevel="0" collapsed="false">
      <c r="B5107" s="53"/>
      <c r="I5107" s="53"/>
      <c r="U5107" s="31" t="n">
        <f aca="false">IF($B5107='設定（最初に1回）'!$C$4,N(U5106)+1,N(U5106))</f>
        <v>134</v>
      </c>
    </row>
    <row r="5108" customFormat="false" ht="15" hidden="false" customHeight="false" outlineLevel="0" collapsed="false">
      <c r="B5108" s="53"/>
      <c r="I5108" s="53"/>
      <c r="U5108" s="31" t="n">
        <f aca="false">IF($B5108='設定（最初に1回）'!$C$4,N(U5107)+1,N(U5107))</f>
        <v>134</v>
      </c>
    </row>
    <row r="5109" customFormat="false" ht="15" hidden="false" customHeight="false" outlineLevel="0" collapsed="false">
      <c r="B5109" s="53"/>
      <c r="I5109" s="53"/>
      <c r="U5109" s="31" t="n">
        <f aca="false">IF($B5109='設定（最初に1回）'!$C$4,N(U5108)+1,N(U5108))</f>
        <v>134</v>
      </c>
    </row>
    <row r="5110" customFormat="false" ht="15" hidden="false" customHeight="false" outlineLevel="0" collapsed="false">
      <c r="B5110" s="53"/>
      <c r="I5110" s="53"/>
      <c r="U5110" s="31" t="n">
        <f aca="false">IF($B5110='設定（最初に1回）'!$C$4,N(U5109)+1,N(U5109))</f>
        <v>134</v>
      </c>
    </row>
    <row r="5111" customFormat="false" ht="15" hidden="false" customHeight="false" outlineLevel="0" collapsed="false">
      <c r="B5111" s="53"/>
      <c r="I5111" s="53"/>
      <c r="U5111" s="31" t="n">
        <f aca="false">IF($B5111='設定（最初に1回）'!$C$4,N(U5110)+1,N(U5110))</f>
        <v>134</v>
      </c>
    </row>
    <row r="5112" customFormat="false" ht="15" hidden="false" customHeight="false" outlineLevel="0" collapsed="false">
      <c r="B5112" s="53"/>
      <c r="I5112" s="53"/>
      <c r="U5112" s="31" t="n">
        <f aca="false">IF($B5112='設定（最初に1回）'!$C$4,N(U5111)+1,N(U5111))</f>
        <v>134</v>
      </c>
    </row>
    <row r="5113" customFormat="false" ht="15" hidden="false" customHeight="false" outlineLevel="0" collapsed="false">
      <c r="B5113" s="53"/>
      <c r="I5113" s="53"/>
      <c r="U5113" s="31" t="n">
        <f aca="false">IF($B5113='設定（最初に1回）'!$C$4,N(U5112)+1,N(U5112))</f>
        <v>134</v>
      </c>
    </row>
    <row r="5114" customFormat="false" ht="15" hidden="false" customHeight="false" outlineLevel="0" collapsed="false">
      <c r="B5114" s="53"/>
      <c r="I5114" s="53"/>
      <c r="U5114" s="31" t="n">
        <f aca="false">IF($B5114='設定（最初に1回）'!$C$4,N(U5113)+1,N(U5113))</f>
        <v>134</v>
      </c>
    </row>
    <row r="5115" customFormat="false" ht="15" hidden="false" customHeight="false" outlineLevel="0" collapsed="false">
      <c r="B5115" s="53"/>
      <c r="I5115" s="53"/>
      <c r="U5115" s="31" t="n">
        <f aca="false">IF($B5115='設定（最初に1回）'!$C$4,N(U5114)+1,N(U5114))</f>
        <v>134</v>
      </c>
    </row>
    <row r="5116" customFormat="false" ht="15" hidden="false" customHeight="false" outlineLevel="0" collapsed="false">
      <c r="B5116" s="53"/>
      <c r="I5116" s="53"/>
      <c r="U5116" s="31" t="n">
        <f aca="false">IF($B5116='設定（最初に1回）'!$C$4,N(U5115)+1,N(U5115))</f>
        <v>134</v>
      </c>
    </row>
    <row r="5117" customFormat="false" ht="15" hidden="false" customHeight="false" outlineLevel="0" collapsed="false">
      <c r="B5117" s="53"/>
      <c r="I5117" s="53"/>
      <c r="U5117" s="31" t="n">
        <f aca="false">IF($B5117='設定（最初に1回）'!$C$4,N(U5116)+1,N(U5116))</f>
        <v>134</v>
      </c>
    </row>
    <row r="5118" customFormat="false" ht="15" hidden="false" customHeight="false" outlineLevel="0" collapsed="false">
      <c r="B5118" s="53"/>
      <c r="I5118" s="53"/>
      <c r="U5118" s="31" t="n">
        <f aca="false">IF($B5118='設定（最初に1回）'!$C$4,N(U5117)+1,N(U5117))</f>
        <v>134</v>
      </c>
    </row>
    <row r="5119" customFormat="false" ht="15" hidden="false" customHeight="false" outlineLevel="0" collapsed="false">
      <c r="B5119" s="53"/>
      <c r="I5119" s="53"/>
      <c r="U5119" s="31" t="n">
        <f aca="false">IF($B5119='設定（最初に1回）'!$C$4,N(U5118)+1,N(U5118))</f>
        <v>134</v>
      </c>
    </row>
    <row r="5120" customFormat="false" ht="15" hidden="false" customHeight="false" outlineLevel="0" collapsed="false">
      <c r="B5120" s="53"/>
      <c r="I5120" s="53"/>
      <c r="U5120" s="31" t="n">
        <f aca="false">IF($B5120='設定（最初に1回）'!$C$4,N(U5119)+1,N(U5119))</f>
        <v>134</v>
      </c>
    </row>
    <row r="5121" customFormat="false" ht="15" hidden="false" customHeight="false" outlineLevel="0" collapsed="false">
      <c r="B5121" s="53"/>
      <c r="I5121" s="53"/>
      <c r="U5121" s="31" t="n">
        <f aca="false">IF($B5121='設定（最初に1回）'!$C$4,N(U5120)+1,N(U5120))</f>
        <v>134</v>
      </c>
    </row>
    <row r="5122" customFormat="false" ht="15" hidden="false" customHeight="false" outlineLevel="0" collapsed="false">
      <c r="B5122" s="53"/>
      <c r="I5122" s="53"/>
      <c r="U5122" s="31" t="n">
        <f aca="false">IF($B5122='設定（最初に1回）'!$C$4,N(U5121)+1,N(U5121))</f>
        <v>134</v>
      </c>
    </row>
    <row r="5123" customFormat="false" ht="15" hidden="false" customHeight="false" outlineLevel="0" collapsed="false">
      <c r="B5123" s="53"/>
      <c r="I5123" s="53"/>
      <c r="U5123" s="31" t="n">
        <f aca="false">IF($B5123='設定（最初に1回）'!$C$4,N(U5122)+1,N(U5122))</f>
        <v>134</v>
      </c>
    </row>
    <row r="5124" customFormat="false" ht="15" hidden="false" customHeight="false" outlineLevel="0" collapsed="false">
      <c r="B5124" s="53"/>
      <c r="I5124" s="53"/>
      <c r="U5124" s="31" t="n">
        <f aca="false">IF($B5124='設定（最初に1回）'!$C$4,N(U5123)+1,N(U5123))</f>
        <v>134</v>
      </c>
    </row>
    <row r="5125" customFormat="false" ht="15" hidden="false" customHeight="false" outlineLevel="0" collapsed="false">
      <c r="B5125" s="53"/>
      <c r="I5125" s="53"/>
      <c r="U5125" s="31" t="n">
        <f aca="false">IF($B5125='設定（最初に1回）'!$C$4,N(U5124)+1,N(U5124))</f>
        <v>134</v>
      </c>
    </row>
    <row r="5126" customFormat="false" ht="15" hidden="false" customHeight="false" outlineLevel="0" collapsed="false">
      <c r="B5126" s="53"/>
      <c r="I5126" s="53"/>
      <c r="U5126" s="31" t="n">
        <f aca="false">IF($B5126='設定（最初に1回）'!$C$4,N(U5125)+1,N(U5125))</f>
        <v>134</v>
      </c>
    </row>
    <row r="5127" customFormat="false" ht="15" hidden="false" customHeight="false" outlineLevel="0" collapsed="false">
      <c r="B5127" s="53"/>
      <c r="I5127" s="53"/>
      <c r="U5127" s="31" t="n">
        <f aca="false">IF($B5127='設定（最初に1回）'!$C$4,N(U5126)+1,N(U5126))</f>
        <v>134</v>
      </c>
    </row>
    <row r="5128" customFormat="false" ht="15" hidden="false" customHeight="false" outlineLevel="0" collapsed="false">
      <c r="B5128" s="53"/>
      <c r="I5128" s="53"/>
      <c r="U5128" s="31" t="n">
        <f aca="false">IF($B5128='設定（最初に1回）'!$C$4,N(U5127)+1,N(U5127))</f>
        <v>134</v>
      </c>
    </row>
    <row r="5129" customFormat="false" ht="15" hidden="false" customHeight="false" outlineLevel="0" collapsed="false">
      <c r="B5129" s="53"/>
      <c r="I5129" s="53"/>
      <c r="U5129" s="31" t="n">
        <f aca="false">IF($B5129='設定（最初に1回）'!$C$4,N(U5128)+1,N(U5128))</f>
        <v>134</v>
      </c>
    </row>
    <row r="5130" customFormat="false" ht="15" hidden="false" customHeight="false" outlineLevel="0" collapsed="false">
      <c r="B5130" s="53"/>
      <c r="I5130" s="53"/>
      <c r="U5130" s="31" t="n">
        <f aca="false">IF($B5130='設定（最初に1回）'!$C$4,N(U5129)+1,N(U5129))</f>
        <v>134</v>
      </c>
    </row>
    <row r="5131" customFormat="false" ht="15" hidden="false" customHeight="false" outlineLevel="0" collapsed="false">
      <c r="B5131" s="53"/>
      <c r="I5131" s="53"/>
      <c r="U5131" s="31" t="n">
        <f aca="false">IF($B5131='設定（最初に1回）'!$C$4,N(U5130)+1,N(U5130))</f>
        <v>134</v>
      </c>
    </row>
    <row r="5132" customFormat="false" ht="15" hidden="false" customHeight="false" outlineLevel="0" collapsed="false">
      <c r="B5132" s="53"/>
      <c r="I5132" s="53"/>
      <c r="U5132" s="31" t="n">
        <f aca="false">IF($B5132='設定（最初に1回）'!$C$4,N(U5131)+1,N(U5131))</f>
        <v>134</v>
      </c>
    </row>
    <row r="5133" customFormat="false" ht="15" hidden="false" customHeight="false" outlineLevel="0" collapsed="false">
      <c r="B5133" s="53"/>
      <c r="I5133" s="53"/>
      <c r="U5133" s="31" t="n">
        <f aca="false">IF($B5133='設定（最初に1回）'!$C$4,N(U5132)+1,N(U5132))</f>
        <v>134</v>
      </c>
    </row>
    <row r="5134" customFormat="false" ht="15" hidden="false" customHeight="false" outlineLevel="0" collapsed="false">
      <c r="B5134" s="53"/>
      <c r="I5134" s="53"/>
      <c r="U5134" s="31" t="n">
        <f aca="false">IF($B5134='設定（最初に1回）'!$C$4,N(U5133)+1,N(U5133))</f>
        <v>134</v>
      </c>
    </row>
    <row r="5135" customFormat="false" ht="15" hidden="false" customHeight="false" outlineLevel="0" collapsed="false">
      <c r="B5135" s="53"/>
      <c r="I5135" s="53"/>
      <c r="U5135" s="31" t="n">
        <f aca="false">IF($B5135='設定（最初に1回）'!$C$4,N(U5134)+1,N(U5134))</f>
        <v>134</v>
      </c>
    </row>
    <row r="5136" customFormat="false" ht="15" hidden="false" customHeight="false" outlineLevel="0" collapsed="false">
      <c r="B5136" s="53"/>
      <c r="I5136" s="53"/>
      <c r="U5136" s="31" t="n">
        <f aca="false">IF($B5136='設定（最初に1回）'!$C$4,N(U5135)+1,N(U5135))</f>
        <v>134</v>
      </c>
    </row>
    <row r="5137" customFormat="false" ht="15" hidden="false" customHeight="false" outlineLevel="0" collapsed="false">
      <c r="B5137" s="53"/>
      <c r="I5137" s="53"/>
      <c r="U5137" s="31" t="n">
        <f aca="false">IF($B5137='設定（最初に1回）'!$C$4,N(U5136)+1,N(U5136))</f>
        <v>134</v>
      </c>
    </row>
    <row r="5138" customFormat="false" ht="15" hidden="false" customHeight="false" outlineLevel="0" collapsed="false">
      <c r="B5138" s="53"/>
      <c r="I5138" s="53"/>
      <c r="U5138" s="31" t="n">
        <f aca="false">IF($B5138='設定（最初に1回）'!$C$4,N(U5137)+1,N(U5137))</f>
        <v>134</v>
      </c>
    </row>
    <row r="5139" customFormat="false" ht="15" hidden="false" customHeight="false" outlineLevel="0" collapsed="false">
      <c r="B5139" s="53"/>
      <c r="I5139" s="53"/>
      <c r="U5139" s="31" t="n">
        <f aca="false">IF($B5139='設定（最初に1回）'!$C$4,N(U5138)+1,N(U5138))</f>
        <v>134</v>
      </c>
    </row>
    <row r="5140" customFormat="false" ht="15" hidden="false" customHeight="false" outlineLevel="0" collapsed="false">
      <c r="B5140" s="53"/>
      <c r="I5140" s="53"/>
      <c r="U5140" s="31" t="n">
        <f aca="false">IF($B5140='設定（最初に1回）'!$C$4,N(U5139)+1,N(U5139))</f>
        <v>134</v>
      </c>
    </row>
    <row r="5141" customFormat="false" ht="15" hidden="false" customHeight="false" outlineLevel="0" collapsed="false">
      <c r="B5141" s="53"/>
      <c r="I5141" s="53"/>
      <c r="U5141" s="31" t="n">
        <f aca="false">IF($B5141='設定（最初に1回）'!$C$4,N(U5140)+1,N(U5140))</f>
        <v>134</v>
      </c>
    </row>
    <row r="5142" customFormat="false" ht="15" hidden="false" customHeight="false" outlineLevel="0" collapsed="false">
      <c r="B5142" s="53"/>
      <c r="I5142" s="53"/>
      <c r="U5142" s="31" t="n">
        <f aca="false">IF($B5142='設定（最初に1回）'!$C$4,N(U5141)+1,N(U5141))</f>
        <v>134</v>
      </c>
    </row>
    <row r="5143" customFormat="false" ht="15" hidden="false" customHeight="false" outlineLevel="0" collapsed="false">
      <c r="B5143" s="53"/>
      <c r="I5143" s="53"/>
      <c r="U5143" s="31" t="n">
        <f aca="false">IF($B5143='設定（最初に1回）'!$C$4,N(U5142)+1,N(U5142))</f>
        <v>134</v>
      </c>
    </row>
    <row r="5144" customFormat="false" ht="15" hidden="false" customHeight="false" outlineLevel="0" collapsed="false">
      <c r="B5144" s="53"/>
      <c r="I5144" s="53"/>
      <c r="U5144" s="31" t="n">
        <f aca="false">IF($B5144='設定（最初に1回）'!$C$4,N(U5143)+1,N(U5143))</f>
        <v>134</v>
      </c>
    </row>
    <row r="5145" customFormat="false" ht="15" hidden="false" customHeight="false" outlineLevel="0" collapsed="false">
      <c r="B5145" s="53"/>
      <c r="I5145" s="53"/>
      <c r="U5145" s="31" t="n">
        <f aca="false">IF($B5145='設定（最初に1回）'!$C$4,N(U5144)+1,N(U5144))</f>
        <v>134</v>
      </c>
    </row>
    <row r="5146" customFormat="false" ht="15" hidden="false" customHeight="false" outlineLevel="0" collapsed="false">
      <c r="B5146" s="53"/>
      <c r="I5146" s="53"/>
      <c r="U5146" s="31" t="n">
        <f aca="false">IF($B5146='設定（最初に1回）'!$C$4,N(U5145)+1,N(U5145))</f>
        <v>134</v>
      </c>
    </row>
    <row r="5147" customFormat="false" ht="15" hidden="false" customHeight="false" outlineLevel="0" collapsed="false">
      <c r="B5147" s="53"/>
      <c r="I5147" s="53"/>
      <c r="U5147" s="31" t="n">
        <f aca="false">IF($B5147='設定（最初に1回）'!$C$4,N(U5146)+1,N(U5146))</f>
        <v>134</v>
      </c>
    </row>
    <row r="5148" customFormat="false" ht="15" hidden="false" customHeight="false" outlineLevel="0" collapsed="false">
      <c r="B5148" s="53"/>
      <c r="I5148" s="53"/>
      <c r="U5148" s="31" t="n">
        <f aca="false">IF($B5148='設定（最初に1回）'!$C$4,N(U5147)+1,N(U5147))</f>
        <v>134</v>
      </c>
    </row>
    <row r="5149" customFormat="false" ht="15" hidden="false" customHeight="false" outlineLevel="0" collapsed="false">
      <c r="B5149" s="53"/>
      <c r="I5149" s="53"/>
      <c r="U5149" s="31" t="n">
        <f aca="false">IF($B5149='設定（最初に1回）'!$C$4,N(U5148)+1,N(U5148))</f>
        <v>134</v>
      </c>
    </row>
    <row r="5150" customFormat="false" ht="15" hidden="false" customHeight="false" outlineLevel="0" collapsed="false">
      <c r="B5150" s="53"/>
      <c r="I5150" s="53"/>
      <c r="U5150" s="31" t="n">
        <f aca="false">IF($B5150='設定（最初に1回）'!$C$4,N(U5149)+1,N(U5149))</f>
        <v>134</v>
      </c>
    </row>
    <row r="5151" customFormat="false" ht="15" hidden="false" customHeight="false" outlineLevel="0" collapsed="false">
      <c r="B5151" s="53"/>
      <c r="I5151" s="53"/>
      <c r="U5151" s="31" t="n">
        <f aca="false">IF($B5151='設定（最初に1回）'!$C$4,N(U5150)+1,N(U5150))</f>
        <v>134</v>
      </c>
    </row>
    <row r="5152" customFormat="false" ht="15" hidden="false" customHeight="false" outlineLevel="0" collapsed="false">
      <c r="B5152" s="53"/>
      <c r="I5152" s="53"/>
      <c r="U5152" s="31" t="n">
        <f aca="false">IF($B5152='設定（最初に1回）'!$C$4,N(U5151)+1,N(U5151))</f>
        <v>134</v>
      </c>
    </row>
    <row r="5153" customFormat="false" ht="15" hidden="false" customHeight="false" outlineLevel="0" collapsed="false">
      <c r="B5153" s="53"/>
      <c r="I5153" s="53"/>
      <c r="U5153" s="31" t="n">
        <f aca="false">IF($B5153='設定（最初に1回）'!$C$4,N(U5152)+1,N(U5152))</f>
        <v>134</v>
      </c>
    </row>
    <row r="5154" customFormat="false" ht="15" hidden="false" customHeight="false" outlineLevel="0" collapsed="false">
      <c r="B5154" s="53"/>
      <c r="I5154" s="53"/>
      <c r="U5154" s="31" t="n">
        <f aca="false">IF($B5154='設定（最初に1回）'!$C$4,N(U5153)+1,N(U5153))</f>
        <v>134</v>
      </c>
    </row>
    <row r="5155" customFormat="false" ht="15" hidden="false" customHeight="false" outlineLevel="0" collapsed="false">
      <c r="B5155" s="53"/>
      <c r="I5155" s="53"/>
      <c r="U5155" s="31" t="n">
        <f aca="false">IF($B5155='設定（最初に1回）'!$C$4,N(U5154)+1,N(U5154))</f>
        <v>134</v>
      </c>
    </row>
    <row r="5156" customFormat="false" ht="15" hidden="false" customHeight="false" outlineLevel="0" collapsed="false">
      <c r="B5156" s="53"/>
      <c r="I5156" s="53"/>
      <c r="U5156" s="31" t="n">
        <f aca="false">IF($B5156='設定（最初に1回）'!$C$4,N(U5155)+1,N(U5155))</f>
        <v>134</v>
      </c>
    </row>
    <row r="5157" customFormat="false" ht="15" hidden="false" customHeight="false" outlineLevel="0" collapsed="false">
      <c r="B5157" s="53"/>
      <c r="I5157" s="53"/>
      <c r="U5157" s="31" t="n">
        <f aca="false">IF($B5157='設定（最初に1回）'!$C$4,N(U5156)+1,N(U5156))</f>
        <v>134</v>
      </c>
    </row>
    <row r="5158" customFormat="false" ht="15" hidden="false" customHeight="false" outlineLevel="0" collapsed="false">
      <c r="B5158" s="53"/>
      <c r="I5158" s="53"/>
      <c r="U5158" s="31" t="n">
        <f aca="false">IF($B5158='設定（最初に1回）'!$C$4,N(U5157)+1,N(U5157))</f>
        <v>134</v>
      </c>
    </row>
    <row r="5159" customFormat="false" ht="15" hidden="false" customHeight="false" outlineLevel="0" collapsed="false">
      <c r="B5159" s="53"/>
      <c r="I5159" s="53"/>
      <c r="U5159" s="31" t="n">
        <f aca="false">IF($B5159='設定（最初に1回）'!$C$4,N(U5158)+1,N(U5158))</f>
        <v>134</v>
      </c>
    </row>
    <row r="5160" customFormat="false" ht="15" hidden="false" customHeight="false" outlineLevel="0" collapsed="false">
      <c r="B5160" s="53"/>
      <c r="I5160" s="53"/>
      <c r="U5160" s="31" t="n">
        <f aca="false">IF($B5160='設定（最初に1回）'!$C$4,N(U5159)+1,N(U5159))</f>
        <v>134</v>
      </c>
    </row>
    <row r="5161" customFormat="false" ht="15" hidden="false" customHeight="false" outlineLevel="0" collapsed="false">
      <c r="B5161" s="53"/>
      <c r="I5161" s="53"/>
      <c r="U5161" s="31" t="n">
        <f aca="false">IF($B5161='設定（最初に1回）'!$C$4,N(U5160)+1,N(U5160))</f>
        <v>134</v>
      </c>
    </row>
    <row r="5162" customFormat="false" ht="15" hidden="false" customHeight="false" outlineLevel="0" collapsed="false">
      <c r="B5162" s="53"/>
      <c r="I5162" s="53"/>
      <c r="U5162" s="31" t="n">
        <f aca="false">IF($B5162='設定（最初に1回）'!$C$4,N(U5161)+1,N(U5161))</f>
        <v>134</v>
      </c>
    </row>
    <row r="5163" customFormat="false" ht="15" hidden="false" customHeight="false" outlineLevel="0" collapsed="false">
      <c r="B5163" s="53"/>
      <c r="I5163" s="53"/>
      <c r="U5163" s="31" t="n">
        <f aca="false">IF($B5163='設定（最初に1回）'!$C$4,N(U5162)+1,N(U5162))</f>
        <v>134</v>
      </c>
    </row>
    <row r="5164" customFormat="false" ht="15" hidden="false" customHeight="false" outlineLevel="0" collapsed="false">
      <c r="B5164" s="53"/>
      <c r="I5164" s="53"/>
      <c r="U5164" s="31" t="n">
        <f aca="false">IF($B5164='設定（最初に1回）'!$C$4,N(U5163)+1,N(U5163))</f>
        <v>134</v>
      </c>
    </row>
    <row r="5165" customFormat="false" ht="15" hidden="false" customHeight="false" outlineLevel="0" collapsed="false">
      <c r="B5165" s="53"/>
      <c r="I5165" s="53"/>
      <c r="U5165" s="31" t="n">
        <f aca="false">IF($B5165='設定（最初に1回）'!$C$4,N(U5164)+1,N(U5164))</f>
        <v>134</v>
      </c>
    </row>
    <row r="5166" customFormat="false" ht="15" hidden="false" customHeight="false" outlineLevel="0" collapsed="false">
      <c r="B5166" s="53"/>
      <c r="I5166" s="53"/>
      <c r="U5166" s="31" t="n">
        <f aca="false">IF($B5166='設定（最初に1回）'!$C$4,N(U5165)+1,N(U5165))</f>
        <v>134</v>
      </c>
    </row>
    <row r="5167" customFormat="false" ht="15" hidden="false" customHeight="false" outlineLevel="0" collapsed="false">
      <c r="B5167" s="53"/>
      <c r="I5167" s="53"/>
      <c r="U5167" s="31" t="n">
        <f aca="false">IF($B5167='設定（最初に1回）'!$C$4,N(U5166)+1,N(U5166))</f>
        <v>134</v>
      </c>
    </row>
    <row r="5168" customFormat="false" ht="15" hidden="false" customHeight="false" outlineLevel="0" collapsed="false">
      <c r="B5168" s="53"/>
      <c r="I5168" s="53"/>
      <c r="U5168" s="31" t="n">
        <f aca="false">IF($B5168='設定（最初に1回）'!$C$4,N(U5167)+1,N(U5167))</f>
        <v>134</v>
      </c>
    </row>
    <row r="5169" customFormat="false" ht="15" hidden="false" customHeight="false" outlineLevel="0" collapsed="false">
      <c r="B5169" s="53"/>
      <c r="I5169" s="53"/>
      <c r="U5169" s="31" t="n">
        <f aca="false">IF($B5169='設定（最初に1回）'!$C$4,N(U5168)+1,N(U5168))</f>
        <v>134</v>
      </c>
    </row>
    <row r="5170" customFormat="false" ht="15" hidden="false" customHeight="false" outlineLevel="0" collapsed="false">
      <c r="B5170" s="53"/>
      <c r="I5170" s="53"/>
      <c r="U5170" s="31" t="n">
        <f aca="false">IF($B5170='設定（最初に1回）'!$C$4,N(U5169)+1,N(U5169))</f>
        <v>134</v>
      </c>
    </row>
    <row r="5171" customFormat="false" ht="15" hidden="false" customHeight="false" outlineLevel="0" collapsed="false">
      <c r="B5171" s="53"/>
      <c r="I5171" s="53"/>
      <c r="U5171" s="31" t="n">
        <f aca="false">IF($B5171='設定（最初に1回）'!$C$4,N(U5170)+1,N(U5170))</f>
        <v>134</v>
      </c>
    </row>
    <row r="5172" customFormat="false" ht="15" hidden="false" customHeight="false" outlineLevel="0" collapsed="false">
      <c r="B5172" s="53"/>
      <c r="I5172" s="53"/>
      <c r="U5172" s="31" t="n">
        <f aca="false">IF($B5172='設定（最初に1回）'!$C$4,N(U5171)+1,N(U5171))</f>
        <v>134</v>
      </c>
    </row>
    <row r="5173" customFormat="false" ht="15" hidden="false" customHeight="false" outlineLevel="0" collapsed="false">
      <c r="B5173" s="53"/>
      <c r="I5173" s="53"/>
      <c r="U5173" s="31" t="n">
        <f aca="false">IF($B5173='設定（最初に1回）'!$C$4,N(U5172)+1,N(U5172))</f>
        <v>134</v>
      </c>
    </row>
    <row r="5174" customFormat="false" ht="15" hidden="false" customHeight="false" outlineLevel="0" collapsed="false">
      <c r="B5174" s="53"/>
      <c r="I5174" s="53"/>
      <c r="U5174" s="31" t="n">
        <f aca="false">IF($B5174='設定（最初に1回）'!$C$4,N(U5173)+1,N(U5173))</f>
        <v>134</v>
      </c>
    </row>
    <row r="5175" customFormat="false" ht="15" hidden="false" customHeight="false" outlineLevel="0" collapsed="false">
      <c r="B5175" s="53"/>
      <c r="I5175" s="53"/>
      <c r="U5175" s="31" t="n">
        <f aca="false">IF($B5175='設定（最初に1回）'!$C$4,N(U5174)+1,N(U5174))</f>
        <v>134</v>
      </c>
    </row>
    <row r="5176" customFormat="false" ht="15" hidden="false" customHeight="false" outlineLevel="0" collapsed="false">
      <c r="B5176" s="53"/>
      <c r="I5176" s="53"/>
      <c r="U5176" s="31" t="n">
        <f aca="false">IF($B5176='設定（最初に1回）'!$C$4,N(U5175)+1,N(U5175))</f>
        <v>134</v>
      </c>
    </row>
    <row r="5177" customFormat="false" ht="15" hidden="false" customHeight="false" outlineLevel="0" collapsed="false">
      <c r="B5177" s="53"/>
      <c r="I5177" s="53"/>
      <c r="U5177" s="31" t="n">
        <f aca="false">IF($B5177='設定（最初に1回）'!$C$4,N(U5176)+1,N(U5176))</f>
        <v>134</v>
      </c>
    </row>
    <row r="5178" customFormat="false" ht="15" hidden="false" customHeight="false" outlineLevel="0" collapsed="false">
      <c r="B5178" s="53"/>
      <c r="I5178" s="53"/>
      <c r="U5178" s="31" t="n">
        <f aca="false">IF($B5178='設定（最初に1回）'!$C$4,N(U5177)+1,N(U5177))</f>
        <v>134</v>
      </c>
    </row>
    <row r="5179" customFormat="false" ht="15" hidden="false" customHeight="false" outlineLevel="0" collapsed="false">
      <c r="B5179" s="53"/>
      <c r="I5179" s="53"/>
      <c r="U5179" s="31" t="n">
        <f aca="false">IF($B5179='設定（最初に1回）'!$C$4,N(U5178)+1,N(U5178))</f>
        <v>134</v>
      </c>
    </row>
    <row r="5180" customFormat="false" ht="15" hidden="false" customHeight="false" outlineLevel="0" collapsed="false">
      <c r="B5180" s="53"/>
      <c r="I5180" s="53"/>
      <c r="U5180" s="31" t="n">
        <f aca="false">IF($B5180='設定（最初に1回）'!$C$4,N(U5179)+1,N(U5179))</f>
        <v>134</v>
      </c>
    </row>
    <row r="5181" customFormat="false" ht="15" hidden="false" customHeight="false" outlineLevel="0" collapsed="false">
      <c r="B5181" s="53"/>
      <c r="I5181" s="53"/>
      <c r="U5181" s="31" t="n">
        <f aca="false">IF($B5181='設定（最初に1回）'!$C$4,N(U5180)+1,N(U5180))</f>
        <v>134</v>
      </c>
    </row>
    <row r="5182" customFormat="false" ht="15" hidden="false" customHeight="false" outlineLevel="0" collapsed="false">
      <c r="B5182" s="53"/>
      <c r="I5182" s="53"/>
      <c r="U5182" s="31" t="n">
        <f aca="false">IF($B5182='設定（最初に1回）'!$C$4,N(U5181)+1,N(U5181))</f>
        <v>134</v>
      </c>
    </row>
    <row r="5183" customFormat="false" ht="15" hidden="false" customHeight="false" outlineLevel="0" collapsed="false">
      <c r="B5183" s="53"/>
      <c r="I5183" s="53"/>
      <c r="U5183" s="31" t="n">
        <f aca="false">IF($B5183='設定（最初に1回）'!$C$4,N(U5182)+1,N(U5182))</f>
        <v>134</v>
      </c>
    </row>
    <row r="5184" customFormat="false" ht="15" hidden="false" customHeight="false" outlineLevel="0" collapsed="false">
      <c r="B5184" s="53"/>
      <c r="I5184" s="53"/>
      <c r="U5184" s="31" t="n">
        <f aca="false">IF($B5184='設定（最初に1回）'!$C$4,N(U5183)+1,N(U5183))</f>
        <v>134</v>
      </c>
    </row>
    <row r="5185" customFormat="false" ht="15" hidden="false" customHeight="false" outlineLevel="0" collapsed="false">
      <c r="B5185" s="53"/>
      <c r="I5185" s="53"/>
      <c r="U5185" s="31" t="n">
        <f aca="false">IF($B5185='設定（最初に1回）'!$C$4,N(U5184)+1,N(U5184))</f>
        <v>134</v>
      </c>
    </row>
    <row r="5186" customFormat="false" ht="15" hidden="false" customHeight="false" outlineLevel="0" collapsed="false">
      <c r="B5186" s="53"/>
      <c r="I5186" s="53"/>
      <c r="U5186" s="31" t="n">
        <f aca="false">IF($B5186='設定（最初に1回）'!$C$4,N(U5185)+1,N(U5185))</f>
        <v>134</v>
      </c>
    </row>
    <row r="5187" customFormat="false" ht="15" hidden="false" customHeight="false" outlineLevel="0" collapsed="false">
      <c r="B5187" s="53"/>
      <c r="I5187" s="53"/>
      <c r="U5187" s="31" t="n">
        <f aca="false">IF($B5187='設定（最初に1回）'!$C$4,N(U5186)+1,N(U5186))</f>
        <v>134</v>
      </c>
    </row>
    <row r="5188" customFormat="false" ht="15" hidden="false" customHeight="false" outlineLevel="0" collapsed="false">
      <c r="B5188" s="53"/>
      <c r="I5188" s="53"/>
      <c r="U5188" s="31" t="n">
        <f aca="false">IF($B5188='設定（最初に1回）'!$C$4,N(U5187)+1,N(U5187))</f>
        <v>134</v>
      </c>
    </row>
    <row r="5189" customFormat="false" ht="15" hidden="false" customHeight="false" outlineLevel="0" collapsed="false">
      <c r="B5189" s="53"/>
      <c r="I5189" s="53"/>
      <c r="U5189" s="31" t="n">
        <f aca="false">IF($B5189='設定（最初に1回）'!$C$4,N(U5188)+1,N(U5188))</f>
        <v>134</v>
      </c>
    </row>
    <row r="5190" customFormat="false" ht="15" hidden="false" customHeight="false" outlineLevel="0" collapsed="false">
      <c r="B5190" s="53"/>
      <c r="I5190" s="53"/>
      <c r="U5190" s="31" t="n">
        <f aca="false">IF($B5190='設定（最初に1回）'!$C$4,N(U5189)+1,N(U5189))</f>
        <v>134</v>
      </c>
    </row>
    <row r="5191" customFormat="false" ht="15" hidden="false" customHeight="false" outlineLevel="0" collapsed="false">
      <c r="B5191" s="53"/>
      <c r="I5191" s="53"/>
      <c r="U5191" s="31" t="n">
        <f aca="false">IF($B5191='設定（最初に1回）'!$C$4,N(U5190)+1,N(U5190))</f>
        <v>134</v>
      </c>
    </row>
    <row r="5192" customFormat="false" ht="15" hidden="false" customHeight="false" outlineLevel="0" collapsed="false">
      <c r="B5192" s="53"/>
      <c r="I5192" s="53"/>
      <c r="U5192" s="31" t="n">
        <f aca="false">IF($B5192='設定（最初に1回）'!$C$4,N(U5191)+1,N(U5191))</f>
        <v>134</v>
      </c>
    </row>
    <row r="5193" customFormat="false" ht="15" hidden="false" customHeight="false" outlineLevel="0" collapsed="false">
      <c r="B5193" s="53"/>
      <c r="I5193" s="53"/>
      <c r="U5193" s="31" t="n">
        <f aca="false">IF($B5193='設定（最初に1回）'!$C$4,N(U5192)+1,N(U5192))</f>
        <v>134</v>
      </c>
    </row>
    <row r="5194" customFormat="false" ht="15" hidden="false" customHeight="false" outlineLevel="0" collapsed="false">
      <c r="B5194" s="53"/>
      <c r="I5194" s="53"/>
      <c r="U5194" s="31" t="n">
        <f aca="false">IF($B5194='設定（最初に1回）'!$C$4,N(U5193)+1,N(U5193))</f>
        <v>134</v>
      </c>
    </row>
    <row r="5195" customFormat="false" ht="15" hidden="false" customHeight="false" outlineLevel="0" collapsed="false">
      <c r="B5195" s="53"/>
      <c r="I5195" s="53"/>
      <c r="U5195" s="31" t="n">
        <f aca="false">IF($B5195='設定（最初に1回）'!$C$4,N(U5194)+1,N(U5194))</f>
        <v>134</v>
      </c>
    </row>
    <row r="5196" customFormat="false" ht="15" hidden="false" customHeight="false" outlineLevel="0" collapsed="false">
      <c r="B5196" s="53"/>
      <c r="I5196" s="53"/>
      <c r="U5196" s="31" t="n">
        <f aca="false">IF($B5196='設定（最初に1回）'!$C$4,N(U5195)+1,N(U5195))</f>
        <v>134</v>
      </c>
    </row>
    <row r="5197" customFormat="false" ht="15" hidden="false" customHeight="false" outlineLevel="0" collapsed="false">
      <c r="B5197" s="53"/>
      <c r="I5197" s="53"/>
      <c r="U5197" s="31" t="n">
        <f aca="false">IF($B5197='設定（最初に1回）'!$C$4,N(U5196)+1,N(U5196))</f>
        <v>134</v>
      </c>
    </row>
    <row r="5198" customFormat="false" ht="15" hidden="false" customHeight="false" outlineLevel="0" collapsed="false">
      <c r="B5198" s="53"/>
      <c r="I5198" s="53"/>
      <c r="U5198" s="31" t="n">
        <f aca="false">IF($B5198='設定（最初に1回）'!$C$4,N(U5197)+1,N(U5197))</f>
        <v>134</v>
      </c>
    </row>
    <row r="5199" customFormat="false" ht="15" hidden="false" customHeight="false" outlineLevel="0" collapsed="false">
      <c r="B5199" s="53"/>
      <c r="I5199" s="53"/>
      <c r="U5199" s="31" t="n">
        <f aca="false">IF($B5199='設定（最初に1回）'!$C$4,N(U5198)+1,N(U5198))</f>
        <v>134</v>
      </c>
    </row>
    <row r="5200" customFormat="false" ht="15" hidden="false" customHeight="false" outlineLevel="0" collapsed="false">
      <c r="B5200" s="53"/>
      <c r="I5200" s="53"/>
      <c r="U5200" s="31" t="n">
        <f aca="false">IF($B5200='設定（最初に1回）'!$C$4,N(U5199)+1,N(U5199))</f>
        <v>134</v>
      </c>
    </row>
    <row r="5201" customFormat="false" ht="15" hidden="false" customHeight="false" outlineLevel="0" collapsed="false">
      <c r="B5201" s="53"/>
      <c r="I5201" s="53"/>
      <c r="U5201" s="31" t="n">
        <f aca="false">IF($B5201='設定（最初に1回）'!$C$4,N(U5200)+1,N(U5200))</f>
        <v>134</v>
      </c>
    </row>
    <row r="5202" customFormat="false" ht="15" hidden="false" customHeight="false" outlineLevel="0" collapsed="false">
      <c r="B5202" s="53"/>
      <c r="I5202" s="53"/>
      <c r="U5202" s="31" t="n">
        <f aca="false">IF($B5202='設定（最初に1回）'!$C$4,N(U5201)+1,N(U5201))</f>
        <v>134</v>
      </c>
    </row>
    <row r="5203" customFormat="false" ht="15" hidden="false" customHeight="false" outlineLevel="0" collapsed="false">
      <c r="B5203" s="53"/>
      <c r="I5203" s="53"/>
      <c r="U5203" s="31" t="n">
        <f aca="false">IF($B5203='設定（最初に1回）'!$C$4,N(U5202)+1,N(U5202))</f>
        <v>134</v>
      </c>
    </row>
    <row r="5204" customFormat="false" ht="15" hidden="false" customHeight="false" outlineLevel="0" collapsed="false">
      <c r="B5204" s="53"/>
      <c r="I5204" s="53"/>
      <c r="U5204" s="31" t="n">
        <f aca="false">IF($B5204='設定（最初に1回）'!$C$4,N(U5203)+1,N(U5203))</f>
        <v>134</v>
      </c>
    </row>
    <row r="5205" customFormat="false" ht="15" hidden="false" customHeight="false" outlineLevel="0" collapsed="false">
      <c r="B5205" s="53"/>
      <c r="I5205" s="53"/>
      <c r="U5205" s="31" t="n">
        <f aca="false">IF($B5205='設定（最初に1回）'!$C$4,N(U5204)+1,N(U5204))</f>
        <v>134</v>
      </c>
    </row>
    <row r="5206" customFormat="false" ht="15" hidden="false" customHeight="false" outlineLevel="0" collapsed="false">
      <c r="B5206" s="53"/>
      <c r="I5206" s="53"/>
      <c r="U5206" s="31" t="n">
        <f aca="false">IF($B5206='設定（最初に1回）'!$C$4,N(U5205)+1,N(U5205))</f>
        <v>134</v>
      </c>
    </row>
    <row r="5207" customFormat="false" ht="15" hidden="false" customHeight="false" outlineLevel="0" collapsed="false">
      <c r="B5207" s="53"/>
      <c r="I5207" s="53"/>
      <c r="U5207" s="31" t="n">
        <f aca="false">IF($B5207='設定（最初に1回）'!$C$4,N(U5206)+1,N(U5206))</f>
        <v>134</v>
      </c>
    </row>
    <row r="5208" customFormat="false" ht="15" hidden="false" customHeight="false" outlineLevel="0" collapsed="false">
      <c r="B5208" s="53"/>
      <c r="I5208" s="53"/>
      <c r="U5208" s="31" t="n">
        <f aca="false">IF($B5208='設定（最初に1回）'!$C$4,N(U5207)+1,N(U5207))</f>
        <v>134</v>
      </c>
    </row>
    <row r="5209" customFormat="false" ht="15" hidden="false" customHeight="false" outlineLevel="0" collapsed="false">
      <c r="B5209" s="53"/>
      <c r="I5209" s="53"/>
      <c r="U5209" s="31" t="n">
        <f aca="false">IF($B5209='設定（最初に1回）'!$C$4,N(U5208)+1,N(U5208))</f>
        <v>134</v>
      </c>
    </row>
    <row r="5210" customFormat="false" ht="15" hidden="false" customHeight="false" outlineLevel="0" collapsed="false">
      <c r="B5210" s="53"/>
      <c r="I5210" s="53"/>
      <c r="U5210" s="31" t="n">
        <f aca="false">IF($B5210='設定（最初に1回）'!$C$4,N(U5209)+1,N(U5209))</f>
        <v>134</v>
      </c>
    </row>
    <row r="5211" customFormat="false" ht="15" hidden="false" customHeight="false" outlineLevel="0" collapsed="false">
      <c r="B5211" s="53"/>
      <c r="I5211" s="53"/>
      <c r="U5211" s="31" t="n">
        <f aca="false">IF($B5211='設定（最初に1回）'!$C$4,N(U5210)+1,N(U5210))</f>
        <v>134</v>
      </c>
    </row>
    <row r="5212" customFormat="false" ht="15" hidden="false" customHeight="false" outlineLevel="0" collapsed="false">
      <c r="B5212" s="53"/>
      <c r="I5212" s="53"/>
      <c r="U5212" s="31" t="n">
        <f aca="false">IF($B5212='設定（最初に1回）'!$C$4,N(U5211)+1,N(U5211))</f>
        <v>134</v>
      </c>
    </row>
    <row r="5213" customFormat="false" ht="15" hidden="false" customHeight="false" outlineLevel="0" collapsed="false">
      <c r="B5213" s="53"/>
      <c r="I5213" s="53"/>
      <c r="U5213" s="31" t="n">
        <f aca="false">IF($B5213='設定（最初に1回）'!$C$4,N(U5212)+1,N(U5212))</f>
        <v>134</v>
      </c>
    </row>
    <row r="5214" customFormat="false" ht="15" hidden="false" customHeight="false" outlineLevel="0" collapsed="false">
      <c r="B5214" s="53"/>
      <c r="I5214" s="53"/>
      <c r="U5214" s="31" t="n">
        <f aca="false">IF($B5214='設定（最初に1回）'!$C$4,N(U5213)+1,N(U5213))</f>
        <v>134</v>
      </c>
    </row>
    <row r="5215" customFormat="false" ht="15" hidden="false" customHeight="false" outlineLevel="0" collapsed="false">
      <c r="B5215" s="53"/>
      <c r="I5215" s="53"/>
      <c r="U5215" s="31" t="n">
        <f aca="false">IF($B5215='設定（最初に1回）'!$C$4,N(U5214)+1,N(U5214))</f>
        <v>134</v>
      </c>
    </row>
    <row r="5216" customFormat="false" ht="15" hidden="false" customHeight="false" outlineLevel="0" collapsed="false">
      <c r="B5216" s="53"/>
      <c r="I5216" s="53"/>
      <c r="U5216" s="31" t="n">
        <f aca="false">IF($B5216='設定（最初に1回）'!$C$4,N(U5215)+1,N(U5215))</f>
        <v>134</v>
      </c>
    </row>
    <row r="5217" customFormat="false" ht="15" hidden="false" customHeight="false" outlineLevel="0" collapsed="false">
      <c r="B5217" s="53"/>
      <c r="I5217" s="53"/>
      <c r="U5217" s="31" t="n">
        <f aca="false">IF($B5217='設定（最初に1回）'!$C$4,N(U5216)+1,N(U5216))</f>
        <v>134</v>
      </c>
    </row>
    <row r="5218" customFormat="false" ht="15" hidden="false" customHeight="false" outlineLevel="0" collapsed="false">
      <c r="B5218" s="53"/>
      <c r="I5218" s="53"/>
      <c r="U5218" s="31" t="n">
        <f aca="false">IF($B5218='設定（最初に1回）'!$C$4,N(U5217)+1,N(U5217))</f>
        <v>134</v>
      </c>
    </row>
    <row r="5219" customFormat="false" ht="15" hidden="false" customHeight="false" outlineLevel="0" collapsed="false">
      <c r="B5219" s="53"/>
      <c r="I5219" s="53"/>
      <c r="U5219" s="31" t="n">
        <f aca="false">IF($B5219='設定（最初に1回）'!$C$4,N(U5218)+1,N(U5218))</f>
        <v>134</v>
      </c>
    </row>
    <row r="5220" customFormat="false" ht="15" hidden="false" customHeight="false" outlineLevel="0" collapsed="false">
      <c r="B5220" s="53"/>
      <c r="I5220" s="53"/>
      <c r="U5220" s="31" t="n">
        <f aca="false">IF($B5220='設定（最初に1回）'!$C$4,N(U5219)+1,N(U5219))</f>
        <v>134</v>
      </c>
    </row>
    <row r="5221" customFormat="false" ht="15" hidden="false" customHeight="false" outlineLevel="0" collapsed="false">
      <c r="B5221" s="53"/>
      <c r="I5221" s="53"/>
      <c r="U5221" s="31" t="n">
        <f aca="false">IF($B5221='設定（最初に1回）'!$C$4,N(U5220)+1,N(U5220))</f>
        <v>134</v>
      </c>
    </row>
    <row r="5222" customFormat="false" ht="15" hidden="false" customHeight="false" outlineLevel="0" collapsed="false">
      <c r="B5222" s="53"/>
      <c r="I5222" s="53"/>
      <c r="U5222" s="31" t="n">
        <f aca="false">IF($B5222='設定（最初に1回）'!$C$4,N(U5221)+1,N(U5221))</f>
        <v>134</v>
      </c>
    </row>
    <row r="5223" customFormat="false" ht="15" hidden="false" customHeight="false" outlineLevel="0" collapsed="false">
      <c r="B5223" s="53"/>
      <c r="I5223" s="53"/>
      <c r="U5223" s="31" t="n">
        <f aca="false">IF($B5223='設定（最初に1回）'!$C$4,N(U5222)+1,N(U5222))</f>
        <v>134</v>
      </c>
    </row>
    <row r="5224" customFormat="false" ht="15" hidden="false" customHeight="false" outlineLevel="0" collapsed="false">
      <c r="B5224" s="53"/>
      <c r="I5224" s="53"/>
      <c r="U5224" s="31" t="n">
        <f aca="false">IF($B5224='設定（最初に1回）'!$C$4,N(U5223)+1,N(U5223))</f>
        <v>134</v>
      </c>
    </row>
    <row r="5225" customFormat="false" ht="15" hidden="false" customHeight="false" outlineLevel="0" collapsed="false">
      <c r="B5225" s="53"/>
      <c r="I5225" s="53"/>
      <c r="U5225" s="31" t="n">
        <f aca="false">IF($B5225='設定（最初に1回）'!$C$4,N(U5224)+1,N(U5224))</f>
        <v>134</v>
      </c>
    </row>
    <row r="5226" customFormat="false" ht="15" hidden="false" customHeight="false" outlineLevel="0" collapsed="false">
      <c r="B5226" s="53"/>
      <c r="I5226" s="53"/>
      <c r="U5226" s="31" t="n">
        <f aca="false">IF($B5226='設定（最初に1回）'!$C$4,N(U5225)+1,N(U5225))</f>
        <v>134</v>
      </c>
    </row>
    <row r="5227" customFormat="false" ht="15" hidden="false" customHeight="false" outlineLevel="0" collapsed="false">
      <c r="B5227" s="53"/>
      <c r="I5227" s="53"/>
      <c r="U5227" s="31" t="n">
        <f aca="false">IF($B5227='設定（最初に1回）'!$C$4,N(U5226)+1,N(U5226))</f>
        <v>134</v>
      </c>
    </row>
    <row r="5228" customFormat="false" ht="15" hidden="false" customHeight="false" outlineLevel="0" collapsed="false">
      <c r="B5228" s="53"/>
      <c r="I5228" s="53"/>
      <c r="U5228" s="31" t="n">
        <f aca="false">IF($B5228='設定（最初に1回）'!$C$4,N(U5227)+1,N(U5227))</f>
        <v>134</v>
      </c>
    </row>
    <row r="5229" customFormat="false" ht="15" hidden="false" customHeight="false" outlineLevel="0" collapsed="false">
      <c r="B5229" s="53"/>
      <c r="I5229" s="53"/>
      <c r="U5229" s="31" t="n">
        <f aca="false">IF($B5229='設定（最初に1回）'!$C$4,N(U5228)+1,N(U5228))</f>
        <v>134</v>
      </c>
    </row>
    <row r="5230" customFormat="false" ht="15" hidden="false" customHeight="false" outlineLevel="0" collapsed="false">
      <c r="B5230" s="53"/>
      <c r="I5230" s="53"/>
      <c r="U5230" s="31" t="n">
        <f aca="false">IF($B5230='設定（最初に1回）'!$C$4,N(U5229)+1,N(U5229))</f>
        <v>134</v>
      </c>
    </row>
    <row r="5231" customFormat="false" ht="15" hidden="false" customHeight="false" outlineLevel="0" collapsed="false">
      <c r="B5231" s="53"/>
      <c r="I5231" s="53"/>
      <c r="U5231" s="31" t="n">
        <f aca="false">IF($B5231='設定（最初に1回）'!$C$4,N(U5230)+1,N(U5230))</f>
        <v>134</v>
      </c>
    </row>
    <row r="5232" customFormat="false" ht="15" hidden="false" customHeight="false" outlineLevel="0" collapsed="false">
      <c r="B5232" s="53"/>
      <c r="I5232" s="53"/>
      <c r="U5232" s="31" t="n">
        <f aca="false">IF($B5232='設定（最初に1回）'!$C$4,N(U5231)+1,N(U5231))</f>
        <v>134</v>
      </c>
    </row>
    <row r="5233" customFormat="false" ht="15" hidden="false" customHeight="false" outlineLevel="0" collapsed="false">
      <c r="B5233" s="53"/>
      <c r="I5233" s="53"/>
      <c r="U5233" s="31" t="n">
        <f aca="false">IF($B5233='設定（最初に1回）'!$C$4,N(U5232)+1,N(U5232))</f>
        <v>134</v>
      </c>
    </row>
    <row r="5234" customFormat="false" ht="15" hidden="false" customHeight="false" outlineLevel="0" collapsed="false">
      <c r="B5234" s="53"/>
      <c r="I5234" s="53"/>
      <c r="U5234" s="31" t="n">
        <f aca="false">IF($B5234='設定（最初に1回）'!$C$4,N(U5233)+1,N(U5233))</f>
        <v>134</v>
      </c>
    </row>
    <row r="5235" customFormat="false" ht="15" hidden="false" customHeight="false" outlineLevel="0" collapsed="false">
      <c r="B5235" s="53"/>
      <c r="I5235" s="53"/>
      <c r="U5235" s="31" t="n">
        <f aca="false">IF($B5235='設定（最初に1回）'!$C$4,N(U5234)+1,N(U5234))</f>
        <v>134</v>
      </c>
    </row>
    <row r="5236" customFormat="false" ht="15" hidden="false" customHeight="false" outlineLevel="0" collapsed="false">
      <c r="B5236" s="53"/>
      <c r="I5236" s="53"/>
      <c r="U5236" s="31" t="n">
        <f aca="false">IF($B5236='設定（最初に1回）'!$C$4,N(U5235)+1,N(U5235))</f>
        <v>134</v>
      </c>
    </row>
    <row r="5237" customFormat="false" ht="15" hidden="false" customHeight="false" outlineLevel="0" collapsed="false">
      <c r="B5237" s="53"/>
      <c r="I5237" s="53"/>
      <c r="U5237" s="31" t="n">
        <f aca="false">IF($B5237='設定（最初に1回）'!$C$4,N(U5236)+1,N(U5236))</f>
        <v>134</v>
      </c>
    </row>
    <row r="5238" customFormat="false" ht="15" hidden="false" customHeight="false" outlineLevel="0" collapsed="false">
      <c r="B5238" s="53"/>
      <c r="I5238" s="53"/>
      <c r="U5238" s="31" t="n">
        <f aca="false">IF($B5238='設定（最初に1回）'!$C$4,N(U5237)+1,N(U5237))</f>
        <v>134</v>
      </c>
    </row>
    <row r="5239" customFormat="false" ht="15" hidden="false" customHeight="false" outlineLevel="0" collapsed="false">
      <c r="B5239" s="53"/>
      <c r="I5239" s="53"/>
      <c r="U5239" s="31" t="n">
        <f aca="false">IF($B5239='設定（最初に1回）'!$C$4,N(U5238)+1,N(U5238))</f>
        <v>134</v>
      </c>
    </row>
    <row r="5240" customFormat="false" ht="15" hidden="false" customHeight="false" outlineLevel="0" collapsed="false">
      <c r="B5240" s="53"/>
      <c r="I5240" s="53"/>
      <c r="U5240" s="31" t="n">
        <f aca="false">IF($B5240='設定（最初に1回）'!$C$4,N(U5239)+1,N(U5239))</f>
        <v>134</v>
      </c>
    </row>
    <row r="5241" customFormat="false" ht="15" hidden="false" customHeight="false" outlineLevel="0" collapsed="false">
      <c r="B5241" s="53"/>
      <c r="I5241" s="53"/>
      <c r="U5241" s="31" t="n">
        <f aca="false">IF($B5241='設定（最初に1回）'!$C$4,N(U5240)+1,N(U5240))</f>
        <v>134</v>
      </c>
    </row>
    <row r="5242" customFormat="false" ht="15" hidden="false" customHeight="false" outlineLevel="0" collapsed="false">
      <c r="B5242" s="53"/>
      <c r="I5242" s="53"/>
      <c r="U5242" s="31" t="n">
        <f aca="false">IF($B5242='設定（最初に1回）'!$C$4,N(U5241)+1,N(U5241))</f>
        <v>134</v>
      </c>
    </row>
    <row r="5243" customFormat="false" ht="15" hidden="false" customHeight="false" outlineLevel="0" collapsed="false">
      <c r="B5243" s="53"/>
      <c r="I5243" s="53"/>
      <c r="U5243" s="31" t="n">
        <f aca="false">IF($B5243='設定（最初に1回）'!$C$4,N(U5242)+1,N(U5242))</f>
        <v>134</v>
      </c>
    </row>
    <row r="5244" customFormat="false" ht="15" hidden="false" customHeight="false" outlineLevel="0" collapsed="false">
      <c r="B5244" s="53"/>
      <c r="I5244" s="53"/>
      <c r="U5244" s="31" t="n">
        <f aca="false">IF($B5244='設定（最初に1回）'!$C$4,N(U5243)+1,N(U5243))</f>
        <v>134</v>
      </c>
    </row>
    <row r="5245" customFormat="false" ht="15" hidden="false" customHeight="false" outlineLevel="0" collapsed="false">
      <c r="B5245" s="53"/>
      <c r="I5245" s="53"/>
      <c r="U5245" s="31" t="n">
        <f aca="false">IF($B5245='設定（最初に1回）'!$C$4,N(U5244)+1,N(U5244))</f>
        <v>134</v>
      </c>
    </row>
    <row r="5246" customFormat="false" ht="15" hidden="false" customHeight="false" outlineLevel="0" collapsed="false">
      <c r="B5246" s="53"/>
      <c r="I5246" s="53"/>
      <c r="U5246" s="31" t="n">
        <f aca="false">IF($B5246='設定（最初に1回）'!$C$4,N(U5245)+1,N(U5245))</f>
        <v>134</v>
      </c>
    </row>
    <row r="5247" customFormat="false" ht="15" hidden="false" customHeight="false" outlineLevel="0" collapsed="false">
      <c r="B5247" s="53"/>
      <c r="I5247" s="53"/>
      <c r="U5247" s="31" t="n">
        <f aca="false">IF($B5247='設定（最初に1回）'!$C$4,N(U5246)+1,N(U5246))</f>
        <v>134</v>
      </c>
    </row>
    <row r="5248" customFormat="false" ht="15" hidden="false" customHeight="false" outlineLevel="0" collapsed="false">
      <c r="B5248" s="53"/>
      <c r="I5248" s="53"/>
      <c r="U5248" s="31" t="n">
        <f aca="false">IF($B5248='設定（最初に1回）'!$C$4,N(U5247)+1,N(U5247))</f>
        <v>134</v>
      </c>
    </row>
    <row r="5249" customFormat="false" ht="15" hidden="false" customHeight="false" outlineLevel="0" collapsed="false">
      <c r="B5249" s="53"/>
      <c r="I5249" s="53"/>
      <c r="U5249" s="31" t="n">
        <f aca="false">IF($B5249='設定（最初に1回）'!$C$4,N(U5248)+1,N(U5248))</f>
        <v>134</v>
      </c>
    </row>
    <row r="5250" customFormat="false" ht="15" hidden="false" customHeight="false" outlineLevel="0" collapsed="false">
      <c r="B5250" s="53"/>
      <c r="I5250" s="53"/>
      <c r="U5250" s="31" t="n">
        <f aca="false">IF($B5250='設定（最初に1回）'!$C$4,N(U5249)+1,N(U5249))</f>
        <v>134</v>
      </c>
    </row>
    <row r="5251" customFormat="false" ht="15" hidden="false" customHeight="false" outlineLevel="0" collapsed="false">
      <c r="B5251" s="53"/>
      <c r="I5251" s="53"/>
      <c r="U5251" s="31" t="n">
        <f aca="false">IF($B5251='設定（最初に1回）'!$C$4,N(U5250)+1,N(U5250))</f>
        <v>134</v>
      </c>
    </row>
    <row r="5252" customFormat="false" ht="15" hidden="false" customHeight="false" outlineLevel="0" collapsed="false">
      <c r="B5252" s="53"/>
      <c r="I5252" s="53"/>
      <c r="U5252" s="31" t="n">
        <f aca="false">IF($B5252='設定（最初に1回）'!$C$4,N(U5251)+1,N(U5251))</f>
        <v>134</v>
      </c>
    </row>
    <row r="5253" customFormat="false" ht="15" hidden="false" customHeight="false" outlineLevel="0" collapsed="false">
      <c r="B5253" s="53"/>
      <c r="I5253" s="53"/>
      <c r="U5253" s="31" t="n">
        <f aca="false">IF($B5253='設定（最初に1回）'!$C$4,N(U5252)+1,N(U5252))</f>
        <v>134</v>
      </c>
    </row>
    <row r="5254" customFormat="false" ht="15" hidden="false" customHeight="false" outlineLevel="0" collapsed="false">
      <c r="B5254" s="53"/>
      <c r="I5254" s="53"/>
      <c r="U5254" s="31" t="n">
        <f aca="false">IF($B5254='設定（最初に1回）'!$C$4,N(U5253)+1,N(U5253))</f>
        <v>134</v>
      </c>
    </row>
    <row r="5255" customFormat="false" ht="15" hidden="false" customHeight="false" outlineLevel="0" collapsed="false">
      <c r="B5255" s="53"/>
      <c r="I5255" s="53"/>
      <c r="U5255" s="31" t="n">
        <f aca="false">IF($B5255='設定（最初に1回）'!$C$4,N(U5254)+1,N(U5254))</f>
        <v>134</v>
      </c>
    </row>
    <row r="5256" customFormat="false" ht="15" hidden="false" customHeight="false" outlineLevel="0" collapsed="false">
      <c r="B5256" s="53"/>
      <c r="I5256" s="53"/>
      <c r="U5256" s="31" t="n">
        <f aca="false">IF($B5256='設定（最初に1回）'!$C$4,N(U5255)+1,N(U5255))</f>
        <v>134</v>
      </c>
    </row>
    <row r="5257" customFormat="false" ht="15" hidden="false" customHeight="false" outlineLevel="0" collapsed="false">
      <c r="B5257" s="53"/>
      <c r="I5257" s="53"/>
      <c r="U5257" s="31" t="n">
        <f aca="false">IF($B5257='設定（最初に1回）'!$C$4,N(U5256)+1,N(U5256))</f>
        <v>134</v>
      </c>
    </row>
    <row r="5258" customFormat="false" ht="15" hidden="false" customHeight="false" outlineLevel="0" collapsed="false">
      <c r="B5258" s="53"/>
      <c r="I5258" s="53"/>
      <c r="U5258" s="31" t="n">
        <f aca="false">IF($B5258='設定（最初に1回）'!$C$4,N(U5257)+1,N(U5257))</f>
        <v>134</v>
      </c>
    </row>
    <row r="5259" customFormat="false" ht="15" hidden="false" customHeight="false" outlineLevel="0" collapsed="false">
      <c r="B5259" s="53"/>
      <c r="I5259" s="53"/>
      <c r="U5259" s="31" t="n">
        <f aca="false">IF($B5259='設定（最初に1回）'!$C$4,N(U5258)+1,N(U5258))</f>
        <v>134</v>
      </c>
    </row>
    <row r="5260" customFormat="false" ht="15" hidden="false" customHeight="false" outlineLevel="0" collapsed="false">
      <c r="B5260" s="53"/>
      <c r="I5260" s="53"/>
      <c r="U5260" s="31" t="n">
        <f aca="false">IF($B5260='設定（最初に1回）'!$C$4,N(U5259)+1,N(U5259))</f>
        <v>134</v>
      </c>
    </row>
    <row r="5261" customFormat="false" ht="15" hidden="false" customHeight="false" outlineLevel="0" collapsed="false">
      <c r="B5261" s="53"/>
      <c r="I5261" s="53"/>
      <c r="U5261" s="31" t="n">
        <f aca="false">IF($B5261='設定（最初に1回）'!$C$4,N(U5260)+1,N(U5260))</f>
        <v>134</v>
      </c>
    </row>
    <row r="5262" customFormat="false" ht="15" hidden="false" customHeight="false" outlineLevel="0" collapsed="false">
      <c r="B5262" s="53"/>
      <c r="I5262" s="53"/>
      <c r="U5262" s="31" t="n">
        <f aca="false">IF($B5262='設定（最初に1回）'!$C$4,N(U5261)+1,N(U5261))</f>
        <v>134</v>
      </c>
    </row>
    <row r="5263" customFormat="false" ht="15" hidden="false" customHeight="false" outlineLevel="0" collapsed="false">
      <c r="B5263" s="53"/>
      <c r="I5263" s="53"/>
      <c r="U5263" s="31" t="n">
        <f aca="false">IF($B5263='設定（最初に1回）'!$C$4,N(U5262)+1,N(U5262))</f>
        <v>134</v>
      </c>
    </row>
    <row r="5264" customFormat="false" ht="15" hidden="false" customHeight="false" outlineLevel="0" collapsed="false">
      <c r="B5264" s="53"/>
      <c r="I5264" s="53"/>
      <c r="U5264" s="31" t="n">
        <f aca="false">IF($B5264='設定（最初に1回）'!$C$4,N(U5263)+1,N(U5263))</f>
        <v>134</v>
      </c>
    </row>
    <row r="5265" customFormat="false" ht="15" hidden="false" customHeight="false" outlineLevel="0" collapsed="false">
      <c r="B5265" s="53"/>
      <c r="I5265" s="53"/>
      <c r="U5265" s="31" t="n">
        <f aca="false">IF($B5265='設定（最初に1回）'!$C$4,N(U5264)+1,N(U5264))</f>
        <v>134</v>
      </c>
    </row>
    <row r="5266" customFormat="false" ht="15" hidden="false" customHeight="false" outlineLevel="0" collapsed="false">
      <c r="B5266" s="53"/>
      <c r="I5266" s="53"/>
      <c r="U5266" s="31" t="n">
        <f aca="false">IF($B5266='設定（最初に1回）'!$C$4,N(U5265)+1,N(U5265))</f>
        <v>134</v>
      </c>
    </row>
    <row r="5267" customFormat="false" ht="15" hidden="false" customHeight="false" outlineLevel="0" collapsed="false">
      <c r="B5267" s="53"/>
      <c r="I5267" s="53"/>
      <c r="U5267" s="31" t="n">
        <f aca="false">IF($B5267='設定（最初に1回）'!$C$4,N(U5266)+1,N(U5266))</f>
        <v>134</v>
      </c>
    </row>
    <row r="5268" customFormat="false" ht="15" hidden="false" customHeight="false" outlineLevel="0" collapsed="false">
      <c r="B5268" s="53"/>
      <c r="I5268" s="53"/>
      <c r="U5268" s="31" t="n">
        <f aca="false">IF($B5268='設定（最初に1回）'!$C$4,N(U5267)+1,N(U5267))</f>
        <v>134</v>
      </c>
    </row>
    <row r="5269" customFormat="false" ht="15" hidden="false" customHeight="false" outlineLevel="0" collapsed="false">
      <c r="B5269" s="53"/>
      <c r="I5269" s="53"/>
      <c r="U5269" s="31" t="n">
        <f aca="false">IF($B5269='設定（最初に1回）'!$C$4,N(U5268)+1,N(U5268))</f>
        <v>134</v>
      </c>
    </row>
    <row r="5270" customFormat="false" ht="15" hidden="false" customHeight="false" outlineLevel="0" collapsed="false">
      <c r="B5270" s="53"/>
      <c r="I5270" s="53"/>
      <c r="U5270" s="31" t="n">
        <f aca="false">IF($B5270='設定（最初に1回）'!$C$4,N(U5269)+1,N(U5269))</f>
        <v>134</v>
      </c>
    </row>
    <row r="5271" customFormat="false" ht="15" hidden="false" customHeight="false" outlineLevel="0" collapsed="false">
      <c r="B5271" s="53"/>
      <c r="I5271" s="53"/>
      <c r="U5271" s="31" t="n">
        <f aca="false">IF($B5271='設定（最初に1回）'!$C$4,N(U5270)+1,N(U5270))</f>
        <v>134</v>
      </c>
    </row>
    <row r="5272" customFormat="false" ht="15" hidden="false" customHeight="false" outlineLevel="0" collapsed="false">
      <c r="B5272" s="53"/>
      <c r="I5272" s="53"/>
      <c r="U5272" s="31" t="n">
        <f aca="false">IF($B5272='設定（最初に1回）'!$C$4,N(U5271)+1,N(U5271))</f>
        <v>134</v>
      </c>
    </row>
    <row r="5273" customFormat="false" ht="15" hidden="false" customHeight="false" outlineLevel="0" collapsed="false">
      <c r="B5273" s="53"/>
      <c r="I5273" s="53"/>
      <c r="U5273" s="31" t="n">
        <f aca="false">IF($B5273='設定（最初に1回）'!$C$4,N(U5272)+1,N(U5272))</f>
        <v>134</v>
      </c>
    </row>
    <row r="5274" customFormat="false" ht="15" hidden="false" customHeight="false" outlineLevel="0" collapsed="false">
      <c r="B5274" s="53"/>
      <c r="I5274" s="53"/>
      <c r="U5274" s="31" t="n">
        <f aca="false">IF($B5274='設定（最初に1回）'!$C$4,N(U5273)+1,N(U5273))</f>
        <v>134</v>
      </c>
    </row>
    <row r="5275" customFormat="false" ht="15" hidden="false" customHeight="false" outlineLevel="0" collapsed="false">
      <c r="B5275" s="53"/>
      <c r="I5275" s="53"/>
      <c r="U5275" s="31" t="n">
        <f aca="false">IF($B5275='設定（最初に1回）'!$C$4,N(U5274)+1,N(U5274))</f>
        <v>134</v>
      </c>
    </row>
    <row r="5276" customFormat="false" ht="15" hidden="false" customHeight="false" outlineLevel="0" collapsed="false">
      <c r="B5276" s="53"/>
      <c r="I5276" s="53"/>
      <c r="U5276" s="31" t="n">
        <f aca="false">IF($B5276='設定（最初に1回）'!$C$4,N(U5275)+1,N(U5275))</f>
        <v>134</v>
      </c>
    </row>
    <row r="5277" customFormat="false" ht="15" hidden="false" customHeight="false" outlineLevel="0" collapsed="false">
      <c r="B5277" s="53"/>
      <c r="I5277" s="53"/>
      <c r="U5277" s="31" t="n">
        <f aca="false">IF($B5277='設定（最初に1回）'!$C$4,N(U5276)+1,N(U5276))</f>
        <v>134</v>
      </c>
    </row>
    <row r="5278" customFormat="false" ht="15" hidden="false" customHeight="false" outlineLevel="0" collapsed="false">
      <c r="B5278" s="53"/>
      <c r="I5278" s="53"/>
      <c r="U5278" s="31" t="n">
        <f aca="false">IF($B5278='設定（最初に1回）'!$C$4,N(U5277)+1,N(U5277))</f>
        <v>134</v>
      </c>
    </row>
    <row r="5279" customFormat="false" ht="15" hidden="false" customHeight="false" outlineLevel="0" collapsed="false">
      <c r="B5279" s="53"/>
      <c r="I5279" s="53"/>
      <c r="U5279" s="31" t="n">
        <f aca="false">IF($B5279='設定（最初に1回）'!$C$4,N(U5278)+1,N(U5278))</f>
        <v>134</v>
      </c>
    </row>
    <row r="5280" customFormat="false" ht="15" hidden="false" customHeight="false" outlineLevel="0" collapsed="false">
      <c r="B5280" s="53"/>
      <c r="I5280" s="53"/>
      <c r="U5280" s="31" t="n">
        <f aca="false">IF($B5280='設定（最初に1回）'!$C$4,N(U5279)+1,N(U5279))</f>
        <v>134</v>
      </c>
    </row>
    <row r="5281" customFormat="false" ht="15" hidden="false" customHeight="false" outlineLevel="0" collapsed="false">
      <c r="B5281" s="53"/>
      <c r="I5281" s="53"/>
      <c r="U5281" s="31" t="n">
        <f aca="false">IF($B5281='設定（最初に1回）'!$C$4,N(U5280)+1,N(U5280))</f>
        <v>134</v>
      </c>
    </row>
    <row r="5282" customFormat="false" ht="15" hidden="false" customHeight="false" outlineLevel="0" collapsed="false">
      <c r="B5282" s="53"/>
      <c r="I5282" s="53"/>
      <c r="U5282" s="31" t="n">
        <f aca="false">IF($B5282='設定（最初に1回）'!$C$4,N(U5281)+1,N(U5281))</f>
        <v>134</v>
      </c>
    </row>
    <row r="5283" customFormat="false" ht="15" hidden="false" customHeight="false" outlineLevel="0" collapsed="false">
      <c r="B5283" s="53"/>
      <c r="I5283" s="53"/>
      <c r="U5283" s="31" t="n">
        <f aca="false">IF($B5283='設定（最初に1回）'!$C$4,N(U5282)+1,N(U5282))</f>
        <v>134</v>
      </c>
    </row>
    <row r="5284" customFormat="false" ht="15" hidden="false" customHeight="false" outlineLevel="0" collapsed="false">
      <c r="B5284" s="53"/>
      <c r="I5284" s="53"/>
      <c r="U5284" s="31" t="n">
        <f aca="false">IF($B5284='設定（最初に1回）'!$C$4,N(U5283)+1,N(U5283))</f>
        <v>134</v>
      </c>
    </row>
    <row r="5285" customFormat="false" ht="15" hidden="false" customHeight="false" outlineLevel="0" collapsed="false">
      <c r="B5285" s="53"/>
      <c r="I5285" s="53"/>
      <c r="U5285" s="31" t="n">
        <f aca="false">IF($B5285='設定（最初に1回）'!$C$4,N(U5284)+1,N(U5284))</f>
        <v>134</v>
      </c>
    </row>
    <row r="5286" customFormat="false" ht="15" hidden="false" customHeight="false" outlineLevel="0" collapsed="false">
      <c r="B5286" s="53"/>
      <c r="I5286" s="53"/>
      <c r="U5286" s="31" t="n">
        <f aca="false">IF($B5286='設定（最初に1回）'!$C$4,N(U5285)+1,N(U5285))</f>
        <v>134</v>
      </c>
    </row>
    <row r="5287" customFormat="false" ht="15" hidden="false" customHeight="false" outlineLevel="0" collapsed="false">
      <c r="B5287" s="53"/>
      <c r="I5287" s="53"/>
      <c r="U5287" s="31" t="n">
        <f aca="false">IF($B5287='設定（最初に1回）'!$C$4,N(U5286)+1,N(U5286))</f>
        <v>134</v>
      </c>
    </row>
    <row r="5288" customFormat="false" ht="15" hidden="false" customHeight="false" outlineLevel="0" collapsed="false">
      <c r="B5288" s="53"/>
      <c r="I5288" s="53"/>
      <c r="U5288" s="31" t="n">
        <f aca="false">IF($B5288='設定（最初に1回）'!$C$4,N(U5287)+1,N(U5287))</f>
        <v>134</v>
      </c>
    </row>
    <row r="5289" customFormat="false" ht="15" hidden="false" customHeight="false" outlineLevel="0" collapsed="false">
      <c r="B5289" s="53"/>
      <c r="I5289" s="53"/>
      <c r="U5289" s="31" t="n">
        <f aca="false">IF($B5289='設定（最初に1回）'!$C$4,N(U5288)+1,N(U5288))</f>
        <v>134</v>
      </c>
    </row>
    <row r="5290" customFormat="false" ht="15" hidden="false" customHeight="false" outlineLevel="0" collapsed="false">
      <c r="B5290" s="53"/>
      <c r="I5290" s="53"/>
      <c r="U5290" s="31" t="n">
        <f aca="false">IF($B5290='設定（最初に1回）'!$C$4,N(U5289)+1,N(U5289))</f>
        <v>134</v>
      </c>
    </row>
    <row r="5291" customFormat="false" ht="15" hidden="false" customHeight="false" outlineLevel="0" collapsed="false">
      <c r="B5291" s="53"/>
      <c r="I5291" s="53"/>
      <c r="U5291" s="31" t="n">
        <f aca="false">IF($B5291='設定（最初に1回）'!$C$4,N(U5290)+1,N(U5290))</f>
        <v>134</v>
      </c>
    </row>
    <row r="5292" customFormat="false" ht="15" hidden="false" customHeight="false" outlineLevel="0" collapsed="false">
      <c r="B5292" s="53"/>
      <c r="I5292" s="53"/>
      <c r="U5292" s="31" t="n">
        <f aca="false">IF($B5292='設定（最初に1回）'!$C$4,N(U5291)+1,N(U5291))</f>
        <v>134</v>
      </c>
    </row>
    <row r="5293" customFormat="false" ht="15" hidden="false" customHeight="false" outlineLevel="0" collapsed="false">
      <c r="B5293" s="53"/>
      <c r="I5293" s="53"/>
      <c r="U5293" s="31" t="n">
        <f aca="false">IF($B5293='設定（最初に1回）'!$C$4,N(U5292)+1,N(U5292))</f>
        <v>134</v>
      </c>
    </row>
    <row r="5294" customFormat="false" ht="15" hidden="false" customHeight="false" outlineLevel="0" collapsed="false">
      <c r="B5294" s="53"/>
      <c r="I5294" s="53"/>
      <c r="U5294" s="31" t="n">
        <f aca="false">IF($B5294='設定（最初に1回）'!$C$4,N(U5293)+1,N(U5293))</f>
        <v>134</v>
      </c>
    </row>
    <row r="5295" customFormat="false" ht="15" hidden="false" customHeight="false" outlineLevel="0" collapsed="false">
      <c r="B5295" s="53"/>
      <c r="I5295" s="53"/>
      <c r="U5295" s="31" t="n">
        <f aca="false">IF($B5295='設定（最初に1回）'!$C$4,N(U5294)+1,N(U5294))</f>
        <v>134</v>
      </c>
    </row>
    <row r="5296" customFormat="false" ht="15" hidden="false" customHeight="false" outlineLevel="0" collapsed="false">
      <c r="B5296" s="53"/>
      <c r="I5296" s="53"/>
      <c r="U5296" s="31" t="n">
        <f aca="false">IF($B5296='設定（最初に1回）'!$C$4,N(U5295)+1,N(U5295))</f>
        <v>134</v>
      </c>
    </row>
    <row r="5297" customFormat="false" ht="15" hidden="false" customHeight="false" outlineLevel="0" collapsed="false">
      <c r="B5297" s="53"/>
      <c r="I5297" s="53"/>
      <c r="U5297" s="31" t="n">
        <f aca="false">IF($B5297='設定（最初に1回）'!$C$4,N(U5296)+1,N(U5296))</f>
        <v>134</v>
      </c>
    </row>
    <row r="5298" customFormat="false" ht="15" hidden="false" customHeight="false" outlineLevel="0" collapsed="false">
      <c r="B5298" s="53"/>
      <c r="I5298" s="53"/>
      <c r="U5298" s="31" t="n">
        <f aca="false">IF($B5298='設定（最初に1回）'!$C$4,N(U5297)+1,N(U5297))</f>
        <v>134</v>
      </c>
    </row>
    <row r="5299" customFormat="false" ht="15" hidden="false" customHeight="false" outlineLevel="0" collapsed="false">
      <c r="B5299" s="53"/>
      <c r="I5299" s="53"/>
      <c r="U5299" s="31" t="n">
        <f aca="false">IF($B5299='設定（最初に1回）'!$C$4,N(U5298)+1,N(U5298))</f>
        <v>134</v>
      </c>
    </row>
    <row r="5300" customFormat="false" ht="15" hidden="false" customHeight="false" outlineLevel="0" collapsed="false">
      <c r="B5300" s="53"/>
      <c r="I5300" s="53"/>
      <c r="U5300" s="31" t="n">
        <f aca="false">IF($B5300='設定（最初に1回）'!$C$4,N(U5299)+1,N(U5299))</f>
        <v>134</v>
      </c>
    </row>
    <row r="5301" customFormat="false" ht="15" hidden="false" customHeight="false" outlineLevel="0" collapsed="false">
      <c r="B5301" s="53"/>
      <c r="I5301" s="53"/>
      <c r="U5301" s="31" t="n">
        <f aca="false">IF($B5301='設定（最初に1回）'!$C$4,N(U5300)+1,N(U5300))</f>
        <v>134</v>
      </c>
    </row>
    <row r="5302" customFormat="false" ht="15" hidden="false" customHeight="false" outlineLevel="0" collapsed="false">
      <c r="B5302" s="53"/>
      <c r="I5302" s="53"/>
      <c r="U5302" s="31" t="n">
        <f aca="false">IF($B5302='設定（最初に1回）'!$C$4,N(U5301)+1,N(U5301))</f>
        <v>134</v>
      </c>
    </row>
    <row r="5303" customFormat="false" ht="15" hidden="false" customHeight="false" outlineLevel="0" collapsed="false">
      <c r="B5303" s="53"/>
      <c r="I5303" s="53"/>
      <c r="U5303" s="31" t="n">
        <f aca="false">IF($B5303='設定（最初に1回）'!$C$4,N(U5302)+1,N(U5302))</f>
        <v>134</v>
      </c>
    </row>
    <row r="5304" customFormat="false" ht="15" hidden="false" customHeight="false" outlineLevel="0" collapsed="false">
      <c r="B5304" s="53"/>
      <c r="I5304" s="53"/>
      <c r="U5304" s="31" t="n">
        <f aca="false">IF($B5304='設定（最初に1回）'!$C$4,N(U5303)+1,N(U5303))</f>
        <v>134</v>
      </c>
    </row>
    <row r="5305" customFormat="false" ht="15" hidden="false" customHeight="false" outlineLevel="0" collapsed="false">
      <c r="B5305" s="53"/>
      <c r="I5305" s="53"/>
      <c r="U5305" s="31" t="n">
        <f aca="false">IF($B5305='設定（最初に1回）'!$C$4,N(U5304)+1,N(U5304))</f>
        <v>134</v>
      </c>
    </row>
    <row r="5306" customFormat="false" ht="15" hidden="false" customHeight="false" outlineLevel="0" collapsed="false">
      <c r="B5306" s="53"/>
      <c r="I5306" s="53"/>
      <c r="U5306" s="31" t="n">
        <f aca="false">IF($B5306='設定（最初に1回）'!$C$4,N(U5305)+1,N(U5305))</f>
        <v>134</v>
      </c>
    </row>
    <row r="5307" customFormat="false" ht="15" hidden="false" customHeight="false" outlineLevel="0" collapsed="false">
      <c r="B5307" s="53"/>
      <c r="I5307" s="53"/>
      <c r="U5307" s="31" t="n">
        <f aca="false">IF($B5307='設定（最初に1回）'!$C$4,N(U5306)+1,N(U5306))</f>
        <v>134</v>
      </c>
    </row>
    <row r="5308" customFormat="false" ht="15" hidden="false" customHeight="false" outlineLevel="0" collapsed="false">
      <c r="B5308" s="53"/>
      <c r="I5308" s="53"/>
      <c r="U5308" s="31" t="n">
        <f aca="false">IF($B5308='設定（最初に1回）'!$C$4,N(U5307)+1,N(U5307))</f>
        <v>134</v>
      </c>
    </row>
    <row r="5309" customFormat="false" ht="15" hidden="false" customHeight="false" outlineLevel="0" collapsed="false">
      <c r="B5309" s="53"/>
      <c r="I5309" s="53"/>
      <c r="U5309" s="31" t="n">
        <f aca="false">IF($B5309='設定（最初に1回）'!$C$4,N(U5308)+1,N(U5308))</f>
        <v>134</v>
      </c>
    </row>
    <row r="5310" customFormat="false" ht="15" hidden="false" customHeight="false" outlineLevel="0" collapsed="false">
      <c r="B5310" s="53"/>
      <c r="I5310" s="53"/>
      <c r="U5310" s="31" t="n">
        <f aca="false">IF($B5310='設定（最初に1回）'!$C$4,N(U5309)+1,N(U5309))</f>
        <v>134</v>
      </c>
    </row>
    <row r="5311" customFormat="false" ht="15" hidden="false" customHeight="false" outlineLevel="0" collapsed="false">
      <c r="B5311" s="53"/>
      <c r="I5311" s="53"/>
      <c r="U5311" s="31" t="n">
        <f aca="false">IF($B5311='設定（最初に1回）'!$C$4,N(U5310)+1,N(U5310))</f>
        <v>134</v>
      </c>
    </row>
    <row r="5312" customFormat="false" ht="15" hidden="false" customHeight="false" outlineLevel="0" collapsed="false">
      <c r="B5312" s="53"/>
      <c r="I5312" s="53"/>
      <c r="U5312" s="31" t="n">
        <f aca="false">IF($B5312='設定（最初に1回）'!$C$4,N(U5311)+1,N(U5311))</f>
        <v>134</v>
      </c>
    </row>
    <row r="5313" customFormat="false" ht="15" hidden="false" customHeight="false" outlineLevel="0" collapsed="false">
      <c r="B5313" s="53"/>
      <c r="I5313" s="53"/>
      <c r="U5313" s="31" t="n">
        <f aca="false">IF($B5313='設定（最初に1回）'!$C$4,N(U5312)+1,N(U5312))</f>
        <v>134</v>
      </c>
    </row>
    <row r="5314" customFormat="false" ht="15" hidden="false" customHeight="false" outlineLevel="0" collapsed="false">
      <c r="B5314" s="53"/>
      <c r="I5314" s="53"/>
      <c r="U5314" s="31" t="n">
        <f aca="false">IF($B5314='設定（最初に1回）'!$C$4,N(U5313)+1,N(U5313))</f>
        <v>134</v>
      </c>
    </row>
    <row r="5315" customFormat="false" ht="15" hidden="false" customHeight="false" outlineLevel="0" collapsed="false">
      <c r="B5315" s="53"/>
      <c r="I5315" s="53"/>
      <c r="U5315" s="31" t="n">
        <f aca="false">IF($B5315='設定（最初に1回）'!$C$4,N(U5314)+1,N(U5314))</f>
        <v>134</v>
      </c>
    </row>
    <row r="5316" customFormat="false" ht="15" hidden="false" customHeight="false" outlineLevel="0" collapsed="false">
      <c r="B5316" s="53"/>
      <c r="I5316" s="53"/>
      <c r="U5316" s="31" t="n">
        <f aca="false">IF($B5316='設定（最初に1回）'!$C$4,N(U5315)+1,N(U5315))</f>
        <v>134</v>
      </c>
    </row>
    <row r="5317" customFormat="false" ht="15" hidden="false" customHeight="false" outlineLevel="0" collapsed="false">
      <c r="B5317" s="53"/>
      <c r="I5317" s="53"/>
      <c r="U5317" s="31" t="n">
        <f aca="false">IF($B5317='設定（最初に1回）'!$C$4,N(U5316)+1,N(U5316))</f>
        <v>134</v>
      </c>
    </row>
    <row r="5318" customFormat="false" ht="15" hidden="false" customHeight="false" outlineLevel="0" collapsed="false">
      <c r="B5318" s="53"/>
      <c r="I5318" s="53"/>
      <c r="U5318" s="31" t="n">
        <f aca="false">IF($B5318='設定（最初に1回）'!$C$4,N(U5317)+1,N(U5317))</f>
        <v>134</v>
      </c>
    </row>
    <row r="5319" customFormat="false" ht="15" hidden="false" customHeight="false" outlineLevel="0" collapsed="false">
      <c r="B5319" s="53"/>
      <c r="I5319" s="53"/>
      <c r="U5319" s="31" t="n">
        <f aca="false">IF($B5319='設定（最初に1回）'!$C$4,N(U5318)+1,N(U5318))</f>
        <v>134</v>
      </c>
    </row>
    <row r="5320" customFormat="false" ht="15" hidden="false" customHeight="false" outlineLevel="0" collapsed="false">
      <c r="B5320" s="53"/>
      <c r="I5320" s="53"/>
      <c r="U5320" s="31" t="n">
        <f aca="false">IF($B5320='設定（最初に1回）'!$C$4,N(U5319)+1,N(U5319))</f>
        <v>134</v>
      </c>
    </row>
    <row r="5321" customFormat="false" ht="15" hidden="false" customHeight="false" outlineLevel="0" collapsed="false">
      <c r="B5321" s="53"/>
      <c r="I5321" s="53"/>
      <c r="U5321" s="31" t="n">
        <f aca="false">IF($B5321='設定（最初に1回）'!$C$4,N(U5320)+1,N(U5320))</f>
        <v>134</v>
      </c>
    </row>
    <row r="5322" customFormat="false" ht="15" hidden="false" customHeight="false" outlineLevel="0" collapsed="false">
      <c r="B5322" s="53"/>
      <c r="I5322" s="53"/>
      <c r="U5322" s="31" t="n">
        <f aca="false">IF($B5322='設定（最初に1回）'!$C$4,N(U5321)+1,N(U5321))</f>
        <v>134</v>
      </c>
    </row>
    <row r="5323" customFormat="false" ht="15" hidden="false" customHeight="false" outlineLevel="0" collapsed="false">
      <c r="B5323" s="53"/>
      <c r="I5323" s="53"/>
      <c r="U5323" s="31" t="n">
        <f aca="false">IF($B5323='設定（最初に1回）'!$C$4,N(U5322)+1,N(U5322))</f>
        <v>134</v>
      </c>
    </row>
    <row r="5324" customFormat="false" ht="15" hidden="false" customHeight="false" outlineLevel="0" collapsed="false">
      <c r="B5324" s="53"/>
      <c r="I5324" s="53"/>
      <c r="U5324" s="31" t="n">
        <f aca="false">IF($B5324='設定（最初に1回）'!$C$4,N(U5323)+1,N(U5323))</f>
        <v>134</v>
      </c>
    </row>
    <row r="5325" customFormat="false" ht="15" hidden="false" customHeight="false" outlineLevel="0" collapsed="false">
      <c r="B5325" s="53"/>
      <c r="I5325" s="53"/>
      <c r="U5325" s="31" t="n">
        <f aca="false">IF($B5325='設定（最初に1回）'!$C$4,N(U5324)+1,N(U5324))</f>
        <v>134</v>
      </c>
    </row>
    <row r="5326" customFormat="false" ht="15" hidden="false" customHeight="false" outlineLevel="0" collapsed="false">
      <c r="B5326" s="53"/>
      <c r="I5326" s="53"/>
      <c r="U5326" s="31" t="n">
        <f aca="false">IF($B5326='設定（最初に1回）'!$C$4,N(U5325)+1,N(U5325))</f>
        <v>134</v>
      </c>
    </row>
    <row r="5327" customFormat="false" ht="15" hidden="false" customHeight="false" outlineLevel="0" collapsed="false">
      <c r="B5327" s="53"/>
      <c r="I5327" s="53"/>
      <c r="U5327" s="31" t="n">
        <f aca="false">IF($B5327='設定（最初に1回）'!$C$4,N(U5326)+1,N(U5326))</f>
        <v>134</v>
      </c>
    </row>
    <row r="5328" customFormat="false" ht="15" hidden="false" customHeight="false" outlineLevel="0" collapsed="false">
      <c r="B5328" s="53"/>
      <c r="I5328" s="53"/>
      <c r="U5328" s="31" t="n">
        <f aca="false">IF($B5328='設定（最初に1回）'!$C$4,N(U5327)+1,N(U5327))</f>
        <v>134</v>
      </c>
    </row>
    <row r="5329" customFormat="false" ht="15" hidden="false" customHeight="false" outlineLevel="0" collapsed="false">
      <c r="B5329" s="53"/>
      <c r="I5329" s="53"/>
      <c r="U5329" s="31" t="n">
        <f aca="false">IF($B5329='設定（最初に1回）'!$C$4,N(U5328)+1,N(U5328))</f>
        <v>134</v>
      </c>
    </row>
    <row r="5330" customFormat="false" ht="15" hidden="false" customHeight="false" outlineLevel="0" collapsed="false">
      <c r="B5330" s="53"/>
      <c r="I5330" s="53"/>
      <c r="U5330" s="31" t="n">
        <f aca="false">IF($B5330='設定（最初に1回）'!$C$4,N(U5329)+1,N(U5329))</f>
        <v>134</v>
      </c>
    </row>
    <row r="5331" customFormat="false" ht="15" hidden="false" customHeight="false" outlineLevel="0" collapsed="false">
      <c r="B5331" s="53"/>
      <c r="I5331" s="53"/>
      <c r="U5331" s="31" t="n">
        <f aca="false">IF($B5331='設定（最初に1回）'!$C$4,N(U5330)+1,N(U5330))</f>
        <v>134</v>
      </c>
    </row>
    <row r="5332" customFormat="false" ht="15" hidden="false" customHeight="false" outlineLevel="0" collapsed="false">
      <c r="B5332" s="53"/>
      <c r="I5332" s="53"/>
      <c r="U5332" s="31" t="n">
        <f aca="false">IF($B5332='設定（最初に1回）'!$C$4,N(U5331)+1,N(U5331))</f>
        <v>134</v>
      </c>
    </row>
    <row r="5333" customFormat="false" ht="15" hidden="false" customHeight="false" outlineLevel="0" collapsed="false">
      <c r="B5333" s="53"/>
      <c r="I5333" s="53"/>
      <c r="U5333" s="31" t="n">
        <f aca="false">IF($B5333='設定（最初に1回）'!$C$4,N(U5332)+1,N(U5332))</f>
        <v>134</v>
      </c>
    </row>
    <row r="5334" customFormat="false" ht="15" hidden="false" customHeight="false" outlineLevel="0" collapsed="false">
      <c r="B5334" s="53"/>
      <c r="I5334" s="53"/>
      <c r="U5334" s="31" t="n">
        <f aca="false">IF($B5334='設定（最初に1回）'!$C$4,N(U5333)+1,N(U5333))</f>
        <v>134</v>
      </c>
    </row>
    <row r="5335" customFormat="false" ht="15" hidden="false" customHeight="false" outlineLevel="0" collapsed="false">
      <c r="B5335" s="53"/>
      <c r="I5335" s="53"/>
      <c r="U5335" s="31" t="n">
        <f aca="false">IF($B5335='設定（最初に1回）'!$C$4,N(U5334)+1,N(U5334))</f>
        <v>134</v>
      </c>
    </row>
    <row r="5336" customFormat="false" ht="15" hidden="false" customHeight="false" outlineLevel="0" collapsed="false">
      <c r="B5336" s="53"/>
      <c r="I5336" s="53"/>
      <c r="U5336" s="31" t="n">
        <f aca="false">IF($B5336='設定（最初に1回）'!$C$4,N(U5335)+1,N(U5335))</f>
        <v>134</v>
      </c>
    </row>
    <row r="5337" customFormat="false" ht="15" hidden="false" customHeight="false" outlineLevel="0" collapsed="false">
      <c r="B5337" s="53"/>
      <c r="I5337" s="53"/>
      <c r="U5337" s="31" t="n">
        <f aca="false">IF($B5337='設定（最初に1回）'!$C$4,N(U5336)+1,N(U5336))</f>
        <v>134</v>
      </c>
    </row>
    <row r="5338" customFormat="false" ht="15" hidden="false" customHeight="false" outlineLevel="0" collapsed="false">
      <c r="B5338" s="53"/>
      <c r="I5338" s="53"/>
      <c r="U5338" s="31" t="n">
        <f aca="false">IF($B5338='設定（最初に1回）'!$C$4,N(U5337)+1,N(U5337))</f>
        <v>134</v>
      </c>
    </row>
    <row r="5339" customFormat="false" ht="15" hidden="false" customHeight="false" outlineLevel="0" collapsed="false">
      <c r="B5339" s="53"/>
      <c r="I5339" s="53"/>
      <c r="U5339" s="31" t="n">
        <f aca="false">IF($B5339='設定（最初に1回）'!$C$4,N(U5338)+1,N(U5338))</f>
        <v>134</v>
      </c>
    </row>
    <row r="5340" customFormat="false" ht="15" hidden="false" customHeight="false" outlineLevel="0" collapsed="false">
      <c r="B5340" s="53"/>
      <c r="I5340" s="53"/>
      <c r="U5340" s="31" t="n">
        <f aca="false">IF($B5340='設定（最初に1回）'!$C$4,N(U5339)+1,N(U5339))</f>
        <v>134</v>
      </c>
    </row>
    <row r="5341" customFormat="false" ht="15" hidden="false" customHeight="false" outlineLevel="0" collapsed="false">
      <c r="B5341" s="53"/>
      <c r="I5341" s="53"/>
      <c r="U5341" s="31" t="n">
        <f aca="false">IF($B5341='設定（最初に1回）'!$C$4,N(U5340)+1,N(U5340))</f>
        <v>134</v>
      </c>
    </row>
    <row r="5342" customFormat="false" ht="15" hidden="false" customHeight="false" outlineLevel="0" collapsed="false">
      <c r="B5342" s="53"/>
      <c r="I5342" s="53"/>
      <c r="U5342" s="31" t="n">
        <f aca="false">IF($B5342='設定（最初に1回）'!$C$4,N(U5341)+1,N(U5341))</f>
        <v>134</v>
      </c>
    </row>
    <row r="5343" customFormat="false" ht="15" hidden="false" customHeight="false" outlineLevel="0" collapsed="false">
      <c r="B5343" s="53"/>
      <c r="I5343" s="53"/>
      <c r="U5343" s="31" t="n">
        <f aca="false">IF($B5343='設定（最初に1回）'!$C$4,N(U5342)+1,N(U5342))</f>
        <v>134</v>
      </c>
    </row>
    <row r="5344" customFormat="false" ht="15" hidden="false" customHeight="false" outlineLevel="0" collapsed="false">
      <c r="B5344" s="53"/>
      <c r="I5344" s="53"/>
      <c r="U5344" s="31" t="n">
        <f aca="false">IF($B5344='設定（最初に1回）'!$C$4,N(U5343)+1,N(U5343))</f>
        <v>134</v>
      </c>
    </row>
    <row r="5345" customFormat="false" ht="15" hidden="false" customHeight="false" outlineLevel="0" collapsed="false">
      <c r="B5345" s="53"/>
      <c r="I5345" s="53"/>
      <c r="U5345" s="31" t="n">
        <f aca="false">IF($B5345='設定（最初に1回）'!$C$4,N(U5344)+1,N(U5344))</f>
        <v>134</v>
      </c>
    </row>
    <row r="5346" customFormat="false" ht="15" hidden="false" customHeight="false" outlineLevel="0" collapsed="false">
      <c r="B5346" s="53"/>
      <c r="I5346" s="53"/>
      <c r="U5346" s="31" t="n">
        <f aca="false">IF($B5346='設定（最初に1回）'!$C$4,N(U5345)+1,N(U5345))</f>
        <v>134</v>
      </c>
    </row>
    <row r="5347" customFormat="false" ht="15" hidden="false" customHeight="false" outlineLevel="0" collapsed="false">
      <c r="B5347" s="53"/>
      <c r="I5347" s="53"/>
      <c r="U5347" s="31" t="n">
        <f aca="false">IF($B5347='設定（最初に1回）'!$C$4,N(U5346)+1,N(U5346))</f>
        <v>134</v>
      </c>
    </row>
    <row r="5348" customFormat="false" ht="15" hidden="false" customHeight="false" outlineLevel="0" collapsed="false">
      <c r="B5348" s="53"/>
      <c r="I5348" s="53"/>
      <c r="U5348" s="31" t="n">
        <f aca="false">IF($B5348='設定（最初に1回）'!$C$4,N(U5347)+1,N(U5347))</f>
        <v>134</v>
      </c>
    </row>
    <row r="5349" customFormat="false" ht="15" hidden="false" customHeight="false" outlineLevel="0" collapsed="false">
      <c r="B5349" s="53"/>
      <c r="I5349" s="53"/>
      <c r="U5349" s="31" t="n">
        <f aca="false">IF($B5349='設定（最初に1回）'!$C$4,N(U5348)+1,N(U5348))</f>
        <v>134</v>
      </c>
    </row>
    <row r="5350" customFormat="false" ht="15" hidden="false" customHeight="false" outlineLevel="0" collapsed="false">
      <c r="B5350" s="53"/>
      <c r="I5350" s="53"/>
      <c r="U5350" s="31" t="n">
        <f aca="false">IF($B5350='設定（最初に1回）'!$C$4,N(U5349)+1,N(U5349))</f>
        <v>134</v>
      </c>
    </row>
    <row r="5351" customFormat="false" ht="15" hidden="false" customHeight="false" outlineLevel="0" collapsed="false">
      <c r="B5351" s="53"/>
      <c r="I5351" s="53"/>
      <c r="U5351" s="31" t="n">
        <f aca="false">IF($B5351='設定（最初に1回）'!$C$4,N(U5350)+1,N(U5350))</f>
        <v>134</v>
      </c>
    </row>
    <row r="5352" customFormat="false" ht="15" hidden="false" customHeight="false" outlineLevel="0" collapsed="false">
      <c r="B5352" s="53"/>
      <c r="I5352" s="53"/>
      <c r="U5352" s="31" t="n">
        <f aca="false">IF($B5352='設定（最初に1回）'!$C$4,N(U5351)+1,N(U5351))</f>
        <v>134</v>
      </c>
    </row>
    <row r="5353" customFormat="false" ht="15" hidden="false" customHeight="false" outlineLevel="0" collapsed="false">
      <c r="B5353" s="53"/>
      <c r="I5353" s="53"/>
      <c r="U5353" s="31" t="n">
        <f aca="false">IF($B5353='設定（最初に1回）'!$C$4,N(U5352)+1,N(U5352))</f>
        <v>134</v>
      </c>
    </row>
    <row r="5354" customFormat="false" ht="15" hidden="false" customHeight="false" outlineLevel="0" collapsed="false">
      <c r="B5354" s="53"/>
      <c r="I5354" s="53"/>
      <c r="U5354" s="31" t="n">
        <f aca="false">IF($B5354='設定（最初に1回）'!$C$4,N(U5353)+1,N(U5353))</f>
        <v>134</v>
      </c>
    </row>
    <row r="5355" customFormat="false" ht="15" hidden="false" customHeight="false" outlineLevel="0" collapsed="false">
      <c r="B5355" s="53"/>
      <c r="I5355" s="53"/>
      <c r="U5355" s="31" t="n">
        <f aca="false">IF($B5355='設定（最初に1回）'!$C$4,N(U5354)+1,N(U5354))</f>
        <v>134</v>
      </c>
    </row>
    <row r="5356" customFormat="false" ht="15" hidden="false" customHeight="false" outlineLevel="0" collapsed="false">
      <c r="B5356" s="53"/>
      <c r="I5356" s="53"/>
      <c r="U5356" s="31" t="n">
        <f aca="false">IF($B5356='設定（最初に1回）'!$C$4,N(U5355)+1,N(U5355))</f>
        <v>134</v>
      </c>
    </row>
    <row r="5357" customFormat="false" ht="15" hidden="false" customHeight="false" outlineLevel="0" collapsed="false">
      <c r="B5357" s="53"/>
      <c r="I5357" s="53"/>
      <c r="U5357" s="31" t="n">
        <f aca="false">IF($B5357='設定（最初に1回）'!$C$4,N(U5356)+1,N(U5356))</f>
        <v>134</v>
      </c>
    </row>
    <row r="5358" customFormat="false" ht="15" hidden="false" customHeight="false" outlineLevel="0" collapsed="false">
      <c r="B5358" s="53"/>
      <c r="I5358" s="53"/>
      <c r="U5358" s="31" t="n">
        <f aca="false">IF($B5358='設定（最初に1回）'!$C$4,N(U5357)+1,N(U5357))</f>
        <v>134</v>
      </c>
    </row>
    <row r="5359" customFormat="false" ht="15" hidden="false" customHeight="false" outlineLevel="0" collapsed="false">
      <c r="B5359" s="53"/>
      <c r="I5359" s="53"/>
      <c r="U5359" s="31" t="n">
        <f aca="false">IF($B5359='設定（最初に1回）'!$C$4,N(U5358)+1,N(U5358))</f>
        <v>134</v>
      </c>
    </row>
    <row r="5360" customFormat="false" ht="15" hidden="false" customHeight="false" outlineLevel="0" collapsed="false">
      <c r="B5360" s="53"/>
      <c r="I5360" s="53"/>
      <c r="U5360" s="31" t="n">
        <f aca="false">IF($B5360='設定（最初に1回）'!$C$4,N(U5359)+1,N(U5359))</f>
        <v>134</v>
      </c>
    </row>
    <row r="5361" customFormat="false" ht="15" hidden="false" customHeight="false" outlineLevel="0" collapsed="false">
      <c r="B5361" s="53"/>
      <c r="I5361" s="53"/>
      <c r="U5361" s="31" t="n">
        <f aca="false">IF($B5361='設定（最初に1回）'!$C$4,N(U5360)+1,N(U5360))</f>
        <v>134</v>
      </c>
    </row>
    <row r="5362" customFormat="false" ht="15" hidden="false" customHeight="false" outlineLevel="0" collapsed="false">
      <c r="B5362" s="53"/>
      <c r="I5362" s="53"/>
      <c r="U5362" s="31" t="n">
        <f aca="false">IF($B5362='設定（最初に1回）'!$C$4,N(U5361)+1,N(U5361))</f>
        <v>134</v>
      </c>
    </row>
    <row r="5363" customFormat="false" ht="15" hidden="false" customHeight="false" outlineLevel="0" collapsed="false">
      <c r="B5363" s="53"/>
      <c r="I5363" s="53"/>
      <c r="U5363" s="31" t="n">
        <f aca="false">IF($B5363='設定（最初に1回）'!$C$4,N(U5362)+1,N(U5362))</f>
        <v>134</v>
      </c>
    </row>
    <row r="5364" customFormat="false" ht="15" hidden="false" customHeight="false" outlineLevel="0" collapsed="false">
      <c r="B5364" s="53"/>
      <c r="I5364" s="53"/>
      <c r="U5364" s="31" t="n">
        <f aca="false">IF($B5364='設定（最初に1回）'!$C$4,N(U5363)+1,N(U5363))</f>
        <v>134</v>
      </c>
    </row>
    <row r="5365" customFormat="false" ht="15" hidden="false" customHeight="false" outlineLevel="0" collapsed="false">
      <c r="B5365" s="53"/>
      <c r="I5365" s="53"/>
      <c r="U5365" s="31" t="n">
        <f aca="false">IF($B5365='設定（最初に1回）'!$C$4,N(U5364)+1,N(U5364))</f>
        <v>134</v>
      </c>
    </row>
    <row r="5366" customFormat="false" ht="15" hidden="false" customHeight="false" outlineLevel="0" collapsed="false">
      <c r="B5366" s="53"/>
      <c r="I5366" s="53"/>
      <c r="U5366" s="31" t="n">
        <f aca="false">IF($B5366='設定（最初に1回）'!$C$4,N(U5365)+1,N(U5365))</f>
        <v>134</v>
      </c>
    </row>
    <row r="5367" customFormat="false" ht="15" hidden="false" customHeight="false" outlineLevel="0" collapsed="false">
      <c r="B5367" s="53"/>
      <c r="I5367" s="53"/>
      <c r="U5367" s="31" t="n">
        <f aca="false">IF($B5367='設定（最初に1回）'!$C$4,N(U5366)+1,N(U5366))</f>
        <v>134</v>
      </c>
    </row>
    <row r="5368" customFormat="false" ht="15" hidden="false" customHeight="false" outlineLevel="0" collapsed="false">
      <c r="B5368" s="53"/>
      <c r="I5368" s="53"/>
      <c r="U5368" s="31" t="n">
        <f aca="false">IF($B5368='設定（最初に1回）'!$C$4,N(U5367)+1,N(U5367))</f>
        <v>134</v>
      </c>
    </row>
    <row r="5369" customFormat="false" ht="15" hidden="false" customHeight="false" outlineLevel="0" collapsed="false">
      <c r="B5369" s="53"/>
      <c r="I5369" s="53"/>
      <c r="U5369" s="31" t="n">
        <f aca="false">IF($B5369='設定（最初に1回）'!$C$4,N(U5368)+1,N(U5368))</f>
        <v>134</v>
      </c>
    </row>
    <row r="5370" customFormat="false" ht="15" hidden="false" customHeight="false" outlineLevel="0" collapsed="false">
      <c r="B5370" s="53"/>
      <c r="I5370" s="53"/>
      <c r="U5370" s="31" t="n">
        <f aca="false">IF($B5370='設定（最初に1回）'!$C$4,N(U5369)+1,N(U5369))</f>
        <v>134</v>
      </c>
    </row>
    <row r="5371" customFormat="false" ht="15" hidden="false" customHeight="false" outlineLevel="0" collapsed="false">
      <c r="B5371" s="53"/>
      <c r="I5371" s="53"/>
      <c r="U5371" s="31" t="n">
        <f aca="false">IF($B5371='設定（最初に1回）'!$C$4,N(U5370)+1,N(U5370))</f>
        <v>134</v>
      </c>
    </row>
    <row r="5372" customFormat="false" ht="15" hidden="false" customHeight="false" outlineLevel="0" collapsed="false">
      <c r="B5372" s="53"/>
      <c r="I5372" s="53"/>
      <c r="U5372" s="31" t="n">
        <f aca="false">IF($B5372='設定（最初に1回）'!$C$4,N(U5371)+1,N(U5371))</f>
        <v>134</v>
      </c>
    </row>
    <row r="5373" customFormat="false" ht="15" hidden="false" customHeight="false" outlineLevel="0" collapsed="false">
      <c r="B5373" s="53"/>
      <c r="I5373" s="53"/>
      <c r="U5373" s="31" t="n">
        <f aca="false">IF($B5373='設定（最初に1回）'!$C$4,N(U5372)+1,N(U5372))</f>
        <v>134</v>
      </c>
    </row>
    <row r="5374" customFormat="false" ht="15" hidden="false" customHeight="false" outlineLevel="0" collapsed="false">
      <c r="B5374" s="53"/>
      <c r="I5374" s="53"/>
      <c r="U5374" s="31" t="n">
        <f aca="false">IF($B5374='設定（最初に1回）'!$C$4,N(U5373)+1,N(U5373))</f>
        <v>134</v>
      </c>
    </row>
    <row r="5375" customFormat="false" ht="15" hidden="false" customHeight="false" outlineLevel="0" collapsed="false">
      <c r="B5375" s="53"/>
      <c r="I5375" s="53"/>
      <c r="U5375" s="31" t="n">
        <f aca="false">IF($B5375='設定（最初に1回）'!$C$4,N(U5374)+1,N(U5374))</f>
        <v>134</v>
      </c>
    </row>
    <row r="5376" customFormat="false" ht="15" hidden="false" customHeight="false" outlineLevel="0" collapsed="false">
      <c r="B5376" s="53"/>
      <c r="I5376" s="53"/>
      <c r="U5376" s="31" t="n">
        <f aca="false">IF($B5376='設定（最初に1回）'!$C$4,N(U5375)+1,N(U5375))</f>
        <v>134</v>
      </c>
    </row>
    <row r="5377" customFormat="false" ht="15" hidden="false" customHeight="false" outlineLevel="0" collapsed="false">
      <c r="B5377" s="53"/>
      <c r="I5377" s="53"/>
      <c r="U5377" s="31" t="n">
        <f aca="false">IF($B5377='設定（最初に1回）'!$C$4,N(U5376)+1,N(U5376))</f>
        <v>134</v>
      </c>
    </row>
    <row r="5378" customFormat="false" ht="15" hidden="false" customHeight="false" outlineLevel="0" collapsed="false">
      <c r="B5378" s="53"/>
      <c r="I5378" s="53"/>
      <c r="U5378" s="31" t="n">
        <f aca="false">IF($B5378='設定（最初に1回）'!$C$4,N(U5377)+1,N(U5377))</f>
        <v>134</v>
      </c>
    </row>
    <row r="5379" customFormat="false" ht="15" hidden="false" customHeight="false" outlineLevel="0" collapsed="false">
      <c r="B5379" s="53"/>
      <c r="I5379" s="53"/>
      <c r="U5379" s="31" t="n">
        <f aca="false">IF($B5379='設定（最初に1回）'!$C$4,N(U5378)+1,N(U5378))</f>
        <v>134</v>
      </c>
    </row>
    <row r="5380" customFormat="false" ht="15" hidden="false" customHeight="false" outlineLevel="0" collapsed="false">
      <c r="B5380" s="53"/>
      <c r="I5380" s="53"/>
      <c r="U5380" s="31" t="n">
        <f aca="false">IF($B5380='設定（最初に1回）'!$C$4,N(U5379)+1,N(U5379))</f>
        <v>134</v>
      </c>
    </row>
    <row r="5381" customFormat="false" ht="15" hidden="false" customHeight="false" outlineLevel="0" collapsed="false">
      <c r="B5381" s="53"/>
      <c r="I5381" s="53"/>
      <c r="U5381" s="31" t="n">
        <f aca="false">IF($B5381='設定（最初に1回）'!$C$4,N(U5380)+1,N(U5380))</f>
        <v>134</v>
      </c>
    </row>
    <row r="5382" customFormat="false" ht="15" hidden="false" customHeight="false" outlineLevel="0" collapsed="false">
      <c r="B5382" s="53"/>
      <c r="I5382" s="53"/>
      <c r="U5382" s="31" t="n">
        <f aca="false">IF($B5382='設定（最初に1回）'!$C$4,N(U5381)+1,N(U5381))</f>
        <v>134</v>
      </c>
    </row>
    <row r="5383" customFormat="false" ht="15" hidden="false" customHeight="false" outlineLevel="0" collapsed="false">
      <c r="B5383" s="53"/>
      <c r="I5383" s="53"/>
      <c r="U5383" s="31" t="n">
        <f aca="false">IF($B5383='設定（最初に1回）'!$C$4,N(U5382)+1,N(U5382))</f>
        <v>134</v>
      </c>
    </row>
    <row r="5384" customFormat="false" ht="15" hidden="false" customHeight="false" outlineLevel="0" collapsed="false">
      <c r="B5384" s="53"/>
      <c r="I5384" s="53"/>
      <c r="U5384" s="31" t="n">
        <f aca="false">IF($B5384='設定（最初に1回）'!$C$4,N(U5383)+1,N(U5383))</f>
        <v>134</v>
      </c>
    </row>
    <row r="5385" customFormat="false" ht="15" hidden="false" customHeight="false" outlineLevel="0" collapsed="false">
      <c r="B5385" s="53"/>
      <c r="I5385" s="53"/>
      <c r="U5385" s="31" t="n">
        <f aca="false">IF($B5385='設定（最初に1回）'!$C$4,N(U5384)+1,N(U5384))</f>
        <v>134</v>
      </c>
    </row>
    <row r="5386" customFormat="false" ht="15" hidden="false" customHeight="false" outlineLevel="0" collapsed="false">
      <c r="B5386" s="53"/>
      <c r="I5386" s="53"/>
      <c r="U5386" s="31" t="n">
        <f aca="false">IF($B5386='設定（最初に1回）'!$C$4,N(U5385)+1,N(U5385))</f>
        <v>134</v>
      </c>
    </row>
    <row r="5387" customFormat="false" ht="15" hidden="false" customHeight="false" outlineLevel="0" collapsed="false">
      <c r="B5387" s="53"/>
      <c r="I5387" s="53"/>
      <c r="U5387" s="31" t="n">
        <f aca="false">IF($B5387='設定（最初に1回）'!$C$4,N(U5386)+1,N(U5386))</f>
        <v>134</v>
      </c>
    </row>
    <row r="5388" customFormat="false" ht="15" hidden="false" customHeight="false" outlineLevel="0" collapsed="false">
      <c r="B5388" s="53"/>
      <c r="I5388" s="53"/>
      <c r="U5388" s="31" t="n">
        <f aca="false">IF($B5388='設定（最初に1回）'!$C$4,N(U5387)+1,N(U5387))</f>
        <v>134</v>
      </c>
    </row>
    <row r="5389" customFormat="false" ht="15" hidden="false" customHeight="false" outlineLevel="0" collapsed="false">
      <c r="B5389" s="53"/>
      <c r="I5389" s="53"/>
      <c r="U5389" s="31" t="n">
        <f aca="false">IF($B5389='設定（最初に1回）'!$C$4,N(U5388)+1,N(U5388))</f>
        <v>134</v>
      </c>
    </row>
    <row r="5390" customFormat="false" ht="15" hidden="false" customHeight="false" outlineLevel="0" collapsed="false">
      <c r="B5390" s="53"/>
      <c r="I5390" s="53"/>
      <c r="U5390" s="31" t="n">
        <f aca="false">IF($B5390='設定（最初に1回）'!$C$4,N(U5389)+1,N(U5389))</f>
        <v>134</v>
      </c>
    </row>
    <row r="5391" customFormat="false" ht="15" hidden="false" customHeight="false" outlineLevel="0" collapsed="false">
      <c r="B5391" s="53"/>
      <c r="I5391" s="53"/>
      <c r="U5391" s="31" t="n">
        <f aca="false">IF($B5391='設定（最初に1回）'!$C$4,N(U5390)+1,N(U5390))</f>
        <v>134</v>
      </c>
    </row>
    <row r="5392" customFormat="false" ht="15" hidden="false" customHeight="false" outlineLevel="0" collapsed="false">
      <c r="B5392" s="53"/>
      <c r="I5392" s="53"/>
      <c r="U5392" s="31" t="n">
        <f aca="false">IF($B5392='設定（最初に1回）'!$C$4,N(U5391)+1,N(U5391))</f>
        <v>134</v>
      </c>
    </row>
    <row r="5393" customFormat="false" ht="15" hidden="false" customHeight="false" outlineLevel="0" collapsed="false">
      <c r="B5393" s="53"/>
      <c r="I5393" s="53"/>
      <c r="U5393" s="31" t="n">
        <f aca="false">IF($B5393='設定（最初に1回）'!$C$4,N(U5392)+1,N(U5392))</f>
        <v>134</v>
      </c>
    </row>
    <row r="5394" customFormat="false" ht="15" hidden="false" customHeight="false" outlineLevel="0" collapsed="false">
      <c r="B5394" s="53"/>
      <c r="I5394" s="53"/>
      <c r="U5394" s="31" t="n">
        <f aca="false">IF($B5394='設定（最初に1回）'!$C$4,N(U5393)+1,N(U5393))</f>
        <v>134</v>
      </c>
    </row>
    <row r="5395" customFormat="false" ht="15" hidden="false" customHeight="false" outlineLevel="0" collapsed="false">
      <c r="B5395" s="53"/>
      <c r="I5395" s="53"/>
      <c r="U5395" s="31" t="n">
        <f aca="false">IF($B5395='設定（最初に1回）'!$C$4,N(U5394)+1,N(U5394))</f>
        <v>134</v>
      </c>
    </row>
    <row r="5396" customFormat="false" ht="15" hidden="false" customHeight="false" outlineLevel="0" collapsed="false">
      <c r="B5396" s="53"/>
      <c r="I5396" s="53"/>
      <c r="U5396" s="31" t="n">
        <f aca="false">IF($B5396='設定（最初に1回）'!$C$4,N(U5395)+1,N(U5395))</f>
        <v>134</v>
      </c>
    </row>
    <row r="5397" customFormat="false" ht="15" hidden="false" customHeight="false" outlineLevel="0" collapsed="false">
      <c r="B5397" s="53"/>
      <c r="I5397" s="53"/>
      <c r="U5397" s="31" t="n">
        <f aca="false">IF($B5397='設定（最初に1回）'!$C$4,N(U5396)+1,N(U5396))</f>
        <v>134</v>
      </c>
    </row>
    <row r="5398" customFormat="false" ht="15" hidden="false" customHeight="false" outlineLevel="0" collapsed="false">
      <c r="B5398" s="53"/>
      <c r="I5398" s="53"/>
      <c r="U5398" s="31" t="n">
        <f aca="false">IF($B5398='設定（最初に1回）'!$C$4,N(U5397)+1,N(U5397))</f>
        <v>134</v>
      </c>
    </row>
    <row r="5399" customFormat="false" ht="15" hidden="false" customHeight="false" outlineLevel="0" collapsed="false">
      <c r="B5399" s="53"/>
      <c r="I5399" s="53"/>
      <c r="U5399" s="31" t="n">
        <f aca="false">IF($B5399='設定（最初に1回）'!$C$4,N(U5398)+1,N(U5398))</f>
        <v>134</v>
      </c>
    </row>
    <row r="5400" customFormat="false" ht="15" hidden="false" customHeight="false" outlineLevel="0" collapsed="false">
      <c r="B5400" s="53"/>
      <c r="I5400" s="53"/>
      <c r="U5400" s="31" t="n">
        <f aca="false">IF($B5400='設定（最初に1回）'!$C$4,N(U5399)+1,N(U5399))</f>
        <v>134</v>
      </c>
    </row>
    <row r="5401" customFormat="false" ht="15" hidden="false" customHeight="false" outlineLevel="0" collapsed="false">
      <c r="B5401" s="53"/>
      <c r="I5401" s="53"/>
      <c r="U5401" s="31" t="n">
        <f aca="false">IF($B5401='設定（最初に1回）'!$C$4,N(U5400)+1,N(U5400))</f>
        <v>134</v>
      </c>
    </row>
    <row r="5402" customFormat="false" ht="15" hidden="false" customHeight="false" outlineLevel="0" collapsed="false">
      <c r="B5402" s="53"/>
      <c r="I5402" s="53"/>
      <c r="U5402" s="31" t="n">
        <f aca="false">IF($B5402='設定（最初に1回）'!$C$4,N(U5401)+1,N(U5401))</f>
        <v>134</v>
      </c>
    </row>
    <row r="5403" customFormat="false" ht="15" hidden="false" customHeight="false" outlineLevel="0" collapsed="false">
      <c r="B5403" s="53"/>
      <c r="I5403" s="53"/>
      <c r="U5403" s="31" t="n">
        <f aca="false">IF($B5403='設定（最初に1回）'!$C$4,N(U5402)+1,N(U5402))</f>
        <v>134</v>
      </c>
    </row>
    <row r="5404" customFormat="false" ht="15" hidden="false" customHeight="false" outlineLevel="0" collapsed="false">
      <c r="B5404" s="53"/>
      <c r="I5404" s="53"/>
      <c r="U5404" s="31" t="n">
        <f aca="false">IF($B5404='設定（最初に1回）'!$C$4,N(U5403)+1,N(U5403))</f>
        <v>134</v>
      </c>
    </row>
    <row r="5405" customFormat="false" ht="15" hidden="false" customHeight="false" outlineLevel="0" collapsed="false">
      <c r="B5405" s="53"/>
      <c r="I5405" s="53"/>
      <c r="U5405" s="31" t="n">
        <f aca="false">IF($B5405='設定（最初に1回）'!$C$4,N(U5404)+1,N(U5404))</f>
        <v>134</v>
      </c>
    </row>
    <row r="5406" customFormat="false" ht="15" hidden="false" customHeight="false" outlineLevel="0" collapsed="false">
      <c r="B5406" s="53"/>
      <c r="I5406" s="53"/>
      <c r="U5406" s="31" t="n">
        <f aca="false">IF($B5406='設定（最初に1回）'!$C$4,N(U5405)+1,N(U5405))</f>
        <v>134</v>
      </c>
    </row>
    <row r="5407" customFormat="false" ht="15" hidden="false" customHeight="false" outlineLevel="0" collapsed="false">
      <c r="B5407" s="53"/>
      <c r="I5407" s="53"/>
      <c r="U5407" s="31" t="n">
        <f aca="false">IF($B5407='設定（最初に1回）'!$C$4,N(U5406)+1,N(U5406))</f>
        <v>134</v>
      </c>
    </row>
    <row r="5408" customFormat="false" ht="15" hidden="false" customHeight="false" outlineLevel="0" collapsed="false">
      <c r="B5408" s="53"/>
      <c r="I5408" s="53"/>
      <c r="U5408" s="31" t="n">
        <f aca="false">IF($B5408='設定（最初に1回）'!$C$4,N(U5407)+1,N(U5407))</f>
        <v>134</v>
      </c>
    </row>
    <row r="5409" customFormat="false" ht="15" hidden="false" customHeight="false" outlineLevel="0" collapsed="false">
      <c r="B5409" s="53"/>
      <c r="I5409" s="53"/>
      <c r="U5409" s="31" t="n">
        <f aca="false">IF($B5409='設定（最初に1回）'!$C$4,N(U5408)+1,N(U5408))</f>
        <v>134</v>
      </c>
    </row>
    <row r="5410" customFormat="false" ht="15" hidden="false" customHeight="false" outlineLevel="0" collapsed="false">
      <c r="B5410" s="53"/>
      <c r="I5410" s="53"/>
      <c r="U5410" s="31" t="n">
        <f aca="false">IF($B5410='設定（最初に1回）'!$C$4,N(U5409)+1,N(U5409))</f>
        <v>134</v>
      </c>
    </row>
    <row r="5411" customFormat="false" ht="15" hidden="false" customHeight="false" outlineLevel="0" collapsed="false">
      <c r="B5411" s="53"/>
      <c r="I5411" s="53"/>
      <c r="U5411" s="31" t="n">
        <f aca="false">IF($B5411='設定（最初に1回）'!$C$4,N(U5410)+1,N(U5410))</f>
        <v>134</v>
      </c>
    </row>
    <row r="5412" customFormat="false" ht="15" hidden="false" customHeight="false" outlineLevel="0" collapsed="false">
      <c r="B5412" s="53"/>
      <c r="I5412" s="53"/>
      <c r="U5412" s="31" t="n">
        <f aca="false">IF($B5412='設定（最初に1回）'!$C$4,N(U5411)+1,N(U5411))</f>
        <v>134</v>
      </c>
    </row>
    <row r="5413" customFormat="false" ht="15" hidden="false" customHeight="false" outlineLevel="0" collapsed="false">
      <c r="B5413" s="53"/>
      <c r="I5413" s="53"/>
      <c r="U5413" s="31" t="n">
        <f aca="false">IF($B5413='設定（最初に1回）'!$C$4,N(U5412)+1,N(U5412))</f>
        <v>134</v>
      </c>
    </row>
    <row r="5414" customFormat="false" ht="15" hidden="false" customHeight="false" outlineLevel="0" collapsed="false">
      <c r="B5414" s="53"/>
      <c r="I5414" s="53"/>
      <c r="U5414" s="31" t="n">
        <f aca="false">IF($B5414='設定（最初に1回）'!$C$4,N(U5413)+1,N(U5413))</f>
        <v>134</v>
      </c>
    </row>
    <row r="5415" customFormat="false" ht="15" hidden="false" customHeight="false" outlineLevel="0" collapsed="false">
      <c r="B5415" s="53"/>
      <c r="I5415" s="53"/>
      <c r="U5415" s="31" t="n">
        <f aca="false">IF($B5415='設定（最初に1回）'!$C$4,N(U5414)+1,N(U5414))</f>
        <v>134</v>
      </c>
    </row>
    <row r="5416" customFormat="false" ht="15" hidden="false" customHeight="false" outlineLevel="0" collapsed="false">
      <c r="B5416" s="53"/>
      <c r="I5416" s="53"/>
      <c r="U5416" s="31" t="n">
        <f aca="false">IF($B5416='設定（最初に1回）'!$C$4,N(U5415)+1,N(U5415))</f>
        <v>134</v>
      </c>
    </row>
    <row r="5417" customFormat="false" ht="15" hidden="false" customHeight="false" outlineLevel="0" collapsed="false">
      <c r="B5417" s="53"/>
      <c r="I5417" s="53"/>
      <c r="U5417" s="31" t="n">
        <f aca="false">IF($B5417='設定（最初に1回）'!$C$4,N(U5416)+1,N(U5416))</f>
        <v>134</v>
      </c>
    </row>
    <row r="5418" customFormat="false" ht="15" hidden="false" customHeight="false" outlineLevel="0" collapsed="false">
      <c r="B5418" s="53"/>
      <c r="I5418" s="53"/>
      <c r="U5418" s="31" t="n">
        <f aca="false">IF($B5418='設定（最初に1回）'!$C$4,N(U5417)+1,N(U5417))</f>
        <v>134</v>
      </c>
    </row>
    <row r="5419" customFormat="false" ht="15" hidden="false" customHeight="false" outlineLevel="0" collapsed="false">
      <c r="B5419" s="53"/>
      <c r="I5419" s="53"/>
      <c r="U5419" s="31" t="n">
        <f aca="false">IF($B5419='設定（最初に1回）'!$C$4,N(U5418)+1,N(U5418))</f>
        <v>134</v>
      </c>
    </row>
    <row r="5420" customFormat="false" ht="15" hidden="false" customHeight="false" outlineLevel="0" collapsed="false">
      <c r="B5420" s="53"/>
      <c r="I5420" s="53"/>
      <c r="U5420" s="31" t="n">
        <f aca="false">IF($B5420='設定（最初に1回）'!$C$4,N(U5419)+1,N(U5419))</f>
        <v>134</v>
      </c>
    </row>
    <row r="5421" customFormat="false" ht="15" hidden="false" customHeight="false" outlineLevel="0" collapsed="false">
      <c r="B5421" s="53"/>
      <c r="I5421" s="53"/>
      <c r="U5421" s="31" t="n">
        <f aca="false">IF($B5421='設定（最初に1回）'!$C$4,N(U5420)+1,N(U5420))</f>
        <v>134</v>
      </c>
    </row>
    <row r="5422" customFormat="false" ht="15" hidden="false" customHeight="false" outlineLevel="0" collapsed="false">
      <c r="B5422" s="53"/>
      <c r="I5422" s="53"/>
      <c r="U5422" s="31" t="n">
        <f aca="false">IF($B5422='設定（最初に1回）'!$C$4,N(U5421)+1,N(U5421))</f>
        <v>134</v>
      </c>
    </row>
    <row r="5423" customFormat="false" ht="15" hidden="false" customHeight="false" outlineLevel="0" collapsed="false">
      <c r="B5423" s="53"/>
      <c r="I5423" s="53"/>
      <c r="U5423" s="31" t="n">
        <f aca="false">IF($B5423='設定（最初に1回）'!$C$4,N(U5422)+1,N(U5422))</f>
        <v>134</v>
      </c>
    </row>
    <row r="5424" customFormat="false" ht="15" hidden="false" customHeight="false" outlineLevel="0" collapsed="false">
      <c r="B5424" s="53"/>
      <c r="I5424" s="53"/>
      <c r="U5424" s="31" t="n">
        <f aca="false">IF($B5424='設定（最初に1回）'!$C$4,N(U5423)+1,N(U5423))</f>
        <v>134</v>
      </c>
    </row>
    <row r="5425" customFormat="false" ht="15" hidden="false" customHeight="false" outlineLevel="0" collapsed="false">
      <c r="B5425" s="53"/>
      <c r="I5425" s="53"/>
      <c r="U5425" s="31" t="n">
        <f aca="false">IF($B5425='設定（最初に1回）'!$C$4,N(U5424)+1,N(U5424))</f>
        <v>134</v>
      </c>
    </row>
    <row r="5426" customFormat="false" ht="15" hidden="false" customHeight="false" outlineLevel="0" collapsed="false">
      <c r="B5426" s="53"/>
      <c r="I5426" s="53"/>
      <c r="U5426" s="31" t="n">
        <f aca="false">IF($B5426='設定（最初に1回）'!$C$4,N(U5425)+1,N(U5425))</f>
        <v>134</v>
      </c>
    </row>
    <row r="5427" customFormat="false" ht="15" hidden="false" customHeight="false" outlineLevel="0" collapsed="false">
      <c r="B5427" s="53"/>
      <c r="I5427" s="53"/>
      <c r="U5427" s="31" t="n">
        <f aca="false">IF($B5427='設定（最初に1回）'!$C$4,N(U5426)+1,N(U5426))</f>
        <v>134</v>
      </c>
    </row>
    <row r="5428" customFormat="false" ht="15" hidden="false" customHeight="false" outlineLevel="0" collapsed="false">
      <c r="B5428" s="53"/>
      <c r="I5428" s="53"/>
      <c r="U5428" s="31" t="n">
        <f aca="false">IF($B5428='設定（最初に1回）'!$C$4,N(U5427)+1,N(U5427))</f>
        <v>134</v>
      </c>
    </row>
    <row r="5429" customFormat="false" ht="15" hidden="false" customHeight="false" outlineLevel="0" collapsed="false">
      <c r="B5429" s="53"/>
      <c r="I5429" s="53"/>
      <c r="U5429" s="31" t="n">
        <f aca="false">IF($B5429='設定（最初に1回）'!$C$4,N(U5428)+1,N(U5428))</f>
        <v>134</v>
      </c>
    </row>
    <row r="5430" customFormat="false" ht="15" hidden="false" customHeight="false" outlineLevel="0" collapsed="false">
      <c r="B5430" s="53"/>
      <c r="I5430" s="53"/>
      <c r="U5430" s="31" t="n">
        <f aca="false">IF($B5430='設定（最初に1回）'!$C$4,N(U5429)+1,N(U5429))</f>
        <v>134</v>
      </c>
    </row>
    <row r="5431" customFormat="false" ht="15" hidden="false" customHeight="false" outlineLevel="0" collapsed="false">
      <c r="B5431" s="53"/>
      <c r="I5431" s="53"/>
      <c r="U5431" s="31" t="n">
        <f aca="false">IF($B5431='設定（最初に1回）'!$C$4,N(U5430)+1,N(U5430))</f>
        <v>134</v>
      </c>
    </row>
    <row r="5432" customFormat="false" ht="15" hidden="false" customHeight="false" outlineLevel="0" collapsed="false">
      <c r="B5432" s="53"/>
      <c r="I5432" s="53"/>
      <c r="U5432" s="31" t="n">
        <f aca="false">IF($B5432='設定（最初に1回）'!$C$4,N(U5431)+1,N(U5431))</f>
        <v>134</v>
      </c>
    </row>
    <row r="5433" customFormat="false" ht="15" hidden="false" customHeight="false" outlineLevel="0" collapsed="false">
      <c r="B5433" s="53"/>
      <c r="I5433" s="53"/>
      <c r="U5433" s="31" t="n">
        <f aca="false">IF($B5433='設定（最初に1回）'!$C$4,N(U5432)+1,N(U5432))</f>
        <v>134</v>
      </c>
    </row>
    <row r="5434" customFormat="false" ht="15" hidden="false" customHeight="false" outlineLevel="0" collapsed="false">
      <c r="B5434" s="53"/>
      <c r="I5434" s="53"/>
      <c r="U5434" s="31" t="n">
        <f aca="false">IF($B5434='設定（最初に1回）'!$C$4,N(U5433)+1,N(U5433))</f>
        <v>134</v>
      </c>
    </row>
    <row r="5435" customFormat="false" ht="15" hidden="false" customHeight="false" outlineLevel="0" collapsed="false">
      <c r="B5435" s="53"/>
      <c r="I5435" s="53"/>
      <c r="U5435" s="31" t="n">
        <f aca="false">IF($B5435='設定（最初に1回）'!$C$4,N(U5434)+1,N(U5434))</f>
        <v>134</v>
      </c>
    </row>
    <row r="5436" customFormat="false" ht="15" hidden="false" customHeight="false" outlineLevel="0" collapsed="false">
      <c r="B5436" s="53"/>
      <c r="I5436" s="53"/>
      <c r="U5436" s="31" t="n">
        <f aca="false">IF($B5436='設定（最初に1回）'!$C$4,N(U5435)+1,N(U5435))</f>
        <v>134</v>
      </c>
    </row>
    <row r="5437" customFormat="false" ht="15" hidden="false" customHeight="false" outlineLevel="0" collapsed="false">
      <c r="B5437" s="53"/>
      <c r="I5437" s="53"/>
      <c r="U5437" s="31" t="n">
        <f aca="false">IF($B5437='設定（最初に1回）'!$C$4,N(U5436)+1,N(U5436))</f>
        <v>134</v>
      </c>
    </row>
    <row r="5438" customFormat="false" ht="15" hidden="false" customHeight="false" outlineLevel="0" collapsed="false">
      <c r="B5438" s="53"/>
      <c r="I5438" s="53"/>
      <c r="U5438" s="31" t="n">
        <f aca="false">IF($B5438='設定（最初に1回）'!$C$4,N(U5437)+1,N(U5437))</f>
        <v>134</v>
      </c>
    </row>
    <row r="5439" customFormat="false" ht="15" hidden="false" customHeight="false" outlineLevel="0" collapsed="false">
      <c r="B5439" s="53"/>
      <c r="I5439" s="53"/>
      <c r="U5439" s="31" t="n">
        <f aca="false">IF($B5439='設定（最初に1回）'!$C$4,N(U5438)+1,N(U5438))</f>
        <v>134</v>
      </c>
    </row>
    <row r="5440" customFormat="false" ht="15" hidden="false" customHeight="false" outlineLevel="0" collapsed="false">
      <c r="B5440" s="53"/>
      <c r="I5440" s="53"/>
      <c r="U5440" s="31" t="n">
        <f aca="false">IF($B5440='設定（最初に1回）'!$C$4,N(U5439)+1,N(U5439))</f>
        <v>134</v>
      </c>
    </row>
    <row r="5441" customFormat="false" ht="15" hidden="false" customHeight="false" outlineLevel="0" collapsed="false">
      <c r="B5441" s="53"/>
      <c r="I5441" s="53"/>
      <c r="U5441" s="31" t="n">
        <f aca="false">IF($B5441='設定（最初に1回）'!$C$4,N(U5440)+1,N(U5440))</f>
        <v>134</v>
      </c>
    </row>
    <row r="5442" customFormat="false" ht="15" hidden="false" customHeight="false" outlineLevel="0" collapsed="false">
      <c r="B5442" s="53"/>
      <c r="I5442" s="53"/>
      <c r="U5442" s="31" t="n">
        <f aca="false">IF($B5442='設定（最初に1回）'!$C$4,N(U5441)+1,N(U5441))</f>
        <v>134</v>
      </c>
    </row>
    <row r="5443" customFormat="false" ht="15" hidden="false" customHeight="false" outlineLevel="0" collapsed="false">
      <c r="B5443" s="53"/>
      <c r="I5443" s="53"/>
      <c r="U5443" s="31" t="n">
        <f aca="false">IF($B5443='設定（最初に1回）'!$C$4,N(U5442)+1,N(U5442))</f>
        <v>134</v>
      </c>
    </row>
    <row r="5444" customFormat="false" ht="15" hidden="false" customHeight="false" outlineLevel="0" collapsed="false">
      <c r="B5444" s="53"/>
      <c r="I5444" s="53"/>
      <c r="U5444" s="31" t="n">
        <f aca="false">IF($B5444='設定（最初に1回）'!$C$4,N(U5443)+1,N(U5443))</f>
        <v>134</v>
      </c>
    </row>
    <row r="5445" customFormat="false" ht="15" hidden="false" customHeight="false" outlineLevel="0" collapsed="false">
      <c r="B5445" s="53"/>
      <c r="I5445" s="53"/>
      <c r="U5445" s="31" t="n">
        <f aca="false">IF($B5445='設定（最初に1回）'!$C$4,N(U5444)+1,N(U5444))</f>
        <v>134</v>
      </c>
    </row>
    <row r="5446" customFormat="false" ht="15" hidden="false" customHeight="false" outlineLevel="0" collapsed="false">
      <c r="B5446" s="53"/>
      <c r="I5446" s="53"/>
      <c r="U5446" s="31" t="n">
        <f aca="false">IF($B5446='設定（最初に1回）'!$C$4,N(U5445)+1,N(U5445))</f>
        <v>134</v>
      </c>
    </row>
    <row r="5447" customFormat="false" ht="15" hidden="false" customHeight="false" outlineLevel="0" collapsed="false">
      <c r="B5447" s="53"/>
      <c r="I5447" s="53"/>
      <c r="U5447" s="31" t="n">
        <f aca="false">IF($B5447='設定（最初に1回）'!$C$4,N(U5446)+1,N(U5446))</f>
        <v>134</v>
      </c>
    </row>
    <row r="5448" customFormat="false" ht="15" hidden="false" customHeight="false" outlineLevel="0" collapsed="false">
      <c r="B5448" s="53"/>
      <c r="I5448" s="53"/>
      <c r="U5448" s="31" t="n">
        <f aca="false">IF($B5448='設定（最初に1回）'!$C$4,N(U5447)+1,N(U5447))</f>
        <v>134</v>
      </c>
    </row>
    <row r="5449" customFormat="false" ht="15" hidden="false" customHeight="false" outlineLevel="0" collapsed="false">
      <c r="B5449" s="53"/>
      <c r="I5449" s="53"/>
      <c r="U5449" s="31" t="n">
        <f aca="false">IF($B5449='設定（最初に1回）'!$C$4,N(U5448)+1,N(U5448))</f>
        <v>134</v>
      </c>
    </row>
    <row r="5450" customFormat="false" ht="15" hidden="false" customHeight="false" outlineLevel="0" collapsed="false">
      <c r="B5450" s="53"/>
      <c r="I5450" s="53"/>
      <c r="U5450" s="31" t="n">
        <f aca="false">IF($B5450='設定（最初に1回）'!$C$4,N(U5449)+1,N(U5449))</f>
        <v>134</v>
      </c>
    </row>
    <row r="5451" customFormat="false" ht="15" hidden="false" customHeight="false" outlineLevel="0" collapsed="false">
      <c r="B5451" s="53"/>
      <c r="I5451" s="53"/>
      <c r="U5451" s="31" t="n">
        <f aca="false">IF($B5451='設定（最初に1回）'!$C$4,N(U5450)+1,N(U5450))</f>
        <v>134</v>
      </c>
    </row>
    <row r="5452" customFormat="false" ht="15" hidden="false" customHeight="false" outlineLevel="0" collapsed="false">
      <c r="B5452" s="53"/>
      <c r="I5452" s="53"/>
      <c r="U5452" s="31" t="n">
        <f aca="false">IF($B5452='設定（最初に1回）'!$C$4,N(U5451)+1,N(U5451))</f>
        <v>134</v>
      </c>
    </row>
    <row r="5453" customFormat="false" ht="15" hidden="false" customHeight="false" outlineLevel="0" collapsed="false">
      <c r="B5453" s="53"/>
      <c r="I5453" s="53"/>
      <c r="U5453" s="31" t="n">
        <f aca="false">IF($B5453='設定（最初に1回）'!$C$4,N(U5452)+1,N(U5452))</f>
        <v>134</v>
      </c>
    </row>
    <row r="5454" customFormat="false" ht="15" hidden="false" customHeight="false" outlineLevel="0" collapsed="false">
      <c r="B5454" s="53"/>
      <c r="I5454" s="53"/>
      <c r="U5454" s="31" t="n">
        <f aca="false">IF($B5454='設定（最初に1回）'!$C$4,N(U5453)+1,N(U5453))</f>
        <v>134</v>
      </c>
    </row>
    <row r="5455" customFormat="false" ht="15" hidden="false" customHeight="false" outlineLevel="0" collapsed="false">
      <c r="B5455" s="53"/>
      <c r="I5455" s="53"/>
      <c r="U5455" s="31" t="n">
        <f aca="false">IF($B5455='設定（最初に1回）'!$C$4,N(U5454)+1,N(U5454))</f>
        <v>134</v>
      </c>
    </row>
    <row r="5456" customFormat="false" ht="15" hidden="false" customHeight="false" outlineLevel="0" collapsed="false">
      <c r="B5456" s="53"/>
      <c r="I5456" s="53"/>
      <c r="U5456" s="31" t="n">
        <f aca="false">IF($B5456='設定（最初に1回）'!$C$4,N(U5455)+1,N(U5455))</f>
        <v>134</v>
      </c>
    </row>
    <row r="5457" customFormat="false" ht="15" hidden="false" customHeight="false" outlineLevel="0" collapsed="false">
      <c r="B5457" s="53"/>
      <c r="I5457" s="53"/>
      <c r="U5457" s="31" t="n">
        <f aca="false">IF($B5457='設定（最初に1回）'!$C$4,N(U5456)+1,N(U5456))</f>
        <v>134</v>
      </c>
    </row>
    <row r="5458" customFormat="false" ht="15" hidden="false" customHeight="false" outlineLevel="0" collapsed="false">
      <c r="B5458" s="53"/>
      <c r="I5458" s="53"/>
      <c r="U5458" s="31" t="n">
        <f aca="false">IF($B5458='設定（最初に1回）'!$C$4,N(U5457)+1,N(U5457))</f>
        <v>134</v>
      </c>
    </row>
    <row r="5459" customFormat="false" ht="15" hidden="false" customHeight="false" outlineLevel="0" collapsed="false">
      <c r="B5459" s="53"/>
      <c r="I5459" s="53"/>
      <c r="U5459" s="31" t="n">
        <f aca="false">IF($B5459='設定（最初に1回）'!$C$4,N(U5458)+1,N(U5458))</f>
        <v>134</v>
      </c>
    </row>
    <row r="5460" customFormat="false" ht="15" hidden="false" customHeight="false" outlineLevel="0" collapsed="false">
      <c r="B5460" s="53"/>
      <c r="I5460" s="53"/>
      <c r="U5460" s="31" t="n">
        <f aca="false">IF($B5460='設定（最初に1回）'!$C$4,N(U5459)+1,N(U5459))</f>
        <v>134</v>
      </c>
    </row>
    <row r="5461" customFormat="false" ht="15" hidden="false" customHeight="false" outlineLevel="0" collapsed="false">
      <c r="B5461" s="53"/>
      <c r="I5461" s="53"/>
      <c r="U5461" s="31" t="n">
        <f aca="false">IF($B5461='設定（最初に1回）'!$C$4,N(U5460)+1,N(U5460))</f>
        <v>134</v>
      </c>
    </row>
    <row r="5462" customFormat="false" ht="15" hidden="false" customHeight="false" outlineLevel="0" collapsed="false">
      <c r="B5462" s="53"/>
      <c r="I5462" s="53"/>
      <c r="U5462" s="31" t="n">
        <f aca="false">IF($B5462='設定（最初に1回）'!$C$4,N(U5461)+1,N(U5461))</f>
        <v>134</v>
      </c>
    </row>
    <row r="5463" customFormat="false" ht="15" hidden="false" customHeight="false" outlineLevel="0" collapsed="false">
      <c r="B5463" s="53"/>
      <c r="I5463" s="53"/>
      <c r="U5463" s="31" t="n">
        <f aca="false">IF($B5463='設定（最初に1回）'!$C$4,N(U5462)+1,N(U5462))</f>
        <v>134</v>
      </c>
    </row>
    <row r="5464" customFormat="false" ht="15" hidden="false" customHeight="false" outlineLevel="0" collapsed="false">
      <c r="B5464" s="53"/>
      <c r="I5464" s="53"/>
      <c r="U5464" s="31" t="n">
        <f aca="false">IF($B5464='設定（最初に1回）'!$C$4,N(U5463)+1,N(U5463))</f>
        <v>134</v>
      </c>
    </row>
    <row r="5465" customFormat="false" ht="15" hidden="false" customHeight="false" outlineLevel="0" collapsed="false">
      <c r="B5465" s="53"/>
      <c r="I5465" s="53"/>
      <c r="U5465" s="31" t="n">
        <f aca="false">IF($B5465='設定（最初に1回）'!$C$4,N(U5464)+1,N(U5464))</f>
        <v>134</v>
      </c>
    </row>
    <row r="5466" customFormat="false" ht="15" hidden="false" customHeight="false" outlineLevel="0" collapsed="false">
      <c r="B5466" s="53"/>
      <c r="I5466" s="53"/>
      <c r="U5466" s="31" t="n">
        <f aca="false">IF($B5466='設定（最初に1回）'!$C$4,N(U5465)+1,N(U5465))</f>
        <v>134</v>
      </c>
    </row>
    <row r="5467" customFormat="false" ht="15" hidden="false" customHeight="false" outlineLevel="0" collapsed="false">
      <c r="B5467" s="53"/>
      <c r="I5467" s="53"/>
      <c r="U5467" s="31" t="n">
        <f aca="false">IF($B5467='設定（最初に1回）'!$C$4,N(U5466)+1,N(U5466))</f>
        <v>134</v>
      </c>
    </row>
    <row r="5468" customFormat="false" ht="15" hidden="false" customHeight="false" outlineLevel="0" collapsed="false">
      <c r="B5468" s="53"/>
      <c r="I5468" s="53"/>
      <c r="U5468" s="31" t="n">
        <f aca="false">IF($B5468='設定（最初に1回）'!$C$4,N(U5467)+1,N(U5467))</f>
        <v>134</v>
      </c>
    </row>
    <row r="5469" customFormat="false" ht="15" hidden="false" customHeight="false" outlineLevel="0" collapsed="false">
      <c r="B5469" s="53"/>
      <c r="I5469" s="53"/>
      <c r="U5469" s="31" t="n">
        <f aca="false">IF($B5469='設定（最初に1回）'!$C$4,N(U5468)+1,N(U5468))</f>
        <v>134</v>
      </c>
    </row>
    <row r="5470" customFormat="false" ht="15" hidden="false" customHeight="false" outlineLevel="0" collapsed="false">
      <c r="B5470" s="53"/>
      <c r="I5470" s="53"/>
      <c r="U5470" s="31" t="n">
        <f aca="false">IF($B5470='設定（最初に1回）'!$C$4,N(U5469)+1,N(U5469))</f>
        <v>134</v>
      </c>
    </row>
    <row r="5471" customFormat="false" ht="15" hidden="false" customHeight="false" outlineLevel="0" collapsed="false">
      <c r="B5471" s="53"/>
      <c r="I5471" s="53"/>
      <c r="U5471" s="31" t="n">
        <f aca="false">IF($B5471='設定（最初に1回）'!$C$4,N(U5470)+1,N(U5470))</f>
        <v>134</v>
      </c>
    </row>
    <row r="5472" customFormat="false" ht="15" hidden="false" customHeight="false" outlineLevel="0" collapsed="false">
      <c r="B5472" s="53"/>
      <c r="I5472" s="53"/>
      <c r="U5472" s="31" t="n">
        <f aca="false">IF($B5472='設定（最初に1回）'!$C$4,N(U5471)+1,N(U5471))</f>
        <v>134</v>
      </c>
    </row>
    <row r="5473" customFormat="false" ht="15" hidden="false" customHeight="false" outlineLevel="0" collapsed="false">
      <c r="B5473" s="53"/>
      <c r="I5473" s="53"/>
      <c r="U5473" s="31" t="n">
        <f aca="false">IF($B5473='設定（最初に1回）'!$C$4,N(U5472)+1,N(U5472))</f>
        <v>134</v>
      </c>
    </row>
    <row r="5474" customFormat="false" ht="15" hidden="false" customHeight="false" outlineLevel="0" collapsed="false">
      <c r="B5474" s="53"/>
      <c r="I5474" s="53"/>
      <c r="U5474" s="31" t="n">
        <f aca="false">IF($B5474='設定（最初に1回）'!$C$4,N(U5473)+1,N(U5473))</f>
        <v>134</v>
      </c>
    </row>
    <row r="5475" customFormat="false" ht="15" hidden="false" customHeight="false" outlineLevel="0" collapsed="false">
      <c r="B5475" s="53"/>
      <c r="I5475" s="53"/>
      <c r="U5475" s="31" t="n">
        <f aca="false">IF($B5475='設定（最初に1回）'!$C$4,N(U5474)+1,N(U5474))</f>
        <v>134</v>
      </c>
    </row>
    <row r="5476" customFormat="false" ht="15" hidden="false" customHeight="false" outlineLevel="0" collapsed="false">
      <c r="B5476" s="53"/>
      <c r="I5476" s="53"/>
      <c r="U5476" s="31" t="n">
        <f aca="false">IF($B5476='設定（最初に1回）'!$C$4,N(U5475)+1,N(U5475))</f>
        <v>134</v>
      </c>
    </row>
    <row r="5477" customFormat="false" ht="15" hidden="false" customHeight="false" outlineLevel="0" collapsed="false">
      <c r="B5477" s="53"/>
      <c r="I5477" s="53"/>
      <c r="U5477" s="31" t="n">
        <f aca="false">IF($B5477='設定（最初に1回）'!$C$4,N(U5476)+1,N(U5476))</f>
        <v>134</v>
      </c>
    </row>
    <row r="5478" customFormat="false" ht="15" hidden="false" customHeight="false" outlineLevel="0" collapsed="false">
      <c r="B5478" s="53"/>
      <c r="I5478" s="53"/>
      <c r="U5478" s="31" t="n">
        <f aca="false">IF($B5478='設定（最初に1回）'!$C$4,N(U5477)+1,N(U5477))</f>
        <v>134</v>
      </c>
    </row>
    <row r="5479" customFormat="false" ht="15" hidden="false" customHeight="false" outlineLevel="0" collapsed="false">
      <c r="B5479" s="53"/>
      <c r="I5479" s="53"/>
      <c r="U5479" s="31" t="n">
        <f aca="false">IF($B5479='設定（最初に1回）'!$C$4,N(U5478)+1,N(U5478))</f>
        <v>134</v>
      </c>
    </row>
    <row r="5480" customFormat="false" ht="15" hidden="false" customHeight="false" outlineLevel="0" collapsed="false">
      <c r="B5480" s="53"/>
      <c r="I5480" s="53"/>
      <c r="U5480" s="31" t="n">
        <f aca="false">IF($B5480='設定（最初に1回）'!$C$4,N(U5479)+1,N(U5479))</f>
        <v>134</v>
      </c>
    </row>
    <row r="5481" customFormat="false" ht="15" hidden="false" customHeight="false" outlineLevel="0" collapsed="false">
      <c r="B5481" s="53"/>
      <c r="I5481" s="53"/>
      <c r="U5481" s="31" t="n">
        <f aca="false">IF($B5481='設定（最初に1回）'!$C$4,N(U5480)+1,N(U5480))</f>
        <v>134</v>
      </c>
    </row>
    <row r="5482" customFormat="false" ht="15" hidden="false" customHeight="false" outlineLevel="0" collapsed="false">
      <c r="B5482" s="53"/>
      <c r="I5482" s="53"/>
      <c r="U5482" s="31" t="n">
        <f aca="false">IF($B5482='設定（最初に1回）'!$C$4,N(U5481)+1,N(U5481))</f>
        <v>134</v>
      </c>
    </row>
    <row r="5483" customFormat="false" ht="15" hidden="false" customHeight="false" outlineLevel="0" collapsed="false">
      <c r="B5483" s="53"/>
      <c r="I5483" s="53"/>
      <c r="U5483" s="31" t="n">
        <f aca="false">IF($B5483='設定（最初に1回）'!$C$4,N(U5482)+1,N(U5482))</f>
        <v>134</v>
      </c>
    </row>
    <row r="5484" customFormat="false" ht="15" hidden="false" customHeight="false" outlineLevel="0" collapsed="false">
      <c r="B5484" s="53"/>
      <c r="I5484" s="53"/>
      <c r="U5484" s="31" t="n">
        <f aca="false">IF($B5484='設定（最初に1回）'!$C$4,N(U5483)+1,N(U5483))</f>
        <v>134</v>
      </c>
    </row>
    <row r="5485" customFormat="false" ht="15" hidden="false" customHeight="false" outlineLevel="0" collapsed="false">
      <c r="B5485" s="53"/>
      <c r="I5485" s="53"/>
      <c r="U5485" s="31" t="n">
        <f aca="false">IF($B5485='設定（最初に1回）'!$C$4,N(U5484)+1,N(U5484))</f>
        <v>134</v>
      </c>
    </row>
    <row r="5486" customFormat="false" ht="15" hidden="false" customHeight="false" outlineLevel="0" collapsed="false">
      <c r="B5486" s="53"/>
      <c r="I5486" s="53"/>
      <c r="U5486" s="31" t="n">
        <f aca="false">IF($B5486='設定（最初に1回）'!$C$4,N(U5485)+1,N(U5485))</f>
        <v>134</v>
      </c>
    </row>
    <row r="5487" customFormat="false" ht="15" hidden="false" customHeight="false" outlineLevel="0" collapsed="false">
      <c r="B5487" s="53"/>
      <c r="I5487" s="53"/>
      <c r="U5487" s="31" t="n">
        <f aca="false">IF($B5487='設定（最初に1回）'!$C$4,N(U5486)+1,N(U5486))</f>
        <v>134</v>
      </c>
    </row>
    <row r="5488" customFormat="false" ht="15" hidden="false" customHeight="false" outlineLevel="0" collapsed="false">
      <c r="B5488" s="53"/>
      <c r="I5488" s="53"/>
      <c r="U5488" s="31" t="n">
        <f aca="false">IF($B5488='設定（最初に1回）'!$C$4,N(U5487)+1,N(U5487))</f>
        <v>134</v>
      </c>
    </row>
    <row r="5489" customFormat="false" ht="15" hidden="false" customHeight="false" outlineLevel="0" collapsed="false">
      <c r="B5489" s="53"/>
      <c r="I5489" s="53"/>
      <c r="U5489" s="31" t="n">
        <f aca="false">IF($B5489='設定（最初に1回）'!$C$4,N(U5488)+1,N(U5488))</f>
        <v>134</v>
      </c>
    </row>
    <row r="5490" customFormat="false" ht="15" hidden="false" customHeight="false" outlineLevel="0" collapsed="false">
      <c r="B5490" s="53"/>
      <c r="I5490" s="53"/>
      <c r="U5490" s="31" t="n">
        <f aca="false">IF($B5490='設定（最初に1回）'!$C$4,N(U5489)+1,N(U5489))</f>
        <v>134</v>
      </c>
    </row>
    <row r="5491" customFormat="false" ht="15" hidden="false" customHeight="false" outlineLevel="0" collapsed="false">
      <c r="B5491" s="53"/>
      <c r="I5491" s="53"/>
      <c r="U5491" s="31" t="n">
        <f aca="false">IF($B5491='設定（最初に1回）'!$C$4,N(U5490)+1,N(U5490))</f>
        <v>134</v>
      </c>
    </row>
    <row r="5492" customFormat="false" ht="15" hidden="false" customHeight="false" outlineLevel="0" collapsed="false">
      <c r="B5492" s="53"/>
      <c r="I5492" s="53"/>
      <c r="U5492" s="31" t="n">
        <f aca="false">IF($B5492='設定（最初に1回）'!$C$4,N(U5491)+1,N(U5491))</f>
        <v>134</v>
      </c>
    </row>
    <row r="5493" customFormat="false" ht="15" hidden="false" customHeight="false" outlineLevel="0" collapsed="false">
      <c r="B5493" s="53"/>
      <c r="I5493" s="53"/>
      <c r="U5493" s="31" t="n">
        <f aca="false">IF($B5493='設定（最初に1回）'!$C$4,N(U5492)+1,N(U5492))</f>
        <v>134</v>
      </c>
    </row>
    <row r="5494" customFormat="false" ht="15" hidden="false" customHeight="false" outlineLevel="0" collapsed="false">
      <c r="B5494" s="53"/>
      <c r="I5494" s="53"/>
      <c r="U5494" s="31" t="n">
        <f aca="false">IF($B5494='設定（最初に1回）'!$C$4,N(U5493)+1,N(U5493))</f>
        <v>134</v>
      </c>
    </row>
    <row r="5495" customFormat="false" ht="15" hidden="false" customHeight="false" outlineLevel="0" collapsed="false">
      <c r="B5495" s="53"/>
      <c r="I5495" s="53"/>
      <c r="U5495" s="31" t="n">
        <f aca="false">IF($B5495='設定（最初に1回）'!$C$4,N(U5494)+1,N(U5494))</f>
        <v>134</v>
      </c>
    </row>
    <row r="5496" customFormat="false" ht="15" hidden="false" customHeight="false" outlineLevel="0" collapsed="false">
      <c r="B5496" s="53"/>
      <c r="I5496" s="53"/>
      <c r="U5496" s="31" t="n">
        <f aca="false">IF($B5496='設定（最初に1回）'!$C$4,N(U5495)+1,N(U5495))</f>
        <v>134</v>
      </c>
    </row>
    <row r="5497" customFormat="false" ht="15" hidden="false" customHeight="false" outlineLevel="0" collapsed="false">
      <c r="B5497" s="53"/>
      <c r="I5497" s="53"/>
      <c r="U5497" s="31" t="n">
        <f aca="false">IF($B5497='設定（最初に1回）'!$C$4,N(U5496)+1,N(U5496))</f>
        <v>134</v>
      </c>
    </row>
    <row r="5498" customFormat="false" ht="15" hidden="false" customHeight="false" outlineLevel="0" collapsed="false">
      <c r="B5498" s="53"/>
      <c r="I5498" s="53"/>
      <c r="U5498" s="31" t="n">
        <f aca="false">IF($B5498='設定（最初に1回）'!$C$4,N(U5497)+1,N(U5497))</f>
        <v>134</v>
      </c>
    </row>
    <row r="5499" customFormat="false" ht="15" hidden="false" customHeight="false" outlineLevel="0" collapsed="false">
      <c r="B5499" s="53"/>
      <c r="I5499" s="53"/>
      <c r="U5499" s="31" t="n">
        <f aca="false">IF($B5499='設定（最初に1回）'!$C$4,N(U5498)+1,N(U5498))</f>
        <v>134</v>
      </c>
    </row>
    <row r="5500" customFormat="false" ht="15" hidden="false" customHeight="false" outlineLevel="0" collapsed="false">
      <c r="B5500" s="53"/>
      <c r="I5500" s="53"/>
      <c r="U5500" s="31" t="n">
        <f aca="false">IF($B5500='設定（最初に1回）'!$C$4,N(U5499)+1,N(U5499))</f>
        <v>134</v>
      </c>
    </row>
    <row r="5501" customFormat="false" ht="15" hidden="false" customHeight="false" outlineLevel="0" collapsed="false">
      <c r="B5501" s="53"/>
      <c r="I5501" s="53"/>
      <c r="U5501" s="31" t="n">
        <f aca="false">IF($B5501='設定（最初に1回）'!$C$4,N(U5500)+1,N(U5500))</f>
        <v>134</v>
      </c>
    </row>
    <row r="5502" customFormat="false" ht="15" hidden="false" customHeight="false" outlineLevel="0" collapsed="false">
      <c r="B5502" s="53"/>
      <c r="I5502" s="53"/>
      <c r="U5502" s="31" t="n">
        <f aca="false">IF($B5502='設定（最初に1回）'!$C$4,N(U5501)+1,N(U5501))</f>
        <v>134</v>
      </c>
    </row>
    <row r="5503" customFormat="false" ht="15" hidden="false" customHeight="false" outlineLevel="0" collapsed="false">
      <c r="B5503" s="53"/>
      <c r="I5503" s="53"/>
      <c r="U5503" s="31" t="n">
        <f aca="false">IF($B5503='設定（最初に1回）'!$C$4,N(U5502)+1,N(U5502))</f>
        <v>134</v>
      </c>
    </row>
    <row r="5504" customFormat="false" ht="15" hidden="false" customHeight="false" outlineLevel="0" collapsed="false">
      <c r="B5504" s="53"/>
      <c r="I5504" s="53"/>
      <c r="U5504" s="31" t="n">
        <f aca="false">IF($B5504='設定（最初に1回）'!$C$4,N(U5503)+1,N(U5503))</f>
        <v>134</v>
      </c>
    </row>
    <row r="5505" customFormat="false" ht="15" hidden="false" customHeight="false" outlineLevel="0" collapsed="false">
      <c r="B5505" s="53"/>
      <c r="I5505" s="53"/>
      <c r="U5505" s="31" t="n">
        <f aca="false">IF($B5505='設定（最初に1回）'!$C$4,N(U5504)+1,N(U5504))</f>
        <v>134</v>
      </c>
    </row>
    <row r="5506" customFormat="false" ht="15" hidden="false" customHeight="false" outlineLevel="0" collapsed="false">
      <c r="B5506" s="53"/>
      <c r="I5506" s="53"/>
      <c r="U5506" s="31" t="n">
        <f aca="false">IF($B5506='設定（最初に1回）'!$C$4,N(U5505)+1,N(U5505))</f>
        <v>134</v>
      </c>
    </row>
    <row r="5507" customFormat="false" ht="15" hidden="false" customHeight="false" outlineLevel="0" collapsed="false">
      <c r="B5507" s="53"/>
      <c r="I5507" s="53"/>
      <c r="U5507" s="31" t="n">
        <f aca="false">IF($B5507='設定（最初に1回）'!$C$4,N(U5506)+1,N(U5506))</f>
        <v>134</v>
      </c>
    </row>
    <row r="5508" customFormat="false" ht="15" hidden="false" customHeight="false" outlineLevel="0" collapsed="false">
      <c r="B5508" s="53"/>
      <c r="I5508" s="53"/>
      <c r="U5508" s="31" t="n">
        <f aca="false">IF($B5508='設定（最初に1回）'!$C$4,N(U5507)+1,N(U5507))</f>
        <v>134</v>
      </c>
    </row>
    <row r="5509" customFormat="false" ht="15" hidden="false" customHeight="false" outlineLevel="0" collapsed="false">
      <c r="B5509" s="53"/>
      <c r="I5509" s="53"/>
      <c r="U5509" s="31" t="n">
        <f aca="false">IF($B5509='設定（最初に1回）'!$C$4,N(U5508)+1,N(U5508))</f>
        <v>134</v>
      </c>
    </row>
    <row r="5510" customFormat="false" ht="15" hidden="false" customHeight="false" outlineLevel="0" collapsed="false">
      <c r="B5510" s="53"/>
      <c r="I5510" s="53"/>
      <c r="U5510" s="31" t="n">
        <f aca="false">IF($B5510='設定（最初に1回）'!$C$4,N(U5509)+1,N(U5509))</f>
        <v>134</v>
      </c>
    </row>
    <row r="5511" customFormat="false" ht="15" hidden="false" customHeight="false" outlineLevel="0" collapsed="false">
      <c r="B5511" s="53"/>
      <c r="I5511" s="53"/>
      <c r="U5511" s="31" t="n">
        <f aca="false">IF($B5511='設定（最初に1回）'!$C$4,N(U5510)+1,N(U5510))</f>
        <v>134</v>
      </c>
    </row>
    <row r="5512" customFormat="false" ht="15" hidden="false" customHeight="false" outlineLevel="0" collapsed="false">
      <c r="B5512" s="53"/>
      <c r="I5512" s="53"/>
      <c r="U5512" s="31" t="n">
        <f aca="false">IF($B5512='設定（最初に1回）'!$C$4,N(U5511)+1,N(U5511))</f>
        <v>134</v>
      </c>
    </row>
    <row r="5513" customFormat="false" ht="15" hidden="false" customHeight="false" outlineLevel="0" collapsed="false">
      <c r="B5513" s="53"/>
      <c r="I5513" s="53"/>
      <c r="U5513" s="31" t="n">
        <f aca="false">IF($B5513='設定（最初に1回）'!$C$4,N(U5512)+1,N(U5512))</f>
        <v>134</v>
      </c>
    </row>
    <row r="5514" customFormat="false" ht="15" hidden="false" customHeight="false" outlineLevel="0" collapsed="false">
      <c r="B5514" s="53"/>
      <c r="I5514" s="53"/>
      <c r="U5514" s="31" t="n">
        <f aca="false">IF($B5514='設定（最初に1回）'!$C$4,N(U5513)+1,N(U5513))</f>
        <v>134</v>
      </c>
    </row>
    <row r="5515" customFormat="false" ht="15" hidden="false" customHeight="false" outlineLevel="0" collapsed="false">
      <c r="B5515" s="53"/>
      <c r="I5515" s="53"/>
      <c r="U5515" s="31" t="n">
        <f aca="false">IF($B5515='設定（最初に1回）'!$C$4,N(U5514)+1,N(U5514))</f>
        <v>134</v>
      </c>
    </row>
    <row r="5516" customFormat="false" ht="15" hidden="false" customHeight="false" outlineLevel="0" collapsed="false">
      <c r="B5516" s="53"/>
      <c r="I5516" s="53"/>
      <c r="U5516" s="31" t="n">
        <f aca="false">IF($B5516='設定（最初に1回）'!$C$4,N(U5515)+1,N(U5515))</f>
        <v>134</v>
      </c>
    </row>
    <row r="5517" customFormat="false" ht="15" hidden="false" customHeight="false" outlineLevel="0" collapsed="false">
      <c r="B5517" s="53"/>
      <c r="I5517" s="53"/>
      <c r="U5517" s="31" t="n">
        <f aca="false">IF($B5517='設定（最初に1回）'!$C$4,N(U5516)+1,N(U5516))</f>
        <v>134</v>
      </c>
    </row>
    <row r="5518" customFormat="false" ht="15" hidden="false" customHeight="false" outlineLevel="0" collapsed="false">
      <c r="B5518" s="53"/>
      <c r="I5518" s="53"/>
      <c r="U5518" s="31" t="n">
        <f aca="false">IF($B5518='設定（最初に1回）'!$C$4,N(U5517)+1,N(U5517))</f>
        <v>134</v>
      </c>
    </row>
    <row r="5519" customFormat="false" ht="15" hidden="false" customHeight="false" outlineLevel="0" collapsed="false">
      <c r="B5519" s="53"/>
      <c r="I5519" s="53"/>
      <c r="U5519" s="31" t="n">
        <f aca="false">IF($B5519='設定（最初に1回）'!$C$4,N(U5518)+1,N(U5518))</f>
        <v>134</v>
      </c>
    </row>
    <row r="5520" customFormat="false" ht="15" hidden="false" customHeight="false" outlineLevel="0" collapsed="false">
      <c r="B5520" s="53"/>
      <c r="I5520" s="53"/>
      <c r="U5520" s="31" t="n">
        <f aca="false">IF($B5520='設定（最初に1回）'!$C$4,N(U5519)+1,N(U5519))</f>
        <v>134</v>
      </c>
    </row>
    <row r="5521" customFormat="false" ht="15" hidden="false" customHeight="false" outlineLevel="0" collapsed="false">
      <c r="B5521" s="53"/>
      <c r="I5521" s="53"/>
      <c r="U5521" s="31" t="n">
        <f aca="false">IF($B5521='設定（最初に1回）'!$C$4,N(U5520)+1,N(U5520))</f>
        <v>134</v>
      </c>
    </row>
    <row r="5522" customFormat="false" ht="15" hidden="false" customHeight="false" outlineLevel="0" collapsed="false">
      <c r="B5522" s="53"/>
      <c r="I5522" s="53"/>
      <c r="U5522" s="31" t="n">
        <f aca="false">IF($B5522='設定（最初に1回）'!$C$4,N(U5521)+1,N(U5521))</f>
        <v>134</v>
      </c>
    </row>
    <row r="5523" customFormat="false" ht="15" hidden="false" customHeight="false" outlineLevel="0" collapsed="false">
      <c r="B5523" s="53"/>
      <c r="I5523" s="53"/>
      <c r="U5523" s="31" t="n">
        <f aca="false">IF($B5523='設定（最初に1回）'!$C$4,N(U5522)+1,N(U5522))</f>
        <v>134</v>
      </c>
    </row>
    <row r="5524" customFormat="false" ht="15" hidden="false" customHeight="false" outlineLevel="0" collapsed="false">
      <c r="B5524" s="53"/>
      <c r="I5524" s="53"/>
      <c r="U5524" s="31" t="n">
        <f aca="false">IF($B5524='設定（最初に1回）'!$C$4,N(U5523)+1,N(U5523))</f>
        <v>134</v>
      </c>
    </row>
    <row r="5525" customFormat="false" ht="15" hidden="false" customHeight="false" outlineLevel="0" collapsed="false">
      <c r="B5525" s="53"/>
      <c r="I5525" s="53"/>
      <c r="U5525" s="31" t="n">
        <f aca="false">IF($B5525='設定（最初に1回）'!$C$4,N(U5524)+1,N(U5524))</f>
        <v>134</v>
      </c>
    </row>
    <row r="5526" customFormat="false" ht="15" hidden="false" customHeight="false" outlineLevel="0" collapsed="false">
      <c r="B5526" s="53"/>
      <c r="I5526" s="53"/>
      <c r="U5526" s="31" t="n">
        <f aca="false">IF($B5526='設定（最初に1回）'!$C$4,N(U5525)+1,N(U5525))</f>
        <v>134</v>
      </c>
    </row>
    <row r="5527" customFormat="false" ht="15" hidden="false" customHeight="false" outlineLevel="0" collapsed="false">
      <c r="B5527" s="53"/>
      <c r="I5527" s="53"/>
      <c r="U5527" s="31" t="n">
        <f aca="false">IF($B5527='設定（最初に1回）'!$C$4,N(U5526)+1,N(U5526))</f>
        <v>134</v>
      </c>
    </row>
    <row r="5528" customFormat="false" ht="15" hidden="false" customHeight="false" outlineLevel="0" collapsed="false">
      <c r="B5528" s="53"/>
      <c r="I5528" s="53"/>
      <c r="U5528" s="31" t="n">
        <f aca="false">IF($B5528='設定（最初に1回）'!$C$4,N(U5527)+1,N(U5527))</f>
        <v>134</v>
      </c>
    </row>
    <row r="5529" customFormat="false" ht="15" hidden="false" customHeight="false" outlineLevel="0" collapsed="false">
      <c r="B5529" s="53"/>
      <c r="I5529" s="53"/>
      <c r="U5529" s="31" t="n">
        <f aca="false">IF($B5529='設定（最初に1回）'!$C$4,N(U5528)+1,N(U5528))</f>
        <v>134</v>
      </c>
    </row>
    <row r="5530" customFormat="false" ht="15" hidden="false" customHeight="false" outlineLevel="0" collapsed="false">
      <c r="B5530" s="53"/>
      <c r="I5530" s="53"/>
      <c r="U5530" s="31" t="n">
        <f aca="false">IF($B5530='設定（最初に1回）'!$C$4,N(U5529)+1,N(U5529))</f>
        <v>134</v>
      </c>
    </row>
    <row r="5531" customFormat="false" ht="15" hidden="false" customHeight="false" outlineLevel="0" collapsed="false">
      <c r="B5531" s="53"/>
      <c r="I5531" s="53"/>
      <c r="U5531" s="31" t="n">
        <f aca="false">IF($B5531='設定（最初に1回）'!$C$4,N(U5530)+1,N(U5530))</f>
        <v>134</v>
      </c>
    </row>
    <row r="5532" customFormat="false" ht="15" hidden="false" customHeight="false" outlineLevel="0" collapsed="false">
      <c r="B5532" s="53"/>
      <c r="I5532" s="53"/>
      <c r="U5532" s="31" t="n">
        <f aca="false">IF($B5532='設定（最初に1回）'!$C$4,N(U5531)+1,N(U5531))</f>
        <v>134</v>
      </c>
    </row>
    <row r="5533" customFormat="false" ht="15" hidden="false" customHeight="false" outlineLevel="0" collapsed="false">
      <c r="B5533" s="53"/>
      <c r="I5533" s="53"/>
      <c r="U5533" s="31" t="n">
        <f aca="false">IF($B5533='設定（最初に1回）'!$C$4,N(U5532)+1,N(U5532))</f>
        <v>134</v>
      </c>
    </row>
    <row r="5534" customFormat="false" ht="15" hidden="false" customHeight="false" outlineLevel="0" collapsed="false">
      <c r="B5534" s="53"/>
      <c r="I5534" s="53"/>
      <c r="U5534" s="31" t="n">
        <f aca="false">IF($B5534='設定（最初に1回）'!$C$4,N(U5533)+1,N(U5533))</f>
        <v>134</v>
      </c>
    </row>
    <row r="5535" customFormat="false" ht="15" hidden="false" customHeight="false" outlineLevel="0" collapsed="false">
      <c r="B5535" s="53"/>
      <c r="I5535" s="53"/>
      <c r="U5535" s="31" t="n">
        <f aca="false">IF($B5535='設定（最初に1回）'!$C$4,N(U5534)+1,N(U5534))</f>
        <v>134</v>
      </c>
    </row>
    <row r="5536" customFormat="false" ht="15" hidden="false" customHeight="false" outlineLevel="0" collapsed="false">
      <c r="B5536" s="53"/>
      <c r="I5536" s="53"/>
      <c r="U5536" s="31" t="n">
        <f aca="false">IF($B5536='設定（最初に1回）'!$C$4,N(U5535)+1,N(U5535))</f>
        <v>134</v>
      </c>
    </row>
    <row r="5537" customFormat="false" ht="15" hidden="false" customHeight="false" outlineLevel="0" collapsed="false">
      <c r="B5537" s="53"/>
      <c r="I5537" s="53"/>
      <c r="U5537" s="31" t="n">
        <f aca="false">IF($B5537='設定（最初に1回）'!$C$4,N(U5536)+1,N(U5536))</f>
        <v>134</v>
      </c>
    </row>
    <row r="5538" customFormat="false" ht="15" hidden="false" customHeight="false" outlineLevel="0" collapsed="false">
      <c r="B5538" s="53"/>
      <c r="I5538" s="53"/>
      <c r="U5538" s="31" t="n">
        <f aca="false">IF($B5538='設定（最初に1回）'!$C$4,N(U5537)+1,N(U5537))</f>
        <v>134</v>
      </c>
    </row>
    <row r="5539" customFormat="false" ht="15" hidden="false" customHeight="false" outlineLevel="0" collapsed="false">
      <c r="B5539" s="53"/>
      <c r="I5539" s="53"/>
      <c r="U5539" s="31" t="n">
        <f aca="false">IF($B5539='設定（最初に1回）'!$C$4,N(U5538)+1,N(U5538))</f>
        <v>134</v>
      </c>
    </row>
    <row r="5540" customFormat="false" ht="15" hidden="false" customHeight="false" outlineLevel="0" collapsed="false">
      <c r="B5540" s="53"/>
      <c r="I5540" s="53"/>
      <c r="U5540" s="31" t="n">
        <f aca="false">IF($B5540='設定（最初に1回）'!$C$4,N(U5539)+1,N(U5539))</f>
        <v>134</v>
      </c>
    </row>
    <row r="5541" customFormat="false" ht="15" hidden="false" customHeight="false" outlineLevel="0" collapsed="false">
      <c r="B5541" s="53"/>
      <c r="I5541" s="53"/>
      <c r="U5541" s="31" t="n">
        <f aca="false">IF($B5541='設定（最初に1回）'!$C$4,N(U5540)+1,N(U5540))</f>
        <v>134</v>
      </c>
    </row>
    <row r="5542" customFormat="false" ht="15" hidden="false" customHeight="false" outlineLevel="0" collapsed="false">
      <c r="B5542" s="53"/>
      <c r="I5542" s="53"/>
      <c r="U5542" s="31" t="n">
        <f aca="false">IF($B5542='設定（最初に1回）'!$C$4,N(U5541)+1,N(U5541))</f>
        <v>134</v>
      </c>
    </row>
    <row r="5543" customFormat="false" ht="15" hidden="false" customHeight="false" outlineLevel="0" collapsed="false">
      <c r="B5543" s="53"/>
      <c r="I5543" s="53"/>
      <c r="U5543" s="31" t="n">
        <f aca="false">IF($B5543='設定（最初に1回）'!$C$4,N(U5542)+1,N(U5542))</f>
        <v>134</v>
      </c>
    </row>
    <row r="5544" customFormat="false" ht="15" hidden="false" customHeight="false" outlineLevel="0" collapsed="false">
      <c r="B5544" s="53"/>
      <c r="I5544" s="53"/>
      <c r="U5544" s="31" t="n">
        <f aca="false">IF($B5544='設定（最初に1回）'!$C$4,N(U5543)+1,N(U5543))</f>
        <v>134</v>
      </c>
    </row>
    <row r="5545" customFormat="false" ht="15" hidden="false" customHeight="false" outlineLevel="0" collapsed="false">
      <c r="B5545" s="53"/>
      <c r="I5545" s="53"/>
      <c r="U5545" s="31" t="n">
        <f aca="false">IF($B5545='設定（最初に1回）'!$C$4,N(U5544)+1,N(U5544))</f>
        <v>134</v>
      </c>
    </row>
    <row r="5546" customFormat="false" ht="15" hidden="false" customHeight="false" outlineLevel="0" collapsed="false">
      <c r="B5546" s="53"/>
      <c r="I5546" s="53"/>
      <c r="U5546" s="31" t="n">
        <f aca="false">IF($B5546='設定（最初に1回）'!$C$4,N(U5545)+1,N(U5545))</f>
        <v>134</v>
      </c>
    </row>
    <row r="5547" customFormat="false" ht="15" hidden="false" customHeight="false" outlineLevel="0" collapsed="false">
      <c r="B5547" s="53"/>
      <c r="I5547" s="53"/>
      <c r="U5547" s="31" t="n">
        <f aca="false">IF($B5547='設定（最初に1回）'!$C$4,N(U5546)+1,N(U5546))</f>
        <v>134</v>
      </c>
    </row>
    <row r="5548" customFormat="false" ht="15" hidden="false" customHeight="false" outlineLevel="0" collapsed="false">
      <c r="B5548" s="53"/>
      <c r="I5548" s="53"/>
      <c r="U5548" s="31" t="n">
        <f aca="false">IF($B5548='設定（最初に1回）'!$C$4,N(U5547)+1,N(U5547))</f>
        <v>134</v>
      </c>
    </row>
    <row r="5549" customFormat="false" ht="15" hidden="false" customHeight="false" outlineLevel="0" collapsed="false">
      <c r="B5549" s="53"/>
      <c r="I5549" s="53"/>
      <c r="U5549" s="31" t="n">
        <f aca="false">IF($B5549='設定（最初に1回）'!$C$4,N(U5548)+1,N(U5548))</f>
        <v>134</v>
      </c>
    </row>
    <row r="5550" customFormat="false" ht="15" hidden="false" customHeight="false" outlineLevel="0" collapsed="false">
      <c r="B5550" s="53"/>
      <c r="I5550" s="53"/>
      <c r="U5550" s="31" t="n">
        <f aca="false">IF($B5550='設定（最初に1回）'!$C$4,N(U5549)+1,N(U5549))</f>
        <v>134</v>
      </c>
    </row>
    <row r="5551" customFormat="false" ht="15" hidden="false" customHeight="false" outlineLevel="0" collapsed="false">
      <c r="B5551" s="53"/>
      <c r="I5551" s="53"/>
      <c r="U5551" s="31" t="n">
        <f aca="false">IF($B5551='設定（最初に1回）'!$C$4,N(U5550)+1,N(U5550))</f>
        <v>134</v>
      </c>
    </row>
    <row r="5552" customFormat="false" ht="15" hidden="false" customHeight="false" outlineLevel="0" collapsed="false">
      <c r="B5552" s="53"/>
      <c r="I5552" s="53"/>
      <c r="U5552" s="31" t="n">
        <f aca="false">IF($B5552='設定（最初に1回）'!$C$4,N(U5551)+1,N(U5551))</f>
        <v>134</v>
      </c>
    </row>
    <row r="5553" customFormat="false" ht="15" hidden="false" customHeight="false" outlineLevel="0" collapsed="false">
      <c r="B5553" s="53"/>
      <c r="I5553" s="53"/>
      <c r="U5553" s="31" t="n">
        <f aca="false">IF($B5553='設定（最初に1回）'!$C$4,N(U5552)+1,N(U5552))</f>
        <v>134</v>
      </c>
    </row>
    <row r="5554" customFormat="false" ht="15" hidden="false" customHeight="false" outlineLevel="0" collapsed="false">
      <c r="B5554" s="53"/>
      <c r="I5554" s="53"/>
      <c r="U5554" s="31" t="n">
        <f aca="false">IF($B5554='設定（最初に1回）'!$C$4,N(U5553)+1,N(U5553))</f>
        <v>134</v>
      </c>
    </row>
    <row r="5555" customFormat="false" ht="15" hidden="false" customHeight="false" outlineLevel="0" collapsed="false">
      <c r="B5555" s="53"/>
      <c r="I5555" s="53"/>
      <c r="U5555" s="31" t="n">
        <f aca="false">IF($B5555='設定（最初に1回）'!$C$4,N(U5554)+1,N(U5554))</f>
        <v>134</v>
      </c>
    </row>
    <row r="5556" customFormat="false" ht="15" hidden="false" customHeight="false" outlineLevel="0" collapsed="false">
      <c r="B5556" s="53"/>
      <c r="I5556" s="53"/>
      <c r="U5556" s="31" t="n">
        <f aca="false">IF($B5556='設定（最初に1回）'!$C$4,N(U5555)+1,N(U5555))</f>
        <v>134</v>
      </c>
    </row>
    <row r="5557" customFormat="false" ht="15" hidden="false" customHeight="false" outlineLevel="0" collapsed="false">
      <c r="B5557" s="53"/>
      <c r="I5557" s="53"/>
      <c r="U5557" s="31" t="n">
        <f aca="false">IF($B5557='設定（最初に1回）'!$C$4,N(U5556)+1,N(U5556))</f>
        <v>134</v>
      </c>
    </row>
    <row r="5558" customFormat="false" ht="15" hidden="false" customHeight="false" outlineLevel="0" collapsed="false">
      <c r="B5558" s="53"/>
      <c r="I5558" s="53"/>
      <c r="U5558" s="31" t="n">
        <f aca="false">IF($B5558='設定（最初に1回）'!$C$4,N(U5557)+1,N(U5557))</f>
        <v>134</v>
      </c>
    </row>
    <row r="5559" customFormat="false" ht="15" hidden="false" customHeight="false" outlineLevel="0" collapsed="false">
      <c r="B5559" s="53"/>
      <c r="I5559" s="53"/>
      <c r="U5559" s="31" t="n">
        <f aca="false">IF($B5559='設定（最初に1回）'!$C$4,N(U5558)+1,N(U5558))</f>
        <v>134</v>
      </c>
    </row>
    <row r="5560" customFormat="false" ht="15" hidden="false" customHeight="false" outlineLevel="0" collapsed="false">
      <c r="B5560" s="53"/>
      <c r="I5560" s="53"/>
      <c r="U5560" s="31" t="n">
        <f aca="false">IF($B5560='設定（最初に1回）'!$C$4,N(U5559)+1,N(U5559))</f>
        <v>134</v>
      </c>
    </row>
    <row r="5561" customFormat="false" ht="15" hidden="false" customHeight="false" outlineLevel="0" collapsed="false">
      <c r="B5561" s="53"/>
      <c r="I5561" s="53"/>
      <c r="U5561" s="31" t="n">
        <f aca="false">IF($B5561='設定（最初に1回）'!$C$4,N(U5560)+1,N(U5560))</f>
        <v>134</v>
      </c>
    </row>
    <row r="5562" customFormat="false" ht="15" hidden="false" customHeight="false" outlineLevel="0" collapsed="false">
      <c r="B5562" s="53"/>
      <c r="I5562" s="53"/>
      <c r="U5562" s="31" t="n">
        <f aca="false">IF($B5562='設定（最初に1回）'!$C$4,N(U5561)+1,N(U5561))</f>
        <v>134</v>
      </c>
    </row>
    <row r="5563" customFormat="false" ht="15" hidden="false" customHeight="false" outlineLevel="0" collapsed="false">
      <c r="B5563" s="53"/>
      <c r="I5563" s="53"/>
      <c r="U5563" s="31" t="n">
        <f aca="false">IF($B5563='設定（最初に1回）'!$C$4,N(U5562)+1,N(U5562))</f>
        <v>134</v>
      </c>
    </row>
    <row r="5564" customFormat="false" ht="15" hidden="false" customHeight="false" outlineLevel="0" collapsed="false">
      <c r="B5564" s="53"/>
      <c r="I5564" s="53"/>
      <c r="U5564" s="31" t="n">
        <f aca="false">IF($B5564='設定（最初に1回）'!$C$4,N(U5563)+1,N(U5563))</f>
        <v>134</v>
      </c>
    </row>
    <row r="5565" customFormat="false" ht="15" hidden="false" customHeight="false" outlineLevel="0" collapsed="false">
      <c r="B5565" s="53"/>
      <c r="I5565" s="53"/>
      <c r="U5565" s="31" t="n">
        <f aca="false">IF($B5565='設定（最初に1回）'!$C$4,N(U5564)+1,N(U5564))</f>
        <v>134</v>
      </c>
    </row>
    <row r="5566" customFormat="false" ht="15" hidden="false" customHeight="false" outlineLevel="0" collapsed="false">
      <c r="B5566" s="53"/>
      <c r="I5566" s="53"/>
      <c r="U5566" s="31" t="n">
        <f aca="false">IF($B5566='設定（最初に1回）'!$C$4,N(U5565)+1,N(U5565))</f>
        <v>134</v>
      </c>
    </row>
    <row r="5567" customFormat="false" ht="15" hidden="false" customHeight="false" outlineLevel="0" collapsed="false">
      <c r="B5567" s="53"/>
      <c r="I5567" s="53"/>
      <c r="U5567" s="31" t="n">
        <f aca="false">IF($B5567='設定（最初に1回）'!$C$4,N(U5566)+1,N(U5566))</f>
        <v>134</v>
      </c>
    </row>
    <row r="5568" customFormat="false" ht="15" hidden="false" customHeight="false" outlineLevel="0" collapsed="false">
      <c r="B5568" s="53"/>
      <c r="I5568" s="53"/>
      <c r="U5568" s="31" t="n">
        <f aca="false">IF($B5568='設定（最初に1回）'!$C$4,N(U5567)+1,N(U5567))</f>
        <v>134</v>
      </c>
    </row>
    <row r="5569" customFormat="false" ht="15" hidden="false" customHeight="false" outlineLevel="0" collapsed="false">
      <c r="B5569" s="53"/>
      <c r="I5569" s="53"/>
      <c r="U5569" s="31" t="n">
        <f aca="false">IF($B5569='設定（最初に1回）'!$C$4,N(U5568)+1,N(U5568))</f>
        <v>134</v>
      </c>
    </row>
    <row r="5570" customFormat="false" ht="15" hidden="false" customHeight="false" outlineLevel="0" collapsed="false">
      <c r="B5570" s="53"/>
      <c r="I5570" s="53"/>
      <c r="U5570" s="31" t="n">
        <f aca="false">IF($B5570='設定（最初に1回）'!$C$4,N(U5569)+1,N(U5569))</f>
        <v>134</v>
      </c>
    </row>
    <row r="5571" customFormat="false" ht="15" hidden="false" customHeight="false" outlineLevel="0" collapsed="false">
      <c r="B5571" s="53"/>
      <c r="I5571" s="53"/>
      <c r="U5571" s="31" t="n">
        <f aca="false">IF($B5571='設定（最初に1回）'!$C$4,N(U5570)+1,N(U5570))</f>
        <v>134</v>
      </c>
    </row>
    <row r="5572" customFormat="false" ht="15" hidden="false" customHeight="false" outlineLevel="0" collapsed="false">
      <c r="B5572" s="53"/>
      <c r="I5572" s="53"/>
      <c r="U5572" s="31" t="n">
        <f aca="false">IF($B5572='設定（最初に1回）'!$C$4,N(U5571)+1,N(U5571))</f>
        <v>134</v>
      </c>
    </row>
    <row r="5573" customFormat="false" ht="15" hidden="false" customHeight="false" outlineLevel="0" collapsed="false">
      <c r="B5573" s="53"/>
      <c r="I5573" s="53"/>
      <c r="U5573" s="31" t="n">
        <f aca="false">IF($B5573='設定（最初に1回）'!$C$4,N(U5572)+1,N(U5572))</f>
        <v>134</v>
      </c>
    </row>
    <row r="5574" customFormat="false" ht="15" hidden="false" customHeight="false" outlineLevel="0" collapsed="false">
      <c r="B5574" s="53"/>
      <c r="I5574" s="53"/>
      <c r="U5574" s="31" t="n">
        <f aca="false">IF($B5574='設定（最初に1回）'!$C$4,N(U5573)+1,N(U5573))</f>
        <v>134</v>
      </c>
    </row>
    <row r="5575" customFormat="false" ht="15" hidden="false" customHeight="false" outlineLevel="0" collapsed="false">
      <c r="B5575" s="53"/>
      <c r="I5575" s="53"/>
      <c r="U5575" s="31" t="n">
        <f aca="false">IF($B5575='設定（最初に1回）'!$C$4,N(U5574)+1,N(U5574))</f>
        <v>134</v>
      </c>
    </row>
    <row r="5576" customFormat="false" ht="15" hidden="false" customHeight="false" outlineLevel="0" collapsed="false">
      <c r="B5576" s="53"/>
      <c r="I5576" s="53"/>
      <c r="U5576" s="31" t="n">
        <f aca="false">IF($B5576='設定（最初に1回）'!$C$4,N(U5575)+1,N(U5575))</f>
        <v>134</v>
      </c>
    </row>
    <row r="5577" customFormat="false" ht="15" hidden="false" customHeight="false" outlineLevel="0" collapsed="false">
      <c r="B5577" s="53"/>
      <c r="I5577" s="53"/>
      <c r="U5577" s="31" t="n">
        <f aca="false">IF($B5577='設定（最初に1回）'!$C$4,N(U5576)+1,N(U5576))</f>
        <v>134</v>
      </c>
    </row>
    <row r="5578" customFormat="false" ht="15" hidden="false" customHeight="false" outlineLevel="0" collapsed="false">
      <c r="B5578" s="53"/>
      <c r="I5578" s="53"/>
      <c r="U5578" s="31" t="n">
        <f aca="false">IF($B5578='設定（最初に1回）'!$C$4,N(U5577)+1,N(U5577))</f>
        <v>134</v>
      </c>
    </row>
    <row r="5579" customFormat="false" ht="15" hidden="false" customHeight="false" outlineLevel="0" collapsed="false">
      <c r="B5579" s="53"/>
      <c r="I5579" s="53"/>
      <c r="U5579" s="31" t="n">
        <f aca="false">IF($B5579='設定（最初に1回）'!$C$4,N(U5578)+1,N(U5578))</f>
        <v>134</v>
      </c>
    </row>
    <row r="5580" customFormat="false" ht="15" hidden="false" customHeight="false" outlineLevel="0" collapsed="false">
      <c r="B5580" s="53"/>
      <c r="I5580" s="53"/>
      <c r="U5580" s="31" t="n">
        <f aca="false">IF($B5580='設定（最初に1回）'!$C$4,N(U5579)+1,N(U5579))</f>
        <v>134</v>
      </c>
    </row>
    <row r="5581" customFormat="false" ht="15" hidden="false" customHeight="false" outlineLevel="0" collapsed="false">
      <c r="B5581" s="53"/>
      <c r="I5581" s="53"/>
      <c r="U5581" s="31" t="n">
        <f aca="false">IF($B5581='設定（最初に1回）'!$C$4,N(U5580)+1,N(U5580))</f>
        <v>134</v>
      </c>
    </row>
    <row r="5582" customFormat="false" ht="15" hidden="false" customHeight="false" outlineLevel="0" collapsed="false">
      <c r="B5582" s="53"/>
      <c r="I5582" s="53"/>
      <c r="U5582" s="31" t="n">
        <f aca="false">IF($B5582='設定（最初に1回）'!$C$4,N(U5581)+1,N(U5581))</f>
        <v>134</v>
      </c>
    </row>
    <row r="5583" customFormat="false" ht="15" hidden="false" customHeight="false" outlineLevel="0" collapsed="false">
      <c r="B5583" s="53"/>
      <c r="I5583" s="53"/>
      <c r="U5583" s="31" t="n">
        <f aca="false">IF($B5583='設定（最初に1回）'!$C$4,N(U5582)+1,N(U5582))</f>
        <v>134</v>
      </c>
    </row>
    <row r="5584" customFormat="false" ht="15" hidden="false" customHeight="false" outlineLevel="0" collapsed="false">
      <c r="B5584" s="53"/>
      <c r="I5584" s="53"/>
      <c r="U5584" s="31" t="n">
        <f aca="false">IF($B5584='設定（最初に1回）'!$C$4,N(U5583)+1,N(U5583))</f>
        <v>134</v>
      </c>
    </row>
    <row r="5585" customFormat="false" ht="15" hidden="false" customHeight="false" outlineLevel="0" collapsed="false">
      <c r="B5585" s="53"/>
      <c r="I5585" s="53"/>
      <c r="U5585" s="31" t="n">
        <f aca="false">IF($B5585='設定（最初に1回）'!$C$4,N(U5584)+1,N(U5584))</f>
        <v>134</v>
      </c>
    </row>
    <row r="5586" customFormat="false" ht="15" hidden="false" customHeight="false" outlineLevel="0" collapsed="false">
      <c r="B5586" s="53"/>
      <c r="I5586" s="53"/>
      <c r="U5586" s="31" t="n">
        <f aca="false">IF($B5586='設定（最初に1回）'!$C$4,N(U5585)+1,N(U5585))</f>
        <v>134</v>
      </c>
    </row>
    <row r="5587" customFormat="false" ht="15" hidden="false" customHeight="false" outlineLevel="0" collapsed="false">
      <c r="B5587" s="53"/>
      <c r="I5587" s="53"/>
      <c r="U5587" s="31" t="n">
        <f aca="false">IF($B5587='設定（最初に1回）'!$C$4,N(U5586)+1,N(U5586))</f>
        <v>134</v>
      </c>
    </row>
    <row r="5588" customFormat="false" ht="15" hidden="false" customHeight="false" outlineLevel="0" collapsed="false">
      <c r="B5588" s="53"/>
      <c r="I5588" s="53"/>
      <c r="U5588" s="31" t="n">
        <f aca="false">IF($B5588='設定（最初に1回）'!$C$4,N(U5587)+1,N(U5587))</f>
        <v>134</v>
      </c>
    </row>
    <row r="5589" customFormat="false" ht="15" hidden="false" customHeight="false" outlineLevel="0" collapsed="false">
      <c r="B5589" s="53"/>
      <c r="I5589" s="53"/>
      <c r="U5589" s="31" t="n">
        <f aca="false">IF($B5589='設定（最初に1回）'!$C$4,N(U5588)+1,N(U5588))</f>
        <v>134</v>
      </c>
    </row>
    <row r="5590" customFormat="false" ht="15" hidden="false" customHeight="false" outlineLevel="0" collapsed="false">
      <c r="B5590" s="53"/>
      <c r="I5590" s="53"/>
      <c r="U5590" s="31" t="n">
        <f aca="false">IF($B5590='設定（最初に1回）'!$C$4,N(U5589)+1,N(U5589))</f>
        <v>134</v>
      </c>
    </row>
    <row r="5591" customFormat="false" ht="15" hidden="false" customHeight="false" outlineLevel="0" collapsed="false">
      <c r="B5591" s="53"/>
      <c r="I5591" s="53"/>
      <c r="U5591" s="31" t="n">
        <f aca="false">IF($B5591='設定（最初に1回）'!$C$4,N(U5590)+1,N(U5590))</f>
        <v>134</v>
      </c>
    </row>
    <row r="5592" customFormat="false" ht="15" hidden="false" customHeight="false" outlineLevel="0" collapsed="false">
      <c r="B5592" s="53"/>
      <c r="I5592" s="53"/>
      <c r="U5592" s="31" t="n">
        <f aca="false">IF($B5592='設定（最初に1回）'!$C$4,N(U5591)+1,N(U5591))</f>
        <v>134</v>
      </c>
    </row>
    <row r="5593" customFormat="false" ht="15" hidden="false" customHeight="false" outlineLevel="0" collapsed="false">
      <c r="B5593" s="53"/>
      <c r="I5593" s="53"/>
      <c r="U5593" s="31" t="n">
        <f aca="false">IF($B5593='設定（最初に1回）'!$C$4,N(U5592)+1,N(U5592))</f>
        <v>134</v>
      </c>
    </row>
    <row r="5594" customFormat="false" ht="15" hidden="false" customHeight="false" outlineLevel="0" collapsed="false">
      <c r="B5594" s="53"/>
      <c r="I5594" s="53"/>
      <c r="U5594" s="31" t="n">
        <f aca="false">IF($B5594='設定（最初に1回）'!$C$4,N(U5593)+1,N(U5593))</f>
        <v>134</v>
      </c>
    </row>
    <row r="5595" customFormat="false" ht="15" hidden="false" customHeight="false" outlineLevel="0" collapsed="false">
      <c r="B5595" s="53"/>
      <c r="I5595" s="53"/>
      <c r="U5595" s="31" t="n">
        <f aca="false">IF($B5595='設定（最初に1回）'!$C$4,N(U5594)+1,N(U5594))</f>
        <v>134</v>
      </c>
    </row>
    <row r="5596" customFormat="false" ht="15" hidden="false" customHeight="false" outlineLevel="0" collapsed="false">
      <c r="B5596" s="53"/>
      <c r="I5596" s="53"/>
      <c r="U5596" s="31" t="n">
        <f aca="false">IF($B5596='設定（最初に1回）'!$C$4,N(U5595)+1,N(U5595))</f>
        <v>134</v>
      </c>
    </row>
    <row r="5597" customFormat="false" ht="15" hidden="false" customHeight="false" outlineLevel="0" collapsed="false">
      <c r="B5597" s="53"/>
      <c r="I5597" s="53"/>
      <c r="U5597" s="31" t="n">
        <f aca="false">IF($B5597='設定（最初に1回）'!$C$4,N(U5596)+1,N(U5596))</f>
        <v>134</v>
      </c>
    </row>
    <row r="5598" customFormat="false" ht="15" hidden="false" customHeight="false" outlineLevel="0" collapsed="false">
      <c r="B5598" s="53"/>
      <c r="I5598" s="53"/>
      <c r="U5598" s="31" t="n">
        <f aca="false">IF($B5598='設定（最初に1回）'!$C$4,N(U5597)+1,N(U5597))</f>
        <v>134</v>
      </c>
    </row>
    <row r="5599" customFormat="false" ht="15" hidden="false" customHeight="false" outlineLevel="0" collapsed="false">
      <c r="B5599" s="53"/>
      <c r="I5599" s="53"/>
      <c r="U5599" s="31" t="n">
        <f aca="false">IF($B5599='設定（最初に1回）'!$C$4,N(U5598)+1,N(U5598))</f>
        <v>134</v>
      </c>
    </row>
    <row r="5600" customFormat="false" ht="15" hidden="false" customHeight="false" outlineLevel="0" collapsed="false">
      <c r="B5600" s="53"/>
      <c r="I5600" s="53"/>
      <c r="U5600" s="31" t="n">
        <f aca="false">IF($B5600='設定（最初に1回）'!$C$4,N(U5599)+1,N(U5599))</f>
        <v>134</v>
      </c>
    </row>
    <row r="5601" customFormat="false" ht="15" hidden="false" customHeight="false" outlineLevel="0" collapsed="false">
      <c r="B5601" s="53"/>
      <c r="I5601" s="53"/>
      <c r="U5601" s="31" t="n">
        <f aca="false">IF($B5601='設定（最初に1回）'!$C$4,N(U5600)+1,N(U5600))</f>
        <v>134</v>
      </c>
    </row>
    <row r="5602" customFormat="false" ht="15" hidden="false" customHeight="false" outlineLevel="0" collapsed="false">
      <c r="B5602" s="53"/>
      <c r="I5602" s="53"/>
      <c r="U5602" s="31" t="n">
        <f aca="false">IF($B5602='設定（最初に1回）'!$C$4,N(U5601)+1,N(U5601))</f>
        <v>134</v>
      </c>
    </row>
    <row r="5603" customFormat="false" ht="15" hidden="false" customHeight="false" outlineLevel="0" collapsed="false">
      <c r="B5603" s="53"/>
      <c r="I5603" s="53"/>
      <c r="U5603" s="31" t="n">
        <f aca="false">IF($B5603='設定（最初に1回）'!$C$4,N(U5602)+1,N(U5602))</f>
        <v>134</v>
      </c>
    </row>
    <row r="5604" customFormat="false" ht="15" hidden="false" customHeight="false" outlineLevel="0" collapsed="false">
      <c r="B5604" s="53"/>
      <c r="I5604" s="53"/>
      <c r="U5604" s="31" t="n">
        <f aca="false">IF($B5604='設定（最初に1回）'!$C$4,N(U5603)+1,N(U5603))</f>
        <v>134</v>
      </c>
    </row>
    <row r="5605" customFormat="false" ht="15" hidden="false" customHeight="false" outlineLevel="0" collapsed="false">
      <c r="B5605" s="53"/>
      <c r="I5605" s="53"/>
      <c r="U5605" s="31" t="n">
        <f aca="false">IF($B5605='設定（最初に1回）'!$C$4,N(U5604)+1,N(U5604))</f>
        <v>134</v>
      </c>
    </row>
    <row r="5606" customFormat="false" ht="15" hidden="false" customHeight="false" outlineLevel="0" collapsed="false">
      <c r="B5606" s="53"/>
      <c r="I5606" s="53"/>
      <c r="U5606" s="31" t="n">
        <f aca="false">IF($B5606='設定（最初に1回）'!$C$4,N(U5605)+1,N(U5605))</f>
        <v>134</v>
      </c>
    </row>
    <row r="5607" customFormat="false" ht="15" hidden="false" customHeight="false" outlineLevel="0" collapsed="false">
      <c r="B5607" s="53"/>
      <c r="I5607" s="53"/>
      <c r="U5607" s="31" t="n">
        <f aca="false">IF($B5607='設定（最初に1回）'!$C$4,N(U5606)+1,N(U5606))</f>
        <v>134</v>
      </c>
    </row>
    <row r="5608" customFormat="false" ht="15" hidden="false" customHeight="false" outlineLevel="0" collapsed="false">
      <c r="B5608" s="53"/>
      <c r="I5608" s="53"/>
      <c r="U5608" s="31" t="n">
        <f aca="false">IF($B5608='設定（最初に1回）'!$C$4,N(U5607)+1,N(U5607))</f>
        <v>134</v>
      </c>
    </row>
    <row r="5609" customFormat="false" ht="15" hidden="false" customHeight="false" outlineLevel="0" collapsed="false">
      <c r="B5609" s="53"/>
      <c r="I5609" s="53"/>
      <c r="U5609" s="31" t="n">
        <f aca="false">IF($B5609='設定（最初に1回）'!$C$4,N(U5608)+1,N(U5608))</f>
        <v>134</v>
      </c>
    </row>
    <row r="5610" customFormat="false" ht="15" hidden="false" customHeight="false" outlineLevel="0" collapsed="false">
      <c r="B5610" s="53"/>
      <c r="I5610" s="53"/>
      <c r="U5610" s="31" t="n">
        <f aca="false">IF($B5610='設定（最初に1回）'!$C$4,N(U5609)+1,N(U5609))</f>
        <v>134</v>
      </c>
    </row>
    <row r="5611" customFormat="false" ht="15" hidden="false" customHeight="false" outlineLevel="0" collapsed="false">
      <c r="B5611" s="53"/>
      <c r="I5611" s="53"/>
      <c r="U5611" s="31" t="n">
        <f aca="false">IF($B5611='設定（最初に1回）'!$C$4,N(U5610)+1,N(U5610))</f>
        <v>134</v>
      </c>
    </row>
    <row r="5612" customFormat="false" ht="15" hidden="false" customHeight="false" outlineLevel="0" collapsed="false">
      <c r="B5612" s="53"/>
      <c r="I5612" s="53"/>
      <c r="U5612" s="31" t="n">
        <f aca="false">IF($B5612='設定（最初に1回）'!$C$4,N(U5611)+1,N(U5611))</f>
        <v>134</v>
      </c>
    </row>
    <row r="5613" customFormat="false" ht="15" hidden="false" customHeight="false" outlineLevel="0" collapsed="false">
      <c r="B5613" s="53"/>
      <c r="I5613" s="53"/>
      <c r="U5613" s="31" t="n">
        <f aca="false">IF($B5613='設定（最初に1回）'!$C$4,N(U5612)+1,N(U5612))</f>
        <v>134</v>
      </c>
    </row>
    <row r="5614" customFormat="false" ht="15" hidden="false" customHeight="false" outlineLevel="0" collapsed="false">
      <c r="B5614" s="53"/>
      <c r="I5614" s="53"/>
      <c r="U5614" s="31" t="n">
        <f aca="false">IF($B5614='設定（最初に1回）'!$C$4,N(U5613)+1,N(U5613))</f>
        <v>134</v>
      </c>
    </row>
    <row r="5615" customFormat="false" ht="15" hidden="false" customHeight="false" outlineLevel="0" collapsed="false">
      <c r="B5615" s="53"/>
      <c r="I5615" s="53"/>
      <c r="U5615" s="31" t="n">
        <f aca="false">IF($B5615='設定（最初に1回）'!$C$4,N(U5614)+1,N(U5614))</f>
        <v>134</v>
      </c>
    </row>
    <row r="5616" customFormat="false" ht="15" hidden="false" customHeight="false" outlineLevel="0" collapsed="false">
      <c r="B5616" s="53"/>
      <c r="I5616" s="53"/>
      <c r="U5616" s="31" t="n">
        <f aca="false">IF($B5616='設定（最初に1回）'!$C$4,N(U5615)+1,N(U5615))</f>
        <v>134</v>
      </c>
    </row>
    <row r="5617" customFormat="false" ht="15" hidden="false" customHeight="false" outlineLevel="0" collapsed="false">
      <c r="B5617" s="53"/>
      <c r="I5617" s="53"/>
      <c r="U5617" s="31" t="n">
        <f aca="false">IF($B5617='設定（最初に1回）'!$C$4,N(U5616)+1,N(U5616))</f>
        <v>134</v>
      </c>
    </row>
    <row r="5618" customFormat="false" ht="15" hidden="false" customHeight="false" outlineLevel="0" collapsed="false">
      <c r="B5618" s="53"/>
      <c r="I5618" s="53"/>
      <c r="U5618" s="31" t="n">
        <f aca="false">IF($B5618='設定（最初に1回）'!$C$4,N(U5617)+1,N(U5617))</f>
        <v>134</v>
      </c>
    </row>
    <row r="5619" customFormat="false" ht="15" hidden="false" customHeight="false" outlineLevel="0" collapsed="false">
      <c r="B5619" s="53"/>
      <c r="I5619" s="53"/>
      <c r="U5619" s="31" t="n">
        <f aca="false">IF($B5619='設定（最初に1回）'!$C$4,N(U5618)+1,N(U5618))</f>
        <v>134</v>
      </c>
    </row>
    <row r="5620" customFormat="false" ht="15" hidden="false" customHeight="false" outlineLevel="0" collapsed="false">
      <c r="B5620" s="53"/>
      <c r="I5620" s="53"/>
      <c r="U5620" s="31" t="n">
        <f aca="false">IF($B5620='設定（最初に1回）'!$C$4,N(U5619)+1,N(U5619))</f>
        <v>134</v>
      </c>
    </row>
    <row r="5621" customFormat="false" ht="15" hidden="false" customHeight="false" outlineLevel="0" collapsed="false">
      <c r="B5621" s="53"/>
      <c r="I5621" s="53"/>
      <c r="U5621" s="31" t="n">
        <f aca="false">IF($B5621='設定（最初に1回）'!$C$4,N(U5620)+1,N(U5620))</f>
        <v>134</v>
      </c>
    </row>
    <row r="5622" customFormat="false" ht="15" hidden="false" customHeight="false" outlineLevel="0" collapsed="false">
      <c r="B5622" s="53"/>
      <c r="I5622" s="53"/>
      <c r="U5622" s="31" t="n">
        <f aca="false">IF($B5622='設定（最初に1回）'!$C$4,N(U5621)+1,N(U5621))</f>
        <v>134</v>
      </c>
    </row>
    <row r="5623" customFormat="false" ht="15" hidden="false" customHeight="false" outlineLevel="0" collapsed="false">
      <c r="B5623" s="53"/>
      <c r="I5623" s="53"/>
      <c r="U5623" s="31" t="n">
        <f aca="false">IF($B5623='設定（最初に1回）'!$C$4,N(U5622)+1,N(U5622))</f>
        <v>134</v>
      </c>
    </row>
    <row r="5624" customFormat="false" ht="15" hidden="false" customHeight="false" outlineLevel="0" collapsed="false">
      <c r="B5624" s="53"/>
      <c r="I5624" s="53"/>
      <c r="U5624" s="31" t="n">
        <f aca="false">IF($B5624='設定（最初に1回）'!$C$4,N(U5623)+1,N(U5623))</f>
        <v>134</v>
      </c>
    </row>
    <row r="5625" customFormat="false" ht="15" hidden="false" customHeight="false" outlineLevel="0" collapsed="false">
      <c r="B5625" s="53"/>
      <c r="I5625" s="53"/>
      <c r="U5625" s="31" t="n">
        <f aca="false">IF($B5625='設定（最初に1回）'!$C$4,N(U5624)+1,N(U5624))</f>
        <v>134</v>
      </c>
    </row>
    <row r="5626" customFormat="false" ht="15" hidden="false" customHeight="false" outlineLevel="0" collapsed="false">
      <c r="B5626" s="53"/>
      <c r="I5626" s="53"/>
      <c r="U5626" s="31" t="n">
        <f aca="false">IF($B5626='設定（最初に1回）'!$C$4,N(U5625)+1,N(U5625))</f>
        <v>134</v>
      </c>
    </row>
    <row r="5627" customFormat="false" ht="15" hidden="false" customHeight="false" outlineLevel="0" collapsed="false">
      <c r="B5627" s="53"/>
      <c r="I5627" s="53"/>
      <c r="U5627" s="31" t="n">
        <f aca="false">IF($B5627='設定（最初に1回）'!$C$4,N(U5626)+1,N(U5626))</f>
        <v>134</v>
      </c>
    </row>
    <row r="5628" customFormat="false" ht="15" hidden="false" customHeight="false" outlineLevel="0" collapsed="false">
      <c r="B5628" s="53"/>
      <c r="I5628" s="53"/>
      <c r="U5628" s="31" t="n">
        <f aca="false">IF($B5628='設定（最初に1回）'!$C$4,N(U5627)+1,N(U5627))</f>
        <v>134</v>
      </c>
    </row>
    <row r="5629" customFormat="false" ht="15" hidden="false" customHeight="false" outlineLevel="0" collapsed="false">
      <c r="B5629" s="53"/>
      <c r="I5629" s="53"/>
      <c r="U5629" s="31" t="n">
        <f aca="false">IF($B5629='設定（最初に1回）'!$C$4,N(U5628)+1,N(U5628))</f>
        <v>134</v>
      </c>
    </row>
    <row r="5630" customFormat="false" ht="15" hidden="false" customHeight="false" outlineLevel="0" collapsed="false">
      <c r="B5630" s="53"/>
      <c r="I5630" s="53"/>
      <c r="U5630" s="31" t="n">
        <f aca="false">IF($B5630='設定（最初に1回）'!$C$4,N(U5629)+1,N(U5629))</f>
        <v>134</v>
      </c>
    </row>
    <row r="5631" customFormat="false" ht="15" hidden="false" customHeight="false" outlineLevel="0" collapsed="false">
      <c r="B5631" s="53"/>
      <c r="I5631" s="53"/>
      <c r="U5631" s="31" t="n">
        <f aca="false">IF($B5631='設定（最初に1回）'!$C$4,N(U5630)+1,N(U5630))</f>
        <v>134</v>
      </c>
    </row>
    <row r="5632" customFormat="false" ht="15" hidden="false" customHeight="false" outlineLevel="0" collapsed="false">
      <c r="B5632" s="53"/>
      <c r="I5632" s="53"/>
      <c r="U5632" s="31" t="n">
        <f aca="false">IF($B5632='設定（最初に1回）'!$C$4,N(U5631)+1,N(U5631))</f>
        <v>134</v>
      </c>
    </row>
    <row r="5633" customFormat="false" ht="15" hidden="false" customHeight="false" outlineLevel="0" collapsed="false">
      <c r="B5633" s="53"/>
      <c r="I5633" s="53"/>
      <c r="U5633" s="31" t="n">
        <f aca="false">IF($B5633='設定（最初に1回）'!$C$4,N(U5632)+1,N(U5632))</f>
        <v>134</v>
      </c>
    </row>
    <row r="5634" customFormat="false" ht="15" hidden="false" customHeight="false" outlineLevel="0" collapsed="false">
      <c r="B5634" s="53"/>
      <c r="I5634" s="53"/>
      <c r="U5634" s="31" t="n">
        <f aca="false">IF($B5634='設定（最初に1回）'!$C$4,N(U5633)+1,N(U5633))</f>
        <v>134</v>
      </c>
    </row>
    <row r="5635" customFormat="false" ht="15" hidden="false" customHeight="false" outlineLevel="0" collapsed="false">
      <c r="B5635" s="53"/>
      <c r="I5635" s="53"/>
      <c r="U5635" s="31" t="n">
        <f aca="false">IF($B5635='設定（最初に1回）'!$C$4,N(U5634)+1,N(U5634))</f>
        <v>134</v>
      </c>
    </row>
    <row r="5636" customFormat="false" ht="15" hidden="false" customHeight="false" outlineLevel="0" collapsed="false">
      <c r="B5636" s="53"/>
      <c r="I5636" s="53"/>
      <c r="U5636" s="31" t="n">
        <f aca="false">IF($B5636='設定（最初に1回）'!$C$4,N(U5635)+1,N(U5635))</f>
        <v>134</v>
      </c>
    </row>
    <row r="5637" customFormat="false" ht="15" hidden="false" customHeight="false" outlineLevel="0" collapsed="false">
      <c r="B5637" s="53"/>
      <c r="I5637" s="53"/>
      <c r="U5637" s="31" t="n">
        <f aca="false">IF($B5637='設定（最初に1回）'!$C$4,N(U5636)+1,N(U5636))</f>
        <v>134</v>
      </c>
    </row>
    <row r="5638" customFormat="false" ht="15" hidden="false" customHeight="false" outlineLevel="0" collapsed="false">
      <c r="B5638" s="53"/>
      <c r="I5638" s="53"/>
      <c r="U5638" s="31" t="n">
        <f aca="false">IF($B5638='設定（最初に1回）'!$C$4,N(U5637)+1,N(U5637))</f>
        <v>134</v>
      </c>
    </row>
    <row r="5639" customFormat="false" ht="15" hidden="false" customHeight="false" outlineLevel="0" collapsed="false">
      <c r="B5639" s="53"/>
      <c r="I5639" s="53"/>
      <c r="U5639" s="31" t="n">
        <f aca="false">IF($B5639='設定（最初に1回）'!$C$4,N(U5638)+1,N(U5638))</f>
        <v>134</v>
      </c>
    </row>
    <row r="5640" customFormat="false" ht="15" hidden="false" customHeight="false" outlineLevel="0" collapsed="false">
      <c r="B5640" s="53"/>
      <c r="I5640" s="53"/>
      <c r="U5640" s="31" t="n">
        <f aca="false">IF($B5640='設定（最初に1回）'!$C$4,N(U5639)+1,N(U5639))</f>
        <v>134</v>
      </c>
    </row>
    <row r="5641" customFormat="false" ht="15" hidden="false" customHeight="false" outlineLevel="0" collapsed="false">
      <c r="B5641" s="53"/>
      <c r="I5641" s="53"/>
      <c r="U5641" s="31" t="n">
        <f aca="false">IF($B5641='設定（最初に1回）'!$C$4,N(U5640)+1,N(U5640))</f>
        <v>134</v>
      </c>
    </row>
    <row r="5642" customFormat="false" ht="15" hidden="false" customHeight="false" outlineLevel="0" collapsed="false">
      <c r="B5642" s="53"/>
      <c r="I5642" s="53"/>
      <c r="U5642" s="31" t="n">
        <f aca="false">IF($B5642='設定（最初に1回）'!$C$4,N(U5641)+1,N(U5641))</f>
        <v>134</v>
      </c>
    </row>
    <row r="5643" customFormat="false" ht="15" hidden="false" customHeight="false" outlineLevel="0" collapsed="false">
      <c r="B5643" s="53"/>
      <c r="I5643" s="53"/>
      <c r="U5643" s="31" t="n">
        <f aca="false">IF($B5643='設定（最初に1回）'!$C$4,N(U5642)+1,N(U5642))</f>
        <v>134</v>
      </c>
    </row>
    <row r="5644" customFormat="false" ht="15" hidden="false" customHeight="false" outlineLevel="0" collapsed="false">
      <c r="B5644" s="53"/>
      <c r="I5644" s="53"/>
      <c r="U5644" s="31" t="n">
        <f aca="false">IF($B5644='設定（最初に1回）'!$C$4,N(U5643)+1,N(U5643))</f>
        <v>134</v>
      </c>
    </row>
    <row r="5645" customFormat="false" ht="15" hidden="false" customHeight="false" outlineLevel="0" collapsed="false">
      <c r="B5645" s="53"/>
      <c r="I5645" s="53"/>
      <c r="U5645" s="31" t="n">
        <f aca="false">IF($B5645='設定（最初に1回）'!$C$4,N(U5644)+1,N(U5644))</f>
        <v>134</v>
      </c>
    </row>
    <row r="5646" customFormat="false" ht="15" hidden="false" customHeight="false" outlineLevel="0" collapsed="false">
      <c r="B5646" s="53"/>
      <c r="I5646" s="53"/>
      <c r="U5646" s="31" t="n">
        <f aca="false">IF($B5646='設定（最初に1回）'!$C$4,N(U5645)+1,N(U5645))</f>
        <v>134</v>
      </c>
    </row>
    <row r="5647" customFormat="false" ht="15" hidden="false" customHeight="false" outlineLevel="0" collapsed="false">
      <c r="B5647" s="53"/>
      <c r="I5647" s="53"/>
      <c r="U5647" s="31" t="n">
        <f aca="false">IF($B5647='設定（最初に1回）'!$C$4,N(U5646)+1,N(U5646))</f>
        <v>134</v>
      </c>
    </row>
    <row r="5648" customFormat="false" ht="15" hidden="false" customHeight="false" outlineLevel="0" collapsed="false">
      <c r="B5648" s="53"/>
      <c r="I5648" s="53"/>
      <c r="U5648" s="31" t="n">
        <f aca="false">IF($B5648='設定（最初に1回）'!$C$4,N(U5647)+1,N(U5647))</f>
        <v>134</v>
      </c>
    </row>
    <row r="5649" customFormat="false" ht="15" hidden="false" customHeight="false" outlineLevel="0" collapsed="false">
      <c r="B5649" s="53"/>
      <c r="I5649" s="53"/>
      <c r="U5649" s="31" t="n">
        <f aca="false">IF($B5649='設定（最初に1回）'!$C$4,N(U5648)+1,N(U5648))</f>
        <v>134</v>
      </c>
    </row>
    <row r="5650" customFormat="false" ht="15" hidden="false" customHeight="false" outlineLevel="0" collapsed="false">
      <c r="B5650" s="53"/>
      <c r="I5650" s="53"/>
      <c r="U5650" s="31" t="n">
        <f aca="false">IF($B5650='設定（最初に1回）'!$C$4,N(U5649)+1,N(U5649))</f>
        <v>134</v>
      </c>
    </row>
    <row r="5651" customFormat="false" ht="15" hidden="false" customHeight="false" outlineLevel="0" collapsed="false">
      <c r="B5651" s="53"/>
      <c r="I5651" s="53"/>
      <c r="U5651" s="31" t="n">
        <f aca="false">IF($B5651='設定（最初に1回）'!$C$4,N(U5650)+1,N(U5650))</f>
        <v>134</v>
      </c>
    </row>
    <row r="5652" customFormat="false" ht="15" hidden="false" customHeight="false" outlineLevel="0" collapsed="false">
      <c r="B5652" s="53"/>
      <c r="I5652" s="53"/>
      <c r="U5652" s="31" t="n">
        <f aca="false">IF($B5652='設定（最初に1回）'!$C$4,N(U5651)+1,N(U5651))</f>
        <v>134</v>
      </c>
    </row>
    <row r="5653" customFormat="false" ht="15" hidden="false" customHeight="false" outlineLevel="0" collapsed="false">
      <c r="B5653" s="53"/>
      <c r="I5653" s="53"/>
      <c r="U5653" s="31" t="n">
        <f aca="false">IF($B5653='設定（最初に1回）'!$C$4,N(U5652)+1,N(U5652))</f>
        <v>134</v>
      </c>
    </row>
    <row r="5654" customFormat="false" ht="15" hidden="false" customHeight="false" outlineLevel="0" collapsed="false">
      <c r="B5654" s="53"/>
      <c r="I5654" s="53"/>
      <c r="U5654" s="31" t="n">
        <f aca="false">IF($B5654='設定（最初に1回）'!$C$4,N(U5653)+1,N(U5653))</f>
        <v>134</v>
      </c>
    </row>
    <row r="5655" customFormat="false" ht="15" hidden="false" customHeight="false" outlineLevel="0" collapsed="false">
      <c r="B5655" s="53"/>
      <c r="I5655" s="53"/>
      <c r="U5655" s="31" t="n">
        <f aca="false">IF($B5655='設定（最初に1回）'!$C$4,N(U5654)+1,N(U5654))</f>
        <v>134</v>
      </c>
    </row>
    <row r="5656" customFormat="false" ht="15" hidden="false" customHeight="false" outlineLevel="0" collapsed="false">
      <c r="B5656" s="53"/>
      <c r="I5656" s="53"/>
      <c r="U5656" s="31" t="n">
        <f aca="false">IF($B5656='設定（最初に1回）'!$C$4,N(U5655)+1,N(U5655))</f>
        <v>134</v>
      </c>
    </row>
    <row r="5657" customFormat="false" ht="15" hidden="false" customHeight="false" outlineLevel="0" collapsed="false">
      <c r="B5657" s="53"/>
      <c r="I5657" s="53"/>
      <c r="U5657" s="31" t="n">
        <f aca="false">IF($B5657='設定（最初に1回）'!$C$4,N(U5656)+1,N(U5656))</f>
        <v>134</v>
      </c>
    </row>
    <row r="5658" customFormat="false" ht="15" hidden="false" customHeight="false" outlineLevel="0" collapsed="false">
      <c r="B5658" s="53"/>
      <c r="I5658" s="53"/>
      <c r="U5658" s="31" t="n">
        <f aca="false">IF($B5658='設定（最初に1回）'!$C$4,N(U5657)+1,N(U5657))</f>
        <v>134</v>
      </c>
    </row>
    <row r="5659" customFormat="false" ht="15" hidden="false" customHeight="false" outlineLevel="0" collapsed="false">
      <c r="B5659" s="53"/>
      <c r="I5659" s="53"/>
      <c r="U5659" s="31" t="n">
        <f aca="false">IF($B5659='設定（最初に1回）'!$C$4,N(U5658)+1,N(U5658))</f>
        <v>134</v>
      </c>
    </row>
    <row r="5660" customFormat="false" ht="15" hidden="false" customHeight="false" outlineLevel="0" collapsed="false">
      <c r="B5660" s="53"/>
      <c r="I5660" s="53"/>
      <c r="U5660" s="31" t="n">
        <f aca="false">IF($B5660='設定（最初に1回）'!$C$4,N(U5659)+1,N(U5659))</f>
        <v>134</v>
      </c>
    </row>
    <row r="5661" customFormat="false" ht="15" hidden="false" customHeight="false" outlineLevel="0" collapsed="false">
      <c r="B5661" s="53"/>
      <c r="I5661" s="53"/>
      <c r="U5661" s="31" t="n">
        <f aca="false">IF($B5661='設定（最初に1回）'!$C$4,N(U5660)+1,N(U5660))</f>
        <v>134</v>
      </c>
    </row>
    <row r="5662" customFormat="false" ht="15" hidden="false" customHeight="false" outlineLevel="0" collapsed="false">
      <c r="B5662" s="53"/>
      <c r="I5662" s="53"/>
      <c r="U5662" s="31" t="n">
        <f aca="false">IF($B5662='設定（最初に1回）'!$C$4,N(U5661)+1,N(U5661))</f>
        <v>134</v>
      </c>
    </row>
    <row r="5663" customFormat="false" ht="15" hidden="false" customHeight="false" outlineLevel="0" collapsed="false">
      <c r="B5663" s="53"/>
      <c r="I5663" s="53"/>
      <c r="U5663" s="31" t="n">
        <f aca="false">IF($B5663='設定（最初に1回）'!$C$4,N(U5662)+1,N(U5662))</f>
        <v>134</v>
      </c>
    </row>
    <row r="5664" customFormat="false" ht="15" hidden="false" customHeight="false" outlineLevel="0" collapsed="false">
      <c r="B5664" s="53"/>
      <c r="I5664" s="53"/>
      <c r="U5664" s="31" t="n">
        <f aca="false">IF($B5664='設定（最初に1回）'!$C$4,N(U5663)+1,N(U5663))</f>
        <v>134</v>
      </c>
    </row>
    <row r="5665" customFormat="false" ht="15" hidden="false" customHeight="false" outlineLevel="0" collapsed="false">
      <c r="B5665" s="53"/>
      <c r="I5665" s="53"/>
      <c r="U5665" s="31" t="n">
        <f aca="false">IF($B5665='設定（最初に1回）'!$C$4,N(U5664)+1,N(U5664))</f>
        <v>134</v>
      </c>
    </row>
    <row r="5666" customFormat="false" ht="15" hidden="false" customHeight="false" outlineLevel="0" collapsed="false">
      <c r="B5666" s="53"/>
      <c r="I5666" s="53"/>
      <c r="U5666" s="31" t="n">
        <f aca="false">IF($B5666='設定（最初に1回）'!$C$4,N(U5665)+1,N(U5665))</f>
        <v>134</v>
      </c>
    </row>
    <row r="5667" customFormat="false" ht="15" hidden="false" customHeight="false" outlineLevel="0" collapsed="false">
      <c r="B5667" s="53"/>
      <c r="I5667" s="53"/>
      <c r="U5667" s="31" t="n">
        <f aca="false">IF($B5667='設定（最初に1回）'!$C$4,N(U5666)+1,N(U5666))</f>
        <v>134</v>
      </c>
    </row>
    <row r="5668" customFormat="false" ht="15" hidden="false" customHeight="false" outlineLevel="0" collapsed="false">
      <c r="B5668" s="53"/>
      <c r="I5668" s="53"/>
      <c r="U5668" s="31" t="n">
        <f aca="false">IF($B5668='設定（最初に1回）'!$C$4,N(U5667)+1,N(U5667))</f>
        <v>134</v>
      </c>
    </row>
    <row r="5669" customFormat="false" ht="15" hidden="false" customHeight="false" outlineLevel="0" collapsed="false">
      <c r="B5669" s="53"/>
      <c r="I5669" s="53"/>
      <c r="U5669" s="31" t="n">
        <f aca="false">IF($B5669='設定（最初に1回）'!$C$4,N(U5668)+1,N(U5668))</f>
        <v>134</v>
      </c>
    </row>
    <row r="5670" customFormat="false" ht="15" hidden="false" customHeight="false" outlineLevel="0" collapsed="false">
      <c r="B5670" s="53"/>
      <c r="I5670" s="53"/>
      <c r="U5670" s="31" t="n">
        <f aca="false">IF($B5670='設定（最初に1回）'!$C$4,N(U5669)+1,N(U5669))</f>
        <v>134</v>
      </c>
    </row>
    <row r="5671" customFormat="false" ht="15" hidden="false" customHeight="false" outlineLevel="0" collapsed="false">
      <c r="B5671" s="53"/>
      <c r="I5671" s="53"/>
      <c r="U5671" s="31" t="n">
        <f aca="false">IF($B5671='設定（最初に1回）'!$C$4,N(U5670)+1,N(U5670))</f>
        <v>134</v>
      </c>
    </row>
    <row r="5672" customFormat="false" ht="15" hidden="false" customHeight="false" outlineLevel="0" collapsed="false">
      <c r="B5672" s="53"/>
      <c r="I5672" s="53"/>
      <c r="U5672" s="31" t="n">
        <f aca="false">IF($B5672='設定（最初に1回）'!$C$4,N(U5671)+1,N(U5671))</f>
        <v>134</v>
      </c>
    </row>
    <row r="5673" customFormat="false" ht="15" hidden="false" customHeight="false" outlineLevel="0" collapsed="false">
      <c r="B5673" s="53"/>
      <c r="I5673" s="53"/>
      <c r="U5673" s="31" t="n">
        <f aca="false">IF($B5673='設定（最初に1回）'!$C$4,N(U5672)+1,N(U5672))</f>
        <v>134</v>
      </c>
    </row>
    <row r="5674" customFormat="false" ht="15" hidden="false" customHeight="false" outlineLevel="0" collapsed="false">
      <c r="B5674" s="53"/>
      <c r="I5674" s="53"/>
      <c r="U5674" s="31" t="n">
        <f aca="false">IF($B5674='設定（最初に1回）'!$C$4,N(U5673)+1,N(U5673))</f>
        <v>134</v>
      </c>
    </row>
    <row r="5675" customFormat="false" ht="15" hidden="false" customHeight="false" outlineLevel="0" collapsed="false">
      <c r="B5675" s="53"/>
      <c r="I5675" s="53"/>
      <c r="U5675" s="31" t="n">
        <f aca="false">IF($B5675='設定（最初に1回）'!$C$4,N(U5674)+1,N(U5674))</f>
        <v>134</v>
      </c>
    </row>
    <row r="5676" customFormat="false" ht="15" hidden="false" customHeight="false" outlineLevel="0" collapsed="false">
      <c r="B5676" s="53"/>
      <c r="I5676" s="53"/>
      <c r="U5676" s="31" t="n">
        <f aca="false">IF($B5676='設定（最初に1回）'!$C$4,N(U5675)+1,N(U5675))</f>
        <v>134</v>
      </c>
    </row>
    <row r="5677" customFormat="false" ht="15" hidden="false" customHeight="false" outlineLevel="0" collapsed="false">
      <c r="B5677" s="53"/>
      <c r="I5677" s="53"/>
      <c r="U5677" s="31" t="n">
        <f aca="false">IF($B5677='設定（最初に1回）'!$C$4,N(U5676)+1,N(U5676))</f>
        <v>134</v>
      </c>
    </row>
    <row r="5678" customFormat="false" ht="15" hidden="false" customHeight="false" outlineLevel="0" collapsed="false">
      <c r="B5678" s="53"/>
      <c r="I5678" s="53"/>
      <c r="U5678" s="31" t="n">
        <f aca="false">IF($B5678='設定（最初に1回）'!$C$4,N(U5677)+1,N(U5677))</f>
        <v>134</v>
      </c>
    </row>
    <row r="5679" customFormat="false" ht="15" hidden="false" customHeight="false" outlineLevel="0" collapsed="false">
      <c r="B5679" s="53"/>
      <c r="I5679" s="53"/>
      <c r="U5679" s="31" t="n">
        <f aca="false">IF($B5679='設定（最初に1回）'!$C$4,N(U5678)+1,N(U5678))</f>
        <v>134</v>
      </c>
    </row>
    <row r="5680" customFormat="false" ht="15" hidden="false" customHeight="false" outlineLevel="0" collapsed="false">
      <c r="B5680" s="53"/>
      <c r="I5680" s="53"/>
      <c r="U5680" s="31" t="n">
        <f aca="false">IF($B5680='設定（最初に1回）'!$C$4,N(U5679)+1,N(U5679))</f>
        <v>134</v>
      </c>
    </row>
    <row r="5681" customFormat="false" ht="15" hidden="false" customHeight="false" outlineLevel="0" collapsed="false">
      <c r="B5681" s="53"/>
      <c r="I5681" s="53"/>
      <c r="U5681" s="31" t="n">
        <f aca="false">IF($B5681='設定（最初に1回）'!$C$4,N(U5680)+1,N(U5680))</f>
        <v>134</v>
      </c>
    </row>
    <row r="5682" customFormat="false" ht="15" hidden="false" customHeight="false" outlineLevel="0" collapsed="false">
      <c r="B5682" s="53"/>
      <c r="I5682" s="53"/>
      <c r="U5682" s="31" t="n">
        <f aca="false">IF($B5682='設定（最初に1回）'!$C$4,N(U5681)+1,N(U5681))</f>
        <v>134</v>
      </c>
    </row>
    <row r="5683" customFormat="false" ht="15" hidden="false" customHeight="false" outlineLevel="0" collapsed="false">
      <c r="B5683" s="53"/>
      <c r="I5683" s="53"/>
      <c r="U5683" s="31" t="n">
        <f aca="false">IF($B5683='設定（最初に1回）'!$C$4,N(U5682)+1,N(U5682))</f>
        <v>134</v>
      </c>
    </row>
    <row r="5684" customFormat="false" ht="15" hidden="false" customHeight="false" outlineLevel="0" collapsed="false">
      <c r="B5684" s="53"/>
      <c r="I5684" s="53"/>
      <c r="U5684" s="31" t="n">
        <f aca="false">IF($B5684='設定（最初に1回）'!$C$4,N(U5683)+1,N(U5683))</f>
        <v>134</v>
      </c>
    </row>
    <row r="5685" customFormat="false" ht="15" hidden="false" customHeight="false" outlineLevel="0" collapsed="false">
      <c r="B5685" s="53"/>
      <c r="I5685" s="53"/>
      <c r="U5685" s="31" t="n">
        <f aca="false">IF($B5685='設定（最初に1回）'!$C$4,N(U5684)+1,N(U5684))</f>
        <v>134</v>
      </c>
    </row>
    <row r="5686" customFormat="false" ht="15" hidden="false" customHeight="false" outlineLevel="0" collapsed="false">
      <c r="B5686" s="53"/>
      <c r="I5686" s="53"/>
      <c r="U5686" s="31" t="n">
        <f aca="false">IF($B5686='設定（最初に1回）'!$C$4,N(U5685)+1,N(U5685))</f>
        <v>134</v>
      </c>
    </row>
    <row r="5687" customFormat="false" ht="15" hidden="false" customHeight="false" outlineLevel="0" collapsed="false">
      <c r="B5687" s="53"/>
      <c r="I5687" s="53"/>
      <c r="U5687" s="31" t="n">
        <f aca="false">IF($B5687='設定（最初に1回）'!$C$4,N(U5686)+1,N(U5686))</f>
        <v>134</v>
      </c>
    </row>
    <row r="5688" customFormat="false" ht="15" hidden="false" customHeight="false" outlineLevel="0" collapsed="false">
      <c r="B5688" s="53"/>
      <c r="I5688" s="53"/>
      <c r="U5688" s="31" t="n">
        <f aca="false">IF($B5688='設定（最初に1回）'!$C$4,N(U5687)+1,N(U5687))</f>
        <v>134</v>
      </c>
    </row>
    <row r="5689" customFormat="false" ht="15" hidden="false" customHeight="false" outlineLevel="0" collapsed="false">
      <c r="B5689" s="53"/>
      <c r="I5689" s="53"/>
      <c r="U5689" s="31" t="n">
        <f aca="false">IF($B5689='設定（最初に1回）'!$C$4,N(U5688)+1,N(U5688))</f>
        <v>134</v>
      </c>
    </row>
    <row r="5690" customFormat="false" ht="15" hidden="false" customHeight="false" outlineLevel="0" collapsed="false">
      <c r="B5690" s="53"/>
      <c r="I5690" s="53"/>
      <c r="U5690" s="31" t="n">
        <f aca="false">IF($B5690='設定（最初に1回）'!$C$4,N(U5689)+1,N(U5689))</f>
        <v>134</v>
      </c>
    </row>
    <row r="5691" customFormat="false" ht="15" hidden="false" customHeight="false" outlineLevel="0" collapsed="false">
      <c r="B5691" s="53"/>
      <c r="I5691" s="53"/>
      <c r="U5691" s="31" t="n">
        <f aca="false">IF($B5691='設定（最初に1回）'!$C$4,N(U5690)+1,N(U5690))</f>
        <v>134</v>
      </c>
    </row>
    <row r="5692" customFormat="false" ht="15" hidden="false" customHeight="false" outlineLevel="0" collapsed="false">
      <c r="B5692" s="53"/>
      <c r="I5692" s="53"/>
      <c r="U5692" s="31" t="n">
        <f aca="false">IF($B5692='設定（最初に1回）'!$C$4,N(U5691)+1,N(U5691))</f>
        <v>134</v>
      </c>
    </row>
    <row r="5693" customFormat="false" ht="15" hidden="false" customHeight="false" outlineLevel="0" collapsed="false">
      <c r="B5693" s="53"/>
      <c r="I5693" s="53"/>
      <c r="U5693" s="31" t="n">
        <f aca="false">IF($B5693='設定（最初に1回）'!$C$4,N(U5692)+1,N(U5692))</f>
        <v>134</v>
      </c>
    </row>
    <row r="5694" customFormat="false" ht="15" hidden="false" customHeight="false" outlineLevel="0" collapsed="false">
      <c r="B5694" s="53"/>
      <c r="I5694" s="53"/>
      <c r="U5694" s="31" t="n">
        <f aca="false">IF($B5694='設定（最初に1回）'!$C$4,N(U5693)+1,N(U5693))</f>
        <v>134</v>
      </c>
    </row>
    <row r="5695" customFormat="false" ht="15" hidden="false" customHeight="false" outlineLevel="0" collapsed="false">
      <c r="B5695" s="53"/>
      <c r="I5695" s="53"/>
      <c r="U5695" s="31" t="n">
        <f aca="false">IF($B5695='設定（最初に1回）'!$C$4,N(U5694)+1,N(U5694))</f>
        <v>134</v>
      </c>
    </row>
    <row r="5696" customFormat="false" ht="15" hidden="false" customHeight="false" outlineLevel="0" collapsed="false">
      <c r="B5696" s="53"/>
      <c r="I5696" s="53"/>
      <c r="U5696" s="31" t="n">
        <f aca="false">IF($B5696='設定（最初に1回）'!$C$4,N(U5695)+1,N(U5695))</f>
        <v>134</v>
      </c>
    </row>
    <row r="5697" customFormat="false" ht="15" hidden="false" customHeight="false" outlineLevel="0" collapsed="false">
      <c r="B5697" s="53"/>
      <c r="I5697" s="53"/>
      <c r="U5697" s="31" t="n">
        <f aca="false">IF($B5697='設定（最初に1回）'!$C$4,N(U5696)+1,N(U5696))</f>
        <v>134</v>
      </c>
    </row>
    <row r="5698" customFormat="false" ht="15" hidden="false" customHeight="false" outlineLevel="0" collapsed="false">
      <c r="B5698" s="53"/>
      <c r="I5698" s="53"/>
      <c r="U5698" s="31" t="n">
        <f aca="false">IF($B5698='設定（最初に1回）'!$C$4,N(U5697)+1,N(U5697))</f>
        <v>134</v>
      </c>
    </row>
    <row r="5699" customFormat="false" ht="15" hidden="false" customHeight="false" outlineLevel="0" collapsed="false">
      <c r="B5699" s="53"/>
      <c r="I5699" s="53"/>
      <c r="U5699" s="31" t="n">
        <f aca="false">IF($B5699='設定（最初に1回）'!$C$4,N(U5698)+1,N(U5698))</f>
        <v>134</v>
      </c>
    </row>
    <row r="5700" customFormat="false" ht="15" hidden="false" customHeight="false" outlineLevel="0" collapsed="false">
      <c r="B5700" s="53"/>
      <c r="I5700" s="53"/>
      <c r="U5700" s="31" t="n">
        <f aca="false">IF($B5700='設定（最初に1回）'!$C$4,N(U5699)+1,N(U5699))</f>
        <v>134</v>
      </c>
    </row>
    <row r="5701" customFormat="false" ht="15" hidden="false" customHeight="false" outlineLevel="0" collapsed="false">
      <c r="B5701" s="53"/>
      <c r="I5701" s="53"/>
      <c r="U5701" s="31" t="n">
        <f aca="false">IF($B5701='設定（最初に1回）'!$C$4,N(U5700)+1,N(U5700))</f>
        <v>134</v>
      </c>
    </row>
    <row r="5702" customFormat="false" ht="15" hidden="false" customHeight="false" outlineLevel="0" collapsed="false">
      <c r="B5702" s="53"/>
      <c r="I5702" s="53"/>
      <c r="U5702" s="31" t="n">
        <f aca="false">IF($B5702='設定（最初に1回）'!$C$4,N(U5701)+1,N(U5701))</f>
        <v>134</v>
      </c>
    </row>
    <row r="5703" customFormat="false" ht="15" hidden="false" customHeight="false" outlineLevel="0" collapsed="false">
      <c r="B5703" s="53"/>
      <c r="I5703" s="53"/>
      <c r="U5703" s="31" t="n">
        <f aca="false">IF($B5703='設定（最初に1回）'!$C$4,N(U5702)+1,N(U5702))</f>
        <v>134</v>
      </c>
    </row>
    <row r="5704" customFormat="false" ht="15" hidden="false" customHeight="false" outlineLevel="0" collapsed="false">
      <c r="B5704" s="53"/>
      <c r="I5704" s="53"/>
      <c r="U5704" s="31" t="n">
        <f aca="false">IF($B5704='設定（最初に1回）'!$C$4,N(U5703)+1,N(U5703))</f>
        <v>134</v>
      </c>
    </row>
    <row r="5705" customFormat="false" ht="15" hidden="false" customHeight="false" outlineLevel="0" collapsed="false">
      <c r="B5705" s="53"/>
      <c r="I5705" s="53"/>
      <c r="U5705" s="31" t="n">
        <f aca="false">IF($B5705='設定（最初に1回）'!$C$4,N(U5704)+1,N(U5704))</f>
        <v>134</v>
      </c>
    </row>
    <row r="5706" customFormat="false" ht="15" hidden="false" customHeight="false" outlineLevel="0" collapsed="false">
      <c r="B5706" s="53"/>
      <c r="I5706" s="53"/>
      <c r="U5706" s="31" t="n">
        <f aca="false">IF($B5706='設定（最初に1回）'!$C$4,N(U5705)+1,N(U5705))</f>
        <v>134</v>
      </c>
    </row>
    <row r="5707" customFormat="false" ht="15" hidden="false" customHeight="false" outlineLevel="0" collapsed="false">
      <c r="B5707" s="53"/>
      <c r="I5707" s="53"/>
      <c r="U5707" s="31" t="n">
        <f aca="false">IF($B5707='設定（最初に1回）'!$C$4,N(U5706)+1,N(U5706))</f>
        <v>134</v>
      </c>
    </row>
    <row r="5708" customFormat="false" ht="15" hidden="false" customHeight="false" outlineLevel="0" collapsed="false">
      <c r="B5708" s="53"/>
      <c r="I5708" s="53"/>
      <c r="U5708" s="31" t="n">
        <f aca="false">IF($B5708='設定（最初に1回）'!$C$4,N(U5707)+1,N(U5707))</f>
        <v>134</v>
      </c>
    </row>
    <row r="5709" customFormat="false" ht="15" hidden="false" customHeight="false" outlineLevel="0" collapsed="false">
      <c r="B5709" s="53"/>
      <c r="I5709" s="53"/>
      <c r="U5709" s="31" t="n">
        <f aca="false">IF($B5709='設定（最初に1回）'!$C$4,N(U5708)+1,N(U5708))</f>
        <v>134</v>
      </c>
    </row>
    <row r="5710" customFormat="false" ht="15" hidden="false" customHeight="false" outlineLevel="0" collapsed="false">
      <c r="B5710" s="53"/>
      <c r="I5710" s="53"/>
      <c r="U5710" s="31" t="n">
        <f aca="false">IF($B5710='設定（最初に1回）'!$C$4,N(U5709)+1,N(U5709))</f>
        <v>134</v>
      </c>
    </row>
    <row r="5711" customFormat="false" ht="15" hidden="false" customHeight="false" outlineLevel="0" collapsed="false">
      <c r="B5711" s="53"/>
      <c r="I5711" s="53"/>
      <c r="U5711" s="31" t="n">
        <f aca="false">IF($B5711='設定（最初に1回）'!$C$4,N(U5710)+1,N(U5710))</f>
        <v>134</v>
      </c>
    </row>
    <row r="5712" customFormat="false" ht="15" hidden="false" customHeight="false" outlineLevel="0" collapsed="false">
      <c r="B5712" s="53"/>
      <c r="I5712" s="53"/>
      <c r="U5712" s="31" t="n">
        <f aca="false">IF($B5712='設定（最初に1回）'!$C$4,N(U5711)+1,N(U5711))</f>
        <v>134</v>
      </c>
    </row>
    <row r="5713" customFormat="false" ht="15" hidden="false" customHeight="false" outlineLevel="0" collapsed="false">
      <c r="B5713" s="53"/>
      <c r="I5713" s="53"/>
      <c r="U5713" s="31" t="n">
        <f aca="false">IF($B5713='設定（最初に1回）'!$C$4,N(U5712)+1,N(U5712))</f>
        <v>134</v>
      </c>
    </row>
    <row r="5714" customFormat="false" ht="15" hidden="false" customHeight="false" outlineLevel="0" collapsed="false">
      <c r="B5714" s="53"/>
      <c r="I5714" s="53"/>
      <c r="U5714" s="31" t="n">
        <f aca="false">IF($B5714='設定（最初に1回）'!$C$4,N(U5713)+1,N(U5713))</f>
        <v>134</v>
      </c>
    </row>
    <row r="5715" customFormat="false" ht="15" hidden="false" customHeight="false" outlineLevel="0" collapsed="false">
      <c r="B5715" s="53"/>
      <c r="I5715" s="53"/>
      <c r="U5715" s="31" t="n">
        <f aca="false">IF($B5715='設定（最初に1回）'!$C$4,N(U5714)+1,N(U5714))</f>
        <v>134</v>
      </c>
    </row>
    <row r="5716" customFormat="false" ht="15" hidden="false" customHeight="false" outlineLevel="0" collapsed="false">
      <c r="B5716" s="53"/>
      <c r="I5716" s="53"/>
      <c r="U5716" s="31" t="n">
        <f aca="false">IF($B5716='設定（最初に1回）'!$C$4,N(U5715)+1,N(U5715))</f>
        <v>134</v>
      </c>
    </row>
    <row r="5717" customFormat="false" ht="15" hidden="false" customHeight="false" outlineLevel="0" collapsed="false">
      <c r="B5717" s="53"/>
      <c r="I5717" s="53"/>
      <c r="U5717" s="31" t="n">
        <f aca="false">IF($B5717='設定（最初に1回）'!$C$4,N(U5716)+1,N(U5716))</f>
        <v>134</v>
      </c>
    </row>
    <row r="5718" customFormat="false" ht="15" hidden="false" customHeight="false" outlineLevel="0" collapsed="false">
      <c r="B5718" s="53"/>
      <c r="I5718" s="53"/>
      <c r="U5718" s="31" t="n">
        <f aca="false">IF($B5718='設定（最初に1回）'!$C$4,N(U5717)+1,N(U5717))</f>
        <v>134</v>
      </c>
    </row>
    <row r="5719" customFormat="false" ht="15" hidden="false" customHeight="false" outlineLevel="0" collapsed="false">
      <c r="B5719" s="53"/>
      <c r="I5719" s="53"/>
      <c r="U5719" s="31" t="n">
        <f aca="false">IF($B5719='設定（最初に1回）'!$C$4,N(U5718)+1,N(U5718))</f>
        <v>134</v>
      </c>
    </row>
    <row r="5720" customFormat="false" ht="15" hidden="false" customHeight="false" outlineLevel="0" collapsed="false">
      <c r="B5720" s="53"/>
      <c r="I5720" s="53"/>
      <c r="U5720" s="31" t="n">
        <f aca="false">IF($B5720='設定（最初に1回）'!$C$4,N(U5719)+1,N(U5719))</f>
        <v>134</v>
      </c>
    </row>
    <row r="5721" customFormat="false" ht="15" hidden="false" customHeight="false" outlineLevel="0" collapsed="false">
      <c r="B5721" s="53"/>
      <c r="I5721" s="53"/>
      <c r="U5721" s="31" t="n">
        <f aca="false">IF($B5721='設定（最初に1回）'!$C$4,N(U5720)+1,N(U5720))</f>
        <v>134</v>
      </c>
    </row>
    <row r="5722" customFormat="false" ht="15" hidden="false" customHeight="false" outlineLevel="0" collapsed="false">
      <c r="B5722" s="53"/>
      <c r="I5722" s="53"/>
      <c r="U5722" s="31" t="n">
        <f aca="false">IF($B5722='設定（最初に1回）'!$C$4,N(U5721)+1,N(U5721))</f>
        <v>134</v>
      </c>
    </row>
    <row r="5723" customFormat="false" ht="15" hidden="false" customHeight="false" outlineLevel="0" collapsed="false">
      <c r="B5723" s="53"/>
      <c r="I5723" s="53"/>
      <c r="U5723" s="31" t="n">
        <f aca="false">IF($B5723='設定（最初に1回）'!$C$4,N(U5722)+1,N(U5722))</f>
        <v>134</v>
      </c>
    </row>
    <row r="5724" customFormat="false" ht="15" hidden="false" customHeight="false" outlineLevel="0" collapsed="false">
      <c r="B5724" s="53"/>
      <c r="I5724" s="53"/>
      <c r="U5724" s="31" t="n">
        <f aca="false">IF($B5724='設定（最初に1回）'!$C$4,N(U5723)+1,N(U5723))</f>
        <v>134</v>
      </c>
    </row>
    <row r="5725" customFormat="false" ht="15" hidden="false" customHeight="false" outlineLevel="0" collapsed="false">
      <c r="B5725" s="53"/>
      <c r="I5725" s="53"/>
      <c r="U5725" s="31" t="n">
        <f aca="false">IF($B5725='設定（最初に1回）'!$C$4,N(U5724)+1,N(U5724))</f>
        <v>134</v>
      </c>
    </row>
    <row r="5726" customFormat="false" ht="15" hidden="false" customHeight="false" outlineLevel="0" collapsed="false">
      <c r="B5726" s="53"/>
      <c r="I5726" s="53"/>
      <c r="U5726" s="31" t="n">
        <f aca="false">IF($B5726='設定（最初に1回）'!$C$4,N(U5725)+1,N(U5725))</f>
        <v>134</v>
      </c>
    </row>
    <row r="5727" customFormat="false" ht="15" hidden="false" customHeight="false" outlineLevel="0" collapsed="false">
      <c r="B5727" s="53"/>
      <c r="I5727" s="53"/>
      <c r="U5727" s="31" t="n">
        <f aca="false">IF($B5727='設定（最初に1回）'!$C$4,N(U5726)+1,N(U5726))</f>
        <v>134</v>
      </c>
    </row>
    <row r="5728" customFormat="false" ht="15" hidden="false" customHeight="false" outlineLevel="0" collapsed="false">
      <c r="B5728" s="53"/>
      <c r="I5728" s="53"/>
      <c r="U5728" s="31" t="n">
        <f aca="false">IF($B5728='設定（最初に1回）'!$C$4,N(U5727)+1,N(U5727))</f>
        <v>134</v>
      </c>
    </row>
    <row r="5729" customFormat="false" ht="15" hidden="false" customHeight="false" outlineLevel="0" collapsed="false">
      <c r="B5729" s="53"/>
      <c r="I5729" s="53"/>
      <c r="U5729" s="31" t="n">
        <f aca="false">IF($B5729='設定（最初に1回）'!$C$4,N(U5728)+1,N(U5728))</f>
        <v>134</v>
      </c>
    </row>
    <row r="5730" customFormat="false" ht="15" hidden="false" customHeight="false" outlineLevel="0" collapsed="false">
      <c r="B5730" s="53"/>
      <c r="I5730" s="53"/>
      <c r="U5730" s="31" t="n">
        <f aca="false">IF($B5730='設定（最初に1回）'!$C$4,N(U5729)+1,N(U5729))</f>
        <v>134</v>
      </c>
    </row>
    <row r="5731" customFormat="false" ht="15" hidden="false" customHeight="false" outlineLevel="0" collapsed="false">
      <c r="B5731" s="53"/>
      <c r="I5731" s="53"/>
      <c r="U5731" s="31" t="n">
        <f aca="false">IF($B5731='設定（最初に1回）'!$C$4,N(U5730)+1,N(U5730))</f>
        <v>134</v>
      </c>
    </row>
    <row r="5732" customFormat="false" ht="15" hidden="false" customHeight="false" outlineLevel="0" collapsed="false">
      <c r="B5732" s="53"/>
      <c r="I5732" s="53"/>
      <c r="U5732" s="31" t="n">
        <f aca="false">IF($B5732='設定（最初に1回）'!$C$4,N(U5731)+1,N(U5731))</f>
        <v>134</v>
      </c>
    </row>
    <row r="5733" customFormat="false" ht="15" hidden="false" customHeight="false" outlineLevel="0" collapsed="false">
      <c r="B5733" s="53"/>
      <c r="I5733" s="53"/>
      <c r="U5733" s="31" t="n">
        <f aca="false">IF($B5733='設定（最初に1回）'!$C$4,N(U5732)+1,N(U5732))</f>
        <v>134</v>
      </c>
    </row>
    <row r="5734" customFormat="false" ht="15" hidden="false" customHeight="false" outlineLevel="0" collapsed="false">
      <c r="B5734" s="53"/>
      <c r="I5734" s="53"/>
      <c r="U5734" s="31" t="n">
        <f aca="false">IF($B5734='設定（最初に1回）'!$C$4,N(U5733)+1,N(U5733))</f>
        <v>134</v>
      </c>
    </row>
    <row r="5735" customFormat="false" ht="15" hidden="false" customHeight="false" outlineLevel="0" collapsed="false">
      <c r="B5735" s="53"/>
      <c r="I5735" s="53"/>
      <c r="U5735" s="31" t="n">
        <f aca="false">IF($B5735='設定（最初に1回）'!$C$4,N(U5734)+1,N(U5734))</f>
        <v>134</v>
      </c>
    </row>
    <row r="5736" customFormat="false" ht="15" hidden="false" customHeight="false" outlineLevel="0" collapsed="false">
      <c r="B5736" s="53"/>
      <c r="I5736" s="53"/>
      <c r="U5736" s="31" t="n">
        <f aca="false">IF($B5736='設定（最初に1回）'!$C$4,N(U5735)+1,N(U5735))</f>
        <v>134</v>
      </c>
    </row>
    <row r="5737" customFormat="false" ht="15" hidden="false" customHeight="false" outlineLevel="0" collapsed="false">
      <c r="B5737" s="53"/>
      <c r="I5737" s="53"/>
      <c r="U5737" s="31" t="n">
        <f aca="false">IF($B5737='設定（最初に1回）'!$C$4,N(U5736)+1,N(U5736))</f>
        <v>134</v>
      </c>
    </row>
    <row r="5738" customFormat="false" ht="15" hidden="false" customHeight="false" outlineLevel="0" collapsed="false">
      <c r="B5738" s="53"/>
      <c r="I5738" s="53"/>
      <c r="U5738" s="31" t="n">
        <f aca="false">IF($B5738='設定（最初に1回）'!$C$4,N(U5737)+1,N(U5737))</f>
        <v>134</v>
      </c>
    </row>
    <row r="5739" customFormat="false" ht="15" hidden="false" customHeight="false" outlineLevel="0" collapsed="false">
      <c r="B5739" s="53"/>
      <c r="I5739" s="53"/>
      <c r="U5739" s="31" t="n">
        <f aca="false">IF($B5739='設定（最初に1回）'!$C$4,N(U5738)+1,N(U5738))</f>
        <v>134</v>
      </c>
    </row>
    <row r="5740" customFormat="false" ht="15" hidden="false" customHeight="false" outlineLevel="0" collapsed="false">
      <c r="B5740" s="53"/>
      <c r="I5740" s="53"/>
      <c r="U5740" s="31" t="n">
        <f aca="false">IF($B5740='設定（最初に1回）'!$C$4,N(U5739)+1,N(U5739))</f>
        <v>134</v>
      </c>
    </row>
    <row r="5741" customFormat="false" ht="15" hidden="false" customHeight="false" outlineLevel="0" collapsed="false">
      <c r="B5741" s="53"/>
      <c r="I5741" s="53"/>
      <c r="U5741" s="31" t="n">
        <f aca="false">IF($B5741='設定（最初に1回）'!$C$4,N(U5740)+1,N(U5740))</f>
        <v>134</v>
      </c>
    </row>
    <row r="5742" customFormat="false" ht="15" hidden="false" customHeight="false" outlineLevel="0" collapsed="false">
      <c r="B5742" s="53"/>
      <c r="I5742" s="53"/>
      <c r="U5742" s="31" t="n">
        <f aca="false">IF($B5742='設定（最初に1回）'!$C$4,N(U5741)+1,N(U5741))</f>
        <v>134</v>
      </c>
    </row>
    <row r="5743" customFormat="false" ht="15" hidden="false" customHeight="false" outlineLevel="0" collapsed="false">
      <c r="B5743" s="53"/>
      <c r="I5743" s="53"/>
      <c r="U5743" s="31" t="n">
        <f aca="false">IF($B5743='設定（最初に1回）'!$C$4,N(U5742)+1,N(U5742))</f>
        <v>134</v>
      </c>
    </row>
    <row r="5744" customFormat="false" ht="15" hidden="false" customHeight="false" outlineLevel="0" collapsed="false">
      <c r="B5744" s="53"/>
      <c r="I5744" s="53"/>
      <c r="U5744" s="31" t="n">
        <f aca="false">IF($B5744='設定（最初に1回）'!$C$4,N(U5743)+1,N(U5743))</f>
        <v>134</v>
      </c>
    </row>
    <row r="5745" customFormat="false" ht="15" hidden="false" customHeight="false" outlineLevel="0" collapsed="false">
      <c r="B5745" s="53"/>
      <c r="I5745" s="53"/>
      <c r="U5745" s="31" t="n">
        <f aca="false">IF($B5745='設定（最初に1回）'!$C$4,N(U5744)+1,N(U5744))</f>
        <v>134</v>
      </c>
    </row>
    <row r="5746" customFormat="false" ht="15" hidden="false" customHeight="false" outlineLevel="0" collapsed="false">
      <c r="B5746" s="53"/>
      <c r="I5746" s="53"/>
      <c r="U5746" s="31" t="n">
        <f aca="false">IF($B5746='設定（最初に1回）'!$C$4,N(U5745)+1,N(U5745))</f>
        <v>134</v>
      </c>
    </row>
    <row r="5747" customFormat="false" ht="15" hidden="false" customHeight="false" outlineLevel="0" collapsed="false">
      <c r="B5747" s="53"/>
      <c r="I5747" s="53"/>
      <c r="U5747" s="31" t="n">
        <f aca="false">IF($B5747='設定（最初に1回）'!$C$4,N(U5746)+1,N(U5746))</f>
        <v>134</v>
      </c>
    </row>
    <row r="5748" customFormat="false" ht="15" hidden="false" customHeight="false" outlineLevel="0" collapsed="false">
      <c r="B5748" s="53"/>
      <c r="I5748" s="53"/>
      <c r="U5748" s="31" t="n">
        <f aca="false">IF($B5748='設定（最初に1回）'!$C$4,N(U5747)+1,N(U5747))</f>
        <v>134</v>
      </c>
    </row>
    <row r="5749" customFormat="false" ht="15" hidden="false" customHeight="false" outlineLevel="0" collapsed="false">
      <c r="B5749" s="53"/>
      <c r="I5749" s="53"/>
      <c r="U5749" s="31" t="n">
        <f aca="false">IF($B5749='設定（最初に1回）'!$C$4,N(U5748)+1,N(U5748))</f>
        <v>134</v>
      </c>
    </row>
    <row r="5750" customFormat="false" ht="15" hidden="false" customHeight="false" outlineLevel="0" collapsed="false">
      <c r="B5750" s="53"/>
      <c r="I5750" s="53"/>
      <c r="U5750" s="31" t="n">
        <f aca="false">IF($B5750='設定（最初に1回）'!$C$4,N(U5749)+1,N(U5749))</f>
        <v>134</v>
      </c>
    </row>
    <row r="5751" customFormat="false" ht="15" hidden="false" customHeight="false" outlineLevel="0" collapsed="false">
      <c r="B5751" s="53"/>
      <c r="I5751" s="53"/>
      <c r="U5751" s="31" t="n">
        <f aca="false">IF($B5751='設定（最初に1回）'!$C$4,N(U5750)+1,N(U5750))</f>
        <v>134</v>
      </c>
    </row>
    <row r="5752" customFormat="false" ht="15" hidden="false" customHeight="false" outlineLevel="0" collapsed="false">
      <c r="B5752" s="53"/>
      <c r="I5752" s="53"/>
      <c r="U5752" s="31" t="n">
        <f aca="false">IF($B5752='設定（最初に1回）'!$C$4,N(U5751)+1,N(U5751))</f>
        <v>134</v>
      </c>
    </row>
    <row r="5753" customFormat="false" ht="15" hidden="false" customHeight="false" outlineLevel="0" collapsed="false">
      <c r="B5753" s="53"/>
      <c r="I5753" s="53"/>
      <c r="U5753" s="31" t="n">
        <f aca="false">IF($B5753='設定（最初に1回）'!$C$4,N(U5752)+1,N(U5752))</f>
        <v>134</v>
      </c>
    </row>
    <row r="5754" customFormat="false" ht="15" hidden="false" customHeight="false" outlineLevel="0" collapsed="false">
      <c r="B5754" s="53"/>
      <c r="I5754" s="53"/>
      <c r="U5754" s="31" t="n">
        <f aca="false">IF($B5754='設定（最初に1回）'!$C$4,N(U5753)+1,N(U5753))</f>
        <v>134</v>
      </c>
    </row>
    <row r="5755" customFormat="false" ht="15" hidden="false" customHeight="false" outlineLevel="0" collapsed="false">
      <c r="B5755" s="53"/>
      <c r="I5755" s="53"/>
      <c r="U5755" s="31" t="n">
        <f aca="false">IF($B5755='設定（最初に1回）'!$C$4,N(U5754)+1,N(U5754))</f>
        <v>134</v>
      </c>
    </row>
    <row r="5756" customFormat="false" ht="15" hidden="false" customHeight="false" outlineLevel="0" collapsed="false">
      <c r="B5756" s="53"/>
      <c r="I5756" s="53"/>
      <c r="U5756" s="31" t="n">
        <f aca="false">IF($B5756='設定（最初に1回）'!$C$4,N(U5755)+1,N(U5755))</f>
        <v>134</v>
      </c>
    </row>
    <row r="5757" customFormat="false" ht="15" hidden="false" customHeight="false" outlineLevel="0" collapsed="false">
      <c r="B5757" s="53"/>
      <c r="I5757" s="53"/>
      <c r="U5757" s="31" t="n">
        <f aca="false">IF($B5757='設定（最初に1回）'!$C$4,N(U5756)+1,N(U5756))</f>
        <v>134</v>
      </c>
    </row>
    <row r="5758" customFormat="false" ht="15" hidden="false" customHeight="false" outlineLevel="0" collapsed="false">
      <c r="B5758" s="53"/>
      <c r="I5758" s="53"/>
      <c r="U5758" s="31" t="n">
        <f aca="false">IF($B5758='設定（最初に1回）'!$C$4,N(U5757)+1,N(U5757))</f>
        <v>134</v>
      </c>
    </row>
    <row r="5759" customFormat="false" ht="15" hidden="false" customHeight="false" outlineLevel="0" collapsed="false">
      <c r="B5759" s="53"/>
      <c r="I5759" s="53"/>
      <c r="U5759" s="31" t="n">
        <f aca="false">IF($B5759='設定（最初に1回）'!$C$4,N(U5758)+1,N(U5758))</f>
        <v>134</v>
      </c>
    </row>
    <row r="5760" customFormat="false" ht="15" hidden="false" customHeight="false" outlineLevel="0" collapsed="false">
      <c r="B5760" s="53"/>
      <c r="I5760" s="53"/>
      <c r="U5760" s="31" t="n">
        <f aca="false">IF($B5760='設定（最初に1回）'!$C$4,N(U5759)+1,N(U5759))</f>
        <v>134</v>
      </c>
    </row>
    <row r="5761" customFormat="false" ht="15" hidden="false" customHeight="false" outlineLevel="0" collapsed="false">
      <c r="B5761" s="53"/>
      <c r="I5761" s="53"/>
      <c r="U5761" s="31" t="n">
        <f aca="false">IF($B5761='設定（最初に1回）'!$C$4,N(U5760)+1,N(U5760))</f>
        <v>134</v>
      </c>
    </row>
    <row r="5762" customFormat="false" ht="15" hidden="false" customHeight="false" outlineLevel="0" collapsed="false">
      <c r="B5762" s="53"/>
      <c r="I5762" s="53"/>
      <c r="U5762" s="31" t="n">
        <f aca="false">IF($B5762='設定（最初に1回）'!$C$4,N(U5761)+1,N(U5761))</f>
        <v>134</v>
      </c>
    </row>
    <row r="5763" customFormat="false" ht="15" hidden="false" customHeight="false" outlineLevel="0" collapsed="false">
      <c r="B5763" s="53"/>
      <c r="I5763" s="53"/>
      <c r="U5763" s="31" t="n">
        <f aca="false">IF($B5763='設定（最初に1回）'!$C$4,N(U5762)+1,N(U5762))</f>
        <v>134</v>
      </c>
    </row>
    <row r="5764" customFormat="false" ht="15" hidden="false" customHeight="false" outlineLevel="0" collapsed="false">
      <c r="B5764" s="53"/>
      <c r="I5764" s="53"/>
      <c r="U5764" s="31" t="n">
        <f aca="false">IF($B5764='設定（最初に1回）'!$C$4,N(U5763)+1,N(U5763))</f>
        <v>134</v>
      </c>
    </row>
    <row r="5765" customFormat="false" ht="15" hidden="false" customHeight="false" outlineLevel="0" collapsed="false">
      <c r="B5765" s="53"/>
      <c r="I5765" s="53"/>
      <c r="U5765" s="31" t="n">
        <f aca="false">IF($B5765='設定（最初に1回）'!$C$4,N(U5764)+1,N(U5764))</f>
        <v>134</v>
      </c>
    </row>
    <row r="5766" customFormat="false" ht="15" hidden="false" customHeight="false" outlineLevel="0" collapsed="false">
      <c r="B5766" s="53"/>
      <c r="I5766" s="53"/>
      <c r="U5766" s="31" t="n">
        <f aca="false">IF($B5766='設定（最初に1回）'!$C$4,N(U5765)+1,N(U5765))</f>
        <v>134</v>
      </c>
    </row>
    <row r="5767" customFormat="false" ht="15" hidden="false" customHeight="false" outlineLevel="0" collapsed="false">
      <c r="B5767" s="53"/>
      <c r="I5767" s="53"/>
      <c r="U5767" s="31" t="n">
        <f aca="false">IF($B5767='設定（最初に1回）'!$C$4,N(U5766)+1,N(U5766))</f>
        <v>134</v>
      </c>
    </row>
    <row r="5768" customFormat="false" ht="15" hidden="false" customHeight="false" outlineLevel="0" collapsed="false">
      <c r="B5768" s="53"/>
      <c r="I5768" s="53"/>
      <c r="U5768" s="31" t="n">
        <f aca="false">IF($B5768='設定（最初に1回）'!$C$4,N(U5767)+1,N(U5767))</f>
        <v>134</v>
      </c>
    </row>
    <row r="5769" customFormat="false" ht="15" hidden="false" customHeight="false" outlineLevel="0" collapsed="false">
      <c r="B5769" s="53"/>
      <c r="I5769" s="53"/>
      <c r="U5769" s="31" t="n">
        <f aca="false">IF($B5769='設定（最初に1回）'!$C$4,N(U5768)+1,N(U5768))</f>
        <v>134</v>
      </c>
    </row>
    <row r="5770" customFormat="false" ht="15" hidden="false" customHeight="false" outlineLevel="0" collapsed="false">
      <c r="B5770" s="53"/>
      <c r="I5770" s="53"/>
      <c r="U5770" s="31" t="n">
        <f aca="false">IF($B5770='設定（最初に1回）'!$C$4,N(U5769)+1,N(U5769))</f>
        <v>134</v>
      </c>
    </row>
    <row r="5771" customFormat="false" ht="15" hidden="false" customHeight="false" outlineLevel="0" collapsed="false">
      <c r="B5771" s="53"/>
      <c r="I5771" s="53"/>
      <c r="U5771" s="31" t="n">
        <f aca="false">IF($B5771='設定（最初に1回）'!$C$4,N(U5770)+1,N(U5770))</f>
        <v>134</v>
      </c>
    </row>
    <row r="5772" customFormat="false" ht="15" hidden="false" customHeight="false" outlineLevel="0" collapsed="false">
      <c r="B5772" s="53"/>
      <c r="I5772" s="53"/>
      <c r="U5772" s="31" t="n">
        <f aca="false">IF($B5772='設定（最初に1回）'!$C$4,N(U5771)+1,N(U5771))</f>
        <v>134</v>
      </c>
    </row>
    <row r="5773" customFormat="false" ht="15" hidden="false" customHeight="false" outlineLevel="0" collapsed="false">
      <c r="B5773" s="53"/>
      <c r="I5773" s="53"/>
      <c r="U5773" s="31" t="n">
        <f aca="false">IF($B5773='設定（最初に1回）'!$C$4,N(U5772)+1,N(U5772))</f>
        <v>134</v>
      </c>
    </row>
    <row r="5774" customFormat="false" ht="15" hidden="false" customHeight="false" outlineLevel="0" collapsed="false">
      <c r="B5774" s="53"/>
      <c r="I5774" s="53"/>
      <c r="U5774" s="31" t="n">
        <f aca="false">IF($B5774='設定（最初に1回）'!$C$4,N(U5773)+1,N(U5773))</f>
        <v>134</v>
      </c>
    </row>
    <row r="5775" customFormat="false" ht="15" hidden="false" customHeight="false" outlineLevel="0" collapsed="false">
      <c r="B5775" s="53"/>
      <c r="I5775" s="53"/>
      <c r="U5775" s="31" t="n">
        <f aca="false">IF($B5775='設定（最初に1回）'!$C$4,N(U5774)+1,N(U5774))</f>
        <v>134</v>
      </c>
    </row>
    <row r="5776" customFormat="false" ht="15" hidden="false" customHeight="false" outlineLevel="0" collapsed="false">
      <c r="B5776" s="53"/>
      <c r="I5776" s="53"/>
      <c r="U5776" s="31" t="n">
        <f aca="false">IF($B5776='設定（最初に1回）'!$C$4,N(U5775)+1,N(U5775))</f>
        <v>134</v>
      </c>
    </row>
    <row r="5777" customFormat="false" ht="15" hidden="false" customHeight="false" outlineLevel="0" collapsed="false">
      <c r="B5777" s="53"/>
      <c r="I5777" s="53"/>
      <c r="U5777" s="31" t="n">
        <f aca="false">IF($B5777='設定（最初に1回）'!$C$4,N(U5776)+1,N(U5776))</f>
        <v>134</v>
      </c>
    </row>
    <row r="5778" customFormat="false" ht="15" hidden="false" customHeight="false" outlineLevel="0" collapsed="false">
      <c r="B5778" s="53"/>
      <c r="I5778" s="53"/>
      <c r="U5778" s="31" t="n">
        <f aca="false">IF($B5778='設定（最初に1回）'!$C$4,N(U5777)+1,N(U5777))</f>
        <v>134</v>
      </c>
    </row>
    <row r="5779" customFormat="false" ht="15" hidden="false" customHeight="false" outlineLevel="0" collapsed="false">
      <c r="B5779" s="53"/>
      <c r="I5779" s="53"/>
      <c r="U5779" s="31" t="n">
        <f aca="false">IF($B5779='設定（最初に1回）'!$C$4,N(U5778)+1,N(U5778))</f>
        <v>134</v>
      </c>
    </row>
    <row r="5780" customFormat="false" ht="15" hidden="false" customHeight="false" outlineLevel="0" collapsed="false">
      <c r="B5780" s="53"/>
      <c r="I5780" s="53"/>
      <c r="U5780" s="31" t="n">
        <f aca="false">IF($B5780='設定（最初に1回）'!$C$4,N(U5779)+1,N(U5779))</f>
        <v>134</v>
      </c>
    </row>
    <row r="5781" customFormat="false" ht="15" hidden="false" customHeight="false" outlineLevel="0" collapsed="false">
      <c r="B5781" s="53"/>
      <c r="I5781" s="53"/>
      <c r="U5781" s="31" t="n">
        <f aca="false">IF($B5781='設定（最初に1回）'!$C$4,N(U5780)+1,N(U5780))</f>
        <v>134</v>
      </c>
    </row>
    <row r="5782" customFormat="false" ht="15" hidden="false" customHeight="false" outlineLevel="0" collapsed="false">
      <c r="B5782" s="53"/>
      <c r="I5782" s="53"/>
      <c r="U5782" s="31" t="n">
        <f aca="false">IF($B5782='設定（最初に1回）'!$C$4,N(U5781)+1,N(U5781))</f>
        <v>134</v>
      </c>
    </row>
    <row r="5783" customFormat="false" ht="15" hidden="false" customHeight="false" outlineLevel="0" collapsed="false">
      <c r="B5783" s="53"/>
      <c r="I5783" s="53"/>
      <c r="U5783" s="31" t="n">
        <f aca="false">IF($B5783='設定（最初に1回）'!$C$4,N(U5782)+1,N(U5782))</f>
        <v>134</v>
      </c>
    </row>
    <row r="5784" customFormat="false" ht="15" hidden="false" customHeight="false" outlineLevel="0" collapsed="false">
      <c r="B5784" s="53"/>
      <c r="I5784" s="53"/>
      <c r="U5784" s="31" t="n">
        <f aca="false">IF($B5784='設定（最初に1回）'!$C$4,N(U5783)+1,N(U5783))</f>
        <v>134</v>
      </c>
    </row>
    <row r="5785" customFormat="false" ht="15" hidden="false" customHeight="false" outlineLevel="0" collapsed="false">
      <c r="B5785" s="53"/>
      <c r="I5785" s="53"/>
      <c r="U5785" s="31" t="n">
        <f aca="false">IF($B5785='設定（最初に1回）'!$C$4,N(U5784)+1,N(U5784))</f>
        <v>134</v>
      </c>
    </row>
    <row r="5786" customFormat="false" ht="15" hidden="false" customHeight="false" outlineLevel="0" collapsed="false">
      <c r="B5786" s="53"/>
      <c r="I5786" s="53"/>
      <c r="U5786" s="31" t="n">
        <f aca="false">IF($B5786='設定（最初に1回）'!$C$4,N(U5785)+1,N(U5785))</f>
        <v>134</v>
      </c>
    </row>
    <row r="5787" customFormat="false" ht="15" hidden="false" customHeight="false" outlineLevel="0" collapsed="false">
      <c r="B5787" s="53"/>
      <c r="I5787" s="53"/>
      <c r="U5787" s="31" t="n">
        <f aca="false">IF($B5787='設定（最初に1回）'!$C$4,N(U5786)+1,N(U5786))</f>
        <v>134</v>
      </c>
    </row>
    <row r="5788" customFormat="false" ht="15" hidden="false" customHeight="false" outlineLevel="0" collapsed="false">
      <c r="B5788" s="53"/>
      <c r="I5788" s="53"/>
      <c r="U5788" s="31" t="n">
        <f aca="false">IF($B5788='設定（最初に1回）'!$C$4,N(U5787)+1,N(U5787))</f>
        <v>134</v>
      </c>
    </row>
    <row r="5789" customFormat="false" ht="15" hidden="false" customHeight="false" outlineLevel="0" collapsed="false">
      <c r="B5789" s="53"/>
      <c r="I5789" s="53"/>
      <c r="U5789" s="31" t="n">
        <f aca="false">IF($B5789='設定（最初に1回）'!$C$4,N(U5788)+1,N(U5788))</f>
        <v>134</v>
      </c>
    </row>
    <row r="5790" customFormat="false" ht="15" hidden="false" customHeight="false" outlineLevel="0" collapsed="false">
      <c r="B5790" s="53"/>
      <c r="I5790" s="53"/>
      <c r="U5790" s="31" t="n">
        <f aca="false">IF($B5790='設定（最初に1回）'!$C$4,N(U5789)+1,N(U5789))</f>
        <v>134</v>
      </c>
    </row>
    <row r="5791" customFormat="false" ht="15" hidden="false" customHeight="false" outlineLevel="0" collapsed="false">
      <c r="B5791" s="53"/>
      <c r="I5791" s="53"/>
      <c r="U5791" s="31" t="n">
        <f aca="false">IF($B5791='設定（最初に1回）'!$C$4,N(U5790)+1,N(U5790))</f>
        <v>134</v>
      </c>
    </row>
    <row r="5792" customFormat="false" ht="15" hidden="false" customHeight="false" outlineLevel="0" collapsed="false">
      <c r="B5792" s="53"/>
      <c r="I5792" s="53"/>
      <c r="U5792" s="31" t="n">
        <f aca="false">IF($B5792='設定（最初に1回）'!$C$4,N(U5791)+1,N(U5791))</f>
        <v>134</v>
      </c>
    </row>
    <row r="5793" customFormat="false" ht="15" hidden="false" customHeight="false" outlineLevel="0" collapsed="false">
      <c r="B5793" s="53"/>
      <c r="I5793" s="53"/>
      <c r="U5793" s="31" t="n">
        <f aca="false">IF($B5793='設定（最初に1回）'!$C$4,N(U5792)+1,N(U5792))</f>
        <v>134</v>
      </c>
    </row>
    <row r="5794" customFormat="false" ht="15" hidden="false" customHeight="false" outlineLevel="0" collapsed="false">
      <c r="B5794" s="53"/>
      <c r="I5794" s="53"/>
      <c r="U5794" s="31" t="n">
        <f aca="false">IF($B5794='設定（最初に1回）'!$C$4,N(U5793)+1,N(U5793))</f>
        <v>134</v>
      </c>
    </row>
    <row r="5795" customFormat="false" ht="15" hidden="false" customHeight="false" outlineLevel="0" collapsed="false">
      <c r="B5795" s="53"/>
      <c r="I5795" s="53"/>
      <c r="U5795" s="31" t="n">
        <f aca="false">IF($B5795='設定（最初に1回）'!$C$4,N(U5794)+1,N(U5794))</f>
        <v>134</v>
      </c>
    </row>
    <row r="5796" customFormat="false" ht="15" hidden="false" customHeight="false" outlineLevel="0" collapsed="false">
      <c r="B5796" s="53"/>
      <c r="I5796" s="53"/>
      <c r="U5796" s="31" t="n">
        <f aca="false">IF($B5796='設定（最初に1回）'!$C$4,N(U5795)+1,N(U5795))</f>
        <v>134</v>
      </c>
    </row>
    <row r="5797" customFormat="false" ht="15" hidden="false" customHeight="false" outlineLevel="0" collapsed="false">
      <c r="B5797" s="53"/>
      <c r="I5797" s="53"/>
      <c r="U5797" s="31" t="n">
        <f aca="false">IF($B5797='設定（最初に1回）'!$C$4,N(U5796)+1,N(U5796))</f>
        <v>134</v>
      </c>
    </row>
    <row r="5798" customFormat="false" ht="15" hidden="false" customHeight="false" outlineLevel="0" collapsed="false">
      <c r="B5798" s="53"/>
      <c r="I5798" s="53"/>
      <c r="U5798" s="31" t="n">
        <f aca="false">IF($B5798='設定（最初に1回）'!$C$4,N(U5797)+1,N(U5797))</f>
        <v>134</v>
      </c>
    </row>
    <row r="5799" customFormat="false" ht="15" hidden="false" customHeight="false" outlineLevel="0" collapsed="false">
      <c r="B5799" s="53"/>
      <c r="I5799" s="53"/>
      <c r="U5799" s="31" t="n">
        <f aca="false">IF($B5799='設定（最初に1回）'!$C$4,N(U5798)+1,N(U5798))</f>
        <v>134</v>
      </c>
    </row>
    <row r="5800" customFormat="false" ht="15" hidden="false" customHeight="false" outlineLevel="0" collapsed="false">
      <c r="B5800" s="53"/>
      <c r="I5800" s="53"/>
      <c r="U5800" s="31" t="n">
        <f aca="false">IF($B5800='設定（最初に1回）'!$C$4,N(U5799)+1,N(U5799))</f>
        <v>134</v>
      </c>
    </row>
    <row r="5801" customFormat="false" ht="15" hidden="false" customHeight="false" outlineLevel="0" collapsed="false">
      <c r="B5801" s="53"/>
      <c r="I5801" s="53"/>
      <c r="U5801" s="31" t="n">
        <f aca="false">IF($B5801='設定（最初に1回）'!$C$4,N(U5800)+1,N(U5800))</f>
        <v>134</v>
      </c>
    </row>
    <row r="5802" customFormat="false" ht="15" hidden="false" customHeight="false" outlineLevel="0" collapsed="false">
      <c r="B5802" s="53"/>
      <c r="I5802" s="53"/>
      <c r="U5802" s="31" t="n">
        <f aca="false">IF($B5802='設定（最初に1回）'!$C$4,N(U5801)+1,N(U5801))</f>
        <v>134</v>
      </c>
    </row>
    <row r="5803" customFormat="false" ht="15" hidden="false" customHeight="false" outlineLevel="0" collapsed="false">
      <c r="B5803" s="53"/>
      <c r="I5803" s="53"/>
      <c r="U5803" s="31" t="n">
        <f aca="false">IF($B5803='設定（最初に1回）'!$C$4,N(U5802)+1,N(U5802))</f>
        <v>134</v>
      </c>
    </row>
    <row r="5804" customFormat="false" ht="15" hidden="false" customHeight="false" outlineLevel="0" collapsed="false">
      <c r="B5804" s="53"/>
      <c r="I5804" s="53"/>
      <c r="U5804" s="31" t="n">
        <f aca="false">IF($B5804='設定（最初に1回）'!$C$4,N(U5803)+1,N(U5803))</f>
        <v>134</v>
      </c>
    </row>
    <row r="5805" customFormat="false" ht="15" hidden="false" customHeight="false" outlineLevel="0" collapsed="false">
      <c r="B5805" s="53"/>
      <c r="I5805" s="53"/>
      <c r="U5805" s="31" t="n">
        <f aca="false">IF($B5805='設定（最初に1回）'!$C$4,N(U5804)+1,N(U5804))</f>
        <v>134</v>
      </c>
    </row>
    <row r="5806" customFormat="false" ht="15" hidden="false" customHeight="false" outlineLevel="0" collapsed="false">
      <c r="B5806" s="53"/>
      <c r="I5806" s="53"/>
      <c r="U5806" s="31" t="n">
        <f aca="false">IF($B5806='設定（最初に1回）'!$C$4,N(U5805)+1,N(U5805))</f>
        <v>134</v>
      </c>
    </row>
    <row r="5807" customFormat="false" ht="15" hidden="false" customHeight="false" outlineLevel="0" collapsed="false">
      <c r="B5807" s="53"/>
      <c r="I5807" s="53"/>
      <c r="U5807" s="31" t="n">
        <f aca="false">IF($B5807='設定（最初に1回）'!$C$4,N(U5806)+1,N(U5806))</f>
        <v>134</v>
      </c>
    </row>
    <row r="5808" customFormat="false" ht="15" hidden="false" customHeight="false" outlineLevel="0" collapsed="false">
      <c r="B5808" s="53"/>
      <c r="I5808" s="53"/>
      <c r="U5808" s="31" t="n">
        <f aca="false">IF($B5808='設定（最初に1回）'!$C$4,N(U5807)+1,N(U5807))</f>
        <v>134</v>
      </c>
    </row>
    <row r="5809" customFormat="false" ht="15" hidden="false" customHeight="false" outlineLevel="0" collapsed="false">
      <c r="B5809" s="53"/>
      <c r="I5809" s="53"/>
      <c r="U5809" s="31" t="n">
        <f aca="false">IF($B5809='設定（最初に1回）'!$C$4,N(U5808)+1,N(U5808))</f>
        <v>134</v>
      </c>
    </row>
    <row r="5810" customFormat="false" ht="15" hidden="false" customHeight="false" outlineLevel="0" collapsed="false">
      <c r="B5810" s="53"/>
      <c r="I5810" s="53"/>
      <c r="U5810" s="31" t="n">
        <f aca="false">IF($B5810='設定（最初に1回）'!$C$4,N(U5809)+1,N(U5809))</f>
        <v>134</v>
      </c>
    </row>
    <row r="5811" customFormat="false" ht="15" hidden="false" customHeight="false" outlineLevel="0" collapsed="false">
      <c r="B5811" s="53"/>
      <c r="I5811" s="53"/>
      <c r="U5811" s="31" t="n">
        <f aca="false">IF($B5811='設定（最初に1回）'!$C$4,N(U5810)+1,N(U5810))</f>
        <v>134</v>
      </c>
    </row>
    <row r="5812" customFormat="false" ht="15" hidden="false" customHeight="false" outlineLevel="0" collapsed="false">
      <c r="B5812" s="53"/>
      <c r="I5812" s="53"/>
      <c r="U5812" s="31" t="n">
        <f aca="false">IF($B5812='設定（最初に1回）'!$C$4,N(U5811)+1,N(U5811))</f>
        <v>134</v>
      </c>
    </row>
    <row r="5813" customFormat="false" ht="15" hidden="false" customHeight="false" outlineLevel="0" collapsed="false">
      <c r="B5813" s="53"/>
      <c r="I5813" s="53"/>
      <c r="U5813" s="31" t="n">
        <f aca="false">IF($B5813='設定（最初に1回）'!$C$4,N(U5812)+1,N(U5812))</f>
        <v>134</v>
      </c>
    </row>
    <row r="5814" customFormat="false" ht="15" hidden="false" customHeight="false" outlineLevel="0" collapsed="false">
      <c r="B5814" s="53"/>
      <c r="I5814" s="53"/>
      <c r="U5814" s="31" t="n">
        <f aca="false">IF($B5814='設定（最初に1回）'!$C$4,N(U5813)+1,N(U5813))</f>
        <v>134</v>
      </c>
    </row>
    <row r="5815" customFormat="false" ht="15" hidden="false" customHeight="false" outlineLevel="0" collapsed="false">
      <c r="B5815" s="53"/>
      <c r="I5815" s="53"/>
      <c r="U5815" s="31" t="n">
        <f aca="false">IF($B5815='設定（最初に1回）'!$C$4,N(U5814)+1,N(U5814))</f>
        <v>134</v>
      </c>
    </row>
    <row r="5816" customFormat="false" ht="15" hidden="false" customHeight="false" outlineLevel="0" collapsed="false">
      <c r="B5816" s="53"/>
      <c r="I5816" s="53"/>
      <c r="U5816" s="31" t="n">
        <f aca="false">IF($B5816='設定（最初に1回）'!$C$4,N(U5815)+1,N(U5815))</f>
        <v>134</v>
      </c>
    </row>
    <row r="5817" customFormat="false" ht="15" hidden="false" customHeight="false" outlineLevel="0" collapsed="false">
      <c r="B5817" s="53"/>
      <c r="I5817" s="53"/>
      <c r="U5817" s="31" t="n">
        <f aca="false">IF($B5817='設定（最初に1回）'!$C$4,N(U5816)+1,N(U5816))</f>
        <v>134</v>
      </c>
    </row>
    <row r="5818" customFormat="false" ht="15" hidden="false" customHeight="false" outlineLevel="0" collapsed="false">
      <c r="B5818" s="53"/>
      <c r="I5818" s="53"/>
      <c r="U5818" s="31" t="n">
        <f aca="false">IF($B5818='設定（最初に1回）'!$C$4,N(U5817)+1,N(U5817))</f>
        <v>134</v>
      </c>
    </row>
    <row r="5819" customFormat="false" ht="15" hidden="false" customHeight="false" outlineLevel="0" collapsed="false">
      <c r="B5819" s="53"/>
      <c r="I5819" s="53"/>
      <c r="U5819" s="31" t="n">
        <f aca="false">IF($B5819='設定（最初に1回）'!$C$4,N(U5818)+1,N(U5818))</f>
        <v>134</v>
      </c>
    </row>
    <row r="5820" customFormat="false" ht="15" hidden="false" customHeight="false" outlineLevel="0" collapsed="false">
      <c r="B5820" s="53"/>
      <c r="I5820" s="53"/>
      <c r="U5820" s="31" t="n">
        <f aca="false">IF($B5820='設定（最初に1回）'!$C$4,N(U5819)+1,N(U5819))</f>
        <v>134</v>
      </c>
    </row>
    <row r="5821" customFormat="false" ht="15" hidden="false" customHeight="false" outlineLevel="0" collapsed="false">
      <c r="B5821" s="53"/>
      <c r="I5821" s="53"/>
      <c r="U5821" s="31" t="n">
        <f aca="false">IF($B5821='設定（最初に1回）'!$C$4,N(U5820)+1,N(U5820))</f>
        <v>134</v>
      </c>
    </row>
    <row r="5822" customFormat="false" ht="15" hidden="false" customHeight="false" outlineLevel="0" collapsed="false">
      <c r="B5822" s="53"/>
      <c r="I5822" s="53"/>
      <c r="U5822" s="31" t="n">
        <f aca="false">IF($B5822='設定（最初に1回）'!$C$4,N(U5821)+1,N(U5821))</f>
        <v>134</v>
      </c>
    </row>
    <row r="5823" customFormat="false" ht="15" hidden="false" customHeight="false" outlineLevel="0" collapsed="false">
      <c r="B5823" s="53"/>
      <c r="I5823" s="53"/>
      <c r="U5823" s="31" t="n">
        <f aca="false">IF($B5823='設定（最初に1回）'!$C$4,N(U5822)+1,N(U5822))</f>
        <v>134</v>
      </c>
    </row>
    <row r="5824" customFormat="false" ht="15" hidden="false" customHeight="false" outlineLevel="0" collapsed="false">
      <c r="B5824" s="53"/>
      <c r="I5824" s="53"/>
      <c r="U5824" s="31" t="n">
        <f aca="false">IF($B5824='設定（最初に1回）'!$C$4,N(U5823)+1,N(U5823))</f>
        <v>134</v>
      </c>
    </row>
    <row r="5825" customFormat="false" ht="15" hidden="false" customHeight="false" outlineLevel="0" collapsed="false">
      <c r="B5825" s="53"/>
      <c r="I5825" s="53"/>
      <c r="U5825" s="31" t="n">
        <f aca="false">IF($B5825='設定（最初に1回）'!$C$4,N(U5824)+1,N(U5824))</f>
        <v>134</v>
      </c>
    </row>
    <row r="5826" customFormat="false" ht="15" hidden="false" customHeight="false" outlineLevel="0" collapsed="false">
      <c r="B5826" s="53"/>
      <c r="I5826" s="53"/>
      <c r="U5826" s="31" t="n">
        <f aca="false">IF($B5826='設定（最初に1回）'!$C$4,N(U5825)+1,N(U5825))</f>
        <v>134</v>
      </c>
    </row>
    <row r="5827" customFormat="false" ht="15" hidden="false" customHeight="false" outlineLevel="0" collapsed="false">
      <c r="B5827" s="53"/>
      <c r="I5827" s="53"/>
      <c r="U5827" s="31" t="n">
        <f aca="false">IF($B5827='設定（最初に1回）'!$C$4,N(U5826)+1,N(U5826))</f>
        <v>134</v>
      </c>
    </row>
    <row r="5828" customFormat="false" ht="15" hidden="false" customHeight="false" outlineLevel="0" collapsed="false">
      <c r="B5828" s="53"/>
      <c r="I5828" s="53"/>
      <c r="U5828" s="31" t="n">
        <f aca="false">IF($B5828='設定（最初に1回）'!$C$4,N(U5827)+1,N(U5827))</f>
        <v>134</v>
      </c>
    </row>
    <row r="5829" customFormat="false" ht="15" hidden="false" customHeight="false" outlineLevel="0" collapsed="false">
      <c r="B5829" s="53"/>
      <c r="I5829" s="53"/>
      <c r="U5829" s="31" t="n">
        <f aca="false">IF($B5829='設定（最初に1回）'!$C$4,N(U5828)+1,N(U5828))</f>
        <v>134</v>
      </c>
    </row>
    <row r="5830" customFormat="false" ht="15" hidden="false" customHeight="false" outlineLevel="0" collapsed="false">
      <c r="B5830" s="53"/>
      <c r="I5830" s="53"/>
      <c r="U5830" s="31" t="n">
        <f aca="false">IF($B5830='設定（最初に1回）'!$C$4,N(U5829)+1,N(U5829))</f>
        <v>134</v>
      </c>
    </row>
    <row r="5831" customFormat="false" ht="15" hidden="false" customHeight="false" outlineLevel="0" collapsed="false">
      <c r="B5831" s="53"/>
      <c r="I5831" s="53"/>
      <c r="U5831" s="31" t="n">
        <f aca="false">IF($B5831='設定（最初に1回）'!$C$4,N(U5830)+1,N(U5830))</f>
        <v>134</v>
      </c>
    </row>
    <row r="5832" customFormat="false" ht="15" hidden="false" customHeight="false" outlineLevel="0" collapsed="false">
      <c r="B5832" s="53"/>
      <c r="I5832" s="53"/>
      <c r="U5832" s="31" t="n">
        <f aca="false">IF($B5832='設定（最初に1回）'!$C$4,N(U5831)+1,N(U5831))</f>
        <v>134</v>
      </c>
    </row>
    <row r="5833" customFormat="false" ht="15" hidden="false" customHeight="false" outlineLevel="0" collapsed="false">
      <c r="B5833" s="53"/>
      <c r="I5833" s="53"/>
      <c r="U5833" s="31" t="n">
        <f aca="false">IF($B5833='設定（最初に1回）'!$C$4,N(U5832)+1,N(U5832))</f>
        <v>134</v>
      </c>
    </row>
    <row r="5834" customFormat="false" ht="15" hidden="false" customHeight="false" outlineLevel="0" collapsed="false">
      <c r="B5834" s="53"/>
      <c r="I5834" s="53"/>
      <c r="U5834" s="31" t="n">
        <f aca="false">IF($B5834='設定（最初に1回）'!$C$4,N(U5833)+1,N(U5833))</f>
        <v>134</v>
      </c>
    </row>
    <row r="5835" customFormat="false" ht="15" hidden="false" customHeight="false" outlineLevel="0" collapsed="false">
      <c r="B5835" s="53"/>
      <c r="I5835" s="53"/>
      <c r="U5835" s="31" t="n">
        <f aca="false">IF($B5835='設定（最初に1回）'!$C$4,N(U5834)+1,N(U5834))</f>
        <v>134</v>
      </c>
    </row>
    <row r="5836" customFormat="false" ht="15" hidden="false" customHeight="false" outlineLevel="0" collapsed="false">
      <c r="B5836" s="53"/>
      <c r="I5836" s="53"/>
      <c r="U5836" s="31" t="n">
        <f aca="false">IF($B5836='設定（最初に1回）'!$C$4,N(U5835)+1,N(U5835))</f>
        <v>134</v>
      </c>
    </row>
    <row r="5837" customFormat="false" ht="15" hidden="false" customHeight="false" outlineLevel="0" collapsed="false">
      <c r="B5837" s="53"/>
      <c r="I5837" s="53"/>
      <c r="U5837" s="31" t="n">
        <f aca="false">IF($B5837='設定（最初に1回）'!$C$4,N(U5836)+1,N(U5836))</f>
        <v>134</v>
      </c>
    </row>
    <row r="5838" customFormat="false" ht="15" hidden="false" customHeight="false" outlineLevel="0" collapsed="false">
      <c r="B5838" s="53"/>
      <c r="I5838" s="53"/>
      <c r="U5838" s="31" t="n">
        <f aca="false">IF($B5838='設定（最初に1回）'!$C$4,N(U5837)+1,N(U5837))</f>
        <v>134</v>
      </c>
    </row>
    <row r="5839" customFormat="false" ht="15" hidden="false" customHeight="false" outlineLevel="0" collapsed="false">
      <c r="B5839" s="53"/>
      <c r="I5839" s="53"/>
      <c r="U5839" s="31" t="n">
        <f aca="false">IF($B5839='設定（最初に1回）'!$C$4,N(U5838)+1,N(U5838))</f>
        <v>134</v>
      </c>
    </row>
    <row r="5840" customFormat="false" ht="15" hidden="false" customHeight="false" outlineLevel="0" collapsed="false">
      <c r="B5840" s="53"/>
      <c r="I5840" s="53"/>
      <c r="U5840" s="31" t="n">
        <f aca="false">IF($B5840='設定（最初に1回）'!$C$4,N(U5839)+1,N(U5839))</f>
        <v>134</v>
      </c>
    </row>
    <row r="5841" customFormat="false" ht="15" hidden="false" customHeight="false" outlineLevel="0" collapsed="false">
      <c r="B5841" s="53"/>
      <c r="I5841" s="53"/>
      <c r="U5841" s="31" t="n">
        <f aca="false">IF($B5841='設定（最初に1回）'!$C$4,N(U5840)+1,N(U5840))</f>
        <v>134</v>
      </c>
    </row>
    <row r="5842" customFormat="false" ht="15" hidden="false" customHeight="false" outlineLevel="0" collapsed="false">
      <c r="B5842" s="53"/>
      <c r="I5842" s="53"/>
      <c r="U5842" s="31" t="n">
        <f aca="false">IF($B5842='設定（最初に1回）'!$C$4,N(U5841)+1,N(U5841))</f>
        <v>134</v>
      </c>
    </row>
    <row r="5843" customFormat="false" ht="15" hidden="false" customHeight="false" outlineLevel="0" collapsed="false">
      <c r="B5843" s="53"/>
      <c r="I5843" s="53"/>
      <c r="U5843" s="31" t="n">
        <f aca="false">IF($B5843='設定（最初に1回）'!$C$4,N(U5842)+1,N(U5842))</f>
        <v>134</v>
      </c>
    </row>
    <row r="5844" customFormat="false" ht="15" hidden="false" customHeight="false" outlineLevel="0" collapsed="false">
      <c r="B5844" s="53"/>
      <c r="I5844" s="53"/>
      <c r="U5844" s="31" t="n">
        <f aca="false">IF($B5844='設定（最初に1回）'!$C$4,N(U5843)+1,N(U5843))</f>
        <v>134</v>
      </c>
    </row>
    <row r="5845" customFormat="false" ht="15" hidden="false" customHeight="false" outlineLevel="0" collapsed="false">
      <c r="B5845" s="53"/>
      <c r="I5845" s="53"/>
      <c r="U5845" s="31" t="n">
        <f aca="false">IF($B5845='設定（最初に1回）'!$C$4,N(U5844)+1,N(U5844))</f>
        <v>134</v>
      </c>
    </row>
    <row r="5846" customFormat="false" ht="15" hidden="false" customHeight="false" outlineLevel="0" collapsed="false">
      <c r="B5846" s="53"/>
      <c r="I5846" s="53"/>
      <c r="U5846" s="31" t="n">
        <f aca="false">IF($B5846='設定（最初に1回）'!$C$4,N(U5845)+1,N(U5845))</f>
        <v>134</v>
      </c>
    </row>
    <row r="5847" customFormat="false" ht="15" hidden="false" customHeight="false" outlineLevel="0" collapsed="false">
      <c r="B5847" s="53"/>
      <c r="I5847" s="53"/>
      <c r="U5847" s="31" t="n">
        <f aca="false">IF($B5847='設定（最初に1回）'!$C$4,N(U5846)+1,N(U5846))</f>
        <v>134</v>
      </c>
    </row>
    <row r="5848" customFormat="false" ht="15" hidden="false" customHeight="false" outlineLevel="0" collapsed="false">
      <c r="B5848" s="53"/>
      <c r="I5848" s="53"/>
      <c r="U5848" s="31" t="n">
        <f aca="false">IF($B5848='設定（最初に1回）'!$C$4,N(U5847)+1,N(U5847))</f>
        <v>134</v>
      </c>
    </row>
    <row r="5849" customFormat="false" ht="15" hidden="false" customHeight="false" outlineLevel="0" collapsed="false">
      <c r="B5849" s="53"/>
      <c r="I5849" s="53"/>
      <c r="U5849" s="31" t="n">
        <f aca="false">IF($B5849='設定（最初に1回）'!$C$4,N(U5848)+1,N(U5848))</f>
        <v>134</v>
      </c>
    </row>
    <row r="5850" customFormat="false" ht="15" hidden="false" customHeight="false" outlineLevel="0" collapsed="false">
      <c r="B5850" s="53"/>
      <c r="I5850" s="53"/>
      <c r="U5850" s="31" t="n">
        <f aca="false">IF($B5850='設定（最初に1回）'!$C$4,N(U5849)+1,N(U5849))</f>
        <v>134</v>
      </c>
    </row>
    <row r="5851" customFormat="false" ht="15" hidden="false" customHeight="false" outlineLevel="0" collapsed="false">
      <c r="B5851" s="53"/>
      <c r="I5851" s="53"/>
      <c r="U5851" s="31" t="n">
        <f aca="false">IF($B5851='設定（最初に1回）'!$C$4,N(U5850)+1,N(U5850))</f>
        <v>134</v>
      </c>
    </row>
    <row r="5852" customFormat="false" ht="15" hidden="false" customHeight="false" outlineLevel="0" collapsed="false">
      <c r="B5852" s="53"/>
      <c r="I5852" s="53"/>
      <c r="U5852" s="31" t="n">
        <f aca="false">IF($B5852='設定（最初に1回）'!$C$4,N(U5851)+1,N(U5851))</f>
        <v>134</v>
      </c>
    </row>
    <row r="5853" customFormat="false" ht="15" hidden="false" customHeight="false" outlineLevel="0" collapsed="false">
      <c r="B5853" s="53"/>
      <c r="I5853" s="53"/>
      <c r="U5853" s="31" t="n">
        <f aca="false">IF($B5853='設定（最初に1回）'!$C$4,N(U5852)+1,N(U5852))</f>
        <v>134</v>
      </c>
    </row>
    <row r="5854" customFormat="false" ht="15" hidden="false" customHeight="false" outlineLevel="0" collapsed="false">
      <c r="B5854" s="53"/>
      <c r="I5854" s="53"/>
      <c r="U5854" s="31" t="n">
        <f aca="false">IF($B5854='設定（最初に1回）'!$C$4,N(U5853)+1,N(U5853))</f>
        <v>134</v>
      </c>
    </row>
    <row r="5855" customFormat="false" ht="15" hidden="false" customHeight="false" outlineLevel="0" collapsed="false">
      <c r="B5855" s="53"/>
      <c r="I5855" s="53"/>
      <c r="U5855" s="31" t="n">
        <f aca="false">IF($B5855='設定（最初に1回）'!$C$4,N(U5854)+1,N(U5854))</f>
        <v>134</v>
      </c>
    </row>
    <row r="5856" customFormat="false" ht="15" hidden="false" customHeight="false" outlineLevel="0" collapsed="false">
      <c r="B5856" s="53"/>
      <c r="I5856" s="53"/>
      <c r="U5856" s="31" t="n">
        <f aca="false">IF($B5856='設定（最初に1回）'!$C$4,N(U5855)+1,N(U5855))</f>
        <v>134</v>
      </c>
    </row>
    <row r="5857" customFormat="false" ht="15" hidden="false" customHeight="false" outlineLevel="0" collapsed="false">
      <c r="B5857" s="53"/>
      <c r="I5857" s="53"/>
      <c r="U5857" s="31" t="n">
        <f aca="false">IF($B5857='設定（最初に1回）'!$C$4,N(U5856)+1,N(U5856))</f>
        <v>134</v>
      </c>
    </row>
    <row r="5858" customFormat="false" ht="15" hidden="false" customHeight="false" outlineLevel="0" collapsed="false">
      <c r="B5858" s="53"/>
      <c r="I5858" s="53"/>
      <c r="U5858" s="31" t="n">
        <f aca="false">IF($B5858='設定（最初に1回）'!$C$4,N(U5857)+1,N(U5857))</f>
        <v>134</v>
      </c>
    </row>
    <row r="5859" customFormat="false" ht="15" hidden="false" customHeight="false" outlineLevel="0" collapsed="false">
      <c r="B5859" s="53"/>
      <c r="I5859" s="53"/>
      <c r="U5859" s="31" t="n">
        <f aca="false">IF($B5859='設定（最初に1回）'!$C$4,N(U5858)+1,N(U5858))</f>
        <v>134</v>
      </c>
    </row>
    <row r="5860" customFormat="false" ht="15" hidden="false" customHeight="false" outlineLevel="0" collapsed="false">
      <c r="B5860" s="53"/>
      <c r="I5860" s="53"/>
      <c r="U5860" s="31" t="n">
        <f aca="false">IF($B5860='設定（最初に1回）'!$C$4,N(U5859)+1,N(U5859))</f>
        <v>134</v>
      </c>
    </row>
    <row r="5861" customFormat="false" ht="15" hidden="false" customHeight="false" outlineLevel="0" collapsed="false">
      <c r="B5861" s="53"/>
      <c r="I5861" s="53"/>
      <c r="U5861" s="31" t="n">
        <f aca="false">IF($B5861='設定（最初に1回）'!$C$4,N(U5860)+1,N(U5860))</f>
        <v>134</v>
      </c>
    </row>
    <row r="5862" customFormat="false" ht="15" hidden="false" customHeight="false" outlineLevel="0" collapsed="false">
      <c r="B5862" s="53"/>
      <c r="I5862" s="53"/>
      <c r="U5862" s="31" t="n">
        <f aca="false">IF($B5862='設定（最初に1回）'!$C$4,N(U5861)+1,N(U5861))</f>
        <v>134</v>
      </c>
    </row>
    <row r="5863" customFormat="false" ht="15" hidden="false" customHeight="false" outlineLevel="0" collapsed="false">
      <c r="B5863" s="53"/>
      <c r="I5863" s="53"/>
      <c r="U5863" s="31" t="n">
        <f aca="false">IF($B5863='設定（最初に1回）'!$C$4,N(U5862)+1,N(U5862))</f>
        <v>134</v>
      </c>
    </row>
    <row r="5864" customFormat="false" ht="15" hidden="false" customHeight="false" outlineLevel="0" collapsed="false">
      <c r="B5864" s="53"/>
      <c r="I5864" s="53"/>
      <c r="U5864" s="31" t="n">
        <f aca="false">IF($B5864='設定（最初に1回）'!$C$4,N(U5863)+1,N(U5863))</f>
        <v>134</v>
      </c>
    </row>
    <row r="5865" customFormat="false" ht="15" hidden="false" customHeight="false" outlineLevel="0" collapsed="false">
      <c r="B5865" s="53"/>
      <c r="I5865" s="53"/>
      <c r="U5865" s="31" t="n">
        <f aca="false">IF($B5865='設定（最初に1回）'!$C$4,N(U5864)+1,N(U5864))</f>
        <v>134</v>
      </c>
    </row>
    <row r="5866" customFormat="false" ht="15" hidden="false" customHeight="false" outlineLevel="0" collapsed="false">
      <c r="B5866" s="53"/>
      <c r="I5866" s="53"/>
      <c r="U5866" s="31" t="n">
        <f aca="false">IF($B5866='設定（最初に1回）'!$C$4,N(U5865)+1,N(U5865))</f>
        <v>134</v>
      </c>
    </row>
    <row r="5867" customFormat="false" ht="15" hidden="false" customHeight="false" outlineLevel="0" collapsed="false">
      <c r="B5867" s="53"/>
      <c r="I5867" s="53"/>
      <c r="U5867" s="31" t="n">
        <f aca="false">IF($B5867='設定（最初に1回）'!$C$4,N(U5866)+1,N(U5866))</f>
        <v>134</v>
      </c>
    </row>
    <row r="5868" customFormat="false" ht="15" hidden="false" customHeight="false" outlineLevel="0" collapsed="false">
      <c r="B5868" s="53"/>
      <c r="I5868" s="53"/>
      <c r="U5868" s="31" t="n">
        <f aca="false">IF($B5868='設定（最初に1回）'!$C$4,N(U5867)+1,N(U5867))</f>
        <v>134</v>
      </c>
    </row>
    <row r="5869" customFormat="false" ht="15" hidden="false" customHeight="false" outlineLevel="0" collapsed="false">
      <c r="B5869" s="53"/>
      <c r="I5869" s="53"/>
      <c r="U5869" s="31" t="n">
        <f aca="false">IF($B5869='設定（最初に1回）'!$C$4,N(U5868)+1,N(U5868))</f>
        <v>134</v>
      </c>
    </row>
    <row r="5870" customFormat="false" ht="15" hidden="false" customHeight="false" outlineLevel="0" collapsed="false">
      <c r="B5870" s="53"/>
      <c r="I5870" s="53"/>
      <c r="U5870" s="31" t="n">
        <f aca="false">IF($B5870='設定（最初に1回）'!$C$4,N(U5869)+1,N(U5869))</f>
        <v>134</v>
      </c>
    </row>
    <row r="5871" customFormat="false" ht="15" hidden="false" customHeight="false" outlineLevel="0" collapsed="false">
      <c r="B5871" s="53"/>
      <c r="I5871" s="53"/>
      <c r="U5871" s="31" t="n">
        <f aca="false">IF($B5871='設定（最初に1回）'!$C$4,N(U5870)+1,N(U5870))</f>
        <v>134</v>
      </c>
    </row>
    <row r="5872" customFormat="false" ht="15" hidden="false" customHeight="false" outlineLevel="0" collapsed="false">
      <c r="B5872" s="53"/>
      <c r="I5872" s="53"/>
      <c r="U5872" s="31" t="n">
        <f aca="false">IF($B5872='設定（最初に1回）'!$C$4,N(U5871)+1,N(U5871))</f>
        <v>134</v>
      </c>
    </row>
    <row r="5873" customFormat="false" ht="15" hidden="false" customHeight="false" outlineLevel="0" collapsed="false">
      <c r="B5873" s="53"/>
      <c r="I5873" s="53"/>
      <c r="U5873" s="31" t="n">
        <f aca="false">IF($B5873='設定（最初に1回）'!$C$4,N(U5872)+1,N(U5872))</f>
        <v>134</v>
      </c>
    </row>
    <row r="5874" customFormat="false" ht="15" hidden="false" customHeight="false" outlineLevel="0" collapsed="false">
      <c r="B5874" s="53"/>
      <c r="I5874" s="53"/>
      <c r="U5874" s="31" t="n">
        <f aca="false">IF($B5874='設定（最初に1回）'!$C$4,N(U5873)+1,N(U5873))</f>
        <v>134</v>
      </c>
    </row>
    <row r="5875" customFormat="false" ht="15" hidden="false" customHeight="false" outlineLevel="0" collapsed="false">
      <c r="B5875" s="53"/>
      <c r="I5875" s="53"/>
      <c r="U5875" s="31" t="n">
        <f aca="false">IF($B5875='設定（最初に1回）'!$C$4,N(U5874)+1,N(U5874))</f>
        <v>134</v>
      </c>
    </row>
    <row r="5876" customFormat="false" ht="15" hidden="false" customHeight="false" outlineLevel="0" collapsed="false">
      <c r="B5876" s="53"/>
      <c r="I5876" s="53"/>
      <c r="U5876" s="31" t="n">
        <f aca="false">IF($B5876='設定（最初に1回）'!$C$4,N(U5875)+1,N(U5875))</f>
        <v>134</v>
      </c>
    </row>
    <row r="5877" customFormat="false" ht="15" hidden="false" customHeight="false" outlineLevel="0" collapsed="false">
      <c r="B5877" s="53"/>
      <c r="I5877" s="53"/>
      <c r="U5877" s="31" t="n">
        <f aca="false">IF($B5877='設定（最初に1回）'!$C$4,N(U5876)+1,N(U5876))</f>
        <v>134</v>
      </c>
    </row>
    <row r="5878" customFormat="false" ht="15" hidden="false" customHeight="false" outlineLevel="0" collapsed="false">
      <c r="B5878" s="53"/>
      <c r="I5878" s="53"/>
      <c r="U5878" s="31" t="n">
        <f aca="false">IF($B5878='設定（最初に1回）'!$C$4,N(U5877)+1,N(U5877))</f>
        <v>134</v>
      </c>
    </row>
    <row r="5879" customFormat="false" ht="15" hidden="false" customHeight="false" outlineLevel="0" collapsed="false">
      <c r="B5879" s="53"/>
      <c r="I5879" s="53"/>
      <c r="U5879" s="31" t="n">
        <f aca="false">IF($B5879='設定（最初に1回）'!$C$4,N(U5878)+1,N(U5878))</f>
        <v>134</v>
      </c>
    </row>
    <row r="5880" customFormat="false" ht="15" hidden="false" customHeight="false" outlineLevel="0" collapsed="false">
      <c r="B5880" s="53"/>
      <c r="I5880" s="53"/>
      <c r="U5880" s="31" t="n">
        <f aca="false">IF($B5880='設定（最初に1回）'!$C$4,N(U5879)+1,N(U5879))</f>
        <v>134</v>
      </c>
    </row>
    <row r="5881" customFormat="false" ht="15" hidden="false" customHeight="false" outlineLevel="0" collapsed="false">
      <c r="B5881" s="53"/>
      <c r="I5881" s="53"/>
      <c r="U5881" s="31" t="n">
        <f aca="false">IF($B5881='設定（最初に1回）'!$C$4,N(U5880)+1,N(U5880))</f>
        <v>134</v>
      </c>
    </row>
    <row r="5882" customFormat="false" ht="15" hidden="false" customHeight="false" outlineLevel="0" collapsed="false">
      <c r="B5882" s="53"/>
      <c r="I5882" s="53"/>
      <c r="U5882" s="31" t="n">
        <f aca="false">IF($B5882='設定（最初に1回）'!$C$4,N(U5881)+1,N(U5881))</f>
        <v>134</v>
      </c>
    </row>
    <row r="5883" customFormat="false" ht="15" hidden="false" customHeight="false" outlineLevel="0" collapsed="false">
      <c r="B5883" s="53"/>
      <c r="I5883" s="53"/>
      <c r="U5883" s="31" t="n">
        <f aca="false">IF($B5883='設定（最初に1回）'!$C$4,N(U5882)+1,N(U5882))</f>
        <v>134</v>
      </c>
    </row>
    <row r="5884" customFormat="false" ht="15" hidden="false" customHeight="false" outlineLevel="0" collapsed="false">
      <c r="B5884" s="53"/>
      <c r="I5884" s="53"/>
      <c r="U5884" s="31" t="n">
        <f aca="false">IF($B5884='設定（最初に1回）'!$C$4,N(U5883)+1,N(U5883))</f>
        <v>134</v>
      </c>
    </row>
    <row r="5885" customFormat="false" ht="15" hidden="false" customHeight="false" outlineLevel="0" collapsed="false">
      <c r="B5885" s="53"/>
      <c r="I5885" s="53"/>
      <c r="U5885" s="31" t="n">
        <f aca="false">IF($B5885='設定（最初に1回）'!$C$4,N(U5884)+1,N(U5884))</f>
        <v>134</v>
      </c>
    </row>
    <row r="5886" customFormat="false" ht="15" hidden="false" customHeight="false" outlineLevel="0" collapsed="false">
      <c r="B5886" s="53"/>
      <c r="I5886" s="53"/>
      <c r="U5886" s="31" t="n">
        <f aca="false">IF($B5886='設定（最初に1回）'!$C$4,N(U5885)+1,N(U5885))</f>
        <v>134</v>
      </c>
    </row>
    <row r="5887" customFormat="false" ht="15" hidden="false" customHeight="false" outlineLevel="0" collapsed="false">
      <c r="B5887" s="53"/>
      <c r="I5887" s="53"/>
      <c r="U5887" s="31" t="n">
        <f aca="false">IF($B5887='設定（最初に1回）'!$C$4,N(U5886)+1,N(U5886))</f>
        <v>134</v>
      </c>
    </row>
    <row r="5888" customFormat="false" ht="15" hidden="false" customHeight="false" outlineLevel="0" collapsed="false">
      <c r="B5888" s="53"/>
      <c r="I5888" s="53"/>
      <c r="U5888" s="31" t="n">
        <f aca="false">IF($B5888='設定（最初に1回）'!$C$4,N(U5887)+1,N(U5887))</f>
        <v>134</v>
      </c>
    </row>
    <row r="5889" customFormat="false" ht="15" hidden="false" customHeight="false" outlineLevel="0" collapsed="false">
      <c r="B5889" s="53"/>
      <c r="I5889" s="53"/>
      <c r="U5889" s="31" t="n">
        <f aca="false">IF($B5889='設定（最初に1回）'!$C$4,N(U5888)+1,N(U5888))</f>
        <v>134</v>
      </c>
    </row>
    <row r="5890" customFormat="false" ht="15" hidden="false" customHeight="false" outlineLevel="0" collapsed="false">
      <c r="B5890" s="53"/>
      <c r="I5890" s="53"/>
      <c r="U5890" s="31" t="n">
        <f aca="false">IF($B5890='設定（最初に1回）'!$C$4,N(U5889)+1,N(U5889))</f>
        <v>134</v>
      </c>
    </row>
    <row r="5891" customFormat="false" ht="15" hidden="false" customHeight="false" outlineLevel="0" collapsed="false">
      <c r="B5891" s="53"/>
      <c r="I5891" s="53"/>
      <c r="U5891" s="31" t="n">
        <f aca="false">IF($B5891='設定（最初に1回）'!$C$4,N(U5890)+1,N(U5890))</f>
        <v>134</v>
      </c>
    </row>
    <row r="5892" customFormat="false" ht="15" hidden="false" customHeight="false" outlineLevel="0" collapsed="false">
      <c r="B5892" s="53"/>
      <c r="I5892" s="53"/>
      <c r="U5892" s="31" t="n">
        <f aca="false">IF($B5892='設定（最初に1回）'!$C$4,N(U5891)+1,N(U5891))</f>
        <v>134</v>
      </c>
    </row>
    <row r="5893" customFormat="false" ht="15" hidden="false" customHeight="false" outlineLevel="0" collapsed="false">
      <c r="B5893" s="53"/>
      <c r="I5893" s="53"/>
      <c r="U5893" s="31" t="n">
        <f aca="false">IF($B5893='設定（最初に1回）'!$C$4,N(U5892)+1,N(U5892))</f>
        <v>134</v>
      </c>
    </row>
    <row r="5894" customFormat="false" ht="15" hidden="false" customHeight="false" outlineLevel="0" collapsed="false">
      <c r="B5894" s="53"/>
      <c r="I5894" s="53"/>
      <c r="U5894" s="31" t="n">
        <f aca="false">IF($B5894='設定（最初に1回）'!$C$4,N(U5893)+1,N(U5893))</f>
        <v>134</v>
      </c>
    </row>
    <row r="5895" customFormat="false" ht="15" hidden="false" customHeight="false" outlineLevel="0" collapsed="false">
      <c r="B5895" s="53"/>
      <c r="I5895" s="53"/>
      <c r="U5895" s="31" t="n">
        <f aca="false">IF($B5895='設定（最初に1回）'!$C$4,N(U5894)+1,N(U5894))</f>
        <v>134</v>
      </c>
    </row>
    <row r="5896" customFormat="false" ht="15" hidden="false" customHeight="false" outlineLevel="0" collapsed="false">
      <c r="B5896" s="53"/>
      <c r="I5896" s="53"/>
      <c r="U5896" s="31" t="n">
        <f aca="false">IF($B5896='設定（最初に1回）'!$C$4,N(U5895)+1,N(U5895))</f>
        <v>134</v>
      </c>
    </row>
    <row r="5897" customFormat="false" ht="15" hidden="false" customHeight="false" outlineLevel="0" collapsed="false">
      <c r="B5897" s="53"/>
      <c r="I5897" s="53"/>
      <c r="U5897" s="31" t="n">
        <f aca="false">IF($B5897='設定（最初に1回）'!$C$4,N(U5896)+1,N(U5896))</f>
        <v>134</v>
      </c>
    </row>
    <row r="5898" customFormat="false" ht="15" hidden="false" customHeight="false" outlineLevel="0" collapsed="false">
      <c r="B5898" s="53"/>
      <c r="I5898" s="53"/>
      <c r="U5898" s="31" t="n">
        <f aca="false">IF($B5898='設定（最初に1回）'!$C$4,N(U5897)+1,N(U5897))</f>
        <v>134</v>
      </c>
    </row>
    <row r="5899" customFormat="false" ht="15" hidden="false" customHeight="false" outlineLevel="0" collapsed="false">
      <c r="B5899" s="53"/>
      <c r="I5899" s="53"/>
      <c r="U5899" s="31" t="n">
        <f aca="false">IF($B5899='設定（最初に1回）'!$C$4,N(U5898)+1,N(U5898))</f>
        <v>134</v>
      </c>
    </row>
    <row r="5900" customFormat="false" ht="15" hidden="false" customHeight="false" outlineLevel="0" collapsed="false">
      <c r="B5900" s="53"/>
      <c r="I5900" s="53"/>
      <c r="U5900" s="31" t="n">
        <f aca="false">IF($B5900='設定（最初に1回）'!$C$4,N(U5899)+1,N(U5899))</f>
        <v>134</v>
      </c>
    </row>
    <row r="5901" customFormat="false" ht="15" hidden="false" customHeight="false" outlineLevel="0" collapsed="false">
      <c r="B5901" s="53"/>
      <c r="I5901" s="53"/>
      <c r="U5901" s="31" t="n">
        <f aca="false">IF($B5901='設定（最初に1回）'!$C$4,N(U5900)+1,N(U5900))</f>
        <v>134</v>
      </c>
    </row>
    <row r="5902" customFormat="false" ht="15" hidden="false" customHeight="false" outlineLevel="0" collapsed="false">
      <c r="B5902" s="53"/>
      <c r="I5902" s="53"/>
      <c r="U5902" s="31" t="n">
        <f aca="false">IF($B5902='設定（最初に1回）'!$C$4,N(U5901)+1,N(U5901))</f>
        <v>134</v>
      </c>
    </row>
    <row r="5903" customFormat="false" ht="15" hidden="false" customHeight="false" outlineLevel="0" collapsed="false">
      <c r="B5903" s="53"/>
      <c r="I5903" s="53"/>
      <c r="U5903" s="31" t="n">
        <f aca="false">IF($B5903='設定（最初に1回）'!$C$4,N(U5902)+1,N(U5902))</f>
        <v>134</v>
      </c>
    </row>
    <row r="5904" customFormat="false" ht="15" hidden="false" customHeight="false" outlineLevel="0" collapsed="false">
      <c r="B5904" s="53"/>
      <c r="I5904" s="53"/>
      <c r="U5904" s="31" t="n">
        <f aca="false">IF($B5904='設定（最初に1回）'!$C$4,N(U5903)+1,N(U5903))</f>
        <v>134</v>
      </c>
    </row>
    <row r="5905" customFormat="false" ht="15" hidden="false" customHeight="false" outlineLevel="0" collapsed="false">
      <c r="B5905" s="53"/>
      <c r="I5905" s="53"/>
      <c r="U5905" s="31" t="n">
        <f aca="false">IF($B5905='設定（最初に1回）'!$C$4,N(U5904)+1,N(U5904))</f>
        <v>134</v>
      </c>
    </row>
    <row r="5906" customFormat="false" ht="15" hidden="false" customHeight="false" outlineLevel="0" collapsed="false">
      <c r="B5906" s="53"/>
      <c r="I5906" s="53"/>
      <c r="U5906" s="31" t="n">
        <f aca="false">IF($B5906='設定（最初に1回）'!$C$4,N(U5905)+1,N(U5905))</f>
        <v>134</v>
      </c>
    </row>
    <row r="5907" customFormat="false" ht="15" hidden="false" customHeight="false" outlineLevel="0" collapsed="false">
      <c r="B5907" s="53"/>
      <c r="I5907" s="53"/>
      <c r="U5907" s="31" t="n">
        <f aca="false">IF($B5907='設定（最初に1回）'!$C$4,N(U5906)+1,N(U5906))</f>
        <v>134</v>
      </c>
    </row>
    <row r="5908" customFormat="false" ht="15" hidden="false" customHeight="false" outlineLevel="0" collapsed="false">
      <c r="B5908" s="53"/>
      <c r="I5908" s="53"/>
      <c r="U5908" s="31" t="n">
        <f aca="false">IF($B5908='設定（最初に1回）'!$C$4,N(U5907)+1,N(U5907))</f>
        <v>134</v>
      </c>
    </row>
    <row r="5909" customFormat="false" ht="15" hidden="false" customHeight="false" outlineLevel="0" collapsed="false">
      <c r="B5909" s="53"/>
      <c r="I5909" s="53"/>
      <c r="U5909" s="31" t="n">
        <f aca="false">IF($B5909='設定（最初に1回）'!$C$4,N(U5908)+1,N(U5908))</f>
        <v>134</v>
      </c>
    </row>
    <row r="5910" customFormat="false" ht="15" hidden="false" customHeight="false" outlineLevel="0" collapsed="false">
      <c r="B5910" s="53"/>
      <c r="I5910" s="53"/>
      <c r="U5910" s="31" t="n">
        <f aca="false">IF($B5910='設定（最初に1回）'!$C$4,N(U5909)+1,N(U5909))</f>
        <v>134</v>
      </c>
    </row>
    <row r="5911" customFormat="false" ht="15" hidden="false" customHeight="false" outlineLevel="0" collapsed="false">
      <c r="B5911" s="53"/>
      <c r="I5911" s="53"/>
      <c r="U5911" s="31" t="n">
        <f aca="false">IF($B5911='設定（最初に1回）'!$C$4,N(U5910)+1,N(U5910))</f>
        <v>134</v>
      </c>
    </row>
    <row r="5912" customFormat="false" ht="15" hidden="false" customHeight="false" outlineLevel="0" collapsed="false">
      <c r="B5912" s="53"/>
      <c r="I5912" s="53"/>
      <c r="U5912" s="31" t="n">
        <f aca="false">IF($B5912='設定（最初に1回）'!$C$4,N(U5911)+1,N(U5911))</f>
        <v>134</v>
      </c>
    </row>
    <row r="5913" customFormat="false" ht="15" hidden="false" customHeight="false" outlineLevel="0" collapsed="false">
      <c r="B5913" s="53"/>
      <c r="I5913" s="53"/>
      <c r="U5913" s="31" t="n">
        <f aca="false">IF($B5913='設定（最初に1回）'!$C$4,N(U5912)+1,N(U5912))</f>
        <v>134</v>
      </c>
    </row>
    <row r="5914" customFormat="false" ht="15" hidden="false" customHeight="false" outlineLevel="0" collapsed="false">
      <c r="B5914" s="53"/>
      <c r="I5914" s="53"/>
      <c r="U5914" s="31" t="n">
        <f aca="false">IF($B5914='設定（最初に1回）'!$C$4,N(U5913)+1,N(U5913))</f>
        <v>134</v>
      </c>
    </row>
    <row r="5915" customFormat="false" ht="15" hidden="false" customHeight="false" outlineLevel="0" collapsed="false">
      <c r="B5915" s="53"/>
      <c r="I5915" s="53"/>
      <c r="U5915" s="31" t="n">
        <f aca="false">IF($B5915='設定（最初に1回）'!$C$4,N(U5914)+1,N(U5914))</f>
        <v>134</v>
      </c>
    </row>
    <row r="5916" customFormat="false" ht="15" hidden="false" customHeight="false" outlineLevel="0" collapsed="false">
      <c r="B5916" s="53"/>
      <c r="I5916" s="53"/>
      <c r="U5916" s="31" t="n">
        <f aca="false">IF($B5916='設定（最初に1回）'!$C$4,N(U5915)+1,N(U5915))</f>
        <v>134</v>
      </c>
    </row>
    <row r="5917" customFormat="false" ht="15" hidden="false" customHeight="false" outlineLevel="0" collapsed="false">
      <c r="B5917" s="53"/>
      <c r="I5917" s="53"/>
      <c r="U5917" s="31" t="n">
        <f aca="false">IF($B5917='設定（最初に1回）'!$C$4,N(U5916)+1,N(U5916))</f>
        <v>134</v>
      </c>
    </row>
    <row r="5918" customFormat="false" ht="15" hidden="false" customHeight="false" outlineLevel="0" collapsed="false">
      <c r="B5918" s="53"/>
      <c r="I5918" s="53"/>
      <c r="U5918" s="31" t="n">
        <f aca="false">IF($B5918='設定（最初に1回）'!$C$4,N(U5917)+1,N(U5917))</f>
        <v>134</v>
      </c>
    </row>
    <row r="5919" customFormat="false" ht="15" hidden="false" customHeight="false" outlineLevel="0" collapsed="false">
      <c r="B5919" s="53"/>
      <c r="I5919" s="53"/>
      <c r="U5919" s="31" t="n">
        <f aca="false">IF($B5919='設定（最初に1回）'!$C$4,N(U5918)+1,N(U5918))</f>
        <v>134</v>
      </c>
    </row>
    <row r="5920" customFormat="false" ht="15" hidden="false" customHeight="false" outlineLevel="0" collapsed="false">
      <c r="B5920" s="53"/>
      <c r="I5920" s="53"/>
      <c r="U5920" s="31" t="n">
        <f aca="false">IF($B5920='設定（最初に1回）'!$C$4,N(U5919)+1,N(U5919))</f>
        <v>134</v>
      </c>
    </row>
    <row r="5921" customFormat="false" ht="15" hidden="false" customHeight="false" outlineLevel="0" collapsed="false">
      <c r="B5921" s="53"/>
      <c r="I5921" s="53"/>
      <c r="U5921" s="31" t="n">
        <f aca="false">IF($B5921='設定（最初に1回）'!$C$4,N(U5920)+1,N(U5920))</f>
        <v>134</v>
      </c>
    </row>
    <row r="5922" customFormat="false" ht="15" hidden="false" customHeight="false" outlineLevel="0" collapsed="false">
      <c r="B5922" s="53"/>
      <c r="I5922" s="53"/>
      <c r="U5922" s="31" t="n">
        <f aca="false">IF($B5922='設定（最初に1回）'!$C$4,N(U5921)+1,N(U5921))</f>
        <v>134</v>
      </c>
    </row>
    <row r="5923" customFormat="false" ht="15" hidden="false" customHeight="false" outlineLevel="0" collapsed="false">
      <c r="B5923" s="53"/>
      <c r="I5923" s="53"/>
      <c r="U5923" s="31" t="n">
        <f aca="false">IF($B5923='設定（最初に1回）'!$C$4,N(U5922)+1,N(U5922))</f>
        <v>134</v>
      </c>
    </row>
    <row r="5924" customFormat="false" ht="15" hidden="false" customHeight="false" outlineLevel="0" collapsed="false">
      <c r="B5924" s="53"/>
      <c r="I5924" s="53"/>
      <c r="U5924" s="31" t="n">
        <f aca="false">IF($B5924='設定（最初に1回）'!$C$4,N(U5923)+1,N(U5923))</f>
        <v>134</v>
      </c>
    </row>
    <row r="5925" customFormat="false" ht="15" hidden="false" customHeight="false" outlineLevel="0" collapsed="false">
      <c r="B5925" s="53"/>
      <c r="I5925" s="53"/>
      <c r="U5925" s="31" t="n">
        <f aca="false">IF($B5925='設定（最初に1回）'!$C$4,N(U5924)+1,N(U5924))</f>
        <v>134</v>
      </c>
    </row>
    <row r="5926" customFormat="false" ht="15" hidden="false" customHeight="false" outlineLevel="0" collapsed="false">
      <c r="B5926" s="53"/>
      <c r="I5926" s="53"/>
      <c r="U5926" s="31" t="n">
        <f aca="false">IF($B5926='設定（最初に1回）'!$C$4,N(U5925)+1,N(U5925))</f>
        <v>134</v>
      </c>
    </row>
    <row r="5927" customFormat="false" ht="15" hidden="false" customHeight="false" outlineLevel="0" collapsed="false">
      <c r="B5927" s="53"/>
      <c r="I5927" s="53"/>
      <c r="U5927" s="31" t="n">
        <f aca="false">IF($B5927='設定（最初に1回）'!$C$4,N(U5926)+1,N(U5926))</f>
        <v>134</v>
      </c>
    </row>
    <row r="5928" customFormat="false" ht="15" hidden="false" customHeight="false" outlineLevel="0" collapsed="false">
      <c r="B5928" s="53"/>
      <c r="I5928" s="53"/>
      <c r="U5928" s="31" t="n">
        <f aca="false">IF($B5928='設定（最初に1回）'!$C$4,N(U5927)+1,N(U5927))</f>
        <v>134</v>
      </c>
    </row>
    <row r="5929" customFormat="false" ht="15" hidden="false" customHeight="false" outlineLevel="0" collapsed="false">
      <c r="B5929" s="53"/>
      <c r="I5929" s="53"/>
      <c r="U5929" s="31" t="n">
        <f aca="false">IF($B5929='設定（最初に1回）'!$C$4,N(U5928)+1,N(U5928))</f>
        <v>134</v>
      </c>
    </row>
    <row r="5930" customFormat="false" ht="15" hidden="false" customHeight="false" outlineLevel="0" collapsed="false">
      <c r="B5930" s="53"/>
      <c r="I5930" s="53"/>
      <c r="U5930" s="31" t="n">
        <f aca="false">IF($B5930='設定（最初に1回）'!$C$4,N(U5929)+1,N(U5929))</f>
        <v>134</v>
      </c>
    </row>
    <row r="5931" customFormat="false" ht="15" hidden="false" customHeight="false" outlineLevel="0" collapsed="false">
      <c r="B5931" s="53"/>
      <c r="I5931" s="53"/>
      <c r="U5931" s="31" t="n">
        <f aca="false">IF($B5931='設定（最初に1回）'!$C$4,N(U5930)+1,N(U5930))</f>
        <v>134</v>
      </c>
    </row>
    <row r="5932" customFormat="false" ht="15" hidden="false" customHeight="false" outlineLevel="0" collapsed="false">
      <c r="B5932" s="53"/>
      <c r="I5932" s="53"/>
      <c r="U5932" s="31" t="n">
        <f aca="false">IF($B5932='設定（最初に1回）'!$C$4,N(U5931)+1,N(U5931))</f>
        <v>134</v>
      </c>
    </row>
    <row r="5933" customFormat="false" ht="15" hidden="false" customHeight="false" outlineLevel="0" collapsed="false">
      <c r="B5933" s="53"/>
      <c r="I5933" s="53"/>
      <c r="U5933" s="31" t="n">
        <f aca="false">IF($B5933='設定（最初に1回）'!$C$4,N(U5932)+1,N(U5932))</f>
        <v>134</v>
      </c>
    </row>
    <row r="5934" customFormat="false" ht="15" hidden="false" customHeight="false" outlineLevel="0" collapsed="false">
      <c r="B5934" s="53"/>
      <c r="I5934" s="53"/>
      <c r="U5934" s="31" t="n">
        <f aca="false">IF($B5934='設定（最初に1回）'!$C$4,N(U5933)+1,N(U5933))</f>
        <v>134</v>
      </c>
    </row>
    <row r="5935" customFormat="false" ht="15" hidden="false" customHeight="false" outlineLevel="0" collapsed="false">
      <c r="B5935" s="53"/>
      <c r="I5935" s="53"/>
      <c r="U5935" s="31" t="n">
        <f aca="false">IF($B5935='設定（最初に1回）'!$C$4,N(U5934)+1,N(U5934))</f>
        <v>134</v>
      </c>
    </row>
    <row r="5936" customFormat="false" ht="15" hidden="false" customHeight="false" outlineLevel="0" collapsed="false">
      <c r="B5936" s="53"/>
      <c r="I5936" s="53"/>
      <c r="U5936" s="31" t="n">
        <f aca="false">IF($B5936='設定（最初に1回）'!$C$4,N(U5935)+1,N(U5935))</f>
        <v>134</v>
      </c>
    </row>
    <row r="5937" customFormat="false" ht="15" hidden="false" customHeight="false" outlineLevel="0" collapsed="false">
      <c r="B5937" s="53"/>
      <c r="I5937" s="53"/>
      <c r="U5937" s="31" t="n">
        <f aca="false">IF($B5937='設定（最初に1回）'!$C$4,N(U5936)+1,N(U5936))</f>
        <v>134</v>
      </c>
    </row>
    <row r="5938" customFormat="false" ht="15" hidden="false" customHeight="false" outlineLevel="0" collapsed="false">
      <c r="B5938" s="53"/>
      <c r="I5938" s="53"/>
      <c r="U5938" s="31" t="n">
        <f aca="false">IF($B5938='設定（最初に1回）'!$C$4,N(U5937)+1,N(U5937))</f>
        <v>134</v>
      </c>
    </row>
    <row r="5939" customFormat="false" ht="15" hidden="false" customHeight="false" outlineLevel="0" collapsed="false">
      <c r="B5939" s="53"/>
      <c r="I5939" s="53"/>
      <c r="U5939" s="31" t="n">
        <f aca="false">IF($B5939='設定（最初に1回）'!$C$4,N(U5938)+1,N(U5938))</f>
        <v>134</v>
      </c>
    </row>
    <row r="5940" customFormat="false" ht="15" hidden="false" customHeight="false" outlineLevel="0" collapsed="false">
      <c r="B5940" s="53"/>
      <c r="I5940" s="53"/>
      <c r="U5940" s="31" t="n">
        <f aca="false">IF($B5940='設定（最初に1回）'!$C$4,N(U5939)+1,N(U5939))</f>
        <v>134</v>
      </c>
    </row>
    <row r="5941" customFormat="false" ht="15" hidden="false" customHeight="false" outlineLevel="0" collapsed="false">
      <c r="B5941" s="53"/>
      <c r="I5941" s="53"/>
      <c r="U5941" s="31" t="n">
        <f aca="false">IF($B5941='設定（最初に1回）'!$C$4,N(U5940)+1,N(U5940))</f>
        <v>134</v>
      </c>
    </row>
    <row r="5942" customFormat="false" ht="15" hidden="false" customHeight="false" outlineLevel="0" collapsed="false">
      <c r="B5942" s="53"/>
      <c r="I5942" s="53"/>
      <c r="U5942" s="31" t="n">
        <f aca="false">IF($B5942='設定（最初に1回）'!$C$4,N(U5941)+1,N(U5941))</f>
        <v>134</v>
      </c>
    </row>
    <row r="5943" customFormat="false" ht="15" hidden="false" customHeight="false" outlineLevel="0" collapsed="false">
      <c r="B5943" s="53"/>
      <c r="I5943" s="53"/>
      <c r="U5943" s="31" t="n">
        <f aca="false">IF($B5943='設定（最初に1回）'!$C$4,N(U5942)+1,N(U5942))</f>
        <v>134</v>
      </c>
    </row>
    <row r="5944" customFormat="false" ht="15" hidden="false" customHeight="false" outlineLevel="0" collapsed="false">
      <c r="B5944" s="53"/>
      <c r="I5944" s="53"/>
      <c r="U5944" s="31" t="n">
        <f aca="false">IF($B5944='設定（最初に1回）'!$C$4,N(U5943)+1,N(U5943))</f>
        <v>134</v>
      </c>
    </row>
    <row r="5945" customFormat="false" ht="15" hidden="false" customHeight="false" outlineLevel="0" collapsed="false">
      <c r="B5945" s="53"/>
      <c r="I5945" s="53"/>
      <c r="U5945" s="31" t="n">
        <f aca="false">IF($B5945='設定（最初に1回）'!$C$4,N(U5944)+1,N(U5944))</f>
        <v>134</v>
      </c>
    </row>
    <row r="5946" customFormat="false" ht="15" hidden="false" customHeight="false" outlineLevel="0" collapsed="false">
      <c r="B5946" s="53"/>
      <c r="I5946" s="53"/>
      <c r="U5946" s="31" t="n">
        <f aca="false">IF($B5946='設定（最初に1回）'!$C$4,N(U5945)+1,N(U5945))</f>
        <v>134</v>
      </c>
    </row>
    <row r="5947" customFormat="false" ht="15" hidden="false" customHeight="false" outlineLevel="0" collapsed="false">
      <c r="B5947" s="53"/>
      <c r="I5947" s="53"/>
      <c r="U5947" s="31" t="n">
        <f aca="false">IF($B5947='設定（最初に1回）'!$C$4,N(U5946)+1,N(U5946))</f>
        <v>134</v>
      </c>
    </row>
    <row r="5948" customFormat="false" ht="15" hidden="false" customHeight="false" outlineLevel="0" collapsed="false">
      <c r="B5948" s="53"/>
      <c r="I5948" s="53"/>
      <c r="U5948" s="31" t="n">
        <f aca="false">IF($B5948='設定（最初に1回）'!$C$4,N(U5947)+1,N(U5947))</f>
        <v>134</v>
      </c>
    </row>
    <row r="5949" customFormat="false" ht="15" hidden="false" customHeight="false" outlineLevel="0" collapsed="false">
      <c r="B5949" s="53"/>
      <c r="I5949" s="53"/>
      <c r="U5949" s="31" t="n">
        <f aca="false">IF($B5949='設定（最初に1回）'!$C$4,N(U5948)+1,N(U5948))</f>
        <v>134</v>
      </c>
    </row>
    <row r="5950" customFormat="false" ht="15" hidden="false" customHeight="false" outlineLevel="0" collapsed="false">
      <c r="B5950" s="53"/>
      <c r="I5950" s="53"/>
      <c r="U5950" s="31" t="n">
        <f aca="false">IF($B5950='設定（最初に1回）'!$C$4,N(U5949)+1,N(U5949))</f>
        <v>134</v>
      </c>
    </row>
    <row r="5951" customFormat="false" ht="15" hidden="false" customHeight="false" outlineLevel="0" collapsed="false">
      <c r="B5951" s="53"/>
      <c r="I5951" s="53"/>
      <c r="U5951" s="31" t="n">
        <f aca="false">IF($B5951='設定（最初に1回）'!$C$4,N(U5950)+1,N(U5950))</f>
        <v>134</v>
      </c>
    </row>
    <row r="5952" customFormat="false" ht="15" hidden="false" customHeight="false" outlineLevel="0" collapsed="false">
      <c r="B5952" s="53"/>
      <c r="I5952" s="53"/>
      <c r="U5952" s="31" t="n">
        <f aca="false">IF($B5952='設定（最初に1回）'!$C$4,N(U5951)+1,N(U5951))</f>
        <v>134</v>
      </c>
    </row>
    <row r="5953" customFormat="false" ht="15" hidden="false" customHeight="false" outlineLevel="0" collapsed="false">
      <c r="B5953" s="53"/>
      <c r="I5953" s="53"/>
      <c r="U5953" s="31" t="n">
        <f aca="false">IF($B5953='設定（最初に1回）'!$C$4,N(U5952)+1,N(U5952))</f>
        <v>134</v>
      </c>
    </row>
    <row r="5954" customFormat="false" ht="15" hidden="false" customHeight="false" outlineLevel="0" collapsed="false">
      <c r="B5954" s="53"/>
      <c r="I5954" s="53"/>
      <c r="U5954" s="31" t="n">
        <f aca="false">IF($B5954='設定（最初に1回）'!$C$4,N(U5953)+1,N(U5953))</f>
        <v>134</v>
      </c>
    </row>
    <row r="5955" customFormat="false" ht="15" hidden="false" customHeight="false" outlineLevel="0" collapsed="false">
      <c r="B5955" s="53"/>
      <c r="I5955" s="53"/>
      <c r="U5955" s="31" t="n">
        <f aca="false">IF($B5955='設定（最初に1回）'!$C$4,N(U5954)+1,N(U5954))</f>
        <v>134</v>
      </c>
    </row>
    <row r="5956" customFormat="false" ht="15" hidden="false" customHeight="false" outlineLevel="0" collapsed="false">
      <c r="B5956" s="53"/>
      <c r="I5956" s="53"/>
      <c r="U5956" s="31" t="n">
        <f aca="false">IF($B5956='設定（最初に1回）'!$C$4,N(U5955)+1,N(U5955))</f>
        <v>134</v>
      </c>
    </row>
    <row r="5957" customFormat="false" ht="15" hidden="false" customHeight="false" outlineLevel="0" collapsed="false">
      <c r="B5957" s="53"/>
      <c r="I5957" s="53"/>
      <c r="U5957" s="31" t="n">
        <f aca="false">IF($B5957='設定（最初に1回）'!$C$4,N(U5956)+1,N(U5956))</f>
        <v>134</v>
      </c>
    </row>
    <row r="5958" customFormat="false" ht="15" hidden="false" customHeight="false" outlineLevel="0" collapsed="false">
      <c r="B5958" s="53"/>
      <c r="I5958" s="53"/>
      <c r="U5958" s="31" t="n">
        <f aca="false">IF($B5958='設定（最初に1回）'!$C$4,N(U5957)+1,N(U5957))</f>
        <v>134</v>
      </c>
    </row>
    <row r="5959" customFormat="false" ht="15" hidden="false" customHeight="false" outlineLevel="0" collapsed="false">
      <c r="B5959" s="53"/>
      <c r="I5959" s="53"/>
      <c r="U5959" s="31" t="n">
        <f aca="false">IF($B5959='設定（最初に1回）'!$C$4,N(U5958)+1,N(U5958))</f>
        <v>134</v>
      </c>
    </row>
    <row r="5960" customFormat="false" ht="15" hidden="false" customHeight="false" outlineLevel="0" collapsed="false">
      <c r="B5960" s="53"/>
      <c r="I5960" s="53"/>
      <c r="U5960" s="31" t="n">
        <f aca="false">IF($B5960='設定（最初に1回）'!$C$4,N(U5959)+1,N(U5959))</f>
        <v>134</v>
      </c>
    </row>
    <row r="5961" customFormat="false" ht="15" hidden="false" customHeight="false" outlineLevel="0" collapsed="false">
      <c r="B5961" s="53"/>
      <c r="I5961" s="53"/>
      <c r="U5961" s="31" t="n">
        <f aca="false">IF($B5961='設定（最初に1回）'!$C$4,N(U5960)+1,N(U5960))</f>
        <v>134</v>
      </c>
    </row>
    <row r="5962" customFormat="false" ht="15" hidden="false" customHeight="false" outlineLevel="0" collapsed="false">
      <c r="B5962" s="53"/>
      <c r="I5962" s="53"/>
      <c r="U5962" s="31" t="n">
        <f aca="false">IF($B5962='設定（最初に1回）'!$C$4,N(U5961)+1,N(U5961))</f>
        <v>134</v>
      </c>
    </row>
    <row r="5963" customFormat="false" ht="15" hidden="false" customHeight="false" outlineLevel="0" collapsed="false">
      <c r="B5963" s="53"/>
      <c r="I5963" s="53"/>
      <c r="U5963" s="31" t="n">
        <f aca="false">IF($B5963='設定（最初に1回）'!$C$4,N(U5962)+1,N(U5962))</f>
        <v>134</v>
      </c>
    </row>
    <row r="5964" customFormat="false" ht="15" hidden="false" customHeight="false" outlineLevel="0" collapsed="false">
      <c r="B5964" s="53"/>
      <c r="I5964" s="53"/>
      <c r="U5964" s="31" t="n">
        <f aca="false">IF($B5964='設定（最初に1回）'!$C$4,N(U5963)+1,N(U5963))</f>
        <v>134</v>
      </c>
    </row>
    <row r="5965" customFormat="false" ht="15" hidden="false" customHeight="false" outlineLevel="0" collapsed="false">
      <c r="B5965" s="53"/>
      <c r="I5965" s="53"/>
      <c r="U5965" s="31" t="n">
        <f aca="false">IF($B5965='設定（最初に1回）'!$C$4,N(U5964)+1,N(U5964))</f>
        <v>134</v>
      </c>
    </row>
    <row r="5966" customFormat="false" ht="15" hidden="false" customHeight="false" outlineLevel="0" collapsed="false">
      <c r="B5966" s="53"/>
      <c r="I5966" s="53"/>
      <c r="U5966" s="31" t="n">
        <f aca="false">IF($B5966='設定（最初に1回）'!$C$4,N(U5965)+1,N(U5965))</f>
        <v>134</v>
      </c>
    </row>
    <row r="5967" customFormat="false" ht="15" hidden="false" customHeight="false" outlineLevel="0" collapsed="false">
      <c r="B5967" s="53"/>
      <c r="I5967" s="53"/>
      <c r="U5967" s="31" t="n">
        <f aca="false">IF($B5967='設定（最初に1回）'!$C$4,N(U5966)+1,N(U5966))</f>
        <v>134</v>
      </c>
    </row>
    <row r="5968" customFormat="false" ht="15" hidden="false" customHeight="false" outlineLevel="0" collapsed="false">
      <c r="B5968" s="53"/>
      <c r="I5968" s="53"/>
      <c r="U5968" s="31" t="n">
        <f aca="false">IF($B5968='設定（最初に1回）'!$C$4,N(U5967)+1,N(U5967))</f>
        <v>134</v>
      </c>
    </row>
    <row r="5969" customFormat="false" ht="15" hidden="false" customHeight="false" outlineLevel="0" collapsed="false">
      <c r="B5969" s="53"/>
      <c r="I5969" s="53"/>
      <c r="U5969" s="31" t="n">
        <f aca="false">IF($B5969='設定（最初に1回）'!$C$4,N(U5968)+1,N(U5968))</f>
        <v>134</v>
      </c>
    </row>
    <row r="5970" customFormat="false" ht="15" hidden="false" customHeight="false" outlineLevel="0" collapsed="false">
      <c r="B5970" s="53"/>
      <c r="I5970" s="53"/>
      <c r="U5970" s="31" t="n">
        <f aca="false">IF($B5970='設定（最初に1回）'!$C$4,N(U5969)+1,N(U5969))</f>
        <v>134</v>
      </c>
    </row>
    <row r="5971" customFormat="false" ht="15" hidden="false" customHeight="false" outlineLevel="0" collapsed="false">
      <c r="B5971" s="53"/>
      <c r="I5971" s="53"/>
      <c r="U5971" s="31" t="n">
        <f aca="false">IF($B5971='設定（最初に1回）'!$C$4,N(U5970)+1,N(U5970))</f>
        <v>134</v>
      </c>
    </row>
    <row r="5972" customFormat="false" ht="15" hidden="false" customHeight="false" outlineLevel="0" collapsed="false">
      <c r="B5972" s="53"/>
      <c r="I5972" s="53"/>
      <c r="U5972" s="31" t="n">
        <f aca="false">IF($B5972='設定（最初に1回）'!$C$4,N(U5971)+1,N(U5971))</f>
        <v>134</v>
      </c>
    </row>
    <row r="5973" customFormat="false" ht="15" hidden="false" customHeight="false" outlineLevel="0" collapsed="false">
      <c r="B5973" s="53"/>
      <c r="I5973" s="53"/>
      <c r="U5973" s="31" t="n">
        <f aca="false">IF($B5973='設定（最初に1回）'!$C$4,N(U5972)+1,N(U5972))</f>
        <v>134</v>
      </c>
    </row>
    <row r="5974" customFormat="false" ht="15" hidden="false" customHeight="false" outlineLevel="0" collapsed="false">
      <c r="B5974" s="53"/>
      <c r="I5974" s="53"/>
      <c r="U5974" s="31" t="n">
        <f aca="false">IF($B5974='設定（最初に1回）'!$C$4,N(U5973)+1,N(U5973))</f>
        <v>134</v>
      </c>
    </row>
    <row r="5975" customFormat="false" ht="15" hidden="false" customHeight="false" outlineLevel="0" collapsed="false">
      <c r="B5975" s="53"/>
      <c r="I5975" s="53"/>
      <c r="U5975" s="31" t="n">
        <f aca="false">IF($B5975='設定（最初に1回）'!$C$4,N(U5974)+1,N(U5974))</f>
        <v>134</v>
      </c>
    </row>
    <row r="5976" customFormat="false" ht="15" hidden="false" customHeight="false" outlineLevel="0" collapsed="false">
      <c r="B5976" s="53"/>
      <c r="I5976" s="53"/>
      <c r="U5976" s="31" t="n">
        <f aca="false">IF($B5976='設定（最初に1回）'!$C$4,N(U5975)+1,N(U5975))</f>
        <v>134</v>
      </c>
    </row>
    <row r="5977" customFormat="false" ht="15" hidden="false" customHeight="false" outlineLevel="0" collapsed="false">
      <c r="B5977" s="53"/>
      <c r="I5977" s="53"/>
      <c r="U5977" s="31" t="n">
        <f aca="false">IF($B5977='設定（最初に1回）'!$C$4,N(U5976)+1,N(U5976))</f>
        <v>134</v>
      </c>
    </row>
    <row r="5978" customFormat="false" ht="15" hidden="false" customHeight="false" outlineLevel="0" collapsed="false">
      <c r="B5978" s="53"/>
      <c r="I5978" s="53"/>
      <c r="U5978" s="31" t="n">
        <f aca="false">IF($B5978='設定（最初に1回）'!$C$4,N(U5977)+1,N(U5977))</f>
        <v>134</v>
      </c>
    </row>
    <row r="5979" customFormat="false" ht="15" hidden="false" customHeight="false" outlineLevel="0" collapsed="false">
      <c r="B5979" s="53"/>
      <c r="I5979" s="53"/>
      <c r="U5979" s="31" t="n">
        <f aca="false">IF($B5979='設定（最初に1回）'!$C$4,N(U5978)+1,N(U5978))</f>
        <v>134</v>
      </c>
    </row>
    <row r="5980" customFormat="false" ht="15" hidden="false" customHeight="false" outlineLevel="0" collapsed="false">
      <c r="B5980" s="53"/>
      <c r="I5980" s="53"/>
      <c r="U5980" s="31" t="n">
        <f aca="false">IF($B5980='設定（最初に1回）'!$C$4,N(U5979)+1,N(U5979))</f>
        <v>134</v>
      </c>
    </row>
    <row r="5981" customFormat="false" ht="15" hidden="false" customHeight="false" outlineLevel="0" collapsed="false">
      <c r="B5981" s="53"/>
      <c r="I5981" s="53"/>
      <c r="U5981" s="31" t="n">
        <f aca="false">IF($B5981='設定（最初に1回）'!$C$4,N(U5980)+1,N(U5980))</f>
        <v>134</v>
      </c>
    </row>
    <row r="5982" customFormat="false" ht="15" hidden="false" customHeight="false" outlineLevel="0" collapsed="false">
      <c r="B5982" s="53"/>
      <c r="I5982" s="53"/>
      <c r="U5982" s="31" t="n">
        <f aca="false">IF($B5982='設定（最初に1回）'!$C$4,N(U5981)+1,N(U5981))</f>
        <v>134</v>
      </c>
    </row>
    <row r="5983" customFormat="false" ht="15" hidden="false" customHeight="false" outlineLevel="0" collapsed="false">
      <c r="B5983" s="53"/>
      <c r="I5983" s="53"/>
      <c r="U5983" s="31" t="n">
        <f aca="false">IF($B5983='設定（最初に1回）'!$C$4,N(U5982)+1,N(U5982))</f>
        <v>134</v>
      </c>
    </row>
    <row r="5984" customFormat="false" ht="15" hidden="false" customHeight="false" outlineLevel="0" collapsed="false">
      <c r="B5984" s="53"/>
      <c r="I5984" s="53"/>
      <c r="U5984" s="31" t="n">
        <f aca="false">IF($B5984='設定（最初に1回）'!$C$4,N(U5983)+1,N(U5983))</f>
        <v>134</v>
      </c>
    </row>
    <row r="5985" customFormat="false" ht="15" hidden="false" customHeight="false" outlineLevel="0" collapsed="false">
      <c r="B5985" s="53"/>
      <c r="I5985" s="53"/>
      <c r="U5985" s="31" t="n">
        <f aca="false">IF($B5985='設定（最初に1回）'!$C$4,N(U5984)+1,N(U5984))</f>
        <v>134</v>
      </c>
    </row>
    <row r="5986" customFormat="false" ht="15" hidden="false" customHeight="false" outlineLevel="0" collapsed="false">
      <c r="B5986" s="53"/>
      <c r="I5986" s="53"/>
      <c r="U5986" s="31" t="n">
        <f aca="false">IF($B5986='設定（最初に1回）'!$C$4,N(U5985)+1,N(U5985))</f>
        <v>134</v>
      </c>
    </row>
    <row r="5987" customFormat="false" ht="15" hidden="false" customHeight="false" outlineLevel="0" collapsed="false">
      <c r="B5987" s="53"/>
      <c r="I5987" s="53"/>
      <c r="U5987" s="31" t="n">
        <f aca="false">IF($B5987='設定（最初に1回）'!$C$4,N(U5986)+1,N(U5986))</f>
        <v>134</v>
      </c>
    </row>
    <row r="5988" customFormat="false" ht="15" hidden="false" customHeight="false" outlineLevel="0" collapsed="false">
      <c r="B5988" s="53"/>
      <c r="I5988" s="53"/>
      <c r="U5988" s="31" t="n">
        <f aca="false">IF($B5988='設定（最初に1回）'!$C$4,N(U5987)+1,N(U5987))</f>
        <v>134</v>
      </c>
    </row>
    <row r="5989" customFormat="false" ht="15" hidden="false" customHeight="false" outlineLevel="0" collapsed="false">
      <c r="B5989" s="53"/>
      <c r="I5989" s="53"/>
      <c r="U5989" s="31" t="n">
        <f aca="false">IF($B5989='設定（最初に1回）'!$C$4,N(U5988)+1,N(U5988))</f>
        <v>134</v>
      </c>
    </row>
    <row r="5990" customFormat="false" ht="15" hidden="false" customHeight="false" outlineLevel="0" collapsed="false">
      <c r="B5990" s="53"/>
      <c r="I5990" s="53"/>
      <c r="U5990" s="31" t="n">
        <f aca="false">IF($B5990='設定（最初に1回）'!$C$4,N(U5989)+1,N(U5989))</f>
        <v>134</v>
      </c>
    </row>
    <row r="5991" customFormat="false" ht="15" hidden="false" customHeight="false" outlineLevel="0" collapsed="false">
      <c r="B5991" s="53"/>
      <c r="I5991" s="53"/>
      <c r="U5991" s="31" t="n">
        <f aca="false">IF($B5991='設定（最初に1回）'!$C$4,N(U5990)+1,N(U5990))</f>
        <v>134</v>
      </c>
    </row>
    <row r="5992" customFormat="false" ht="15" hidden="false" customHeight="false" outlineLevel="0" collapsed="false">
      <c r="B5992" s="53"/>
      <c r="I5992" s="53"/>
      <c r="U5992" s="31" t="n">
        <f aca="false">IF($B5992='設定（最初に1回）'!$C$4,N(U5991)+1,N(U5991))</f>
        <v>134</v>
      </c>
    </row>
    <row r="5993" customFormat="false" ht="15" hidden="false" customHeight="false" outlineLevel="0" collapsed="false">
      <c r="B5993" s="53"/>
      <c r="I5993" s="53"/>
      <c r="U5993" s="31" t="n">
        <f aca="false">IF($B5993='設定（最初に1回）'!$C$4,N(U5992)+1,N(U5992))</f>
        <v>134</v>
      </c>
    </row>
    <row r="5994" customFormat="false" ht="15" hidden="false" customHeight="false" outlineLevel="0" collapsed="false">
      <c r="B5994" s="53"/>
      <c r="I5994" s="53"/>
      <c r="U5994" s="31" t="n">
        <f aca="false">IF($B5994='設定（最初に1回）'!$C$4,N(U5993)+1,N(U5993))</f>
        <v>134</v>
      </c>
    </row>
    <row r="5995" customFormat="false" ht="15" hidden="false" customHeight="false" outlineLevel="0" collapsed="false">
      <c r="B5995" s="53"/>
      <c r="I5995" s="53"/>
      <c r="U5995" s="31" t="n">
        <f aca="false">IF($B5995='設定（最初に1回）'!$C$4,N(U5994)+1,N(U5994))</f>
        <v>134</v>
      </c>
    </row>
    <row r="5996" customFormat="false" ht="15" hidden="false" customHeight="false" outlineLevel="0" collapsed="false">
      <c r="B5996" s="53"/>
      <c r="I5996" s="53"/>
      <c r="U5996" s="31" t="n">
        <f aca="false">IF($B5996='設定（最初に1回）'!$C$4,N(U5995)+1,N(U5995))</f>
        <v>134</v>
      </c>
    </row>
    <row r="5997" customFormat="false" ht="15" hidden="false" customHeight="false" outlineLevel="0" collapsed="false">
      <c r="B5997" s="53"/>
      <c r="I5997" s="53"/>
      <c r="U5997" s="31" t="n">
        <f aca="false">IF($B5997='設定（最初に1回）'!$C$4,N(U5996)+1,N(U5996))</f>
        <v>134</v>
      </c>
    </row>
    <row r="5998" customFormat="false" ht="15" hidden="false" customHeight="false" outlineLevel="0" collapsed="false">
      <c r="B5998" s="53"/>
      <c r="I5998" s="53"/>
      <c r="U5998" s="31" t="n">
        <f aca="false">IF($B5998='設定（最初に1回）'!$C$4,N(U5997)+1,N(U5997))</f>
        <v>134</v>
      </c>
    </row>
    <row r="5999" customFormat="false" ht="15" hidden="false" customHeight="false" outlineLevel="0" collapsed="false">
      <c r="B5999" s="53"/>
      <c r="I5999" s="53"/>
      <c r="U5999" s="31" t="n">
        <f aca="false">IF($B5999='設定（最初に1回）'!$C$4,N(U5998)+1,N(U5998))</f>
        <v>134</v>
      </c>
    </row>
    <row r="6000" customFormat="false" ht="15" hidden="false" customHeight="false" outlineLevel="0" collapsed="false">
      <c r="B6000" s="53"/>
      <c r="I6000" s="53"/>
      <c r="U6000" s="31" t="n">
        <f aca="false">IF($B6000='設定（最初に1回）'!$C$4,N(U5999)+1,N(U5999))</f>
        <v>134</v>
      </c>
    </row>
    <row r="6001" customFormat="false" ht="15" hidden="false" customHeight="false" outlineLevel="0" collapsed="false">
      <c r="B6001" s="53"/>
      <c r="I6001" s="53"/>
      <c r="U6001" s="31" t="n">
        <f aca="false">IF($B6001='設定（最初に1回）'!$C$4,N(U6000)+1,N(U6000))</f>
        <v>134</v>
      </c>
    </row>
    <row r="6002" customFormat="false" ht="15" hidden="false" customHeight="false" outlineLevel="0" collapsed="false">
      <c r="B6002" s="53"/>
      <c r="I6002" s="53"/>
      <c r="U6002" s="31" t="n">
        <f aca="false">IF($B6002='設定（最初に1回）'!$C$4,N(U6001)+1,N(U6001))</f>
        <v>134</v>
      </c>
    </row>
    <row r="6003" customFormat="false" ht="15" hidden="false" customHeight="false" outlineLevel="0" collapsed="false">
      <c r="B6003" s="53"/>
      <c r="I6003" s="53"/>
      <c r="U6003" s="31" t="n">
        <f aca="false">IF($B6003='設定（最初に1回）'!$C$4,N(U6002)+1,N(U6002))</f>
        <v>134</v>
      </c>
    </row>
    <row r="6004" customFormat="false" ht="15" hidden="false" customHeight="false" outlineLevel="0" collapsed="false">
      <c r="B6004" s="53"/>
      <c r="I6004" s="53"/>
      <c r="U6004" s="31" t="n">
        <f aca="false">IF($B6004='設定（最初に1回）'!$C$4,N(U6003)+1,N(U6003))</f>
        <v>134</v>
      </c>
    </row>
    <row r="6005" customFormat="false" ht="15" hidden="false" customHeight="false" outlineLevel="0" collapsed="false">
      <c r="B6005" s="53"/>
      <c r="I6005" s="53"/>
      <c r="U6005" s="31" t="n">
        <f aca="false">IF($B6005='設定（最初に1回）'!$C$4,N(U6004)+1,N(U6004))</f>
        <v>134</v>
      </c>
    </row>
    <row r="6006" customFormat="false" ht="15" hidden="false" customHeight="false" outlineLevel="0" collapsed="false">
      <c r="B6006" s="53"/>
      <c r="I6006" s="53"/>
      <c r="U6006" s="31" t="n">
        <f aca="false">IF($B6006='設定（最初に1回）'!$C$4,N(U6005)+1,N(U6005))</f>
        <v>134</v>
      </c>
    </row>
    <row r="6007" customFormat="false" ht="15" hidden="false" customHeight="false" outlineLevel="0" collapsed="false">
      <c r="B6007" s="53"/>
      <c r="I6007" s="53"/>
      <c r="U6007" s="31" t="n">
        <f aca="false">IF($B6007='設定（最初に1回）'!$C$4,N(U6006)+1,N(U6006))</f>
        <v>134</v>
      </c>
    </row>
    <row r="6008" customFormat="false" ht="15" hidden="false" customHeight="false" outlineLevel="0" collapsed="false">
      <c r="B6008" s="53"/>
      <c r="I6008" s="53"/>
      <c r="U6008" s="31" t="n">
        <f aca="false">IF($B6008='設定（最初に1回）'!$C$4,N(U6007)+1,N(U6007))</f>
        <v>134</v>
      </c>
    </row>
    <row r="6009" customFormat="false" ht="15" hidden="false" customHeight="false" outlineLevel="0" collapsed="false">
      <c r="B6009" s="53"/>
      <c r="I6009" s="53"/>
      <c r="U6009" s="31" t="n">
        <f aca="false">IF($B6009='設定（最初に1回）'!$C$4,N(U6008)+1,N(U6008))</f>
        <v>134</v>
      </c>
    </row>
    <row r="6010" customFormat="false" ht="15" hidden="false" customHeight="false" outlineLevel="0" collapsed="false">
      <c r="B6010" s="53"/>
      <c r="I6010" s="53"/>
      <c r="U6010" s="31" t="n">
        <f aca="false">IF($B6010='設定（最初に1回）'!$C$4,N(U6009)+1,N(U6009))</f>
        <v>134</v>
      </c>
    </row>
    <row r="6011" customFormat="false" ht="15" hidden="false" customHeight="false" outlineLevel="0" collapsed="false">
      <c r="B6011" s="53"/>
      <c r="I6011" s="53"/>
      <c r="U6011" s="31" t="n">
        <f aca="false">IF($B6011='設定（最初に1回）'!$C$4,N(U6010)+1,N(U6010))</f>
        <v>134</v>
      </c>
    </row>
    <row r="6012" customFormat="false" ht="15" hidden="false" customHeight="false" outlineLevel="0" collapsed="false">
      <c r="B6012" s="53"/>
      <c r="I6012" s="53"/>
      <c r="U6012" s="31" t="n">
        <f aca="false">IF($B6012='設定（最初に1回）'!$C$4,N(U6011)+1,N(U6011))</f>
        <v>134</v>
      </c>
    </row>
    <row r="6013" customFormat="false" ht="15" hidden="false" customHeight="false" outlineLevel="0" collapsed="false">
      <c r="B6013" s="53"/>
      <c r="I6013" s="53"/>
      <c r="U6013" s="31" t="n">
        <f aca="false">IF($B6013='設定（最初に1回）'!$C$4,N(U6012)+1,N(U6012))</f>
        <v>134</v>
      </c>
    </row>
    <row r="6014" customFormat="false" ht="15" hidden="false" customHeight="false" outlineLevel="0" collapsed="false">
      <c r="B6014" s="53"/>
      <c r="I6014" s="53"/>
      <c r="U6014" s="31" t="n">
        <f aca="false">IF($B6014='設定（最初に1回）'!$C$4,N(U6013)+1,N(U6013))</f>
        <v>134</v>
      </c>
    </row>
    <row r="6015" customFormat="false" ht="15" hidden="false" customHeight="false" outlineLevel="0" collapsed="false">
      <c r="B6015" s="53"/>
      <c r="I6015" s="53"/>
      <c r="U6015" s="31" t="n">
        <f aca="false">IF($B6015='設定（最初に1回）'!$C$4,N(U6014)+1,N(U6014))</f>
        <v>134</v>
      </c>
    </row>
    <row r="6016" customFormat="false" ht="15" hidden="false" customHeight="false" outlineLevel="0" collapsed="false">
      <c r="B6016" s="53"/>
      <c r="I6016" s="53"/>
      <c r="U6016" s="31" t="n">
        <f aca="false">IF($B6016='設定（最初に1回）'!$C$4,N(U6015)+1,N(U6015))</f>
        <v>134</v>
      </c>
    </row>
    <row r="6017" customFormat="false" ht="15" hidden="false" customHeight="false" outlineLevel="0" collapsed="false">
      <c r="B6017" s="53"/>
      <c r="I6017" s="53"/>
      <c r="U6017" s="31" t="n">
        <f aca="false">IF($B6017='設定（最初に1回）'!$C$4,N(U6016)+1,N(U6016))</f>
        <v>134</v>
      </c>
    </row>
    <row r="6018" customFormat="false" ht="15" hidden="false" customHeight="false" outlineLevel="0" collapsed="false">
      <c r="B6018" s="53"/>
      <c r="I6018" s="53"/>
      <c r="U6018" s="31" t="n">
        <f aca="false">IF($B6018='設定（最初に1回）'!$C$4,N(U6017)+1,N(U6017))</f>
        <v>134</v>
      </c>
    </row>
    <row r="6019" customFormat="false" ht="15" hidden="false" customHeight="false" outlineLevel="0" collapsed="false">
      <c r="B6019" s="53"/>
      <c r="I6019" s="53"/>
      <c r="U6019" s="31" t="n">
        <f aca="false">IF($B6019='設定（最初に1回）'!$C$4,N(U6018)+1,N(U6018))</f>
        <v>134</v>
      </c>
    </row>
    <row r="6020" customFormat="false" ht="15" hidden="false" customHeight="false" outlineLevel="0" collapsed="false">
      <c r="B6020" s="53"/>
      <c r="I6020" s="53"/>
      <c r="U6020" s="31" t="n">
        <f aca="false">IF($B6020='設定（最初に1回）'!$C$4,N(U6019)+1,N(U6019))</f>
        <v>134</v>
      </c>
    </row>
    <row r="6021" customFormat="false" ht="15" hidden="false" customHeight="false" outlineLevel="0" collapsed="false">
      <c r="B6021" s="53"/>
      <c r="I6021" s="53"/>
      <c r="U6021" s="31" t="n">
        <f aca="false">IF($B6021='設定（最初に1回）'!$C$4,N(U6020)+1,N(U6020))</f>
        <v>134</v>
      </c>
    </row>
    <row r="6022" customFormat="false" ht="15" hidden="false" customHeight="false" outlineLevel="0" collapsed="false">
      <c r="B6022" s="53"/>
      <c r="I6022" s="53"/>
      <c r="U6022" s="31" t="n">
        <f aca="false">IF($B6022='設定（最初に1回）'!$C$4,N(U6021)+1,N(U6021))</f>
        <v>134</v>
      </c>
    </row>
    <row r="6023" customFormat="false" ht="15" hidden="false" customHeight="false" outlineLevel="0" collapsed="false">
      <c r="B6023" s="53"/>
      <c r="I6023" s="53"/>
      <c r="U6023" s="31" t="n">
        <f aca="false">IF($B6023='設定（最初に1回）'!$C$4,N(U6022)+1,N(U6022))</f>
        <v>134</v>
      </c>
    </row>
    <row r="6024" customFormat="false" ht="15" hidden="false" customHeight="false" outlineLevel="0" collapsed="false">
      <c r="B6024" s="53"/>
      <c r="I6024" s="53"/>
      <c r="U6024" s="31" t="n">
        <f aca="false">IF($B6024='設定（最初に1回）'!$C$4,N(U6023)+1,N(U6023))</f>
        <v>134</v>
      </c>
    </row>
    <row r="6025" customFormat="false" ht="15" hidden="false" customHeight="false" outlineLevel="0" collapsed="false">
      <c r="B6025" s="53"/>
      <c r="I6025" s="53"/>
      <c r="U6025" s="31" t="n">
        <f aca="false">IF($B6025='設定（最初に1回）'!$C$4,N(U6024)+1,N(U6024))</f>
        <v>134</v>
      </c>
    </row>
    <row r="6026" customFormat="false" ht="15" hidden="false" customHeight="false" outlineLevel="0" collapsed="false">
      <c r="B6026" s="53"/>
      <c r="I6026" s="53"/>
      <c r="U6026" s="31" t="n">
        <f aca="false">IF($B6026='設定（最初に1回）'!$C$4,N(U6025)+1,N(U6025))</f>
        <v>134</v>
      </c>
    </row>
    <row r="6027" customFormat="false" ht="15" hidden="false" customHeight="false" outlineLevel="0" collapsed="false">
      <c r="B6027" s="53"/>
      <c r="I6027" s="53"/>
      <c r="U6027" s="31" t="n">
        <f aca="false">IF($B6027='設定（最初に1回）'!$C$4,N(U6026)+1,N(U6026))</f>
        <v>134</v>
      </c>
    </row>
    <row r="6028" customFormat="false" ht="15" hidden="false" customHeight="false" outlineLevel="0" collapsed="false">
      <c r="B6028" s="53"/>
      <c r="I6028" s="53"/>
      <c r="U6028" s="31" t="n">
        <f aca="false">IF($B6028='設定（最初に1回）'!$C$4,N(U6027)+1,N(U6027))</f>
        <v>134</v>
      </c>
    </row>
    <row r="6029" customFormat="false" ht="15" hidden="false" customHeight="false" outlineLevel="0" collapsed="false">
      <c r="B6029" s="53"/>
      <c r="I6029" s="53"/>
      <c r="U6029" s="31" t="n">
        <f aca="false">IF($B6029='設定（最初に1回）'!$C$4,N(U6028)+1,N(U6028))</f>
        <v>134</v>
      </c>
    </row>
    <row r="6030" customFormat="false" ht="15" hidden="false" customHeight="false" outlineLevel="0" collapsed="false">
      <c r="B6030" s="53"/>
      <c r="I6030" s="53"/>
      <c r="U6030" s="31" t="n">
        <f aca="false">IF($B6030='設定（最初に1回）'!$C$4,N(U6029)+1,N(U6029))</f>
        <v>134</v>
      </c>
    </row>
    <row r="6031" customFormat="false" ht="15" hidden="false" customHeight="false" outlineLevel="0" collapsed="false">
      <c r="B6031" s="53"/>
      <c r="I6031" s="53"/>
      <c r="U6031" s="31" t="n">
        <f aca="false">IF($B6031='設定（最初に1回）'!$C$4,N(U6030)+1,N(U6030))</f>
        <v>134</v>
      </c>
    </row>
    <row r="6032" customFormat="false" ht="15" hidden="false" customHeight="false" outlineLevel="0" collapsed="false">
      <c r="B6032" s="53"/>
      <c r="I6032" s="53"/>
      <c r="U6032" s="31" t="n">
        <f aca="false">IF($B6032='設定（最初に1回）'!$C$4,N(U6031)+1,N(U6031))</f>
        <v>134</v>
      </c>
    </row>
    <row r="6033" customFormat="false" ht="15" hidden="false" customHeight="false" outlineLevel="0" collapsed="false">
      <c r="B6033" s="53"/>
      <c r="I6033" s="53"/>
      <c r="U6033" s="31" t="n">
        <f aca="false">IF($B6033='設定（最初に1回）'!$C$4,N(U6032)+1,N(U6032))</f>
        <v>134</v>
      </c>
    </row>
    <row r="6034" customFormat="false" ht="15" hidden="false" customHeight="false" outlineLevel="0" collapsed="false">
      <c r="B6034" s="53"/>
      <c r="I6034" s="53"/>
      <c r="U6034" s="31" t="n">
        <f aca="false">IF($B6034='設定（最初に1回）'!$C$4,N(U6033)+1,N(U6033))</f>
        <v>134</v>
      </c>
    </row>
    <row r="6035" customFormat="false" ht="15" hidden="false" customHeight="false" outlineLevel="0" collapsed="false">
      <c r="B6035" s="53"/>
      <c r="I6035" s="53"/>
      <c r="U6035" s="31" t="n">
        <f aca="false">IF($B6035='設定（最初に1回）'!$C$4,N(U6034)+1,N(U6034))</f>
        <v>134</v>
      </c>
    </row>
    <row r="6036" customFormat="false" ht="15" hidden="false" customHeight="false" outlineLevel="0" collapsed="false">
      <c r="B6036" s="53"/>
      <c r="I6036" s="53"/>
      <c r="U6036" s="31" t="n">
        <f aca="false">IF($B6036='設定（最初に1回）'!$C$4,N(U6035)+1,N(U6035))</f>
        <v>134</v>
      </c>
    </row>
    <row r="6037" customFormat="false" ht="15" hidden="false" customHeight="false" outlineLevel="0" collapsed="false">
      <c r="B6037" s="53"/>
      <c r="I6037" s="53"/>
      <c r="U6037" s="31" t="n">
        <f aca="false">IF($B6037='設定（最初に1回）'!$C$4,N(U6036)+1,N(U6036))</f>
        <v>134</v>
      </c>
    </row>
    <row r="6038" customFormat="false" ht="15" hidden="false" customHeight="false" outlineLevel="0" collapsed="false">
      <c r="B6038" s="53"/>
      <c r="I6038" s="53"/>
      <c r="U6038" s="31" t="n">
        <f aca="false">IF($B6038='設定（最初に1回）'!$C$4,N(U6037)+1,N(U6037))</f>
        <v>134</v>
      </c>
    </row>
    <row r="6039" customFormat="false" ht="15" hidden="false" customHeight="false" outlineLevel="0" collapsed="false">
      <c r="B6039" s="53"/>
      <c r="I6039" s="53"/>
      <c r="U6039" s="31" t="n">
        <f aca="false">IF($B6039='設定（最初に1回）'!$C$4,N(U6038)+1,N(U6038))</f>
        <v>134</v>
      </c>
    </row>
    <row r="6040" customFormat="false" ht="15" hidden="false" customHeight="false" outlineLevel="0" collapsed="false">
      <c r="B6040" s="53"/>
      <c r="I6040" s="53"/>
      <c r="U6040" s="31" t="n">
        <f aca="false">IF($B6040='設定（最初に1回）'!$C$4,N(U6039)+1,N(U6039))</f>
        <v>134</v>
      </c>
    </row>
    <row r="6041" customFormat="false" ht="15" hidden="false" customHeight="false" outlineLevel="0" collapsed="false">
      <c r="B6041" s="53"/>
      <c r="I6041" s="53"/>
      <c r="U6041" s="31" t="n">
        <f aca="false">IF($B6041='設定（最初に1回）'!$C$4,N(U6040)+1,N(U6040))</f>
        <v>134</v>
      </c>
    </row>
    <row r="6042" customFormat="false" ht="15" hidden="false" customHeight="false" outlineLevel="0" collapsed="false">
      <c r="B6042" s="53"/>
      <c r="I6042" s="53"/>
      <c r="U6042" s="31" t="n">
        <f aca="false">IF($B6042='設定（最初に1回）'!$C$4,N(U6041)+1,N(U6041))</f>
        <v>134</v>
      </c>
    </row>
    <row r="6043" customFormat="false" ht="15" hidden="false" customHeight="false" outlineLevel="0" collapsed="false">
      <c r="B6043" s="53"/>
      <c r="I6043" s="53"/>
      <c r="U6043" s="31" t="n">
        <f aca="false">IF($B6043='設定（最初に1回）'!$C$4,N(U6042)+1,N(U6042))</f>
        <v>134</v>
      </c>
    </row>
    <row r="6044" customFormat="false" ht="15" hidden="false" customHeight="false" outlineLevel="0" collapsed="false">
      <c r="B6044" s="53"/>
      <c r="I6044" s="53"/>
      <c r="U6044" s="31" t="n">
        <f aca="false">IF($B6044='設定（最初に1回）'!$C$4,N(U6043)+1,N(U6043))</f>
        <v>134</v>
      </c>
    </row>
    <row r="6045" customFormat="false" ht="15" hidden="false" customHeight="false" outlineLevel="0" collapsed="false">
      <c r="B6045" s="53"/>
      <c r="I6045" s="53"/>
      <c r="U6045" s="31" t="n">
        <f aca="false">IF($B6045='設定（最初に1回）'!$C$4,N(U6044)+1,N(U6044))</f>
        <v>134</v>
      </c>
    </row>
    <row r="6046" customFormat="false" ht="15" hidden="false" customHeight="false" outlineLevel="0" collapsed="false">
      <c r="B6046" s="53"/>
      <c r="I6046" s="53"/>
      <c r="U6046" s="31" t="n">
        <f aca="false">IF($B6046='設定（最初に1回）'!$C$4,N(U6045)+1,N(U6045))</f>
        <v>134</v>
      </c>
    </row>
    <row r="6047" customFormat="false" ht="15" hidden="false" customHeight="false" outlineLevel="0" collapsed="false">
      <c r="B6047" s="53"/>
      <c r="I6047" s="53"/>
      <c r="U6047" s="31" t="n">
        <f aca="false">IF($B6047='設定（最初に1回）'!$C$4,N(U6046)+1,N(U6046))</f>
        <v>134</v>
      </c>
    </row>
    <row r="6048" customFormat="false" ht="15" hidden="false" customHeight="false" outlineLevel="0" collapsed="false">
      <c r="B6048" s="53"/>
      <c r="I6048" s="53"/>
      <c r="U6048" s="31" t="n">
        <f aca="false">IF($B6048='設定（最初に1回）'!$C$4,N(U6047)+1,N(U6047))</f>
        <v>134</v>
      </c>
    </row>
    <row r="6049" customFormat="false" ht="15" hidden="false" customHeight="false" outlineLevel="0" collapsed="false">
      <c r="B6049" s="53"/>
      <c r="I6049" s="53"/>
      <c r="U6049" s="31" t="n">
        <f aca="false">IF($B6049='設定（最初に1回）'!$C$4,N(U6048)+1,N(U6048))</f>
        <v>134</v>
      </c>
    </row>
    <row r="6050" customFormat="false" ht="15" hidden="false" customHeight="false" outlineLevel="0" collapsed="false">
      <c r="B6050" s="53"/>
      <c r="I6050" s="53"/>
      <c r="U6050" s="31" t="n">
        <f aca="false">IF($B6050='設定（最初に1回）'!$C$4,N(U6049)+1,N(U6049))</f>
        <v>134</v>
      </c>
    </row>
    <row r="6051" customFormat="false" ht="15" hidden="false" customHeight="false" outlineLevel="0" collapsed="false">
      <c r="B6051" s="53"/>
      <c r="I6051" s="53"/>
      <c r="U6051" s="31" t="n">
        <f aca="false">IF($B6051='設定（最初に1回）'!$C$4,N(U6050)+1,N(U6050))</f>
        <v>134</v>
      </c>
    </row>
    <row r="6052" customFormat="false" ht="15" hidden="false" customHeight="false" outlineLevel="0" collapsed="false">
      <c r="B6052" s="53"/>
      <c r="I6052" s="53"/>
      <c r="U6052" s="31" t="n">
        <f aca="false">IF($B6052='設定（最初に1回）'!$C$4,N(U6051)+1,N(U6051))</f>
        <v>134</v>
      </c>
    </row>
    <row r="6053" customFormat="false" ht="15" hidden="false" customHeight="false" outlineLevel="0" collapsed="false">
      <c r="B6053" s="53"/>
      <c r="I6053" s="53"/>
      <c r="U6053" s="31" t="n">
        <f aca="false">IF($B6053='設定（最初に1回）'!$C$4,N(U6052)+1,N(U6052))</f>
        <v>134</v>
      </c>
    </row>
    <row r="6054" customFormat="false" ht="15" hidden="false" customHeight="false" outlineLevel="0" collapsed="false">
      <c r="B6054" s="53"/>
      <c r="I6054" s="53"/>
      <c r="U6054" s="31" t="n">
        <f aca="false">IF($B6054='設定（最初に1回）'!$C$4,N(U6053)+1,N(U6053))</f>
        <v>134</v>
      </c>
    </row>
    <row r="6055" customFormat="false" ht="15" hidden="false" customHeight="false" outlineLevel="0" collapsed="false">
      <c r="B6055" s="53"/>
      <c r="I6055" s="53"/>
      <c r="U6055" s="31" t="n">
        <f aca="false">IF($B6055='設定（最初に1回）'!$C$4,N(U6054)+1,N(U6054))</f>
        <v>134</v>
      </c>
    </row>
    <row r="6056" customFormat="false" ht="15" hidden="false" customHeight="false" outlineLevel="0" collapsed="false">
      <c r="B6056" s="53"/>
      <c r="I6056" s="53"/>
      <c r="U6056" s="31" t="n">
        <f aca="false">IF($B6056='設定（最初に1回）'!$C$4,N(U6055)+1,N(U6055))</f>
        <v>134</v>
      </c>
    </row>
    <row r="6057" customFormat="false" ht="15" hidden="false" customHeight="false" outlineLevel="0" collapsed="false">
      <c r="B6057" s="53"/>
      <c r="I6057" s="53"/>
      <c r="U6057" s="31" t="n">
        <f aca="false">IF($B6057='設定（最初に1回）'!$C$4,N(U6056)+1,N(U6056))</f>
        <v>134</v>
      </c>
    </row>
    <row r="6058" customFormat="false" ht="15" hidden="false" customHeight="false" outlineLevel="0" collapsed="false">
      <c r="B6058" s="53"/>
      <c r="I6058" s="53"/>
      <c r="U6058" s="31" t="n">
        <f aca="false">IF($B6058='設定（最初に1回）'!$C$4,N(U6057)+1,N(U6057))</f>
        <v>134</v>
      </c>
    </row>
    <row r="6059" customFormat="false" ht="15" hidden="false" customHeight="false" outlineLevel="0" collapsed="false">
      <c r="B6059" s="53"/>
      <c r="I6059" s="53"/>
      <c r="U6059" s="31" t="n">
        <f aca="false">IF($B6059='設定（最初に1回）'!$C$4,N(U6058)+1,N(U6058))</f>
        <v>134</v>
      </c>
    </row>
    <row r="6060" customFormat="false" ht="15" hidden="false" customHeight="false" outlineLevel="0" collapsed="false">
      <c r="B6060" s="53"/>
      <c r="I6060" s="53"/>
      <c r="U6060" s="31" t="n">
        <f aca="false">IF($B6060='設定（最初に1回）'!$C$4,N(U6059)+1,N(U6059))</f>
        <v>134</v>
      </c>
    </row>
    <row r="6061" customFormat="false" ht="15" hidden="false" customHeight="false" outlineLevel="0" collapsed="false">
      <c r="B6061" s="53"/>
      <c r="I6061" s="53"/>
      <c r="U6061" s="31" t="n">
        <f aca="false">IF($B6061='設定（最初に1回）'!$C$4,N(U6060)+1,N(U6060))</f>
        <v>134</v>
      </c>
    </row>
    <row r="6062" customFormat="false" ht="15" hidden="false" customHeight="false" outlineLevel="0" collapsed="false">
      <c r="B6062" s="53"/>
      <c r="I6062" s="53"/>
      <c r="U6062" s="31" t="n">
        <f aca="false">IF($B6062='設定（最初に1回）'!$C$4,N(U6061)+1,N(U6061))</f>
        <v>134</v>
      </c>
    </row>
    <row r="6063" customFormat="false" ht="15" hidden="false" customHeight="false" outlineLevel="0" collapsed="false">
      <c r="B6063" s="53"/>
      <c r="I6063" s="53"/>
      <c r="U6063" s="31" t="n">
        <f aca="false">IF($B6063='設定（最初に1回）'!$C$4,N(U6062)+1,N(U6062))</f>
        <v>134</v>
      </c>
    </row>
    <row r="6064" customFormat="false" ht="15" hidden="false" customHeight="false" outlineLevel="0" collapsed="false">
      <c r="B6064" s="53"/>
      <c r="I6064" s="53"/>
      <c r="U6064" s="31" t="n">
        <f aca="false">IF($B6064='設定（最初に1回）'!$C$4,N(U6063)+1,N(U6063))</f>
        <v>134</v>
      </c>
    </row>
    <row r="6065" customFormat="false" ht="15" hidden="false" customHeight="false" outlineLevel="0" collapsed="false">
      <c r="B6065" s="53"/>
      <c r="I6065" s="53"/>
      <c r="U6065" s="31" t="n">
        <f aca="false">IF($B6065='設定（最初に1回）'!$C$4,N(U6064)+1,N(U6064))</f>
        <v>134</v>
      </c>
    </row>
    <row r="6066" customFormat="false" ht="15" hidden="false" customHeight="false" outlineLevel="0" collapsed="false">
      <c r="B6066" s="53"/>
      <c r="I6066" s="53"/>
      <c r="U6066" s="31" t="n">
        <f aca="false">IF($B6066='設定（最初に1回）'!$C$4,N(U6065)+1,N(U6065))</f>
        <v>134</v>
      </c>
    </row>
    <row r="6067" customFormat="false" ht="15" hidden="false" customHeight="false" outlineLevel="0" collapsed="false">
      <c r="B6067" s="53"/>
      <c r="I6067" s="53"/>
      <c r="U6067" s="31" t="n">
        <f aca="false">IF($B6067='設定（最初に1回）'!$C$4,N(U6066)+1,N(U6066))</f>
        <v>134</v>
      </c>
    </row>
    <row r="6068" customFormat="false" ht="15" hidden="false" customHeight="false" outlineLevel="0" collapsed="false">
      <c r="B6068" s="53"/>
      <c r="I6068" s="53"/>
      <c r="U6068" s="31" t="n">
        <f aca="false">IF($B6068='設定（最初に1回）'!$C$4,N(U6067)+1,N(U6067))</f>
        <v>134</v>
      </c>
    </row>
    <row r="6069" customFormat="false" ht="15" hidden="false" customHeight="false" outlineLevel="0" collapsed="false">
      <c r="B6069" s="53"/>
      <c r="I6069" s="53"/>
      <c r="U6069" s="31" t="n">
        <f aca="false">IF($B6069='設定（最初に1回）'!$C$4,N(U6068)+1,N(U6068))</f>
        <v>134</v>
      </c>
    </row>
    <row r="6070" customFormat="false" ht="15" hidden="false" customHeight="false" outlineLevel="0" collapsed="false">
      <c r="B6070" s="53"/>
      <c r="I6070" s="53"/>
      <c r="U6070" s="31" t="n">
        <f aca="false">IF($B6070='設定（最初に1回）'!$C$4,N(U6069)+1,N(U6069))</f>
        <v>134</v>
      </c>
    </row>
    <row r="6071" customFormat="false" ht="15" hidden="false" customHeight="false" outlineLevel="0" collapsed="false">
      <c r="B6071" s="53"/>
      <c r="I6071" s="53"/>
      <c r="U6071" s="31" t="n">
        <f aca="false">IF($B6071='設定（最初に1回）'!$C$4,N(U6070)+1,N(U6070))</f>
        <v>134</v>
      </c>
    </row>
    <row r="6072" customFormat="false" ht="15" hidden="false" customHeight="false" outlineLevel="0" collapsed="false">
      <c r="B6072" s="53"/>
      <c r="I6072" s="53"/>
      <c r="U6072" s="31" t="n">
        <f aca="false">IF($B6072='設定（最初に1回）'!$C$4,N(U6071)+1,N(U6071))</f>
        <v>134</v>
      </c>
    </row>
    <row r="6073" customFormat="false" ht="15" hidden="false" customHeight="false" outlineLevel="0" collapsed="false">
      <c r="B6073" s="53"/>
      <c r="I6073" s="53"/>
      <c r="U6073" s="31" t="n">
        <f aca="false">IF($B6073='設定（最初に1回）'!$C$4,N(U6072)+1,N(U6072))</f>
        <v>134</v>
      </c>
    </row>
    <row r="6074" customFormat="false" ht="15" hidden="false" customHeight="false" outlineLevel="0" collapsed="false">
      <c r="B6074" s="53"/>
      <c r="I6074" s="53"/>
      <c r="U6074" s="31" t="n">
        <f aca="false">IF($B6074='設定（最初に1回）'!$C$4,N(U6073)+1,N(U6073))</f>
        <v>134</v>
      </c>
    </row>
    <row r="6075" customFormat="false" ht="15" hidden="false" customHeight="false" outlineLevel="0" collapsed="false">
      <c r="B6075" s="53"/>
      <c r="I6075" s="53"/>
      <c r="U6075" s="31" t="n">
        <f aca="false">IF($B6075='設定（最初に1回）'!$C$4,N(U6074)+1,N(U6074))</f>
        <v>134</v>
      </c>
    </row>
    <row r="6076" customFormat="false" ht="15" hidden="false" customHeight="false" outlineLevel="0" collapsed="false">
      <c r="B6076" s="53"/>
      <c r="I6076" s="53"/>
      <c r="U6076" s="31" t="n">
        <f aca="false">IF($B6076='設定（最初に1回）'!$C$4,N(U6075)+1,N(U6075))</f>
        <v>134</v>
      </c>
    </row>
    <row r="6077" customFormat="false" ht="15" hidden="false" customHeight="false" outlineLevel="0" collapsed="false">
      <c r="B6077" s="53"/>
      <c r="I6077" s="53"/>
      <c r="U6077" s="31" t="n">
        <f aca="false">IF($B6077='設定（最初に1回）'!$C$4,N(U6076)+1,N(U6076))</f>
        <v>134</v>
      </c>
    </row>
    <row r="6078" customFormat="false" ht="15" hidden="false" customHeight="false" outlineLevel="0" collapsed="false">
      <c r="B6078" s="53"/>
      <c r="I6078" s="53"/>
      <c r="U6078" s="31" t="n">
        <f aca="false">IF($B6078='設定（最初に1回）'!$C$4,N(U6077)+1,N(U6077))</f>
        <v>134</v>
      </c>
    </row>
    <row r="6079" customFormat="false" ht="15" hidden="false" customHeight="false" outlineLevel="0" collapsed="false">
      <c r="B6079" s="53"/>
      <c r="I6079" s="53"/>
      <c r="U6079" s="31" t="n">
        <f aca="false">IF($B6079='設定（最初に1回）'!$C$4,N(U6078)+1,N(U6078))</f>
        <v>134</v>
      </c>
    </row>
    <row r="6080" customFormat="false" ht="15" hidden="false" customHeight="false" outlineLevel="0" collapsed="false">
      <c r="B6080" s="53"/>
      <c r="I6080" s="53"/>
      <c r="U6080" s="31" t="n">
        <f aca="false">IF($B6080='設定（最初に1回）'!$C$4,N(U6079)+1,N(U6079))</f>
        <v>134</v>
      </c>
    </row>
    <row r="6081" customFormat="false" ht="15" hidden="false" customHeight="false" outlineLevel="0" collapsed="false">
      <c r="B6081" s="53"/>
      <c r="I6081" s="53"/>
      <c r="U6081" s="31" t="n">
        <f aca="false">IF($B6081='設定（最初に1回）'!$C$4,N(U6080)+1,N(U6080))</f>
        <v>134</v>
      </c>
    </row>
    <row r="6082" customFormat="false" ht="15" hidden="false" customHeight="false" outlineLevel="0" collapsed="false">
      <c r="B6082" s="53"/>
      <c r="I6082" s="53"/>
      <c r="U6082" s="31" t="n">
        <f aca="false">IF($B6082='設定（最初に1回）'!$C$4,N(U6081)+1,N(U6081))</f>
        <v>134</v>
      </c>
    </row>
    <row r="6083" customFormat="false" ht="15" hidden="false" customHeight="false" outlineLevel="0" collapsed="false">
      <c r="B6083" s="53"/>
      <c r="I6083" s="53"/>
      <c r="U6083" s="31" t="n">
        <f aca="false">IF($B6083='設定（最初に1回）'!$C$4,N(U6082)+1,N(U6082))</f>
        <v>134</v>
      </c>
    </row>
    <row r="6084" customFormat="false" ht="15" hidden="false" customHeight="false" outlineLevel="0" collapsed="false">
      <c r="B6084" s="53"/>
      <c r="I6084" s="53"/>
      <c r="U6084" s="31" t="n">
        <f aca="false">IF($B6084='設定（最初に1回）'!$C$4,N(U6083)+1,N(U6083))</f>
        <v>134</v>
      </c>
    </row>
    <row r="6085" customFormat="false" ht="15" hidden="false" customHeight="false" outlineLevel="0" collapsed="false">
      <c r="B6085" s="53"/>
      <c r="I6085" s="53"/>
      <c r="U6085" s="31" t="n">
        <f aca="false">IF($B6085='設定（最初に1回）'!$C$4,N(U6084)+1,N(U6084))</f>
        <v>134</v>
      </c>
    </row>
    <row r="6086" customFormat="false" ht="15" hidden="false" customHeight="false" outlineLevel="0" collapsed="false">
      <c r="B6086" s="53"/>
      <c r="I6086" s="53"/>
      <c r="U6086" s="31" t="n">
        <f aca="false">IF($B6086='設定（最初に1回）'!$C$4,N(U6085)+1,N(U6085))</f>
        <v>134</v>
      </c>
    </row>
    <row r="6087" customFormat="false" ht="15" hidden="false" customHeight="false" outlineLevel="0" collapsed="false">
      <c r="B6087" s="53"/>
      <c r="I6087" s="53"/>
      <c r="U6087" s="31" t="n">
        <f aca="false">IF($B6087='設定（最初に1回）'!$C$4,N(U6086)+1,N(U6086))</f>
        <v>134</v>
      </c>
    </row>
    <row r="6088" customFormat="false" ht="15" hidden="false" customHeight="false" outlineLevel="0" collapsed="false">
      <c r="B6088" s="53"/>
      <c r="I6088" s="53"/>
      <c r="U6088" s="31" t="n">
        <f aca="false">IF($B6088='設定（最初に1回）'!$C$4,N(U6087)+1,N(U6087))</f>
        <v>134</v>
      </c>
    </row>
    <row r="6089" customFormat="false" ht="15" hidden="false" customHeight="false" outlineLevel="0" collapsed="false">
      <c r="B6089" s="53"/>
      <c r="I6089" s="53"/>
      <c r="U6089" s="31" t="n">
        <f aca="false">IF($B6089='設定（最初に1回）'!$C$4,N(U6088)+1,N(U6088))</f>
        <v>134</v>
      </c>
    </row>
    <row r="6090" customFormat="false" ht="15" hidden="false" customHeight="false" outlineLevel="0" collapsed="false">
      <c r="B6090" s="53"/>
      <c r="I6090" s="53"/>
      <c r="U6090" s="31" t="n">
        <f aca="false">IF($B6090='設定（最初に1回）'!$C$4,N(U6089)+1,N(U6089))</f>
        <v>134</v>
      </c>
    </row>
    <row r="6091" customFormat="false" ht="15" hidden="false" customHeight="false" outlineLevel="0" collapsed="false">
      <c r="B6091" s="53"/>
      <c r="I6091" s="53"/>
      <c r="U6091" s="31" t="n">
        <f aca="false">IF($B6091='設定（最初に1回）'!$C$4,N(U6090)+1,N(U6090))</f>
        <v>134</v>
      </c>
    </row>
    <row r="6092" customFormat="false" ht="15" hidden="false" customHeight="false" outlineLevel="0" collapsed="false">
      <c r="B6092" s="53"/>
      <c r="I6092" s="53"/>
      <c r="U6092" s="31" t="n">
        <f aca="false">IF($B6092='設定（最初に1回）'!$C$4,N(U6091)+1,N(U6091))</f>
        <v>134</v>
      </c>
    </row>
    <row r="6093" customFormat="false" ht="15" hidden="false" customHeight="false" outlineLevel="0" collapsed="false">
      <c r="B6093" s="53"/>
      <c r="I6093" s="53"/>
      <c r="U6093" s="31" t="n">
        <f aca="false">IF($B6093='設定（最初に1回）'!$C$4,N(U6092)+1,N(U6092))</f>
        <v>134</v>
      </c>
    </row>
    <row r="6094" customFormat="false" ht="15" hidden="false" customHeight="false" outlineLevel="0" collapsed="false">
      <c r="B6094" s="53"/>
      <c r="I6094" s="53"/>
      <c r="U6094" s="31" t="n">
        <f aca="false">IF($B6094='設定（最初に1回）'!$C$4,N(U6093)+1,N(U6093))</f>
        <v>134</v>
      </c>
    </row>
    <row r="6095" customFormat="false" ht="15" hidden="false" customHeight="false" outlineLevel="0" collapsed="false">
      <c r="B6095" s="53"/>
      <c r="I6095" s="53"/>
      <c r="U6095" s="31" t="n">
        <f aca="false">IF($B6095='設定（最初に1回）'!$C$4,N(U6094)+1,N(U6094))</f>
        <v>134</v>
      </c>
    </row>
    <row r="6096" customFormat="false" ht="15" hidden="false" customHeight="false" outlineLevel="0" collapsed="false">
      <c r="B6096" s="53"/>
      <c r="I6096" s="53"/>
      <c r="U6096" s="31" t="n">
        <f aca="false">IF($B6096='設定（最初に1回）'!$C$4,N(U6095)+1,N(U6095))</f>
        <v>134</v>
      </c>
    </row>
    <row r="6097" customFormat="false" ht="15" hidden="false" customHeight="false" outlineLevel="0" collapsed="false">
      <c r="B6097" s="53"/>
      <c r="I6097" s="53"/>
      <c r="U6097" s="31" t="n">
        <f aca="false">IF($B6097='設定（最初に1回）'!$C$4,N(U6096)+1,N(U6096))</f>
        <v>134</v>
      </c>
    </row>
    <row r="6098" customFormat="false" ht="15" hidden="false" customHeight="false" outlineLevel="0" collapsed="false">
      <c r="B6098" s="53"/>
      <c r="I6098" s="53"/>
      <c r="U6098" s="31" t="n">
        <f aca="false">IF($B6098='設定（最初に1回）'!$C$4,N(U6097)+1,N(U6097))</f>
        <v>134</v>
      </c>
    </row>
    <row r="6099" customFormat="false" ht="15" hidden="false" customHeight="false" outlineLevel="0" collapsed="false">
      <c r="B6099" s="53"/>
      <c r="I6099" s="53"/>
      <c r="U6099" s="31" t="n">
        <f aca="false">IF($B6099='設定（最初に1回）'!$C$4,N(U6098)+1,N(U6098))</f>
        <v>134</v>
      </c>
    </row>
    <row r="6100" customFormat="false" ht="15" hidden="false" customHeight="false" outlineLevel="0" collapsed="false">
      <c r="B6100" s="53"/>
      <c r="I6100" s="53"/>
      <c r="U6100" s="31" t="n">
        <f aca="false">IF($B6100='設定（最初に1回）'!$C$4,N(U6099)+1,N(U6099))</f>
        <v>134</v>
      </c>
    </row>
    <row r="6101" customFormat="false" ht="15" hidden="false" customHeight="false" outlineLevel="0" collapsed="false">
      <c r="B6101" s="53"/>
      <c r="I6101" s="53"/>
      <c r="U6101" s="31" t="n">
        <f aca="false">IF($B6101='設定（最初に1回）'!$C$4,N(U6100)+1,N(U6100))</f>
        <v>134</v>
      </c>
    </row>
    <row r="6102" customFormat="false" ht="15" hidden="false" customHeight="false" outlineLevel="0" collapsed="false">
      <c r="B6102" s="53"/>
      <c r="I6102" s="53"/>
      <c r="U6102" s="31" t="n">
        <f aca="false">IF($B6102='設定（最初に1回）'!$C$4,N(U6101)+1,N(U6101))</f>
        <v>134</v>
      </c>
    </row>
    <row r="6103" customFormat="false" ht="15" hidden="false" customHeight="false" outlineLevel="0" collapsed="false">
      <c r="B6103" s="53"/>
      <c r="I6103" s="53"/>
      <c r="U6103" s="31" t="n">
        <f aca="false">IF($B6103='設定（最初に1回）'!$C$4,N(U6102)+1,N(U6102))</f>
        <v>134</v>
      </c>
    </row>
    <row r="6104" customFormat="false" ht="15" hidden="false" customHeight="false" outlineLevel="0" collapsed="false">
      <c r="B6104" s="53"/>
      <c r="I6104" s="53"/>
      <c r="U6104" s="31" t="n">
        <f aca="false">IF($B6104='設定（最初に1回）'!$C$4,N(U6103)+1,N(U6103))</f>
        <v>134</v>
      </c>
    </row>
    <row r="6105" customFormat="false" ht="15" hidden="false" customHeight="false" outlineLevel="0" collapsed="false">
      <c r="B6105" s="53"/>
      <c r="I6105" s="53"/>
      <c r="U6105" s="31" t="n">
        <f aca="false">IF($B6105='設定（最初に1回）'!$C$4,N(U6104)+1,N(U6104))</f>
        <v>134</v>
      </c>
    </row>
    <row r="6106" customFormat="false" ht="15" hidden="false" customHeight="false" outlineLevel="0" collapsed="false">
      <c r="B6106" s="53"/>
      <c r="I6106" s="53"/>
      <c r="U6106" s="31" t="n">
        <f aca="false">IF($B6106='設定（最初に1回）'!$C$4,N(U6105)+1,N(U6105))</f>
        <v>134</v>
      </c>
    </row>
    <row r="6107" customFormat="false" ht="15" hidden="false" customHeight="false" outlineLevel="0" collapsed="false">
      <c r="B6107" s="53"/>
      <c r="I6107" s="53"/>
      <c r="U6107" s="31" t="n">
        <f aca="false">IF($B6107='設定（最初に1回）'!$C$4,N(U6106)+1,N(U6106))</f>
        <v>134</v>
      </c>
    </row>
    <row r="6108" customFormat="false" ht="15" hidden="false" customHeight="false" outlineLevel="0" collapsed="false">
      <c r="B6108" s="53"/>
      <c r="I6108" s="53"/>
      <c r="U6108" s="31" t="n">
        <f aca="false">IF($B6108='設定（最初に1回）'!$C$4,N(U6107)+1,N(U6107))</f>
        <v>134</v>
      </c>
    </row>
    <row r="6109" customFormat="false" ht="15" hidden="false" customHeight="false" outlineLevel="0" collapsed="false">
      <c r="B6109" s="53"/>
      <c r="I6109" s="53"/>
      <c r="U6109" s="31" t="n">
        <f aca="false">IF($B6109='設定（最初に1回）'!$C$4,N(U6108)+1,N(U6108))</f>
        <v>134</v>
      </c>
    </row>
    <row r="6110" customFormat="false" ht="15" hidden="false" customHeight="false" outlineLevel="0" collapsed="false">
      <c r="B6110" s="53"/>
      <c r="I6110" s="53"/>
      <c r="U6110" s="31" t="n">
        <f aca="false">IF($B6110='設定（最初に1回）'!$C$4,N(U6109)+1,N(U6109))</f>
        <v>134</v>
      </c>
    </row>
    <row r="6111" customFormat="false" ht="15" hidden="false" customHeight="false" outlineLevel="0" collapsed="false">
      <c r="B6111" s="53"/>
      <c r="I6111" s="53"/>
      <c r="U6111" s="31" t="n">
        <f aca="false">IF($B6111='設定（最初に1回）'!$C$4,N(U6110)+1,N(U6110))</f>
        <v>134</v>
      </c>
    </row>
    <row r="6112" customFormat="false" ht="15" hidden="false" customHeight="false" outlineLevel="0" collapsed="false">
      <c r="B6112" s="53"/>
      <c r="I6112" s="53"/>
      <c r="U6112" s="31" t="n">
        <f aca="false">IF($B6112='設定（最初に1回）'!$C$4,N(U6111)+1,N(U6111))</f>
        <v>134</v>
      </c>
    </row>
    <row r="6113" customFormat="false" ht="15" hidden="false" customHeight="false" outlineLevel="0" collapsed="false">
      <c r="B6113" s="53"/>
      <c r="I6113" s="53"/>
      <c r="U6113" s="31" t="n">
        <f aca="false">IF($B6113='設定（最初に1回）'!$C$4,N(U6112)+1,N(U6112))</f>
        <v>134</v>
      </c>
    </row>
    <row r="6114" customFormat="false" ht="15" hidden="false" customHeight="false" outlineLevel="0" collapsed="false">
      <c r="B6114" s="53"/>
      <c r="I6114" s="53"/>
      <c r="U6114" s="31" t="n">
        <f aca="false">IF($B6114='設定（最初に1回）'!$C$4,N(U6113)+1,N(U6113))</f>
        <v>134</v>
      </c>
    </row>
    <row r="6115" customFormat="false" ht="15" hidden="false" customHeight="false" outlineLevel="0" collapsed="false">
      <c r="B6115" s="53"/>
      <c r="I6115" s="53"/>
      <c r="U6115" s="31" t="n">
        <f aca="false">IF($B6115='設定（最初に1回）'!$C$4,N(U6114)+1,N(U6114))</f>
        <v>134</v>
      </c>
    </row>
    <row r="6116" customFormat="false" ht="15" hidden="false" customHeight="false" outlineLevel="0" collapsed="false">
      <c r="B6116" s="53"/>
      <c r="I6116" s="53"/>
      <c r="U6116" s="31" t="n">
        <f aca="false">IF($B6116='設定（最初に1回）'!$C$4,N(U6115)+1,N(U6115))</f>
        <v>134</v>
      </c>
    </row>
    <row r="6117" customFormat="false" ht="15" hidden="false" customHeight="false" outlineLevel="0" collapsed="false">
      <c r="B6117" s="53"/>
      <c r="I6117" s="53"/>
      <c r="U6117" s="31" t="n">
        <f aca="false">IF($B6117='設定（最初に1回）'!$C$4,N(U6116)+1,N(U6116))</f>
        <v>134</v>
      </c>
    </row>
    <row r="6118" customFormat="false" ht="15" hidden="false" customHeight="false" outlineLevel="0" collapsed="false">
      <c r="B6118" s="53"/>
      <c r="I6118" s="53"/>
      <c r="U6118" s="31" t="n">
        <f aca="false">IF($B6118='設定（最初に1回）'!$C$4,N(U6117)+1,N(U6117))</f>
        <v>134</v>
      </c>
    </row>
    <row r="6119" customFormat="false" ht="15" hidden="false" customHeight="false" outlineLevel="0" collapsed="false">
      <c r="B6119" s="53"/>
      <c r="I6119" s="53"/>
      <c r="U6119" s="31" t="n">
        <f aca="false">IF($B6119='設定（最初に1回）'!$C$4,N(U6118)+1,N(U6118))</f>
        <v>134</v>
      </c>
    </row>
    <row r="6120" customFormat="false" ht="15" hidden="false" customHeight="false" outlineLevel="0" collapsed="false">
      <c r="B6120" s="53"/>
      <c r="I6120" s="53"/>
      <c r="U6120" s="31" t="n">
        <f aca="false">IF($B6120='設定（最初に1回）'!$C$4,N(U6119)+1,N(U6119))</f>
        <v>134</v>
      </c>
    </row>
    <row r="6121" customFormat="false" ht="15" hidden="false" customHeight="false" outlineLevel="0" collapsed="false">
      <c r="B6121" s="53"/>
      <c r="I6121" s="53"/>
      <c r="U6121" s="31" t="n">
        <f aca="false">IF($B6121='設定（最初に1回）'!$C$4,N(U6120)+1,N(U6120))</f>
        <v>134</v>
      </c>
    </row>
    <row r="6122" customFormat="false" ht="15" hidden="false" customHeight="false" outlineLevel="0" collapsed="false">
      <c r="B6122" s="53"/>
      <c r="I6122" s="53"/>
      <c r="U6122" s="31" t="n">
        <f aca="false">IF($B6122='設定（最初に1回）'!$C$4,N(U6121)+1,N(U6121))</f>
        <v>134</v>
      </c>
    </row>
    <row r="6123" customFormat="false" ht="15" hidden="false" customHeight="false" outlineLevel="0" collapsed="false">
      <c r="B6123" s="53"/>
      <c r="I6123" s="53"/>
      <c r="U6123" s="31" t="n">
        <f aca="false">IF($B6123='設定（最初に1回）'!$C$4,N(U6122)+1,N(U6122))</f>
        <v>134</v>
      </c>
    </row>
    <row r="6124" customFormat="false" ht="15" hidden="false" customHeight="false" outlineLevel="0" collapsed="false">
      <c r="B6124" s="53"/>
      <c r="I6124" s="53"/>
      <c r="U6124" s="31" t="n">
        <f aca="false">IF($B6124='設定（最初に1回）'!$C$4,N(U6123)+1,N(U6123))</f>
        <v>134</v>
      </c>
    </row>
    <row r="6125" customFormat="false" ht="15" hidden="false" customHeight="false" outlineLevel="0" collapsed="false">
      <c r="B6125" s="53"/>
      <c r="I6125" s="53"/>
      <c r="U6125" s="31" t="n">
        <f aca="false">IF($B6125='設定（最初に1回）'!$C$4,N(U6124)+1,N(U6124))</f>
        <v>134</v>
      </c>
    </row>
    <row r="6126" customFormat="false" ht="15" hidden="false" customHeight="false" outlineLevel="0" collapsed="false">
      <c r="B6126" s="53"/>
      <c r="I6126" s="53"/>
      <c r="U6126" s="31" t="n">
        <f aca="false">IF($B6126='設定（最初に1回）'!$C$4,N(U6125)+1,N(U6125))</f>
        <v>134</v>
      </c>
    </row>
    <row r="6127" customFormat="false" ht="15" hidden="false" customHeight="false" outlineLevel="0" collapsed="false">
      <c r="B6127" s="53"/>
      <c r="I6127" s="53"/>
      <c r="U6127" s="31" t="n">
        <f aca="false">IF($B6127='設定（最初に1回）'!$C$4,N(U6126)+1,N(U6126))</f>
        <v>134</v>
      </c>
    </row>
    <row r="6128" customFormat="false" ht="15" hidden="false" customHeight="false" outlineLevel="0" collapsed="false">
      <c r="B6128" s="53"/>
      <c r="I6128" s="53"/>
      <c r="U6128" s="31" t="n">
        <f aca="false">IF($B6128='設定（最初に1回）'!$C$4,N(U6127)+1,N(U6127))</f>
        <v>134</v>
      </c>
    </row>
    <row r="6129" customFormat="false" ht="15" hidden="false" customHeight="false" outlineLevel="0" collapsed="false">
      <c r="B6129" s="53"/>
      <c r="I6129" s="53"/>
      <c r="U6129" s="31" t="n">
        <f aca="false">IF($B6129='設定（最初に1回）'!$C$4,N(U6128)+1,N(U6128))</f>
        <v>134</v>
      </c>
    </row>
    <row r="6130" customFormat="false" ht="15" hidden="false" customHeight="false" outlineLevel="0" collapsed="false">
      <c r="B6130" s="53"/>
      <c r="I6130" s="53"/>
      <c r="U6130" s="31" t="n">
        <f aca="false">IF($B6130='設定（最初に1回）'!$C$4,N(U6129)+1,N(U6129))</f>
        <v>134</v>
      </c>
    </row>
    <row r="6131" customFormat="false" ht="15" hidden="false" customHeight="false" outlineLevel="0" collapsed="false">
      <c r="B6131" s="53"/>
      <c r="I6131" s="53"/>
      <c r="U6131" s="31" t="n">
        <f aca="false">IF($B6131='設定（最初に1回）'!$C$4,N(U6130)+1,N(U6130))</f>
        <v>134</v>
      </c>
    </row>
    <row r="6132" customFormat="false" ht="15" hidden="false" customHeight="false" outlineLevel="0" collapsed="false">
      <c r="B6132" s="53"/>
      <c r="I6132" s="53"/>
      <c r="U6132" s="31" t="n">
        <f aca="false">IF($B6132='設定（最初に1回）'!$C$4,N(U6131)+1,N(U6131))</f>
        <v>134</v>
      </c>
    </row>
    <row r="6133" customFormat="false" ht="15" hidden="false" customHeight="false" outlineLevel="0" collapsed="false">
      <c r="B6133" s="53"/>
      <c r="I6133" s="53"/>
      <c r="U6133" s="31" t="n">
        <f aca="false">IF($B6133='設定（最初に1回）'!$C$4,N(U6132)+1,N(U6132))</f>
        <v>134</v>
      </c>
    </row>
    <row r="6134" customFormat="false" ht="15" hidden="false" customHeight="false" outlineLevel="0" collapsed="false">
      <c r="B6134" s="53"/>
      <c r="I6134" s="53"/>
      <c r="U6134" s="31" t="n">
        <f aca="false">IF($B6134='設定（最初に1回）'!$C$4,N(U6133)+1,N(U6133))</f>
        <v>134</v>
      </c>
    </row>
    <row r="6135" customFormat="false" ht="15" hidden="false" customHeight="false" outlineLevel="0" collapsed="false">
      <c r="B6135" s="53"/>
      <c r="I6135" s="53"/>
      <c r="U6135" s="31" t="n">
        <f aca="false">IF($B6135='設定（最初に1回）'!$C$4,N(U6134)+1,N(U6134))</f>
        <v>134</v>
      </c>
    </row>
    <row r="6136" customFormat="false" ht="15" hidden="false" customHeight="false" outlineLevel="0" collapsed="false">
      <c r="B6136" s="53"/>
      <c r="I6136" s="53"/>
      <c r="U6136" s="31" t="n">
        <f aca="false">IF($B6136='設定（最初に1回）'!$C$4,N(U6135)+1,N(U6135))</f>
        <v>134</v>
      </c>
    </row>
    <row r="6137" customFormat="false" ht="15" hidden="false" customHeight="false" outlineLevel="0" collapsed="false">
      <c r="B6137" s="53"/>
      <c r="I6137" s="53"/>
      <c r="U6137" s="31" t="n">
        <f aca="false">IF($B6137='設定（最初に1回）'!$C$4,N(U6136)+1,N(U6136))</f>
        <v>134</v>
      </c>
    </row>
    <row r="6138" customFormat="false" ht="15" hidden="false" customHeight="false" outlineLevel="0" collapsed="false">
      <c r="B6138" s="53"/>
      <c r="I6138" s="53"/>
      <c r="U6138" s="31" t="n">
        <f aca="false">IF($B6138='設定（最初に1回）'!$C$4,N(U6137)+1,N(U6137))</f>
        <v>134</v>
      </c>
    </row>
    <row r="6139" customFormat="false" ht="15" hidden="false" customHeight="false" outlineLevel="0" collapsed="false">
      <c r="B6139" s="53"/>
      <c r="I6139" s="53"/>
      <c r="U6139" s="31" t="n">
        <f aca="false">IF($B6139='設定（最初に1回）'!$C$4,N(U6138)+1,N(U6138))</f>
        <v>134</v>
      </c>
    </row>
    <row r="6140" customFormat="false" ht="15" hidden="false" customHeight="false" outlineLevel="0" collapsed="false">
      <c r="B6140" s="53"/>
      <c r="I6140" s="53"/>
      <c r="U6140" s="31" t="n">
        <f aca="false">IF($B6140='設定（最初に1回）'!$C$4,N(U6139)+1,N(U6139))</f>
        <v>134</v>
      </c>
    </row>
    <row r="6141" customFormat="false" ht="15" hidden="false" customHeight="false" outlineLevel="0" collapsed="false">
      <c r="B6141" s="53"/>
      <c r="I6141" s="53"/>
      <c r="U6141" s="31" t="n">
        <f aca="false">IF($B6141='設定（最初に1回）'!$C$4,N(U6140)+1,N(U6140))</f>
        <v>134</v>
      </c>
    </row>
    <row r="6142" customFormat="false" ht="15" hidden="false" customHeight="false" outlineLevel="0" collapsed="false">
      <c r="B6142" s="53"/>
      <c r="I6142" s="53"/>
      <c r="U6142" s="31" t="n">
        <f aca="false">IF($B6142='設定（最初に1回）'!$C$4,N(U6141)+1,N(U6141))</f>
        <v>134</v>
      </c>
    </row>
    <row r="6143" customFormat="false" ht="15" hidden="false" customHeight="false" outlineLevel="0" collapsed="false">
      <c r="B6143" s="53"/>
      <c r="I6143" s="53"/>
      <c r="U6143" s="31" t="n">
        <f aca="false">IF($B6143='設定（最初に1回）'!$C$4,N(U6142)+1,N(U6142))</f>
        <v>134</v>
      </c>
    </row>
    <row r="6144" customFormat="false" ht="15" hidden="false" customHeight="false" outlineLevel="0" collapsed="false">
      <c r="B6144" s="53"/>
      <c r="I6144" s="53"/>
      <c r="U6144" s="31" t="n">
        <f aca="false">IF($B6144='設定（最初に1回）'!$C$4,N(U6143)+1,N(U6143))</f>
        <v>134</v>
      </c>
    </row>
    <row r="6145" customFormat="false" ht="15" hidden="false" customHeight="false" outlineLevel="0" collapsed="false">
      <c r="B6145" s="53"/>
      <c r="I6145" s="53"/>
      <c r="U6145" s="31" t="n">
        <f aca="false">IF($B6145='設定（最初に1回）'!$C$4,N(U6144)+1,N(U6144))</f>
        <v>134</v>
      </c>
    </row>
    <row r="6146" customFormat="false" ht="15" hidden="false" customHeight="false" outlineLevel="0" collapsed="false">
      <c r="B6146" s="53"/>
      <c r="I6146" s="53"/>
      <c r="U6146" s="31" t="n">
        <f aca="false">IF($B6146='設定（最初に1回）'!$C$4,N(U6145)+1,N(U6145))</f>
        <v>134</v>
      </c>
    </row>
    <row r="6147" customFormat="false" ht="15" hidden="false" customHeight="false" outlineLevel="0" collapsed="false">
      <c r="B6147" s="53"/>
      <c r="I6147" s="53"/>
      <c r="U6147" s="31" t="n">
        <f aca="false">IF($B6147='設定（最初に1回）'!$C$4,N(U6146)+1,N(U6146))</f>
        <v>134</v>
      </c>
    </row>
    <row r="6148" customFormat="false" ht="15" hidden="false" customHeight="false" outlineLevel="0" collapsed="false">
      <c r="B6148" s="53"/>
      <c r="I6148" s="53"/>
      <c r="U6148" s="31" t="n">
        <f aca="false">IF($B6148='設定（最初に1回）'!$C$4,N(U6147)+1,N(U6147))</f>
        <v>134</v>
      </c>
    </row>
    <row r="6149" customFormat="false" ht="15" hidden="false" customHeight="false" outlineLevel="0" collapsed="false">
      <c r="B6149" s="53"/>
      <c r="I6149" s="53"/>
      <c r="U6149" s="31" t="n">
        <f aca="false">IF($B6149='設定（最初に1回）'!$C$4,N(U6148)+1,N(U6148))</f>
        <v>134</v>
      </c>
    </row>
    <row r="6150" customFormat="false" ht="15" hidden="false" customHeight="false" outlineLevel="0" collapsed="false">
      <c r="B6150" s="53"/>
      <c r="I6150" s="53"/>
      <c r="U6150" s="31" t="n">
        <f aca="false">IF($B6150='設定（最初に1回）'!$C$4,N(U6149)+1,N(U6149))</f>
        <v>134</v>
      </c>
    </row>
    <row r="6151" customFormat="false" ht="15" hidden="false" customHeight="false" outlineLevel="0" collapsed="false">
      <c r="B6151" s="53"/>
      <c r="I6151" s="53"/>
      <c r="U6151" s="31" t="n">
        <f aca="false">IF($B6151='設定（最初に1回）'!$C$4,N(U6150)+1,N(U6150))</f>
        <v>134</v>
      </c>
    </row>
    <row r="6152" customFormat="false" ht="15" hidden="false" customHeight="false" outlineLevel="0" collapsed="false">
      <c r="B6152" s="53"/>
      <c r="I6152" s="53"/>
      <c r="U6152" s="31" t="n">
        <f aca="false">IF($B6152='設定（最初に1回）'!$C$4,N(U6151)+1,N(U6151))</f>
        <v>134</v>
      </c>
    </row>
    <row r="6153" customFormat="false" ht="15" hidden="false" customHeight="false" outlineLevel="0" collapsed="false">
      <c r="B6153" s="53"/>
      <c r="I6153" s="53"/>
      <c r="U6153" s="31" t="n">
        <f aca="false">IF($B6153='設定（最初に1回）'!$C$4,N(U6152)+1,N(U6152))</f>
        <v>134</v>
      </c>
    </row>
    <row r="6154" customFormat="false" ht="15" hidden="false" customHeight="false" outlineLevel="0" collapsed="false">
      <c r="B6154" s="53"/>
      <c r="I6154" s="53"/>
      <c r="U6154" s="31" t="n">
        <f aca="false">IF($B6154='設定（最初に1回）'!$C$4,N(U6153)+1,N(U6153))</f>
        <v>134</v>
      </c>
    </row>
    <row r="6155" customFormat="false" ht="15" hidden="false" customHeight="false" outlineLevel="0" collapsed="false">
      <c r="B6155" s="53"/>
      <c r="I6155" s="53"/>
      <c r="U6155" s="31" t="n">
        <f aca="false">IF($B6155='設定（最初に1回）'!$C$4,N(U6154)+1,N(U6154))</f>
        <v>134</v>
      </c>
    </row>
    <row r="6156" customFormat="false" ht="15" hidden="false" customHeight="false" outlineLevel="0" collapsed="false">
      <c r="B6156" s="53"/>
      <c r="I6156" s="53"/>
      <c r="U6156" s="31" t="n">
        <f aca="false">IF($B6156='設定（最初に1回）'!$C$4,N(U6155)+1,N(U6155))</f>
        <v>134</v>
      </c>
    </row>
    <row r="6157" customFormat="false" ht="15" hidden="false" customHeight="false" outlineLevel="0" collapsed="false">
      <c r="B6157" s="53"/>
      <c r="I6157" s="53"/>
      <c r="U6157" s="31" t="n">
        <f aca="false">IF($B6157='設定（最初に1回）'!$C$4,N(U6156)+1,N(U6156))</f>
        <v>134</v>
      </c>
    </row>
    <row r="6158" customFormat="false" ht="15" hidden="false" customHeight="false" outlineLevel="0" collapsed="false">
      <c r="B6158" s="53"/>
      <c r="I6158" s="53"/>
      <c r="U6158" s="31" t="n">
        <f aca="false">IF($B6158='設定（最初に1回）'!$C$4,N(U6157)+1,N(U6157))</f>
        <v>134</v>
      </c>
    </row>
    <row r="6159" customFormat="false" ht="15" hidden="false" customHeight="false" outlineLevel="0" collapsed="false">
      <c r="B6159" s="53"/>
      <c r="I6159" s="53"/>
      <c r="U6159" s="31" t="n">
        <f aca="false">IF($B6159='設定（最初に1回）'!$C$4,N(U6158)+1,N(U6158))</f>
        <v>134</v>
      </c>
    </row>
    <row r="6160" customFormat="false" ht="15" hidden="false" customHeight="false" outlineLevel="0" collapsed="false">
      <c r="B6160" s="53"/>
      <c r="I6160" s="53"/>
      <c r="U6160" s="31" t="n">
        <f aca="false">IF($B6160='設定（最初に1回）'!$C$4,N(U6159)+1,N(U6159))</f>
        <v>134</v>
      </c>
    </row>
    <row r="6161" customFormat="false" ht="15" hidden="false" customHeight="false" outlineLevel="0" collapsed="false">
      <c r="B6161" s="53"/>
      <c r="I6161" s="53"/>
      <c r="U6161" s="31" t="n">
        <f aca="false">IF($B6161='設定（最初に1回）'!$C$4,N(U6160)+1,N(U6160))</f>
        <v>134</v>
      </c>
    </row>
    <row r="6162" customFormat="false" ht="15" hidden="false" customHeight="false" outlineLevel="0" collapsed="false">
      <c r="B6162" s="53"/>
      <c r="I6162" s="53"/>
      <c r="U6162" s="31" t="n">
        <f aca="false">IF($B6162='設定（最初に1回）'!$C$4,N(U6161)+1,N(U6161))</f>
        <v>134</v>
      </c>
    </row>
    <row r="6163" customFormat="false" ht="15" hidden="false" customHeight="false" outlineLevel="0" collapsed="false">
      <c r="B6163" s="53"/>
      <c r="I6163" s="53"/>
      <c r="U6163" s="31" t="n">
        <f aca="false">IF($B6163='設定（最初に1回）'!$C$4,N(U6162)+1,N(U6162))</f>
        <v>134</v>
      </c>
    </row>
    <row r="6164" customFormat="false" ht="15" hidden="false" customHeight="false" outlineLevel="0" collapsed="false">
      <c r="B6164" s="53"/>
      <c r="I6164" s="53"/>
      <c r="U6164" s="31" t="n">
        <f aca="false">IF($B6164='設定（最初に1回）'!$C$4,N(U6163)+1,N(U6163))</f>
        <v>134</v>
      </c>
    </row>
    <row r="6165" customFormat="false" ht="15" hidden="false" customHeight="false" outlineLevel="0" collapsed="false">
      <c r="B6165" s="53"/>
      <c r="I6165" s="53"/>
      <c r="U6165" s="31" t="n">
        <f aca="false">IF($B6165='設定（最初に1回）'!$C$4,N(U6164)+1,N(U6164))</f>
        <v>134</v>
      </c>
    </row>
    <row r="6166" customFormat="false" ht="15" hidden="false" customHeight="false" outlineLevel="0" collapsed="false">
      <c r="B6166" s="53"/>
      <c r="I6166" s="53"/>
      <c r="U6166" s="31" t="n">
        <f aca="false">IF($B6166='設定（最初に1回）'!$C$4,N(U6165)+1,N(U6165))</f>
        <v>134</v>
      </c>
    </row>
    <row r="6167" customFormat="false" ht="15" hidden="false" customHeight="false" outlineLevel="0" collapsed="false">
      <c r="B6167" s="53"/>
      <c r="I6167" s="53"/>
      <c r="U6167" s="31" t="n">
        <f aca="false">IF($B6167='設定（最初に1回）'!$C$4,N(U6166)+1,N(U6166))</f>
        <v>134</v>
      </c>
    </row>
    <row r="6168" customFormat="false" ht="15" hidden="false" customHeight="false" outlineLevel="0" collapsed="false">
      <c r="B6168" s="53"/>
      <c r="I6168" s="53"/>
      <c r="U6168" s="31" t="n">
        <f aca="false">IF($B6168='設定（最初に1回）'!$C$4,N(U6167)+1,N(U6167))</f>
        <v>134</v>
      </c>
    </row>
    <row r="6169" customFormat="false" ht="15" hidden="false" customHeight="false" outlineLevel="0" collapsed="false">
      <c r="B6169" s="53"/>
      <c r="I6169" s="53"/>
      <c r="U6169" s="31" t="n">
        <f aca="false">IF($B6169='設定（最初に1回）'!$C$4,N(U6168)+1,N(U6168))</f>
        <v>134</v>
      </c>
    </row>
    <row r="6170" customFormat="false" ht="15" hidden="false" customHeight="false" outlineLevel="0" collapsed="false">
      <c r="B6170" s="53"/>
      <c r="I6170" s="53"/>
      <c r="U6170" s="31" t="n">
        <f aca="false">IF($B6170='設定（最初に1回）'!$C$4,N(U6169)+1,N(U6169))</f>
        <v>134</v>
      </c>
    </row>
    <row r="6171" customFormat="false" ht="15" hidden="false" customHeight="false" outlineLevel="0" collapsed="false">
      <c r="B6171" s="53"/>
      <c r="I6171" s="53"/>
      <c r="U6171" s="31" t="n">
        <f aca="false">IF($B6171='設定（最初に1回）'!$C$4,N(U6170)+1,N(U6170))</f>
        <v>134</v>
      </c>
    </row>
    <row r="6172" customFormat="false" ht="15" hidden="false" customHeight="false" outlineLevel="0" collapsed="false">
      <c r="B6172" s="53"/>
      <c r="I6172" s="53"/>
      <c r="U6172" s="31" t="n">
        <f aca="false">IF($B6172='設定（最初に1回）'!$C$4,N(U6171)+1,N(U6171))</f>
        <v>134</v>
      </c>
    </row>
    <row r="6173" customFormat="false" ht="15" hidden="false" customHeight="false" outlineLevel="0" collapsed="false">
      <c r="B6173" s="53"/>
      <c r="I6173" s="53"/>
      <c r="U6173" s="31" t="n">
        <f aca="false">IF($B6173='設定（最初に1回）'!$C$4,N(U6172)+1,N(U6172))</f>
        <v>134</v>
      </c>
    </row>
    <row r="6174" customFormat="false" ht="15" hidden="false" customHeight="false" outlineLevel="0" collapsed="false">
      <c r="B6174" s="53"/>
      <c r="I6174" s="53"/>
      <c r="U6174" s="31" t="n">
        <f aca="false">IF($B6174='設定（最初に1回）'!$C$4,N(U6173)+1,N(U6173))</f>
        <v>134</v>
      </c>
    </row>
    <row r="6175" customFormat="false" ht="15" hidden="false" customHeight="false" outlineLevel="0" collapsed="false">
      <c r="B6175" s="53"/>
      <c r="I6175" s="53"/>
      <c r="U6175" s="31" t="n">
        <f aca="false">IF($B6175='設定（最初に1回）'!$C$4,N(U6174)+1,N(U6174))</f>
        <v>134</v>
      </c>
    </row>
    <row r="6176" customFormat="false" ht="15" hidden="false" customHeight="false" outlineLevel="0" collapsed="false">
      <c r="B6176" s="53"/>
      <c r="I6176" s="53"/>
      <c r="U6176" s="31" t="n">
        <f aca="false">IF($B6176='設定（最初に1回）'!$C$4,N(U6175)+1,N(U6175))</f>
        <v>134</v>
      </c>
    </row>
    <row r="6177" customFormat="false" ht="15" hidden="false" customHeight="false" outlineLevel="0" collapsed="false">
      <c r="B6177" s="53"/>
      <c r="I6177" s="53"/>
      <c r="U6177" s="31" t="n">
        <f aca="false">IF($B6177='設定（最初に1回）'!$C$4,N(U6176)+1,N(U6176))</f>
        <v>134</v>
      </c>
    </row>
    <row r="6178" customFormat="false" ht="15" hidden="false" customHeight="false" outlineLevel="0" collapsed="false">
      <c r="B6178" s="53"/>
      <c r="I6178" s="53"/>
      <c r="U6178" s="31" t="n">
        <f aca="false">IF($B6178='設定（最初に1回）'!$C$4,N(U6177)+1,N(U6177))</f>
        <v>134</v>
      </c>
    </row>
    <row r="6179" customFormat="false" ht="15" hidden="false" customHeight="false" outlineLevel="0" collapsed="false">
      <c r="B6179" s="53"/>
      <c r="I6179" s="53"/>
      <c r="U6179" s="31" t="n">
        <f aca="false">IF($B6179='設定（最初に1回）'!$C$4,N(U6178)+1,N(U6178))</f>
        <v>134</v>
      </c>
    </row>
    <row r="6180" customFormat="false" ht="15" hidden="false" customHeight="false" outlineLevel="0" collapsed="false">
      <c r="B6180" s="53"/>
      <c r="I6180" s="53"/>
      <c r="U6180" s="31" t="n">
        <f aca="false">IF($B6180='設定（最初に1回）'!$C$4,N(U6179)+1,N(U6179))</f>
        <v>134</v>
      </c>
    </row>
    <row r="6181" customFormat="false" ht="15" hidden="false" customHeight="false" outlineLevel="0" collapsed="false">
      <c r="B6181" s="53"/>
      <c r="I6181" s="53"/>
      <c r="U6181" s="31" t="n">
        <f aca="false">IF($B6181='設定（最初に1回）'!$C$4,N(U6180)+1,N(U6180))</f>
        <v>134</v>
      </c>
    </row>
    <row r="6182" customFormat="false" ht="15" hidden="false" customHeight="false" outlineLevel="0" collapsed="false">
      <c r="B6182" s="53"/>
      <c r="I6182" s="53"/>
      <c r="U6182" s="31" t="n">
        <f aca="false">IF($B6182='設定（最初に1回）'!$C$4,N(U6181)+1,N(U6181))</f>
        <v>134</v>
      </c>
    </row>
    <row r="6183" customFormat="false" ht="15" hidden="false" customHeight="false" outlineLevel="0" collapsed="false">
      <c r="B6183" s="53"/>
      <c r="I6183" s="53"/>
      <c r="U6183" s="31" t="n">
        <f aca="false">IF($B6183='設定（最初に1回）'!$C$4,N(U6182)+1,N(U6182))</f>
        <v>134</v>
      </c>
    </row>
    <row r="6184" customFormat="false" ht="15" hidden="false" customHeight="false" outlineLevel="0" collapsed="false">
      <c r="B6184" s="53"/>
      <c r="I6184" s="53"/>
      <c r="U6184" s="31" t="n">
        <f aca="false">IF($B6184='設定（最初に1回）'!$C$4,N(U6183)+1,N(U6183))</f>
        <v>134</v>
      </c>
    </row>
    <row r="6185" customFormat="false" ht="15" hidden="false" customHeight="false" outlineLevel="0" collapsed="false">
      <c r="B6185" s="53"/>
      <c r="I6185" s="53"/>
      <c r="U6185" s="31" t="n">
        <f aca="false">IF($B6185='設定（最初に1回）'!$C$4,N(U6184)+1,N(U6184))</f>
        <v>134</v>
      </c>
    </row>
    <row r="6186" customFormat="false" ht="15" hidden="false" customHeight="false" outlineLevel="0" collapsed="false">
      <c r="B6186" s="53"/>
      <c r="I6186" s="53"/>
      <c r="U6186" s="31" t="n">
        <f aca="false">IF($B6186='設定（最初に1回）'!$C$4,N(U6185)+1,N(U6185))</f>
        <v>134</v>
      </c>
    </row>
    <row r="6187" customFormat="false" ht="15" hidden="false" customHeight="false" outlineLevel="0" collapsed="false">
      <c r="B6187" s="53"/>
      <c r="I6187" s="53"/>
      <c r="U6187" s="31" t="n">
        <f aca="false">IF($B6187='設定（最初に1回）'!$C$4,N(U6186)+1,N(U6186))</f>
        <v>134</v>
      </c>
    </row>
    <row r="6188" customFormat="false" ht="15" hidden="false" customHeight="false" outlineLevel="0" collapsed="false">
      <c r="B6188" s="53"/>
      <c r="I6188" s="53"/>
      <c r="U6188" s="31" t="n">
        <f aca="false">IF($B6188='設定（最初に1回）'!$C$4,N(U6187)+1,N(U6187))</f>
        <v>134</v>
      </c>
    </row>
    <row r="6189" customFormat="false" ht="15" hidden="false" customHeight="false" outlineLevel="0" collapsed="false">
      <c r="B6189" s="53"/>
      <c r="I6189" s="53"/>
      <c r="U6189" s="31" t="n">
        <f aca="false">IF($B6189='設定（最初に1回）'!$C$4,N(U6188)+1,N(U6188))</f>
        <v>134</v>
      </c>
    </row>
    <row r="6190" customFormat="false" ht="15" hidden="false" customHeight="false" outlineLevel="0" collapsed="false">
      <c r="B6190" s="53"/>
      <c r="I6190" s="53"/>
      <c r="U6190" s="31" t="n">
        <f aca="false">IF($B6190='設定（最初に1回）'!$C$4,N(U6189)+1,N(U6189))</f>
        <v>134</v>
      </c>
    </row>
    <row r="6191" customFormat="false" ht="15" hidden="false" customHeight="false" outlineLevel="0" collapsed="false">
      <c r="B6191" s="53"/>
      <c r="I6191" s="53"/>
      <c r="U6191" s="31" t="n">
        <f aca="false">IF($B6191='設定（最初に1回）'!$C$4,N(U6190)+1,N(U6190))</f>
        <v>134</v>
      </c>
    </row>
    <row r="6192" customFormat="false" ht="15" hidden="false" customHeight="false" outlineLevel="0" collapsed="false">
      <c r="B6192" s="53"/>
      <c r="I6192" s="53"/>
      <c r="U6192" s="31" t="n">
        <f aca="false">IF($B6192='設定（最初に1回）'!$C$4,N(U6191)+1,N(U6191))</f>
        <v>134</v>
      </c>
    </row>
    <row r="6193" customFormat="false" ht="15" hidden="false" customHeight="false" outlineLevel="0" collapsed="false">
      <c r="B6193" s="53"/>
      <c r="I6193" s="53"/>
      <c r="U6193" s="31" t="n">
        <f aca="false">IF($B6193='設定（最初に1回）'!$C$4,N(U6192)+1,N(U6192))</f>
        <v>134</v>
      </c>
    </row>
    <row r="6194" customFormat="false" ht="15" hidden="false" customHeight="false" outlineLevel="0" collapsed="false">
      <c r="B6194" s="53"/>
      <c r="I6194" s="53"/>
      <c r="U6194" s="31" t="n">
        <f aca="false">IF($B6194='設定（最初に1回）'!$C$4,N(U6193)+1,N(U6193))</f>
        <v>134</v>
      </c>
    </row>
    <row r="6195" customFormat="false" ht="15" hidden="false" customHeight="false" outlineLevel="0" collapsed="false">
      <c r="B6195" s="53"/>
      <c r="I6195" s="53"/>
      <c r="U6195" s="31" t="n">
        <f aca="false">IF($B6195='設定（最初に1回）'!$C$4,N(U6194)+1,N(U6194))</f>
        <v>134</v>
      </c>
    </row>
    <row r="6196" customFormat="false" ht="15" hidden="false" customHeight="false" outlineLevel="0" collapsed="false">
      <c r="B6196" s="53"/>
      <c r="I6196" s="53"/>
      <c r="U6196" s="31" t="n">
        <f aca="false">IF($B6196='設定（最初に1回）'!$C$4,N(U6195)+1,N(U6195))</f>
        <v>134</v>
      </c>
    </row>
    <row r="6197" customFormat="false" ht="15" hidden="false" customHeight="false" outlineLevel="0" collapsed="false">
      <c r="B6197" s="53"/>
      <c r="I6197" s="53"/>
      <c r="U6197" s="31" t="n">
        <f aca="false">IF($B6197='設定（最初に1回）'!$C$4,N(U6196)+1,N(U6196))</f>
        <v>134</v>
      </c>
    </row>
    <row r="6198" customFormat="false" ht="15" hidden="false" customHeight="false" outlineLevel="0" collapsed="false">
      <c r="B6198" s="53"/>
      <c r="I6198" s="53"/>
      <c r="U6198" s="31" t="n">
        <f aca="false">IF($B6198='設定（最初に1回）'!$C$4,N(U6197)+1,N(U6197))</f>
        <v>134</v>
      </c>
    </row>
    <row r="6199" customFormat="false" ht="15" hidden="false" customHeight="false" outlineLevel="0" collapsed="false">
      <c r="B6199" s="53"/>
      <c r="I6199" s="53"/>
      <c r="U6199" s="31" t="n">
        <f aca="false">IF($B6199='設定（最初に1回）'!$C$4,N(U6198)+1,N(U6198))</f>
        <v>134</v>
      </c>
    </row>
    <row r="6200" customFormat="false" ht="15" hidden="false" customHeight="false" outlineLevel="0" collapsed="false">
      <c r="B6200" s="53"/>
      <c r="I6200" s="53"/>
      <c r="U6200" s="31" t="n">
        <f aca="false">IF($B6200='設定（最初に1回）'!$C$4,N(U6199)+1,N(U6199))</f>
        <v>134</v>
      </c>
    </row>
    <row r="6201" customFormat="false" ht="15" hidden="false" customHeight="false" outlineLevel="0" collapsed="false">
      <c r="B6201" s="53"/>
      <c r="I6201" s="53"/>
      <c r="U6201" s="31" t="n">
        <f aca="false">IF($B6201='設定（最初に1回）'!$C$4,N(U6200)+1,N(U6200))</f>
        <v>134</v>
      </c>
    </row>
    <row r="6202" customFormat="false" ht="15" hidden="false" customHeight="false" outlineLevel="0" collapsed="false">
      <c r="B6202" s="53"/>
      <c r="I6202" s="53"/>
      <c r="U6202" s="31" t="n">
        <f aca="false">IF($B6202='設定（最初に1回）'!$C$4,N(U6201)+1,N(U6201))</f>
        <v>134</v>
      </c>
    </row>
    <row r="6203" customFormat="false" ht="15" hidden="false" customHeight="false" outlineLevel="0" collapsed="false">
      <c r="B6203" s="53"/>
      <c r="I6203" s="53"/>
      <c r="U6203" s="31" t="n">
        <f aca="false">IF($B6203='設定（最初に1回）'!$C$4,N(U6202)+1,N(U6202))</f>
        <v>134</v>
      </c>
    </row>
    <row r="6204" customFormat="false" ht="15" hidden="false" customHeight="false" outlineLevel="0" collapsed="false">
      <c r="B6204" s="53"/>
      <c r="I6204" s="53"/>
      <c r="U6204" s="31" t="n">
        <f aca="false">IF($B6204='設定（最初に1回）'!$C$4,N(U6203)+1,N(U6203))</f>
        <v>134</v>
      </c>
    </row>
    <row r="6205" customFormat="false" ht="15" hidden="false" customHeight="false" outlineLevel="0" collapsed="false">
      <c r="B6205" s="53"/>
      <c r="I6205" s="53"/>
      <c r="U6205" s="31" t="n">
        <f aca="false">IF($B6205='設定（最初に1回）'!$C$4,N(U6204)+1,N(U6204))</f>
        <v>134</v>
      </c>
    </row>
    <row r="6206" customFormat="false" ht="15" hidden="false" customHeight="false" outlineLevel="0" collapsed="false">
      <c r="B6206" s="53"/>
      <c r="I6206" s="53"/>
      <c r="U6206" s="31" t="n">
        <f aca="false">IF($B6206='設定（最初に1回）'!$C$4,N(U6205)+1,N(U6205))</f>
        <v>134</v>
      </c>
    </row>
    <row r="6207" customFormat="false" ht="15" hidden="false" customHeight="false" outlineLevel="0" collapsed="false">
      <c r="B6207" s="53"/>
      <c r="I6207" s="53"/>
      <c r="U6207" s="31" t="n">
        <f aca="false">IF($B6207='設定（最初に1回）'!$C$4,N(U6206)+1,N(U6206))</f>
        <v>134</v>
      </c>
    </row>
    <row r="6208" customFormat="false" ht="15" hidden="false" customHeight="false" outlineLevel="0" collapsed="false">
      <c r="B6208" s="53"/>
      <c r="I6208" s="53"/>
      <c r="U6208" s="31" t="n">
        <f aca="false">IF($B6208='設定（最初に1回）'!$C$4,N(U6207)+1,N(U6207))</f>
        <v>134</v>
      </c>
    </row>
    <row r="6209" customFormat="false" ht="15" hidden="false" customHeight="false" outlineLevel="0" collapsed="false">
      <c r="B6209" s="53"/>
      <c r="I6209" s="53"/>
      <c r="U6209" s="31" t="n">
        <f aca="false">IF($B6209='設定（最初に1回）'!$C$4,N(U6208)+1,N(U6208))</f>
        <v>134</v>
      </c>
    </row>
    <row r="6210" customFormat="false" ht="15" hidden="false" customHeight="false" outlineLevel="0" collapsed="false">
      <c r="B6210" s="53"/>
      <c r="I6210" s="53"/>
      <c r="U6210" s="31" t="n">
        <f aca="false">IF($B6210='設定（最初に1回）'!$C$4,N(U6209)+1,N(U6209))</f>
        <v>134</v>
      </c>
    </row>
    <row r="6211" customFormat="false" ht="15" hidden="false" customHeight="false" outlineLevel="0" collapsed="false">
      <c r="B6211" s="53"/>
      <c r="I6211" s="53"/>
      <c r="U6211" s="31" t="n">
        <f aca="false">IF($B6211='設定（最初に1回）'!$C$4,N(U6210)+1,N(U6210))</f>
        <v>134</v>
      </c>
    </row>
    <row r="6212" customFormat="false" ht="15" hidden="false" customHeight="false" outlineLevel="0" collapsed="false">
      <c r="B6212" s="53"/>
      <c r="I6212" s="53"/>
      <c r="U6212" s="31" t="n">
        <f aca="false">IF($B6212='設定（最初に1回）'!$C$4,N(U6211)+1,N(U6211))</f>
        <v>134</v>
      </c>
    </row>
    <row r="6213" customFormat="false" ht="15" hidden="false" customHeight="false" outlineLevel="0" collapsed="false">
      <c r="B6213" s="53"/>
      <c r="I6213" s="53"/>
      <c r="U6213" s="31" t="n">
        <f aca="false">IF($B6213='設定（最初に1回）'!$C$4,N(U6212)+1,N(U6212))</f>
        <v>134</v>
      </c>
    </row>
    <row r="6214" customFormat="false" ht="15" hidden="false" customHeight="false" outlineLevel="0" collapsed="false">
      <c r="B6214" s="53"/>
      <c r="I6214" s="53"/>
      <c r="U6214" s="31" t="n">
        <f aca="false">IF($B6214='設定（最初に1回）'!$C$4,N(U6213)+1,N(U6213))</f>
        <v>134</v>
      </c>
    </row>
    <row r="6215" customFormat="false" ht="15" hidden="false" customHeight="false" outlineLevel="0" collapsed="false">
      <c r="B6215" s="53"/>
      <c r="I6215" s="53"/>
      <c r="U6215" s="31" t="n">
        <f aca="false">IF($B6215='設定（最初に1回）'!$C$4,N(U6214)+1,N(U6214))</f>
        <v>134</v>
      </c>
    </row>
    <row r="6216" customFormat="false" ht="15" hidden="false" customHeight="false" outlineLevel="0" collapsed="false">
      <c r="B6216" s="53"/>
      <c r="I6216" s="53"/>
      <c r="U6216" s="31" t="n">
        <f aca="false">IF($B6216='設定（最初に1回）'!$C$4,N(U6215)+1,N(U6215))</f>
        <v>134</v>
      </c>
    </row>
    <row r="6217" customFormat="false" ht="15" hidden="false" customHeight="false" outlineLevel="0" collapsed="false">
      <c r="B6217" s="53"/>
      <c r="I6217" s="53"/>
      <c r="U6217" s="31" t="n">
        <f aca="false">IF($B6217='設定（最初に1回）'!$C$4,N(U6216)+1,N(U6216))</f>
        <v>134</v>
      </c>
    </row>
    <row r="6218" customFormat="false" ht="15" hidden="false" customHeight="false" outlineLevel="0" collapsed="false">
      <c r="B6218" s="53"/>
      <c r="I6218" s="53"/>
      <c r="U6218" s="31" t="n">
        <f aca="false">IF($B6218='設定（最初に1回）'!$C$4,N(U6217)+1,N(U6217))</f>
        <v>134</v>
      </c>
    </row>
    <row r="6219" customFormat="false" ht="15" hidden="false" customHeight="false" outlineLevel="0" collapsed="false">
      <c r="B6219" s="53"/>
      <c r="I6219" s="53"/>
      <c r="U6219" s="31" t="n">
        <f aca="false">IF($B6219='設定（最初に1回）'!$C$4,N(U6218)+1,N(U6218))</f>
        <v>134</v>
      </c>
    </row>
    <row r="6220" customFormat="false" ht="15" hidden="false" customHeight="false" outlineLevel="0" collapsed="false">
      <c r="B6220" s="53"/>
      <c r="I6220" s="53"/>
      <c r="U6220" s="31" t="n">
        <f aca="false">IF($B6220='設定（最初に1回）'!$C$4,N(U6219)+1,N(U6219))</f>
        <v>134</v>
      </c>
    </row>
    <row r="6221" customFormat="false" ht="15" hidden="false" customHeight="false" outlineLevel="0" collapsed="false">
      <c r="B6221" s="53"/>
      <c r="I6221" s="53"/>
      <c r="U6221" s="31" t="n">
        <f aca="false">IF($B6221='設定（最初に1回）'!$C$4,N(U6220)+1,N(U6220))</f>
        <v>134</v>
      </c>
    </row>
    <row r="6222" customFormat="false" ht="15" hidden="false" customHeight="false" outlineLevel="0" collapsed="false">
      <c r="B6222" s="53"/>
      <c r="I6222" s="53"/>
      <c r="U6222" s="31" t="n">
        <f aca="false">IF($B6222='設定（最初に1回）'!$C$4,N(U6221)+1,N(U6221))</f>
        <v>134</v>
      </c>
    </row>
    <row r="6223" customFormat="false" ht="15" hidden="false" customHeight="false" outlineLevel="0" collapsed="false">
      <c r="B6223" s="53"/>
      <c r="I6223" s="53"/>
      <c r="U6223" s="31" t="n">
        <f aca="false">IF($B6223='設定（最初に1回）'!$C$4,N(U6222)+1,N(U6222))</f>
        <v>134</v>
      </c>
    </row>
    <row r="6224" customFormat="false" ht="15" hidden="false" customHeight="false" outlineLevel="0" collapsed="false">
      <c r="B6224" s="53"/>
      <c r="I6224" s="53"/>
      <c r="U6224" s="31" t="n">
        <f aca="false">IF($B6224='設定（最初に1回）'!$C$4,N(U6223)+1,N(U6223))</f>
        <v>134</v>
      </c>
    </row>
    <row r="6225" customFormat="false" ht="15" hidden="false" customHeight="false" outlineLevel="0" collapsed="false">
      <c r="B6225" s="53"/>
      <c r="I6225" s="53"/>
      <c r="U6225" s="31" t="n">
        <f aca="false">IF($B6225='設定（最初に1回）'!$C$4,N(U6224)+1,N(U6224))</f>
        <v>134</v>
      </c>
    </row>
    <row r="6226" customFormat="false" ht="15" hidden="false" customHeight="false" outlineLevel="0" collapsed="false">
      <c r="B6226" s="53"/>
      <c r="I6226" s="53"/>
      <c r="U6226" s="31" t="n">
        <f aca="false">IF($B6226='設定（最初に1回）'!$C$4,N(U6225)+1,N(U6225))</f>
        <v>134</v>
      </c>
    </row>
    <row r="6227" customFormat="false" ht="15" hidden="false" customHeight="false" outlineLevel="0" collapsed="false">
      <c r="B6227" s="53"/>
      <c r="I6227" s="53"/>
      <c r="U6227" s="31" t="n">
        <f aca="false">IF($B6227='設定（最初に1回）'!$C$4,N(U6226)+1,N(U6226))</f>
        <v>134</v>
      </c>
    </row>
    <row r="6228" customFormat="false" ht="15" hidden="false" customHeight="false" outlineLevel="0" collapsed="false">
      <c r="B6228" s="53"/>
      <c r="I6228" s="53"/>
      <c r="U6228" s="31" t="n">
        <f aca="false">IF($B6228='設定（最初に1回）'!$C$4,N(U6227)+1,N(U6227))</f>
        <v>134</v>
      </c>
    </row>
    <row r="6229" customFormat="false" ht="15" hidden="false" customHeight="false" outlineLevel="0" collapsed="false">
      <c r="B6229" s="53"/>
      <c r="I6229" s="53"/>
      <c r="U6229" s="31" t="n">
        <f aca="false">IF($B6229='設定（最初に1回）'!$C$4,N(U6228)+1,N(U6228))</f>
        <v>134</v>
      </c>
    </row>
    <row r="6230" customFormat="false" ht="15" hidden="false" customHeight="false" outlineLevel="0" collapsed="false">
      <c r="B6230" s="53"/>
      <c r="I6230" s="53"/>
      <c r="U6230" s="31" t="n">
        <f aca="false">IF($B6230='設定（最初に1回）'!$C$4,N(U6229)+1,N(U6229))</f>
        <v>134</v>
      </c>
    </row>
    <row r="6231" customFormat="false" ht="15" hidden="false" customHeight="false" outlineLevel="0" collapsed="false">
      <c r="B6231" s="53"/>
      <c r="I6231" s="53"/>
      <c r="U6231" s="31" t="n">
        <f aca="false">IF($B6231='設定（最初に1回）'!$C$4,N(U6230)+1,N(U6230))</f>
        <v>134</v>
      </c>
    </row>
    <row r="6232" customFormat="false" ht="15" hidden="false" customHeight="false" outlineLevel="0" collapsed="false">
      <c r="B6232" s="53"/>
      <c r="I6232" s="53"/>
      <c r="U6232" s="31" t="n">
        <f aca="false">IF($B6232='設定（最初に1回）'!$C$4,N(U6231)+1,N(U6231))</f>
        <v>134</v>
      </c>
    </row>
    <row r="6233" customFormat="false" ht="15" hidden="false" customHeight="false" outlineLevel="0" collapsed="false">
      <c r="B6233" s="53"/>
      <c r="I6233" s="53"/>
      <c r="U6233" s="31" t="n">
        <f aca="false">IF($B6233='設定（最初に1回）'!$C$4,N(U6232)+1,N(U6232))</f>
        <v>134</v>
      </c>
    </row>
    <row r="6234" customFormat="false" ht="15" hidden="false" customHeight="false" outlineLevel="0" collapsed="false">
      <c r="B6234" s="53"/>
      <c r="I6234" s="53"/>
      <c r="U6234" s="31" t="n">
        <f aca="false">IF($B6234='設定（最初に1回）'!$C$4,N(U6233)+1,N(U6233))</f>
        <v>134</v>
      </c>
    </row>
    <row r="6235" customFormat="false" ht="15" hidden="false" customHeight="false" outlineLevel="0" collapsed="false">
      <c r="B6235" s="53"/>
      <c r="I6235" s="53"/>
      <c r="U6235" s="31" t="n">
        <f aca="false">IF($B6235='設定（最初に1回）'!$C$4,N(U6234)+1,N(U6234))</f>
        <v>134</v>
      </c>
    </row>
    <row r="6236" customFormat="false" ht="15" hidden="false" customHeight="false" outlineLevel="0" collapsed="false">
      <c r="B6236" s="53"/>
      <c r="I6236" s="53"/>
      <c r="U6236" s="31" t="n">
        <f aca="false">IF($B6236='設定（最初に1回）'!$C$4,N(U6235)+1,N(U6235))</f>
        <v>134</v>
      </c>
    </row>
    <row r="6237" customFormat="false" ht="15" hidden="false" customHeight="false" outlineLevel="0" collapsed="false">
      <c r="B6237" s="53"/>
      <c r="I6237" s="53"/>
      <c r="U6237" s="31" t="n">
        <f aca="false">IF($B6237='設定（最初に1回）'!$C$4,N(U6236)+1,N(U6236))</f>
        <v>134</v>
      </c>
    </row>
    <row r="6238" customFormat="false" ht="15" hidden="false" customHeight="false" outlineLevel="0" collapsed="false">
      <c r="B6238" s="53"/>
      <c r="I6238" s="53"/>
      <c r="U6238" s="31" t="n">
        <f aca="false">IF($B6238='設定（最初に1回）'!$C$4,N(U6237)+1,N(U6237))</f>
        <v>134</v>
      </c>
    </row>
    <row r="6239" customFormat="false" ht="15" hidden="false" customHeight="false" outlineLevel="0" collapsed="false">
      <c r="B6239" s="53"/>
      <c r="I6239" s="53"/>
      <c r="U6239" s="31" t="n">
        <f aca="false">IF($B6239='設定（最初に1回）'!$C$4,N(U6238)+1,N(U6238))</f>
        <v>134</v>
      </c>
    </row>
    <row r="6240" customFormat="false" ht="15" hidden="false" customHeight="false" outlineLevel="0" collapsed="false">
      <c r="B6240" s="53"/>
      <c r="I6240" s="53"/>
      <c r="U6240" s="31" t="n">
        <f aca="false">IF($B6240='設定（最初に1回）'!$C$4,N(U6239)+1,N(U6239))</f>
        <v>134</v>
      </c>
    </row>
    <row r="6241" customFormat="false" ht="15" hidden="false" customHeight="false" outlineLevel="0" collapsed="false">
      <c r="B6241" s="53"/>
      <c r="I6241" s="53"/>
      <c r="U6241" s="31" t="n">
        <f aca="false">IF($B6241='設定（最初に1回）'!$C$4,N(U6240)+1,N(U6240))</f>
        <v>134</v>
      </c>
    </row>
    <row r="6242" customFormat="false" ht="15" hidden="false" customHeight="false" outlineLevel="0" collapsed="false">
      <c r="B6242" s="53"/>
      <c r="I6242" s="53"/>
      <c r="U6242" s="31" t="n">
        <f aca="false">IF($B6242='設定（最初に1回）'!$C$4,N(U6241)+1,N(U6241))</f>
        <v>134</v>
      </c>
    </row>
    <row r="6243" customFormat="false" ht="15" hidden="false" customHeight="false" outlineLevel="0" collapsed="false">
      <c r="B6243" s="53"/>
      <c r="I6243" s="53"/>
      <c r="U6243" s="31" t="n">
        <f aca="false">IF($B6243='設定（最初に1回）'!$C$4,N(U6242)+1,N(U6242))</f>
        <v>134</v>
      </c>
    </row>
    <row r="6244" customFormat="false" ht="15" hidden="false" customHeight="false" outlineLevel="0" collapsed="false">
      <c r="B6244" s="53"/>
      <c r="I6244" s="53"/>
      <c r="U6244" s="31" t="n">
        <f aca="false">IF($B6244='設定（最初に1回）'!$C$4,N(U6243)+1,N(U6243))</f>
        <v>134</v>
      </c>
    </row>
    <row r="6245" customFormat="false" ht="15" hidden="false" customHeight="false" outlineLevel="0" collapsed="false">
      <c r="B6245" s="53"/>
      <c r="I6245" s="53"/>
      <c r="U6245" s="31" t="n">
        <f aca="false">IF($B6245='設定（最初に1回）'!$C$4,N(U6244)+1,N(U6244))</f>
        <v>134</v>
      </c>
    </row>
    <row r="6246" customFormat="false" ht="15" hidden="false" customHeight="false" outlineLevel="0" collapsed="false">
      <c r="B6246" s="53"/>
      <c r="I6246" s="53"/>
      <c r="U6246" s="31" t="n">
        <f aca="false">IF($B6246='設定（最初に1回）'!$C$4,N(U6245)+1,N(U6245))</f>
        <v>134</v>
      </c>
    </row>
    <row r="6247" customFormat="false" ht="15" hidden="false" customHeight="false" outlineLevel="0" collapsed="false">
      <c r="B6247" s="53"/>
      <c r="I6247" s="53"/>
      <c r="U6247" s="31" t="n">
        <f aca="false">IF($B6247='設定（最初に1回）'!$C$4,N(U6246)+1,N(U6246))</f>
        <v>134</v>
      </c>
    </row>
    <row r="6248" customFormat="false" ht="15" hidden="false" customHeight="false" outlineLevel="0" collapsed="false">
      <c r="B6248" s="53"/>
      <c r="I6248" s="53"/>
      <c r="U6248" s="31" t="n">
        <f aca="false">IF($B6248='設定（最初に1回）'!$C$4,N(U6247)+1,N(U6247))</f>
        <v>134</v>
      </c>
    </row>
    <row r="6249" customFormat="false" ht="15" hidden="false" customHeight="false" outlineLevel="0" collapsed="false">
      <c r="B6249" s="53"/>
      <c r="I6249" s="53"/>
      <c r="U6249" s="31" t="n">
        <f aca="false">IF($B6249='設定（最初に1回）'!$C$4,N(U6248)+1,N(U6248))</f>
        <v>134</v>
      </c>
    </row>
    <row r="6250" customFormat="false" ht="15" hidden="false" customHeight="false" outlineLevel="0" collapsed="false">
      <c r="B6250" s="53"/>
      <c r="I6250" s="53"/>
      <c r="U6250" s="31" t="n">
        <f aca="false">IF($B6250='設定（最初に1回）'!$C$4,N(U6249)+1,N(U6249))</f>
        <v>134</v>
      </c>
    </row>
    <row r="6251" customFormat="false" ht="15" hidden="false" customHeight="false" outlineLevel="0" collapsed="false">
      <c r="B6251" s="53"/>
      <c r="I6251" s="53"/>
      <c r="U6251" s="31" t="n">
        <f aca="false">IF($B6251='設定（最初に1回）'!$C$4,N(U6250)+1,N(U6250))</f>
        <v>134</v>
      </c>
    </row>
    <row r="6252" customFormat="false" ht="15" hidden="false" customHeight="false" outlineLevel="0" collapsed="false">
      <c r="B6252" s="53"/>
      <c r="I6252" s="53"/>
      <c r="U6252" s="31" t="n">
        <f aca="false">IF($B6252='設定（最初に1回）'!$C$4,N(U6251)+1,N(U6251))</f>
        <v>134</v>
      </c>
    </row>
    <row r="6253" customFormat="false" ht="15" hidden="false" customHeight="false" outlineLevel="0" collapsed="false">
      <c r="B6253" s="53"/>
      <c r="I6253" s="53"/>
      <c r="U6253" s="31" t="n">
        <f aca="false">IF($B6253='設定（最初に1回）'!$C$4,N(U6252)+1,N(U6252))</f>
        <v>134</v>
      </c>
    </row>
    <row r="6254" customFormat="false" ht="15" hidden="false" customHeight="false" outlineLevel="0" collapsed="false">
      <c r="B6254" s="53"/>
      <c r="I6254" s="53"/>
      <c r="U6254" s="31" t="n">
        <f aca="false">IF($B6254='設定（最初に1回）'!$C$4,N(U6253)+1,N(U6253))</f>
        <v>134</v>
      </c>
    </row>
    <row r="6255" customFormat="false" ht="15" hidden="false" customHeight="false" outlineLevel="0" collapsed="false">
      <c r="B6255" s="53"/>
      <c r="I6255" s="53"/>
      <c r="U6255" s="31" t="n">
        <f aca="false">IF($B6255='設定（最初に1回）'!$C$4,N(U6254)+1,N(U6254))</f>
        <v>134</v>
      </c>
    </row>
    <row r="6256" customFormat="false" ht="15" hidden="false" customHeight="false" outlineLevel="0" collapsed="false">
      <c r="B6256" s="53"/>
      <c r="I6256" s="53"/>
      <c r="U6256" s="31" t="n">
        <f aca="false">IF($B6256='設定（最初に1回）'!$C$4,N(U6255)+1,N(U6255))</f>
        <v>134</v>
      </c>
    </row>
    <row r="6257" customFormat="false" ht="15" hidden="false" customHeight="false" outlineLevel="0" collapsed="false">
      <c r="B6257" s="53"/>
      <c r="I6257" s="53"/>
      <c r="U6257" s="31" t="n">
        <f aca="false">IF($B6257='設定（最初に1回）'!$C$4,N(U6256)+1,N(U6256))</f>
        <v>134</v>
      </c>
    </row>
    <row r="6258" customFormat="false" ht="15" hidden="false" customHeight="false" outlineLevel="0" collapsed="false">
      <c r="B6258" s="53"/>
      <c r="I6258" s="53"/>
      <c r="U6258" s="31" t="n">
        <f aca="false">IF($B6258='設定（最初に1回）'!$C$4,N(U6257)+1,N(U6257))</f>
        <v>134</v>
      </c>
    </row>
    <row r="6259" customFormat="false" ht="15" hidden="false" customHeight="false" outlineLevel="0" collapsed="false">
      <c r="B6259" s="53"/>
      <c r="I6259" s="53"/>
      <c r="U6259" s="31" t="n">
        <f aca="false">IF($B6259='設定（最初に1回）'!$C$4,N(U6258)+1,N(U6258))</f>
        <v>134</v>
      </c>
    </row>
    <row r="6260" customFormat="false" ht="15" hidden="false" customHeight="false" outlineLevel="0" collapsed="false">
      <c r="B6260" s="53"/>
      <c r="I6260" s="53"/>
      <c r="U6260" s="31" t="n">
        <f aca="false">IF($B6260='設定（最初に1回）'!$C$4,N(U6259)+1,N(U6259))</f>
        <v>134</v>
      </c>
    </row>
    <row r="6261" customFormat="false" ht="15" hidden="false" customHeight="false" outlineLevel="0" collapsed="false">
      <c r="B6261" s="53"/>
      <c r="I6261" s="53"/>
      <c r="U6261" s="31" t="n">
        <f aca="false">IF($B6261='設定（最初に1回）'!$C$4,N(U6260)+1,N(U6260))</f>
        <v>134</v>
      </c>
    </row>
    <row r="6262" customFormat="false" ht="15" hidden="false" customHeight="false" outlineLevel="0" collapsed="false">
      <c r="B6262" s="53"/>
      <c r="I6262" s="53"/>
      <c r="U6262" s="31" t="n">
        <f aca="false">IF($B6262='設定（最初に1回）'!$C$4,N(U6261)+1,N(U6261))</f>
        <v>134</v>
      </c>
    </row>
    <row r="6263" customFormat="false" ht="15" hidden="false" customHeight="false" outlineLevel="0" collapsed="false">
      <c r="B6263" s="53"/>
      <c r="I6263" s="53"/>
      <c r="U6263" s="31" t="n">
        <f aca="false">IF($B6263='設定（最初に1回）'!$C$4,N(U6262)+1,N(U6262))</f>
        <v>134</v>
      </c>
    </row>
    <row r="6264" customFormat="false" ht="15" hidden="false" customHeight="false" outlineLevel="0" collapsed="false">
      <c r="B6264" s="53"/>
      <c r="I6264" s="53"/>
      <c r="U6264" s="31" t="n">
        <f aca="false">IF($B6264='設定（最初に1回）'!$C$4,N(U6263)+1,N(U6263))</f>
        <v>134</v>
      </c>
    </row>
    <row r="6265" customFormat="false" ht="15" hidden="false" customHeight="false" outlineLevel="0" collapsed="false">
      <c r="B6265" s="53"/>
      <c r="I6265" s="53"/>
      <c r="U6265" s="31" t="n">
        <f aca="false">IF($B6265='設定（最初に1回）'!$C$4,N(U6264)+1,N(U6264))</f>
        <v>134</v>
      </c>
    </row>
    <row r="6266" customFormat="false" ht="15" hidden="false" customHeight="false" outlineLevel="0" collapsed="false">
      <c r="B6266" s="53"/>
      <c r="I6266" s="53"/>
      <c r="U6266" s="31" t="n">
        <f aca="false">IF($B6266='設定（最初に1回）'!$C$4,N(U6265)+1,N(U6265))</f>
        <v>134</v>
      </c>
    </row>
    <row r="6267" customFormat="false" ht="15" hidden="false" customHeight="false" outlineLevel="0" collapsed="false">
      <c r="B6267" s="53"/>
      <c r="I6267" s="53"/>
      <c r="U6267" s="31" t="n">
        <f aca="false">IF($B6267='設定（最初に1回）'!$C$4,N(U6266)+1,N(U6266))</f>
        <v>134</v>
      </c>
    </row>
    <row r="6268" customFormat="false" ht="15" hidden="false" customHeight="false" outlineLevel="0" collapsed="false">
      <c r="B6268" s="53"/>
      <c r="I6268" s="53"/>
      <c r="U6268" s="31" t="n">
        <f aca="false">IF($B6268='設定（最初に1回）'!$C$4,N(U6267)+1,N(U6267))</f>
        <v>134</v>
      </c>
    </row>
    <row r="6269" customFormat="false" ht="15" hidden="false" customHeight="false" outlineLevel="0" collapsed="false">
      <c r="B6269" s="53"/>
      <c r="I6269" s="53"/>
      <c r="U6269" s="31" t="n">
        <f aca="false">IF($B6269='設定（最初に1回）'!$C$4,N(U6268)+1,N(U6268))</f>
        <v>134</v>
      </c>
    </row>
    <row r="6270" customFormat="false" ht="15" hidden="false" customHeight="false" outlineLevel="0" collapsed="false">
      <c r="B6270" s="53"/>
      <c r="I6270" s="53"/>
      <c r="U6270" s="31" t="n">
        <f aca="false">IF($B6270='設定（最初に1回）'!$C$4,N(U6269)+1,N(U6269))</f>
        <v>134</v>
      </c>
    </row>
    <row r="6271" customFormat="false" ht="15" hidden="false" customHeight="false" outlineLevel="0" collapsed="false">
      <c r="B6271" s="53"/>
      <c r="I6271" s="53"/>
      <c r="U6271" s="31" t="n">
        <f aca="false">IF($B6271='設定（最初に1回）'!$C$4,N(U6270)+1,N(U6270))</f>
        <v>134</v>
      </c>
    </row>
    <row r="6272" customFormat="false" ht="15" hidden="false" customHeight="false" outlineLevel="0" collapsed="false">
      <c r="B6272" s="53"/>
      <c r="I6272" s="53"/>
      <c r="U6272" s="31" t="n">
        <f aca="false">IF($B6272='設定（最初に1回）'!$C$4,N(U6271)+1,N(U6271))</f>
        <v>134</v>
      </c>
    </row>
    <row r="6273" customFormat="false" ht="15" hidden="false" customHeight="false" outlineLevel="0" collapsed="false">
      <c r="B6273" s="53"/>
      <c r="I6273" s="53"/>
      <c r="U6273" s="31" t="n">
        <f aca="false">IF($B6273='設定（最初に1回）'!$C$4,N(U6272)+1,N(U6272))</f>
        <v>134</v>
      </c>
    </row>
    <row r="6274" customFormat="false" ht="15" hidden="false" customHeight="false" outlineLevel="0" collapsed="false">
      <c r="B6274" s="53"/>
      <c r="I6274" s="53"/>
      <c r="U6274" s="31" t="n">
        <f aca="false">IF($B6274='設定（最初に1回）'!$C$4,N(U6273)+1,N(U6273))</f>
        <v>134</v>
      </c>
    </row>
    <row r="6275" customFormat="false" ht="15" hidden="false" customHeight="false" outlineLevel="0" collapsed="false">
      <c r="B6275" s="53"/>
      <c r="I6275" s="53"/>
      <c r="U6275" s="31" t="n">
        <f aca="false">IF($B6275='設定（最初に1回）'!$C$4,N(U6274)+1,N(U6274))</f>
        <v>134</v>
      </c>
    </row>
    <row r="6276" customFormat="false" ht="15" hidden="false" customHeight="false" outlineLevel="0" collapsed="false">
      <c r="B6276" s="53"/>
      <c r="I6276" s="53"/>
      <c r="U6276" s="31" t="n">
        <f aca="false">IF($B6276='設定（最初に1回）'!$C$4,N(U6275)+1,N(U6275))</f>
        <v>134</v>
      </c>
    </row>
    <row r="6277" customFormat="false" ht="15" hidden="false" customHeight="false" outlineLevel="0" collapsed="false">
      <c r="B6277" s="53"/>
      <c r="I6277" s="53"/>
      <c r="U6277" s="31" t="n">
        <f aca="false">IF($B6277='設定（最初に1回）'!$C$4,N(U6276)+1,N(U6276))</f>
        <v>134</v>
      </c>
    </row>
    <row r="6278" customFormat="false" ht="15" hidden="false" customHeight="false" outlineLevel="0" collapsed="false">
      <c r="B6278" s="53"/>
      <c r="I6278" s="53"/>
      <c r="U6278" s="31" t="n">
        <f aca="false">IF($B6278='設定（最初に1回）'!$C$4,N(U6277)+1,N(U6277))</f>
        <v>134</v>
      </c>
    </row>
    <row r="6279" customFormat="false" ht="15" hidden="false" customHeight="false" outlineLevel="0" collapsed="false">
      <c r="B6279" s="53"/>
      <c r="I6279" s="53"/>
      <c r="U6279" s="31" t="n">
        <f aca="false">IF($B6279='設定（最初に1回）'!$C$4,N(U6278)+1,N(U6278))</f>
        <v>134</v>
      </c>
    </row>
    <row r="6280" customFormat="false" ht="15" hidden="false" customHeight="false" outlineLevel="0" collapsed="false">
      <c r="B6280" s="53"/>
      <c r="I6280" s="53"/>
      <c r="U6280" s="31" t="n">
        <f aca="false">IF($B6280='設定（最初に1回）'!$C$4,N(U6279)+1,N(U6279))</f>
        <v>134</v>
      </c>
    </row>
    <row r="6281" customFormat="false" ht="15" hidden="false" customHeight="false" outlineLevel="0" collapsed="false">
      <c r="B6281" s="53"/>
      <c r="I6281" s="53"/>
      <c r="U6281" s="31" t="n">
        <f aca="false">IF($B6281='設定（最初に1回）'!$C$4,N(U6280)+1,N(U6280))</f>
        <v>134</v>
      </c>
    </row>
    <row r="6282" customFormat="false" ht="15" hidden="false" customHeight="false" outlineLevel="0" collapsed="false">
      <c r="B6282" s="53"/>
      <c r="I6282" s="53"/>
      <c r="U6282" s="31" t="n">
        <f aca="false">IF($B6282='設定（最初に1回）'!$C$4,N(U6281)+1,N(U6281))</f>
        <v>134</v>
      </c>
    </row>
    <row r="6283" customFormat="false" ht="15" hidden="false" customHeight="false" outlineLevel="0" collapsed="false">
      <c r="B6283" s="53"/>
      <c r="I6283" s="53"/>
      <c r="U6283" s="31" t="n">
        <f aca="false">IF($B6283='設定（最初に1回）'!$C$4,N(U6282)+1,N(U6282))</f>
        <v>134</v>
      </c>
    </row>
    <row r="6284" customFormat="false" ht="15" hidden="false" customHeight="false" outlineLevel="0" collapsed="false">
      <c r="B6284" s="53"/>
      <c r="I6284" s="53"/>
      <c r="U6284" s="31" t="n">
        <f aca="false">IF($B6284='設定（最初に1回）'!$C$4,N(U6283)+1,N(U6283))</f>
        <v>134</v>
      </c>
    </row>
    <row r="6285" customFormat="false" ht="15" hidden="false" customHeight="false" outlineLevel="0" collapsed="false">
      <c r="B6285" s="53"/>
      <c r="I6285" s="53"/>
      <c r="U6285" s="31" t="n">
        <f aca="false">IF($B6285='設定（最初に1回）'!$C$4,N(U6284)+1,N(U6284))</f>
        <v>134</v>
      </c>
    </row>
    <row r="6286" customFormat="false" ht="15" hidden="false" customHeight="false" outlineLevel="0" collapsed="false">
      <c r="B6286" s="53"/>
      <c r="I6286" s="53"/>
      <c r="U6286" s="31" t="n">
        <f aca="false">IF($B6286='設定（最初に1回）'!$C$4,N(U6285)+1,N(U6285))</f>
        <v>134</v>
      </c>
    </row>
    <row r="6287" customFormat="false" ht="15" hidden="false" customHeight="false" outlineLevel="0" collapsed="false">
      <c r="B6287" s="53"/>
      <c r="I6287" s="53"/>
      <c r="U6287" s="31" t="n">
        <f aca="false">IF($B6287='設定（最初に1回）'!$C$4,N(U6286)+1,N(U6286))</f>
        <v>134</v>
      </c>
    </row>
    <row r="6288" customFormat="false" ht="15" hidden="false" customHeight="false" outlineLevel="0" collapsed="false">
      <c r="B6288" s="53"/>
      <c r="I6288" s="53"/>
      <c r="U6288" s="31" t="n">
        <f aca="false">IF($B6288='設定（最初に1回）'!$C$4,N(U6287)+1,N(U6287))</f>
        <v>134</v>
      </c>
    </row>
    <row r="6289" customFormat="false" ht="15" hidden="false" customHeight="false" outlineLevel="0" collapsed="false">
      <c r="B6289" s="53"/>
      <c r="I6289" s="53"/>
      <c r="U6289" s="31" t="n">
        <f aca="false">IF($B6289='設定（最初に1回）'!$C$4,N(U6288)+1,N(U6288))</f>
        <v>134</v>
      </c>
    </row>
    <row r="6290" customFormat="false" ht="15" hidden="false" customHeight="false" outlineLevel="0" collapsed="false">
      <c r="B6290" s="53"/>
      <c r="I6290" s="53"/>
      <c r="U6290" s="31" t="n">
        <f aca="false">IF($B6290='設定（最初に1回）'!$C$4,N(U6289)+1,N(U6289))</f>
        <v>134</v>
      </c>
    </row>
    <row r="6291" customFormat="false" ht="15" hidden="false" customHeight="false" outlineLevel="0" collapsed="false">
      <c r="B6291" s="53"/>
      <c r="I6291" s="53"/>
      <c r="U6291" s="31" t="n">
        <f aca="false">IF($B6291='設定（最初に1回）'!$C$4,N(U6290)+1,N(U6290))</f>
        <v>134</v>
      </c>
    </row>
    <row r="6292" customFormat="false" ht="15" hidden="false" customHeight="false" outlineLevel="0" collapsed="false">
      <c r="B6292" s="53"/>
      <c r="I6292" s="53"/>
      <c r="U6292" s="31" t="n">
        <f aca="false">IF($B6292='設定（最初に1回）'!$C$4,N(U6291)+1,N(U6291))</f>
        <v>134</v>
      </c>
    </row>
    <row r="6293" customFormat="false" ht="15" hidden="false" customHeight="false" outlineLevel="0" collapsed="false">
      <c r="B6293" s="53"/>
      <c r="I6293" s="53"/>
      <c r="U6293" s="31" t="n">
        <f aca="false">IF($B6293='設定（最初に1回）'!$C$4,N(U6292)+1,N(U6292))</f>
        <v>134</v>
      </c>
    </row>
    <row r="6294" customFormat="false" ht="15" hidden="false" customHeight="false" outlineLevel="0" collapsed="false">
      <c r="B6294" s="53"/>
      <c r="I6294" s="53"/>
      <c r="U6294" s="31" t="n">
        <f aca="false">IF($B6294='設定（最初に1回）'!$C$4,N(U6293)+1,N(U6293))</f>
        <v>134</v>
      </c>
    </row>
    <row r="6295" customFormat="false" ht="15" hidden="false" customHeight="false" outlineLevel="0" collapsed="false">
      <c r="B6295" s="53"/>
      <c r="I6295" s="53"/>
      <c r="U6295" s="31" t="n">
        <f aca="false">IF($B6295='設定（最初に1回）'!$C$4,N(U6294)+1,N(U6294))</f>
        <v>134</v>
      </c>
    </row>
    <row r="6296" customFormat="false" ht="15" hidden="false" customHeight="false" outlineLevel="0" collapsed="false">
      <c r="B6296" s="53"/>
      <c r="I6296" s="53"/>
      <c r="U6296" s="31" t="n">
        <f aca="false">IF($B6296='設定（最初に1回）'!$C$4,N(U6295)+1,N(U6295))</f>
        <v>134</v>
      </c>
    </row>
    <row r="6297" customFormat="false" ht="15" hidden="false" customHeight="false" outlineLevel="0" collapsed="false">
      <c r="B6297" s="53"/>
      <c r="I6297" s="53"/>
      <c r="U6297" s="31" t="n">
        <f aca="false">IF($B6297='設定（最初に1回）'!$C$4,N(U6296)+1,N(U6296))</f>
        <v>134</v>
      </c>
    </row>
    <row r="6298" customFormat="false" ht="15" hidden="false" customHeight="false" outlineLevel="0" collapsed="false">
      <c r="B6298" s="53"/>
      <c r="I6298" s="53"/>
      <c r="U6298" s="31" t="n">
        <f aca="false">IF($B6298='設定（最初に1回）'!$C$4,N(U6297)+1,N(U6297))</f>
        <v>134</v>
      </c>
    </row>
    <row r="6299" customFormat="false" ht="15" hidden="false" customHeight="false" outlineLevel="0" collapsed="false">
      <c r="B6299" s="53"/>
      <c r="I6299" s="53"/>
      <c r="U6299" s="31" t="n">
        <f aca="false">IF($B6299='設定（最初に1回）'!$C$4,N(U6298)+1,N(U6298))</f>
        <v>134</v>
      </c>
    </row>
    <row r="6300" customFormat="false" ht="15" hidden="false" customHeight="false" outlineLevel="0" collapsed="false">
      <c r="B6300" s="53"/>
      <c r="I6300" s="53"/>
      <c r="U6300" s="31" t="n">
        <f aca="false">IF($B6300='設定（最初に1回）'!$C$4,N(U6299)+1,N(U6299))</f>
        <v>134</v>
      </c>
    </row>
    <row r="6301" customFormat="false" ht="15" hidden="false" customHeight="false" outlineLevel="0" collapsed="false">
      <c r="B6301" s="53"/>
      <c r="I6301" s="53"/>
      <c r="U6301" s="31" t="n">
        <f aca="false">IF($B6301='設定（最初に1回）'!$C$4,N(U6300)+1,N(U6300))</f>
        <v>134</v>
      </c>
    </row>
    <row r="6302" customFormat="false" ht="15" hidden="false" customHeight="false" outlineLevel="0" collapsed="false">
      <c r="B6302" s="53"/>
      <c r="I6302" s="53"/>
      <c r="U6302" s="31" t="n">
        <f aca="false">IF($B6302='設定（最初に1回）'!$C$4,N(U6301)+1,N(U6301))</f>
        <v>134</v>
      </c>
    </row>
    <row r="6303" customFormat="false" ht="15" hidden="false" customHeight="false" outlineLevel="0" collapsed="false">
      <c r="B6303" s="53"/>
      <c r="I6303" s="53"/>
      <c r="U6303" s="31" t="n">
        <f aca="false">IF($B6303='設定（最初に1回）'!$C$4,N(U6302)+1,N(U6302))</f>
        <v>134</v>
      </c>
    </row>
    <row r="6304" customFormat="false" ht="15" hidden="false" customHeight="false" outlineLevel="0" collapsed="false">
      <c r="B6304" s="53"/>
      <c r="I6304" s="53"/>
      <c r="U6304" s="31" t="n">
        <f aca="false">IF($B6304='設定（最初に1回）'!$C$4,N(U6303)+1,N(U6303))</f>
        <v>134</v>
      </c>
    </row>
    <row r="6305" customFormat="false" ht="15" hidden="false" customHeight="false" outlineLevel="0" collapsed="false">
      <c r="B6305" s="53"/>
      <c r="I6305" s="53"/>
      <c r="U6305" s="31" t="n">
        <f aca="false">IF($B6305='設定（最初に1回）'!$C$4,N(U6304)+1,N(U6304))</f>
        <v>134</v>
      </c>
    </row>
    <row r="6306" customFormat="false" ht="15" hidden="false" customHeight="false" outlineLevel="0" collapsed="false">
      <c r="B6306" s="53"/>
      <c r="I6306" s="53"/>
      <c r="U6306" s="31" t="n">
        <f aca="false">IF($B6306='設定（最初に1回）'!$C$4,N(U6305)+1,N(U6305))</f>
        <v>134</v>
      </c>
    </row>
    <row r="6307" customFormat="false" ht="15" hidden="false" customHeight="false" outlineLevel="0" collapsed="false">
      <c r="B6307" s="53"/>
      <c r="I6307" s="53"/>
      <c r="U6307" s="31" t="n">
        <f aca="false">IF($B6307='設定（最初に1回）'!$C$4,N(U6306)+1,N(U6306))</f>
        <v>134</v>
      </c>
    </row>
    <row r="6308" customFormat="false" ht="15" hidden="false" customHeight="false" outlineLevel="0" collapsed="false">
      <c r="B6308" s="53"/>
      <c r="I6308" s="53"/>
      <c r="U6308" s="31" t="n">
        <f aca="false">IF($B6308='設定（最初に1回）'!$C$4,N(U6307)+1,N(U6307))</f>
        <v>134</v>
      </c>
    </row>
    <row r="6309" customFormat="false" ht="15" hidden="false" customHeight="false" outlineLevel="0" collapsed="false">
      <c r="B6309" s="53"/>
      <c r="I6309" s="53"/>
      <c r="U6309" s="31" t="n">
        <f aca="false">IF($B6309='設定（最初に1回）'!$C$4,N(U6308)+1,N(U6308))</f>
        <v>134</v>
      </c>
    </row>
    <row r="6310" customFormat="false" ht="15" hidden="false" customHeight="false" outlineLevel="0" collapsed="false">
      <c r="B6310" s="53"/>
      <c r="I6310" s="53"/>
      <c r="U6310" s="31" t="n">
        <f aca="false">IF($B6310='設定（最初に1回）'!$C$4,N(U6309)+1,N(U6309))</f>
        <v>134</v>
      </c>
    </row>
    <row r="6311" customFormat="false" ht="15" hidden="false" customHeight="false" outlineLevel="0" collapsed="false">
      <c r="B6311" s="53"/>
      <c r="I6311" s="53"/>
      <c r="U6311" s="31" t="n">
        <f aca="false">IF($B6311='設定（最初に1回）'!$C$4,N(U6310)+1,N(U6310))</f>
        <v>134</v>
      </c>
    </row>
    <row r="6312" customFormat="false" ht="15" hidden="false" customHeight="false" outlineLevel="0" collapsed="false">
      <c r="B6312" s="53"/>
      <c r="I6312" s="53"/>
      <c r="U6312" s="31" t="n">
        <f aca="false">IF($B6312='設定（最初に1回）'!$C$4,N(U6311)+1,N(U6311))</f>
        <v>134</v>
      </c>
    </row>
    <row r="6313" customFormat="false" ht="15" hidden="false" customHeight="false" outlineLevel="0" collapsed="false">
      <c r="B6313" s="53"/>
      <c r="I6313" s="53"/>
      <c r="U6313" s="31" t="n">
        <f aca="false">IF($B6313='設定（最初に1回）'!$C$4,N(U6312)+1,N(U6312))</f>
        <v>134</v>
      </c>
    </row>
    <row r="6314" customFormat="false" ht="15" hidden="false" customHeight="false" outlineLevel="0" collapsed="false">
      <c r="B6314" s="53"/>
      <c r="I6314" s="53"/>
      <c r="U6314" s="31" t="n">
        <f aca="false">IF($B6314='設定（最初に1回）'!$C$4,N(U6313)+1,N(U6313))</f>
        <v>134</v>
      </c>
    </row>
    <row r="6315" customFormat="false" ht="15" hidden="false" customHeight="false" outlineLevel="0" collapsed="false">
      <c r="B6315" s="53"/>
      <c r="I6315" s="53"/>
      <c r="U6315" s="31" t="n">
        <f aca="false">IF($B6315='設定（最初に1回）'!$C$4,N(U6314)+1,N(U6314))</f>
        <v>134</v>
      </c>
    </row>
    <row r="6316" customFormat="false" ht="15" hidden="false" customHeight="false" outlineLevel="0" collapsed="false">
      <c r="B6316" s="53"/>
      <c r="I6316" s="53"/>
      <c r="U6316" s="31" t="n">
        <f aca="false">IF($B6316='設定（最初に1回）'!$C$4,N(U6315)+1,N(U6315))</f>
        <v>134</v>
      </c>
    </row>
    <row r="6317" customFormat="false" ht="15" hidden="false" customHeight="false" outlineLevel="0" collapsed="false">
      <c r="B6317" s="53"/>
      <c r="I6317" s="53"/>
      <c r="U6317" s="31" t="n">
        <f aca="false">IF($B6317='設定（最初に1回）'!$C$4,N(U6316)+1,N(U6316))</f>
        <v>134</v>
      </c>
    </row>
    <row r="6318" customFormat="false" ht="15" hidden="false" customHeight="false" outlineLevel="0" collapsed="false">
      <c r="B6318" s="53"/>
      <c r="I6318" s="53"/>
      <c r="U6318" s="31" t="n">
        <f aca="false">IF($B6318='設定（最初に1回）'!$C$4,N(U6317)+1,N(U6317))</f>
        <v>134</v>
      </c>
    </row>
    <row r="6319" customFormat="false" ht="15" hidden="false" customHeight="false" outlineLevel="0" collapsed="false">
      <c r="B6319" s="53"/>
      <c r="I6319" s="53"/>
      <c r="U6319" s="31" t="n">
        <f aca="false">IF($B6319='設定（最初に1回）'!$C$4,N(U6318)+1,N(U6318))</f>
        <v>134</v>
      </c>
    </row>
    <row r="6320" customFormat="false" ht="15" hidden="false" customHeight="false" outlineLevel="0" collapsed="false">
      <c r="B6320" s="53"/>
      <c r="I6320" s="53"/>
      <c r="U6320" s="31" t="n">
        <f aca="false">IF($B6320='設定（最初に1回）'!$C$4,N(U6319)+1,N(U6319))</f>
        <v>134</v>
      </c>
    </row>
    <row r="6321" customFormat="false" ht="15" hidden="false" customHeight="false" outlineLevel="0" collapsed="false">
      <c r="B6321" s="53"/>
      <c r="I6321" s="53"/>
      <c r="U6321" s="31" t="n">
        <f aca="false">IF($B6321='設定（最初に1回）'!$C$4,N(U6320)+1,N(U6320))</f>
        <v>134</v>
      </c>
    </row>
    <row r="6322" customFormat="false" ht="15" hidden="false" customHeight="false" outlineLevel="0" collapsed="false">
      <c r="B6322" s="53"/>
      <c r="I6322" s="53"/>
      <c r="U6322" s="31" t="n">
        <f aca="false">IF($B6322='設定（最初に1回）'!$C$4,N(U6321)+1,N(U6321))</f>
        <v>134</v>
      </c>
    </row>
    <row r="6323" customFormat="false" ht="15" hidden="false" customHeight="false" outlineLevel="0" collapsed="false">
      <c r="B6323" s="53"/>
      <c r="I6323" s="53"/>
      <c r="U6323" s="31" t="n">
        <f aca="false">IF($B6323='設定（最初に1回）'!$C$4,N(U6322)+1,N(U6322))</f>
        <v>134</v>
      </c>
    </row>
    <row r="6324" customFormat="false" ht="15" hidden="false" customHeight="false" outlineLevel="0" collapsed="false">
      <c r="B6324" s="53"/>
      <c r="I6324" s="53"/>
      <c r="U6324" s="31" t="n">
        <f aca="false">IF($B6324='設定（最初に1回）'!$C$4,N(U6323)+1,N(U6323))</f>
        <v>134</v>
      </c>
    </row>
    <row r="6325" customFormat="false" ht="15" hidden="false" customHeight="false" outlineLevel="0" collapsed="false">
      <c r="B6325" s="53"/>
      <c r="I6325" s="53"/>
      <c r="U6325" s="31" t="n">
        <f aca="false">IF($B6325='設定（最初に1回）'!$C$4,N(U6324)+1,N(U6324))</f>
        <v>134</v>
      </c>
    </row>
    <row r="6326" customFormat="false" ht="15" hidden="false" customHeight="false" outlineLevel="0" collapsed="false">
      <c r="B6326" s="53"/>
      <c r="I6326" s="53"/>
      <c r="U6326" s="31" t="n">
        <f aca="false">IF($B6326='設定（最初に1回）'!$C$4,N(U6325)+1,N(U6325))</f>
        <v>134</v>
      </c>
    </row>
    <row r="6327" customFormat="false" ht="15" hidden="false" customHeight="false" outlineLevel="0" collapsed="false">
      <c r="B6327" s="53"/>
      <c r="I6327" s="53"/>
      <c r="U6327" s="31" t="n">
        <f aca="false">IF($B6327='設定（最初に1回）'!$C$4,N(U6326)+1,N(U6326))</f>
        <v>134</v>
      </c>
    </row>
    <row r="6328" customFormat="false" ht="15" hidden="false" customHeight="false" outlineLevel="0" collapsed="false">
      <c r="B6328" s="53"/>
      <c r="I6328" s="53"/>
      <c r="U6328" s="31" t="n">
        <f aca="false">IF($B6328='設定（最初に1回）'!$C$4,N(U6327)+1,N(U6327))</f>
        <v>134</v>
      </c>
    </row>
    <row r="6329" customFormat="false" ht="15" hidden="false" customHeight="false" outlineLevel="0" collapsed="false">
      <c r="B6329" s="53"/>
      <c r="I6329" s="53"/>
      <c r="U6329" s="31" t="n">
        <f aca="false">IF($B6329='設定（最初に1回）'!$C$4,N(U6328)+1,N(U6328))</f>
        <v>134</v>
      </c>
    </row>
    <row r="6330" customFormat="false" ht="15" hidden="false" customHeight="false" outlineLevel="0" collapsed="false">
      <c r="B6330" s="53"/>
      <c r="I6330" s="53"/>
      <c r="U6330" s="31" t="n">
        <f aca="false">IF($B6330='設定（最初に1回）'!$C$4,N(U6329)+1,N(U6329))</f>
        <v>134</v>
      </c>
    </row>
    <row r="6331" customFormat="false" ht="15" hidden="false" customHeight="false" outlineLevel="0" collapsed="false">
      <c r="B6331" s="53"/>
      <c r="I6331" s="53"/>
      <c r="U6331" s="31" t="n">
        <f aca="false">IF($B6331='設定（最初に1回）'!$C$4,N(U6330)+1,N(U6330))</f>
        <v>134</v>
      </c>
    </row>
    <row r="6332" customFormat="false" ht="15" hidden="false" customHeight="false" outlineLevel="0" collapsed="false">
      <c r="B6332" s="53"/>
      <c r="I6332" s="53"/>
      <c r="U6332" s="31" t="n">
        <f aca="false">IF($B6332='設定（最初に1回）'!$C$4,N(U6331)+1,N(U6331))</f>
        <v>134</v>
      </c>
    </row>
    <row r="6333" customFormat="false" ht="15" hidden="false" customHeight="false" outlineLevel="0" collapsed="false">
      <c r="B6333" s="53"/>
      <c r="I6333" s="53"/>
      <c r="U6333" s="31" t="n">
        <f aca="false">IF($B6333='設定（最初に1回）'!$C$4,N(U6332)+1,N(U6332))</f>
        <v>134</v>
      </c>
    </row>
    <row r="6334" customFormat="false" ht="15" hidden="false" customHeight="false" outlineLevel="0" collapsed="false">
      <c r="B6334" s="53"/>
      <c r="I6334" s="53"/>
      <c r="U6334" s="31" t="n">
        <f aca="false">IF($B6334='設定（最初に1回）'!$C$4,N(U6333)+1,N(U6333))</f>
        <v>134</v>
      </c>
    </row>
    <row r="6335" customFormat="false" ht="15" hidden="false" customHeight="false" outlineLevel="0" collapsed="false">
      <c r="B6335" s="53"/>
      <c r="I6335" s="53"/>
      <c r="U6335" s="31" t="n">
        <f aca="false">IF($B6335='設定（最初に1回）'!$C$4,N(U6334)+1,N(U6334))</f>
        <v>134</v>
      </c>
    </row>
    <row r="6336" customFormat="false" ht="15" hidden="false" customHeight="false" outlineLevel="0" collapsed="false">
      <c r="B6336" s="53"/>
      <c r="I6336" s="53"/>
      <c r="U6336" s="31" t="n">
        <f aca="false">IF($B6336='設定（最初に1回）'!$C$4,N(U6335)+1,N(U6335))</f>
        <v>134</v>
      </c>
    </row>
    <row r="6337" customFormat="false" ht="15" hidden="false" customHeight="false" outlineLevel="0" collapsed="false">
      <c r="B6337" s="53"/>
      <c r="I6337" s="53"/>
      <c r="U6337" s="31" t="n">
        <f aca="false">IF($B6337='設定（最初に1回）'!$C$4,N(U6336)+1,N(U6336))</f>
        <v>134</v>
      </c>
    </row>
    <row r="6338" customFormat="false" ht="15" hidden="false" customHeight="false" outlineLevel="0" collapsed="false">
      <c r="B6338" s="53"/>
      <c r="I6338" s="53"/>
      <c r="U6338" s="31" t="n">
        <f aca="false">IF($B6338='設定（最初に1回）'!$C$4,N(U6337)+1,N(U6337))</f>
        <v>134</v>
      </c>
    </row>
    <row r="6339" customFormat="false" ht="15" hidden="false" customHeight="false" outlineLevel="0" collapsed="false">
      <c r="B6339" s="53"/>
      <c r="I6339" s="53"/>
      <c r="U6339" s="31" t="n">
        <f aca="false">IF($B6339='設定（最初に1回）'!$C$4,N(U6338)+1,N(U6338))</f>
        <v>134</v>
      </c>
    </row>
    <row r="6340" customFormat="false" ht="15" hidden="false" customHeight="false" outlineLevel="0" collapsed="false">
      <c r="B6340" s="53"/>
      <c r="I6340" s="53"/>
      <c r="U6340" s="31" t="n">
        <f aca="false">IF($B6340='設定（最初に1回）'!$C$4,N(U6339)+1,N(U6339))</f>
        <v>134</v>
      </c>
    </row>
    <row r="6341" customFormat="false" ht="15" hidden="false" customHeight="false" outlineLevel="0" collapsed="false">
      <c r="B6341" s="53"/>
      <c r="I6341" s="53"/>
      <c r="U6341" s="31" t="n">
        <f aca="false">IF($B6341='設定（最初に1回）'!$C$4,N(U6340)+1,N(U6340))</f>
        <v>134</v>
      </c>
    </row>
    <row r="6342" customFormat="false" ht="15" hidden="false" customHeight="false" outlineLevel="0" collapsed="false">
      <c r="B6342" s="53"/>
      <c r="I6342" s="53"/>
      <c r="U6342" s="31" t="n">
        <f aca="false">IF($B6342='設定（最初に1回）'!$C$4,N(U6341)+1,N(U6341))</f>
        <v>134</v>
      </c>
    </row>
    <row r="6343" customFormat="false" ht="15" hidden="false" customHeight="false" outlineLevel="0" collapsed="false">
      <c r="B6343" s="53"/>
      <c r="I6343" s="53"/>
      <c r="U6343" s="31" t="n">
        <f aca="false">IF($B6343='設定（最初に1回）'!$C$4,N(U6342)+1,N(U6342))</f>
        <v>134</v>
      </c>
    </row>
    <row r="6344" customFormat="false" ht="15" hidden="false" customHeight="false" outlineLevel="0" collapsed="false">
      <c r="B6344" s="53"/>
      <c r="I6344" s="53"/>
      <c r="U6344" s="31" t="n">
        <f aca="false">IF($B6344='設定（最初に1回）'!$C$4,N(U6343)+1,N(U6343))</f>
        <v>134</v>
      </c>
    </row>
    <row r="6345" customFormat="false" ht="15" hidden="false" customHeight="false" outlineLevel="0" collapsed="false">
      <c r="B6345" s="53"/>
      <c r="I6345" s="53"/>
      <c r="U6345" s="31" t="n">
        <f aca="false">IF($B6345='設定（最初に1回）'!$C$4,N(U6344)+1,N(U6344))</f>
        <v>134</v>
      </c>
    </row>
    <row r="6346" customFormat="false" ht="15" hidden="false" customHeight="false" outlineLevel="0" collapsed="false">
      <c r="B6346" s="53"/>
      <c r="I6346" s="53"/>
      <c r="U6346" s="31" t="n">
        <f aca="false">IF($B6346='設定（最初に1回）'!$C$4,N(U6345)+1,N(U6345))</f>
        <v>134</v>
      </c>
    </row>
    <row r="6347" customFormat="false" ht="15" hidden="false" customHeight="false" outlineLevel="0" collapsed="false">
      <c r="B6347" s="53"/>
      <c r="I6347" s="53"/>
      <c r="U6347" s="31" t="n">
        <f aca="false">IF($B6347='設定（最初に1回）'!$C$4,N(U6346)+1,N(U6346))</f>
        <v>134</v>
      </c>
    </row>
    <row r="6348" customFormat="false" ht="15" hidden="false" customHeight="false" outlineLevel="0" collapsed="false">
      <c r="B6348" s="53"/>
      <c r="I6348" s="53"/>
      <c r="U6348" s="31" t="n">
        <f aca="false">IF($B6348='設定（最初に1回）'!$C$4,N(U6347)+1,N(U6347))</f>
        <v>134</v>
      </c>
    </row>
    <row r="6349" customFormat="false" ht="15" hidden="false" customHeight="false" outlineLevel="0" collapsed="false">
      <c r="B6349" s="53"/>
      <c r="I6349" s="53"/>
      <c r="U6349" s="31" t="n">
        <f aca="false">IF($B6349='設定（最初に1回）'!$C$4,N(U6348)+1,N(U6348))</f>
        <v>134</v>
      </c>
    </row>
    <row r="6350" customFormat="false" ht="15" hidden="false" customHeight="false" outlineLevel="0" collapsed="false">
      <c r="B6350" s="53"/>
      <c r="I6350" s="53"/>
      <c r="U6350" s="31" t="n">
        <f aca="false">IF($B6350='設定（最初に1回）'!$C$4,N(U6349)+1,N(U6349))</f>
        <v>134</v>
      </c>
    </row>
    <row r="6351" customFormat="false" ht="15" hidden="false" customHeight="false" outlineLevel="0" collapsed="false">
      <c r="B6351" s="53"/>
      <c r="I6351" s="53"/>
      <c r="U6351" s="31" t="n">
        <f aca="false">IF($B6351='設定（最初に1回）'!$C$4,N(U6350)+1,N(U6350))</f>
        <v>134</v>
      </c>
    </row>
    <row r="6352" customFormat="false" ht="15" hidden="false" customHeight="false" outlineLevel="0" collapsed="false">
      <c r="B6352" s="53"/>
      <c r="I6352" s="53"/>
      <c r="U6352" s="31" t="n">
        <f aca="false">IF($B6352='設定（最初に1回）'!$C$4,N(U6351)+1,N(U6351))</f>
        <v>134</v>
      </c>
    </row>
    <row r="6353" customFormat="false" ht="15" hidden="false" customHeight="false" outlineLevel="0" collapsed="false">
      <c r="B6353" s="53"/>
      <c r="I6353" s="53"/>
      <c r="U6353" s="31" t="n">
        <f aca="false">IF($B6353='設定（最初に1回）'!$C$4,N(U6352)+1,N(U6352))</f>
        <v>134</v>
      </c>
    </row>
    <row r="6354" customFormat="false" ht="15" hidden="false" customHeight="false" outlineLevel="0" collapsed="false">
      <c r="B6354" s="53"/>
      <c r="I6354" s="53"/>
      <c r="U6354" s="31" t="n">
        <f aca="false">IF($B6354='設定（最初に1回）'!$C$4,N(U6353)+1,N(U6353))</f>
        <v>134</v>
      </c>
    </row>
    <row r="6355" customFormat="false" ht="15" hidden="false" customHeight="false" outlineLevel="0" collapsed="false">
      <c r="B6355" s="53"/>
      <c r="I6355" s="53"/>
      <c r="U6355" s="31" t="n">
        <f aca="false">IF($B6355='設定（最初に1回）'!$C$4,N(U6354)+1,N(U6354))</f>
        <v>134</v>
      </c>
    </row>
    <row r="6356" customFormat="false" ht="15" hidden="false" customHeight="false" outlineLevel="0" collapsed="false">
      <c r="B6356" s="53"/>
      <c r="I6356" s="53"/>
      <c r="U6356" s="31" t="n">
        <f aca="false">IF($B6356='設定（最初に1回）'!$C$4,N(U6355)+1,N(U6355))</f>
        <v>134</v>
      </c>
    </row>
    <row r="6357" customFormat="false" ht="15" hidden="false" customHeight="false" outlineLevel="0" collapsed="false">
      <c r="B6357" s="53"/>
      <c r="I6357" s="53"/>
      <c r="U6357" s="31" t="n">
        <f aca="false">IF($B6357='設定（最初に1回）'!$C$4,N(U6356)+1,N(U6356))</f>
        <v>134</v>
      </c>
    </row>
    <row r="6358" customFormat="false" ht="15" hidden="false" customHeight="false" outlineLevel="0" collapsed="false">
      <c r="B6358" s="53"/>
      <c r="I6358" s="53"/>
      <c r="U6358" s="31" t="n">
        <f aca="false">IF($B6358='設定（最初に1回）'!$C$4,N(U6357)+1,N(U6357))</f>
        <v>134</v>
      </c>
    </row>
    <row r="6359" customFormat="false" ht="15" hidden="false" customHeight="false" outlineLevel="0" collapsed="false">
      <c r="B6359" s="53"/>
      <c r="I6359" s="53"/>
      <c r="U6359" s="31" t="n">
        <f aca="false">IF($B6359='設定（最初に1回）'!$C$4,N(U6358)+1,N(U6358))</f>
        <v>134</v>
      </c>
    </row>
    <row r="6360" customFormat="false" ht="15" hidden="false" customHeight="false" outlineLevel="0" collapsed="false">
      <c r="B6360" s="53"/>
      <c r="I6360" s="53"/>
      <c r="U6360" s="31" t="n">
        <f aca="false">IF($B6360='設定（最初に1回）'!$C$4,N(U6359)+1,N(U6359))</f>
        <v>134</v>
      </c>
    </row>
    <row r="6361" customFormat="false" ht="15" hidden="false" customHeight="false" outlineLevel="0" collapsed="false">
      <c r="B6361" s="53"/>
      <c r="I6361" s="53"/>
      <c r="U6361" s="31" t="n">
        <f aca="false">IF($B6361='設定（最初に1回）'!$C$4,N(U6360)+1,N(U6360))</f>
        <v>134</v>
      </c>
    </row>
    <row r="6362" customFormat="false" ht="15" hidden="false" customHeight="false" outlineLevel="0" collapsed="false">
      <c r="B6362" s="53"/>
      <c r="I6362" s="53"/>
      <c r="U6362" s="31" t="n">
        <f aca="false">IF($B6362='設定（最初に1回）'!$C$4,N(U6361)+1,N(U6361))</f>
        <v>134</v>
      </c>
    </row>
    <row r="6363" customFormat="false" ht="15" hidden="false" customHeight="false" outlineLevel="0" collapsed="false">
      <c r="B6363" s="53"/>
      <c r="I6363" s="53"/>
      <c r="U6363" s="31" t="n">
        <f aca="false">IF($B6363='設定（最初に1回）'!$C$4,N(U6362)+1,N(U6362))</f>
        <v>134</v>
      </c>
    </row>
    <row r="6364" customFormat="false" ht="15" hidden="false" customHeight="false" outlineLevel="0" collapsed="false">
      <c r="B6364" s="53"/>
      <c r="I6364" s="53"/>
      <c r="U6364" s="31" t="n">
        <f aca="false">IF($B6364='設定（最初に1回）'!$C$4,N(U6363)+1,N(U6363))</f>
        <v>134</v>
      </c>
    </row>
    <row r="6365" customFormat="false" ht="15" hidden="false" customHeight="false" outlineLevel="0" collapsed="false">
      <c r="B6365" s="53"/>
      <c r="I6365" s="53"/>
      <c r="U6365" s="31" t="n">
        <f aca="false">IF($B6365='設定（最初に1回）'!$C$4,N(U6364)+1,N(U6364))</f>
        <v>134</v>
      </c>
    </row>
    <row r="6366" customFormat="false" ht="15" hidden="false" customHeight="false" outlineLevel="0" collapsed="false">
      <c r="B6366" s="53"/>
      <c r="I6366" s="53"/>
      <c r="U6366" s="31" t="n">
        <f aca="false">IF($B6366='設定（最初に1回）'!$C$4,N(U6365)+1,N(U6365))</f>
        <v>134</v>
      </c>
    </row>
    <row r="6367" customFormat="false" ht="15" hidden="false" customHeight="false" outlineLevel="0" collapsed="false">
      <c r="B6367" s="53"/>
      <c r="I6367" s="53"/>
      <c r="U6367" s="31" t="n">
        <f aca="false">IF($B6367='設定（最初に1回）'!$C$4,N(U6366)+1,N(U6366))</f>
        <v>134</v>
      </c>
    </row>
    <row r="6368" customFormat="false" ht="15" hidden="false" customHeight="false" outlineLevel="0" collapsed="false">
      <c r="B6368" s="53"/>
      <c r="I6368" s="53"/>
      <c r="U6368" s="31" t="n">
        <f aca="false">IF($B6368='設定（最初に1回）'!$C$4,N(U6367)+1,N(U6367))</f>
        <v>134</v>
      </c>
    </row>
    <row r="6369" customFormat="false" ht="15" hidden="false" customHeight="false" outlineLevel="0" collapsed="false">
      <c r="B6369" s="53"/>
      <c r="I6369" s="53"/>
      <c r="U6369" s="31" t="n">
        <f aca="false">IF($B6369='設定（最初に1回）'!$C$4,N(U6368)+1,N(U6368))</f>
        <v>134</v>
      </c>
    </row>
    <row r="6370" customFormat="false" ht="15" hidden="false" customHeight="false" outlineLevel="0" collapsed="false">
      <c r="B6370" s="53"/>
      <c r="I6370" s="53"/>
      <c r="U6370" s="31" t="n">
        <f aca="false">IF($B6370='設定（最初に1回）'!$C$4,N(U6369)+1,N(U6369))</f>
        <v>134</v>
      </c>
    </row>
    <row r="6371" customFormat="false" ht="15" hidden="false" customHeight="false" outlineLevel="0" collapsed="false">
      <c r="B6371" s="53"/>
      <c r="I6371" s="53"/>
      <c r="U6371" s="31" t="n">
        <f aca="false">IF($B6371='設定（最初に1回）'!$C$4,N(U6370)+1,N(U6370))</f>
        <v>134</v>
      </c>
    </row>
    <row r="6372" customFormat="false" ht="15" hidden="false" customHeight="false" outlineLevel="0" collapsed="false">
      <c r="B6372" s="53"/>
      <c r="I6372" s="53"/>
      <c r="U6372" s="31" t="n">
        <f aca="false">IF($B6372='設定（最初に1回）'!$C$4,N(U6371)+1,N(U6371))</f>
        <v>134</v>
      </c>
    </row>
    <row r="6373" customFormat="false" ht="15" hidden="false" customHeight="false" outlineLevel="0" collapsed="false">
      <c r="B6373" s="53"/>
      <c r="I6373" s="53"/>
      <c r="U6373" s="31" t="n">
        <f aca="false">IF($B6373='設定（最初に1回）'!$C$4,N(U6372)+1,N(U6372))</f>
        <v>134</v>
      </c>
    </row>
    <row r="6374" customFormat="false" ht="15" hidden="false" customHeight="false" outlineLevel="0" collapsed="false">
      <c r="B6374" s="53"/>
      <c r="I6374" s="53"/>
      <c r="U6374" s="31" t="n">
        <f aca="false">IF($B6374='設定（最初に1回）'!$C$4,N(U6373)+1,N(U6373))</f>
        <v>134</v>
      </c>
    </row>
    <row r="6375" customFormat="false" ht="15" hidden="false" customHeight="false" outlineLevel="0" collapsed="false">
      <c r="B6375" s="53"/>
      <c r="I6375" s="53"/>
      <c r="U6375" s="31" t="n">
        <f aca="false">IF($B6375='設定（最初に1回）'!$C$4,N(U6374)+1,N(U6374))</f>
        <v>134</v>
      </c>
    </row>
    <row r="6376" customFormat="false" ht="15" hidden="false" customHeight="false" outlineLevel="0" collapsed="false">
      <c r="B6376" s="53"/>
      <c r="I6376" s="53"/>
      <c r="U6376" s="31" t="n">
        <f aca="false">IF($B6376='設定（最初に1回）'!$C$4,N(U6375)+1,N(U6375))</f>
        <v>134</v>
      </c>
    </row>
    <row r="6377" customFormat="false" ht="15" hidden="false" customHeight="false" outlineLevel="0" collapsed="false">
      <c r="B6377" s="53"/>
      <c r="I6377" s="53"/>
      <c r="U6377" s="31" t="n">
        <f aca="false">IF($B6377='設定（最初に1回）'!$C$4,N(U6376)+1,N(U6376))</f>
        <v>134</v>
      </c>
    </row>
    <row r="6378" customFormat="false" ht="15" hidden="false" customHeight="false" outlineLevel="0" collapsed="false">
      <c r="B6378" s="53"/>
      <c r="I6378" s="53"/>
      <c r="U6378" s="31" t="n">
        <f aca="false">IF($B6378='設定（最初に1回）'!$C$4,N(U6377)+1,N(U6377))</f>
        <v>134</v>
      </c>
    </row>
    <row r="6379" customFormat="false" ht="15" hidden="false" customHeight="false" outlineLevel="0" collapsed="false">
      <c r="B6379" s="53"/>
      <c r="I6379" s="53"/>
      <c r="U6379" s="31" t="n">
        <f aca="false">IF($B6379='設定（最初に1回）'!$C$4,N(U6378)+1,N(U6378))</f>
        <v>134</v>
      </c>
    </row>
    <row r="6380" customFormat="false" ht="15" hidden="false" customHeight="false" outlineLevel="0" collapsed="false">
      <c r="B6380" s="53"/>
      <c r="I6380" s="53"/>
      <c r="U6380" s="31" t="n">
        <f aca="false">IF($B6380='設定（最初に1回）'!$C$4,N(U6379)+1,N(U6379))</f>
        <v>134</v>
      </c>
    </row>
    <row r="6381" customFormat="false" ht="15" hidden="false" customHeight="false" outlineLevel="0" collapsed="false">
      <c r="B6381" s="53"/>
      <c r="I6381" s="53"/>
      <c r="U6381" s="31" t="n">
        <f aca="false">IF($B6381='設定（最初に1回）'!$C$4,N(U6380)+1,N(U6380))</f>
        <v>134</v>
      </c>
    </row>
    <row r="6382" customFormat="false" ht="15" hidden="false" customHeight="false" outlineLevel="0" collapsed="false">
      <c r="B6382" s="53"/>
      <c r="I6382" s="53"/>
      <c r="U6382" s="31" t="n">
        <f aca="false">IF($B6382='設定（最初に1回）'!$C$4,N(U6381)+1,N(U6381))</f>
        <v>134</v>
      </c>
    </row>
    <row r="6383" customFormat="false" ht="15" hidden="false" customHeight="false" outlineLevel="0" collapsed="false">
      <c r="B6383" s="53"/>
      <c r="I6383" s="53"/>
      <c r="U6383" s="31" t="n">
        <f aca="false">IF($B6383='設定（最初に1回）'!$C$4,N(U6382)+1,N(U6382))</f>
        <v>134</v>
      </c>
    </row>
    <row r="6384" customFormat="false" ht="15" hidden="false" customHeight="false" outlineLevel="0" collapsed="false">
      <c r="B6384" s="53"/>
      <c r="I6384" s="53"/>
      <c r="U6384" s="31" t="n">
        <f aca="false">IF($B6384='設定（最初に1回）'!$C$4,N(U6383)+1,N(U6383))</f>
        <v>134</v>
      </c>
    </row>
    <row r="6385" customFormat="false" ht="15" hidden="false" customHeight="false" outlineLevel="0" collapsed="false">
      <c r="B6385" s="53"/>
      <c r="I6385" s="53"/>
      <c r="U6385" s="31" t="n">
        <f aca="false">IF($B6385='設定（最初に1回）'!$C$4,N(U6384)+1,N(U6384))</f>
        <v>134</v>
      </c>
    </row>
    <row r="6386" customFormat="false" ht="15" hidden="false" customHeight="false" outlineLevel="0" collapsed="false">
      <c r="B6386" s="53"/>
      <c r="I6386" s="53"/>
      <c r="U6386" s="31" t="n">
        <f aca="false">IF($B6386='設定（最初に1回）'!$C$4,N(U6385)+1,N(U6385))</f>
        <v>134</v>
      </c>
    </row>
    <row r="6387" customFormat="false" ht="15" hidden="false" customHeight="false" outlineLevel="0" collapsed="false">
      <c r="B6387" s="53"/>
      <c r="I6387" s="53"/>
      <c r="U6387" s="31" t="n">
        <f aca="false">IF($B6387='設定（最初に1回）'!$C$4,N(U6386)+1,N(U6386))</f>
        <v>134</v>
      </c>
    </row>
    <row r="6388" customFormat="false" ht="15" hidden="false" customHeight="false" outlineLevel="0" collapsed="false">
      <c r="B6388" s="53"/>
      <c r="I6388" s="53"/>
      <c r="U6388" s="31" t="n">
        <f aca="false">IF($B6388='設定（最初に1回）'!$C$4,N(U6387)+1,N(U6387))</f>
        <v>134</v>
      </c>
    </row>
    <row r="6389" customFormat="false" ht="15" hidden="false" customHeight="false" outlineLevel="0" collapsed="false">
      <c r="B6389" s="53"/>
      <c r="I6389" s="53"/>
      <c r="U6389" s="31" t="n">
        <f aca="false">IF($B6389='設定（最初に1回）'!$C$4,N(U6388)+1,N(U6388))</f>
        <v>134</v>
      </c>
    </row>
    <row r="6390" customFormat="false" ht="15" hidden="false" customHeight="false" outlineLevel="0" collapsed="false">
      <c r="B6390" s="53"/>
      <c r="I6390" s="53"/>
      <c r="U6390" s="31" t="n">
        <f aca="false">IF($B6390='設定（最初に1回）'!$C$4,N(U6389)+1,N(U6389))</f>
        <v>134</v>
      </c>
    </row>
    <row r="6391" customFormat="false" ht="15" hidden="false" customHeight="false" outlineLevel="0" collapsed="false">
      <c r="B6391" s="53"/>
      <c r="I6391" s="53"/>
      <c r="U6391" s="31" t="n">
        <f aca="false">IF($B6391='設定（最初に1回）'!$C$4,N(U6390)+1,N(U6390))</f>
        <v>134</v>
      </c>
    </row>
    <row r="6392" customFormat="false" ht="15" hidden="false" customHeight="false" outlineLevel="0" collapsed="false">
      <c r="B6392" s="53"/>
      <c r="I6392" s="53"/>
      <c r="U6392" s="31" t="n">
        <f aca="false">IF($B6392='設定（最初に1回）'!$C$4,N(U6391)+1,N(U6391))</f>
        <v>134</v>
      </c>
    </row>
    <row r="6393" customFormat="false" ht="15" hidden="false" customHeight="false" outlineLevel="0" collapsed="false">
      <c r="B6393" s="53"/>
      <c r="I6393" s="53"/>
      <c r="U6393" s="31" t="n">
        <f aca="false">IF($B6393='設定（最初に1回）'!$C$4,N(U6392)+1,N(U6392))</f>
        <v>134</v>
      </c>
    </row>
    <row r="6394" customFormat="false" ht="15" hidden="false" customHeight="false" outlineLevel="0" collapsed="false">
      <c r="B6394" s="53"/>
      <c r="I6394" s="53"/>
      <c r="U6394" s="31" t="n">
        <f aca="false">IF($B6394='設定（最初に1回）'!$C$4,N(U6393)+1,N(U6393))</f>
        <v>134</v>
      </c>
    </row>
    <row r="6395" customFormat="false" ht="15" hidden="false" customHeight="false" outlineLevel="0" collapsed="false">
      <c r="B6395" s="53"/>
      <c r="I6395" s="53"/>
      <c r="U6395" s="31" t="n">
        <f aca="false">IF($B6395='設定（最初に1回）'!$C$4,N(U6394)+1,N(U6394))</f>
        <v>134</v>
      </c>
    </row>
    <row r="6396" customFormat="false" ht="15" hidden="false" customHeight="false" outlineLevel="0" collapsed="false">
      <c r="B6396" s="53"/>
      <c r="I6396" s="53"/>
      <c r="U6396" s="31" t="n">
        <f aca="false">IF($B6396='設定（最初に1回）'!$C$4,N(U6395)+1,N(U6395))</f>
        <v>134</v>
      </c>
    </row>
    <row r="6397" customFormat="false" ht="15" hidden="false" customHeight="false" outlineLevel="0" collapsed="false">
      <c r="B6397" s="53"/>
      <c r="I6397" s="53"/>
      <c r="U6397" s="31" t="n">
        <f aca="false">IF($B6397='設定（最初に1回）'!$C$4,N(U6396)+1,N(U6396))</f>
        <v>134</v>
      </c>
    </row>
    <row r="6398" customFormat="false" ht="15" hidden="false" customHeight="false" outlineLevel="0" collapsed="false">
      <c r="B6398" s="53"/>
      <c r="I6398" s="53"/>
      <c r="U6398" s="31" t="n">
        <f aca="false">IF($B6398='設定（最初に1回）'!$C$4,N(U6397)+1,N(U6397))</f>
        <v>134</v>
      </c>
    </row>
    <row r="6399" customFormat="false" ht="15" hidden="false" customHeight="false" outlineLevel="0" collapsed="false">
      <c r="B6399" s="53"/>
      <c r="I6399" s="53"/>
      <c r="U6399" s="31" t="n">
        <f aca="false">IF($B6399='設定（最初に1回）'!$C$4,N(U6398)+1,N(U6398))</f>
        <v>134</v>
      </c>
    </row>
    <row r="6400" customFormat="false" ht="15" hidden="false" customHeight="false" outlineLevel="0" collapsed="false">
      <c r="B6400" s="53"/>
      <c r="I6400" s="53"/>
      <c r="U6400" s="31" t="n">
        <f aca="false">IF($B6400='設定（最初に1回）'!$C$4,N(U6399)+1,N(U6399))</f>
        <v>134</v>
      </c>
    </row>
    <row r="6401" customFormat="false" ht="15" hidden="false" customHeight="false" outlineLevel="0" collapsed="false">
      <c r="B6401" s="53"/>
      <c r="I6401" s="53"/>
      <c r="U6401" s="31" t="n">
        <f aca="false">IF($B6401='設定（最初に1回）'!$C$4,N(U6400)+1,N(U6400))</f>
        <v>134</v>
      </c>
    </row>
    <row r="6402" customFormat="false" ht="15" hidden="false" customHeight="false" outlineLevel="0" collapsed="false">
      <c r="B6402" s="53"/>
      <c r="I6402" s="53"/>
      <c r="U6402" s="31" t="n">
        <f aca="false">IF($B6402='設定（最初に1回）'!$C$4,N(U6401)+1,N(U6401))</f>
        <v>134</v>
      </c>
    </row>
    <row r="6403" customFormat="false" ht="15" hidden="false" customHeight="false" outlineLevel="0" collapsed="false">
      <c r="B6403" s="53"/>
      <c r="I6403" s="53"/>
      <c r="U6403" s="31" t="n">
        <f aca="false">IF($B6403='設定（最初に1回）'!$C$4,N(U6402)+1,N(U6402))</f>
        <v>134</v>
      </c>
    </row>
    <row r="6404" customFormat="false" ht="15" hidden="false" customHeight="false" outlineLevel="0" collapsed="false">
      <c r="B6404" s="53"/>
      <c r="I6404" s="53"/>
      <c r="U6404" s="31" t="n">
        <f aca="false">IF($B6404='設定（最初に1回）'!$C$4,N(U6403)+1,N(U6403))</f>
        <v>134</v>
      </c>
    </row>
    <row r="6405" customFormat="false" ht="15" hidden="false" customHeight="false" outlineLevel="0" collapsed="false">
      <c r="B6405" s="53"/>
      <c r="I6405" s="53"/>
      <c r="U6405" s="31" t="n">
        <f aca="false">IF($B6405='設定（最初に1回）'!$C$4,N(U6404)+1,N(U6404))</f>
        <v>134</v>
      </c>
    </row>
    <row r="6406" customFormat="false" ht="15" hidden="false" customHeight="false" outlineLevel="0" collapsed="false">
      <c r="B6406" s="53"/>
      <c r="I6406" s="53"/>
      <c r="U6406" s="31" t="n">
        <f aca="false">IF($B6406='設定（最初に1回）'!$C$4,N(U6405)+1,N(U6405))</f>
        <v>134</v>
      </c>
    </row>
    <row r="6407" customFormat="false" ht="15" hidden="false" customHeight="false" outlineLevel="0" collapsed="false">
      <c r="B6407" s="53"/>
      <c r="I6407" s="53"/>
      <c r="U6407" s="31" t="n">
        <f aca="false">IF($B6407='設定（最初に1回）'!$C$4,N(U6406)+1,N(U6406))</f>
        <v>134</v>
      </c>
    </row>
    <row r="6408" customFormat="false" ht="15" hidden="false" customHeight="false" outlineLevel="0" collapsed="false">
      <c r="B6408" s="53"/>
      <c r="I6408" s="53"/>
      <c r="U6408" s="31" t="n">
        <f aca="false">IF($B6408='設定（最初に1回）'!$C$4,N(U6407)+1,N(U6407))</f>
        <v>134</v>
      </c>
    </row>
    <row r="6409" customFormat="false" ht="15" hidden="false" customHeight="false" outlineLevel="0" collapsed="false">
      <c r="B6409" s="53"/>
      <c r="I6409" s="53"/>
      <c r="U6409" s="31" t="n">
        <f aca="false">IF($B6409='設定（最初に1回）'!$C$4,N(U6408)+1,N(U6408))</f>
        <v>134</v>
      </c>
    </row>
    <row r="6410" customFormat="false" ht="15" hidden="false" customHeight="false" outlineLevel="0" collapsed="false">
      <c r="B6410" s="53"/>
      <c r="I6410" s="53"/>
      <c r="U6410" s="31" t="n">
        <f aca="false">IF($B6410='設定（最初に1回）'!$C$4,N(U6409)+1,N(U6409))</f>
        <v>134</v>
      </c>
    </row>
    <row r="6411" customFormat="false" ht="15" hidden="false" customHeight="false" outlineLevel="0" collapsed="false">
      <c r="B6411" s="53"/>
      <c r="I6411" s="53"/>
      <c r="U6411" s="31" t="n">
        <f aca="false">IF($B6411='設定（最初に1回）'!$C$4,N(U6410)+1,N(U6410))</f>
        <v>134</v>
      </c>
    </row>
    <row r="6412" customFormat="false" ht="15" hidden="false" customHeight="false" outlineLevel="0" collapsed="false">
      <c r="B6412" s="53"/>
      <c r="I6412" s="53"/>
      <c r="U6412" s="31" t="n">
        <f aca="false">IF($B6412='設定（最初に1回）'!$C$4,N(U6411)+1,N(U6411))</f>
        <v>134</v>
      </c>
    </row>
    <row r="6413" customFormat="false" ht="15" hidden="false" customHeight="false" outlineLevel="0" collapsed="false">
      <c r="B6413" s="53"/>
      <c r="I6413" s="53"/>
      <c r="U6413" s="31" t="n">
        <f aca="false">IF($B6413='設定（最初に1回）'!$C$4,N(U6412)+1,N(U6412))</f>
        <v>134</v>
      </c>
    </row>
    <row r="6414" customFormat="false" ht="15" hidden="false" customHeight="false" outlineLevel="0" collapsed="false">
      <c r="B6414" s="53"/>
      <c r="I6414" s="53"/>
      <c r="U6414" s="31" t="n">
        <f aca="false">IF($B6414='設定（最初に1回）'!$C$4,N(U6413)+1,N(U6413))</f>
        <v>134</v>
      </c>
    </row>
    <row r="6415" customFormat="false" ht="15" hidden="false" customHeight="false" outlineLevel="0" collapsed="false">
      <c r="B6415" s="53"/>
      <c r="I6415" s="53"/>
      <c r="U6415" s="31" t="n">
        <f aca="false">IF($B6415='設定（最初に1回）'!$C$4,N(U6414)+1,N(U6414))</f>
        <v>134</v>
      </c>
    </row>
    <row r="6416" customFormat="false" ht="15" hidden="false" customHeight="false" outlineLevel="0" collapsed="false">
      <c r="B6416" s="53"/>
      <c r="I6416" s="53"/>
      <c r="U6416" s="31" t="n">
        <f aca="false">IF($B6416='設定（最初に1回）'!$C$4,N(U6415)+1,N(U6415))</f>
        <v>134</v>
      </c>
    </row>
    <row r="6417" customFormat="false" ht="15" hidden="false" customHeight="false" outlineLevel="0" collapsed="false">
      <c r="B6417" s="53"/>
      <c r="I6417" s="53"/>
      <c r="U6417" s="31" t="n">
        <f aca="false">IF($B6417='設定（最初に1回）'!$C$4,N(U6416)+1,N(U6416))</f>
        <v>134</v>
      </c>
    </row>
    <row r="6418" customFormat="false" ht="15" hidden="false" customHeight="false" outlineLevel="0" collapsed="false">
      <c r="B6418" s="53"/>
      <c r="I6418" s="53"/>
      <c r="U6418" s="31" t="n">
        <f aca="false">IF($B6418='設定（最初に1回）'!$C$4,N(U6417)+1,N(U6417))</f>
        <v>134</v>
      </c>
    </row>
    <row r="6419" customFormat="false" ht="15" hidden="false" customHeight="false" outlineLevel="0" collapsed="false">
      <c r="B6419" s="53"/>
      <c r="I6419" s="53"/>
      <c r="U6419" s="31" t="n">
        <f aca="false">IF($B6419='設定（最初に1回）'!$C$4,N(U6418)+1,N(U6418))</f>
        <v>134</v>
      </c>
    </row>
    <row r="6420" customFormat="false" ht="15" hidden="false" customHeight="false" outlineLevel="0" collapsed="false">
      <c r="B6420" s="53"/>
      <c r="I6420" s="53"/>
      <c r="U6420" s="31" t="n">
        <f aca="false">IF($B6420='設定（最初に1回）'!$C$4,N(U6419)+1,N(U6419))</f>
        <v>134</v>
      </c>
    </row>
    <row r="6421" customFormat="false" ht="15" hidden="false" customHeight="false" outlineLevel="0" collapsed="false">
      <c r="B6421" s="53"/>
      <c r="I6421" s="53"/>
      <c r="U6421" s="31" t="n">
        <f aca="false">IF($B6421='設定（最初に1回）'!$C$4,N(U6420)+1,N(U6420))</f>
        <v>134</v>
      </c>
    </row>
    <row r="6422" customFormat="false" ht="15" hidden="false" customHeight="false" outlineLevel="0" collapsed="false">
      <c r="B6422" s="53"/>
      <c r="I6422" s="53"/>
      <c r="U6422" s="31" t="n">
        <f aca="false">IF($B6422='設定（最初に1回）'!$C$4,N(U6421)+1,N(U6421))</f>
        <v>134</v>
      </c>
    </row>
    <row r="6423" customFormat="false" ht="15" hidden="false" customHeight="false" outlineLevel="0" collapsed="false">
      <c r="B6423" s="53"/>
      <c r="I6423" s="53"/>
      <c r="U6423" s="31" t="n">
        <f aca="false">IF($B6423='設定（最初に1回）'!$C$4,N(U6422)+1,N(U6422))</f>
        <v>134</v>
      </c>
    </row>
    <row r="6424" customFormat="false" ht="15" hidden="false" customHeight="false" outlineLevel="0" collapsed="false">
      <c r="B6424" s="53"/>
      <c r="I6424" s="53"/>
      <c r="U6424" s="31" t="n">
        <f aca="false">IF($B6424='設定（最初に1回）'!$C$4,N(U6423)+1,N(U6423))</f>
        <v>134</v>
      </c>
    </row>
    <row r="6425" customFormat="false" ht="15" hidden="false" customHeight="false" outlineLevel="0" collapsed="false">
      <c r="B6425" s="53"/>
      <c r="I6425" s="53"/>
      <c r="U6425" s="31" t="n">
        <f aca="false">IF($B6425='設定（最初に1回）'!$C$4,N(U6424)+1,N(U6424))</f>
        <v>134</v>
      </c>
    </row>
    <row r="6426" customFormat="false" ht="15" hidden="false" customHeight="false" outlineLevel="0" collapsed="false">
      <c r="B6426" s="53"/>
      <c r="I6426" s="53"/>
      <c r="U6426" s="31" t="n">
        <f aca="false">IF($B6426='設定（最初に1回）'!$C$4,N(U6425)+1,N(U6425))</f>
        <v>134</v>
      </c>
    </row>
    <row r="6427" customFormat="false" ht="15" hidden="false" customHeight="false" outlineLevel="0" collapsed="false">
      <c r="B6427" s="53"/>
      <c r="I6427" s="53"/>
      <c r="U6427" s="31" t="n">
        <f aca="false">IF($B6427='設定（最初に1回）'!$C$4,N(U6426)+1,N(U6426))</f>
        <v>134</v>
      </c>
    </row>
    <row r="6428" customFormat="false" ht="15" hidden="false" customHeight="false" outlineLevel="0" collapsed="false">
      <c r="B6428" s="53"/>
      <c r="I6428" s="53"/>
      <c r="U6428" s="31" t="n">
        <f aca="false">IF($B6428='設定（最初に1回）'!$C$4,N(U6427)+1,N(U6427))</f>
        <v>134</v>
      </c>
    </row>
    <row r="6429" customFormat="false" ht="15" hidden="false" customHeight="false" outlineLevel="0" collapsed="false">
      <c r="B6429" s="53"/>
      <c r="I6429" s="53"/>
      <c r="U6429" s="31" t="n">
        <f aca="false">IF($B6429='設定（最初に1回）'!$C$4,N(U6428)+1,N(U6428))</f>
        <v>134</v>
      </c>
    </row>
    <row r="6430" customFormat="false" ht="15" hidden="false" customHeight="false" outlineLevel="0" collapsed="false">
      <c r="B6430" s="53"/>
      <c r="I6430" s="53"/>
      <c r="U6430" s="31" t="n">
        <f aca="false">IF($B6430='設定（最初に1回）'!$C$4,N(U6429)+1,N(U6429))</f>
        <v>134</v>
      </c>
    </row>
    <row r="6431" customFormat="false" ht="15" hidden="false" customHeight="false" outlineLevel="0" collapsed="false">
      <c r="B6431" s="53"/>
      <c r="I6431" s="53"/>
      <c r="U6431" s="31" t="n">
        <f aca="false">IF($B6431='設定（最初に1回）'!$C$4,N(U6430)+1,N(U6430))</f>
        <v>134</v>
      </c>
    </row>
    <row r="6432" customFormat="false" ht="15" hidden="false" customHeight="false" outlineLevel="0" collapsed="false">
      <c r="B6432" s="53"/>
      <c r="I6432" s="53"/>
      <c r="U6432" s="31" t="n">
        <f aca="false">IF($B6432='設定（最初に1回）'!$C$4,N(U6431)+1,N(U6431))</f>
        <v>134</v>
      </c>
    </row>
    <row r="6433" customFormat="false" ht="15" hidden="false" customHeight="false" outlineLevel="0" collapsed="false">
      <c r="B6433" s="53"/>
      <c r="I6433" s="53"/>
      <c r="U6433" s="31" t="n">
        <f aca="false">IF($B6433='設定（最初に1回）'!$C$4,N(U6432)+1,N(U6432))</f>
        <v>134</v>
      </c>
    </row>
    <row r="6434" customFormat="false" ht="15" hidden="false" customHeight="false" outlineLevel="0" collapsed="false">
      <c r="B6434" s="53"/>
      <c r="I6434" s="53"/>
      <c r="U6434" s="31" t="n">
        <f aca="false">IF($B6434='設定（最初に1回）'!$C$4,N(U6433)+1,N(U6433))</f>
        <v>134</v>
      </c>
    </row>
    <row r="6435" customFormat="false" ht="15" hidden="false" customHeight="false" outlineLevel="0" collapsed="false">
      <c r="B6435" s="53"/>
      <c r="I6435" s="53"/>
      <c r="U6435" s="31" t="n">
        <f aca="false">IF($B6435='設定（最初に1回）'!$C$4,N(U6434)+1,N(U6434))</f>
        <v>134</v>
      </c>
    </row>
    <row r="6436" customFormat="false" ht="15" hidden="false" customHeight="false" outlineLevel="0" collapsed="false">
      <c r="B6436" s="53"/>
      <c r="I6436" s="53"/>
      <c r="U6436" s="31" t="n">
        <f aca="false">IF($B6436='設定（最初に1回）'!$C$4,N(U6435)+1,N(U6435))</f>
        <v>134</v>
      </c>
    </row>
    <row r="6437" customFormat="false" ht="15" hidden="false" customHeight="false" outlineLevel="0" collapsed="false">
      <c r="B6437" s="53"/>
      <c r="I6437" s="53"/>
      <c r="U6437" s="31" t="n">
        <f aca="false">IF($B6437='設定（最初に1回）'!$C$4,N(U6436)+1,N(U6436))</f>
        <v>134</v>
      </c>
    </row>
    <row r="6438" customFormat="false" ht="15" hidden="false" customHeight="false" outlineLevel="0" collapsed="false">
      <c r="B6438" s="53"/>
      <c r="I6438" s="53"/>
      <c r="U6438" s="31" t="n">
        <f aca="false">IF($B6438='設定（最初に1回）'!$C$4,N(U6437)+1,N(U6437))</f>
        <v>134</v>
      </c>
    </row>
    <row r="6439" customFormat="false" ht="15" hidden="false" customHeight="false" outlineLevel="0" collapsed="false">
      <c r="B6439" s="53"/>
      <c r="I6439" s="53"/>
      <c r="U6439" s="31" t="n">
        <f aca="false">IF($B6439='設定（最初に1回）'!$C$4,N(U6438)+1,N(U6438))</f>
        <v>134</v>
      </c>
    </row>
    <row r="6440" customFormat="false" ht="15" hidden="false" customHeight="false" outlineLevel="0" collapsed="false">
      <c r="B6440" s="53"/>
      <c r="I6440" s="53"/>
      <c r="U6440" s="31" t="n">
        <f aca="false">IF($B6440='設定（最初に1回）'!$C$4,N(U6439)+1,N(U6439))</f>
        <v>134</v>
      </c>
    </row>
    <row r="6441" customFormat="false" ht="15" hidden="false" customHeight="false" outlineLevel="0" collapsed="false">
      <c r="B6441" s="53"/>
      <c r="I6441" s="53"/>
      <c r="U6441" s="31" t="n">
        <f aca="false">IF($B6441='設定（最初に1回）'!$C$4,N(U6440)+1,N(U6440))</f>
        <v>134</v>
      </c>
    </row>
    <row r="6442" customFormat="false" ht="15" hidden="false" customHeight="false" outlineLevel="0" collapsed="false">
      <c r="B6442" s="53"/>
      <c r="I6442" s="53"/>
      <c r="U6442" s="31" t="n">
        <f aca="false">IF($B6442='設定（最初に1回）'!$C$4,N(U6441)+1,N(U6441))</f>
        <v>134</v>
      </c>
    </row>
    <row r="6443" customFormat="false" ht="15" hidden="false" customHeight="false" outlineLevel="0" collapsed="false">
      <c r="B6443" s="53"/>
      <c r="I6443" s="53"/>
      <c r="U6443" s="31" t="n">
        <f aca="false">IF($B6443='設定（最初に1回）'!$C$4,N(U6442)+1,N(U6442))</f>
        <v>134</v>
      </c>
    </row>
    <row r="6444" customFormat="false" ht="15" hidden="false" customHeight="false" outlineLevel="0" collapsed="false">
      <c r="B6444" s="53"/>
      <c r="I6444" s="53"/>
      <c r="U6444" s="31" t="n">
        <f aca="false">IF($B6444='設定（最初に1回）'!$C$4,N(U6443)+1,N(U6443))</f>
        <v>134</v>
      </c>
    </row>
    <row r="6445" customFormat="false" ht="15" hidden="false" customHeight="false" outlineLevel="0" collapsed="false">
      <c r="B6445" s="53"/>
      <c r="I6445" s="53"/>
      <c r="U6445" s="31" t="n">
        <f aca="false">IF($B6445='設定（最初に1回）'!$C$4,N(U6444)+1,N(U6444))</f>
        <v>134</v>
      </c>
    </row>
    <row r="6446" customFormat="false" ht="15" hidden="false" customHeight="false" outlineLevel="0" collapsed="false">
      <c r="B6446" s="53"/>
      <c r="I6446" s="53"/>
      <c r="U6446" s="31" t="n">
        <f aca="false">IF($B6446='設定（最初に1回）'!$C$4,N(U6445)+1,N(U6445))</f>
        <v>134</v>
      </c>
    </row>
    <row r="6447" customFormat="false" ht="15" hidden="false" customHeight="false" outlineLevel="0" collapsed="false">
      <c r="B6447" s="53"/>
      <c r="I6447" s="53"/>
      <c r="U6447" s="31" t="n">
        <f aca="false">IF($B6447='設定（最初に1回）'!$C$4,N(U6446)+1,N(U6446))</f>
        <v>134</v>
      </c>
    </row>
    <row r="6448" customFormat="false" ht="15" hidden="false" customHeight="false" outlineLevel="0" collapsed="false">
      <c r="B6448" s="53"/>
      <c r="I6448" s="53"/>
      <c r="U6448" s="31" t="n">
        <f aca="false">IF($B6448='設定（最初に1回）'!$C$4,N(U6447)+1,N(U6447))</f>
        <v>134</v>
      </c>
    </row>
    <row r="6449" customFormat="false" ht="15" hidden="false" customHeight="false" outlineLevel="0" collapsed="false">
      <c r="B6449" s="53"/>
      <c r="I6449" s="53"/>
      <c r="U6449" s="31" t="n">
        <f aca="false">IF($B6449='設定（最初に1回）'!$C$4,N(U6448)+1,N(U6448))</f>
        <v>134</v>
      </c>
    </row>
    <row r="6450" customFormat="false" ht="15" hidden="false" customHeight="false" outlineLevel="0" collapsed="false">
      <c r="B6450" s="53"/>
      <c r="I6450" s="53"/>
      <c r="U6450" s="31" t="n">
        <f aca="false">IF($B6450='設定（最初に1回）'!$C$4,N(U6449)+1,N(U6449))</f>
        <v>134</v>
      </c>
    </row>
    <row r="6451" customFormat="false" ht="15" hidden="false" customHeight="false" outlineLevel="0" collapsed="false">
      <c r="B6451" s="53"/>
      <c r="I6451" s="53"/>
      <c r="U6451" s="31" t="n">
        <f aca="false">IF($B6451='設定（最初に1回）'!$C$4,N(U6450)+1,N(U6450))</f>
        <v>134</v>
      </c>
    </row>
    <row r="6452" customFormat="false" ht="15" hidden="false" customHeight="false" outlineLevel="0" collapsed="false">
      <c r="B6452" s="53"/>
      <c r="I6452" s="53"/>
      <c r="U6452" s="31" t="n">
        <f aca="false">IF($B6452='設定（最初に1回）'!$C$4,N(U6451)+1,N(U6451))</f>
        <v>134</v>
      </c>
    </row>
    <row r="6453" customFormat="false" ht="15" hidden="false" customHeight="false" outlineLevel="0" collapsed="false">
      <c r="B6453" s="53"/>
      <c r="I6453" s="53"/>
      <c r="U6453" s="31" t="n">
        <f aca="false">IF($B6453='設定（最初に1回）'!$C$4,N(U6452)+1,N(U6452))</f>
        <v>134</v>
      </c>
    </row>
    <row r="6454" customFormat="false" ht="15" hidden="false" customHeight="false" outlineLevel="0" collapsed="false">
      <c r="B6454" s="53"/>
      <c r="I6454" s="53"/>
      <c r="U6454" s="31" t="n">
        <f aca="false">IF($B6454='設定（最初に1回）'!$C$4,N(U6453)+1,N(U6453))</f>
        <v>134</v>
      </c>
    </row>
    <row r="6455" customFormat="false" ht="15" hidden="false" customHeight="false" outlineLevel="0" collapsed="false">
      <c r="B6455" s="53"/>
      <c r="I6455" s="53"/>
      <c r="U6455" s="31" t="n">
        <f aca="false">IF($B6455='設定（最初に1回）'!$C$4,N(U6454)+1,N(U6454))</f>
        <v>134</v>
      </c>
    </row>
    <row r="6456" customFormat="false" ht="15" hidden="false" customHeight="false" outlineLevel="0" collapsed="false">
      <c r="B6456" s="53"/>
      <c r="I6456" s="53"/>
      <c r="U6456" s="31" t="n">
        <f aca="false">IF($B6456='設定（最初に1回）'!$C$4,N(U6455)+1,N(U6455))</f>
        <v>134</v>
      </c>
    </row>
    <row r="6457" customFormat="false" ht="15" hidden="false" customHeight="false" outlineLevel="0" collapsed="false">
      <c r="B6457" s="53"/>
      <c r="I6457" s="53"/>
      <c r="U6457" s="31" t="n">
        <f aca="false">IF($B6457='設定（最初に1回）'!$C$4,N(U6456)+1,N(U6456))</f>
        <v>134</v>
      </c>
    </row>
    <row r="6458" customFormat="false" ht="15" hidden="false" customHeight="false" outlineLevel="0" collapsed="false">
      <c r="B6458" s="53"/>
      <c r="I6458" s="53"/>
      <c r="U6458" s="31" t="n">
        <f aca="false">IF($B6458='設定（最初に1回）'!$C$4,N(U6457)+1,N(U6457))</f>
        <v>134</v>
      </c>
    </row>
    <row r="6459" customFormat="false" ht="15" hidden="false" customHeight="false" outlineLevel="0" collapsed="false">
      <c r="B6459" s="53"/>
      <c r="I6459" s="53"/>
      <c r="U6459" s="31" t="n">
        <f aca="false">IF($B6459='設定（最初に1回）'!$C$4,N(U6458)+1,N(U6458))</f>
        <v>134</v>
      </c>
    </row>
    <row r="6460" customFormat="false" ht="15" hidden="false" customHeight="false" outlineLevel="0" collapsed="false">
      <c r="B6460" s="53"/>
      <c r="I6460" s="53"/>
      <c r="U6460" s="31" t="n">
        <f aca="false">IF($B6460='設定（最初に1回）'!$C$4,N(U6459)+1,N(U6459))</f>
        <v>134</v>
      </c>
    </row>
    <row r="6461" customFormat="false" ht="15" hidden="false" customHeight="false" outlineLevel="0" collapsed="false">
      <c r="B6461" s="53"/>
      <c r="I6461" s="53"/>
      <c r="U6461" s="31" t="n">
        <f aca="false">IF($B6461='設定（最初に1回）'!$C$4,N(U6460)+1,N(U6460))</f>
        <v>134</v>
      </c>
    </row>
    <row r="6462" customFormat="false" ht="15" hidden="false" customHeight="false" outlineLevel="0" collapsed="false">
      <c r="B6462" s="53"/>
      <c r="I6462" s="53"/>
      <c r="U6462" s="31" t="n">
        <f aca="false">IF($B6462='設定（最初に1回）'!$C$4,N(U6461)+1,N(U6461))</f>
        <v>134</v>
      </c>
    </row>
    <row r="6463" customFormat="false" ht="15" hidden="false" customHeight="false" outlineLevel="0" collapsed="false">
      <c r="B6463" s="53"/>
      <c r="I6463" s="53"/>
      <c r="U6463" s="31" t="n">
        <f aca="false">IF($B6463='設定（最初に1回）'!$C$4,N(U6462)+1,N(U6462))</f>
        <v>134</v>
      </c>
    </row>
    <row r="6464" customFormat="false" ht="15" hidden="false" customHeight="false" outlineLevel="0" collapsed="false">
      <c r="B6464" s="53"/>
      <c r="I6464" s="53"/>
      <c r="U6464" s="31" t="n">
        <f aca="false">IF($B6464='設定（最初に1回）'!$C$4,N(U6463)+1,N(U6463))</f>
        <v>134</v>
      </c>
    </row>
    <row r="6465" customFormat="false" ht="15" hidden="false" customHeight="false" outlineLevel="0" collapsed="false">
      <c r="B6465" s="53"/>
      <c r="I6465" s="53"/>
      <c r="U6465" s="31" t="n">
        <f aca="false">IF($B6465='設定（最初に1回）'!$C$4,N(U6464)+1,N(U6464))</f>
        <v>134</v>
      </c>
    </row>
    <row r="6466" customFormat="false" ht="15" hidden="false" customHeight="false" outlineLevel="0" collapsed="false">
      <c r="B6466" s="53"/>
      <c r="I6466" s="53"/>
      <c r="U6466" s="31" t="n">
        <f aca="false">IF($B6466='設定（最初に1回）'!$C$4,N(U6465)+1,N(U6465))</f>
        <v>134</v>
      </c>
    </row>
    <row r="6467" customFormat="false" ht="15" hidden="false" customHeight="false" outlineLevel="0" collapsed="false">
      <c r="B6467" s="53"/>
      <c r="I6467" s="53"/>
      <c r="U6467" s="31" t="n">
        <f aca="false">IF($B6467='設定（最初に1回）'!$C$4,N(U6466)+1,N(U6466))</f>
        <v>134</v>
      </c>
    </row>
    <row r="6468" customFormat="false" ht="15" hidden="false" customHeight="false" outlineLevel="0" collapsed="false">
      <c r="B6468" s="53"/>
      <c r="I6468" s="53"/>
      <c r="U6468" s="31" t="n">
        <f aca="false">IF($B6468='設定（最初に1回）'!$C$4,N(U6467)+1,N(U6467))</f>
        <v>134</v>
      </c>
    </row>
    <row r="6469" customFormat="false" ht="15" hidden="false" customHeight="false" outlineLevel="0" collapsed="false">
      <c r="B6469" s="53"/>
      <c r="I6469" s="53"/>
      <c r="U6469" s="31" t="n">
        <f aca="false">IF($B6469='設定（最初に1回）'!$C$4,N(U6468)+1,N(U6468))</f>
        <v>134</v>
      </c>
    </row>
    <row r="6470" customFormat="false" ht="15" hidden="false" customHeight="false" outlineLevel="0" collapsed="false">
      <c r="B6470" s="53"/>
      <c r="I6470" s="53"/>
      <c r="U6470" s="31" t="n">
        <f aca="false">IF($B6470='設定（最初に1回）'!$C$4,N(U6469)+1,N(U6469))</f>
        <v>134</v>
      </c>
    </row>
    <row r="6471" customFormat="false" ht="15" hidden="false" customHeight="false" outlineLevel="0" collapsed="false">
      <c r="B6471" s="53"/>
      <c r="I6471" s="53"/>
      <c r="U6471" s="31" t="n">
        <f aca="false">IF($B6471='設定（最初に1回）'!$C$4,N(U6470)+1,N(U6470))</f>
        <v>134</v>
      </c>
    </row>
    <row r="6472" customFormat="false" ht="15" hidden="false" customHeight="false" outlineLevel="0" collapsed="false">
      <c r="B6472" s="53"/>
      <c r="I6472" s="53"/>
      <c r="U6472" s="31" t="n">
        <f aca="false">IF($B6472='設定（最初に1回）'!$C$4,N(U6471)+1,N(U6471))</f>
        <v>134</v>
      </c>
    </row>
    <row r="6473" customFormat="false" ht="15" hidden="false" customHeight="false" outlineLevel="0" collapsed="false">
      <c r="B6473" s="53"/>
      <c r="I6473" s="53"/>
      <c r="U6473" s="31" t="n">
        <f aca="false">IF($B6473='設定（最初に1回）'!$C$4,N(U6472)+1,N(U6472))</f>
        <v>134</v>
      </c>
    </row>
    <row r="6474" customFormat="false" ht="15" hidden="false" customHeight="false" outlineLevel="0" collapsed="false">
      <c r="B6474" s="53"/>
      <c r="I6474" s="53"/>
      <c r="U6474" s="31" t="n">
        <f aca="false">IF($B6474='設定（最初に1回）'!$C$4,N(U6473)+1,N(U6473))</f>
        <v>134</v>
      </c>
    </row>
    <row r="6475" customFormat="false" ht="15" hidden="false" customHeight="false" outlineLevel="0" collapsed="false">
      <c r="B6475" s="53"/>
      <c r="I6475" s="53"/>
      <c r="U6475" s="31" t="n">
        <f aca="false">IF($B6475='設定（最初に1回）'!$C$4,N(U6474)+1,N(U6474))</f>
        <v>134</v>
      </c>
    </row>
    <row r="6476" customFormat="false" ht="15" hidden="false" customHeight="false" outlineLevel="0" collapsed="false">
      <c r="B6476" s="53"/>
      <c r="I6476" s="53"/>
      <c r="U6476" s="31" t="n">
        <f aca="false">IF($B6476='設定（最初に1回）'!$C$4,N(U6475)+1,N(U6475))</f>
        <v>134</v>
      </c>
    </row>
    <row r="6477" customFormat="false" ht="15" hidden="false" customHeight="false" outlineLevel="0" collapsed="false">
      <c r="B6477" s="53"/>
      <c r="I6477" s="53"/>
      <c r="U6477" s="31" t="n">
        <f aca="false">IF($B6477='設定（最初に1回）'!$C$4,N(U6476)+1,N(U6476))</f>
        <v>134</v>
      </c>
    </row>
    <row r="6478" customFormat="false" ht="15" hidden="false" customHeight="false" outlineLevel="0" collapsed="false">
      <c r="B6478" s="53"/>
      <c r="I6478" s="53"/>
      <c r="U6478" s="31" t="n">
        <f aca="false">IF($B6478='設定（最初に1回）'!$C$4,N(U6477)+1,N(U6477))</f>
        <v>134</v>
      </c>
    </row>
    <row r="6479" customFormat="false" ht="15" hidden="false" customHeight="false" outlineLevel="0" collapsed="false">
      <c r="B6479" s="53"/>
      <c r="I6479" s="53"/>
      <c r="U6479" s="31" t="n">
        <f aca="false">IF($B6479='設定（最初に1回）'!$C$4,N(U6478)+1,N(U6478))</f>
        <v>134</v>
      </c>
    </row>
    <row r="6480" customFormat="false" ht="15" hidden="false" customHeight="false" outlineLevel="0" collapsed="false">
      <c r="B6480" s="53"/>
      <c r="I6480" s="53"/>
      <c r="U6480" s="31" t="n">
        <f aca="false">IF($B6480='設定（最初に1回）'!$C$4,N(U6479)+1,N(U6479))</f>
        <v>134</v>
      </c>
    </row>
    <row r="6481" customFormat="false" ht="15" hidden="false" customHeight="false" outlineLevel="0" collapsed="false">
      <c r="B6481" s="53"/>
      <c r="I6481" s="53"/>
      <c r="U6481" s="31" t="n">
        <f aca="false">IF($B6481='設定（最初に1回）'!$C$4,N(U6480)+1,N(U6480))</f>
        <v>134</v>
      </c>
    </row>
    <row r="6482" customFormat="false" ht="15" hidden="false" customHeight="false" outlineLevel="0" collapsed="false">
      <c r="B6482" s="53"/>
      <c r="I6482" s="53"/>
      <c r="U6482" s="31" t="n">
        <f aca="false">IF($B6482='設定（最初に1回）'!$C$4,N(U6481)+1,N(U6481))</f>
        <v>134</v>
      </c>
    </row>
    <row r="6483" customFormat="false" ht="15" hidden="false" customHeight="false" outlineLevel="0" collapsed="false">
      <c r="B6483" s="53"/>
      <c r="I6483" s="53"/>
      <c r="U6483" s="31" t="n">
        <f aca="false">IF($B6483='設定（最初に1回）'!$C$4,N(U6482)+1,N(U6482))</f>
        <v>134</v>
      </c>
    </row>
    <row r="6484" customFormat="false" ht="15" hidden="false" customHeight="false" outlineLevel="0" collapsed="false">
      <c r="B6484" s="53"/>
      <c r="I6484" s="53"/>
      <c r="U6484" s="31" t="n">
        <f aca="false">IF($B6484='設定（最初に1回）'!$C$4,N(U6483)+1,N(U6483))</f>
        <v>134</v>
      </c>
    </row>
    <row r="6485" customFormat="false" ht="15" hidden="false" customHeight="false" outlineLevel="0" collapsed="false">
      <c r="B6485" s="53"/>
      <c r="I6485" s="53"/>
      <c r="U6485" s="31" t="n">
        <f aca="false">IF($B6485='設定（最初に1回）'!$C$4,N(U6484)+1,N(U6484))</f>
        <v>134</v>
      </c>
    </row>
    <row r="6486" customFormat="false" ht="15" hidden="false" customHeight="false" outlineLevel="0" collapsed="false">
      <c r="B6486" s="53"/>
      <c r="I6486" s="53"/>
      <c r="U6486" s="31" t="n">
        <f aca="false">IF($B6486='設定（最初に1回）'!$C$4,N(U6485)+1,N(U6485))</f>
        <v>134</v>
      </c>
    </row>
    <row r="6487" customFormat="false" ht="15" hidden="false" customHeight="false" outlineLevel="0" collapsed="false">
      <c r="B6487" s="53"/>
      <c r="I6487" s="53"/>
      <c r="U6487" s="31" t="n">
        <f aca="false">IF($B6487='設定（最初に1回）'!$C$4,N(U6486)+1,N(U6486))</f>
        <v>134</v>
      </c>
    </row>
    <row r="6488" customFormat="false" ht="15" hidden="false" customHeight="false" outlineLevel="0" collapsed="false">
      <c r="B6488" s="53"/>
      <c r="I6488" s="53"/>
      <c r="U6488" s="31" t="n">
        <f aca="false">IF($B6488='設定（最初に1回）'!$C$4,N(U6487)+1,N(U6487))</f>
        <v>134</v>
      </c>
    </row>
    <row r="6489" customFormat="false" ht="15" hidden="false" customHeight="false" outlineLevel="0" collapsed="false">
      <c r="B6489" s="53"/>
      <c r="I6489" s="53"/>
      <c r="U6489" s="31" t="n">
        <f aca="false">IF($B6489='設定（最初に1回）'!$C$4,N(U6488)+1,N(U6488))</f>
        <v>134</v>
      </c>
    </row>
    <row r="6490" customFormat="false" ht="15" hidden="false" customHeight="false" outlineLevel="0" collapsed="false">
      <c r="B6490" s="53"/>
      <c r="I6490" s="53"/>
      <c r="U6490" s="31" t="n">
        <f aca="false">IF($B6490='設定（最初に1回）'!$C$4,N(U6489)+1,N(U6489))</f>
        <v>134</v>
      </c>
    </row>
    <row r="6491" customFormat="false" ht="15" hidden="false" customHeight="false" outlineLevel="0" collapsed="false">
      <c r="B6491" s="53"/>
      <c r="I6491" s="53"/>
      <c r="U6491" s="31" t="n">
        <f aca="false">IF($B6491='設定（最初に1回）'!$C$4,N(U6490)+1,N(U6490))</f>
        <v>134</v>
      </c>
    </row>
    <row r="6492" customFormat="false" ht="15" hidden="false" customHeight="false" outlineLevel="0" collapsed="false">
      <c r="B6492" s="53"/>
      <c r="I6492" s="53"/>
      <c r="U6492" s="31" t="n">
        <f aca="false">IF($B6492='設定（最初に1回）'!$C$4,N(U6491)+1,N(U6491))</f>
        <v>134</v>
      </c>
    </row>
    <row r="6493" customFormat="false" ht="15" hidden="false" customHeight="false" outlineLevel="0" collapsed="false">
      <c r="B6493" s="53"/>
      <c r="I6493" s="53"/>
      <c r="U6493" s="31" t="n">
        <f aca="false">IF($B6493='設定（最初に1回）'!$C$4,N(U6492)+1,N(U6492))</f>
        <v>134</v>
      </c>
    </row>
    <row r="6494" customFormat="false" ht="15" hidden="false" customHeight="false" outlineLevel="0" collapsed="false">
      <c r="B6494" s="53"/>
      <c r="I6494" s="53"/>
      <c r="U6494" s="31" t="n">
        <f aca="false">IF($B6494='設定（最初に1回）'!$C$4,N(U6493)+1,N(U6493))</f>
        <v>134</v>
      </c>
    </row>
    <row r="6495" customFormat="false" ht="15" hidden="false" customHeight="false" outlineLevel="0" collapsed="false">
      <c r="B6495" s="53"/>
      <c r="I6495" s="53"/>
      <c r="U6495" s="31" t="n">
        <f aca="false">IF($B6495='設定（最初に1回）'!$C$4,N(U6494)+1,N(U6494))</f>
        <v>134</v>
      </c>
    </row>
    <row r="6496" customFormat="false" ht="15" hidden="false" customHeight="false" outlineLevel="0" collapsed="false">
      <c r="B6496" s="53"/>
      <c r="I6496" s="53"/>
      <c r="U6496" s="31" t="n">
        <f aca="false">IF($B6496='設定（最初に1回）'!$C$4,N(U6495)+1,N(U6495))</f>
        <v>134</v>
      </c>
    </row>
    <row r="6497" customFormat="false" ht="15" hidden="false" customHeight="false" outlineLevel="0" collapsed="false">
      <c r="B6497" s="53"/>
      <c r="I6497" s="53"/>
      <c r="U6497" s="31" t="n">
        <f aca="false">IF($B6497='設定（最初に1回）'!$C$4,N(U6496)+1,N(U6496))</f>
        <v>134</v>
      </c>
    </row>
    <row r="6498" customFormat="false" ht="15" hidden="false" customHeight="false" outlineLevel="0" collapsed="false">
      <c r="B6498" s="53"/>
      <c r="I6498" s="53"/>
      <c r="U6498" s="31" t="n">
        <f aca="false">IF($B6498='設定（最初に1回）'!$C$4,N(U6497)+1,N(U6497))</f>
        <v>134</v>
      </c>
    </row>
    <row r="6499" customFormat="false" ht="15" hidden="false" customHeight="false" outlineLevel="0" collapsed="false">
      <c r="B6499" s="53"/>
      <c r="I6499" s="53"/>
      <c r="U6499" s="31" t="n">
        <f aca="false">IF($B6499='設定（最初に1回）'!$C$4,N(U6498)+1,N(U6498))</f>
        <v>134</v>
      </c>
    </row>
    <row r="6500" customFormat="false" ht="15" hidden="false" customHeight="false" outlineLevel="0" collapsed="false">
      <c r="B6500" s="53"/>
      <c r="I6500" s="53"/>
      <c r="U6500" s="31" t="n">
        <f aca="false">IF($B6500='設定（最初に1回）'!$C$4,N(U6499)+1,N(U6499))</f>
        <v>134</v>
      </c>
    </row>
    <row r="6501" customFormat="false" ht="15" hidden="false" customHeight="false" outlineLevel="0" collapsed="false">
      <c r="B6501" s="53"/>
      <c r="I6501" s="53"/>
      <c r="U6501" s="31" t="n">
        <f aca="false">IF($B6501='設定（最初に1回）'!$C$4,N(U6500)+1,N(U6500))</f>
        <v>134</v>
      </c>
    </row>
    <row r="6502" customFormat="false" ht="15" hidden="false" customHeight="false" outlineLevel="0" collapsed="false">
      <c r="B6502" s="53"/>
      <c r="I6502" s="53"/>
      <c r="U6502" s="31" t="n">
        <f aca="false">IF($B6502='設定（最初に1回）'!$C$4,N(U6501)+1,N(U6501))</f>
        <v>134</v>
      </c>
    </row>
    <row r="6503" customFormat="false" ht="15" hidden="false" customHeight="false" outlineLevel="0" collapsed="false">
      <c r="B6503" s="53"/>
      <c r="I6503" s="53"/>
      <c r="U6503" s="31" t="n">
        <f aca="false">IF($B6503='設定（最初に1回）'!$C$4,N(U6502)+1,N(U6502))</f>
        <v>134</v>
      </c>
    </row>
    <row r="6504" customFormat="false" ht="15" hidden="false" customHeight="false" outlineLevel="0" collapsed="false">
      <c r="B6504" s="53"/>
      <c r="I6504" s="53"/>
      <c r="U6504" s="31" t="n">
        <f aca="false">IF($B6504='設定（最初に1回）'!$C$4,N(U6503)+1,N(U6503))</f>
        <v>134</v>
      </c>
    </row>
    <row r="6505" customFormat="false" ht="15" hidden="false" customHeight="false" outlineLevel="0" collapsed="false">
      <c r="B6505" s="53"/>
      <c r="I6505" s="53"/>
      <c r="U6505" s="31" t="n">
        <f aca="false">IF($B6505='設定（最初に1回）'!$C$4,N(U6504)+1,N(U6504))</f>
        <v>134</v>
      </c>
    </row>
    <row r="6506" customFormat="false" ht="15" hidden="false" customHeight="false" outlineLevel="0" collapsed="false">
      <c r="B6506" s="53"/>
      <c r="I6506" s="53"/>
      <c r="U6506" s="31" t="n">
        <f aca="false">IF($B6506='設定（最初に1回）'!$C$4,N(U6505)+1,N(U6505))</f>
        <v>134</v>
      </c>
    </row>
    <row r="6507" customFormat="false" ht="15" hidden="false" customHeight="false" outlineLevel="0" collapsed="false">
      <c r="B6507" s="53"/>
      <c r="I6507" s="53"/>
      <c r="U6507" s="31" t="n">
        <f aca="false">IF($B6507='設定（最初に1回）'!$C$4,N(U6506)+1,N(U6506))</f>
        <v>134</v>
      </c>
    </row>
    <row r="6508" customFormat="false" ht="15" hidden="false" customHeight="false" outlineLevel="0" collapsed="false">
      <c r="B6508" s="53"/>
      <c r="I6508" s="53"/>
      <c r="U6508" s="31" t="n">
        <f aca="false">IF($B6508='設定（最初に1回）'!$C$4,N(U6507)+1,N(U6507))</f>
        <v>134</v>
      </c>
    </row>
    <row r="6509" customFormat="false" ht="15" hidden="false" customHeight="false" outlineLevel="0" collapsed="false">
      <c r="B6509" s="53"/>
      <c r="I6509" s="53"/>
      <c r="U6509" s="31" t="n">
        <f aca="false">IF($B6509='設定（最初に1回）'!$C$4,N(U6508)+1,N(U6508))</f>
        <v>134</v>
      </c>
    </row>
    <row r="6510" customFormat="false" ht="15" hidden="false" customHeight="false" outlineLevel="0" collapsed="false">
      <c r="B6510" s="53"/>
      <c r="I6510" s="53"/>
      <c r="U6510" s="31" t="n">
        <f aca="false">IF($B6510='設定（最初に1回）'!$C$4,N(U6509)+1,N(U6509))</f>
        <v>134</v>
      </c>
    </row>
    <row r="6511" customFormat="false" ht="15" hidden="false" customHeight="false" outlineLevel="0" collapsed="false">
      <c r="B6511" s="53"/>
      <c r="I6511" s="53"/>
      <c r="U6511" s="31" t="n">
        <f aca="false">IF($B6511='設定（最初に1回）'!$C$4,N(U6510)+1,N(U6510))</f>
        <v>134</v>
      </c>
    </row>
    <row r="6512" customFormat="false" ht="15" hidden="false" customHeight="false" outlineLevel="0" collapsed="false">
      <c r="B6512" s="53"/>
      <c r="I6512" s="53"/>
      <c r="U6512" s="31" t="n">
        <f aca="false">IF($B6512='設定（最初に1回）'!$C$4,N(U6511)+1,N(U6511))</f>
        <v>134</v>
      </c>
    </row>
    <row r="6513" customFormat="false" ht="15" hidden="false" customHeight="false" outlineLevel="0" collapsed="false">
      <c r="B6513" s="53"/>
      <c r="I6513" s="53"/>
      <c r="U6513" s="31" t="n">
        <f aca="false">IF($B6513='設定（最初に1回）'!$C$4,N(U6512)+1,N(U6512))</f>
        <v>134</v>
      </c>
    </row>
    <row r="6514" customFormat="false" ht="15" hidden="false" customHeight="false" outlineLevel="0" collapsed="false">
      <c r="B6514" s="53"/>
      <c r="I6514" s="53"/>
      <c r="U6514" s="31" t="n">
        <f aca="false">IF($B6514='設定（最初に1回）'!$C$4,N(U6513)+1,N(U6513))</f>
        <v>134</v>
      </c>
    </row>
    <row r="6515" customFormat="false" ht="15" hidden="false" customHeight="false" outlineLevel="0" collapsed="false">
      <c r="B6515" s="53"/>
      <c r="I6515" s="53"/>
      <c r="U6515" s="31" t="n">
        <f aca="false">IF($B6515='設定（最初に1回）'!$C$4,N(U6514)+1,N(U6514))</f>
        <v>134</v>
      </c>
    </row>
    <row r="6516" customFormat="false" ht="15" hidden="false" customHeight="false" outlineLevel="0" collapsed="false">
      <c r="B6516" s="53"/>
      <c r="I6516" s="53"/>
      <c r="U6516" s="31" t="n">
        <f aca="false">IF($B6516='設定（最初に1回）'!$C$4,N(U6515)+1,N(U6515))</f>
        <v>134</v>
      </c>
    </row>
    <row r="6517" customFormat="false" ht="15" hidden="false" customHeight="false" outlineLevel="0" collapsed="false">
      <c r="B6517" s="53"/>
      <c r="I6517" s="53"/>
      <c r="U6517" s="31" t="n">
        <f aca="false">IF($B6517='設定（最初に1回）'!$C$4,N(U6516)+1,N(U6516))</f>
        <v>134</v>
      </c>
    </row>
    <row r="6518" customFormat="false" ht="15" hidden="false" customHeight="false" outlineLevel="0" collapsed="false">
      <c r="B6518" s="53"/>
      <c r="I6518" s="53"/>
      <c r="U6518" s="31" t="n">
        <f aca="false">IF($B6518='設定（最初に1回）'!$C$4,N(U6517)+1,N(U6517))</f>
        <v>134</v>
      </c>
    </row>
    <row r="6519" customFormat="false" ht="15" hidden="false" customHeight="false" outlineLevel="0" collapsed="false">
      <c r="B6519" s="53"/>
      <c r="I6519" s="53"/>
      <c r="U6519" s="31" t="n">
        <f aca="false">IF($B6519='設定（最初に1回）'!$C$4,N(U6518)+1,N(U6518))</f>
        <v>134</v>
      </c>
    </row>
    <row r="6520" customFormat="false" ht="15" hidden="false" customHeight="false" outlineLevel="0" collapsed="false">
      <c r="B6520" s="53"/>
      <c r="I6520" s="53"/>
      <c r="U6520" s="31" t="n">
        <f aca="false">IF($B6520='設定（最初に1回）'!$C$4,N(U6519)+1,N(U6519))</f>
        <v>134</v>
      </c>
    </row>
    <row r="6521" customFormat="false" ht="15" hidden="false" customHeight="false" outlineLevel="0" collapsed="false">
      <c r="B6521" s="53"/>
      <c r="I6521" s="53"/>
      <c r="U6521" s="31" t="n">
        <f aca="false">IF($B6521='設定（最初に1回）'!$C$4,N(U6520)+1,N(U6520))</f>
        <v>134</v>
      </c>
    </row>
    <row r="6522" customFormat="false" ht="15" hidden="false" customHeight="false" outlineLevel="0" collapsed="false">
      <c r="B6522" s="53"/>
      <c r="I6522" s="53"/>
      <c r="U6522" s="31" t="n">
        <f aca="false">IF($B6522='設定（最初に1回）'!$C$4,N(U6521)+1,N(U6521))</f>
        <v>134</v>
      </c>
    </row>
    <row r="6523" customFormat="false" ht="15" hidden="false" customHeight="false" outlineLevel="0" collapsed="false">
      <c r="B6523" s="53"/>
      <c r="I6523" s="53"/>
      <c r="U6523" s="31" t="n">
        <f aca="false">IF($B6523='設定（最初に1回）'!$C$4,N(U6522)+1,N(U6522))</f>
        <v>134</v>
      </c>
    </row>
    <row r="6524" customFormat="false" ht="15" hidden="false" customHeight="false" outlineLevel="0" collapsed="false">
      <c r="B6524" s="53"/>
      <c r="I6524" s="53"/>
      <c r="U6524" s="31" t="n">
        <f aca="false">IF($B6524='設定（最初に1回）'!$C$4,N(U6523)+1,N(U6523))</f>
        <v>134</v>
      </c>
    </row>
    <row r="6525" customFormat="false" ht="15" hidden="false" customHeight="false" outlineLevel="0" collapsed="false">
      <c r="B6525" s="53"/>
      <c r="I6525" s="53"/>
      <c r="U6525" s="31" t="n">
        <f aca="false">IF($B6525='設定（最初に1回）'!$C$4,N(U6524)+1,N(U6524))</f>
        <v>134</v>
      </c>
    </row>
    <row r="6526" customFormat="false" ht="15" hidden="false" customHeight="false" outlineLevel="0" collapsed="false">
      <c r="B6526" s="53"/>
      <c r="I6526" s="53"/>
      <c r="U6526" s="31" t="n">
        <f aca="false">IF($B6526='設定（最初に1回）'!$C$4,N(U6525)+1,N(U6525))</f>
        <v>134</v>
      </c>
    </row>
    <row r="6527" customFormat="false" ht="15" hidden="false" customHeight="false" outlineLevel="0" collapsed="false">
      <c r="B6527" s="53"/>
      <c r="I6527" s="53"/>
      <c r="U6527" s="31" t="n">
        <f aca="false">IF($B6527='設定（最初に1回）'!$C$4,N(U6526)+1,N(U6526))</f>
        <v>134</v>
      </c>
    </row>
    <row r="6528" customFormat="false" ht="15" hidden="false" customHeight="false" outlineLevel="0" collapsed="false">
      <c r="B6528" s="53"/>
      <c r="I6528" s="53"/>
      <c r="U6528" s="31" t="n">
        <f aca="false">IF($B6528='設定（最初に1回）'!$C$4,N(U6527)+1,N(U6527))</f>
        <v>134</v>
      </c>
    </row>
    <row r="6529" customFormat="false" ht="15" hidden="false" customHeight="false" outlineLevel="0" collapsed="false">
      <c r="B6529" s="53"/>
      <c r="I6529" s="53"/>
      <c r="U6529" s="31" t="n">
        <f aca="false">IF($B6529='設定（最初に1回）'!$C$4,N(U6528)+1,N(U6528))</f>
        <v>134</v>
      </c>
    </row>
    <row r="6530" customFormat="false" ht="15" hidden="false" customHeight="false" outlineLevel="0" collapsed="false">
      <c r="B6530" s="53"/>
      <c r="I6530" s="53"/>
      <c r="U6530" s="31" t="n">
        <f aca="false">IF($B6530='設定（最初に1回）'!$C$4,N(U6529)+1,N(U6529))</f>
        <v>134</v>
      </c>
    </row>
    <row r="6531" customFormat="false" ht="15" hidden="false" customHeight="false" outlineLevel="0" collapsed="false">
      <c r="B6531" s="53"/>
      <c r="I6531" s="53"/>
      <c r="U6531" s="31" t="n">
        <f aca="false">IF($B6531='設定（最初に1回）'!$C$4,N(U6530)+1,N(U6530))</f>
        <v>134</v>
      </c>
    </row>
    <row r="6532" customFormat="false" ht="15" hidden="false" customHeight="false" outlineLevel="0" collapsed="false">
      <c r="B6532" s="53"/>
      <c r="I6532" s="53"/>
      <c r="U6532" s="31" t="n">
        <f aca="false">IF($B6532='設定（最初に1回）'!$C$4,N(U6531)+1,N(U6531))</f>
        <v>134</v>
      </c>
    </row>
    <row r="6533" customFormat="false" ht="15" hidden="false" customHeight="false" outlineLevel="0" collapsed="false">
      <c r="B6533" s="53"/>
      <c r="I6533" s="53"/>
      <c r="U6533" s="31" t="n">
        <f aca="false">IF($B6533='設定（最初に1回）'!$C$4,N(U6532)+1,N(U6532))</f>
        <v>134</v>
      </c>
    </row>
    <row r="6534" customFormat="false" ht="15" hidden="false" customHeight="false" outlineLevel="0" collapsed="false">
      <c r="B6534" s="53"/>
      <c r="I6534" s="53"/>
      <c r="U6534" s="31" t="n">
        <f aca="false">IF($B6534='設定（最初に1回）'!$C$4,N(U6533)+1,N(U6533))</f>
        <v>134</v>
      </c>
    </row>
    <row r="6535" customFormat="false" ht="15" hidden="false" customHeight="false" outlineLevel="0" collapsed="false">
      <c r="B6535" s="53"/>
      <c r="I6535" s="53"/>
      <c r="U6535" s="31" t="n">
        <f aca="false">IF($B6535='設定（最初に1回）'!$C$4,N(U6534)+1,N(U6534))</f>
        <v>134</v>
      </c>
    </row>
    <row r="6536" customFormat="false" ht="15" hidden="false" customHeight="false" outlineLevel="0" collapsed="false">
      <c r="B6536" s="53"/>
      <c r="I6536" s="53"/>
      <c r="U6536" s="31" t="n">
        <f aca="false">IF($B6536='設定（最初に1回）'!$C$4,N(U6535)+1,N(U6535))</f>
        <v>134</v>
      </c>
    </row>
    <row r="6537" customFormat="false" ht="15" hidden="false" customHeight="false" outlineLevel="0" collapsed="false">
      <c r="B6537" s="53"/>
      <c r="I6537" s="53"/>
      <c r="U6537" s="31" t="n">
        <f aca="false">IF($B6537='設定（最初に1回）'!$C$4,N(U6536)+1,N(U6536))</f>
        <v>134</v>
      </c>
    </row>
    <row r="6538" customFormat="false" ht="15" hidden="false" customHeight="false" outlineLevel="0" collapsed="false">
      <c r="B6538" s="53"/>
      <c r="I6538" s="53"/>
      <c r="U6538" s="31" t="n">
        <f aca="false">IF($B6538='設定（最初に1回）'!$C$4,N(U6537)+1,N(U6537))</f>
        <v>134</v>
      </c>
    </row>
    <row r="6539" customFormat="false" ht="15" hidden="false" customHeight="false" outlineLevel="0" collapsed="false">
      <c r="B6539" s="53"/>
      <c r="I6539" s="53"/>
      <c r="U6539" s="31" t="n">
        <f aca="false">IF($B6539='設定（最初に1回）'!$C$4,N(U6538)+1,N(U6538))</f>
        <v>134</v>
      </c>
    </row>
    <row r="6540" customFormat="false" ht="15" hidden="false" customHeight="false" outlineLevel="0" collapsed="false">
      <c r="B6540" s="53"/>
      <c r="I6540" s="53"/>
      <c r="U6540" s="31" t="n">
        <f aca="false">IF($B6540='設定（最初に1回）'!$C$4,N(U6539)+1,N(U6539))</f>
        <v>134</v>
      </c>
    </row>
    <row r="6541" customFormat="false" ht="15" hidden="false" customHeight="false" outlineLevel="0" collapsed="false">
      <c r="B6541" s="53"/>
      <c r="I6541" s="53"/>
      <c r="U6541" s="31" t="n">
        <f aca="false">IF($B6541='設定（最初に1回）'!$C$4,N(U6540)+1,N(U6540))</f>
        <v>134</v>
      </c>
    </row>
    <row r="6542" customFormat="false" ht="15" hidden="false" customHeight="false" outlineLevel="0" collapsed="false">
      <c r="B6542" s="53"/>
      <c r="I6542" s="53"/>
      <c r="U6542" s="31" t="n">
        <f aca="false">IF($B6542='設定（最初に1回）'!$C$4,N(U6541)+1,N(U6541))</f>
        <v>134</v>
      </c>
    </row>
    <row r="6543" customFormat="false" ht="15" hidden="false" customHeight="false" outlineLevel="0" collapsed="false">
      <c r="B6543" s="53"/>
      <c r="I6543" s="53"/>
      <c r="U6543" s="31" t="n">
        <f aca="false">IF($B6543='設定（最初に1回）'!$C$4,N(U6542)+1,N(U6542))</f>
        <v>134</v>
      </c>
    </row>
    <row r="6544" customFormat="false" ht="15" hidden="false" customHeight="false" outlineLevel="0" collapsed="false">
      <c r="B6544" s="53"/>
      <c r="I6544" s="53"/>
      <c r="U6544" s="31" t="n">
        <f aca="false">IF($B6544='設定（最初に1回）'!$C$4,N(U6543)+1,N(U6543))</f>
        <v>134</v>
      </c>
    </row>
    <row r="6545" customFormat="false" ht="15" hidden="false" customHeight="false" outlineLevel="0" collapsed="false">
      <c r="B6545" s="53"/>
      <c r="I6545" s="53"/>
      <c r="U6545" s="31" t="n">
        <f aca="false">IF($B6545='設定（最初に1回）'!$C$4,N(U6544)+1,N(U6544))</f>
        <v>134</v>
      </c>
    </row>
    <row r="6546" customFormat="false" ht="15" hidden="false" customHeight="false" outlineLevel="0" collapsed="false">
      <c r="B6546" s="53"/>
      <c r="I6546" s="53"/>
      <c r="U6546" s="31" t="n">
        <f aca="false">IF($B6546='設定（最初に1回）'!$C$4,N(U6545)+1,N(U6545))</f>
        <v>134</v>
      </c>
    </row>
    <row r="6547" customFormat="false" ht="15" hidden="false" customHeight="false" outlineLevel="0" collapsed="false">
      <c r="B6547" s="53"/>
      <c r="I6547" s="53"/>
      <c r="U6547" s="31" t="n">
        <f aca="false">IF($B6547='設定（最初に1回）'!$C$4,N(U6546)+1,N(U6546))</f>
        <v>134</v>
      </c>
    </row>
    <row r="6548" customFormat="false" ht="15" hidden="false" customHeight="false" outlineLevel="0" collapsed="false">
      <c r="B6548" s="53"/>
      <c r="I6548" s="53"/>
      <c r="U6548" s="31" t="n">
        <f aca="false">IF($B6548='設定（最初に1回）'!$C$4,N(U6547)+1,N(U6547))</f>
        <v>134</v>
      </c>
    </row>
    <row r="6549" customFormat="false" ht="15" hidden="false" customHeight="false" outlineLevel="0" collapsed="false">
      <c r="B6549" s="53"/>
      <c r="I6549" s="53"/>
      <c r="U6549" s="31" t="n">
        <f aca="false">IF($B6549='設定（最初に1回）'!$C$4,N(U6548)+1,N(U6548))</f>
        <v>134</v>
      </c>
    </row>
    <row r="6550" customFormat="false" ht="15" hidden="false" customHeight="false" outlineLevel="0" collapsed="false">
      <c r="B6550" s="53"/>
      <c r="I6550" s="53"/>
      <c r="U6550" s="31" t="n">
        <f aca="false">IF($B6550='設定（最初に1回）'!$C$4,N(U6549)+1,N(U6549))</f>
        <v>134</v>
      </c>
    </row>
    <row r="6551" customFormat="false" ht="15" hidden="false" customHeight="false" outlineLevel="0" collapsed="false">
      <c r="B6551" s="53"/>
      <c r="I6551" s="53"/>
      <c r="U6551" s="31" t="n">
        <f aca="false">IF($B6551='設定（最初に1回）'!$C$4,N(U6550)+1,N(U6550))</f>
        <v>134</v>
      </c>
    </row>
    <row r="6552" customFormat="false" ht="15" hidden="false" customHeight="false" outlineLevel="0" collapsed="false">
      <c r="B6552" s="53"/>
      <c r="I6552" s="53"/>
      <c r="U6552" s="31" t="n">
        <f aca="false">IF($B6552='設定（最初に1回）'!$C$4,N(U6551)+1,N(U6551))</f>
        <v>134</v>
      </c>
    </row>
    <row r="6553" customFormat="false" ht="15" hidden="false" customHeight="false" outlineLevel="0" collapsed="false">
      <c r="B6553" s="53"/>
      <c r="I6553" s="53"/>
      <c r="U6553" s="31" t="n">
        <f aca="false">IF($B6553='設定（最初に1回）'!$C$4,N(U6552)+1,N(U6552))</f>
        <v>134</v>
      </c>
    </row>
    <row r="6554" customFormat="false" ht="15" hidden="false" customHeight="false" outlineLevel="0" collapsed="false">
      <c r="B6554" s="53"/>
      <c r="I6554" s="53"/>
      <c r="U6554" s="31" t="n">
        <f aca="false">IF($B6554='設定（最初に1回）'!$C$4,N(U6553)+1,N(U6553))</f>
        <v>134</v>
      </c>
    </row>
    <row r="6555" customFormat="false" ht="15" hidden="false" customHeight="false" outlineLevel="0" collapsed="false">
      <c r="B6555" s="53"/>
      <c r="I6555" s="53"/>
      <c r="U6555" s="31" t="n">
        <f aca="false">IF($B6555='設定（最初に1回）'!$C$4,N(U6554)+1,N(U6554))</f>
        <v>134</v>
      </c>
    </row>
    <row r="6556" customFormat="false" ht="15" hidden="false" customHeight="false" outlineLevel="0" collapsed="false">
      <c r="B6556" s="53"/>
      <c r="I6556" s="53"/>
      <c r="U6556" s="31" t="n">
        <f aca="false">IF($B6556='設定（最初に1回）'!$C$4,N(U6555)+1,N(U6555))</f>
        <v>134</v>
      </c>
    </row>
    <row r="6557" customFormat="false" ht="15" hidden="false" customHeight="false" outlineLevel="0" collapsed="false">
      <c r="B6557" s="53"/>
      <c r="I6557" s="53"/>
      <c r="U6557" s="31" t="n">
        <f aca="false">IF($B6557='設定（最初に1回）'!$C$4,N(U6556)+1,N(U6556))</f>
        <v>134</v>
      </c>
    </row>
    <row r="6558" customFormat="false" ht="15" hidden="false" customHeight="false" outlineLevel="0" collapsed="false">
      <c r="B6558" s="53"/>
      <c r="I6558" s="53"/>
      <c r="U6558" s="31" t="n">
        <f aca="false">IF($B6558='設定（最初に1回）'!$C$4,N(U6557)+1,N(U6557))</f>
        <v>134</v>
      </c>
    </row>
    <row r="6559" customFormat="false" ht="15" hidden="false" customHeight="false" outlineLevel="0" collapsed="false">
      <c r="B6559" s="53"/>
      <c r="I6559" s="53"/>
      <c r="U6559" s="31" t="n">
        <f aca="false">IF($B6559='設定（最初に1回）'!$C$4,N(U6558)+1,N(U6558))</f>
        <v>134</v>
      </c>
    </row>
    <row r="6560" customFormat="false" ht="15" hidden="false" customHeight="false" outlineLevel="0" collapsed="false">
      <c r="B6560" s="53"/>
      <c r="I6560" s="53"/>
      <c r="U6560" s="31" t="n">
        <f aca="false">IF($B6560='設定（最初に1回）'!$C$4,N(U6559)+1,N(U6559))</f>
        <v>134</v>
      </c>
    </row>
    <row r="6561" customFormat="false" ht="15" hidden="false" customHeight="false" outlineLevel="0" collapsed="false">
      <c r="B6561" s="53"/>
      <c r="I6561" s="53"/>
      <c r="U6561" s="31" t="n">
        <f aca="false">IF($B6561='設定（最初に1回）'!$C$4,N(U6560)+1,N(U6560))</f>
        <v>134</v>
      </c>
    </row>
    <row r="6562" customFormat="false" ht="15" hidden="false" customHeight="false" outlineLevel="0" collapsed="false">
      <c r="B6562" s="53"/>
      <c r="I6562" s="53"/>
      <c r="U6562" s="31" t="n">
        <f aca="false">IF($B6562='設定（最初に1回）'!$C$4,N(U6561)+1,N(U6561))</f>
        <v>134</v>
      </c>
    </row>
    <row r="6563" customFormat="false" ht="15" hidden="false" customHeight="false" outlineLevel="0" collapsed="false">
      <c r="B6563" s="53"/>
      <c r="I6563" s="53"/>
      <c r="U6563" s="31" t="n">
        <f aca="false">IF($B6563='設定（最初に1回）'!$C$4,N(U6562)+1,N(U6562))</f>
        <v>134</v>
      </c>
    </row>
    <row r="6564" customFormat="false" ht="15" hidden="false" customHeight="false" outlineLevel="0" collapsed="false">
      <c r="B6564" s="53"/>
      <c r="I6564" s="53"/>
      <c r="U6564" s="31" t="n">
        <f aca="false">IF($B6564='設定（最初に1回）'!$C$4,N(U6563)+1,N(U6563))</f>
        <v>134</v>
      </c>
    </row>
    <row r="6565" customFormat="false" ht="15" hidden="false" customHeight="false" outlineLevel="0" collapsed="false">
      <c r="B6565" s="53"/>
      <c r="I6565" s="53"/>
      <c r="U6565" s="31" t="n">
        <f aca="false">IF($B6565='設定（最初に1回）'!$C$4,N(U6564)+1,N(U6564))</f>
        <v>134</v>
      </c>
    </row>
    <row r="6566" customFormat="false" ht="15" hidden="false" customHeight="false" outlineLevel="0" collapsed="false">
      <c r="B6566" s="53"/>
      <c r="I6566" s="53"/>
      <c r="U6566" s="31" t="n">
        <f aca="false">IF($B6566='設定（最初に1回）'!$C$4,N(U6565)+1,N(U6565))</f>
        <v>134</v>
      </c>
    </row>
    <row r="6567" customFormat="false" ht="15" hidden="false" customHeight="false" outlineLevel="0" collapsed="false">
      <c r="B6567" s="53"/>
      <c r="I6567" s="53"/>
      <c r="U6567" s="31" t="n">
        <f aca="false">IF($B6567='設定（最初に1回）'!$C$4,N(U6566)+1,N(U6566))</f>
        <v>134</v>
      </c>
    </row>
    <row r="6568" customFormat="false" ht="15" hidden="false" customHeight="false" outlineLevel="0" collapsed="false">
      <c r="B6568" s="53"/>
      <c r="I6568" s="53"/>
      <c r="U6568" s="31" t="n">
        <f aca="false">IF($B6568='設定（最初に1回）'!$C$4,N(U6567)+1,N(U6567))</f>
        <v>134</v>
      </c>
    </row>
    <row r="6569" customFormat="false" ht="15" hidden="false" customHeight="false" outlineLevel="0" collapsed="false">
      <c r="B6569" s="53"/>
      <c r="I6569" s="53"/>
      <c r="U6569" s="31" t="n">
        <f aca="false">IF($B6569='設定（最初に1回）'!$C$4,N(U6568)+1,N(U6568))</f>
        <v>134</v>
      </c>
    </row>
    <row r="6570" customFormat="false" ht="15" hidden="false" customHeight="false" outlineLevel="0" collapsed="false">
      <c r="B6570" s="53"/>
      <c r="I6570" s="53"/>
      <c r="U6570" s="31" t="n">
        <f aca="false">IF($B6570='設定（最初に1回）'!$C$4,N(U6569)+1,N(U6569))</f>
        <v>134</v>
      </c>
    </row>
    <row r="6571" customFormat="false" ht="15" hidden="false" customHeight="false" outlineLevel="0" collapsed="false">
      <c r="B6571" s="53"/>
      <c r="I6571" s="53"/>
      <c r="U6571" s="31" t="n">
        <f aca="false">IF($B6571='設定（最初に1回）'!$C$4,N(U6570)+1,N(U6570))</f>
        <v>134</v>
      </c>
    </row>
    <row r="6572" customFormat="false" ht="15" hidden="false" customHeight="false" outlineLevel="0" collapsed="false">
      <c r="B6572" s="53"/>
      <c r="I6572" s="53"/>
      <c r="U6572" s="31" t="n">
        <f aca="false">IF($B6572='設定（最初に1回）'!$C$4,N(U6571)+1,N(U6571))</f>
        <v>134</v>
      </c>
    </row>
    <row r="6573" customFormat="false" ht="15" hidden="false" customHeight="false" outlineLevel="0" collapsed="false">
      <c r="B6573" s="53"/>
      <c r="I6573" s="53"/>
      <c r="U6573" s="31" t="n">
        <f aca="false">IF($B6573='設定（最初に1回）'!$C$4,N(U6572)+1,N(U6572))</f>
        <v>134</v>
      </c>
    </row>
    <row r="6574" customFormat="false" ht="15" hidden="false" customHeight="false" outlineLevel="0" collapsed="false">
      <c r="B6574" s="53"/>
      <c r="I6574" s="53"/>
      <c r="U6574" s="31" t="n">
        <f aca="false">IF($B6574='設定（最初に1回）'!$C$4,N(U6573)+1,N(U6573))</f>
        <v>134</v>
      </c>
    </row>
    <row r="6575" customFormat="false" ht="15" hidden="false" customHeight="false" outlineLevel="0" collapsed="false">
      <c r="B6575" s="53"/>
      <c r="I6575" s="53"/>
      <c r="U6575" s="31" t="n">
        <f aca="false">IF($B6575='設定（最初に1回）'!$C$4,N(U6574)+1,N(U6574))</f>
        <v>134</v>
      </c>
    </row>
    <row r="6576" customFormat="false" ht="15" hidden="false" customHeight="false" outlineLevel="0" collapsed="false">
      <c r="B6576" s="53"/>
      <c r="I6576" s="53"/>
      <c r="U6576" s="31" t="n">
        <f aca="false">IF($B6576='設定（最初に1回）'!$C$4,N(U6575)+1,N(U6575))</f>
        <v>134</v>
      </c>
    </row>
    <row r="6577" customFormat="false" ht="15" hidden="false" customHeight="false" outlineLevel="0" collapsed="false">
      <c r="B6577" s="53"/>
      <c r="I6577" s="53"/>
      <c r="U6577" s="31" t="n">
        <f aca="false">IF($B6577='設定（最初に1回）'!$C$4,N(U6576)+1,N(U6576))</f>
        <v>134</v>
      </c>
    </row>
    <row r="6578" customFormat="false" ht="15" hidden="false" customHeight="false" outlineLevel="0" collapsed="false">
      <c r="B6578" s="53"/>
      <c r="I6578" s="53"/>
      <c r="U6578" s="31" t="n">
        <f aca="false">IF($B6578='設定（最初に1回）'!$C$4,N(U6577)+1,N(U6577))</f>
        <v>134</v>
      </c>
    </row>
    <row r="6579" customFormat="false" ht="15" hidden="false" customHeight="false" outlineLevel="0" collapsed="false">
      <c r="B6579" s="53"/>
      <c r="I6579" s="53"/>
      <c r="U6579" s="31" t="n">
        <f aca="false">IF($B6579='設定（最初に1回）'!$C$4,N(U6578)+1,N(U6578))</f>
        <v>134</v>
      </c>
    </row>
    <row r="6580" customFormat="false" ht="15" hidden="false" customHeight="false" outlineLevel="0" collapsed="false">
      <c r="B6580" s="53"/>
      <c r="I6580" s="53"/>
      <c r="U6580" s="31" t="n">
        <f aca="false">IF($B6580='設定（最初に1回）'!$C$4,N(U6579)+1,N(U6579))</f>
        <v>134</v>
      </c>
    </row>
    <row r="6581" customFormat="false" ht="15" hidden="false" customHeight="false" outlineLevel="0" collapsed="false">
      <c r="B6581" s="53"/>
      <c r="I6581" s="53"/>
      <c r="U6581" s="31" t="n">
        <f aca="false">IF($B6581='設定（最初に1回）'!$C$4,N(U6580)+1,N(U6580))</f>
        <v>134</v>
      </c>
    </row>
    <row r="6582" customFormat="false" ht="15" hidden="false" customHeight="false" outlineLevel="0" collapsed="false">
      <c r="B6582" s="53"/>
      <c r="I6582" s="53"/>
      <c r="U6582" s="31" t="n">
        <f aca="false">IF($B6582='設定（最初に1回）'!$C$4,N(U6581)+1,N(U6581))</f>
        <v>134</v>
      </c>
    </row>
    <row r="6583" customFormat="false" ht="15" hidden="false" customHeight="false" outlineLevel="0" collapsed="false">
      <c r="B6583" s="53"/>
      <c r="I6583" s="53"/>
      <c r="U6583" s="31" t="n">
        <f aca="false">IF($B6583='設定（最初に1回）'!$C$4,N(U6582)+1,N(U6582))</f>
        <v>134</v>
      </c>
    </row>
    <row r="6584" customFormat="false" ht="15" hidden="false" customHeight="false" outlineLevel="0" collapsed="false">
      <c r="B6584" s="53"/>
      <c r="I6584" s="53"/>
      <c r="U6584" s="31" t="n">
        <f aca="false">IF($B6584='設定（最初に1回）'!$C$4,N(U6583)+1,N(U6583))</f>
        <v>134</v>
      </c>
    </row>
    <row r="6585" customFormat="false" ht="15" hidden="false" customHeight="false" outlineLevel="0" collapsed="false">
      <c r="B6585" s="53"/>
      <c r="I6585" s="53"/>
      <c r="U6585" s="31" t="n">
        <f aca="false">IF($B6585='設定（最初に1回）'!$C$4,N(U6584)+1,N(U6584))</f>
        <v>134</v>
      </c>
    </row>
    <row r="6586" customFormat="false" ht="15" hidden="false" customHeight="false" outlineLevel="0" collapsed="false">
      <c r="B6586" s="53"/>
      <c r="I6586" s="53"/>
      <c r="U6586" s="31" t="n">
        <f aca="false">IF($B6586='設定（最初に1回）'!$C$4,N(U6585)+1,N(U6585))</f>
        <v>134</v>
      </c>
    </row>
    <row r="6587" customFormat="false" ht="15" hidden="false" customHeight="false" outlineLevel="0" collapsed="false">
      <c r="B6587" s="53"/>
      <c r="I6587" s="53"/>
      <c r="U6587" s="31" t="n">
        <f aca="false">IF($B6587='設定（最初に1回）'!$C$4,N(U6586)+1,N(U6586))</f>
        <v>134</v>
      </c>
    </row>
    <row r="6588" customFormat="false" ht="15" hidden="false" customHeight="false" outlineLevel="0" collapsed="false">
      <c r="B6588" s="53"/>
      <c r="I6588" s="53"/>
      <c r="U6588" s="31" t="n">
        <f aca="false">IF($B6588='設定（最初に1回）'!$C$4,N(U6587)+1,N(U6587))</f>
        <v>134</v>
      </c>
    </row>
    <row r="6589" customFormat="false" ht="15" hidden="false" customHeight="false" outlineLevel="0" collapsed="false">
      <c r="B6589" s="53"/>
      <c r="I6589" s="53"/>
      <c r="U6589" s="31" t="n">
        <f aca="false">IF($B6589='設定（最初に1回）'!$C$4,N(U6588)+1,N(U6588))</f>
        <v>134</v>
      </c>
    </row>
    <row r="6590" customFormat="false" ht="15" hidden="false" customHeight="false" outlineLevel="0" collapsed="false">
      <c r="B6590" s="53"/>
      <c r="I6590" s="53"/>
      <c r="U6590" s="31" t="n">
        <f aca="false">IF($B6590='設定（最初に1回）'!$C$4,N(U6589)+1,N(U6589))</f>
        <v>134</v>
      </c>
    </row>
    <row r="6591" customFormat="false" ht="15" hidden="false" customHeight="false" outlineLevel="0" collapsed="false">
      <c r="B6591" s="53"/>
      <c r="I6591" s="53"/>
      <c r="U6591" s="31" t="n">
        <f aca="false">IF($B6591='設定（最初に1回）'!$C$4,N(U6590)+1,N(U6590))</f>
        <v>134</v>
      </c>
    </row>
    <row r="6592" customFormat="false" ht="15" hidden="false" customHeight="false" outlineLevel="0" collapsed="false">
      <c r="B6592" s="53"/>
      <c r="I6592" s="53"/>
      <c r="U6592" s="31" t="n">
        <f aca="false">IF($B6592='設定（最初に1回）'!$C$4,N(U6591)+1,N(U6591))</f>
        <v>134</v>
      </c>
    </row>
    <row r="6593" customFormat="false" ht="15" hidden="false" customHeight="false" outlineLevel="0" collapsed="false">
      <c r="B6593" s="53"/>
      <c r="I6593" s="53"/>
      <c r="U6593" s="31" t="n">
        <f aca="false">IF($B6593='設定（最初に1回）'!$C$4,N(U6592)+1,N(U6592))</f>
        <v>134</v>
      </c>
    </row>
    <row r="6594" customFormat="false" ht="15" hidden="false" customHeight="false" outlineLevel="0" collapsed="false">
      <c r="B6594" s="53"/>
      <c r="I6594" s="53"/>
      <c r="U6594" s="31" t="n">
        <f aca="false">IF($B6594='設定（最初に1回）'!$C$4,N(U6593)+1,N(U6593))</f>
        <v>134</v>
      </c>
    </row>
    <row r="6595" customFormat="false" ht="15" hidden="false" customHeight="false" outlineLevel="0" collapsed="false">
      <c r="B6595" s="53"/>
      <c r="I6595" s="53"/>
      <c r="U6595" s="31" t="n">
        <f aca="false">IF($B6595='設定（最初に1回）'!$C$4,N(U6594)+1,N(U6594))</f>
        <v>134</v>
      </c>
    </row>
    <row r="6596" customFormat="false" ht="15" hidden="false" customHeight="false" outlineLevel="0" collapsed="false">
      <c r="B6596" s="53"/>
      <c r="I6596" s="53"/>
      <c r="U6596" s="31" t="n">
        <f aca="false">IF($B6596='設定（最初に1回）'!$C$4,N(U6595)+1,N(U6595))</f>
        <v>134</v>
      </c>
    </row>
    <row r="6597" customFormat="false" ht="15" hidden="false" customHeight="false" outlineLevel="0" collapsed="false">
      <c r="B6597" s="53"/>
      <c r="I6597" s="53"/>
      <c r="U6597" s="31" t="n">
        <f aca="false">IF($B6597='設定（最初に1回）'!$C$4,N(U6596)+1,N(U6596))</f>
        <v>134</v>
      </c>
    </row>
    <row r="6598" customFormat="false" ht="15" hidden="false" customHeight="false" outlineLevel="0" collapsed="false">
      <c r="B6598" s="53"/>
      <c r="I6598" s="53"/>
      <c r="U6598" s="31" t="n">
        <f aca="false">IF($B6598='設定（最初に1回）'!$C$4,N(U6597)+1,N(U6597))</f>
        <v>134</v>
      </c>
    </row>
    <row r="6599" customFormat="false" ht="15" hidden="false" customHeight="false" outlineLevel="0" collapsed="false">
      <c r="B6599" s="53"/>
      <c r="I6599" s="53"/>
      <c r="U6599" s="31" t="n">
        <f aca="false">IF($B6599='設定（最初に1回）'!$C$4,N(U6598)+1,N(U6598))</f>
        <v>134</v>
      </c>
    </row>
    <row r="6600" customFormat="false" ht="15" hidden="false" customHeight="false" outlineLevel="0" collapsed="false">
      <c r="B6600" s="53"/>
      <c r="I6600" s="53"/>
      <c r="U6600" s="31" t="n">
        <f aca="false">IF($B6600='設定（最初に1回）'!$C$4,N(U6599)+1,N(U6599))</f>
        <v>134</v>
      </c>
    </row>
    <row r="6601" customFormat="false" ht="15" hidden="false" customHeight="false" outlineLevel="0" collapsed="false">
      <c r="B6601" s="53"/>
      <c r="I6601" s="53"/>
      <c r="U6601" s="31" t="n">
        <f aca="false">IF($B6601='設定（最初に1回）'!$C$4,N(U6600)+1,N(U6600))</f>
        <v>134</v>
      </c>
    </row>
    <row r="6602" customFormat="false" ht="15" hidden="false" customHeight="false" outlineLevel="0" collapsed="false">
      <c r="B6602" s="53"/>
      <c r="I6602" s="53"/>
      <c r="U6602" s="31" t="n">
        <f aca="false">IF($B6602='設定（最初に1回）'!$C$4,N(U6601)+1,N(U6601))</f>
        <v>134</v>
      </c>
    </row>
    <row r="6603" customFormat="false" ht="15" hidden="false" customHeight="false" outlineLevel="0" collapsed="false">
      <c r="B6603" s="53"/>
      <c r="I6603" s="53"/>
      <c r="U6603" s="31" t="n">
        <f aca="false">IF($B6603='設定（最初に1回）'!$C$4,N(U6602)+1,N(U6602))</f>
        <v>134</v>
      </c>
    </row>
    <row r="6604" customFormat="false" ht="15" hidden="false" customHeight="false" outlineLevel="0" collapsed="false">
      <c r="B6604" s="53"/>
      <c r="I6604" s="53"/>
      <c r="U6604" s="31" t="n">
        <f aca="false">IF($B6604='設定（最初に1回）'!$C$4,N(U6603)+1,N(U6603))</f>
        <v>134</v>
      </c>
    </row>
    <row r="6605" customFormat="false" ht="15" hidden="false" customHeight="false" outlineLevel="0" collapsed="false">
      <c r="B6605" s="53"/>
      <c r="I6605" s="53"/>
      <c r="U6605" s="31" t="n">
        <f aca="false">IF($B6605='設定（最初に1回）'!$C$4,N(U6604)+1,N(U6604))</f>
        <v>134</v>
      </c>
    </row>
    <row r="6606" customFormat="false" ht="15" hidden="false" customHeight="false" outlineLevel="0" collapsed="false">
      <c r="B6606" s="53"/>
      <c r="I6606" s="53"/>
      <c r="U6606" s="31" t="n">
        <f aca="false">IF($B6606='設定（最初に1回）'!$C$4,N(U6605)+1,N(U6605))</f>
        <v>134</v>
      </c>
    </row>
    <row r="6607" customFormat="false" ht="15" hidden="false" customHeight="false" outlineLevel="0" collapsed="false">
      <c r="B6607" s="53"/>
      <c r="I6607" s="53"/>
      <c r="U6607" s="31" t="n">
        <f aca="false">IF($B6607='設定（最初に1回）'!$C$4,N(U6606)+1,N(U6606))</f>
        <v>134</v>
      </c>
    </row>
    <row r="6608" customFormat="false" ht="15" hidden="false" customHeight="false" outlineLevel="0" collapsed="false">
      <c r="B6608" s="53"/>
      <c r="I6608" s="53"/>
      <c r="U6608" s="31" t="n">
        <f aca="false">IF($B6608='設定（最初に1回）'!$C$4,N(U6607)+1,N(U6607))</f>
        <v>134</v>
      </c>
    </row>
    <row r="6609" customFormat="false" ht="15" hidden="false" customHeight="false" outlineLevel="0" collapsed="false">
      <c r="B6609" s="53"/>
      <c r="I6609" s="53"/>
      <c r="U6609" s="31" t="n">
        <f aca="false">IF($B6609='設定（最初に1回）'!$C$4,N(U6608)+1,N(U6608))</f>
        <v>134</v>
      </c>
    </row>
    <row r="6610" customFormat="false" ht="15" hidden="false" customHeight="false" outlineLevel="0" collapsed="false">
      <c r="B6610" s="53"/>
      <c r="I6610" s="53"/>
      <c r="U6610" s="31" t="n">
        <f aca="false">IF($B6610='設定（最初に1回）'!$C$4,N(U6609)+1,N(U6609))</f>
        <v>134</v>
      </c>
    </row>
    <row r="6611" customFormat="false" ht="15" hidden="false" customHeight="false" outlineLevel="0" collapsed="false">
      <c r="B6611" s="53"/>
      <c r="I6611" s="53"/>
      <c r="U6611" s="31" t="n">
        <f aca="false">IF($B6611='設定（最初に1回）'!$C$4,N(U6610)+1,N(U6610))</f>
        <v>134</v>
      </c>
    </row>
    <row r="6612" customFormat="false" ht="15" hidden="false" customHeight="false" outlineLevel="0" collapsed="false">
      <c r="B6612" s="53"/>
      <c r="I6612" s="53"/>
      <c r="U6612" s="31" t="n">
        <f aca="false">IF($B6612='設定（最初に1回）'!$C$4,N(U6611)+1,N(U6611))</f>
        <v>134</v>
      </c>
    </row>
    <row r="6613" customFormat="false" ht="15" hidden="false" customHeight="false" outlineLevel="0" collapsed="false">
      <c r="B6613" s="53"/>
      <c r="I6613" s="53"/>
      <c r="U6613" s="31" t="n">
        <f aca="false">IF($B6613='設定（最初に1回）'!$C$4,N(U6612)+1,N(U6612))</f>
        <v>134</v>
      </c>
    </row>
    <row r="6614" customFormat="false" ht="15" hidden="false" customHeight="false" outlineLevel="0" collapsed="false">
      <c r="B6614" s="53"/>
      <c r="I6614" s="53"/>
      <c r="U6614" s="31" t="n">
        <f aca="false">IF($B6614='設定（最初に1回）'!$C$4,N(U6613)+1,N(U6613))</f>
        <v>134</v>
      </c>
    </row>
    <row r="6615" customFormat="false" ht="15" hidden="false" customHeight="false" outlineLevel="0" collapsed="false">
      <c r="B6615" s="53"/>
      <c r="I6615" s="53"/>
      <c r="U6615" s="31" t="n">
        <f aca="false">IF($B6615='設定（最初に1回）'!$C$4,N(U6614)+1,N(U6614))</f>
        <v>134</v>
      </c>
    </row>
    <row r="6616" customFormat="false" ht="15" hidden="false" customHeight="false" outlineLevel="0" collapsed="false">
      <c r="B6616" s="53"/>
      <c r="I6616" s="53"/>
      <c r="U6616" s="31" t="n">
        <f aca="false">IF($B6616='設定（最初に1回）'!$C$4,N(U6615)+1,N(U6615))</f>
        <v>134</v>
      </c>
    </row>
    <row r="6617" customFormat="false" ht="15" hidden="false" customHeight="false" outlineLevel="0" collapsed="false">
      <c r="B6617" s="53"/>
      <c r="I6617" s="53"/>
      <c r="U6617" s="31" t="n">
        <f aca="false">IF($B6617='設定（最初に1回）'!$C$4,N(U6616)+1,N(U6616))</f>
        <v>134</v>
      </c>
    </row>
    <row r="6618" customFormat="false" ht="15" hidden="false" customHeight="false" outlineLevel="0" collapsed="false">
      <c r="B6618" s="53"/>
      <c r="I6618" s="53"/>
      <c r="U6618" s="31" t="n">
        <f aca="false">IF($B6618='設定（最初に1回）'!$C$4,N(U6617)+1,N(U6617))</f>
        <v>134</v>
      </c>
    </row>
    <row r="6619" customFormat="false" ht="15" hidden="false" customHeight="false" outlineLevel="0" collapsed="false">
      <c r="B6619" s="53"/>
      <c r="I6619" s="53"/>
      <c r="U6619" s="31" t="n">
        <f aca="false">IF($B6619='設定（最初に1回）'!$C$4,N(U6618)+1,N(U6618))</f>
        <v>134</v>
      </c>
    </row>
    <row r="6620" customFormat="false" ht="15" hidden="false" customHeight="false" outlineLevel="0" collapsed="false">
      <c r="B6620" s="53"/>
      <c r="I6620" s="53"/>
      <c r="U6620" s="31" t="n">
        <f aca="false">IF($B6620='設定（最初に1回）'!$C$4,N(U6619)+1,N(U6619))</f>
        <v>134</v>
      </c>
    </row>
    <row r="6621" customFormat="false" ht="15" hidden="false" customHeight="false" outlineLevel="0" collapsed="false">
      <c r="B6621" s="53"/>
      <c r="I6621" s="53"/>
      <c r="U6621" s="31" t="n">
        <f aca="false">IF($B6621='設定（最初に1回）'!$C$4,N(U6620)+1,N(U6620))</f>
        <v>134</v>
      </c>
    </row>
    <row r="6622" customFormat="false" ht="15" hidden="false" customHeight="false" outlineLevel="0" collapsed="false">
      <c r="B6622" s="53"/>
      <c r="I6622" s="53"/>
      <c r="U6622" s="31" t="n">
        <f aca="false">IF($B6622='設定（最初に1回）'!$C$4,N(U6621)+1,N(U6621))</f>
        <v>134</v>
      </c>
    </row>
    <row r="6623" customFormat="false" ht="15" hidden="false" customHeight="false" outlineLevel="0" collapsed="false">
      <c r="B6623" s="53"/>
      <c r="I6623" s="53"/>
      <c r="U6623" s="31" t="n">
        <f aca="false">IF($B6623='設定（最初に1回）'!$C$4,N(U6622)+1,N(U6622))</f>
        <v>134</v>
      </c>
    </row>
    <row r="6624" customFormat="false" ht="15" hidden="false" customHeight="false" outlineLevel="0" collapsed="false">
      <c r="B6624" s="53"/>
      <c r="I6624" s="53"/>
      <c r="U6624" s="31" t="n">
        <f aca="false">IF($B6624='設定（最初に1回）'!$C$4,N(U6623)+1,N(U6623))</f>
        <v>134</v>
      </c>
    </row>
    <row r="6625" customFormat="false" ht="15" hidden="false" customHeight="false" outlineLevel="0" collapsed="false">
      <c r="B6625" s="53"/>
      <c r="I6625" s="53"/>
      <c r="U6625" s="31" t="n">
        <f aca="false">IF($B6625='設定（最初に1回）'!$C$4,N(U6624)+1,N(U6624))</f>
        <v>134</v>
      </c>
    </row>
    <row r="6626" customFormat="false" ht="15" hidden="false" customHeight="false" outlineLevel="0" collapsed="false">
      <c r="B6626" s="53"/>
      <c r="I6626" s="53"/>
      <c r="U6626" s="31" t="n">
        <f aca="false">IF($B6626='設定（最初に1回）'!$C$4,N(U6625)+1,N(U6625))</f>
        <v>134</v>
      </c>
    </row>
    <row r="6627" customFormat="false" ht="15" hidden="false" customHeight="false" outlineLevel="0" collapsed="false">
      <c r="B6627" s="53"/>
      <c r="I6627" s="53"/>
      <c r="U6627" s="31" t="n">
        <f aca="false">IF($B6627='設定（最初に1回）'!$C$4,N(U6626)+1,N(U6626))</f>
        <v>134</v>
      </c>
    </row>
    <row r="6628" customFormat="false" ht="15" hidden="false" customHeight="false" outlineLevel="0" collapsed="false">
      <c r="B6628" s="53"/>
      <c r="I6628" s="53"/>
      <c r="U6628" s="31" t="n">
        <f aca="false">IF($B6628='設定（最初に1回）'!$C$4,N(U6627)+1,N(U6627))</f>
        <v>134</v>
      </c>
    </row>
    <row r="6629" customFormat="false" ht="15" hidden="false" customHeight="false" outlineLevel="0" collapsed="false">
      <c r="B6629" s="53"/>
      <c r="I6629" s="53"/>
      <c r="U6629" s="31" t="n">
        <f aca="false">IF($B6629='設定（最初に1回）'!$C$4,N(U6628)+1,N(U6628))</f>
        <v>134</v>
      </c>
    </row>
    <row r="6630" customFormat="false" ht="15" hidden="false" customHeight="false" outlineLevel="0" collapsed="false">
      <c r="B6630" s="53"/>
      <c r="I6630" s="53"/>
      <c r="U6630" s="31" t="n">
        <f aca="false">IF($B6630='設定（最初に1回）'!$C$4,N(U6629)+1,N(U6629))</f>
        <v>134</v>
      </c>
    </row>
    <row r="6631" customFormat="false" ht="15" hidden="false" customHeight="false" outlineLevel="0" collapsed="false">
      <c r="B6631" s="53"/>
      <c r="I6631" s="53"/>
      <c r="U6631" s="31" t="n">
        <f aca="false">IF($B6631='設定（最初に1回）'!$C$4,N(U6630)+1,N(U6630))</f>
        <v>134</v>
      </c>
    </row>
    <row r="6632" customFormat="false" ht="15" hidden="false" customHeight="false" outlineLevel="0" collapsed="false">
      <c r="B6632" s="53"/>
      <c r="I6632" s="53"/>
      <c r="U6632" s="31" t="n">
        <f aca="false">IF($B6632='設定（最初に1回）'!$C$4,N(U6631)+1,N(U6631))</f>
        <v>134</v>
      </c>
    </row>
    <row r="6633" customFormat="false" ht="15" hidden="false" customHeight="false" outlineLevel="0" collapsed="false">
      <c r="B6633" s="53"/>
      <c r="I6633" s="53"/>
      <c r="U6633" s="31" t="n">
        <f aca="false">IF($B6633='設定（最初に1回）'!$C$4,N(U6632)+1,N(U6632))</f>
        <v>134</v>
      </c>
    </row>
    <row r="6634" customFormat="false" ht="15" hidden="false" customHeight="false" outlineLevel="0" collapsed="false">
      <c r="B6634" s="53"/>
      <c r="I6634" s="53"/>
      <c r="U6634" s="31" t="n">
        <f aca="false">IF($B6634='設定（最初に1回）'!$C$4,N(U6633)+1,N(U6633))</f>
        <v>134</v>
      </c>
    </row>
    <row r="6635" customFormat="false" ht="15" hidden="false" customHeight="false" outlineLevel="0" collapsed="false">
      <c r="B6635" s="53"/>
      <c r="I6635" s="53"/>
      <c r="U6635" s="31" t="n">
        <f aca="false">IF($B6635='設定（最初に1回）'!$C$4,N(U6634)+1,N(U6634))</f>
        <v>134</v>
      </c>
    </row>
    <row r="6636" customFormat="false" ht="15" hidden="false" customHeight="false" outlineLevel="0" collapsed="false">
      <c r="B6636" s="53"/>
      <c r="I6636" s="53"/>
      <c r="U6636" s="31" t="n">
        <f aca="false">IF($B6636='設定（最初に1回）'!$C$4,N(U6635)+1,N(U6635))</f>
        <v>134</v>
      </c>
    </row>
    <row r="6637" customFormat="false" ht="15" hidden="false" customHeight="false" outlineLevel="0" collapsed="false">
      <c r="B6637" s="53"/>
      <c r="I6637" s="53"/>
      <c r="U6637" s="31" t="n">
        <f aca="false">IF($B6637='設定（最初に1回）'!$C$4,N(U6636)+1,N(U6636))</f>
        <v>134</v>
      </c>
    </row>
    <row r="6638" customFormat="false" ht="15" hidden="false" customHeight="false" outlineLevel="0" collapsed="false">
      <c r="B6638" s="53"/>
      <c r="I6638" s="53"/>
      <c r="U6638" s="31" t="n">
        <f aca="false">IF($B6638='設定（最初に1回）'!$C$4,N(U6637)+1,N(U6637))</f>
        <v>134</v>
      </c>
    </row>
    <row r="6639" customFormat="false" ht="15" hidden="false" customHeight="false" outlineLevel="0" collapsed="false">
      <c r="B6639" s="53"/>
      <c r="I6639" s="53"/>
      <c r="U6639" s="31" t="n">
        <f aca="false">IF($B6639='設定（最初に1回）'!$C$4,N(U6638)+1,N(U6638))</f>
        <v>134</v>
      </c>
    </row>
    <row r="6640" customFormat="false" ht="15" hidden="false" customHeight="false" outlineLevel="0" collapsed="false">
      <c r="B6640" s="53"/>
      <c r="I6640" s="53"/>
      <c r="U6640" s="31" t="n">
        <f aca="false">IF($B6640='設定（最初に1回）'!$C$4,N(U6639)+1,N(U6639))</f>
        <v>134</v>
      </c>
    </row>
    <row r="6641" customFormat="false" ht="15" hidden="false" customHeight="false" outlineLevel="0" collapsed="false">
      <c r="B6641" s="53"/>
      <c r="I6641" s="53"/>
      <c r="U6641" s="31" t="n">
        <f aca="false">IF($B6641='設定（最初に1回）'!$C$4,N(U6640)+1,N(U6640))</f>
        <v>134</v>
      </c>
    </row>
    <row r="6642" customFormat="false" ht="15" hidden="false" customHeight="false" outlineLevel="0" collapsed="false">
      <c r="B6642" s="53"/>
      <c r="I6642" s="53"/>
      <c r="U6642" s="31" t="n">
        <f aca="false">IF($B6642='設定（最初に1回）'!$C$4,N(U6641)+1,N(U6641))</f>
        <v>134</v>
      </c>
    </row>
    <row r="6643" customFormat="false" ht="15" hidden="false" customHeight="false" outlineLevel="0" collapsed="false">
      <c r="B6643" s="53"/>
      <c r="I6643" s="53"/>
      <c r="U6643" s="31" t="n">
        <f aca="false">IF($B6643='設定（最初に1回）'!$C$4,N(U6642)+1,N(U6642))</f>
        <v>134</v>
      </c>
    </row>
    <row r="6644" customFormat="false" ht="15" hidden="false" customHeight="false" outlineLevel="0" collapsed="false">
      <c r="B6644" s="53"/>
      <c r="I6644" s="53"/>
      <c r="U6644" s="31" t="n">
        <f aca="false">IF($B6644='設定（最初に1回）'!$C$4,N(U6643)+1,N(U6643))</f>
        <v>134</v>
      </c>
    </row>
    <row r="6645" customFormat="false" ht="15" hidden="false" customHeight="false" outlineLevel="0" collapsed="false">
      <c r="B6645" s="53"/>
      <c r="I6645" s="53"/>
      <c r="U6645" s="31" t="n">
        <f aca="false">IF($B6645='設定（最初に1回）'!$C$4,N(U6644)+1,N(U6644))</f>
        <v>134</v>
      </c>
    </row>
    <row r="6646" customFormat="false" ht="15" hidden="false" customHeight="false" outlineLevel="0" collapsed="false">
      <c r="B6646" s="53"/>
      <c r="I6646" s="53"/>
      <c r="U6646" s="31" t="n">
        <f aca="false">IF($B6646='設定（最初に1回）'!$C$4,N(U6645)+1,N(U6645))</f>
        <v>134</v>
      </c>
    </row>
    <row r="6647" customFormat="false" ht="15" hidden="false" customHeight="false" outlineLevel="0" collapsed="false">
      <c r="B6647" s="53"/>
      <c r="I6647" s="53"/>
      <c r="U6647" s="31" t="n">
        <f aca="false">IF($B6647='設定（最初に1回）'!$C$4,N(U6646)+1,N(U6646))</f>
        <v>134</v>
      </c>
    </row>
    <row r="6648" customFormat="false" ht="15" hidden="false" customHeight="false" outlineLevel="0" collapsed="false">
      <c r="B6648" s="53"/>
      <c r="I6648" s="53"/>
      <c r="U6648" s="31" t="n">
        <f aca="false">IF($B6648='設定（最初に1回）'!$C$4,N(U6647)+1,N(U6647))</f>
        <v>134</v>
      </c>
    </row>
    <row r="6649" customFormat="false" ht="15" hidden="false" customHeight="false" outlineLevel="0" collapsed="false">
      <c r="B6649" s="53"/>
      <c r="I6649" s="53"/>
      <c r="U6649" s="31" t="n">
        <f aca="false">IF($B6649='設定（最初に1回）'!$C$4,N(U6648)+1,N(U6648))</f>
        <v>134</v>
      </c>
    </row>
    <row r="6650" customFormat="false" ht="15" hidden="false" customHeight="false" outlineLevel="0" collapsed="false">
      <c r="B6650" s="53"/>
      <c r="I6650" s="53"/>
      <c r="U6650" s="31" t="n">
        <f aca="false">IF($B6650='設定（最初に1回）'!$C$4,N(U6649)+1,N(U6649))</f>
        <v>134</v>
      </c>
    </row>
    <row r="6651" customFormat="false" ht="15" hidden="false" customHeight="false" outlineLevel="0" collapsed="false">
      <c r="B6651" s="53"/>
      <c r="I6651" s="53"/>
      <c r="U6651" s="31" t="n">
        <f aca="false">IF($B6651='設定（最初に1回）'!$C$4,N(U6650)+1,N(U6650))</f>
        <v>134</v>
      </c>
    </row>
    <row r="6652" customFormat="false" ht="15" hidden="false" customHeight="false" outlineLevel="0" collapsed="false">
      <c r="B6652" s="53"/>
      <c r="I6652" s="53"/>
      <c r="U6652" s="31" t="n">
        <f aca="false">IF($B6652='設定（最初に1回）'!$C$4,N(U6651)+1,N(U6651))</f>
        <v>134</v>
      </c>
    </row>
    <row r="6653" customFormat="false" ht="15" hidden="false" customHeight="false" outlineLevel="0" collapsed="false">
      <c r="B6653" s="53"/>
      <c r="I6653" s="53"/>
      <c r="U6653" s="31" t="n">
        <f aca="false">IF($B6653='設定（最初に1回）'!$C$4,N(U6652)+1,N(U6652))</f>
        <v>134</v>
      </c>
    </row>
    <row r="6654" customFormat="false" ht="15" hidden="false" customHeight="false" outlineLevel="0" collapsed="false">
      <c r="B6654" s="53"/>
      <c r="I6654" s="53"/>
      <c r="U6654" s="31" t="n">
        <f aca="false">IF($B6654='設定（最初に1回）'!$C$4,N(U6653)+1,N(U6653))</f>
        <v>134</v>
      </c>
    </row>
    <row r="6655" customFormat="false" ht="15" hidden="false" customHeight="false" outlineLevel="0" collapsed="false">
      <c r="B6655" s="53"/>
      <c r="I6655" s="53"/>
      <c r="U6655" s="31" t="n">
        <f aca="false">IF($B6655='設定（最初に1回）'!$C$4,N(U6654)+1,N(U6654))</f>
        <v>134</v>
      </c>
    </row>
    <row r="6656" customFormat="false" ht="15" hidden="false" customHeight="false" outlineLevel="0" collapsed="false">
      <c r="B6656" s="53"/>
      <c r="I6656" s="53"/>
      <c r="U6656" s="31" t="n">
        <f aca="false">IF($B6656='設定（最初に1回）'!$C$4,N(U6655)+1,N(U6655))</f>
        <v>134</v>
      </c>
    </row>
    <row r="6657" customFormat="false" ht="15" hidden="false" customHeight="false" outlineLevel="0" collapsed="false">
      <c r="B6657" s="53"/>
      <c r="I6657" s="53"/>
      <c r="U6657" s="31" t="n">
        <f aca="false">IF($B6657='設定（最初に1回）'!$C$4,N(U6656)+1,N(U6656))</f>
        <v>134</v>
      </c>
    </row>
    <row r="6658" customFormat="false" ht="15" hidden="false" customHeight="false" outlineLevel="0" collapsed="false">
      <c r="B6658" s="53"/>
      <c r="I6658" s="53"/>
      <c r="U6658" s="31" t="n">
        <f aca="false">IF($B6658='設定（最初に1回）'!$C$4,N(U6657)+1,N(U6657))</f>
        <v>134</v>
      </c>
    </row>
    <row r="6659" customFormat="false" ht="15" hidden="false" customHeight="false" outlineLevel="0" collapsed="false">
      <c r="B6659" s="53"/>
      <c r="I6659" s="53"/>
      <c r="U6659" s="31" t="n">
        <f aca="false">IF($B6659='設定（最初に1回）'!$C$4,N(U6658)+1,N(U6658))</f>
        <v>134</v>
      </c>
    </row>
    <row r="6660" customFormat="false" ht="15" hidden="false" customHeight="false" outlineLevel="0" collapsed="false">
      <c r="B6660" s="53"/>
      <c r="I6660" s="53"/>
      <c r="U6660" s="31" t="n">
        <f aca="false">IF($B6660='設定（最初に1回）'!$C$4,N(U6659)+1,N(U6659))</f>
        <v>134</v>
      </c>
    </row>
    <row r="6661" customFormat="false" ht="15" hidden="false" customHeight="false" outlineLevel="0" collapsed="false">
      <c r="B6661" s="53"/>
      <c r="I6661" s="53"/>
      <c r="U6661" s="31" t="n">
        <f aca="false">IF($B6661='設定（最初に1回）'!$C$4,N(U6660)+1,N(U6660))</f>
        <v>134</v>
      </c>
    </row>
    <row r="6662" customFormat="false" ht="15" hidden="false" customHeight="false" outlineLevel="0" collapsed="false">
      <c r="B6662" s="53"/>
      <c r="I6662" s="53"/>
      <c r="U6662" s="31" t="n">
        <f aca="false">IF($B6662='設定（最初に1回）'!$C$4,N(U6661)+1,N(U6661))</f>
        <v>134</v>
      </c>
    </row>
    <row r="6663" customFormat="false" ht="15" hidden="false" customHeight="false" outlineLevel="0" collapsed="false">
      <c r="B6663" s="53"/>
      <c r="I6663" s="53"/>
      <c r="U6663" s="31" t="n">
        <f aca="false">IF($B6663='設定（最初に1回）'!$C$4,N(U6662)+1,N(U6662))</f>
        <v>134</v>
      </c>
    </row>
    <row r="6664" customFormat="false" ht="15" hidden="false" customHeight="false" outlineLevel="0" collapsed="false">
      <c r="B6664" s="53"/>
      <c r="I6664" s="53"/>
      <c r="U6664" s="31" t="n">
        <f aca="false">IF($B6664='設定（最初に1回）'!$C$4,N(U6663)+1,N(U6663))</f>
        <v>134</v>
      </c>
    </row>
    <row r="6665" customFormat="false" ht="15" hidden="false" customHeight="false" outlineLevel="0" collapsed="false">
      <c r="B6665" s="53"/>
      <c r="I6665" s="53"/>
      <c r="U6665" s="31" t="n">
        <f aca="false">IF($B6665='設定（最初に1回）'!$C$4,N(U6664)+1,N(U6664))</f>
        <v>134</v>
      </c>
    </row>
    <row r="6666" customFormat="false" ht="15" hidden="false" customHeight="false" outlineLevel="0" collapsed="false">
      <c r="B6666" s="53"/>
      <c r="I6666" s="53"/>
      <c r="U6666" s="31" t="n">
        <f aca="false">IF($B6666='設定（最初に1回）'!$C$4,N(U6665)+1,N(U6665))</f>
        <v>134</v>
      </c>
    </row>
    <row r="6667" customFormat="false" ht="15" hidden="false" customHeight="false" outlineLevel="0" collapsed="false">
      <c r="B6667" s="53"/>
      <c r="I6667" s="53"/>
      <c r="U6667" s="31" t="n">
        <f aca="false">IF($B6667='設定（最初に1回）'!$C$4,N(U6666)+1,N(U6666))</f>
        <v>134</v>
      </c>
    </row>
    <row r="6668" customFormat="false" ht="15" hidden="false" customHeight="false" outlineLevel="0" collapsed="false">
      <c r="B6668" s="53"/>
      <c r="I6668" s="53"/>
      <c r="U6668" s="31" t="n">
        <f aca="false">IF($B6668='設定（最初に1回）'!$C$4,N(U6667)+1,N(U6667))</f>
        <v>134</v>
      </c>
    </row>
    <row r="6669" customFormat="false" ht="15" hidden="false" customHeight="false" outlineLevel="0" collapsed="false">
      <c r="B6669" s="53"/>
      <c r="I6669" s="53"/>
      <c r="U6669" s="31" t="n">
        <f aca="false">IF($B6669='設定（最初に1回）'!$C$4,N(U6668)+1,N(U6668))</f>
        <v>134</v>
      </c>
    </row>
    <row r="6670" customFormat="false" ht="15" hidden="false" customHeight="false" outlineLevel="0" collapsed="false">
      <c r="B6670" s="53"/>
      <c r="I6670" s="53"/>
      <c r="U6670" s="31" t="n">
        <f aca="false">IF($B6670='設定（最初に1回）'!$C$4,N(U6669)+1,N(U6669))</f>
        <v>134</v>
      </c>
    </row>
    <row r="6671" customFormat="false" ht="15" hidden="false" customHeight="false" outlineLevel="0" collapsed="false">
      <c r="B6671" s="53"/>
      <c r="I6671" s="53"/>
      <c r="U6671" s="31" t="n">
        <f aca="false">IF($B6671='設定（最初に1回）'!$C$4,N(U6670)+1,N(U6670))</f>
        <v>134</v>
      </c>
    </row>
    <row r="6672" customFormat="false" ht="15" hidden="false" customHeight="false" outlineLevel="0" collapsed="false">
      <c r="B6672" s="53"/>
      <c r="I6672" s="53"/>
      <c r="U6672" s="31" t="n">
        <f aca="false">IF($B6672='設定（最初に1回）'!$C$4,N(U6671)+1,N(U6671))</f>
        <v>134</v>
      </c>
    </row>
    <row r="6673" customFormat="false" ht="15" hidden="false" customHeight="false" outlineLevel="0" collapsed="false">
      <c r="B6673" s="53"/>
      <c r="I6673" s="53"/>
      <c r="U6673" s="31" t="n">
        <f aca="false">IF($B6673='設定（最初に1回）'!$C$4,N(U6672)+1,N(U6672))</f>
        <v>134</v>
      </c>
    </row>
    <row r="6674" customFormat="false" ht="15" hidden="false" customHeight="false" outlineLevel="0" collapsed="false">
      <c r="B6674" s="53"/>
      <c r="I6674" s="53"/>
      <c r="U6674" s="31" t="n">
        <f aca="false">IF($B6674='設定（最初に1回）'!$C$4,N(U6673)+1,N(U6673))</f>
        <v>134</v>
      </c>
    </row>
    <row r="6675" customFormat="false" ht="15" hidden="false" customHeight="false" outlineLevel="0" collapsed="false">
      <c r="B6675" s="53"/>
      <c r="I6675" s="53"/>
      <c r="U6675" s="31" t="n">
        <f aca="false">IF($B6675='設定（最初に1回）'!$C$4,N(U6674)+1,N(U6674))</f>
        <v>134</v>
      </c>
    </row>
    <row r="6676" customFormat="false" ht="15" hidden="false" customHeight="false" outlineLevel="0" collapsed="false">
      <c r="B6676" s="53"/>
      <c r="I6676" s="53"/>
      <c r="U6676" s="31" t="n">
        <f aca="false">IF($B6676='設定（最初に1回）'!$C$4,N(U6675)+1,N(U6675))</f>
        <v>134</v>
      </c>
    </row>
    <row r="6677" customFormat="false" ht="15" hidden="false" customHeight="false" outlineLevel="0" collapsed="false">
      <c r="B6677" s="53"/>
      <c r="I6677" s="53"/>
      <c r="U6677" s="31" t="n">
        <f aca="false">IF($B6677='設定（最初に1回）'!$C$4,N(U6676)+1,N(U6676))</f>
        <v>134</v>
      </c>
    </row>
    <row r="6678" customFormat="false" ht="15" hidden="false" customHeight="false" outlineLevel="0" collapsed="false">
      <c r="B6678" s="53"/>
      <c r="I6678" s="53"/>
      <c r="U6678" s="31" t="n">
        <f aca="false">IF($B6678='設定（最初に1回）'!$C$4,N(U6677)+1,N(U6677))</f>
        <v>134</v>
      </c>
    </row>
    <row r="6679" customFormat="false" ht="15" hidden="false" customHeight="false" outlineLevel="0" collapsed="false">
      <c r="B6679" s="53"/>
      <c r="I6679" s="53"/>
      <c r="U6679" s="31" t="n">
        <f aca="false">IF($B6679='設定（最初に1回）'!$C$4,N(U6678)+1,N(U6678))</f>
        <v>134</v>
      </c>
    </row>
    <row r="6680" customFormat="false" ht="15" hidden="false" customHeight="false" outlineLevel="0" collapsed="false">
      <c r="B6680" s="53"/>
      <c r="I6680" s="53"/>
      <c r="U6680" s="31" t="n">
        <f aca="false">IF($B6680='設定（最初に1回）'!$C$4,N(U6679)+1,N(U6679))</f>
        <v>134</v>
      </c>
    </row>
    <row r="6681" customFormat="false" ht="15" hidden="false" customHeight="false" outlineLevel="0" collapsed="false">
      <c r="B6681" s="53"/>
      <c r="I6681" s="53"/>
      <c r="U6681" s="31" t="n">
        <f aca="false">IF($B6681='設定（最初に1回）'!$C$4,N(U6680)+1,N(U6680))</f>
        <v>134</v>
      </c>
    </row>
    <row r="6682" customFormat="false" ht="15" hidden="false" customHeight="false" outlineLevel="0" collapsed="false">
      <c r="B6682" s="53"/>
      <c r="I6682" s="53"/>
      <c r="U6682" s="31" t="n">
        <f aca="false">IF($B6682='設定（最初に1回）'!$C$4,N(U6681)+1,N(U6681))</f>
        <v>134</v>
      </c>
    </row>
    <row r="6683" customFormat="false" ht="15" hidden="false" customHeight="false" outlineLevel="0" collapsed="false">
      <c r="B6683" s="53"/>
      <c r="I6683" s="53"/>
      <c r="U6683" s="31" t="n">
        <f aca="false">IF($B6683='設定（最初に1回）'!$C$4,N(U6682)+1,N(U6682))</f>
        <v>134</v>
      </c>
    </row>
    <row r="6684" customFormat="false" ht="15" hidden="false" customHeight="false" outlineLevel="0" collapsed="false">
      <c r="B6684" s="53"/>
      <c r="I6684" s="53"/>
      <c r="U6684" s="31" t="n">
        <f aca="false">IF($B6684='設定（最初に1回）'!$C$4,N(U6683)+1,N(U6683))</f>
        <v>134</v>
      </c>
    </row>
    <row r="6685" customFormat="false" ht="15" hidden="false" customHeight="false" outlineLevel="0" collapsed="false">
      <c r="B6685" s="53"/>
      <c r="I6685" s="53"/>
      <c r="U6685" s="31" t="n">
        <f aca="false">IF($B6685='設定（最初に1回）'!$C$4,N(U6684)+1,N(U6684))</f>
        <v>134</v>
      </c>
    </row>
    <row r="6686" customFormat="false" ht="15" hidden="false" customHeight="false" outlineLevel="0" collapsed="false">
      <c r="B6686" s="53"/>
      <c r="I6686" s="53"/>
      <c r="U6686" s="31" t="n">
        <f aca="false">IF($B6686='設定（最初に1回）'!$C$4,N(U6685)+1,N(U6685))</f>
        <v>134</v>
      </c>
    </row>
    <row r="6687" customFormat="false" ht="15" hidden="false" customHeight="false" outlineLevel="0" collapsed="false">
      <c r="B6687" s="53"/>
      <c r="I6687" s="53"/>
      <c r="U6687" s="31" t="n">
        <f aca="false">IF($B6687='設定（最初に1回）'!$C$4,N(U6686)+1,N(U6686))</f>
        <v>134</v>
      </c>
    </row>
    <row r="6688" customFormat="false" ht="15" hidden="false" customHeight="false" outlineLevel="0" collapsed="false">
      <c r="B6688" s="53"/>
      <c r="I6688" s="53"/>
      <c r="U6688" s="31" t="n">
        <f aca="false">IF($B6688='設定（最初に1回）'!$C$4,N(U6687)+1,N(U6687))</f>
        <v>134</v>
      </c>
    </row>
    <row r="6689" customFormat="false" ht="15" hidden="false" customHeight="false" outlineLevel="0" collapsed="false">
      <c r="B6689" s="53"/>
      <c r="I6689" s="53"/>
      <c r="U6689" s="31" t="n">
        <f aca="false">IF($B6689='設定（最初に1回）'!$C$4,N(U6688)+1,N(U6688))</f>
        <v>134</v>
      </c>
    </row>
    <row r="6690" customFormat="false" ht="15" hidden="false" customHeight="false" outlineLevel="0" collapsed="false">
      <c r="B6690" s="53"/>
      <c r="I6690" s="53"/>
      <c r="U6690" s="31" t="n">
        <f aca="false">IF($B6690='設定（最初に1回）'!$C$4,N(U6689)+1,N(U6689))</f>
        <v>134</v>
      </c>
    </row>
    <row r="6691" customFormat="false" ht="15" hidden="false" customHeight="false" outlineLevel="0" collapsed="false">
      <c r="B6691" s="53"/>
      <c r="I6691" s="53"/>
      <c r="U6691" s="31" t="n">
        <f aca="false">IF($B6691='設定（最初に1回）'!$C$4,N(U6690)+1,N(U6690))</f>
        <v>134</v>
      </c>
    </row>
    <row r="6692" customFormat="false" ht="15" hidden="false" customHeight="false" outlineLevel="0" collapsed="false">
      <c r="B6692" s="53"/>
      <c r="I6692" s="53"/>
      <c r="U6692" s="31" t="n">
        <f aca="false">IF($B6692='設定（最初に1回）'!$C$4,N(U6691)+1,N(U6691))</f>
        <v>134</v>
      </c>
    </row>
    <row r="6693" customFormat="false" ht="15" hidden="false" customHeight="false" outlineLevel="0" collapsed="false">
      <c r="B6693" s="53"/>
      <c r="I6693" s="53"/>
      <c r="U6693" s="31" t="n">
        <f aca="false">IF($B6693='設定（最初に1回）'!$C$4,N(U6692)+1,N(U6692))</f>
        <v>134</v>
      </c>
    </row>
    <row r="6694" customFormat="false" ht="15" hidden="false" customHeight="false" outlineLevel="0" collapsed="false">
      <c r="B6694" s="53"/>
      <c r="I6694" s="53"/>
      <c r="U6694" s="31" t="n">
        <f aca="false">IF($B6694='設定（最初に1回）'!$C$4,N(U6693)+1,N(U6693))</f>
        <v>134</v>
      </c>
    </row>
    <row r="6695" customFormat="false" ht="15" hidden="false" customHeight="false" outlineLevel="0" collapsed="false">
      <c r="B6695" s="53"/>
      <c r="I6695" s="53"/>
      <c r="U6695" s="31" t="n">
        <f aca="false">IF($B6695='設定（最初に1回）'!$C$4,N(U6694)+1,N(U6694))</f>
        <v>134</v>
      </c>
    </row>
    <row r="6696" customFormat="false" ht="15" hidden="false" customHeight="false" outlineLevel="0" collapsed="false">
      <c r="B6696" s="53"/>
      <c r="I6696" s="53"/>
      <c r="U6696" s="31" t="n">
        <f aca="false">IF($B6696='設定（最初に1回）'!$C$4,N(U6695)+1,N(U6695))</f>
        <v>134</v>
      </c>
    </row>
    <row r="6697" customFormat="false" ht="15" hidden="false" customHeight="false" outlineLevel="0" collapsed="false">
      <c r="B6697" s="53"/>
      <c r="I6697" s="53"/>
      <c r="U6697" s="31" t="n">
        <f aca="false">IF($B6697='設定（最初に1回）'!$C$4,N(U6696)+1,N(U6696))</f>
        <v>134</v>
      </c>
    </row>
    <row r="6698" customFormat="false" ht="15" hidden="false" customHeight="false" outlineLevel="0" collapsed="false">
      <c r="B6698" s="53"/>
      <c r="I6698" s="53"/>
      <c r="U6698" s="31" t="n">
        <f aca="false">IF($B6698='設定（最初に1回）'!$C$4,N(U6697)+1,N(U6697))</f>
        <v>134</v>
      </c>
    </row>
    <row r="6699" customFormat="false" ht="15" hidden="false" customHeight="false" outlineLevel="0" collapsed="false">
      <c r="B6699" s="53"/>
      <c r="I6699" s="53"/>
      <c r="U6699" s="31" t="n">
        <f aca="false">IF($B6699='設定（最初に1回）'!$C$4,N(U6698)+1,N(U6698))</f>
        <v>134</v>
      </c>
    </row>
    <row r="6700" customFormat="false" ht="15" hidden="false" customHeight="false" outlineLevel="0" collapsed="false">
      <c r="B6700" s="53"/>
      <c r="I6700" s="53"/>
      <c r="U6700" s="31" t="n">
        <f aca="false">IF($B6700='設定（最初に1回）'!$C$4,N(U6699)+1,N(U6699))</f>
        <v>134</v>
      </c>
    </row>
    <row r="6701" customFormat="false" ht="15" hidden="false" customHeight="false" outlineLevel="0" collapsed="false">
      <c r="B6701" s="53"/>
      <c r="I6701" s="53"/>
      <c r="U6701" s="31" t="n">
        <f aca="false">IF($B6701='設定（最初に1回）'!$C$4,N(U6700)+1,N(U6700))</f>
        <v>134</v>
      </c>
    </row>
    <row r="6702" customFormat="false" ht="15" hidden="false" customHeight="false" outlineLevel="0" collapsed="false">
      <c r="B6702" s="53"/>
      <c r="I6702" s="53"/>
      <c r="U6702" s="31" t="n">
        <f aca="false">IF($B6702='設定（最初に1回）'!$C$4,N(U6701)+1,N(U6701))</f>
        <v>134</v>
      </c>
    </row>
    <row r="6703" customFormat="false" ht="15" hidden="false" customHeight="false" outlineLevel="0" collapsed="false">
      <c r="B6703" s="53"/>
      <c r="I6703" s="53"/>
      <c r="U6703" s="31" t="n">
        <f aca="false">IF($B6703='設定（最初に1回）'!$C$4,N(U6702)+1,N(U6702))</f>
        <v>134</v>
      </c>
    </row>
    <row r="6704" customFormat="false" ht="15" hidden="false" customHeight="false" outlineLevel="0" collapsed="false">
      <c r="B6704" s="53"/>
      <c r="I6704" s="53"/>
      <c r="U6704" s="31" t="n">
        <f aca="false">IF($B6704='設定（最初に1回）'!$C$4,N(U6703)+1,N(U6703))</f>
        <v>134</v>
      </c>
    </row>
    <row r="6705" customFormat="false" ht="15" hidden="false" customHeight="false" outlineLevel="0" collapsed="false">
      <c r="B6705" s="53"/>
      <c r="I6705" s="53"/>
      <c r="U6705" s="31" t="n">
        <f aca="false">IF($B6705='設定（最初に1回）'!$C$4,N(U6704)+1,N(U6704))</f>
        <v>134</v>
      </c>
    </row>
    <row r="6706" customFormat="false" ht="15" hidden="false" customHeight="false" outlineLevel="0" collapsed="false">
      <c r="B6706" s="53"/>
      <c r="I6706" s="53"/>
      <c r="U6706" s="31" t="n">
        <f aca="false">IF($B6706='設定（最初に1回）'!$C$4,N(U6705)+1,N(U6705))</f>
        <v>134</v>
      </c>
    </row>
    <row r="6707" customFormat="false" ht="15" hidden="false" customHeight="false" outlineLevel="0" collapsed="false">
      <c r="B6707" s="53"/>
      <c r="I6707" s="53"/>
      <c r="U6707" s="31" t="n">
        <f aca="false">IF($B6707='設定（最初に1回）'!$C$4,N(U6706)+1,N(U6706))</f>
        <v>134</v>
      </c>
    </row>
    <row r="6708" customFormat="false" ht="15" hidden="false" customHeight="false" outlineLevel="0" collapsed="false">
      <c r="B6708" s="53"/>
      <c r="I6708" s="53"/>
      <c r="U6708" s="31" t="n">
        <f aca="false">IF($B6708='設定（最初に1回）'!$C$4,N(U6707)+1,N(U6707))</f>
        <v>134</v>
      </c>
    </row>
    <row r="6709" customFormat="false" ht="15" hidden="false" customHeight="false" outlineLevel="0" collapsed="false">
      <c r="B6709" s="53"/>
      <c r="I6709" s="53"/>
      <c r="U6709" s="31" t="n">
        <f aca="false">IF($B6709='設定（最初に1回）'!$C$4,N(U6708)+1,N(U6708))</f>
        <v>134</v>
      </c>
    </row>
    <row r="6710" customFormat="false" ht="15" hidden="false" customHeight="false" outlineLevel="0" collapsed="false">
      <c r="B6710" s="53"/>
      <c r="I6710" s="53"/>
      <c r="U6710" s="31" t="n">
        <f aca="false">IF($B6710='設定（最初に1回）'!$C$4,N(U6709)+1,N(U6709))</f>
        <v>134</v>
      </c>
    </row>
    <row r="6711" customFormat="false" ht="15" hidden="false" customHeight="false" outlineLevel="0" collapsed="false">
      <c r="B6711" s="53"/>
      <c r="I6711" s="53"/>
      <c r="U6711" s="31" t="n">
        <f aca="false">IF($B6711='設定（最初に1回）'!$C$4,N(U6710)+1,N(U6710))</f>
        <v>134</v>
      </c>
    </row>
    <row r="6712" customFormat="false" ht="15" hidden="false" customHeight="false" outlineLevel="0" collapsed="false">
      <c r="B6712" s="53"/>
      <c r="I6712" s="53"/>
      <c r="U6712" s="31" t="n">
        <f aca="false">IF($B6712='設定（最初に1回）'!$C$4,N(U6711)+1,N(U6711))</f>
        <v>134</v>
      </c>
    </row>
    <row r="6713" customFormat="false" ht="15" hidden="false" customHeight="false" outlineLevel="0" collapsed="false">
      <c r="B6713" s="53"/>
      <c r="I6713" s="53"/>
      <c r="U6713" s="31" t="n">
        <f aca="false">IF($B6713='設定（最初に1回）'!$C$4,N(U6712)+1,N(U6712))</f>
        <v>134</v>
      </c>
    </row>
    <row r="6714" customFormat="false" ht="15" hidden="false" customHeight="false" outlineLevel="0" collapsed="false">
      <c r="B6714" s="53"/>
      <c r="I6714" s="53"/>
      <c r="U6714" s="31" t="n">
        <f aca="false">IF($B6714='設定（最初に1回）'!$C$4,N(U6713)+1,N(U6713))</f>
        <v>134</v>
      </c>
    </row>
    <row r="6715" customFormat="false" ht="15" hidden="false" customHeight="false" outlineLevel="0" collapsed="false">
      <c r="B6715" s="53"/>
      <c r="I6715" s="53"/>
      <c r="U6715" s="31" t="n">
        <f aca="false">IF($B6715='設定（最初に1回）'!$C$4,N(U6714)+1,N(U6714))</f>
        <v>134</v>
      </c>
    </row>
    <row r="6716" customFormat="false" ht="15" hidden="false" customHeight="false" outlineLevel="0" collapsed="false">
      <c r="B6716" s="53"/>
      <c r="I6716" s="53"/>
      <c r="U6716" s="31" t="n">
        <f aca="false">IF($B6716='設定（最初に1回）'!$C$4,N(U6715)+1,N(U6715))</f>
        <v>134</v>
      </c>
    </row>
    <row r="6717" customFormat="false" ht="15" hidden="false" customHeight="false" outlineLevel="0" collapsed="false">
      <c r="B6717" s="53"/>
      <c r="I6717" s="53"/>
      <c r="U6717" s="31" t="n">
        <f aca="false">IF($B6717='設定（最初に1回）'!$C$4,N(U6716)+1,N(U6716))</f>
        <v>134</v>
      </c>
    </row>
    <row r="6718" customFormat="false" ht="15" hidden="false" customHeight="false" outlineLevel="0" collapsed="false">
      <c r="B6718" s="53"/>
      <c r="I6718" s="53"/>
      <c r="U6718" s="31" t="n">
        <f aca="false">IF($B6718='設定（最初に1回）'!$C$4,N(U6717)+1,N(U6717))</f>
        <v>134</v>
      </c>
    </row>
    <row r="6719" customFormat="false" ht="15" hidden="false" customHeight="false" outlineLevel="0" collapsed="false">
      <c r="B6719" s="53"/>
      <c r="I6719" s="53"/>
      <c r="U6719" s="31" t="n">
        <f aca="false">IF($B6719='設定（最初に1回）'!$C$4,N(U6718)+1,N(U6718))</f>
        <v>134</v>
      </c>
    </row>
    <row r="6720" customFormat="false" ht="15" hidden="false" customHeight="false" outlineLevel="0" collapsed="false">
      <c r="B6720" s="53"/>
      <c r="I6720" s="53"/>
      <c r="U6720" s="31" t="n">
        <f aca="false">IF($B6720='設定（最初に1回）'!$C$4,N(U6719)+1,N(U6719))</f>
        <v>134</v>
      </c>
    </row>
    <row r="6721" customFormat="false" ht="15" hidden="false" customHeight="false" outlineLevel="0" collapsed="false">
      <c r="B6721" s="53"/>
      <c r="I6721" s="53"/>
      <c r="U6721" s="31" t="n">
        <f aca="false">IF($B6721='設定（最初に1回）'!$C$4,N(U6720)+1,N(U6720))</f>
        <v>134</v>
      </c>
    </row>
    <row r="6722" customFormat="false" ht="15" hidden="false" customHeight="false" outlineLevel="0" collapsed="false">
      <c r="B6722" s="53"/>
      <c r="I6722" s="53"/>
      <c r="U6722" s="31" t="n">
        <f aca="false">IF($B6722='設定（最初に1回）'!$C$4,N(U6721)+1,N(U6721))</f>
        <v>134</v>
      </c>
    </row>
    <row r="6723" customFormat="false" ht="15" hidden="false" customHeight="false" outlineLevel="0" collapsed="false">
      <c r="B6723" s="53"/>
      <c r="I6723" s="53"/>
      <c r="U6723" s="31" t="n">
        <f aca="false">IF($B6723='設定（最初に1回）'!$C$4,N(U6722)+1,N(U6722))</f>
        <v>134</v>
      </c>
    </row>
    <row r="6724" customFormat="false" ht="15" hidden="false" customHeight="false" outlineLevel="0" collapsed="false">
      <c r="B6724" s="53"/>
      <c r="I6724" s="53"/>
      <c r="U6724" s="31" t="n">
        <f aca="false">IF($B6724='設定（最初に1回）'!$C$4,N(U6723)+1,N(U6723))</f>
        <v>134</v>
      </c>
    </row>
    <row r="6725" customFormat="false" ht="15" hidden="false" customHeight="false" outlineLevel="0" collapsed="false">
      <c r="B6725" s="53"/>
      <c r="I6725" s="53"/>
      <c r="U6725" s="31" t="n">
        <f aca="false">IF($B6725='設定（最初に1回）'!$C$4,N(U6724)+1,N(U6724))</f>
        <v>134</v>
      </c>
    </row>
    <row r="6726" customFormat="false" ht="15" hidden="false" customHeight="false" outlineLevel="0" collapsed="false">
      <c r="B6726" s="53"/>
      <c r="I6726" s="53"/>
      <c r="U6726" s="31" t="n">
        <f aca="false">IF($B6726='設定（最初に1回）'!$C$4,N(U6725)+1,N(U6725))</f>
        <v>134</v>
      </c>
    </row>
    <row r="6727" customFormat="false" ht="15" hidden="false" customHeight="false" outlineLevel="0" collapsed="false">
      <c r="B6727" s="53"/>
      <c r="I6727" s="53"/>
      <c r="U6727" s="31" t="n">
        <f aca="false">IF($B6727='設定（最初に1回）'!$C$4,N(U6726)+1,N(U6726))</f>
        <v>134</v>
      </c>
    </row>
    <row r="6728" customFormat="false" ht="15" hidden="false" customHeight="false" outlineLevel="0" collapsed="false">
      <c r="B6728" s="53"/>
      <c r="I6728" s="53"/>
      <c r="U6728" s="31" t="n">
        <f aca="false">IF($B6728='設定（最初に1回）'!$C$4,N(U6727)+1,N(U6727))</f>
        <v>134</v>
      </c>
    </row>
    <row r="6729" customFormat="false" ht="15" hidden="false" customHeight="false" outlineLevel="0" collapsed="false">
      <c r="B6729" s="53"/>
      <c r="I6729" s="53"/>
      <c r="U6729" s="31" t="n">
        <f aca="false">IF($B6729='設定（最初に1回）'!$C$4,N(U6728)+1,N(U6728))</f>
        <v>134</v>
      </c>
    </row>
    <row r="6730" customFormat="false" ht="15" hidden="false" customHeight="false" outlineLevel="0" collapsed="false">
      <c r="B6730" s="53"/>
      <c r="I6730" s="53"/>
      <c r="U6730" s="31" t="n">
        <f aca="false">IF($B6730='設定（最初に1回）'!$C$4,N(U6729)+1,N(U6729))</f>
        <v>134</v>
      </c>
    </row>
    <row r="6731" customFormat="false" ht="15" hidden="false" customHeight="false" outlineLevel="0" collapsed="false">
      <c r="B6731" s="53"/>
      <c r="I6731" s="53"/>
      <c r="U6731" s="31" t="n">
        <f aca="false">IF($B6731='設定（最初に1回）'!$C$4,N(U6730)+1,N(U6730))</f>
        <v>134</v>
      </c>
    </row>
    <row r="6732" customFormat="false" ht="15" hidden="false" customHeight="false" outlineLevel="0" collapsed="false">
      <c r="B6732" s="53"/>
      <c r="I6732" s="53"/>
      <c r="U6732" s="31" t="n">
        <f aca="false">IF($B6732='設定（最初に1回）'!$C$4,N(U6731)+1,N(U6731))</f>
        <v>134</v>
      </c>
    </row>
    <row r="6733" customFormat="false" ht="15" hidden="false" customHeight="false" outlineLevel="0" collapsed="false">
      <c r="B6733" s="53"/>
      <c r="I6733" s="53"/>
      <c r="U6733" s="31" t="n">
        <f aca="false">IF($B6733='設定（最初に1回）'!$C$4,N(U6732)+1,N(U6732))</f>
        <v>134</v>
      </c>
    </row>
    <row r="6734" customFormat="false" ht="15" hidden="false" customHeight="false" outlineLevel="0" collapsed="false">
      <c r="B6734" s="53"/>
      <c r="I6734" s="53"/>
      <c r="U6734" s="31" t="n">
        <f aca="false">IF($B6734='設定（最初に1回）'!$C$4,N(U6733)+1,N(U6733))</f>
        <v>134</v>
      </c>
    </row>
    <row r="6735" customFormat="false" ht="15" hidden="false" customHeight="false" outlineLevel="0" collapsed="false">
      <c r="B6735" s="53"/>
      <c r="I6735" s="53"/>
      <c r="U6735" s="31" t="n">
        <f aca="false">IF($B6735='設定（最初に1回）'!$C$4,N(U6734)+1,N(U6734))</f>
        <v>134</v>
      </c>
    </row>
    <row r="6736" customFormat="false" ht="15" hidden="false" customHeight="false" outlineLevel="0" collapsed="false">
      <c r="B6736" s="53"/>
      <c r="I6736" s="53"/>
      <c r="U6736" s="31" t="n">
        <f aca="false">IF($B6736='設定（最初に1回）'!$C$4,N(U6735)+1,N(U6735))</f>
        <v>134</v>
      </c>
    </row>
    <row r="6737" customFormat="false" ht="15" hidden="false" customHeight="false" outlineLevel="0" collapsed="false">
      <c r="B6737" s="53"/>
      <c r="I6737" s="53"/>
      <c r="U6737" s="31" t="n">
        <f aca="false">IF($B6737='設定（最初に1回）'!$C$4,N(U6736)+1,N(U6736))</f>
        <v>134</v>
      </c>
    </row>
    <row r="6738" customFormat="false" ht="15" hidden="false" customHeight="false" outlineLevel="0" collapsed="false">
      <c r="B6738" s="53"/>
      <c r="I6738" s="53"/>
      <c r="U6738" s="31" t="n">
        <f aca="false">IF($B6738='設定（最初に1回）'!$C$4,N(U6737)+1,N(U6737))</f>
        <v>134</v>
      </c>
    </row>
    <row r="6739" customFormat="false" ht="15" hidden="false" customHeight="false" outlineLevel="0" collapsed="false">
      <c r="B6739" s="53"/>
      <c r="I6739" s="53"/>
      <c r="U6739" s="31" t="n">
        <f aca="false">IF($B6739='設定（最初に1回）'!$C$4,N(U6738)+1,N(U6738))</f>
        <v>134</v>
      </c>
    </row>
    <row r="6740" customFormat="false" ht="15" hidden="false" customHeight="false" outlineLevel="0" collapsed="false">
      <c r="B6740" s="53"/>
      <c r="I6740" s="53"/>
      <c r="U6740" s="31" t="n">
        <f aca="false">IF($B6740='設定（最初に1回）'!$C$4,N(U6739)+1,N(U6739))</f>
        <v>134</v>
      </c>
    </row>
    <row r="6741" customFormat="false" ht="15" hidden="false" customHeight="false" outlineLevel="0" collapsed="false">
      <c r="B6741" s="53"/>
      <c r="I6741" s="53"/>
      <c r="U6741" s="31" t="n">
        <f aca="false">IF($B6741='設定（最初に1回）'!$C$4,N(U6740)+1,N(U6740))</f>
        <v>134</v>
      </c>
    </row>
    <row r="6742" customFormat="false" ht="15" hidden="false" customHeight="false" outlineLevel="0" collapsed="false">
      <c r="B6742" s="53"/>
      <c r="I6742" s="53"/>
      <c r="U6742" s="31" t="n">
        <f aca="false">IF($B6742='設定（最初に1回）'!$C$4,N(U6741)+1,N(U6741))</f>
        <v>134</v>
      </c>
    </row>
    <row r="6743" customFormat="false" ht="15" hidden="false" customHeight="false" outlineLevel="0" collapsed="false">
      <c r="B6743" s="53"/>
      <c r="I6743" s="53"/>
      <c r="U6743" s="31" t="n">
        <f aca="false">IF($B6743='設定（最初に1回）'!$C$4,N(U6742)+1,N(U6742))</f>
        <v>134</v>
      </c>
    </row>
    <row r="6744" customFormat="false" ht="15" hidden="false" customHeight="false" outlineLevel="0" collapsed="false">
      <c r="B6744" s="53"/>
      <c r="I6744" s="53"/>
      <c r="U6744" s="31" t="n">
        <f aca="false">IF($B6744='設定（最初に1回）'!$C$4,N(U6743)+1,N(U6743))</f>
        <v>134</v>
      </c>
    </row>
    <row r="6745" customFormat="false" ht="15" hidden="false" customHeight="false" outlineLevel="0" collapsed="false">
      <c r="B6745" s="53"/>
      <c r="I6745" s="53"/>
      <c r="U6745" s="31" t="n">
        <f aca="false">IF($B6745='設定（最初に1回）'!$C$4,N(U6744)+1,N(U6744))</f>
        <v>134</v>
      </c>
    </row>
    <row r="6746" customFormat="false" ht="15" hidden="false" customHeight="false" outlineLevel="0" collapsed="false">
      <c r="B6746" s="53"/>
      <c r="I6746" s="53"/>
      <c r="U6746" s="31" t="n">
        <f aca="false">IF($B6746='設定（最初に1回）'!$C$4,N(U6745)+1,N(U6745))</f>
        <v>134</v>
      </c>
    </row>
    <row r="6747" customFormat="false" ht="15" hidden="false" customHeight="false" outlineLevel="0" collapsed="false">
      <c r="B6747" s="53"/>
      <c r="I6747" s="53"/>
      <c r="U6747" s="31" t="n">
        <f aca="false">IF($B6747='設定（最初に1回）'!$C$4,N(U6746)+1,N(U6746))</f>
        <v>134</v>
      </c>
    </row>
    <row r="6748" customFormat="false" ht="15" hidden="false" customHeight="false" outlineLevel="0" collapsed="false">
      <c r="B6748" s="53"/>
      <c r="I6748" s="53"/>
      <c r="U6748" s="31" t="n">
        <f aca="false">IF($B6748='設定（最初に1回）'!$C$4,N(U6747)+1,N(U6747))</f>
        <v>134</v>
      </c>
    </row>
    <row r="6749" customFormat="false" ht="15" hidden="false" customHeight="false" outlineLevel="0" collapsed="false">
      <c r="B6749" s="53"/>
      <c r="I6749" s="53"/>
      <c r="U6749" s="31" t="n">
        <f aca="false">IF($B6749='設定（最初に1回）'!$C$4,N(U6748)+1,N(U6748))</f>
        <v>134</v>
      </c>
    </row>
    <row r="6750" customFormat="false" ht="15" hidden="false" customHeight="false" outlineLevel="0" collapsed="false">
      <c r="B6750" s="53"/>
      <c r="I6750" s="53"/>
      <c r="U6750" s="31" t="n">
        <f aca="false">IF($B6750='設定（最初に1回）'!$C$4,N(U6749)+1,N(U6749))</f>
        <v>134</v>
      </c>
    </row>
    <row r="6751" customFormat="false" ht="15" hidden="false" customHeight="false" outlineLevel="0" collapsed="false">
      <c r="B6751" s="53"/>
      <c r="I6751" s="53"/>
      <c r="U6751" s="31" t="n">
        <f aca="false">IF($B6751='設定（最初に1回）'!$C$4,N(U6750)+1,N(U6750))</f>
        <v>134</v>
      </c>
    </row>
    <row r="6752" customFormat="false" ht="15" hidden="false" customHeight="false" outlineLevel="0" collapsed="false">
      <c r="B6752" s="53"/>
      <c r="I6752" s="53"/>
      <c r="U6752" s="31" t="n">
        <f aca="false">IF($B6752='設定（最初に1回）'!$C$4,N(U6751)+1,N(U6751))</f>
        <v>134</v>
      </c>
    </row>
    <row r="6753" customFormat="false" ht="15" hidden="false" customHeight="false" outlineLevel="0" collapsed="false">
      <c r="B6753" s="53"/>
      <c r="I6753" s="53"/>
      <c r="U6753" s="31" t="n">
        <f aca="false">IF($B6753='設定（最初に1回）'!$C$4,N(U6752)+1,N(U6752))</f>
        <v>134</v>
      </c>
    </row>
    <row r="6754" customFormat="false" ht="15" hidden="false" customHeight="false" outlineLevel="0" collapsed="false">
      <c r="B6754" s="53"/>
      <c r="I6754" s="53"/>
      <c r="U6754" s="31" t="n">
        <f aca="false">IF($B6754='設定（最初に1回）'!$C$4,N(U6753)+1,N(U6753))</f>
        <v>134</v>
      </c>
    </row>
    <row r="6755" customFormat="false" ht="15" hidden="false" customHeight="false" outlineLevel="0" collapsed="false">
      <c r="B6755" s="53"/>
      <c r="I6755" s="53"/>
      <c r="U6755" s="31" t="n">
        <f aca="false">IF($B6755='設定（最初に1回）'!$C$4,N(U6754)+1,N(U6754))</f>
        <v>134</v>
      </c>
    </row>
    <row r="6756" customFormat="false" ht="15" hidden="false" customHeight="false" outlineLevel="0" collapsed="false">
      <c r="B6756" s="53"/>
      <c r="I6756" s="53"/>
      <c r="U6756" s="31" t="n">
        <f aca="false">IF($B6756='設定（最初に1回）'!$C$4,N(U6755)+1,N(U6755))</f>
        <v>134</v>
      </c>
    </row>
    <row r="6757" customFormat="false" ht="15" hidden="false" customHeight="false" outlineLevel="0" collapsed="false">
      <c r="B6757" s="53"/>
      <c r="I6757" s="53"/>
      <c r="U6757" s="31" t="n">
        <f aca="false">IF($B6757='設定（最初に1回）'!$C$4,N(U6756)+1,N(U6756))</f>
        <v>134</v>
      </c>
    </row>
    <row r="6758" customFormat="false" ht="15" hidden="false" customHeight="false" outlineLevel="0" collapsed="false">
      <c r="B6758" s="53"/>
      <c r="I6758" s="53"/>
      <c r="U6758" s="31" t="n">
        <f aca="false">IF($B6758='設定（最初に1回）'!$C$4,N(U6757)+1,N(U6757))</f>
        <v>134</v>
      </c>
    </row>
    <row r="6759" customFormat="false" ht="15" hidden="false" customHeight="false" outlineLevel="0" collapsed="false">
      <c r="B6759" s="53"/>
      <c r="I6759" s="53"/>
      <c r="U6759" s="31" t="n">
        <f aca="false">IF($B6759='設定（最初に1回）'!$C$4,N(U6758)+1,N(U6758))</f>
        <v>134</v>
      </c>
    </row>
    <row r="6760" customFormat="false" ht="15" hidden="false" customHeight="false" outlineLevel="0" collapsed="false">
      <c r="B6760" s="53"/>
      <c r="I6760" s="53"/>
      <c r="U6760" s="31" t="n">
        <f aca="false">IF($B6760='設定（最初に1回）'!$C$4,N(U6759)+1,N(U6759))</f>
        <v>134</v>
      </c>
    </row>
    <row r="6761" customFormat="false" ht="15" hidden="false" customHeight="false" outlineLevel="0" collapsed="false">
      <c r="B6761" s="53"/>
      <c r="I6761" s="53"/>
      <c r="U6761" s="31" t="n">
        <f aca="false">IF($B6761='設定（最初に1回）'!$C$4,N(U6760)+1,N(U6760))</f>
        <v>134</v>
      </c>
    </row>
    <row r="6762" customFormat="false" ht="15" hidden="false" customHeight="false" outlineLevel="0" collapsed="false">
      <c r="B6762" s="53"/>
      <c r="I6762" s="53"/>
      <c r="U6762" s="31" t="n">
        <f aca="false">IF($B6762='設定（最初に1回）'!$C$4,N(U6761)+1,N(U6761))</f>
        <v>134</v>
      </c>
    </row>
    <row r="6763" customFormat="false" ht="15" hidden="false" customHeight="false" outlineLevel="0" collapsed="false">
      <c r="B6763" s="53"/>
      <c r="I6763" s="53"/>
      <c r="U6763" s="31" t="n">
        <f aca="false">IF($B6763='設定（最初に1回）'!$C$4,N(U6762)+1,N(U6762))</f>
        <v>134</v>
      </c>
    </row>
    <row r="6764" customFormat="false" ht="15" hidden="false" customHeight="false" outlineLevel="0" collapsed="false">
      <c r="B6764" s="53"/>
      <c r="I6764" s="53"/>
      <c r="U6764" s="31" t="n">
        <f aca="false">IF($B6764='設定（最初に1回）'!$C$4,N(U6763)+1,N(U6763))</f>
        <v>134</v>
      </c>
    </row>
    <row r="6765" customFormat="false" ht="15" hidden="false" customHeight="false" outlineLevel="0" collapsed="false">
      <c r="B6765" s="53"/>
      <c r="I6765" s="53"/>
      <c r="U6765" s="31" t="n">
        <f aca="false">IF($B6765='設定（最初に1回）'!$C$4,N(U6764)+1,N(U6764))</f>
        <v>134</v>
      </c>
    </row>
    <row r="6766" customFormat="false" ht="15" hidden="false" customHeight="false" outlineLevel="0" collapsed="false">
      <c r="B6766" s="53"/>
      <c r="I6766" s="53"/>
      <c r="U6766" s="31" t="n">
        <f aca="false">IF($B6766='設定（最初に1回）'!$C$4,N(U6765)+1,N(U6765))</f>
        <v>134</v>
      </c>
    </row>
    <row r="6767" customFormat="false" ht="15" hidden="false" customHeight="false" outlineLevel="0" collapsed="false">
      <c r="B6767" s="53"/>
      <c r="I6767" s="53"/>
      <c r="U6767" s="31" t="n">
        <f aca="false">IF($B6767='設定（最初に1回）'!$C$4,N(U6766)+1,N(U6766))</f>
        <v>134</v>
      </c>
    </row>
    <row r="6768" customFormat="false" ht="15" hidden="false" customHeight="false" outlineLevel="0" collapsed="false">
      <c r="B6768" s="53"/>
      <c r="I6768" s="53"/>
      <c r="U6768" s="31" t="n">
        <f aca="false">IF($B6768='設定（最初に1回）'!$C$4,N(U6767)+1,N(U6767))</f>
        <v>134</v>
      </c>
    </row>
    <row r="6769" customFormat="false" ht="15" hidden="false" customHeight="false" outlineLevel="0" collapsed="false">
      <c r="B6769" s="53"/>
      <c r="I6769" s="53"/>
      <c r="U6769" s="31" t="n">
        <f aca="false">IF($B6769='設定（最初に1回）'!$C$4,N(U6768)+1,N(U6768))</f>
        <v>134</v>
      </c>
    </row>
    <row r="6770" customFormat="false" ht="15" hidden="false" customHeight="false" outlineLevel="0" collapsed="false">
      <c r="B6770" s="53"/>
      <c r="I6770" s="53"/>
      <c r="U6770" s="31" t="n">
        <f aca="false">IF($B6770='設定（最初に1回）'!$C$4,N(U6769)+1,N(U6769))</f>
        <v>134</v>
      </c>
    </row>
    <row r="6771" customFormat="false" ht="15" hidden="false" customHeight="false" outlineLevel="0" collapsed="false">
      <c r="B6771" s="53"/>
      <c r="I6771" s="53"/>
      <c r="U6771" s="31" t="n">
        <f aca="false">IF($B6771='設定（最初に1回）'!$C$4,N(U6770)+1,N(U6770))</f>
        <v>134</v>
      </c>
    </row>
    <row r="6772" customFormat="false" ht="15" hidden="false" customHeight="false" outlineLevel="0" collapsed="false">
      <c r="B6772" s="53"/>
      <c r="I6772" s="53"/>
      <c r="U6772" s="31" t="n">
        <f aca="false">IF($B6772='設定（最初に1回）'!$C$4,N(U6771)+1,N(U6771))</f>
        <v>134</v>
      </c>
    </row>
    <row r="6773" customFormat="false" ht="15" hidden="false" customHeight="false" outlineLevel="0" collapsed="false">
      <c r="B6773" s="53"/>
      <c r="I6773" s="53"/>
      <c r="U6773" s="31" t="n">
        <f aca="false">IF($B6773='設定（最初に1回）'!$C$4,N(U6772)+1,N(U6772))</f>
        <v>134</v>
      </c>
    </row>
    <row r="6774" customFormat="false" ht="15" hidden="false" customHeight="false" outlineLevel="0" collapsed="false">
      <c r="B6774" s="53"/>
      <c r="I6774" s="53"/>
      <c r="U6774" s="31" t="n">
        <f aca="false">IF($B6774='設定（最初に1回）'!$C$4,N(U6773)+1,N(U6773))</f>
        <v>134</v>
      </c>
    </row>
    <row r="6775" customFormat="false" ht="15" hidden="false" customHeight="false" outlineLevel="0" collapsed="false">
      <c r="B6775" s="53"/>
      <c r="I6775" s="53"/>
      <c r="U6775" s="31" t="n">
        <f aca="false">IF($B6775='設定（最初に1回）'!$C$4,N(U6774)+1,N(U6774))</f>
        <v>134</v>
      </c>
    </row>
    <row r="6776" customFormat="false" ht="15" hidden="false" customHeight="false" outlineLevel="0" collapsed="false">
      <c r="B6776" s="53"/>
      <c r="I6776" s="53"/>
      <c r="U6776" s="31" t="n">
        <f aca="false">IF($B6776='設定（最初に1回）'!$C$4,N(U6775)+1,N(U6775))</f>
        <v>134</v>
      </c>
    </row>
    <row r="6777" customFormat="false" ht="15" hidden="false" customHeight="false" outlineLevel="0" collapsed="false">
      <c r="B6777" s="53"/>
      <c r="I6777" s="53"/>
      <c r="U6777" s="31" t="n">
        <f aca="false">IF($B6777='設定（最初に1回）'!$C$4,N(U6776)+1,N(U6776))</f>
        <v>134</v>
      </c>
    </row>
    <row r="6778" customFormat="false" ht="15" hidden="false" customHeight="false" outlineLevel="0" collapsed="false">
      <c r="B6778" s="53"/>
      <c r="I6778" s="53"/>
      <c r="U6778" s="31" t="n">
        <f aca="false">IF($B6778='設定（最初に1回）'!$C$4,N(U6777)+1,N(U6777))</f>
        <v>134</v>
      </c>
    </row>
    <row r="6779" customFormat="false" ht="15" hidden="false" customHeight="false" outlineLevel="0" collapsed="false">
      <c r="B6779" s="53"/>
      <c r="I6779" s="53"/>
      <c r="U6779" s="31" t="n">
        <f aca="false">IF($B6779='設定（最初に1回）'!$C$4,N(U6778)+1,N(U6778))</f>
        <v>134</v>
      </c>
    </row>
    <row r="6780" customFormat="false" ht="15" hidden="false" customHeight="false" outlineLevel="0" collapsed="false">
      <c r="B6780" s="53"/>
      <c r="I6780" s="53"/>
      <c r="U6780" s="31" t="n">
        <f aca="false">IF($B6780='設定（最初に1回）'!$C$4,N(U6779)+1,N(U6779))</f>
        <v>134</v>
      </c>
    </row>
    <row r="6781" customFormat="false" ht="15" hidden="false" customHeight="false" outlineLevel="0" collapsed="false">
      <c r="B6781" s="53"/>
      <c r="I6781" s="53"/>
      <c r="U6781" s="31" t="n">
        <f aca="false">IF($B6781='設定（最初に1回）'!$C$4,N(U6780)+1,N(U6780))</f>
        <v>134</v>
      </c>
    </row>
    <row r="6782" customFormat="false" ht="15" hidden="false" customHeight="false" outlineLevel="0" collapsed="false">
      <c r="B6782" s="53"/>
      <c r="I6782" s="53"/>
      <c r="U6782" s="31" t="n">
        <f aca="false">IF($B6782='設定（最初に1回）'!$C$4,N(U6781)+1,N(U6781))</f>
        <v>134</v>
      </c>
    </row>
    <row r="6783" customFormat="false" ht="15" hidden="false" customHeight="false" outlineLevel="0" collapsed="false">
      <c r="B6783" s="53"/>
      <c r="I6783" s="53"/>
      <c r="U6783" s="31" t="n">
        <f aca="false">IF($B6783='設定（最初に1回）'!$C$4,N(U6782)+1,N(U6782))</f>
        <v>134</v>
      </c>
    </row>
    <row r="6784" customFormat="false" ht="15" hidden="false" customHeight="false" outlineLevel="0" collapsed="false">
      <c r="B6784" s="53"/>
      <c r="I6784" s="53"/>
      <c r="U6784" s="31" t="n">
        <f aca="false">IF($B6784='設定（最初に1回）'!$C$4,N(U6783)+1,N(U6783))</f>
        <v>134</v>
      </c>
    </row>
    <row r="6785" customFormat="false" ht="15" hidden="false" customHeight="false" outlineLevel="0" collapsed="false">
      <c r="B6785" s="53"/>
      <c r="I6785" s="53"/>
      <c r="U6785" s="31" t="n">
        <f aca="false">IF($B6785='設定（最初に1回）'!$C$4,N(U6784)+1,N(U6784))</f>
        <v>134</v>
      </c>
    </row>
    <row r="6786" customFormat="false" ht="15" hidden="false" customHeight="false" outlineLevel="0" collapsed="false">
      <c r="B6786" s="53"/>
      <c r="I6786" s="53"/>
      <c r="U6786" s="31" t="n">
        <f aca="false">IF($B6786='設定（最初に1回）'!$C$4,N(U6785)+1,N(U6785))</f>
        <v>134</v>
      </c>
    </row>
    <row r="6787" customFormat="false" ht="15" hidden="false" customHeight="false" outlineLevel="0" collapsed="false">
      <c r="B6787" s="53"/>
      <c r="I6787" s="53"/>
      <c r="U6787" s="31" t="n">
        <f aca="false">IF($B6787='設定（最初に1回）'!$C$4,N(U6786)+1,N(U6786))</f>
        <v>134</v>
      </c>
    </row>
    <row r="6788" customFormat="false" ht="15" hidden="false" customHeight="false" outlineLevel="0" collapsed="false">
      <c r="B6788" s="53"/>
      <c r="I6788" s="53"/>
      <c r="U6788" s="31" t="n">
        <f aca="false">IF($B6788='設定（最初に1回）'!$C$4,N(U6787)+1,N(U6787))</f>
        <v>134</v>
      </c>
    </row>
    <row r="6789" customFormat="false" ht="15" hidden="false" customHeight="false" outlineLevel="0" collapsed="false">
      <c r="B6789" s="53"/>
      <c r="I6789" s="53"/>
      <c r="U6789" s="31" t="n">
        <f aca="false">IF($B6789='設定（最初に1回）'!$C$4,N(U6788)+1,N(U6788))</f>
        <v>134</v>
      </c>
    </row>
    <row r="6790" customFormat="false" ht="15" hidden="false" customHeight="false" outlineLevel="0" collapsed="false">
      <c r="B6790" s="53"/>
      <c r="I6790" s="53"/>
      <c r="U6790" s="31" t="n">
        <f aca="false">IF($B6790='設定（最初に1回）'!$C$4,N(U6789)+1,N(U6789))</f>
        <v>134</v>
      </c>
    </row>
    <row r="6791" customFormat="false" ht="15" hidden="false" customHeight="false" outlineLevel="0" collapsed="false">
      <c r="B6791" s="53"/>
      <c r="I6791" s="53"/>
      <c r="U6791" s="31" t="n">
        <f aca="false">IF($B6791='設定（最初に1回）'!$C$4,N(U6790)+1,N(U6790))</f>
        <v>134</v>
      </c>
    </row>
    <row r="6792" customFormat="false" ht="15" hidden="false" customHeight="false" outlineLevel="0" collapsed="false">
      <c r="B6792" s="53"/>
      <c r="I6792" s="53"/>
      <c r="U6792" s="31" t="n">
        <f aca="false">IF($B6792='設定（最初に1回）'!$C$4,N(U6791)+1,N(U6791))</f>
        <v>134</v>
      </c>
    </row>
    <row r="6793" customFormat="false" ht="15" hidden="false" customHeight="false" outlineLevel="0" collapsed="false">
      <c r="B6793" s="53"/>
      <c r="I6793" s="53"/>
      <c r="U6793" s="31" t="n">
        <f aca="false">IF($B6793='設定（最初に1回）'!$C$4,N(U6792)+1,N(U6792))</f>
        <v>134</v>
      </c>
    </row>
    <row r="6794" customFormat="false" ht="15" hidden="false" customHeight="false" outlineLevel="0" collapsed="false">
      <c r="B6794" s="53"/>
      <c r="I6794" s="53"/>
      <c r="U6794" s="31" t="n">
        <f aca="false">IF($B6794='設定（最初に1回）'!$C$4,N(U6793)+1,N(U6793))</f>
        <v>134</v>
      </c>
    </row>
    <row r="6795" customFormat="false" ht="15" hidden="false" customHeight="false" outlineLevel="0" collapsed="false">
      <c r="B6795" s="53"/>
      <c r="I6795" s="53"/>
      <c r="U6795" s="31" t="n">
        <f aca="false">IF($B6795='設定（最初に1回）'!$C$4,N(U6794)+1,N(U6794))</f>
        <v>134</v>
      </c>
    </row>
    <row r="6796" customFormat="false" ht="15" hidden="false" customHeight="false" outlineLevel="0" collapsed="false">
      <c r="B6796" s="53"/>
      <c r="I6796" s="53"/>
      <c r="U6796" s="31" t="n">
        <f aca="false">IF($B6796='設定（最初に1回）'!$C$4,N(U6795)+1,N(U6795))</f>
        <v>134</v>
      </c>
    </row>
    <row r="6797" customFormat="false" ht="15" hidden="false" customHeight="false" outlineLevel="0" collapsed="false">
      <c r="B6797" s="53"/>
      <c r="I6797" s="53"/>
      <c r="U6797" s="31" t="n">
        <f aca="false">IF($B6797='設定（最初に1回）'!$C$4,N(U6796)+1,N(U6796))</f>
        <v>134</v>
      </c>
    </row>
    <row r="6798" customFormat="false" ht="15" hidden="false" customHeight="false" outlineLevel="0" collapsed="false">
      <c r="B6798" s="53"/>
      <c r="I6798" s="53"/>
      <c r="U6798" s="31" t="n">
        <f aca="false">IF($B6798='設定（最初に1回）'!$C$4,N(U6797)+1,N(U6797))</f>
        <v>134</v>
      </c>
    </row>
    <row r="6799" customFormat="false" ht="15" hidden="false" customHeight="false" outlineLevel="0" collapsed="false">
      <c r="B6799" s="53"/>
      <c r="I6799" s="53"/>
      <c r="U6799" s="31" t="n">
        <f aca="false">IF($B6799='設定（最初に1回）'!$C$4,N(U6798)+1,N(U6798))</f>
        <v>134</v>
      </c>
    </row>
    <row r="6800" customFormat="false" ht="15" hidden="false" customHeight="false" outlineLevel="0" collapsed="false">
      <c r="B6800" s="53"/>
      <c r="I6800" s="53"/>
      <c r="U6800" s="31" t="n">
        <f aca="false">IF($B6800='設定（最初に1回）'!$C$4,N(U6799)+1,N(U6799))</f>
        <v>134</v>
      </c>
    </row>
    <row r="6801" customFormat="false" ht="15" hidden="false" customHeight="false" outlineLevel="0" collapsed="false">
      <c r="B6801" s="53"/>
      <c r="I6801" s="53"/>
      <c r="U6801" s="31" t="n">
        <f aca="false">IF($B6801='設定（最初に1回）'!$C$4,N(U6800)+1,N(U6800))</f>
        <v>134</v>
      </c>
    </row>
    <row r="6802" customFormat="false" ht="15" hidden="false" customHeight="false" outlineLevel="0" collapsed="false">
      <c r="B6802" s="53"/>
      <c r="I6802" s="53"/>
      <c r="U6802" s="31" t="n">
        <f aca="false">IF($B6802='設定（最初に1回）'!$C$4,N(U6801)+1,N(U6801))</f>
        <v>134</v>
      </c>
    </row>
    <row r="6803" customFormat="false" ht="15" hidden="false" customHeight="false" outlineLevel="0" collapsed="false">
      <c r="B6803" s="53"/>
      <c r="I6803" s="53"/>
      <c r="U6803" s="31" t="n">
        <f aca="false">IF($B6803='設定（最初に1回）'!$C$4,N(U6802)+1,N(U6802))</f>
        <v>134</v>
      </c>
    </row>
    <row r="6804" customFormat="false" ht="15" hidden="false" customHeight="false" outlineLevel="0" collapsed="false">
      <c r="B6804" s="53"/>
      <c r="I6804" s="53"/>
      <c r="U6804" s="31" t="n">
        <f aca="false">IF($B6804='設定（最初に1回）'!$C$4,N(U6803)+1,N(U6803))</f>
        <v>134</v>
      </c>
    </row>
    <row r="6805" customFormat="false" ht="15" hidden="false" customHeight="false" outlineLevel="0" collapsed="false">
      <c r="B6805" s="53"/>
      <c r="I6805" s="53"/>
      <c r="U6805" s="31" t="n">
        <f aca="false">IF($B6805='設定（最初に1回）'!$C$4,N(U6804)+1,N(U6804))</f>
        <v>134</v>
      </c>
    </row>
    <row r="6806" customFormat="false" ht="15" hidden="false" customHeight="false" outlineLevel="0" collapsed="false">
      <c r="B6806" s="53"/>
      <c r="I6806" s="53"/>
      <c r="U6806" s="31" t="n">
        <f aca="false">IF($B6806='設定（最初に1回）'!$C$4,N(U6805)+1,N(U6805))</f>
        <v>134</v>
      </c>
    </row>
    <row r="6807" customFormat="false" ht="15" hidden="false" customHeight="false" outlineLevel="0" collapsed="false">
      <c r="B6807" s="53"/>
      <c r="I6807" s="53"/>
      <c r="U6807" s="31" t="n">
        <f aca="false">IF($B6807='設定（最初に1回）'!$C$4,N(U6806)+1,N(U6806))</f>
        <v>134</v>
      </c>
    </row>
    <row r="6808" customFormat="false" ht="15" hidden="false" customHeight="false" outlineLevel="0" collapsed="false">
      <c r="B6808" s="53"/>
      <c r="I6808" s="53"/>
      <c r="U6808" s="31" t="n">
        <f aca="false">IF($B6808='設定（最初に1回）'!$C$4,N(U6807)+1,N(U6807))</f>
        <v>134</v>
      </c>
    </row>
    <row r="6809" customFormat="false" ht="15" hidden="false" customHeight="false" outlineLevel="0" collapsed="false">
      <c r="B6809" s="53"/>
      <c r="I6809" s="53"/>
      <c r="U6809" s="31" t="n">
        <f aca="false">IF($B6809='設定（最初に1回）'!$C$4,N(U6808)+1,N(U6808))</f>
        <v>134</v>
      </c>
    </row>
    <row r="6810" customFormat="false" ht="15" hidden="false" customHeight="false" outlineLevel="0" collapsed="false">
      <c r="B6810" s="53"/>
      <c r="I6810" s="53"/>
      <c r="U6810" s="31" t="n">
        <f aca="false">IF($B6810='設定（最初に1回）'!$C$4,N(U6809)+1,N(U6809))</f>
        <v>134</v>
      </c>
    </row>
    <row r="6811" customFormat="false" ht="15" hidden="false" customHeight="false" outlineLevel="0" collapsed="false">
      <c r="B6811" s="53"/>
      <c r="I6811" s="53"/>
      <c r="U6811" s="31" t="n">
        <f aca="false">IF($B6811='設定（最初に1回）'!$C$4,N(U6810)+1,N(U6810))</f>
        <v>134</v>
      </c>
    </row>
    <row r="6812" customFormat="false" ht="15" hidden="false" customHeight="false" outlineLevel="0" collapsed="false">
      <c r="B6812" s="53"/>
      <c r="I6812" s="53"/>
      <c r="U6812" s="31" t="n">
        <f aca="false">IF($B6812='設定（最初に1回）'!$C$4,N(U6811)+1,N(U6811))</f>
        <v>134</v>
      </c>
    </row>
    <row r="6813" customFormat="false" ht="15" hidden="false" customHeight="false" outlineLevel="0" collapsed="false">
      <c r="B6813" s="53"/>
      <c r="I6813" s="53"/>
      <c r="U6813" s="31" t="n">
        <f aca="false">IF($B6813='設定（最初に1回）'!$C$4,N(U6812)+1,N(U6812))</f>
        <v>134</v>
      </c>
    </row>
    <row r="6814" customFormat="false" ht="15" hidden="false" customHeight="false" outlineLevel="0" collapsed="false">
      <c r="B6814" s="53"/>
      <c r="I6814" s="53"/>
      <c r="U6814" s="31" t="n">
        <f aca="false">IF($B6814='設定（最初に1回）'!$C$4,N(U6813)+1,N(U6813))</f>
        <v>134</v>
      </c>
    </row>
    <row r="6815" customFormat="false" ht="15" hidden="false" customHeight="false" outlineLevel="0" collapsed="false">
      <c r="B6815" s="53"/>
      <c r="I6815" s="53"/>
      <c r="U6815" s="31" t="n">
        <f aca="false">IF($B6815='設定（最初に1回）'!$C$4,N(U6814)+1,N(U6814))</f>
        <v>134</v>
      </c>
    </row>
    <row r="6816" customFormat="false" ht="15" hidden="false" customHeight="false" outlineLevel="0" collapsed="false">
      <c r="B6816" s="53"/>
      <c r="I6816" s="53"/>
      <c r="U6816" s="31" t="n">
        <f aca="false">IF($B6816='設定（最初に1回）'!$C$4,N(U6815)+1,N(U6815))</f>
        <v>134</v>
      </c>
    </row>
    <row r="6817" customFormat="false" ht="15" hidden="false" customHeight="false" outlineLevel="0" collapsed="false">
      <c r="B6817" s="53"/>
      <c r="I6817" s="53"/>
      <c r="U6817" s="31" t="n">
        <f aca="false">IF($B6817='設定（最初に1回）'!$C$4,N(U6816)+1,N(U6816))</f>
        <v>134</v>
      </c>
    </row>
    <row r="6818" customFormat="false" ht="15" hidden="false" customHeight="false" outlineLevel="0" collapsed="false">
      <c r="B6818" s="53"/>
      <c r="I6818" s="53"/>
      <c r="U6818" s="31" t="n">
        <f aca="false">IF($B6818='設定（最初に1回）'!$C$4,N(U6817)+1,N(U6817))</f>
        <v>134</v>
      </c>
    </row>
    <row r="6819" customFormat="false" ht="15" hidden="false" customHeight="false" outlineLevel="0" collapsed="false">
      <c r="B6819" s="53"/>
      <c r="I6819" s="53"/>
      <c r="U6819" s="31" t="n">
        <f aca="false">IF($B6819='設定（最初に1回）'!$C$4,N(U6818)+1,N(U6818))</f>
        <v>134</v>
      </c>
    </row>
    <row r="6820" customFormat="false" ht="15" hidden="false" customHeight="false" outlineLevel="0" collapsed="false">
      <c r="B6820" s="53"/>
      <c r="I6820" s="53"/>
      <c r="U6820" s="31" t="n">
        <f aca="false">IF($B6820='設定（最初に1回）'!$C$4,N(U6819)+1,N(U6819))</f>
        <v>134</v>
      </c>
    </row>
    <row r="6821" customFormat="false" ht="15" hidden="false" customHeight="false" outlineLevel="0" collapsed="false">
      <c r="B6821" s="53"/>
      <c r="I6821" s="53"/>
      <c r="U6821" s="31" t="n">
        <f aca="false">IF($B6821='設定（最初に1回）'!$C$4,N(U6820)+1,N(U6820))</f>
        <v>134</v>
      </c>
    </row>
    <row r="6822" customFormat="false" ht="15" hidden="false" customHeight="false" outlineLevel="0" collapsed="false">
      <c r="B6822" s="53"/>
      <c r="I6822" s="53"/>
      <c r="U6822" s="31" t="n">
        <f aca="false">IF($B6822='設定（最初に1回）'!$C$4,N(U6821)+1,N(U6821))</f>
        <v>134</v>
      </c>
    </row>
    <row r="6823" customFormat="false" ht="15" hidden="false" customHeight="false" outlineLevel="0" collapsed="false">
      <c r="B6823" s="53"/>
      <c r="I6823" s="53"/>
      <c r="U6823" s="31" t="n">
        <f aca="false">IF($B6823='設定（最初に1回）'!$C$4,N(U6822)+1,N(U6822))</f>
        <v>134</v>
      </c>
    </row>
    <row r="6824" customFormat="false" ht="15" hidden="false" customHeight="false" outlineLevel="0" collapsed="false">
      <c r="B6824" s="53"/>
      <c r="I6824" s="53"/>
      <c r="U6824" s="31" t="n">
        <f aca="false">IF($B6824='設定（最初に1回）'!$C$4,N(U6823)+1,N(U6823))</f>
        <v>134</v>
      </c>
    </row>
    <row r="6825" customFormat="false" ht="15" hidden="false" customHeight="false" outlineLevel="0" collapsed="false">
      <c r="B6825" s="53"/>
      <c r="I6825" s="53"/>
      <c r="U6825" s="31" t="n">
        <f aca="false">IF($B6825='設定（最初に1回）'!$C$4,N(U6824)+1,N(U6824))</f>
        <v>134</v>
      </c>
    </row>
    <row r="6826" customFormat="false" ht="15" hidden="false" customHeight="false" outlineLevel="0" collapsed="false">
      <c r="B6826" s="53"/>
      <c r="I6826" s="53"/>
      <c r="U6826" s="31" t="n">
        <f aca="false">IF($B6826='設定（最初に1回）'!$C$4,N(U6825)+1,N(U6825))</f>
        <v>134</v>
      </c>
    </row>
    <row r="6827" customFormat="false" ht="15" hidden="false" customHeight="false" outlineLevel="0" collapsed="false">
      <c r="B6827" s="53"/>
      <c r="I6827" s="53"/>
      <c r="U6827" s="31" t="n">
        <f aca="false">IF($B6827='設定（最初に1回）'!$C$4,N(U6826)+1,N(U6826))</f>
        <v>134</v>
      </c>
    </row>
    <row r="6828" customFormat="false" ht="15" hidden="false" customHeight="false" outlineLevel="0" collapsed="false">
      <c r="B6828" s="53"/>
      <c r="I6828" s="53"/>
      <c r="U6828" s="31" t="n">
        <f aca="false">IF($B6828='設定（最初に1回）'!$C$4,N(U6827)+1,N(U6827))</f>
        <v>134</v>
      </c>
    </row>
    <row r="6829" customFormat="false" ht="15" hidden="false" customHeight="false" outlineLevel="0" collapsed="false">
      <c r="B6829" s="53"/>
      <c r="I6829" s="53"/>
      <c r="U6829" s="31" t="n">
        <f aca="false">IF($B6829='設定（最初に1回）'!$C$4,N(U6828)+1,N(U6828))</f>
        <v>134</v>
      </c>
    </row>
    <row r="6830" customFormat="false" ht="15" hidden="false" customHeight="false" outlineLevel="0" collapsed="false">
      <c r="B6830" s="53"/>
      <c r="I6830" s="53"/>
      <c r="U6830" s="31" t="n">
        <f aca="false">IF($B6830='設定（最初に1回）'!$C$4,N(U6829)+1,N(U6829))</f>
        <v>134</v>
      </c>
    </row>
    <row r="6831" customFormat="false" ht="15" hidden="false" customHeight="false" outlineLevel="0" collapsed="false">
      <c r="B6831" s="53"/>
      <c r="I6831" s="53"/>
      <c r="U6831" s="31" t="n">
        <f aca="false">IF($B6831='設定（最初に1回）'!$C$4,N(U6830)+1,N(U6830))</f>
        <v>134</v>
      </c>
    </row>
    <row r="6832" customFormat="false" ht="15" hidden="false" customHeight="false" outlineLevel="0" collapsed="false">
      <c r="B6832" s="53"/>
      <c r="I6832" s="53"/>
      <c r="U6832" s="31" t="n">
        <f aca="false">IF($B6832='設定（最初に1回）'!$C$4,N(U6831)+1,N(U6831))</f>
        <v>134</v>
      </c>
    </row>
    <row r="6833" customFormat="false" ht="15" hidden="false" customHeight="false" outlineLevel="0" collapsed="false">
      <c r="B6833" s="53"/>
      <c r="I6833" s="53"/>
      <c r="U6833" s="31" t="n">
        <f aca="false">IF($B6833='設定（最初に1回）'!$C$4,N(U6832)+1,N(U6832))</f>
        <v>134</v>
      </c>
    </row>
    <row r="6834" customFormat="false" ht="15" hidden="false" customHeight="false" outlineLevel="0" collapsed="false">
      <c r="B6834" s="53"/>
      <c r="I6834" s="53"/>
      <c r="U6834" s="31" t="n">
        <f aca="false">IF($B6834='設定（最初に1回）'!$C$4,N(U6833)+1,N(U6833))</f>
        <v>134</v>
      </c>
    </row>
    <row r="6835" customFormat="false" ht="15" hidden="false" customHeight="false" outlineLevel="0" collapsed="false">
      <c r="B6835" s="53"/>
      <c r="I6835" s="53"/>
      <c r="U6835" s="31" t="n">
        <f aca="false">IF($B6835='設定（最初に1回）'!$C$4,N(U6834)+1,N(U6834))</f>
        <v>134</v>
      </c>
    </row>
    <row r="6836" customFormat="false" ht="15" hidden="false" customHeight="false" outlineLevel="0" collapsed="false">
      <c r="B6836" s="53"/>
      <c r="I6836" s="53"/>
      <c r="U6836" s="31" t="n">
        <f aca="false">IF($B6836='設定（最初に1回）'!$C$4,N(U6835)+1,N(U6835))</f>
        <v>134</v>
      </c>
    </row>
    <row r="6837" customFormat="false" ht="15" hidden="false" customHeight="false" outlineLevel="0" collapsed="false">
      <c r="B6837" s="53"/>
      <c r="I6837" s="53"/>
      <c r="U6837" s="31" t="n">
        <f aca="false">IF($B6837='設定（最初に1回）'!$C$4,N(U6836)+1,N(U6836))</f>
        <v>134</v>
      </c>
    </row>
    <row r="6838" customFormat="false" ht="15" hidden="false" customHeight="false" outlineLevel="0" collapsed="false">
      <c r="B6838" s="53"/>
      <c r="I6838" s="53"/>
      <c r="U6838" s="31" t="n">
        <f aca="false">IF($B6838='設定（最初に1回）'!$C$4,N(U6837)+1,N(U6837))</f>
        <v>134</v>
      </c>
    </row>
    <row r="6839" customFormat="false" ht="15" hidden="false" customHeight="false" outlineLevel="0" collapsed="false">
      <c r="B6839" s="53"/>
      <c r="I6839" s="53"/>
      <c r="U6839" s="31" t="n">
        <f aca="false">IF($B6839='設定（最初に1回）'!$C$4,N(U6838)+1,N(U6838))</f>
        <v>134</v>
      </c>
    </row>
    <row r="6840" customFormat="false" ht="15" hidden="false" customHeight="false" outlineLevel="0" collapsed="false">
      <c r="B6840" s="53"/>
      <c r="I6840" s="53"/>
      <c r="U6840" s="31" t="n">
        <f aca="false">IF($B6840='設定（最初に1回）'!$C$4,N(U6839)+1,N(U6839))</f>
        <v>134</v>
      </c>
    </row>
    <row r="6841" customFormat="false" ht="15" hidden="false" customHeight="false" outlineLevel="0" collapsed="false">
      <c r="B6841" s="53"/>
      <c r="I6841" s="53"/>
      <c r="U6841" s="31" t="n">
        <f aca="false">IF($B6841='設定（最初に1回）'!$C$4,N(U6840)+1,N(U6840))</f>
        <v>134</v>
      </c>
    </row>
    <row r="6842" customFormat="false" ht="15" hidden="false" customHeight="false" outlineLevel="0" collapsed="false">
      <c r="B6842" s="53"/>
      <c r="I6842" s="53"/>
      <c r="U6842" s="31" t="n">
        <f aca="false">IF($B6842='設定（最初に1回）'!$C$4,N(U6841)+1,N(U6841))</f>
        <v>134</v>
      </c>
    </row>
    <row r="6843" customFormat="false" ht="15" hidden="false" customHeight="false" outlineLevel="0" collapsed="false">
      <c r="B6843" s="53"/>
      <c r="I6843" s="53"/>
      <c r="U6843" s="31" t="n">
        <f aca="false">IF($B6843='設定（最初に1回）'!$C$4,N(U6842)+1,N(U6842))</f>
        <v>134</v>
      </c>
    </row>
    <row r="6844" customFormat="false" ht="15" hidden="false" customHeight="false" outlineLevel="0" collapsed="false">
      <c r="B6844" s="53"/>
      <c r="I6844" s="53"/>
      <c r="U6844" s="31" t="n">
        <f aca="false">IF($B6844='設定（最初に1回）'!$C$4,N(U6843)+1,N(U6843))</f>
        <v>134</v>
      </c>
    </row>
    <row r="6845" customFormat="false" ht="15" hidden="false" customHeight="false" outlineLevel="0" collapsed="false">
      <c r="B6845" s="53"/>
      <c r="I6845" s="53"/>
      <c r="U6845" s="31" t="n">
        <f aca="false">IF($B6845='設定（最初に1回）'!$C$4,N(U6844)+1,N(U6844))</f>
        <v>134</v>
      </c>
    </row>
    <row r="6846" customFormat="false" ht="15" hidden="false" customHeight="false" outlineLevel="0" collapsed="false">
      <c r="B6846" s="53"/>
      <c r="I6846" s="53"/>
      <c r="U6846" s="31" t="n">
        <f aca="false">IF($B6846='設定（最初に1回）'!$C$4,N(U6845)+1,N(U6845))</f>
        <v>134</v>
      </c>
    </row>
    <row r="6847" customFormat="false" ht="15" hidden="false" customHeight="false" outlineLevel="0" collapsed="false">
      <c r="B6847" s="53"/>
      <c r="I6847" s="53"/>
      <c r="U6847" s="31" t="n">
        <f aca="false">IF($B6847='設定（最初に1回）'!$C$4,N(U6846)+1,N(U6846))</f>
        <v>134</v>
      </c>
    </row>
    <row r="6848" customFormat="false" ht="15" hidden="false" customHeight="false" outlineLevel="0" collapsed="false">
      <c r="B6848" s="53"/>
      <c r="I6848" s="53"/>
      <c r="U6848" s="31" t="n">
        <f aca="false">IF($B6848='設定（最初に1回）'!$C$4,N(U6847)+1,N(U6847))</f>
        <v>134</v>
      </c>
    </row>
    <row r="6849" customFormat="false" ht="15" hidden="false" customHeight="false" outlineLevel="0" collapsed="false">
      <c r="B6849" s="53"/>
      <c r="I6849" s="53"/>
      <c r="U6849" s="31" t="n">
        <f aca="false">IF($B6849='設定（最初に1回）'!$C$4,N(U6848)+1,N(U6848))</f>
        <v>134</v>
      </c>
    </row>
    <row r="6850" customFormat="false" ht="15" hidden="false" customHeight="false" outlineLevel="0" collapsed="false">
      <c r="B6850" s="53"/>
      <c r="I6850" s="53"/>
      <c r="U6850" s="31" t="n">
        <f aca="false">IF($B6850='設定（最初に1回）'!$C$4,N(U6849)+1,N(U6849))</f>
        <v>134</v>
      </c>
    </row>
    <row r="6851" customFormat="false" ht="15" hidden="false" customHeight="false" outlineLevel="0" collapsed="false">
      <c r="B6851" s="53"/>
      <c r="I6851" s="53"/>
      <c r="U6851" s="31" t="n">
        <f aca="false">IF($B6851='設定（最初に1回）'!$C$4,N(U6850)+1,N(U6850))</f>
        <v>134</v>
      </c>
    </row>
    <row r="6852" customFormat="false" ht="15" hidden="false" customHeight="false" outlineLevel="0" collapsed="false">
      <c r="B6852" s="53"/>
      <c r="I6852" s="53"/>
      <c r="U6852" s="31" t="n">
        <f aca="false">IF($B6852='設定（最初に1回）'!$C$4,N(U6851)+1,N(U6851))</f>
        <v>134</v>
      </c>
    </row>
    <row r="6853" customFormat="false" ht="15" hidden="false" customHeight="false" outlineLevel="0" collapsed="false">
      <c r="B6853" s="53"/>
      <c r="I6853" s="53"/>
      <c r="U6853" s="31" t="n">
        <f aca="false">IF($B6853='設定（最初に1回）'!$C$4,N(U6852)+1,N(U6852))</f>
        <v>134</v>
      </c>
    </row>
    <row r="6854" customFormat="false" ht="15" hidden="false" customHeight="false" outlineLevel="0" collapsed="false">
      <c r="B6854" s="53"/>
      <c r="I6854" s="53"/>
      <c r="U6854" s="31" t="n">
        <f aca="false">IF($B6854='設定（最初に1回）'!$C$4,N(U6853)+1,N(U6853))</f>
        <v>134</v>
      </c>
    </row>
    <row r="6855" customFormat="false" ht="15" hidden="false" customHeight="false" outlineLevel="0" collapsed="false">
      <c r="B6855" s="53"/>
      <c r="I6855" s="53"/>
      <c r="U6855" s="31" t="n">
        <f aca="false">IF($B6855='設定（最初に1回）'!$C$4,N(U6854)+1,N(U6854))</f>
        <v>134</v>
      </c>
    </row>
    <row r="6856" customFormat="false" ht="15" hidden="false" customHeight="false" outlineLevel="0" collapsed="false">
      <c r="B6856" s="53"/>
      <c r="I6856" s="53"/>
      <c r="U6856" s="31" t="n">
        <f aca="false">IF($B6856='設定（最初に1回）'!$C$4,N(U6855)+1,N(U6855))</f>
        <v>134</v>
      </c>
    </row>
    <row r="6857" customFormat="false" ht="15" hidden="false" customHeight="false" outlineLevel="0" collapsed="false">
      <c r="B6857" s="53"/>
      <c r="I6857" s="53"/>
      <c r="U6857" s="31" t="n">
        <f aca="false">IF($B6857='設定（最初に1回）'!$C$4,N(U6856)+1,N(U6856))</f>
        <v>134</v>
      </c>
    </row>
    <row r="6858" customFormat="false" ht="15" hidden="false" customHeight="false" outlineLevel="0" collapsed="false">
      <c r="B6858" s="53"/>
      <c r="I6858" s="53"/>
      <c r="U6858" s="31" t="n">
        <f aca="false">IF($B6858='設定（最初に1回）'!$C$4,N(U6857)+1,N(U6857))</f>
        <v>134</v>
      </c>
    </row>
    <row r="6859" customFormat="false" ht="15" hidden="false" customHeight="false" outlineLevel="0" collapsed="false">
      <c r="B6859" s="53"/>
      <c r="I6859" s="53"/>
      <c r="U6859" s="31" t="n">
        <f aca="false">IF($B6859='設定（最初に1回）'!$C$4,N(U6858)+1,N(U6858))</f>
        <v>134</v>
      </c>
    </row>
    <row r="6860" customFormat="false" ht="15" hidden="false" customHeight="false" outlineLevel="0" collapsed="false">
      <c r="B6860" s="53"/>
      <c r="I6860" s="53"/>
      <c r="U6860" s="31" t="n">
        <f aca="false">IF($B6860='設定（最初に1回）'!$C$4,N(U6859)+1,N(U6859))</f>
        <v>134</v>
      </c>
    </row>
    <row r="6861" customFormat="false" ht="15" hidden="false" customHeight="false" outlineLevel="0" collapsed="false">
      <c r="B6861" s="53"/>
      <c r="I6861" s="53"/>
      <c r="U6861" s="31" t="n">
        <f aca="false">IF($B6861='設定（最初に1回）'!$C$4,N(U6860)+1,N(U6860))</f>
        <v>134</v>
      </c>
    </row>
    <row r="6862" customFormat="false" ht="15" hidden="false" customHeight="false" outlineLevel="0" collapsed="false">
      <c r="B6862" s="53"/>
      <c r="I6862" s="53"/>
      <c r="U6862" s="31" t="n">
        <f aca="false">IF($B6862='設定（最初に1回）'!$C$4,N(U6861)+1,N(U6861))</f>
        <v>134</v>
      </c>
    </row>
    <row r="6863" customFormat="false" ht="15" hidden="false" customHeight="false" outlineLevel="0" collapsed="false">
      <c r="B6863" s="53"/>
      <c r="I6863" s="53"/>
      <c r="U6863" s="31" t="n">
        <f aca="false">IF($B6863='設定（最初に1回）'!$C$4,N(U6862)+1,N(U6862))</f>
        <v>134</v>
      </c>
    </row>
    <row r="6864" customFormat="false" ht="15" hidden="false" customHeight="false" outlineLevel="0" collapsed="false">
      <c r="B6864" s="53"/>
      <c r="I6864" s="53"/>
      <c r="U6864" s="31" t="n">
        <f aca="false">IF($B6864='設定（最初に1回）'!$C$4,N(U6863)+1,N(U6863))</f>
        <v>134</v>
      </c>
    </row>
    <row r="6865" customFormat="false" ht="15" hidden="false" customHeight="false" outlineLevel="0" collapsed="false">
      <c r="B6865" s="53"/>
      <c r="I6865" s="53"/>
      <c r="U6865" s="31" t="n">
        <f aca="false">IF($B6865='設定（最初に1回）'!$C$4,N(U6864)+1,N(U6864))</f>
        <v>134</v>
      </c>
    </row>
    <row r="6866" customFormat="false" ht="15" hidden="false" customHeight="false" outlineLevel="0" collapsed="false">
      <c r="B6866" s="53"/>
      <c r="I6866" s="53"/>
      <c r="U6866" s="31" t="n">
        <f aca="false">IF($B6866='設定（最初に1回）'!$C$4,N(U6865)+1,N(U6865))</f>
        <v>134</v>
      </c>
    </row>
    <row r="6867" customFormat="false" ht="15" hidden="false" customHeight="false" outlineLevel="0" collapsed="false">
      <c r="B6867" s="53"/>
      <c r="I6867" s="53"/>
      <c r="U6867" s="31" t="n">
        <f aca="false">IF($B6867='設定（最初に1回）'!$C$4,N(U6866)+1,N(U6866))</f>
        <v>134</v>
      </c>
    </row>
    <row r="6868" customFormat="false" ht="15" hidden="false" customHeight="false" outlineLevel="0" collapsed="false">
      <c r="B6868" s="53"/>
      <c r="I6868" s="53"/>
      <c r="U6868" s="31" t="n">
        <f aca="false">IF($B6868='設定（最初に1回）'!$C$4,N(U6867)+1,N(U6867))</f>
        <v>134</v>
      </c>
    </row>
    <row r="6869" customFormat="false" ht="15" hidden="false" customHeight="false" outlineLevel="0" collapsed="false">
      <c r="B6869" s="53"/>
      <c r="I6869" s="53"/>
      <c r="U6869" s="31" t="n">
        <f aca="false">IF($B6869='設定（最初に1回）'!$C$4,N(U6868)+1,N(U6868))</f>
        <v>134</v>
      </c>
    </row>
    <row r="6870" customFormat="false" ht="15" hidden="false" customHeight="false" outlineLevel="0" collapsed="false">
      <c r="B6870" s="53"/>
      <c r="I6870" s="53"/>
      <c r="U6870" s="31" t="n">
        <f aca="false">IF($B6870='設定（最初に1回）'!$C$4,N(U6869)+1,N(U6869))</f>
        <v>134</v>
      </c>
    </row>
    <row r="6871" customFormat="false" ht="15" hidden="false" customHeight="false" outlineLevel="0" collapsed="false">
      <c r="B6871" s="53"/>
      <c r="I6871" s="53"/>
      <c r="U6871" s="31" t="n">
        <f aca="false">IF($B6871='設定（最初に1回）'!$C$4,N(U6870)+1,N(U6870))</f>
        <v>134</v>
      </c>
    </row>
    <row r="6872" customFormat="false" ht="15" hidden="false" customHeight="false" outlineLevel="0" collapsed="false">
      <c r="B6872" s="53"/>
      <c r="I6872" s="53"/>
      <c r="U6872" s="31" t="n">
        <f aca="false">IF($B6872='設定（最初に1回）'!$C$4,N(U6871)+1,N(U6871))</f>
        <v>134</v>
      </c>
    </row>
    <row r="6873" customFormat="false" ht="15" hidden="false" customHeight="false" outlineLevel="0" collapsed="false">
      <c r="B6873" s="53"/>
      <c r="I6873" s="53"/>
      <c r="U6873" s="31" t="n">
        <f aca="false">IF($B6873='設定（最初に1回）'!$C$4,N(U6872)+1,N(U6872))</f>
        <v>134</v>
      </c>
    </row>
    <row r="6874" customFormat="false" ht="15" hidden="false" customHeight="false" outlineLevel="0" collapsed="false">
      <c r="B6874" s="53"/>
      <c r="I6874" s="53"/>
      <c r="U6874" s="31" t="n">
        <f aca="false">IF($B6874='設定（最初に1回）'!$C$4,N(U6873)+1,N(U6873))</f>
        <v>134</v>
      </c>
    </row>
    <row r="6875" customFormat="false" ht="15" hidden="false" customHeight="false" outlineLevel="0" collapsed="false">
      <c r="B6875" s="53"/>
      <c r="I6875" s="53"/>
      <c r="U6875" s="31" t="n">
        <f aca="false">IF($B6875='設定（最初に1回）'!$C$4,N(U6874)+1,N(U6874))</f>
        <v>134</v>
      </c>
    </row>
    <row r="6876" customFormat="false" ht="15" hidden="false" customHeight="false" outlineLevel="0" collapsed="false">
      <c r="B6876" s="53"/>
      <c r="I6876" s="53"/>
      <c r="U6876" s="31" t="n">
        <f aca="false">IF($B6876='設定（最初に1回）'!$C$4,N(U6875)+1,N(U6875))</f>
        <v>134</v>
      </c>
    </row>
    <row r="6877" customFormat="false" ht="15" hidden="false" customHeight="false" outlineLevel="0" collapsed="false">
      <c r="B6877" s="53"/>
      <c r="I6877" s="53"/>
      <c r="U6877" s="31" t="n">
        <f aca="false">IF($B6877='設定（最初に1回）'!$C$4,N(U6876)+1,N(U6876))</f>
        <v>134</v>
      </c>
    </row>
    <row r="6878" customFormat="false" ht="15" hidden="false" customHeight="false" outlineLevel="0" collapsed="false">
      <c r="B6878" s="53"/>
      <c r="I6878" s="53"/>
      <c r="U6878" s="31" t="n">
        <f aca="false">IF($B6878='設定（最初に1回）'!$C$4,N(U6877)+1,N(U6877))</f>
        <v>134</v>
      </c>
    </row>
    <row r="6879" customFormat="false" ht="15" hidden="false" customHeight="false" outlineLevel="0" collapsed="false">
      <c r="B6879" s="53"/>
      <c r="I6879" s="53"/>
      <c r="U6879" s="31" t="n">
        <f aca="false">IF($B6879='設定（最初に1回）'!$C$4,N(U6878)+1,N(U6878))</f>
        <v>134</v>
      </c>
    </row>
    <row r="6880" customFormat="false" ht="15" hidden="false" customHeight="false" outlineLevel="0" collapsed="false">
      <c r="B6880" s="53"/>
      <c r="I6880" s="53"/>
      <c r="U6880" s="31" t="n">
        <f aca="false">IF($B6880='設定（最初に1回）'!$C$4,N(U6879)+1,N(U6879))</f>
        <v>134</v>
      </c>
    </row>
    <row r="6881" customFormat="false" ht="15" hidden="false" customHeight="false" outlineLevel="0" collapsed="false">
      <c r="B6881" s="53"/>
      <c r="I6881" s="53"/>
      <c r="U6881" s="31" t="n">
        <f aca="false">IF($B6881='設定（最初に1回）'!$C$4,N(U6880)+1,N(U6880))</f>
        <v>134</v>
      </c>
    </row>
    <row r="6882" customFormat="false" ht="15" hidden="false" customHeight="false" outlineLevel="0" collapsed="false">
      <c r="B6882" s="53"/>
      <c r="I6882" s="53"/>
      <c r="U6882" s="31" t="n">
        <f aca="false">IF($B6882='設定（最初に1回）'!$C$4,N(U6881)+1,N(U6881))</f>
        <v>134</v>
      </c>
    </row>
    <row r="6883" customFormat="false" ht="15" hidden="false" customHeight="false" outlineLevel="0" collapsed="false">
      <c r="B6883" s="53"/>
      <c r="I6883" s="53"/>
      <c r="U6883" s="31" t="n">
        <f aca="false">IF($B6883='設定（最初に1回）'!$C$4,N(U6882)+1,N(U6882))</f>
        <v>134</v>
      </c>
    </row>
    <row r="6884" customFormat="false" ht="15" hidden="false" customHeight="false" outlineLevel="0" collapsed="false">
      <c r="B6884" s="53"/>
      <c r="I6884" s="53"/>
      <c r="U6884" s="31" t="n">
        <f aca="false">IF($B6884='設定（最初に1回）'!$C$4,N(U6883)+1,N(U6883))</f>
        <v>134</v>
      </c>
    </row>
    <row r="6885" customFormat="false" ht="15" hidden="false" customHeight="false" outlineLevel="0" collapsed="false">
      <c r="B6885" s="53"/>
      <c r="I6885" s="53"/>
      <c r="U6885" s="31" t="n">
        <f aca="false">IF($B6885='設定（最初に1回）'!$C$4,N(U6884)+1,N(U6884))</f>
        <v>134</v>
      </c>
    </row>
    <row r="6886" customFormat="false" ht="15" hidden="false" customHeight="false" outlineLevel="0" collapsed="false">
      <c r="B6886" s="53"/>
      <c r="I6886" s="53"/>
      <c r="U6886" s="31" t="n">
        <f aca="false">IF($B6886='設定（最初に1回）'!$C$4,N(U6885)+1,N(U6885))</f>
        <v>134</v>
      </c>
    </row>
    <row r="6887" customFormat="false" ht="15" hidden="false" customHeight="false" outlineLevel="0" collapsed="false">
      <c r="B6887" s="53"/>
      <c r="I6887" s="53"/>
      <c r="U6887" s="31" t="n">
        <f aca="false">IF($B6887='設定（最初に1回）'!$C$4,N(U6886)+1,N(U6886))</f>
        <v>134</v>
      </c>
    </row>
    <row r="6888" customFormat="false" ht="15" hidden="false" customHeight="false" outlineLevel="0" collapsed="false">
      <c r="B6888" s="53"/>
      <c r="I6888" s="53"/>
      <c r="U6888" s="31" t="n">
        <f aca="false">IF($B6888='設定（最初に1回）'!$C$4,N(U6887)+1,N(U6887))</f>
        <v>134</v>
      </c>
    </row>
    <row r="6889" customFormat="false" ht="15" hidden="false" customHeight="false" outlineLevel="0" collapsed="false">
      <c r="B6889" s="53"/>
      <c r="I6889" s="53"/>
      <c r="U6889" s="31" t="n">
        <f aca="false">IF($B6889='設定（最初に1回）'!$C$4,N(U6888)+1,N(U6888))</f>
        <v>134</v>
      </c>
    </row>
    <row r="6890" customFormat="false" ht="15" hidden="false" customHeight="false" outlineLevel="0" collapsed="false">
      <c r="B6890" s="53"/>
      <c r="I6890" s="53"/>
      <c r="U6890" s="31" t="n">
        <f aca="false">IF($B6890='設定（最初に1回）'!$C$4,N(U6889)+1,N(U6889))</f>
        <v>134</v>
      </c>
    </row>
    <row r="6891" customFormat="false" ht="15" hidden="false" customHeight="false" outlineLevel="0" collapsed="false">
      <c r="B6891" s="53"/>
      <c r="I6891" s="53"/>
      <c r="U6891" s="31" t="n">
        <f aca="false">IF($B6891='設定（最初に1回）'!$C$4,N(U6890)+1,N(U6890))</f>
        <v>134</v>
      </c>
    </row>
    <row r="6892" customFormat="false" ht="15" hidden="false" customHeight="false" outlineLevel="0" collapsed="false">
      <c r="B6892" s="53"/>
      <c r="I6892" s="53"/>
      <c r="U6892" s="31" t="n">
        <f aca="false">IF($B6892='設定（最初に1回）'!$C$4,N(U6891)+1,N(U6891))</f>
        <v>134</v>
      </c>
    </row>
    <row r="6893" customFormat="false" ht="15" hidden="false" customHeight="false" outlineLevel="0" collapsed="false">
      <c r="B6893" s="53"/>
      <c r="I6893" s="53"/>
      <c r="U6893" s="31" t="n">
        <f aca="false">IF($B6893='設定（最初に1回）'!$C$4,N(U6892)+1,N(U6892))</f>
        <v>134</v>
      </c>
    </row>
    <row r="6894" customFormat="false" ht="15" hidden="false" customHeight="false" outlineLevel="0" collapsed="false">
      <c r="B6894" s="53"/>
      <c r="I6894" s="53"/>
      <c r="U6894" s="31" t="n">
        <f aca="false">IF($B6894='設定（最初に1回）'!$C$4,N(U6893)+1,N(U6893))</f>
        <v>134</v>
      </c>
    </row>
    <row r="6895" customFormat="false" ht="15" hidden="false" customHeight="false" outlineLevel="0" collapsed="false">
      <c r="B6895" s="53"/>
      <c r="I6895" s="53"/>
      <c r="U6895" s="31" t="n">
        <f aca="false">IF($B6895='設定（最初に1回）'!$C$4,N(U6894)+1,N(U6894))</f>
        <v>134</v>
      </c>
    </row>
    <row r="6896" customFormat="false" ht="15" hidden="false" customHeight="false" outlineLevel="0" collapsed="false">
      <c r="B6896" s="53"/>
      <c r="I6896" s="53"/>
      <c r="U6896" s="31" t="n">
        <f aca="false">IF($B6896='設定（最初に1回）'!$C$4,N(U6895)+1,N(U6895))</f>
        <v>134</v>
      </c>
    </row>
    <row r="6897" customFormat="false" ht="15" hidden="false" customHeight="false" outlineLevel="0" collapsed="false">
      <c r="B6897" s="53"/>
      <c r="I6897" s="53"/>
      <c r="U6897" s="31" t="n">
        <f aca="false">IF($B6897='設定（最初に1回）'!$C$4,N(U6896)+1,N(U6896))</f>
        <v>134</v>
      </c>
    </row>
    <row r="6898" customFormat="false" ht="15" hidden="false" customHeight="false" outlineLevel="0" collapsed="false">
      <c r="B6898" s="53"/>
      <c r="I6898" s="53"/>
      <c r="U6898" s="31" t="n">
        <f aca="false">IF($B6898='設定（最初に1回）'!$C$4,N(U6897)+1,N(U6897))</f>
        <v>134</v>
      </c>
    </row>
    <row r="6899" customFormat="false" ht="15" hidden="false" customHeight="false" outlineLevel="0" collapsed="false">
      <c r="B6899" s="53"/>
      <c r="I6899" s="53"/>
      <c r="U6899" s="31" t="n">
        <f aca="false">IF($B6899='設定（最初に1回）'!$C$4,N(U6898)+1,N(U6898))</f>
        <v>134</v>
      </c>
    </row>
    <row r="6900" customFormat="false" ht="15" hidden="false" customHeight="false" outlineLevel="0" collapsed="false">
      <c r="B6900" s="53"/>
      <c r="I6900" s="53"/>
      <c r="U6900" s="31" t="n">
        <f aca="false">IF($B6900='設定（最初に1回）'!$C$4,N(U6899)+1,N(U6899))</f>
        <v>134</v>
      </c>
    </row>
    <row r="6901" customFormat="false" ht="15" hidden="false" customHeight="false" outlineLevel="0" collapsed="false">
      <c r="B6901" s="53"/>
      <c r="I6901" s="53"/>
      <c r="U6901" s="31" t="n">
        <f aca="false">IF($B6901='設定（最初に1回）'!$C$4,N(U6900)+1,N(U6900))</f>
        <v>134</v>
      </c>
    </row>
    <row r="6902" customFormat="false" ht="15" hidden="false" customHeight="false" outlineLevel="0" collapsed="false">
      <c r="B6902" s="53"/>
      <c r="I6902" s="53"/>
      <c r="U6902" s="31" t="n">
        <f aca="false">IF($B6902='設定（最初に1回）'!$C$4,N(U6901)+1,N(U6901))</f>
        <v>134</v>
      </c>
    </row>
    <row r="6903" customFormat="false" ht="15" hidden="false" customHeight="false" outlineLevel="0" collapsed="false">
      <c r="B6903" s="53"/>
      <c r="I6903" s="53"/>
      <c r="U6903" s="31" t="n">
        <f aca="false">IF($B6903='設定（最初に1回）'!$C$4,N(U6902)+1,N(U6902))</f>
        <v>134</v>
      </c>
    </row>
    <row r="6904" customFormat="false" ht="15" hidden="false" customHeight="false" outlineLevel="0" collapsed="false">
      <c r="B6904" s="53"/>
      <c r="I6904" s="53"/>
      <c r="U6904" s="31" t="n">
        <f aca="false">IF($B6904='設定（最初に1回）'!$C$4,N(U6903)+1,N(U6903))</f>
        <v>134</v>
      </c>
    </row>
    <row r="6905" customFormat="false" ht="15" hidden="false" customHeight="false" outlineLevel="0" collapsed="false">
      <c r="B6905" s="53"/>
      <c r="I6905" s="53"/>
      <c r="U6905" s="31" t="n">
        <f aca="false">IF($B6905='設定（最初に1回）'!$C$4,N(U6904)+1,N(U6904))</f>
        <v>134</v>
      </c>
    </row>
    <row r="6906" customFormat="false" ht="15" hidden="false" customHeight="false" outlineLevel="0" collapsed="false">
      <c r="B6906" s="53"/>
      <c r="I6906" s="53"/>
      <c r="U6906" s="31" t="n">
        <f aca="false">IF($B6906='設定（最初に1回）'!$C$4,N(U6905)+1,N(U6905))</f>
        <v>134</v>
      </c>
    </row>
    <row r="6907" customFormat="false" ht="15" hidden="false" customHeight="false" outlineLevel="0" collapsed="false">
      <c r="B6907" s="53"/>
      <c r="I6907" s="53"/>
      <c r="U6907" s="31" t="n">
        <f aca="false">IF($B6907='設定（最初に1回）'!$C$4,N(U6906)+1,N(U6906))</f>
        <v>134</v>
      </c>
    </row>
    <row r="6908" customFormat="false" ht="15" hidden="false" customHeight="false" outlineLevel="0" collapsed="false">
      <c r="B6908" s="53"/>
      <c r="I6908" s="53"/>
      <c r="U6908" s="31" t="n">
        <f aca="false">IF($B6908='設定（最初に1回）'!$C$4,N(U6907)+1,N(U6907))</f>
        <v>134</v>
      </c>
    </row>
    <row r="6909" customFormat="false" ht="15" hidden="false" customHeight="false" outlineLevel="0" collapsed="false">
      <c r="B6909" s="53"/>
      <c r="I6909" s="53"/>
      <c r="U6909" s="31" t="n">
        <f aca="false">IF($B6909='設定（最初に1回）'!$C$4,N(U6908)+1,N(U6908))</f>
        <v>134</v>
      </c>
    </row>
    <row r="6910" customFormat="false" ht="15" hidden="false" customHeight="false" outlineLevel="0" collapsed="false">
      <c r="B6910" s="53"/>
      <c r="I6910" s="53"/>
      <c r="U6910" s="31" t="n">
        <f aca="false">IF($B6910='設定（最初に1回）'!$C$4,N(U6909)+1,N(U6909))</f>
        <v>134</v>
      </c>
    </row>
    <row r="6911" customFormat="false" ht="15" hidden="false" customHeight="false" outlineLevel="0" collapsed="false">
      <c r="B6911" s="53"/>
      <c r="I6911" s="53"/>
      <c r="U6911" s="31" t="n">
        <f aca="false">IF($B6911='設定（最初に1回）'!$C$4,N(U6910)+1,N(U6910))</f>
        <v>134</v>
      </c>
    </row>
    <row r="6912" customFormat="false" ht="15" hidden="false" customHeight="false" outlineLevel="0" collapsed="false">
      <c r="B6912" s="53"/>
      <c r="I6912" s="53"/>
      <c r="U6912" s="31" t="n">
        <f aca="false">IF($B6912='設定（最初に1回）'!$C$4,N(U6911)+1,N(U6911))</f>
        <v>134</v>
      </c>
    </row>
    <row r="6913" customFormat="false" ht="15" hidden="false" customHeight="false" outlineLevel="0" collapsed="false">
      <c r="B6913" s="53"/>
      <c r="I6913" s="53"/>
      <c r="U6913" s="31" t="n">
        <f aca="false">IF($B6913='設定（最初に1回）'!$C$4,N(U6912)+1,N(U6912))</f>
        <v>134</v>
      </c>
    </row>
    <row r="6914" customFormat="false" ht="15" hidden="false" customHeight="false" outlineLevel="0" collapsed="false">
      <c r="B6914" s="53"/>
      <c r="I6914" s="53"/>
      <c r="U6914" s="31" t="n">
        <f aca="false">IF($B6914='設定（最初に1回）'!$C$4,N(U6913)+1,N(U6913))</f>
        <v>134</v>
      </c>
    </row>
    <row r="6915" customFormat="false" ht="15" hidden="false" customHeight="false" outlineLevel="0" collapsed="false">
      <c r="B6915" s="53"/>
      <c r="I6915" s="53"/>
      <c r="U6915" s="31" t="n">
        <f aca="false">IF($B6915='設定（最初に1回）'!$C$4,N(U6914)+1,N(U6914))</f>
        <v>134</v>
      </c>
    </row>
    <row r="6916" customFormat="false" ht="15" hidden="false" customHeight="false" outlineLevel="0" collapsed="false">
      <c r="B6916" s="53"/>
      <c r="I6916" s="53"/>
      <c r="U6916" s="31" t="n">
        <f aca="false">IF($B6916='設定（最初に1回）'!$C$4,N(U6915)+1,N(U6915))</f>
        <v>134</v>
      </c>
    </row>
    <row r="6917" customFormat="false" ht="15" hidden="false" customHeight="false" outlineLevel="0" collapsed="false">
      <c r="B6917" s="53"/>
      <c r="I6917" s="53"/>
      <c r="U6917" s="31" t="n">
        <f aca="false">IF($B6917='設定（最初に1回）'!$C$4,N(U6916)+1,N(U6916))</f>
        <v>134</v>
      </c>
    </row>
    <row r="6918" customFormat="false" ht="15" hidden="false" customHeight="false" outlineLevel="0" collapsed="false">
      <c r="B6918" s="53"/>
      <c r="I6918" s="53"/>
      <c r="U6918" s="31" t="n">
        <f aca="false">IF($B6918='設定（最初に1回）'!$C$4,N(U6917)+1,N(U6917))</f>
        <v>134</v>
      </c>
    </row>
    <row r="6919" customFormat="false" ht="15" hidden="false" customHeight="false" outlineLevel="0" collapsed="false">
      <c r="B6919" s="53"/>
      <c r="I6919" s="53"/>
      <c r="U6919" s="31" t="n">
        <f aca="false">IF($B6919='設定（最初に1回）'!$C$4,N(U6918)+1,N(U6918))</f>
        <v>134</v>
      </c>
    </row>
    <row r="6920" customFormat="false" ht="15" hidden="false" customHeight="false" outlineLevel="0" collapsed="false">
      <c r="B6920" s="53"/>
      <c r="I6920" s="53"/>
      <c r="U6920" s="31" t="n">
        <f aca="false">IF($B6920='設定（最初に1回）'!$C$4,N(U6919)+1,N(U6919))</f>
        <v>134</v>
      </c>
    </row>
    <row r="6921" customFormat="false" ht="15" hidden="false" customHeight="false" outlineLevel="0" collapsed="false">
      <c r="B6921" s="53"/>
      <c r="I6921" s="53"/>
      <c r="U6921" s="31" t="n">
        <f aca="false">IF($B6921='設定（最初に1回）'!$C$4,N(U6920)+1,N(U6920))</f>
        <v>134</v>
      </c>
    </row>
    <row r="6922" customFormat="false" ht="15" hidden="false" customHeight="false" outlineLevel="0" collapsed="false">
      <c r="B6922" s="53"/>
      <c r="I6922" s="53"/>
      <c r="U6922" s="31" t="n">
        <f aca="false">IF($B6922='設定（最初に1回）'!$C$4,N(U6921)+1,N(U6921))</f>
        <v>134</v>
      </c>
    </row>
    <row r="6923" customFormat="false" ht="15" hidden="false" customHeight="false" outlineLevel="0" collapsed="false">
      <c r="B6923" s="53"/>
      <c r="I6923" s="53"/>
      <c r="U6923" s="31" t="n">
        <f aca="false">IF($B6923='設定（最初に1回）'!$C$4,N(U6922)+1,N(U6922))</f>
        <v>134</v>
      </c>
    </row>
    <row r="6924" customFormat="false" ht="15" hidden="false" customHeight="false" outlineLevel="0" collapsed="false">
      <c r="B6924" s="53"/>
      <c r="I6924" s="53"/>
      <c r="U6924" s="31" t="n">
        <f aca="false">IF($B6924='設定（最初に1回）'!$C$4,N(U6923)+1,N(U6923))</f>
        <v>134</v>
      </c>
    </row>
    <row r="6925" customFormat="false" ht="15" hidden="false" customHeight="false" outlineLevel="0" collapsed="false">
      <c r="B6925" s="53"/>
      <c r="I6925" s="53"/>
      <c r="U6925" s="31" t="n">
        <f aca="false">IF($B6925='設定（最初に1回）'!$C$4,N(U6924)+1,N(U6924))</f>
        <v>134</v>
      </c>
    </row>
    <row r="6926" customFormat="false" ht="15" hidden="false" customHeight="false" outlineLevel="0" collapsed="false">
      <c r="B6926" s="53"/>
      <c r="I6926" s="53"/>
      <c r="U6926" s="31" t="n">
        <f aca="false">IF($B6926='設定（最初に1回）'!$C$4,N(U6925)+1,N(U6925))</f>
        <v>134</v>
      </c>
    </row>
    <row r="6927" customFormat="false" ht="15" hidden="false" customHeight="false" outlineLevel="0" collapsed="false">
      <c r="B6927" s="53"/>
      <c r="I6927" s="53"/>
      <c r="U6927" s="31" t="n">
        <f aca="false">IF($B6927='設定（最初に1回）'!$C$4,N(U6926)+1,N(U6926))</f>
        <v>134</v>
      </c>
    </row>
    <row r="6928" customFormat="false" ht="15" hidden="false" customHeight="false" outlineLevel="0" collapsed="false">
      <c r="B6928" s="53"/>
      <c r="I6928" s="53"/>
      <c r="U6928" s="31" t="n">
        <f aca="false">IF($B6928='設定（最初に1回）'!$C$4,N(U6927)+1,N(U6927))</f>
        <v>134</v>
      </c>
    </row>
    <row r="6929" customFormat="false" ht="15" hidden="false" customHeight="false" outlineLevel="0" collapsed="false">
      <c r="B6929" s="53"/>
      <c r="I6929" s="53"/>
      <c r="U6929" s="31" t="n">
        <f aca="false">IF($B6929='設定（最初に1回）'!$C$4,N(U6928)+1,N(U6928))</f>
        <v>134</v>
      </c>
    </row>
    <row r="6930" customFormat="false" ht="15" hidden="false" customHeight="false" outlineLevel="0" collapsed="false">
      <c r="B6930" s="53"/>
      <c r="I6930" s="53"/>
      <c r="U6930" s="31" t="n">
        <f aca="false">IF($B6930='設定（最初に1回）'!$C$4,N(U6929)+1,N(U6929))</f>
        <v>134</v>
      </c>
    </row>
    <row r="6931" customFormat="false" ht="15" hidden="false" customHeight="false" outlineLevel="0" collapsed="false">
      <c r="B6931" s="53"/>
      <c r="I6931" s="53"/>
      <c r="U6931" s="31" t="n">
        <f aca="false">IF($B6931='設定（最初に1回）'!$C$4,N(U6930)+1,N(U6930))</f>
        <v>134</v>
      </c>
    </row>
    <row r="6932" customFormat="false" ht="15" hidden="false" customHeight="false" outlineLevel="0" collapsed="false">
      <c r="B6932" s="53"/>
      <c r="I6932" s="53"/>
      <c r="U6932" s="31" t="n">
        <f aca="false">IF($B6932='設定（最初に1回）'!$C$4,N(U6931)+1,N(U6931))</f>
        <v>134</v>
      </c>
    </row>
    <row r="6933" customFormat="false" ht="15" hidden="false" customHeight="false" outlineLevel="0" collapsed="false">
      <c r="B6933" s="53"/>
      <c r="I6933" s="53"/>
      <c r="U6933" s="31" t="n">
        <f aca="false">IF($B6933='設定（最初に1回）'!$C$4,N(U6932)+1,N(U6932))</f>
        <v>134</v>
      </c>
    </row>
    <row r="6934" customFormat="false" ht="15" hidden="false" customHeight="false" outlineLevel="0" collapsed="false">
      <c r="B6934" s="53"/>
      <c r="I6934" s="53"/>
      <c r="U6934" s="31" t="n">
        <f aca="false">IF($B6934='設定（最初に1回）'!$C$4,N(U6933)+1,N(U6933))</f>
        <v>134</v>
      </c>
    </row>
    <row r="6935" customFormat="false" ht="15" hidden="false" customHeight="false" outlineLevel="0" collapsed="false">
      <c r="B6935" s="53"/>
      <c r="I6935" s="53"/>
      <c r="U6935" s="31" t="n">
        <f aca="false">IF($B6935='設定（最初に1回）'!$C$4,N(U6934)+1,N(U6934))</f>
        <v>134</v>
      </c>
    </row>
    <row r="6936" customFormat="false" ht="15" hidden="false" customHeight="false" outlineLevel="0" collapsed="false">
      <c r="B6936" s="53"/>
      <c r="I6936" s="53"/>
      <c r="U6936" s="31" t="n">
        <f aca="false">IF($B6936='設定（最初に1回）'!$C$4,N(U6935)+1,N(U6935))</f>
        <v>134</v>
      </c>
    </row>
    <row r="6937" customFormat="false" ht="15" hidden="false" customHeight="false" outlineLevel="0" collapsed="false">
      <c r="B6937" s="53"/>
      <c r="I6937" s="53"/>
      <c r="U6937" s="31" t="n">
        <f aca="false">IF($B6937='設定（最初に1回）'!$C$4,N(U6936)+1,N(U6936))</f>
        <v>134</v>
      </c>
    </row>
    <row r="6938" customFormat="false" ht="15" hidden="false" customHeight="false" outlineLevel="0" collapsed="false">
      <c r="B6938" s="53"/>
      <c r="I6938" s="53"/>
      <c r="U6938" s="31" t="n">
        <f aca="false">IF($B6938='設定（最初に1回）'!$C$4,N(U6937)+1,N(U6937))</f>
        <v>134</v>
      </c>
    </row>
    <row r="6939" customFormat="false" ht="15" hidden="false" customHeight="false" outlineLevel="0" collapsed="false">
      <c r="B6939" s="53"/>
      <c r="I6939" s="53"/>
      <c r="U6939" s="31" t="n">
        <f aca="false">IF($B6939='設定（最初に1回）'!$C$4,N(U6938)+1,N(U6938))</f>
        <v>134</v>
      </c>
    </row>
    <row r="6940" customFormat="false" ht="15" hidden="false" customHeight="false" outlineLevel="0" collapsed="false">
      <c r="B6940" s="53"/>
      <c r="I6940" s="53"/>
      <c r="U6940" s="31" t="n">
        <f aca="false">IF($B6940='設定（最初に1回）'!$C$4,N(U6939)+1,N(U6939))</f>
        <v>134</v>
      </c>
    </row>
    <row r="6941" customFormat="false" ht="15" hidden="false" customHeight="false" outlineLevel="0" collapsed="false">
      <c r="B6941" s="53"/>
      <c r="I6941" s="53"/>
      <c r="U6941" s="31" t="n">
        <f aca="false">IF($B6941='設定（最初に1回）'!$C$4,N(U6940)+1,N(U6940))</f>
        <v>134</v>
      </c>
    </row>
    <row r="6942" customFormat="false" ht="15" hidden="false" customHeight="false" outlineLevel="0" collapsed="false">
      <c r="B6942" s="53"/>
      <c r="I6942" s="53"/>
      <c r="U6942" s="31" t="n">
        <f aca="false">IF($B6942='設定（最初に1回）'!$C$4,N(U6941)+1,N(U6941))</f>
        <v>134</v>
      </c>
    </row>
    <row r="6943" customFormat="false" ht="15" hidden="false" customHeight="false" outlineLevel="0" collapsed="false">
      <c r="B6943" s="53"/>
      <c r="I6943" s="53"/>
      <c r="U6943" s="31" t="n">
        <f aca="false">IF($B6943='設定（最初に1回）'!$C$4,N(U6942)+1,N(U6942))</f>
        <v>134</v>
      </c>
    </row>
    <row r="6944" customFormat="false" ht="15" hidden="false" customHeight="false" outlineLevel="0" collapsed="false">
      <c r="B6944" s="53"/>
      <c r="I6944" s="53"/>
      <c r="U6944" s="31" t="n">
        <f aca="false">IF($B6944='設定（最初に1回）'!$C$4,N(U6943)+1,N(U6943))</f>
        <v>134</v>
      </c>
    </row>
    <row r="6945" customFormat="false" ht="15" hidden="false" customHeight="false" outlineLevel="0" collapsed="false">
      <c r="B6945" s="53"/>
      <c r="I6945" s="53"/>
      <c r="U6945" s="31" t="n">
        <f aca="false">IF($B6945='設定（最初に1回）'!$C$4,N(U6944)+1,N(U6944))</f>
        <v>134</v>
      </c>
    </row>
    <row r="6946" customFormat="false" ht="15" hidden="false" customHeight="false" outlineLevel="0" collapsed="false">
      <c r="B6946" s="53"/>
      <c r="I6946" s="53"/>
      <c r="U6946" s="31" t="n">
        <f aca="false">IF($B6946='設定（最初に1回）'!$C$4,N(U6945)+1,N(U6945))</f>
        <v>134</v>
      </c>
    </row>
    <row r="6947" customFormat="false" ht="15" hidden="false" customHeight="false" outlineLevel="0" collapsed="false">
      <c r="B6947" s="53"/>
      <c r="I6947" s="53"/>
      <c r="U6947" s="31" t="n">
        <f aca="false">IF($B6947='設定（最初に1回）'!$C$4,N(U6946)+1,N(U6946))</f>
        <v>134</v>
      </c>
    </row>
    <row r="6948" customFormat="false" ht="15" hidden="false" customHeight="false" outlineLevel="0" collapsed="false">
      <c r="B6948" s="53"/>
      <c r="I6948" s="53"/>
      <c r="U6948" s="31" t="n">
        <f aca="false">IF($B6948='設定（最初に1回）'!$C$4,N(U6947)+1,N(U6947))</f>
        <v>134</v>
      </c>
    </row>
    <row r="6949" customFormat="false" ht="15" hidden="false" customHeight="false" outlineLevel="0" collapsed="false">
      <c r="B6949" s="53"/>
      <c r="I6949" s="53"/>
      <c r="U6949" s="31" t="n">
        <f aca="false">IF($B6949='設定（最初に1回）'!$C$4,N(U6948)+1,N(U6948))</f>
        <v>134</v>
      </c>
    </row>
    <row r="6950" customFormat="false" ht="15" hidden="false" customHeight="false" outlineLevel="0" collapsed="false">
      <c r="B6950" s="53"/>
      <c r="I6950" s="53"/>
      <c r="U6950" s="31" t="n">
        <f aca="false">IF($B6950='設定（最初に1回）'!$C$4,N(U6949)+1,N(U6949))</f>
        <v>134</v>
      </c>
    </row>
    <row r="6951" customFormat="false" ht="15" hidden="false" customHeight="false" outlineLevel="0" collapsed="false">
      <c r="B6951" s="53"/>
      <c r="I6951" s="53"/>
      <c r="U6951" s="31" t="n">
        <f aca="false">IF($B6951='設定（最初に1回）'!$C$4,N(U6950)+1,N(U6950))</f>
        <v>134</v>
      </c>
    </row>
    <row r="6952" customFormat="false" ht="15" hidden="false" customHeight="false" outlineLevel="0" collapsed="false">
      <c r="B6952" s="53"/>
      <c r="I6952" s="53"/>
      <c r="U6952" s="31" t="n">
        <f aca="false">IF($B6952='設定（最初に1回）'!$C$4,N(U6951)+1,N(U6951))</f>
        <v>134</v>
      </c>
    </row>
    <row r="6953" customFormat="false" ht="15" hidden="false" customHeight="false" outlineLevel="0" collapsed="false">
      <c r="B6953" s="53"/>
      <c r="I6953" s="53"/>
      <c r="U6953" s="31" t="n">
        <f aca="false">IF($B6953='設定（最初に1回）'!$C$4,N(U6952)+1,N(U6952))</f>
        <v>134</v>
      </c>
    </row>
    <row r="6954" customFormat="false" ht="15" hidden="false" customHeight="false" outlineLevel="0" collapsed="false">
      <c r="B6954" s="53"/>
      <c r="I6954" s="53"/>
      <c r="U6954" s="31" t="n">
        <f aca="false">IF($B6954='設定（最初に1回）'!$C$4,N(U6953)+1,N(U6953))</f>
        <v>134</v>
      </c>
    </row>
    <row r="6955" customFormat="false" ht="15" hidden="false" customHeight="false" outlineLevel="0" collapsed="false">
      <c r="B6955" s="53"/>
      <c r="I6955" s="53"/>
      <c r="U6955" s="31" t="n">
        <f aca="false">IF($B6955='設定（最初に1回）'!$C$4,N(U6954)+1,N(U6954))</f>
        <v>134</v>
      </c>
    </row>
    <row r="6956" customFormat="false" ht="15" hidden="false" customHeight="false" outlineLevel="0" collapsed="false">
      <c r="B6956" s="53"/>
      <c r="I6956" s="53"/>
      <c r="U6956" s="31" t="n">
        <f aca="false">IF($B6956='設定（最初に1回）'!$C$4,N(U6955)+1,N(U6955))</f>
        <v>134</v>
      </c>
    </row>
    <row r="6957" customFormat="false" ht="15" hidden="false" customHeight="false" outlineLevel="0" collapsed="false">
      <c r="B6957" s="53"/>
      <c r="I6957" s="53"/>
      <c r="U6957" s="31" t="n">
        <f aca="false">IF($B6957='設定（最初に1回）'!$C$4,N(U6956)+1,N(U6956))</f>
        <v>134</v>
      </c>
    </row>
    <row r="6958" customFormat="false" ht="15" hidden="false" customHeight="false" outlineLevel="0" collapsed="false">
      <c r="B6958" s="53"/>
      <c r="I6958" s="53"/>
      <c r="U6958" s="31" t="n">
        <f aca="false">IF($B6958='設定（最初に1回）'!$C$4,N(U6957)+1,N(U6957))</f>
        <v>134</v>
      </c>
    </row>
    <row r="6959" customFormat="false" ht="15" hidden="false" customHeight="false" outlineLevel="0" collapsed="false">
      <c r="B6959" s="53"/>
      <c r="I6959" s="53"/>
      <c r="U6959" s="31" t="n">
        <f aca="false">IF($B6959='設定（最初に1回）'!$C$4,N(U6958)+1,N(U6958))</f>
        <v>134</v>
      </c>
    </row>
    <row r="6960" customFormat="false" ht="15" hidden="false" customHeight="false" outlineLevel="0" collapsed="false">
      <c r="B6960" s="53"/>
      <c r="I6960" s="53"/>
      <c r="U6960" s="31" t="n">
        <f aca="false">IF($B6960='設定（最初に1回）'!$C$4,N(U6959)+1,N(U6959))</f>
        <v>134</v>
      </c>
    </row>
    <row r="6961" customFormat="false" ht="15" hidden="false" customHeight="false" outlineLevel="0" collapsed="false">
      <c r="B6961" s="53"/>
      <c r="I6961" s="53"/>
      <c r="U6961" s="31" t="n">
        <f aca="false">IF($B6961='設定（最初に1回）'!$C$4,N(U6960)+1,N(U6960))</f>
        <v>134</v>
      </c>
    </row>
    <row r="6962" customFormat="false" ht="15" hidden="false" customHeight="false" outlineLevel="0" collapsed="false">
      <c r="B6962" s="53"/>
      <c r="I6962" s="53"/>
      <c r="U6962" s="31" t="n">
        <f aca="false">IF($B6962='設定（最初に1回）'!$C$4,N(U6961)+1,N(U6961))</f>
        <v>134</v>
      </c>
    </row>
    <row r="6963" customFormat="false" ht="15" hidden="false" customHeight="false" outlineLevel="0" collapsed="false">
      <c r="B6963" s="53"/>
      <c r="I6963" s="53"/>
      <c r="U6963" s="31" t="n">
        <f aca="false">IF($B6963='設定（最初に1回）'!$C$4,N(U6962)+1,N(U6962))</f>
        <v>134</v>
      </c>
    </row>
    <row r="6964" customFormat="false" ht="15" hidden="false" customHeight="false" outlineLevel="0" collapsed="false">
      <c r="B6964" s="53"/>
      <c r="I6964" s="53"/>
      <c r="U6964" s="31" t="n">
        <f aca="false">IF($B6964='設定（最初に1回）'!$C$4,N(U6963)+1,N(U6963))</f>
        <v>134</v>
      </c>
    </row>
    <row r="6965" customFormat="false" ht="15" hidden="false" customHeight="false" outlineLevel="0" collapsed="false">
      <c r="B6965" s="53"/>
      <c r="I6965" s="53"/>
      <c r="U6965" s="31" t="n">
        <f aca="false">IF($B6965='設定（最初に1回）'!$C$4,N(U6964)+1,N(U6964))</f>
        <v>134</v>
      </c>
    </row>
    <row r="6966" customFormat="false" ht="15" hidden="false" customHeight="false" outlineLevel="0" collapsed="false">
      <c r="B6966" s="53"/>
      <c r="I6966" s="53"/>
      <c r="U6966" s="31" t="n">
        <f aca="false">IF($B6966='設定（最初に1回）'!$C$4,N(U6965)+1,N(U6965))</f>
        <v>134</v>
      </c>
    </row>
    <row r="6967" customFormat="false" ht="15" hidden="false" customHeight="false" outlineLevel="0" collapsed="false">
      <c r="B6967" s="53"/>
      <c r="I6967" s="53"/>
      <c r="U6967" s="31" t="n">
        <f aca="false">IF($B6967='設定（最初に1回）'!$C$4,N(U6966)+1,N(U6966))</f>
        <v>134</v>
      </c>
    </row>
    <row r="6968" customFormat="false" ht="15" hidden="false" customHeight="false" outlineLevel="0" collapsed="false">
      <c r="B6968" s="53"/>
      <c r="I6968" s="53"/>
      <c r="U6968" s="31" t="n">
        <f aca="false">IF($B6968='設定（最初に1回）'!$C$4,N(U6967)+1,N(U6967))</f>
        <v>134</v>
      </c>
    </row>
    <row r="6969" customFormat="false" ht="15" hidden="false" customHeight="false" outlineLevel="0" collapsed="false">
      <c r="B6969" s="53"/>
      <c r="I6969" s="53"/>
      <c r="U6969" s="31" t="n">
        <f aca="false">IF($B6969='設定（最初に1回）'!$C$4,N(U6968)+1,N(U6968))</f>
        <v>134</v>
      </c>
    </row>
    <row r="6970" customFormat="false" ht="15" hidden="false" customHeight="false" outlineLevel="0" collapsed="false">
      <c r="B6970" s="53"/>
      <c r="I6970" s="53"/>
      <c r="U6970" s="31" t="n">
        <f aca="false">IF($B6970='設定（最初に1回）'!$C$4,N(U6969)+1,N(U6969))</f>
        <v>134</v>
      </c>
    </row>
    <row r="6971" customFormat="false" ht="15" hidden="false" customHeight="false" outlineLevel="0" collapsed="false">
      <c r="B6971" s="53"/>
      <c r="I6971" s="53"/>
      <c r="U6971" s="31" t="n">
        <f aca="false">IF($B6971='設定（最初に1回）'!$C$4,N(U6970)+1,N(U6970))</f>
        <v>134</v>
      </c>
    </row>
    <row r="6972" customFormat="false" ht="15" hidden="false" customHeight="false" outlineLevel="0" collapsed="false">
      <c r="B6972" s="53"/>
      <c r="I6972" s="53"/>
      <c r="U6972" s="31" t="n">
        <f aca="false">IF($B6972='設定（最初に1回）'!$C$4,N(U6971)+1,N(U6971))</f>
        <v>134</v>
      </c>
    </row>
    <row r="6973" customFormat="false" ht="15" hidden="false" customHeight="false" outlineLevel="0" collapsed="false">
      <c r="B6973" s="53"/>
      <c r="I6973" s="53"/>
      <c r="U6973" s="31" t="n">
        <f aca="false">IF($B6973='設定（最初に1回）'!$C$4,N(U6972)+1,N(U6972))</f>
        <v>134</v>
      </c>
    </row>
    <row r="6974" customFormat="false" ht="15" hidden="false" customHeight="false" outlineLevel="0" collapsed="false">
      <c r="B6974" s="53"/>
      <c r="I6974" s="53"/>
      <c r="U6974" s="31" t="n">
        <f aca="false">IF($B6974='設定（最初に1回）'!$C$4,N(U6973)+1,N(U6973))</f>
        <v>134</v>
      </c>
    </row>
    <row r="6975" customFormat="false" ht="15" hidden="false" customHeight="false" outlineLevel="0" collapsed="false">
      <c r="B6975" s="53"/>
      <c r="I6975" s="53"/>
      <c r="U6975" s="31" t="n">
        <f aca="false">IF($B6975='設定（最初に1回）'!$C$4,N(U6974)+1,N(U6974))</f>
        <v>134</v>
      </c>
    </row>
    <row r="6976" customFormat="false" ht="15" hidden="false" customHeight="false" outlineLevel="0" collapsed="false">
      <c r="B6976" s="53"/>
      <c r="I6976" s="53"/>
      <c r="U6976" s="31" t="n">
        <f aca="false">IF($B6976='設定（最初に1回）'!$C$4,N(U6975)+1,N(U6975))</f>
        <v>134</v>
      </c>
    </row>
    <row r="6977" customFormat="false" ht="15" hidden="false" customHeight="false" outlineLevel="0" collapsed="false">
      <c r="B6977" s="53"/>
      <c r="I6977" s="53"/>
      <c r="U6977" s="31" t="n">
        <f aca="false">IF($B6977='設定（最初に1回）'!$C$4,N(U6976)+1,N(U6976))</f>
        <v>134</v>
      </c>
    </row>
    <row r="6978" customFormat="false" ht="15" hidden="false" customHeight="false" outlineLevel="0" collapsed="false">
      <c r="B6978" s="53"/>
      <c r="I6978" s="53"/>
      <c r="U6978" s="31" t="n">
        <f aca="false">IF($B6978='設定（最初に1回）'!$C$4,N(U6977)+1,N(U6977))</f>
        <v>134</v>
      </c>
    </row>
    <row r="6979" customFormat="false" ht="15" hidden="false" customHeight="false" outlineLevel="0" collapsed="false">
      <c r="B6979" s="53"/>
      <c r="I6979" s="53"/>
      <c r="U6979" s="31" t="n">
        <f aca="false">IF($B6979='設定（最初に1回）'!$C$4,N(U6978)+1,N(U6978))</f>
        <v>134</v>
      </c>
    </row>
    <row r="6980" customFormat="false" ht="15" hidden="false" customHeight="false" outlineLevel="0" collapsed="false">
      <c r="B6980" s="53"/>
      <c r="I6980" s="53"/>
      <c r="U6980" s="31" t="n">
        <f aca="false">IF($B6980='設定（最初に1回）'!$C$4,N(U6979)+1,N(U6979))</f>
        <v>134</v>
      </c>
    </row>
    <row r="6981" customFormat="false" ht="15" hidden="false" customHeight="false" outlineLevel="0" collapsed="false">
      <c r="B6981" s="53"/>
      <c r="I6981" s="53"/>
      <c r="U6981" s="31" t="n">
        <f aca="false">IF($B6981='設定（最初に1回）'!$C$4,N(U6980)+1,N(U6980))</f>
        <v>134</v>
      </c>
    </row>
    <row r="6982" customFormat="false" ht="15" hidden="false" customHeight="false" outlineLevel="0" collapsed="false">
      <c r="B6982" s="53"/>
      <c r="I6982" s="53"/>
      <c r="U6982" s="31" t="n">
        <f aca="false">IF($B6982='設定（最初に1回）'!$C$4,N(U6981)+1,N(U6981))</f>
        <v>134</v>
      </c>
    </row>
    <row r="6983" customFormat="false" ht="15" hidden="false" customHeight="false" outlineLevel="0" collapsed="false">
      <c r="B6983" s="53"/>
      <c r="I6983" s="53"/>
      <c r="U6983" s="31" t="n">
        <f aca="false">IF($B6983='設定（最初に1回）'!$C$4,N(U6982)+1,N(U6982))</f>
        <v>134</v>
      </c>
    </row>
    <row r="6984" customFormat="false" ht="15" hidden="false" customHeight="false" outlineLevel="0" collapsed="false">
      <c r="B6984" s="53"/>
      <c r="I6984" s="53"/>
      <c r="U6984" s="31" t="n">
        <f aca="false">IF($B6984='設定（最初に1回）'!$C$4,N(U6983)+1,N(U6983))</f>
        <v>134</v>
      </c>
    </row>
    <row r="6985" customFormat="false" ht="15" hidden="false" customHeight="false" outlineLevel="0" collapsed="false">
      <c r="B6985" s="53"/>
      <c r="I6985" s="53"/>
      <c r="U6985" s="31" t="n">
        <f aca="false">IF($B6985='設定（最初に1回）'!$C$4,N(U6984)+1,N(U6984))</f>
        <v>134</v>
      </c>
    </row>
    <row r="6986" customFormat="false" ht="15" hidden="false" customHeight="false" outlineLevel="0" collapsed="false">
      <c r="B6986" s="53"/>
      <c r="I6986" s="53"/>
      <c r="U6986" s="31" t="n">
        <f aca="false">IF($B6986='設定（最初に1回）'!$C$4,N(U6985)+1,N(U6985))</f>
        <v>134</v>
      </c>
    </row>
    <row r="6987" customFormat="false" ht="15" hidden="false" customHeight="false" outlineLevel="0" collapsed="false">
      <c r="B6987" s="53"/>
      <c r="I6987" s="53"/>
      <c r="U6987" s="31" t="n">
        <f aca="false">IF($B6987='設定（最初に1回）'!$C$4,N(U6986)+1,N(U6986))</f>
        <v>134</v>
      </c>
    </row>
    <row r="6988" customFormat="false" ht="15" hidden="false" customHeight="false" outlineLevel="0" collapsed="false">
      <c r="B6988" s="53"/>
      <c r="I6988" s="53"/>
      <c r="U6988" s="31" t="n">
        <f aca="false">IF($B6988='設定（最初に1回）'!$C$4,N(U6987)+1,N(U6987))</f>
        <v>134</v>
      </c>
    </row>
    <row r="6989" customFormat="false" ht="15" hidden="false" customHeight="false" outlineLevel="0" collapsed="false">
      <c r="B6989" s="53"/>
      <c r="I6989" s="53"/>
      <c r="U6989" s="31" t="n">
        <f aca="false">IF($B6989='設定（最初に1回）'!$C$4,N(U6988)+1,N(U6988))</f>
        <v>134</v>
      </c>
    </row>
    <row r="6990" customFormat="false" ht="15" hidden="false" customHeight="false" outlineLevel="0" collapsed="false">
      <c r="B6990" s="53"/>
      <c r="I6990" s="53"/>
      <c r="U6990" s="31" t="n">
        <f aca="false">IF($B6990='設定（最初に1回）'!$C$4,N(U6989)+1,N(U6989))</f>
        <v>134</v>
      </c>
    </row>
    <row r="6991" customFormat="false" ht="15" hidden="false" customHeight="false" outlineLevel="0" collapsed="false">
      <c r="B6991" s="53"/>
      <c r="I6991" s="53"/>
      <c r="U6991" s="31" t="n">
        <f aca="false">IF($B6991='設定（最初に1回）'!$C$4,N(U6990)+1,N(U6990))</f>
        <v>134</v>
      </c>
    </row>
    <row r="6992" customFormat="false" ht="15" hidden="false" customHeight="false" outlineLevel="0" collapsed="false">
      <c r="B6992" s="53"/>
      <c r="I6992" s="53"/>
      <c r="U6992" s="31" t="n">
        <f aca="false">IF($B6992='設定（最初に1回）'!$C$4,N(U6991)+1,N(U6991))</f>
        <v>134</v>
      </c>
    </row>
    <row r="6993" customFormat="false" ht="15" hidden="false" customHeight="false" outlineLevel="0" collapsed="false">
      <c r="B6993" s="53"/>
      <c r="I6993" s="53"/>
      <c r="U6993" s="31" t="n">
        <f aca="false">IF($B6993='設定（最初に1回）'!$C$4,N(U6992)+1,N(U6992))</f>
        <v>134</v>
      </c>
    </row>
    <row r="6994" customFormat="false" ht="15" hidden="false" customHeight="false" outlineLevel="0" collapsed="false">
      <c r="B6994" s="53"/>
      <c r="I6994" s="53"/>
      <c r="U6994" s="31" t="n">
        <f aca="false">IF($B6994='設定（最初に1回）'!$C$4,N(U6993)+1,N(U6993))</f>
        <v>134</v>
      </c>
    </row>
    <row r="6995" customFormat="false" ht="15" hidden="false" customHeight="false" outlineLevel="0" collapsed="false">
      <c r="B6995" s="53"/>
      <c r="I6995" s="53"/>
      <c r="U6995" s="31" t="n">
        <f aca="false">IF($B6995='設定（最初に1回）'!$C$4,N(U6994)+1,N(U6994))</f>
        <v>134</v>
      </c>
    </row>
    <row r="6996" customFormat="false" ht="15" hidden="false" customHeight="false" outlineLevel="0" collapsed="false">
      <c r="B6996" s="53"/>
      <c r="I6996" s="53"/>
      <c r="U6996" s="31" t="n">
        <f aca="false">IF($B6996='設定（最初に1回）'!$C$4,N(U6995)+1,N(U6995))</f>
        <v>134</v>
      </c>
    </row>
    <row r="6997" customFormat="false" ht="15" hidden="false" customHeight="false" outlineLevel="0" collapsed="false">
      <c r="B6997" s="53"/>
      <c r="I6997" s="53"/>
      <c r="U6997" s="31" t="n">
        <f aca="false">IF($B6997='設定（最初に1回）'!$C$4,N(U6996)+1,N(U6996))</f>
        <v>134</v>
      </c>
    </row>
    <row r="6998" customFormat="false" ht="15" hidden="false" customHeight="false" outlineLevel="0" collapsed="false">
      <c r="B6998" s="53"/>
      <c r="I6998" s="53"/>
      <c r="U6998" s="31" t="n">
        <f aca="false">IF($B6998='設定（最初に1回）'!$C$4,N(U6997)+1,N(U6997))</f>
        <v>134</v>
      </c>
    </row>
    <row r="6999" customFormat="false" ht="15" hidden="false" customHeight="false" outlineLevel="0" collapsed="false">
      <c r="B6999" s="53"/>
      <c r="I6999" s="53"/>
      <c r="U6999" s="31" t="n">
        <f aca="false">IF($B6999='設定（最初に1回）'!$C$4,N(U6998)+1,N(U6998))</f>
        <v>134</v>
      </c>
    </row>
    <row r="7000" customFormat="false" ht="15" hidden="false" customHeight="false" outlineLevel="0" collapsed="false">
      <c r="B7000" s="53"/>
      <c r="I7000" s="53"/>
      <c r="U7000" s="31" t="n">
        <f aca="false">IF($B7000='設定（最初に1回）'!$C$4,N(U6999)+1,N(U6999))</f>
        <v>134</v>
      </c>
    </row>
    <row r="7001" customFormat="false" ht="15" hidden="false" customHeight="false" outlineLevel="0" collapsed="false">
      <c r="B7001" s="53"/>
      <c r="I7001" s="53"/>
      <c r="U7001" s="31" t="n">
        <f aca="false">IF($B7001='設定（最初に1回）'!$C$4,N(U7000)+1,N(U7000))</f>
        <v>134</v>
      </c>
    </row>
    <row r="7002" customFormat="false" ht="15" hidden="false" customHeight="false" outlineLevel="0" collapsed="false">
      <c r="B7002" s="53"/>
      <c r="I7002" s="53"/>
      <c r="U7002" s="31" t="n">
        <f aca="false">IF($B7002='設定（最初に1回）'!$C$4,N(U7001)+1,N(U7001))</f>
        <v>134</v>
      </c>
    </row>
    <row r="7003" customFormat="false" ht="15" hidden="false" customHeight="false" outlineLevel="0" collapsed="false">
      <c r="B7003" s="53"/>
      <c r="I7003" s="53"/>
      <c r="U7003" s="31" t="n">
        <f aca="false">IF($B7003='設定（最初に1回）'!$C$4,N(U7002)+1,N(U7002))</f>
        <v>134</v>
      </c>
    </row>
    <row r="7004" customFormat="false" ht="15" hidden="false" customHeight="false" outlineLevel="0" collapsed="false">
      <c r="B7004" s="53"/>
      <c r="I7004" s="53"/>
      <c r="U7004" s="31" t="n">
        <f aca="false">IF($B7004='設定（最初に1回）'!$C$4,N(U7003)+1,N(U7003))</f>
        <v>134</v>
      </c>
    </row>
    <row r="7005" customFormat="false" ht="15" hidden="false" customHeight="false" outlineLevel="0" collapsed="false">
      <c r="B7005" s="53"/>
      <c r="I7005" s="53"/>
      <c r="U7005" s="31" t="n">
        <f aca="false">IF($B7005='設定（最初に1回）'!$C$4,N(U7004)+1,N(U7004))</f>
        <v>134</v>
      </c>
    </row>
    <row r="7006" customFormat="false" ht="15" hidden="false" customHeight="false" outlineLevel="0" collapsed="false">
      <c r="B7006" s="53"/>
      <c r="I7006" s="53"/>
      <c r="U7006" s="31" t="n">
        <f aca="false">IF($B7006='設定（最初に1回）'!$C$4,N(U7005)+1,N(U7005))</f>
        <v>134</v>
      </c>
    </row>
    <row r="7007" customFormat="false" ht="15" hidden="false" customHeight="false" outlineLevel="0" collapsed="false">
      <c r="B7007" s="53"/>
      <c r="I7007" s="53"/>
      <c r="U7007" s="31" t="n">
        <f aca="false">IF($B7007='設定（最初に1回）'!$C$4,N(U7006)+1,N(U7006))</f>
        <v>134</v>
      </c>
    </row>
    <row r="7008" customFormat="false" ht="15" hidden="false" customHeight="false" outlineLevel="0" collapsed="false">
      <c r="B7008" s="53"/>
      <c r="I7008" s="53"/>
      <c r="U7008" s="31" t="n">
        <f aca="false">IF($B7008='設定（最初に1回）'!$C$4,N(U7007)+1,N(U7007))</f>
        <v>134</v>
      </c>
    </row>
    <row r="7009" customFormat="false" ht="15" hidden="false" customHeight="false" outlineLevel="0" collapsed="false">
      <c r="B7009" s="53"/>
      <c r="I7009" s="53"/>
      <c r="U7009" s="31" t="n">
        <f aca="false">IF($B7009='設定（最初に1回）'!$C$4,N(U7008)+1,N(U7008))</f>
        <v>134</v>
      </c>
    </row>
    <row r="7010" customFormat="false" ht="15" hidden="false" customHeight="false" outlineLevel="0" collapsed="false">
      <c r="B7010" s="53"/>
      <c r="I7010" s="53"/>
      <c r="U7010" s="31" t="n">
        <f aca="false">IF($B7010='設定（最初に1回）'!$C$4,N(U7009)+1,N(U7009))</f>
        <v>134</v>
      </c>
    </row>
    <row r="7011" customFormat="false" ht="15" hidden="false" customHeight="false" outlineLevel="0" collapsed="false">
      <c r="B7011" s="53"/>
      <c r="I7011" s="53"/>
      <c r="U7011" s="31" t="n">
        <f aca="false">IF($B7011='設定（最初に1回）'!$C$4,N(U7010)+1,N(U7010))</f>
        <v>134</v>
      </c>
    </row>
    <row r="7012" customFormat="false" ht="15" hidden="false" customHeight="false" outlineLevel="0" collapsed="false">
      <c r="B7012" s="53"/>
      <c r="I7012" s="53"/>
      <c r="U7012" s="31" t="n">
        <f aca="false">IF($B7012='設定（最初に1回）'!$C$4,N(U7011)+1,N(U7011))</f>
        <v>134</v>
      </c>
    </row>
    <row r="7013" customFormat="false" ht="15" hidden="false" customHeight="false" outlineLevel="0" collapsed="false">
      <c r="B7013" s="53"/>
      <c r="I7013" s="53"/>
      <c r="U7013" s="31" t="n">
        <f aca="false">IF($B7013='設定（最初に1回）'!$C$4,N(U7012)+1,N(U7012))</f>
        <v>134</v>
      </c>
    </row>
    <row r="7014" customFormat="false" ht="15" hidden="false" customHeight="false" outlineLevel="0" collapsed="false">
      <c r="B7014" s="53"/>
      <c r="I7014" s="53"/>
      <c r="U7014" s="31" t="n">
        <f aca="false">IF($B7014='設定（最初に1回）'!$C$4,N(U7013)+1,N(U7013))</f>
        <v>134</v>
      </c>
    </row>
    <row r="7015" customFormat="false" ht="15" hidden="false" customHeight="false" outlineLevel="0" collapsed="false">
      <c r="B7015" s="53"/>
      <c r="I7015" s="53"/>
      <c r="U7015" s="31" t="n">
        <f aca="false">IF($B7015='設定（最初に1回）'!$C$4,N(U7014)+1,N(U7014))</f>
        <v>134</v>
      </c>
    </row>
    <row r="7016" customFormat="false" ht="15" hidden="false" customHeight="false" outlineLevel="0" collapsed="false">
      <c r="B7016" s="53"/>
      <c r="I7016" s="53"/>
      <c r="U7016" s="31" t="n">
        <f aca="false">IF($B7016='設定（最初に1回）'!$C$4,N(U7015)+1,N(U7015))</f>
        <v>134</v>
      </c>
    </row>
    <row r="7017" customFormat="false" ht="15" hidden="false" customHeight="false" outlineLevel="0" collapsed="false">
      <c r="B7017" s="53"/>
      <c r="I7017" s="53"/>
      <c r="U7017" s="31" t="n">
        <f aca="false">IF($B7017='設定（最初に1回）'!$C$4,N(U7016)+1,N(U7016))</f>
        <v>134</v>
      </c>
    </row>
    <row r="7018" customFormat="false" ht="15" hidden="false" customHeight="false" outlineLevel="0" collapsed="false">
      <c r="B7018" s="53"/>
      <c r="I7018" s="53"/>
      <c r="U7018" s="31" t="n">
        <f aca="false">IF($B7018='設定（最初に1回）'!$C$4,N(U7017)+1,N(U7017))</f>
        <v>134</v>
      </c>
    </row>
    <row r="7019" customFormat="false" ht="15" hidden="false" customHeight="false" outlineLevel="0" collapsed="false">
      <c r="B7019" s="53"/>
      <c r="I7019" s="53"/>
      <c r="U7019" s="31" t="n">
        <f aca="false">IF($B7019='設定（最初に1回）'!$C$4,N(U7018)+1,N(U7018))</f>
        <v>134</v>
      </c>
    </row>
    <row r="7020" customFormat="false" ht="15" hidden="false" customHeight="false" outlineLevel="0" collapsed="false">
      <c r="B7020" s="53"/>
      <c r="I7020" s="53"/>
      <c r="U7020" s="31" t="n">
        <f aca="false">IF($B7020='設定（最初に1回）'!$C$4,N(U7019)+1,N(U7019))</f>
        <v>134</v>
      </c>
    </row>
    <row r="7021" customFormat="false" ht="15" hidden="false" customHeight="false" outlineLevel="0" collapsed="false">
      <c r="B7021" s="53"/>
      <c r="I7021" s="53"/>
      <c r="U7021" s="31" t="n">
        <f aca="false">IF($B7021='設定（最初に1回）'!$C$4,N(U7020)+1,N(U7020))</f>
        <v>134</v>
      </c>
    </row>
    <row r="7022" customFormat="false" ht="15" hidden="false" customHeight="false" outlineLevel="0" collapsed="false">
      <c r="B7022" s="53"/>
      <c r="I7022" s="53"/>
      <c r="U7022" s="31" t="n">
        <f aca="false">IF($B7022='設定（最初に1回）'!$C$4,N(U7021)+1,N(U7021))</f>
        <v>134</v>
      </c>
    </row>
    <row r="7023" customFormat="false" ht="15" hidden="false" customHeight="false" outlineLevel="0" collapsed="false">
      <c r="B7023" s="53"/>
      <c r="I7023" s="53"/>
      <c r="U7023" s="31" t="n">
        <f aca="false">IF($B7023='設定（最初に1回）'!$C$4,N(U7022)+1,N(U7022))</f>
        <v>134</v>
      </c>
    </row>
    <row r="7024" customFormat="false" ht="15" hidden="false" customHeight="false" outlineLevel="0" collapsed="false">
      <c r="B7024" s="53"/>
      <c r="I7024" s="53"/>
      <c r="U7024" s="31" t="n">
        <f aca="false">IF($B7024='設定（最初に1回）'!$C$4,N(U7023)+1,N(U7023))</f>
        <v>134</v>
      </c>
    </row>
    <row r="7025" customFormat="false" ht="15" hidden="false" customHeight="false" outlineLevel="0" collapsed="false">
      <c r="B7025" s="53"/>
      <c r="I7025" s="53"/>
      <c r="U7025" s="31" t="n">
        <f aca="false">IF($B7025='設定（最初に1回）'!$C$4,N(U7024)+1,N(U7024))</f>
        <v>134</v>
      </c>
    </row>
    <row r="7026" customFormat="false" ht="15" hidden="false" customHeight="false" outlineLevel="0" collapsed="false">
      <c r="B7026" s="53"/>
      <c r="I7026" s="53"/>
      <c r="U7026" s="31" t="n">
        <f aca="false">IF($B7026='設定（最初に1回）'!$C$4,N(U7025)+1,N(U7025))</f>
        <v>134</v>
      </c>
    </row>
    <row r="7027" customFormat="false" ht="15" hidden="false" customHeight="false" outlineLevel="0" collapsed="false">
      <c r="B7027" s="53"/>
      <c r="I7027" s="53"/>
      <c r="U7027" s="31" t="n">
        <f aca="false">IF($B7027='設定（最初に1回）'!$C$4,N(U7026)+1,N(U7026))</f>
        <v>134</v>
      </c>
    </row>
    <row r="7028" customFormat="false" ht="15" hidden="false" customHeight="false" outlineLevel="0" collapsed="false">
      <c r="B7028" s="53"/>
      <c r="I7028" s="53"/>
      <c r="U7028" s="31" t="n">
        <f aca="false">IF($B7028='設定（最初に1回）'!$C$4,N(U7027)+1,N(U7027))</f>
        <v>134</v>
      </c>
    </row>
    <row r="7029" customFormat="false" ht="15" hidden="false" customHeight="false" outlineLevel="0" collapsed="false">
      <c r="B7029" s="53"/>
      <c r="I7029" s="53"/>
      <c r="U7029" s="31" t="n">
        <f aca="false">IF($B7029='設定（最初に1回）'!$C$4,N(U7028)+1,N(U7028))</f>
        <v>134</v>
      </c>
    </row>
    <row r="7030" customFormat="false" ht="15" hidden="false" customHeight="false" outlineLevel="0" collapsed="false">
      <c r="B7030" s="53"/>
      <c r="I7030" s="53"/>
      <c r="U7030" s="31" t="n">
        <f aca="false">IF($B7030='設定（最初に1回）'!$C$4,N(U7029)+1,N(U7029))</f>
        <v>134</v>
      </c>
    </row>
    <row r="7031" customFormat="false" ht="15" hidden="false" customHeight="false" outlineLevel="0" collapsed="false">
      <c r="B7031" s="53"/>
      <c r="I7031" s="53"/>
      <c r="U7031" s="31" t="n">
        <f aca="false">IF($B7031='設定（最初に1回）'!$C$4,N(U7030)+1,N(U7030))</f>
        <v>134</v>
      </c>
    </row>
    <row r="7032" customFormat="false" ht="15" hidden="false" customHeight="false" outlineLevel="0" collapsed="false">
      <c r="B7032" s="53"/>
      <c r="I7032" s="53"/>
      <c r="U7032" s="31" t="n">
        <f aca="false">IF($B7032='設定（最初に1回）'!$C$4,N(U7031)+1,N(U7031))</f>
        <v>134</v>
      </c>
    </row>
    <row r="7033" customFormat="false" ht="15" hidden="false" customHeight="false" outlineLevel="0" collapsed="false">
      <c r="B7033" s="53"/>
      <c r="I7033" s="53"/>
      <c r="U7033" s="31" t="n">
        <f aca="false">IF($B7033='設定（最初に1回）'!$C$4,N(U7032)+1,N(U7032))</f>
        <v>134</v>
      </c>
    </row>
    <row r="7034" customFormat="false" ht="15" hidden="false" customHeight="false" outlineLevel="0" collapsed="false">
      <c r="B7034" s="53"/>
      <c r="I7034" s="53"/>
      <c r="U7034" s="31" t="n">
        <f aca="false">IF($B7034='設定（最初に1回）'!$C$4,N(U7033)+1,N(U7033))</f>
        <v>134</v>
      </c>
    </row>
    <row r="7035" customFormat="false" ht="15" hidden="false" customHeight="false" outlineLevel="0" collapsed="false">
      <c r="B7035" s="53"/>
      <c r="I7035" s="53"/>
      <c r="U7035" s="31" t="n">
        <f aca="false">IF($B7035='設定（最初に1回）'!$C$4,N(U7034)+1,N(U7034))</f>
        <v>134</v>
      </c>
    </row>
    <row r="7036" customFormat="false" ht="15" hidden="false" customHeight="false" outlineLevel="0" collapsed="false">
      <c r="B7036" s="53"/>
      <c r="I7036" s="53"/>
      <c r="U7036" s="31" t="n">
        <f aca="false">IF($B7036='設定（最初に1回）'!$C$4,N(U7035)+1,N(U7035))</f>
        <v>134</v>
      </c>
    </row>
    <row r="7037" customFormat="false" ht="15" hidden="false" customHeight="false" outlineLevel="0" collapsed="false">
      <c r="B7037" s="53"/>
      <c r="I7037" s="53"/>
      <c r="U7037" s="31" t="n">
        <f aca="false">IF($B7037='設定（最初に1回）'!$C$4,N(U7036)+1,N(U7036))</f>
        <v>134</v>
      </c>
    </row>
    <row r="7038" customFormat="false" ht="15" hidden="false" customHeight="false" outlineLevel="0" collapsed="false">
      <c r="B7038" s="53"/>
      <c r="I7038" s="53"/>
      <c r="U7038" s="31" t="n">
        <f aca="false">IF($B7038='設定（最初に1回）'!$C$4,N(U7037)+1,N(U7037))</f>
        <v>134</v>
      </c>
    </row>
    <row r="7039" customFormat="false" ht="15" hidden="false" customHeight="false" outlineLevel="0" collapsed="false">
      <c r="B7039" s="53"/>
      <c r="I7039" s="53"/>
      <c r="U7039" s="31" t="n">
        <f aca="false">IF($B7039='設定（最初に1回）'!$C$4,N(U7038)+1,N(U7038))</f>
        <v>134</v>
      </c>
    </row>
    <row r="7040" customFormat="false" ht="15" hidden="false" customHeight="false" outlineLevel="0" collapsed="false">
      <c r="B7040" s="53"/>
      <c r="I7040" s="53"/>
      <c r="U7040" s="31" t="n">
        <f aca="false">IF($B7040='設定（最初に1回）'!$C$4,N(U7039)+1,N(U7039))</f>
        <v>134</v>
      </c>
    </row>
    <row r="7041" customFormat="false" ht="15" hidden="false" customHeight="false" outlineLevel="0" collapsed="false">
      <c r="B7041" s="53"/>
      <c r="I7041" s="53"/>
      <c r="U7041" s="31" t="n">
        <f aca="false">IF($B7041='設定（最初に1回）'!$C$4,N(U7040)+1,N(U7040))</f>
        <v>134</v>
      </c>
    </row>
    <row r="7042" customFormat="false" ht="15" hidden="false" customHeight="false" outlineLevel="0" collapsed="false">
      <c r="B7042" s="53"/>
      <c r="I7042" s="53"/>
      <c r="U7042" s="31" t="n">
        <f aca="false">IF($B7042='設定（最初に1回）'!$C$4,N(U7041)+1,N(U7041))</f>
        <v>134</v>
      </c>
    </row>
    <row r="7043" customFormat="false" ht="15" hidden="false" customHeight="false" outlineLevel="0" collapsed="false">
      <c r="B7043" s="53"/>
      <c r="I7043" s="53"/>
      <c r="U7043" s="31" t="n">
        <f aca="false">IF($B7043='設定（最初に1回）'!$C$4,N(U7042)+1,N(U7042))</f>
        <v>134</v>
      </c>
    </row>
    <row r="7044" customFormat="false" ht="15" hidden="false" customHeight="false" outlineLevel="0" collapsed="false">
      <c r="B7044" s="53"/>
      <c r="I7044" s="53"/>
      <c r="U7044" s="31" t="n">
        <f aca="false">IF($B7044='設定（最初に1回）'!$C$4,N(U7043)+1,N(U7043))</f>
        <v>134</v>
      </c>
    </row>
    <row r="7045" customFormat="false" ht="15" hidden="false" customHeight="false" outlineLevel="0" collapsed="false">
      <c r="B7045" s="53"/>
      <c r="I7045" s="53"/>
      <c r="U7045" s="31" t="n">
        <f aca="false">IF($B7045='設定（最初に1回）'!$C$4,N(U7044)+1,N(U7044))</f>
        <v>134</v>
      </c>
    </row>
    <row r="7046" customFormat="false" ht="15" hidden="false" customHeight="false" outlineLevel="0" collapsed="false">
      <c r="B7046" s="53"/>
      <c r="I7046" s="53"/>
      <c r="U7046" s="31" t="n">
        <f aca="false">IF($B7046='設定（最初に1回）'!$C$4,N(U7045)+1,N(U7045))</f>
        <v>134</v>
      </c>
    </row>
    <row r="7047" customFormat="false" ht="15" hidden="false" customHeight="false" outlineLevel="0" collapsed="false">
      <c r="B7047" s="53"/>
      <c r="I7047" s="53"/>
      <c r="U7047" s="31" t="n">
        <f aca="false">IF($B7047='設定（最初に1回）'!$C$4,N(U7046)+1,N(U7046))</f>
        <v>134</v>
      </c>
    </row>
    <row r="7048" customFormat="false" ht="15" hidden="false" customHeight="false" outlineLevel="0" collapsed="false">
      <c r="B7048" s="53"/>
      <c r="I7048" s="53"/>
      <c r="U7048" s="31" t="n">
        <f aca="false">IF($B7048='設定（最初に1回）'!$C$4,N(U7047)+1,N(U7047))</f>
        <v>134</v>
      </c>
    </row>
    <row r="7049" customFormat="false" ht="15" hidden="false" customHeight="false" outlineLevel="0" collapsed="false">
      <c r="B7049" s="53"/>
      <c r="I7049" s="53"/>
      <c r="U7049" s="31" t="n">
        <f aca="false">IF($B7049='設定（最初に1回）'!$C$4,N(U7048)+1,N(U7048))</f>
        <v>134</v>
      </c>
    </row>
    <row r="7050" customFormat="false" ht="15" hidden="false" customHeight="false" outlineLevel="0" collapsed="false">
      <c r="B7050" s="53"/>
      <c r="I7050" s="53"/>
      <c r="U7050" s="31" t="n">
        <f aca="false">IF($B7050='設定（最初に1回）'!$C$4,N(U7049)+1,N(U7049))</f>
        <v>134</v>
      </c>
    </row>
    <row r="7051" customFormat="false" ht="15" hidden="false" customHeight="false" outlineLevel="0" collapsed="false">
      <c r="B7051" s="53"/>
      <c r="I7051" s="53"/>
      <c r="U7051" s="31" t="n">
        <f aca="false">IF($B7051='設定（最初に1回）'!$C$4,N(U7050)+1,N(U7050))</f>
        <v>134</v>
      </c>
    </row>
    <row r="7052" customFormat="false" ht="15" hidden="false" customHeight="false" outlineLevel="0" collapsed="false">
      <c r="B7052" s="53"/>
      <c r="I7052" s="53"/>
      <c r="U7052" s="31" t="n">
        <f aca="false">IF($B7052='設定（最初に1回）'!$C$4,N(U7051)+1,N(U7051))</f>
        <v>134</v>
      </c>
    </row>
    <row r="7053" customFormat="false" ht="15" hidden="false" customHeight="false" outlineLevel="0" collapsed="false">
      <c r="B7053" s="53"/>
      <c r="I7053" s="53"/>
      <c r="U7053" s="31" t="n">
        <f aca="false">IF($B7053='設定（最初に1回）'!$C$4,N(U7052)+1,N(U7052))</f>
        <v>134</v>
      </c>
    </row>
    <row r="7054" customFormat="false" ht="15" hidden="false" customHeight="false" outlineLevel="0" collapsed="false">
      <c r="B7054" s="53"/>
      <c r="I7054" s="53"/>
      <c r="U7054" s="31" t="n">
        <f aca="false">IF($B7054='設定（最初に1回）'!$C$4,N(U7053)+1,N(U7053))</f>
        <v>134</v>
      </c>
    </row>
    <row r="7055" customFormat="false" ht="15" hidden="false" customHeight="false" outlineLevel="0" collapsed="false">
      <c r="B7055" s="53"/>
      <c r="I7055" s="53"/>
      <c r="U7055" s="31" t="n">
        <f aca="false">IF($B7055='設定（最初に1回）'!$C$4,N(U7054)+1,N(U7054))</f>
        <v>134</v>
      </c>
    </row>
    <row r="7056" customFormat="false" ht="15" hidden="false" customHeight="false" outlineLevel="0" collapsed="false">
      <c r="B7056" s="53"/>
      <c r="I7056" s="53"/>
      <c r="U7056" s="31" t="n">
        <f aca="false">IF($B7056='設定（最初に1回）'!$C$4,N(U7055)+1,N(U7055))</f>
        <v>134</v>
      </c>
    </row>
    <row r="7057" customFormat="false" ht="15" hidden="false" customHeight="false" outlineLevel="0" collapsed="false">
      <c r="B7057" s="53"/>
      <c r="I7057" s="53"/>
      <c r="U7057" s="31" t="n">
        <f aca="false">IF($B7057='設定（最初に1回）'!$C$4,N(U7056)+1,N(U7056))</f>
        <v>134</v>
      </c>
    </row>
    <row r="7058" customFormat="false" ht="15" hidden="false" customHeight="false" outlineLevel="0" collapsed="false">
      <c r="B7058" s="53"/>
      <c r="I7058" s="53"/>
      <c r="U7058" s="31" t="n">
        <f aca="false">IF($B7058='設定（最初に1回）'!$C$4,N(U7057)+1,N(U7057))</f>
        <v>134</v>
      </c>
    </row>
    <row r="7059" customFormat="false" ht="15" hidden="false" customHeight="false" outlineLevel="0" collapsed="false">
      <c r="B7059" s="53"/>
      <c r="I7059" s="53"/>
      <c r="U7059" s="31" t="n">
        <f aca="false">IF($B7059='設定（最初に1回）'!$C$4,N(U7058)+1,N(U7058))</f>
        <v>134</v>
      </c>
    </row>
    <row r="7060" customFormat="false" ht="15" hidden="false" customHeight="false" outlineLevel="0" collapsed="false">
      <c r="B7060" s="53"/>
      <c r="I7060" s="53"/>
      <c r="U7060" s="31" t="n">
        <f aca="false">IF($B7060='設定（最初に1回）'!$C$4,N(U7059)+1,N(U7059))</f>
        <v>134</v>
      </c>
    </row>
    <row r="7061" customFormat="false" ht="15" hidden="false" customHeight="false" outlineLevel="0" collapsed="false">
      <c r="B7061" s="53"/>
      <c r="I7061" s="53"/>
      <c r="U7061" s="31" t="n">
        <f aca="false">IF($B7061='設定（最初に1回）'!$C$4,N(U7060)+1,N(U7060))</f>
        <v>134</v>
      </c>
    </row>
    <row r="7062" customFormat="false" ht="15" hidden="false" customHeight="false" outlineLevel="0" collapsed="false">
      <c r="B7062" s="53"/>
      <c r="I7062" s="53"/>
      <c r="U7062" s="31" t="n">
        <f aca="false">IF($B7062='設定（最初に1回）'!$C$4,N(U7061)+1,N(U7061))</f>
        <v>134</v>
      </c>
    </row>
    <row r="7063" customFormat="false" ht="15" hidden="false" customHeight="false" outlineLevel="0" collapsed="false">
      <c r="B7063" s="53"/>
      <c r="I7063" s="53"/>
      <c r="U7063" s="31" t="n">
        <f aca="false">IF($B7063='設定（最初に1回）'!$C$4,N(U7062)+1,N(U7062))</f>
        <v>134</v>
      </c>
    </row>
    <row r="7064" customFormat="false" ht="15" hidden="false" customHeight="false" outlineLevel="0" collapsed="false">
      <c r="B7064" s="53"/>
      <c r="I7064" s="53"/>
      <c r="U7064" s="31" t="n">
        <f aca="false">IF($B7064='設定（最初に1回）'!$C$4,N(U7063)+1,N(U7063))</f>
        <v>134</v>
      </c>
    </row>
    <row r="7065" customFormat="false" ht="15" hidden="false" customHeight="false" outlineLevel="0" collapsed="false">
      <c r="B7065" s="53"/>
      <c r="I7065" s="53"/>
      <c r="U7065" s="31" t="n">
        <f aca="false">IF($B7065='設定（最初に1回）'!$C$4,N(U7064)+1,N(U7064))</f>
        <v>134</v>
      </c>
    </row>
    <row r="7066" customFormat="false" ht="15" hidden="false" customHeight="false" outlineLevel="0" collapsed="false">
      <c r="B7066" s="53"/>
      <c r="I7066" s="53"/>
      <c r="U7066" s="31" t="n">
        <f aca="false">IF($B7066='設定（最初に1回）'!$C$4,N(U7065)+1,N(U7065))</f>
        <v>134</v>
      </c>
    </row>
    <row r="7067" customFormat="false" ht="15" hidden="false" customHeight="false" outlineLevel="0" collapsed="false">
      <c r="B7067" s="53"/>
      <c r="I7067" s="53"/>
      <c r="U7067" s="31" t="n">
        <f aca="false">IF($B7067='設定（最初に1回）'!$C$4,N(U7066)+1,N(U7066))</f>
        <v>134</v>
      </c>
    </row>
    <row r="7068" customFormat="false" ht="15" hidden="false" customHeight="false" outlineLevel="0" collapsed="false">
      <c r="B7068" s="53"/>
      <c r="I7068" s="53"/>
      <c r="U7068" s="31" t="n">
        <f aca="false">IF($B7068='設定（最初に1回）'!$C$4,N(U7067)+1,N(U7067))</f>
        <v>134</v>
      </c>
    </row>
    <row r="7069" customFormat="false" ht="15" hidden="false" customHeight="false" outlineLevel="0" collapsed="false">
      <c r="B7069" s="53"/>
      <c r="I7069" s="53"/>
      <c r="U7069" s="31" t="n">
        <f aca="false">IF($B7069='設定（最初に1回）'!$C$4,N(U7068)+1,N(U7068))</f>
        <v>134</v>
      </c>
    </row>
    <row r="7070" customFormat="false" ht="15" hidden="false" customHeight="false" outlineLevel="0" collapsed="false">
      <c r="B7070" s="53"/>
      <c r="I7070" s="53"/>
      <c r="U7070" s="31" t="n">
        <f aca="false">IF($B7070='設定（最初に1回）'!$C$4,N(U7069)+1,N(U7069))</f>
        <v>134</v>
      </c>
    </row>
    <row r="7071" customFormat="false" ht="15" hidden="false" customHeight="false" outlineLevel="0" collapsed="false">
      <c r="B7071" s="53"/>
      <c r="I7071" s="53"/>
      <c r="U7071" s="31" t="n">
        <f aca="false">IF($B7071='設定（最初に1回）'!$C$4,N(U7070)+1,N(U7070))</f>
        <v>134</v>
      </c>
    </row>
    <row r="7072" customFormat="false" ht="15" hidden="false" customHeight="false" outlineLevel="0" collapsed="false">
      <c r="B7072" s="53"/>
      <c r="I7072" s="53"/>
      <c r="U7072" s="31" t="n">
        <f aca="false">IF($B7072='設定（最初に1回）'!$C$4,N(U7071)+1,N(U7071))</f>
        <v>134</v>
      </c>
    </row>
    <row r="7073" customFormat="false" ht="15" hidden="false" customHeight="false" outlineLevel="0" collapsed="false">
      <c r="B7073" s="53"/>
      <c r="I7073" s="53"/>
      <c r="U7073" s="31" t="n">
        <f aca="false">IF($B7073='設定（最初に1回）'!$C$4,N(U7072)+1,N(U7072))</f>
        <v>134</v>
      </c>
    </row>
    <row r="7074" customFormat="false" ht="15" hidden="false" customHeight="false" outlineLevel="0" collapsed="false">
      <c r="B7074" s="53"/>
      <c r="I7074" s="53"/>
      <c r="U7074" s="31" t="n">
        <f aca="false">IF($B7074='設定（最初に1回）'!$C$4,N(U7073)+1,N(U7073))</f>
        <v>134</v>
      </c>
    </row>
    <row r="7075" customFormat="false" ht="15" hidden="false" customHeight="false" outlineLevel="0" collapsed="false">
      <c r="B7075" s="53"/>
      <c r="I7075" s="53"/>
      <c r="U7075" s="31" t="n">
        <f aca="false">IF($B7075='設定（最初に1回）'!$C$4,N(U7074)+1,N(U7074))</f>
        <v>134</v>
      </c>
    </row>
    <row r="7076" customFormat="false" ht="15" hidden="false" customHeight="false" outlineLevel="0" collapsed="false">
      <c r="B7076" s="53"/>
      <c r="I7076" s="53"/>
      <c r="U7076" s="31" t="n">
        <f aca="false">IF($B7076='設定（最初に1回）'!$C$4,N(U7075)+1,N(U7075))</f>
        <v>134</v>
      </c>
    </row>
    <row r="7077" customFormat="false" ht="15" hidden="false" customHeight="false" outlineLevel="0" collapsed="false">
      <c r="B7077" s="53"/>
      <c r="I7077" s="53"/>
      <c r="U7077" s="31" t="n">
        <f aca="false">IF($B7077='設定（最初に1回）'!$C$4,N(U7076)+1,N(U7076))</f>
        <v>134</v>
      </c>
    </row>
    <row r="7078" customFormat="false" ht="15" hidden="false" customHeight="false" outlineLevel="0" collapsed="false">
      <c r="B7078" s="53"/>
      <c r="I7078" s="53"/>
      <c r="U7078" s="31" t="n">
        <f aca="false">IF($B7078='設定（最初に1回）'!$C$4,N(U7077)+1,N(U7077))</f>
        <v>134</v>
      </c>
    </row>
    <row r="7079" customFormat="false" ht="15" hidden="false" customHeight="false" outlineLevel="0" collapsed="false">
      <c r="B7079" s="53"/>
      <c r="I7079" s="53"/>
      <c r="U7079" s="31" t="n">
        <f aca="false">IF($B7079='設定（最初に1回）'!$C$4,N(U7078)+1,N(U7078))</f>
        <v>134</v>
      </c>
    </row>
    <row r="7080" customFormat="false" ht="15" hidden="false" customHeight="false" outlineLevel="0" collapsed="false">
      <c r="B7080" s="53"/>
      <c r="I7080" s="53"/>
      <c r="U7080" s="31" t="n">
        <f aca="false">IF($B7080='設定（最初に1回）'!$C$4,N(U7079)+1,N(U7079))</f>
        <v>134</v>
      </c>
    </row>
    <row r="7081" customFormat="false" ht="15" hidden="false" customHeight="false" outlineLevel="0" collapsed="false">
      <c r="B7081" s="53"/>
      <c r="I7081" s="53"/>
      <c r="U7081" s="31" t="n">
        <f aca="false">IF($B7081='設定（最初に1回）'!$C$4,N(U7080)+1,N(U7080))</f>
        <v>134</v>
      </c>
    </row>
    <row r="7082" customFormat="false" ht="15" hidden="false" customHeight="false" outlineLevel="0" collapsed="false">
      <c r="B7082" s="53"/>
      <c r="I7082" s="53"/>
      <c r="U7082" s="31" t="n">
        <f aca="false">IF($B7082='設定（最初に1回）'!$C$4,N(U7081)+1,N(U7081))</f>
        <v>134</v>
      </c>
    </row>
    <row r="7083" customFormat="false" ht="15" hidden="false" customHeight="false" outlineLevel="0" collapsed="false">
      <c r="B7083" s="53"/>
      <c r="I7083" s="53"/>
      <c r="U7083" s="31" t="n">
        <f aca="false">IF($B7083='設定（最初に1回）'!$C$4,N(U7082)+1,N(U7082))</f>
        <v>134</v>
      </c>
    </row>
    <row r="7084" customFormat="false" ht="15" hidden="false" customHeight="false" outlineLevel="0" collapsed="false">
      <c r="B7084" s="53"/>
      <c r="I7084" s="53"/>
      <c r="U7084" s="31" t="n">
        <f aca="false">IF($B7084='設定（最初に1回）'!$C$4,N(U7083)+1,N(U7083))</f>
        <v>134</v>
      </c>
    </row>
    <row r="7085" customFormat="false" ht="15" hidden="false" customHeight="false" outlineLevel="0" collapsed="false">
      <c r="B7085" s="53"/>
      <c r="I7085" s="53"/>
      <c r="U7085" s="31" t="n">
        <f aca="false">IF($B7085='設定（最初に1回）'!$C$4,N(U7084)+1,N(U7084))</f>
        <v>134</v>
      </c>
    </row>
    <row r="7086" customFormat="false" ht="15" hidden="false" customHeight="false" outlineLevel="0" collapsed="false">
      <c r="B7086" s="53"/>
      <c r="I7086" s="53"/>
      <c r="U7086" s="31" t="n">
        <f aca="false">IF($B7086='設定（最初に1回）'!$C$4,N(U7085)+1,N(U7085))</f>
        <v>134</v>
      </c>
    </row>
    <row r="7087" customFormat="false" ht="15" hidden="false" customHeight="false" outlineLevel="0" collapsed="false">
      <c r="B7087" s="53"/>
      <c r="I7087" s="53"/>
      <c r="U7087" s="31" t="n">
        <f aca="false">IF($B7087='設定（最初に1回）'!$C$4,N(U7086)+1,N(U7086))</f>
        <v>134</v>
      </c>
    </row>
    <row r="7088" customFormat="false" ht="15" hidden="false" customHeight="false" outlineLevel="0" collapsed="false">
      <c r="B7088" s="53"/>
      <c r="I7088" s="53"/>
      <c r="U7088" s="31" t="n">
        <f aca="false">IF($B7088='設定（最初に1回）'!$C$4,N(U7087)+1,N(U7087))</f>
        <v>134</v>
      </c>
    </row>
    <row r="7089" customFormat="false" ht="15" hidden="false" customHeight="false" outlineLevel="0" collapsed="false">
      <c r="B7089" s="53"/>
      <c r="I7089" s="53"/>
      <c r="U7089" s="31" t="n">
        <f aca="false">IF($B7089='設定（最初に1回）'!$C$4,N(U7088)+1,N(U7088))</f>
        <v>134</v>
      </c>
    </row>
    <row r="7090" customFormat="false" ht="15" hidden="false" customHeight="false" outlineLevel="0" collapsed="false">
      <c r="B7090" s="53"/>
      <c r="I7090" s="53"/>
      <c r="U7090" s="31" t="n">
        <f aca="false">IF($B7090='設定（最初に1回）'!$C$4,N(U7089)+1,N(U7089))</f>
        <v>134</v>
      </c>
    </row>
    <row r="7091" customFormat="false" ht="15" hidden="false" customHeight="false" outlineLevel="0" collapsed="false">
      <c r="B7091" s="53"/>
      <c r="I7091" s="53"/>
      <c r="U7091" s="31" t="n">
        <f aca="false">IF($B7091='設定（最初に1回）'!$C$4,N(U7090)+1,N(U7090))</f>
        <v>134</v>
      </c>
    </row>
    <row r="7092" customFormat="false" ht="15" hidden="false" customHeight="false" outlineLevel="0" collapsed="false">
      <c r="B7092" s="53"/>
      <c r="I7092" s="53"/>
      <c r="U7092" s="31" t="n">
        <f aca="false">IF($B7092='設定（最初に1回）'!$C$4,N(U7091)+1,N(U7091))</f>
        <v>134</v>
      </c>
    </row>
    <row r="7093" customFormat="false" ht="15" hidden="false" customHeight="false" outlineLevel="0" collapsed="false">
      <c r="B7093" s="53"/>
      <c r="I7093" s="53"/>
      <c r="U7093" s="31" t="n">
        <f aca="false">IF($B7093='設定（最初に1回）'!$C$4,N(U7092)+1,N(U7092))</f>
        <v>134</v>
      </c>
    </row>
    <row r="7094" customFormat="false" ht="15" hidden="false" customHeight="false" outlineLevel="0" collapsed="false">
      <c r="B7094" s="53"/>
      <c r="I7094" s="53"/>
      <c r="U7094" s="31" t="n">
        <f aca="false">IF($B7094='設定（最初に1回）'!$C$4,N(U7093)+1,N(U7093))</f>
        <v>134</v>
      </c>
    </row>
    <row r="7095" customFormat="false" ht="15" hidden="false" customHeight="false" outlineLevel="0" collapsed="false">
      <c r="B7095" s="53"/>
      <c r="I7095" s="53"/>
      <c r="U7095" s="31" t="n">
        <f aca="false">IF($B7095='設定（最初に1回）'!$C$4,N(U7094)+1,N(U7094))</f>
        <v>134</v>
      </c>
    </row>
    <row r="7096" customFormat="false" ht="15" hidden="false" customHeight="false" outlineLevel="0" collapsed="false">
      <c r="B7096" s="53"/>
      <c r="I7096" s="53"/>
      <c r="U7096" s="31" t="n">
        <f aca="false">IF($B7096='設定（最初に1回）'!$C$4,N(U7095)+1,N(U7095))</f>
        <v>134</v>
      </c>
    </row>
    <row r="7097" customFormat="false" ht="15" hidden="false" customHeight="false" outlineLevel="0" collapsed="false">
      <c r="B7097" s="53"/>
      <c r="I7097" s="53"/>
      <c r="U7097" s="31" t="n">
        <f aca="false">IF($B7097='設定（最初に1回）'!$C$4,N(U7096)+1,N(U7096))</f>
        <v>134</v>
      </c>
    </row>
    <row r="7098" customFormat="false" ht="15" hidden="false" customHeight="false" outlineLevel="0" collapsed="false">
      <c r="B7098" s="53"/>
      <c r="I7098" s="53"/>
      <c r="U7098" s="31" t="n">
        <f aca="false">IF($B7098='設定（最初に1回）'!$C$4,N(U7097)+1,N(U7097))</f>
        <v>134</v>
      </c>
    </row>
    <row r="7099" customFormat="false" ht="15" hidden="false" customHeight="false" outlineLevel="0" collapsed="false">
      <c r="B7099" s="53"/>
      <c r="I7099" s="53"/>
      <c r="U7099" s="31" t="n">
        <f aca="false">IF($B7099='設定（最初に1回）'!$C$4,N(U7098)+1,N(U7098))</f>
        <v>134</v>
      </c>
    </row>
    <row r="7100" customFormat="false" ht="15" hidden="false" customHeight="false" outlineLevel="0" collapsed="false">
      <c r="B7100" s="53"/>
      <c r="I7100" s="53"/>
      <c r="U7100" s="31" t="n">
        <f aca="false">IF($B7100='設定（最初に1回）'!$C$4,N(U7099)+1,N(U7099))</f>
        <v>134</v>
      </c>
    </row>
    <row r="7101" customFormat="false" ht="15" hidden="false" customHeight="false" outlineLevel="0" collapsed="false">
      <c r="B7101" s="53"/>
      <c r="I7101" s="53"/>
      <c r="U7101" s="31" t="n">
        <f aca="false">IF($B7101='設定（最初に1回）'!$C$4,N(U7100)+1,N(U7100))</f>
        <v>134</v>
      </c>
    </row>
    <row r="7102" customFormat="false" ht="15" hidden="false" customHeight="false" outlineLevel="0" collapsed="false">
      <c r="B7102" s="53"/>
      <c r="I7102" s="53"/>
      <c r="U7102" s="31" t="n">
        <f aca="false">IF($B7102='設定（最初に1回）'!$C$4,N(U7101)+1,N(U7101))</f>
        <v>134</v>
      </c>
    </row>
    <row r="7103" customFormat="false" ht="15" hidden="false" customHeight="false" outlineLevel="0" collapsed="false">
      <c r="B7103" s="53"/>
      <c r="I7103" s="53"/>
      <c r="U7103" s="31" t="n">
        <f aca="false">IF($B7103='設定（最初に1回）'!$C$4,N(U7102)+1,N(U7102))</f>
        <v>134</v>
      </c>
    </row>
    <row r="7104" customFormat="false" ht="15" hidden="false" customHeight="false" outlineLevel="0" collapsed="false">
      <c r="B7104" s="53"/>
      <c r="I7104" s="53"/>
      <c r="U7104" s="31" t="n">
        <f aca="false">IF($B7104='設定（最初に1回）'!$C$4,N(U7103)+1,N(U7103))</f>
        <v>134</v>
      </c>
    </row>
    <row r="7105" customFormat="false" ht="15" hidden="false" customHeight="false" outlineLevel="0" collapsed="false">
      <c r="B7105" s="53"/>
      <c r="I7105" s="53"/>
      <c r="U7105" s="31" t="n">
        <f aca="false">IF($B7105='設定（最初に1回）'!$C$4,N(U7104)+1,N(U7104))</f>
        <v>134</v>
      </c>
    </row>
    <row r="7106" customFormat="false" ht="15" hidden="false" customHeight="false" outlineLevel="0" collapsed="false">
      <c r="B7106" s="53"/>
      <c r="I7106" s="53"/>
      <c r="U7106" s="31" t="n">
        <f aca="false">IF($B7106='設定（最初に1回）'!$C$4,N(U7105)+1,N(U7105))</f>
        <v>134</v>
      </c>
    </row>
    <row r="7107" customFormat="false" ht="15" hidden="false" customHeight="false" outlineLevel="0" collapsed="false">
      <c r="B7107" s="53"/>
      <c r="I7107" s="53"/>
      <c r="U7107" s="31" t="n">
        <f aca="false">IF($B7107='設定（最初に1回）'!$C$4,N(U7106)+1,N(U7106))</f>
        <v>134</v>
      </c>
    </row>
    <row r="7108" customFormat="false" ht="15" hidden="false" customHeight="false" outlineLevel="0" collapsed="false">
      <c r="B7108" s="53"/>
      <c r="I7108" s="53"/>
      <c r="U7108" s="31" t="n">
        <f aca="false">IF($B7108='設定（最初に1回）'!$C$4,N(U7107)+1,N(U7107))</f>
        <v>134</v>
      </c>
    </row>
    <row r="7109" customFormat="false" ht="15" hidden="false" customHeight="false" outlineLevel="0" collapsed="false">
      <c r="B7109" s="53"/>
      <c r="I7109" s="53"/>
      <c r="U7109" s="31" t="n">
        <f aca="false">IF($B7109='設定（最初に1回）'!$C$4,N(U7108)+1,N(U7108))</f>
        <v>134</v>
      </c>
    </row>
    <row r="7110" customFormat="false" ht="15" hidden="false" customHeight="false" outlineLevel="0" collapsed="false">
      <c r="B7110" s="53"/>
      <c r="I7110" s="53"/>
      <c r="U7110" s="31" t="n">
        <f aca="false">IF($B7110='設定（最初に1回）'!$C$4,N(U7109)+1,N(U7109))</f>
        <v>134</v>
      </c>
    </row>
    <row r="7111" customFormat="false" ht="15" hidden="false" customHeight="false" outlineLevel="0" collapsed="false">
      <c r="B7111" s="53"/>
      <c r="I7111" s="53"/>
      <c r="U7111" s="31" t="n">
        <f aca="false">IF($B7111='設定（最初に1回）'!$C$4,N(U7110)+1,N(U7110))</f>
        <v>134</v>
      </c>
    </row>
    <row r="7112" customFormat="false" ht="15" hidden="false" customHeight="false" outlineLevel="0" collapsed="false">
      <c r="B7112" s="53"/>
      <c r="I7112" s="53"/>
      <c r="U7112" s="31" t="n">
        <f aca="false">IF($B7112='設定（最初に1回）'!$C$4,N(U7111)+1,N(U7111))</f>
        <v>134</v>
      </c>
    </row>
    <row r="7113" customFormat="false" ht="15" hidden="false" customHeight="false" outlineLevel="0" collapsed="false">
      <c r="B7113" s="53"/>
      <c r="I7113" s="53"/>
      <c r="U7113" s="31" t="n">
        <f aca="false">IF($B7113='設定（最初に1回）'!$C$4,N(U7112)+1,N(U7112))</f>
        <v>134</v>
      </c>
    </row>
    <row r="7114" customFormat="false" ht="15" hidden="false" customHeight="false" outlineLevel="0" collapsed="false">
      <c r="B7114" s="53"/>
      <c r="I7114" s="53"/>
      <c r="U7114" s="31" t="n">
        <f aca="false">IF($B7114='設定（最初に1回）'!$C$4,N(U7113)+1,N(U7113))</f>
        <v>134</v>
      </c>
    </row>
    <row r="7115" customFormat="false" ht="15" hidden="false" customHeight="false" outlineLevel="0" collapsed="false">
      <c r="B7115" s="53"/>
      <c r="I7115" s="53"/>
      <c r="U7115" s="31" t="n">
        <f aca="false">IF($B7115='設定（最初に1回）'!$C$4,N(U7114)+1,N(U7114))</f>
        <v>134</v>
      </c>
    </row>
    <row r="7116" customFormat="false" ht="15" hidden="false" customHeight="false" outlineLevel="0" collapsed="false">
      <c r="B7116" s="53"/>
      <c r="I7116" s="53"/>
      <c r="U7116" s="31" t="n">
        <f aca="false">IF($B7116='設定（最初に1回）'!$C$4,N(U7115)+1,N(U7115))</f>
        <v>134</v>
      </c>
    </row>
    <row r="7117" customFormat="false" ht="15" hidden="false" customHeight="false" outlineLevel="0" collapsed="false">
      <c r="B7117" s="53"/>
      <c r="I7117" s="53"/>
      <c r="U7117" s="31" t="n">
        <f aca="false">IF($B7117='設定（最初に1回）'!$C$4,N(U7116)+1,N(U7116))</f>
        <v>134</v>
      </c>
    </row>
    <row r="7118" customFormat="false" ht="15" hidden="false" customHeight="false" outlineLevel="0" collapsed="false">
      <c r="B7118" s="53"/>
      <c r="I7118" s="53"/>
      <c r="U7118" s="31" t="n">
        <f aca="false">IF($B7118='設定（最初に1回）'!$C$4,N(U7117)+1,N(U7117))</f>
        <v>134</v>
      </c>
    </row>
    <row r="7119" customFormat="false" ht="15" hidden="false" customHeight="false" outlineLevel="0" collapsed="false">
      <c r="B7119" s="53"/>
      <c r="I7119" s="53"/>
      <c r="U7119" s="31" t="n">
        <f aca="false">IF($B7119='設定（最初に1回）'!$C$4,N(U7118)+1,N(U7118))</f>
        <v>134</v>
      </c>
    </row>
    <row r="7120" customFormat="false" ht="15" hidden="false" customHeight="false" outlineLevel="0" collapsed="false">
      <c r="B7120" s="53"/>
      <c r="I7120" s="53"/>
      <c r="U7120" s="31" t="n">
        <f aca="false">IF($B7120='設定（最初に1回）'!$C$4,N(U7119)+1,N(U7119))</f>
        <v>134</v>
      </c>
    </row>
    <row r="7121" customFormat="false" ht="15" hidden="false" customHeight="false" outlineLevel="0" collapsed="false">
      <c r="B7121" s="53"/>
      <c r="I7121" s="53"/>
      <c r="U7121" s="31" t="n">
        <f aca="false">IF($B7121='設定（最初に1回）'!$C$4,N(U7120)+1,N(U7120))</f>
        <v>134</v>
      </c>
    </row>
    <row r="7122" customFormat="false" ht="15" hidden="false" customHeight="false" outlineLevel="0" collapsed="false">
      <c r="B7122" s="53"/>
      <c r="I7122" s="53"/>
      <c r="U7122" s="31" t="n">
        <f aca="false">IF($B7122='設定（最初に1回）'!$C$4,N(U7121)+1,N(U7121))</f>
        <v>134</v>
      </c>
    </row>
    <row r="7123" customFormat="false" ht="15" hidden="false" customHeight="false" outlineLevel="0" collapsed="false">
      <c r="B7123" s="53"/>
      <c r="I7123" s="53"/>
      <c r="U7123" s="31" t="n">
        <f aca="false">IF($B7123='設定（最初に1回）'!$C$4,N(U7122)+1,N(U7122))</f>
        <v>134</v>
      </c>
    </row>
    <row r="7124" customFormat="false" ht="15" hidden="false" customHeight="false" outlineLevel="0" collapsed="false">
      <c r="B7124" s="53"/>
      <c r="I7124" s="53"/>
      <c r="U7124" s="31" t="n">
        <f aca="false">IF($B7124='設定（最初に1回）'!$C$4,N(U7123)+1,N(U7123))</f>
        <v>134</v>
      </c>
    </row>
    <row r="7125" customFormat="false" ht="15" hidden="false" customHeight="false" outlineLevel="0" collapsed="false">
      <c r="B7125" s="53"/>
      <c r="I7125" s="53"/>
      <c r="U7125" s="31" t="n">
        <f aca="false">IF($B7125='設定（最初に1回）'!$C$4,N(U7124)+1,N(U7124))</f>
        <v>134</v>
      </c>
    </row>
    <row r="7126" customFormat="false" ht="15" hidden="false" customHeight="false" outlineLevel="0" collapsed="false">
      <c r="B7126" s="53"/>
      <c r="I7126" s="53"/>
      <c r="U7126" s="31" t="n">
        <f aca="false">IF($B7126='設定（最初に1回）'!$C$4,N(U7125)+1,N(U7125))</f>
        <v>134</v>
      </c>
    </row>
    <row r="7127" customFormat="false" ht="15" hidden="false" customHeight="false" outlineLevel="0" collapsed="false">
      <c r="B7127" s="53"/>
      <c r="I7127" s="53"/>
      <c r="U7127" s="31" t="n">
        <f aca="false">IF($B7127='設定（最初に1回）'!$C$4,N(U7126)+1,N(U7126))</f>
        <v>134</v>
      </c>
    </row>
    <row r="7128" customFormat="false" ht="15" hidden="false" customHeight="false" outlineLevel="0" collapsed="false">
      <c r="B7128" s="53"/>
      <c r="I7128" s="53"/>
      <c r="U7128" s="31" t="n">
        <f aca="false">IF($B7128='設定（最初に1回）'!$C$4,N(U7127)+1,N(U7127))</f>
        <v>134</v>
      </c>
    </row>
    <row r="7129" customFormat="false" ht="15" hidden="false" customHeight="false" outlineLevel="0" collapsed="false">
      <c r="B7129" s="53"/>
      <c r="I7129" s="53"/>
      <c r="U7129" s="31" t="n">
        <f aca="false">IF($B7129='設定（最初に1回）'!$C$4,N(U7128)+1,N(U7128))</f>
        <v>134</v>
      </c>
    </row>
    <row r="7130" customFormat="false" ht="15" hidden="false" customHeight="false" outlineLevel="0" collapsed="false">
      <c r="B7130" s="53"/>
      <c r="I7130" s="53"/>
      <c r="U7130" s="31" t="n">
        <f aca="false">IF($B7130='設定（最初に1回）'!$C$4,N(U7129)+1,N(U7129))</f>
        <v>134</v>
      </c>
    </row>
    <row r="7131" customFormat="false" ht="15" hidden="false" customHeight="false" outlineLevel="0" collapsed="false">
      <c r="B7131" s="53"/>
      <c r="I7131" s="53"/>
      <c r="U7131" s="31" t="n">
        <f aca="false">IF($B7131='設定（最初に1回）'!$C$4,N(U7130)+1,N(U7130))</f>
        <v>134</v>
      </c>
    </row>
    <row r="7132" customFormat="false" ht="15" hidden="false" customHeight="false" outlineLevel="0" collapsed="false">
      <c r="B7132" s="53"/>
      <c r="I7132" s="53"/>
      <c r="U7132" s="31" t="n">
        <f aca="false">IF($B7132='設定（最初に1回）'!$C$4,N(U7131)+1,N(U7131))</f>
        <v>134</v>
      </c>
    </row>
    <row r="7133" customFormat="false" ht="15" hidden="false" customHeight="false" outlineLevel="0" collapsed="false">
      <c r="B7133" s="53"/>
      <c r="I7133" s="53"/>
      <c r="U7133" s="31" t="n">
        <f aca="false">IF($B7133='設定（最初に1回）'!$C$4,N(U7132)+1,N(U7132))</f>
        <v>134</v>
      </c>
    </row>
    <row r="7134" customFormat="false" ht="15" hidden="false" customHeight="false" outlineLevel="0" collapsed="false">
      <c r="B7134" s="53"/>
      <c r="I7134" s="53"/>
      <c r="U7134" s="31" t="n">
        <f aca="false">IF($B7134='設定（最初に1回）'!$C$4,N(U7133)+1,N(U7133))</f>
        <v>134</v>
      </c>
    </row>
    <row r="7135" customFormat="false" ht="15" hidden="false" customHeight="false" outlineLevel="0" collapsed="false">
      <c r="B7135" s="53"/>
      <c r="I7135" s="53"/>
      <c r="U7135" s="31" t="n">
        <f aca="false">IF($B7135='設定（最初に1回）'!$C$4,N(U7134)+1,N(U7134))</f>
        <v>134</v>
      </c>
    </row>
    <row r="7136" customFormat="false" ht="15" hidden="false" customHeight="false" outlineLevel="0" collapsed="false">
      <c r="B7136" s="53"/>
      <c r="I7136" s="53"/>
      <c r="U7136" s="31" t="n">
        <f aca="false">IF($B7136='設定（最初に1回）'!$C$4,N(U7135)+1,N(U7135))</f>
        <v>134</v>
      </c>
    </row>
    <row r="7137" customFormat="false" ht="15" hidden="false" customHeight="false" outlineLevel="0" collapsed="false">
      <c r="B7137" s="53"/>
      <c r="I7137" s="53"/>
      <c r="U7137" s="31" t="n">
        <f aca="false">IF($B7137='設定（最初に1回）'!$C$4,N(U7136)+1,N(U7136))</f>
        <v>134</v>
      </c>
    </row>
    <row r="7138" customFormat="false" ht="15" hidden="false" customHeight="false" outlineLevel="0" collapsed="false">
      <c r="B7138" s="53"/>
      <c r="I7138" s="53"/>
      <c r="U7138" s="31" t="n">
        <f aca="false">IF($B7138='設定（最初に1回）'!$C$4,N(U7137)+1,N(U7137))</f>
        <v>134</v>
      </c>
    </row>
    <row r="7139" customFormat="false" ht="15" hidden="false" customHeight="false" outlineLevel="0" collapsed="false">
      <c r="B7139" s="53"/>
      <c r="I7139" s="53"/>
      <c r="U7139" s="31" t="n">
        <f aca="false">IF($B7139='設定（最初に1回）'!$C$4,N(U7138)+1,N(U7138))</f>
        <v>134</v>
      </c>
    </row>
    <row r="7140" customFormat="false" ht="15" hidden="false" customHeight="false" outlineLevel="0" collapsed="false">
      <c r="B7140" s="53"/>
      <c r="I7140" s="53"/>
      <c r="U7140" s="31" t="n">
        <f aca="false">IF($B7140='設定（最初に1回）'!$C$4,N(U7139)+1,N(U7139))</f>
        <v>134</v>
      </c>
    </row>
    <row r="7141" customFormat="false" ht="15" hidden="false" customHeight="false" outlineLevel="0" collapsed="false">
      <c r="B7141" s="53"/>
      <c r="I7141" s="53"/>
      <c r="U7141" s="31" t="n">
        <f aca="false">IF($B7141='設定（最初に1回）'!$C$4,N(U7140)+1,N(U7140))</f>
        <v>134</v>
      </c>
    </row>
    <row r="7142" customFormat="false" ht="15" hidden="false" customHeight="false" outlineLevel="0" collapsed="false">
      <c r="B7142" s="53"/>
      <c r="I7142" s="53"/>
      <c r="U7142" s="31" t="n">
        <f aca="false">IF($B7142='設定（最初に1回）'!$C$4,N(U7141)+1,N(U7141))</f>
        <v>134</v>
      </c>
    </row>
    <row r="7143" customFormat="false" ht="15" hidden="false" customHeight="false" outlineLevel="0" collapsed="false">
      <c r="B7143" s="53"/>
      <c r="I7143" s="53"/>
      <c r="U7143" s="31" t="n">
        <f aca="false">IF($B7143='設定（最初に1回）'!$C$4,N(U7142)+1,N(U7142))</f>
        <v>134</v>
      </c>
    </row>
    <row r="7144" customFormat="false" ht="15" hidden="false" customHeight="false" outlineLevel="0" collapsed="false">
      <c r="B7144" s="53"/>
      <c r="I7144" s="53"/>
      <c r="U7144" s="31" t="n">
        <f aca="false">IF($B7144='設定（最初に1回）'!$C$4,N(U7143)+1,N(U7143))</f>
        <v>134</v>
      </c>
    </row>
    <row r="7145" customFormat="false" ht="15" hidden="false" customHeight="false" outlineLevel="0" collapsed="false">
      <c r="B7145" s="53"/>
      <c r="I7145" s="53"/>
      <c r="U7145" s="31" t="n">
        <f aca="false">IF($B7145='設定（最初に1回）'!$C$4,N(U7144)+1,N(U7144))</f>
        <v>134</v>
      </c>
    </row>
    <row r="7146" customFormat="false" ht="15" hidden="false" customHeight="false" outlineLevel="0" collapsed="false">
      <c r="B7146" s="53"/>
      <c r="I7146" s="53"/>
      <c r="U7146" s="31" t="n">
        <f aca="false">IF($B7146='設定（最初に1回）'!$C$4,N(U7145)+1,N(U7145))</f>
        <v>134</v>
      </c>
    </row>
    <row r="7147" customFormat="false" ht="15" hidden="false" customHeight="false" outlineLevel="0" collapsed="false">
      <c r="B7147" s="53"/>
      <c r="I7147" s="53"/>
      <c r="U7147" s="31" t="n">
        <f aca="false">IF($B7147='設定（最初に1回）'!$C$4,N(U7146)+1,N(U7146))</f>
        <v>134</v>
      </c>
    </row>
    <row r="7148" customFormat="false" ht="15" hidden="false" customHeight="false" outlineLevel="0" collapsed="false">
      <c r="B7148" s="53"/>
      <c r="I7148" s="53"/>
      <c r="U7148" s="31" t="n">
        <f aca="false">IF($B7148='設定（最初に1回）'!$C$4,N(U7147)+1,N(U7147))</f>
        <v>134</v>
      </c>
    </row>
    <row r="7149" customFormat="false" ht="15" hidden="false" customHeight="false" outlineLevel="0" collapsed="false">
      <c r="B7149" s="53"/>
      <c r="I7149" s="53"/>
      <c r="U7149" s="31" t="n">
        <f aca="false">IF($B7149='設定（最初に1回）'!$C$4,N(U7148)+1,N(U7148))</f>
        <v>134</v>
      </c>
    </row>
    <row r="7150" customFormat="false" ht="15" hidden="false" customHeight="false" outlineLevel="0" collapsed="false">
      <c r="B7150" s="53"/>
      <c r="I7150" s="53"/>
      <c r="U7150" s="31" t="n">
        <f aca="false">IF($B7150='設定（最初に1回）'!$C$4,N(U7149)+1,N(U7149))</f>
        <v>134</v>
      </c>
    </row>
    <row r="7151" customFormat="false" ht="15" hidden="false" customHeight="false" outlineLevel="0" collapsed="false">
      <c r="B7151" s="53"/>
      <c r="I7151" s="53"/>
      <c r="U7151" s="31" t="n">
        <f aca="false">IF($B7151='設定（最初に1回）'!$C$4,N(U7150)+1,N(U7150))</f>
        <v>134</v>
      </c>
    </row>
    <row r="7152" customFormat="false" ht="15" hidden="false" customHeight="false" outlineLevel="0" collapsed="false">
      <c r="B7152" s="53"/>
      <c r="I7152" s="53"/>
      <c r="U7152" s="31" t="n">
        <f aca="false">IF($B7152='設定（最初に1回）'!$C$4,N(U7151)+1,N(U7151))</f>
        <v>134</v>
      </c>
    </row>
    <row r="7153" customFormat="false" ht="15" hidden="false" customHeight="false" outlineLevel="0" collapsed="false">
      <c r="B7153" s="53"/>
      <c r="I7153" s="53"/>
      <c r="U7153" s="31" t="n">
        <f aca="false">IF($B7153='設定（最初に1回）'!$C$4,N(U7152)+1,N(U7152))</f>
        <v>134</v>
      </c>
    </row>
    <row r="7154" customFormat="false" ht="15" hidden="false" customHeight="false" outlineLevel="0" collapsed="false">
      <c r="B7154" s="53"/>
      <c r="I7154" s="53"/>
      <c r="U7154" s="31" t="n">
        <f aca="false">IF($B7154='設定（最初に1回）'!$C$4,N(U7153)+1,N(U7153))</f>
        <v>134</v>
      </c>
    </row>
    <row r="7155" customFormat="false" ht="15" hidden="false" customHeight="false" outlineLevel="0" collapsed="false">
      <c r="B7155" s="53"/>
      <c r="I7155" s="53"/>
      <c r="U7155" s="31" t="n">
        <f aca="false">IF($B7155='設定（最初に1回）'!$C$4,N(U7154)+1,N(U7154))</f>
        <v>134</v>
      </c>
    </row>
    <row r="7156" customFormat="false" ht="15" hidden="false" customHeight="false" outlineLevel="0" collapsed="false">
      <c r="B7156" s="53"/>
      <c r="I7156" s="53"/>
      <c r="U7156" s="31" t="n">
        <f aca="false">IF($B7156='設定（最初に1回）'!$C$4,N(U7155)+1,N(U7155))</f>
        <v>134</v>
      </c>
    </row>
    <row r="7157" customFormat="false" ht="15" hidden="false" customHeight="false" outlineLevel="0" collapsed="false">
      <c r="B7157" s="53"/>
      <c r="I7157" s="53"/>
      <c r="U7157" s="31" t="n">
        <f aca="false">IF($B7157='設定（最初に1回）'!$C$4,N(U7156)+1,N(U7156))</f>
        <v>134</v>
      </c>
    </row>
    <row r="7158" customFormat="false" ht="15" hidden="false" customHeight="false" outlineLevel="0" collapsed="false">
      <c r="B7158" s="53"/>
      <c r="I7158" s="53"/>
      <c r="U7158" s="31" t="n">
        <f aca="false">IF($B7158='設定（最初に1回）'!$C$4,N(U7157)+1,N(U7157))</f>
        <v>134</v>
      </c>
    </row>
    <row r="7159" customFormat="false" ht="15" hidden="false" customHeight="false" outlineLevel="0" collapsed="false">
      <c r="B7159" s="53"/>
      <c r="I7159" s="53"/>
      <c r="U7159" s="31" t="n">
        <f aca="false">IF($B7159='設定（最初に1回）'!$C$4,N(U7158)+1,N(U7158))</f>
        <v>134</v>
      </c>
    </row>
    <row r="7160" customFormat="false" ht="15" hidden="false" customHeight="false" outlineLevel="0" collapsed="false">
      <c r="B7160" s="53"/>
      <c r="I7160" s="53"/>
      <c r="U7160" s="31" t="n">
        <f aca="false">IF($B7160='設定（最初に1回）'!$C$4,N(U7159)+1,N(U7159))</f>
        <v>134</v>
      </c>
    </row>
    <row r="7161" customFormat="false" ht="15" hidden="false" customHeight="false" outlineLevel="0" collapsed="false">
      <c r="B7161" s="53"/>
      <c r="I7161" s="53"/>
      <c r="U7161" s="31" t="n">
        <f aca="false">IF($B7161='設定（最初に1回）'!$C$4,N(U7160)+1,N(U7160))</f>
        <v>134</v>
      </c>
    </row>
    <row r="7162" customFormat="false" ht="15" hidden="false" customHeight="false" outlineLevel="0" collapsed="false">
      <c r="B7162" s="53"/>
      <c r="I7162" s="53"/>
      <c r="U7162" s="31" t="n">
        <f aca="false">IF($B7162='設定（最初に1回）'!$C$4,N(U7161)+1,N(U7161))</f>
        <v>134</v>
      </c>
    </row>
    <row r="7163" customFormat="false" ht="15" hidden="false" customHeight="false" outlineLevel="0" collapsed="false">
      <c r="B7163" s="53"/>
      <c r="I7163" s="53"/>
      <c r="U7163" s="31" t="n">
        <f aca="false">IF($B7163='設定（最初に1回）'!$C$4,N(U7162)+1,N(U7162))</f>
        <v>134</v>
      </c>
    </row>
    <row r="7164" customFormat="false" ht="15" hidden="false" customHeight="false" outlineLevel="0" collapsed="false">
      <c r="B7164" s="53"/>
      <c r="I7164" s="53"/>
      <c r="U7164" s="31" t="n">
        <f aca="false">IF($B7164='設定（最初に1回）'!$C$4,N(U7163)+1,N(U7163))</f>
        <v>134</v>
      </c>
    </row>
    <row r="7165" customFormat="false" ht="15" hidden="false" customHeight="false" outlineLevel="0" collapsed="false">
      <c r="B7165" s="53"/>
      <c r="I7165" s="53"/>
      <c r="U7165" s="31" t="n">
        <f aca="false">IF($B7165='設定（最初に1回）'!$C$4,N(U7164)+1,N(U7164))</f>
        <v>134</v>
      </c>
    </row>
    <row r="7166" customFormat="false" ht="15" hidden="false" customHeight="false" outlineLevel="0" collapsed="false">
      <c r="B7166" s="53"/>
      <c r="I7166" s="53"/>
      <c r="U7166" s="31" t="n">
        <f aca="false">IF($B7166='設定（最初に1回）'!$C$4,N(U7165)+1,N(U7165))</f>
        <v>134</v>
      </c>
    </row>
    <row r="7167" customFormat="false" ht="15" hidden="false" customHeight="false" outlineLevel="0" collapsed="false">
      <c r="B7167" s="53"/>
      <c r="I7167" s="53"/>
      <c r="U7167" s="31" t="n">
        <f aca="false">IF($B7167='設定（最初に1回）'!$C$4,N(U7166)+1,N(U7166))</f>
        <v>134</v>
      </c>
    </row>
    <row r="7168" customFormat="false" ht="15" hidden="false" customHeight="false" outlineLevel="0" collapsed="false">
      <c r="B7168" s="53"/>
      <c r="I7168" s="53"/>
      <c r="U7168" s="31" t="n">
        <f aca="false">IF($B7168='設定（最初に1回）'!$C$4,N(U7167)+1,N(U7167))</f>
        <v>134</v>
      </c>
    </row>
    <row r="7169" customFormat="false" ht="15" hidden="false" customHeight="false" outlineLevel="0" collapsed="false">
      <c r="B7169" s="53"/>
      <c r="I7169" s="53"/>
      <c r="U7169" s="31" t="n">
        <f aca="false">IF($B7169='設定（最初に1回）'!$C$4,N(U7168)+1,N(U7168))</f>
        <v>134</v>
      </c>
    </row>
    <row r="7170" customFormat="false" ht="15" hidden="false" customHeight="false" outlineLevel="0" collapsed="false">
      <c r="B7170" s="53"/>
      <c r="I7170" s="53"/>
      <c r="U7170" s="31" t="n">
        <f aca="false">IF($B7170='設定（最初に1回）'!$C$4,N(U7169)+1,N(U7169))</f>
        <v>134</v>
      </c>
    </row>
    <row r="7171" customFormat="false" ht="15" hidden="false" customHeight="false" outlineLevel="0" collapsed="false">
      <c r="B7171" s="53"/>
      <c r="I7171" s="53"/>
      <c r="U7171" s="31" t="n">
        <f aca="false">IF($B7171='設定（最初に1回）'!$C$4,N(U7170)+1,N(U7170))</f>
        <v>134</v>
      </c>
    </row>
    <row r="7172" customFormat="false" ht="15" hidden="false" customHeight="false" outlineLevel="0" collapsed="false">
      <c r="B7172" s="53"/>
      <c r="I7172" s="53"/>
      <c r="U7172" s="31" t="n">
        <f aca="false">IF($B7172='設定（最初に1回）'!$C$4,N(U7171)+1,N(U7171))</f>
        <v>134</v>
      </c>
    </row>
    <row r="7173" customFormat="false" ht="15" hidden="false" customHeight="false" outlineLevel="0" collapsed="false">
      <c r="B7173" s="53"/>
      <c r="I7173" s="53"/>
      <c r="U7173" s="31" t="n">
        <f aca="false">IF($B7173='設定（最初に1回）'!$C$4,N(U7172)+1,N(U7172))</f>
        <v>134</v>
      </c>
    </row>
    <row r="7174" customFormat="false" ht="15" hidden="false" customHeight="false" outlineLevel="0" collapsed="false">
      <c r="B7174" s="53"/>
      <c r="I7174" s="53"/>
      <c r="U7174" s="31" t="n">
        <f aca="false">IF($B7174='設定（最初に1回）'!$C$4,N(U7173)+1,N(U7173))</f>
        <v>134</v>
      </c>
    </row>
    <row r="7175" customFormat="false" ht="15" hidden="false" customHeight="false" outlineLevel="0" collapsed="false">
      <c r="B7175" s="53"/>
      <c r="I7175" s="53"/>
      <c r="U7175" s="31" t="n">
        <f aca="false">IF($B7175='設定（最初に1回）'!$C$4,N(U7174)+1,N(U7174))</f>
        <v>134</v>
      </c>
    </row>
    <row r="7176" customFormat="false" ht="15" hidden="false" customHeight="false" outlineLevel="0" collapsed="false">
      <c r="B7176" s="53"/>
      <c r="I7176" s="53"/>
      <c r="U7176" s="31" t="n">
        <f aca="false">IF($B7176='設定（最初に1回）'!$C$4,N(U7175)+1,N(U7175))</f>
        <v>134</v>
      </c>
    </row>
    <row r="7177" customFormat="false" ht="15" hidden="false" customHeight="false" outlineLevel="0" collapsed="false">
      <c r="B7177" s="53"/>
      <c r="I7177" s="53"/>
      <c r="U7177" s="31" t="n">
        <f aca="false">IF($B7177='設定（最初に1回）'!$C$4,N(U7176)+1,N(U7176))</f>
        <v>134</v>
      </c>
    </row>
    <row r="7178" customFormat="false" ht="15" hidden="false" customHeight="false" outlineLevel="0" collapsed="false">
      <c r="B7178" s="53"/>
      <c r="I7178" s="53"/>
      <c r="U7178" s="31" t="n">
        <f aca="false">IF($B7178='設定（最初に1回）'!$C$4,N(U7177)+1,N(U7177))</f>
        <v>134</v>
      </c>
    </row>
    <row r="7179" customFormat="false" ht="15" hidden="false" customHeight="false" outlineLevel="0" collapsed="false">
      <c r="B7179" s="53"/>
      <c r="I7179" s="53"/>
      <c r="U7179" s="31" t="n">
        <f aca="false">IF($B7179='設定（最初に1回）'!$C$4,N(U7178)+1,N(U7178))</f>
        <v>134</v>
      </c>
    </row>
    <row r="7180" customFormat="false" ht="15" hidden="false" customHeight="false" outlineLevel="0" collapsed="false">
      <c r="B7180" s="53"/>
      <c r="I7180" s="53"/>
      <c r="U7180" s="31" t="n">
        <f aca="false">IF($B7180='設定（最初に1回）'!$C$4,N(U7179)+1,N(U7179))</f>
        <v>134</v>
      </c>
    </row>
    <row r="7181" customFormat="false" ht="15" hidden="false" customHeight="false" outlineLevel="0" collapsed="false">
      <c r="B7181" s="53"/>
      <c r="I7181" s="53"/>
      <c r="U7181" s="31" t="n">
        <f aca="false">IF($B7181='設定（最初に1回）'!$C$4,N(U7180)+1,N(U7180))</f>
        <v>134</v>
      </c>
    </row>
    <row r="7182" customFormat="false" ht="15" hidden="false" customHeight="false" outlineLevel="0" collapsed="false">
      <c r="B7182" s="53"/>
      <c r="I7182" s="53"/>
      <c r="U7182" s="31" t="n">
        <f aca="false">IF($B7182='設定（最初に1回）'!$C$4,N(U7181)+1,N(U7181))</f>
        <v>134</v>
      </c>
    </row>
    <row r="7183" customFormat="false" ht="15" hidden="false" customHeight="false" outlineLevel="0" collapsed="false">
      <c r="B7183" s="53"/>
      <c r="I7183" s="53"/>
      <c r="U7183" s="31" t="n">
        <f aca="false">IF($B7183='設定（最初に1回）'!$C$4,N(U7182)+1,N(U7182))</f>
        <v>134</v>
      </c>
    </row>
    <row r="7184" customFormat="false" ht="15" hidden="false" customHeight="false" outlineLevel="0" collapsed="false">
      <c r="B7184" s="53"/>
      <c r="I7184" s="53"/>
      <c r="U7184" s="31" t="n">
        <f aca="false">IF($B7184='設定（最初に1回）'!$C$4,N(U7183)+1,N(U7183))</f>
        <v>134</v>
      </c>
    </row>
    <row r="7185" customFormat="false" ht="15" hidden="false" customHeight="false" outlineLevel="0" collapsed="false">
      <c r="B7185" s="53"/>
      <c r="I7185" s="53"/>
      <c r="U7185" s="31" t="n">
        <f aca="false">IF($B7185='設定（最初に1回）'!$C$4,N(U7184)+1,N(U7184))</f>
        <v>134</v>
      </c>
    </row>
    <row r="7186" customFormat="false" ht="15" hidden="false" customHeight="false" outlineLevel="0" collapsed="false">
      <c r="B7186" s="53"/>
      <c r="I7186" s="53"/>
      <c r="U7186" s="31" t="n">
        <f aca="false">IF($B7186='設定（最初に1回）'!$C$4,N(U7185)+1,N(U7185))</f>
        <v>134</v>
      </c>
    </row>
    <row r="7187" customFormat="false" ht="15" hidden="false" customHeight="false" outlineLevel="0" collapsed="false">
      <c r="B7187" s="53"/>
      <c r="I7187" s="53"/>
      <c r="U7187" s="31" t="n">
        <f aca="false">IF($B7187='設定（最初に1回）'!$C$4,N(U7186)+1,N(U7186))</f>
        <v>134</v>
      </c>
    </row>
    <row r="7188" customFormat="false" ht="15" hidden="false" customHeight="false" outlineLevel="0" collapsed="false">
      <c r="B7188" s="53"/>
      <c r="I7188" s="53"/>
      <c r="U7188" s="31" t="n">
        <f aca="false">IF($B7188='設定（最初に1回）'!$C$4,N(U7187)+1,N(U7187))</f>
        <v>134</v>
      </c>
    </row>
    <row r="7189" customFormat="false" ht="15" hidden="false" customHeight="false" outlineLevel="0" collapsed="false">
      <c r="B7189" s="53"/>
      <c r="I7189" s="53"/>
      <c r="U7189" s="31" t="n">
        <f aca="false">IF($B7189='設定（最初に1回）'!$C$4,N(U7188)+1,N(U7188))</f>
        <v>134</v>
      </c>
    </row>
    <row r="7190" customFormat="false" ht="15" hidden="false" customHeight="false" outlineLevel="0" collapsed="false">
      <c r="B7190" s="53"/>
      <c r="I7190" s="53"/>
      <c r="U7190" s="31" t="n">
        <f aca="false">IF($B7190='設定（最初に1回）'!$C$4,N(U7189)+1,N(U7189))</f>
        <v>134</v>
      </c>
    </row>
    <row r="7191" customFormat="false" ht="15" hidden="false" customHeight="false" outlineLevel="0" collapsed="false">
      <c r="B7191" s="53"/>
      <c r="I7191" s="53"/>
      <c r="U7191" s="31" t="n">
        <f aca="false">IF($B7191='設定（最初に1回）'!$C$4,N(U7190)+1,N(U7190))</f>
        <v>134</v>
      </c>
    </row>
    <row r="7192" customFormat="false" ht="15" hidden="false" customHeight="false" outlineLevel="0" collapsed="false">
      <c r="B7192" s="53"/>
      <c r="I7192" s="53"/>
      <c r="U7192" s="31" t="n">
        <f aca="false">IF($B7192='設定（最初に1回）'!$C$4,N(U7191)+1,N(U7191))</f>
        <v>134</v>
      </c>
    </row>
    <row r="7193" customFormat="false" ht="15" hidden="false" customHeight="false" outlineLevel="0" collapsed="false">
      <c r="B7193" s="53"/>
      <c r="I7193" s="53"/>
      <c r="U7193" s="31" t="n">
        <f aca="false">IF($B7193='設定（最初に1回）'!$C$4,N(U7192)+1,N(U7192))</f>
        <v>134</v>
      </c>
    </row>
    <row r="7194" customFormat="false" ht="15" hidden="false" customHeight="false" outlineLevel="0" collapsed="false">
      <c r="B7194" s="53"/>
      <c r="I7194" s="53"/>
      <c r="U7194" s="31" t="n">
        <f aca="false">IF($B7194='設定（最初に1回）'!$C$4,N(U7193)+1,N(U7193))</f>
        <v>134</v>
      </c>
    </row>
    <row r="7195" customFormat="false" ht="15" hidden="false" customHeight="false" outlineLevel="0" collapsed="false">
      <c r="B7195" s="53"/>
      <c r="I7195" s="53"/>
      <c r="U7195" s="31" t="n">
        <f aca="false">IF($B7195='設定（最初に1回）'!$C$4,N(U7194)+1,N(U7194))</f>
        <v>134</v>
      </c>
    </row>
    <row r="7196" customFormat="false" ht="15" hidden="false" customHeight="false" outlineLevel="0" collapsed="false">
      <c r="B7196" s="53"/>
      <c r="I7196" s="53"/>
      <c r="U7196" s="31" t="n">
        <f aca="false">IF($B7196='設定（最初に1回）'!$C$4,N(U7195)+1,N(U7195))</f>
        <v>134</v>
      </c>
    </row>
    <row r="7197" customFormat="false" ht="15" hidden="false" customHeight="false" outlineLevel="0" collapsed="false">
      <c r="B7197" s="53"/>
      <c r="I7197" s="53"/>
      <c r="U7197" s="31" t="n">
        <f aca="false">IF($B7197='設定（最初に1回）'!$C$4,N(U7196)+1,N(U7196))</f>
        <v>134</v>
      </c>
    </row>
    <row r="7198" customFormat="false" ht="15" hidden="false" customHeight="false" outlineLevel="0" collapsed="false">
      <c r="B7198" s="53"/>
      <c r="I7198" s="53"/>
      <c r="U7198" s="31" t="n">
        <f aca="false">IF($B7198='設定（最初に1回）'!$C$4,N(U7197)+1,N(U7197))</f>
        <v>134</v>
      </c>
    </row>
    <row r="7199" customFormat="false" ht="15" hidden="false" customHeight="false" outlineLevel="0" collapsed="false">
      <c r="B7199" s="53"/>
      <c r="I7199" s="53"/>
      <c r="U7199" s="31" t="n">
        <f aca="false">IF($B7199='設定（最初に1回）'!$C$4,N(U7198)+1,N(U7198))</f>
        <v>134</v>
      </c>
    </row>
    <row r="7200" customFormat="false" ht="15" hidden="false" customHeight="false" outlineLevel="0" collapsed="false">
      <c r="B7200" s="53"/>
      <c r="I7200" s="53"/>
      <c r="U7200" s="31" t="n">
        <f aca="false">IF($B7200='設定（最初に1回）'!$C$4,N(U7199)+1,N(U7199))</f>
        <v>134</v>
      </c>
    </row>
    <row r="7201" customFormat="false" ht="15" hidden="false" customHeight="false" outlineLevel="0" collapsed="false">
      <c r="B7201" s="53"/>
      <c r="I7201" s="53"/>
      <c r="U7201" s="31" t="n">
        <f aca="false">IF($B7201='設定（最初に1回）'!$C$4,N(U7200)+1,N(U7200))</f>
        <v>134</v>
      </c>
    </row>
    <row r="7202" customFormat="false" ht="15" hidden="false" customHeight="false" outlineLevel="0" collapsed="false">
      <c r="B7202" s="53"/>
      <c r="I7202" s="53"/>
      <c r="U7202" s="31" t="n">
        <f aca="false">IF($B7202='設定（最初に1回）'!$C$4,N(U7201)+1,N(U7201))</f>
        <v>134</v>
      </c>
    </row>
    <row r="7203" customFormat="false" ht="15" hidden="false" customHeight="false" outlineLevel="0" collapsed="false">
      <c r="B7203" s="53"/>
      <c r="I7203" s="53"/>
      <c r="U7203" s="31" t="n">
        <f aca="false">IF($B7203='設定（最初に1回）'!$C$4,N(U7202)+1,N(U7202))</f>
        <v>134</v>
      </c>
    </row>
    <row r="7204" customFormat="false" ht="15" hidden="false" customHeight="false" outlineLevel="0" collapsed="false">
      <c r="B7204" s="53"/>
      <c r="I7204" s="53"/>
      <c r="U7204" s="31" t="n">
        <f aca="false">IF($B7204='設定（最初に1回）'!$C$4,N(U7203)+1,N(U7203))</f>
        <v>134</v>
      </c>
    </row>
    <row r="7205" customFormat="false" ht="15" hidden="false" customHeight="false" outlineLevel="0" collapsed="false">
      <c r="B7205" s="53"/>
      <c r="I7205" s="53"/>
      <c r="U7205" s="31" t="n">
        <f aca="false">IF($B7205='設定（最初に1回）'!$C$4,N(U7204)+1,N(U7204))</f>
        <v>134</v>
      </c>
    </row>
    <row r="7206" customFormat="false" ht="15" hidden="false" customHeight="false" outlineLevel="0" collapsed="false">
      <c r="B7206" s="53"/>
      <c r="I7206" s="53"/>
      <c r="U7206" s="31" t="n">
        <f aca="false">IF($B7206='設定（最初に1回）'!$C$4,N(U7205)+1,N(U7205))</f>
        <v>134</v>
      </c>
    </row>
    <row r="7207" customFormat="false" ht="15" hidden="false" customHeight="false" outlineLevel="0" collapsed="false">
      <c r="B7207" s="53"/>
      <c r="I7207" s="53"/>
      <c r="U7207" s="31" t="n">
        <f aca="false">IF($B7207='設定（最初に1回）'!$C$4,N(U7206)+1,N(U7206))</f>
        <v>134</v>
      </c>
    </row>
    <row r="7208" customFormat="false" ht="15" hidden="false" customHeight="false" outlineLevel="0" collapsed="false">
      <c r="B7208" s="53"/>
      <c r="I7208" s="53"/>
      <c r="U7208" s="31" t="n">
        <f aca="false">IF($B7208='設定（最初に1回）'!$C$4,N(U7207)+1,N(U7207))</f>
        <v>134</v>
      </c>
    </row>
    <row r="7209" customFormat="false" ht="15" hidden="false" customHeight="false" outlineLevel="0" collapsed="false">
      <c r="B7209" s="53"/>
      <c r="I7209" s="53"/>
      <c r="U7209" s="31" t="n">
        <f aca="false">IF($B7209='設定（最初に1回）'!$C$4,N(U7208)+1,N(U7208))</f>
        <v>134</v>
      </c>
    </row>
    <row r="7210" customFormat="false" ht="15" hidden="false" customHeight="false" outlineLevel="0" collapsed="false">
      <c r="B7210" s="53"/>
      <c r="I7210" s="53"/>
      <c r="U7210" s="31" t="n">
        <f aca="false">IF($B7210='設定（最初に1回）'!$C$4,N(U7209)+1,N(U7209))</f>
        <v>134</v>
      </c>
    </row>
    <row r="7211" customFormat="false" ht="15" hidden="false" customHeight="false" outlineLevel="0" collapsed="false">
      <c r="B7211" s="53"/>
      <c r="I7211" s="53"/>
      <c r="U7211" s="31" t="n">
        <f aca="false">IF($B7211='設定（最初に1回）'!$C$4,N(U7210)+1,N(U7210))</f>
        <v>134</v>
      </c>
    </row>
    <row r="7212" customFormat="false" ht="15" hidden="false" customHeight="false" outlineLevel="0" collapsed="false">
      <c r="B7212" s="53"/>
      <c r="I7212" s="53"/>
      <c r="U7212" s="31" t="n">
        <f aca="false">IF($B7212='設定（最初に1回）'!$C$4,N(U7211)+1,N(U7211))</f>
        <v>134</v>
      </c>
    </row>
    <row r="7213" customFormat="false" ht="15" hidden="false" customHeight="false" outlineLevel="0" collapsed="false">
      <c r="B7213" s="53"/>
      <c r="I7213" s="53"/>
      <c r="U7213" s="31" t="n">
        <f aca="false">IF($B7213='設定（最初に1回）'!$C$4,N(U7212)+1,N(U7212))</f>
        <v>134</v>
      </c>
    </row>
    <row r="7214" customFormat="false" ht="15" hidden="false" customHeight="false" outlineLevel="0" collapsed="false">
      <c r="B7214" s="53"/>
      <c r="I7214" s="53"/>
      <c r="U7214" s="31" t="n">
        <f aca="false">IF($B7214='設定（最初に1回）'!$C$4,N(U7213)+1,N(U7213))</f>
        <v>134</v>
      </c>
    </row>
    <row r="7215" customFormat="false" ht="15" hidden="false" customHeight="false" outlineLevel="0" collapsed="false">
      <c r="B7215" s="53"/>
      <c r="I7215" s="53"/>
      <c r="U7215" s="31" t="n">
        <f aca="false">IF($B7215='設定（最初に1回）'!$C$4,N(U7214)+1,N(U7214))</f>
        <v>134</v>
      </c>
    </row>
    <row r="7216" customFormat="false" ht="15" hidden="false" customHeight="false" outlineLevel="0" collapsed="false">
      <c r="B7216" s="53"/>
      <c r="I7216" s="53"/>
      <c r="U7216" s="31" t="n">
        <f aca="false">IF($B7216='設定（最初に1回）'!$C$4,N(U7215)+1,N(U7215))</f>
        <v>134</v>
      </c>
    </row>
    <row r="7217" customFormat="false" ht="15" hidden="false" customHeight="false" outlineLevel="0" collapsed="false">
      <c r="B7217" s="53"/>
      <c r="I7217" s="53"/>
      <c r="U7217" s="31" t="n">
        <f aca="false">IF($B7217='設定（最初に1回）'!$C$4,N(U7216)+1,N(U7216))</f>
        <v>134</v>
      </c>
    </row>
    <row r="7218" customFormat="false" ht="15" hidden="false" customHeight="false" outlineLevel="0" collapsed="false">
      <c r="B7218" s="53"/>
      <c r="I7218" s="53"/>
      <c r="U7218" s="31" t="n">
        <f aca="false">IF($B7218='設定（最初に1回）'!$C$4,N(U7217)+1,N(U7217))</f>
        <v>134</v>
      </c>
    </row>
    <row r="7219" customFormat="false" ht="15" hidden="false" customHeight="false" outlineLevel="0" collapsed="false">
      <c r="B7219" s="53"/>
      <c r="I7219" s="53"/>
      <c r="U7219" s="31" t="n">
        <f aca="false">IF($B7219='設定（最初に1回）'!$C$4,N(U7218)+1,N(U7218))</f>
        <v>134</v>
      </c>
    </row>
    <row r="7220" customFormat="false" ht="15" hidden="false" customHeight="false" outlineLevel="0" collapsed="false">
      <c r="B7220" s="53"/>
      <c r="I7220" s="53"/>
      <c r="U7220" s="31" t="n">
        <f aca="false">IF($B7220='設定（最初に1回）'!$C$4,N(U7219)+1,N(U7219))</f>
        <v>134</v>
      </c>
    </row>
    <row r="7221" customFormat="false" ht="15" hidden="false" customHeight="false" outlineLevel="0" collapsed="false">
      <c r="B7221" s="53"/>
      <c r="I7221" s="53"/>
      <c r="U7221" s="31" t="n">
        <f aca="false">IF($B7221='設定（最初に1回）'!$C$4,N(U7220)+1,N(U7220))</f>
        <v>134</v>
      </c>
    </row>
    <row r="7222" customFormat="false" ht="15" hidden="false" customHeight="false" outlineLevel="0" collapsed="false">
      <c r="B7222" s="53"/>
      <c r="I7222" s="53"/>
      <c r="U7222" s="31" t="n">
        <f aca="false">IF($B7222='設定（最初に1回）'!$C$4,N(U7221)+1,N(U7221))</f>
        <v>134</v>
      </c>
    </row>
    <row r="7223" customFormat="false" ht="15" hidden="false" customHeight="false" outlineLevel="0" collapsed="false">
      <c r="B7223" s="53"/>
      <c r="I7223" s="53"/>
      <c r="U7223" s="31" t="n">
        <f aca="false">IF($B7223='設定（最初に1回）'!$C$4,N(U7222)+1,N(U7222))</f>
        <v>134</v>
      </c>
    </row>
    <row r="7224" customFormat="false" ht="15" hidden="false" customHeight="false" outlineLevel="0" collapsed="false">
      <c r="B7224" s="53"/>
      <c r="I7224" s="53"/>
      <c r="U7224" s="31" t="n">
        <f aca="false">IF($B7224='設定（最初に1回）'!$C$4,N(U7223)+1,N(U7223))</f>
        <v>134</v>
      </c>
    </row>
    <row r="7225" customFormat="false" ht="15" hidden="false" customHeight="false" outlineLevel="0" collapsed="false">
      <c r="B7225" s="53"/>
      <c r="I7225" s="53"/>
      <c r="U7225" s="31" t="n">
        <f aca="false">IF($B7225='設定（最初に1回）'!$C$4,N(U7224)+1,N(U7224))</f>
        <v>134</v>
      </c>
    </row>
    <row r="7226" customFormat="false" ht="15" hidden="false" customHeight="false" outlineLevel="0" collapsed="false">
      <c r="B7226" s="53"/>
      <c r="I7226" s="53"/>
      <c r="U7226" s="31" t="n">
        <f aca="false">IF($B7226='設定（最初に1回）'!$C$4,N(U7225)+1,N(U7225))</f>
        <v>134</v>
      </c>
    </row>
    <row r="7227" customFormat="false" ht="15" hidden="false" customHeight="false" outlineLevel="0" collapsed="false">
      <c r="B7227" s="53"/>
      <c r="I7227" s="53"/>
      <c r="U7227" s="31" t="n">
        <f aca="false">IF($B7227='設定（最初に1回）'!$C$4,N(U7226)+1,N(U7226))</f>
        <v>134</v>
      </c>
    </row>
    <row r="7228" customFormat="false" ht="15" hidden="false" customHeight="false" outlineLevel="0" collapsed="false">
      <c r="B7228" s="53"/>
      <c r="I7228" s="53"/>
      <c r="U7228" s="31" t="n">
        <f aca="false">IF($B7228='設定（最初に1回）'!$C$4,N(U7227)+1,N(U7227))</f>
        <v>134</v>
      </c>
    </row>
    <row r="7229" customFormat="false" ht="15" hidden="false" customHeight="false" outlineLevel="0" collapsed="false">
      <c r="B7229" s="53"/>
      <c r="I7229" s="53"/>
      <c r="U7229" s="31" t="n">
        <f aca="false">IF($B7229='設定（最初に1回）'!$C$4,N(U7228)+1,N(U7228))</f>
        <v>134</v>
      </c>
    </row>
    <row r="7230" customFormat="false" ht="15" hidden="false" customHeight="false" outlineLevel="0" collapsed="false">
      <c r="B7230" s="53"/>
      <c r="I7230" s="53"/>
      <c r="U7230" s="31" t="n">
        <f aca="false">IF($B7230='設定（最初に1回）'!$C$4,N(U7229)+1,N(U7229))</f>
        <v>134</v>
      </c>
    </row>
    <row r="7231" customFormat="false" ht="15" hidden="false" customHeight="false" outlineLevel="0" collapsed="false">
      <c r="B7231" s="53"/>
      <c r="I7231" s="53"/>
      <c r="U7231" s="31" t="n">
        <f aca="false">IF($B7231='設定（最初に1回）'!$C$4,N(U7230)+1,N(U7230))</f>
        <v>134</v>
      </c>
    </row>
    <row r="7232" customFormat="false" ht="15" hidden="false" customHeight="false" outlineLevel="0" collapsed="false">
      <c r="B7232" s="53"/>
      <c r="I7232" s="53"/>
      <c r="U7232" s="31" t="n">
        <f aca="false">IF($B7232='設定（最初に1回）'!$C$4,N(U7231)+1,N(U7231))</f>
        <v>134</v>
      </c>
    </row>
    <row r="7233" customFormat="false" ht="15" hidden="false" customHeight="false" outlineLevel="0" collapsed="false">
      <c r="B7233" s="53"/>
      <c r="I7233" s="53"/>
      <c r="U7233" s="31" t="n">
        <f aca="false">IF($B7233='設定（最初に1回）'!$C$4,N(U7232)+1,N(U7232))</f>
        <v>134</v>
      </c>
    </row>
    <row r="7234" customFormat="false" ht="15" hidden="false" customHeight="false" outlineLevel="0" collapsed="false">
      <c r="B7234" s="53"/>
      <c r="I7234" s="53"/>
      <c r="U7234" s="31" t="n">
        <f aca="false">IF($B7234='設定（最初に1回）'!$C$4,N(U7233)+1,N(U7233))</f>
        <v>134</v>
      </c>
    </row>
    <row r="7235" customFormat="false" ht="15" hidden="false" customHeight="false" outlineLevel="0" collapsed="false">
      <c r="B7235" s="53"/>
      <c r="I7235" s="53"/>
      <c r="U7235" s="31" t="n">
        <f aca="false">IF($B7235='設定（最初に1回）'!$C$4,N(U7234)+1,N(U7234))</f>
        <v>134</v>
      </c>
    </row>
    <row r="7236" customFormat="false" ht="15" hidden="false" customHeight="false" outlineLevel="0" collapsed="false">
      <c r="B7236" s="53"/>
      <c r="I7236" s="53"/>
      <c r="U7236" s="31" t="n">
        <f aca="false">IF($B7236='設定（最初に1回）'!$C$4,N(U7235)+1,N(U7235))</f>
        <v>134</v>
      </c>
    </row>
    <row r="7237" customFormat="false" ht="15" hidden="false" customHeight="false" outlineLevel="0" collapsed="false">
      <c r="B7237" s="53"/>
      <c r="I7237" s="53"/>
      <c r="U7237" s="31" t="n">
        <f aca="false">IF($B7237='設定（最初に1回）'!$C$4,N(U7236)+1,N(U7236))</f>
        <v>134</v>
      </c>
    </row>
    <row r="7238" customFormat="false" ht="15" hidden="false" customHeight="false" outlineLevel="0" collapsed="false">
      <c r="B7238" s="53"/>
      <c r="I7238" s="53"/>
      <c r="U7238" s="31" t="n">
        <f aca="false">IF($B7238='設定（最初に1回）'!$C$4,N(U7237)+1,N(U7237))</f>
        <v>134</v>
      </c>
    </row>
    <row r="7239" customFormat="false" ht="15" hidden="false" customHeight="false" outlineLevel="0" collapsed="false">
      <c r="B7239" s="53"/>
      <c r="I7239" s="53"/>
      <c r="U7239" s="31" t="n">
        <f aca="false">IF($B7239='設定（最初に1回）'!$C$4,N(U7238)+1,N(U7238))</f>
        <v>134</v>
      </c>
    </row>
    <row r="7240" customFormat="false" ht="15" hidden="false" customHeight="false" outlineLevel="0" collapsed="false">
      <c r="B7240" s="53"/>
      <c r="I7240" s="53"/>
      <c r="U7240" s="31" t="n">
        <f aca="false">IF($B7240='設定（最初に1回）'!$C$4,N(U7239)+1,N(U7239))</f>
        <v>134</v>
      </c>
    </row>
    <row r="7241" customFormat="false" ht="15" hidden="false" customHeight="false" outlineLevel="0" collapsed="false">
      <c r="B7241" s="53"/>
      <c r="I7241" s="53"/>
      <c r="U7241" s="31" t="n">
        <f aca="false">IF($B7241='設定（最初に1回）'!$C$4,N(U7240)+1,N(U7240))</f>
        <v>134</v>
      </c>
    </row>
    <row r="7242" customFormat="false" ht="15" hidden="false" customHeight="false" outlineLevel="0" collapsed="false">
      <c r="B7242" s="53"/>
      <c r="I7242" s="53"/>
      <c r="U7242" s="31" t="n">
        <f aca="false">IF($B7242='設定（最初に1回）'!$C$4,N(U7241)+1,N(U7241))</f>
        <v>134</v>
      </c>
    </row>
    <row r="7243" customFormat="false" ht="15" hidden="false" customHeight="false" outlineLevel="0" collapsed="false">
      <c r="B7243" s="53"/>
      <c r="I7243" s="53"/>
      <c r="U7243" s="31" t="n">
        <f aca="false">IF($B7243='設定（最初に1回）'!$C$4,N(U7242)+1,N(U7242))</f>
        <v>134</v>
      </c>
    </row>
    <row r="7244" customFormat="false" ht="15" hidden="false" customHeight="false" outlineLevel="0" collapsed="false">
      <c r="B7244" s="53"/>
      <c r="I7244" s="53"/>
      <c r="U7244" s="31" t="n">
        <f aca="false">IF($B7244='設定（最初に1回）'!$C$4,N(U7243)+1,N(U7243))</f>
        <v>134</v>
      </c>
    </row>
    <row r="7245" customFormat="false" ht="15" hidden="false" customHeight="false" outlineLevel="0" collapsed="false">
      <c r="B7245" s="53"/>
      <c r="I7245" s="53"/>
      <c r="U7245" s="31" t="n">
        <f aca="false">IF($B7245='設定（最初に1回）'!$C$4,N(U7244)+1,N(U7244))</f>
        <v>134</v>
      </c>
    </row>
    <row r="7246" customFormat="false" ht="15" hidden="false" customHeight="false" outlineLevel="0" collapsed="false">
      <c r="B7246" s="53"/>
      <c r="I7246" s="53"/>
      <c r="U7246" s="31" t="n">
        <f aca="false">IF($B7246='設定（最初に1回）'!$C$4,N(U7245)+1,N(U7245))</f>
        <v>134</v>
      </c>
    </row>
    <row r="7247" customFormat="false" ht="15" hidden="false" customHeight="false" outlineLevel="0" collapsed="false">
      <c r="B7247" s="53"/>
      <c r="I7247" s="53"/>
      <c r="U7247" s="31" t="n">
        <f aca="false">IF($B7247='設定（最初に1回）'!$C$4,N(U7246)+1,N(U7246))</f>
        <v>134</v>
      </c>
    </row>
    <row r="7248" customFormat="false" ht="15" hidden="false" customHeight="false" outlineLevel="0" collapsed="false">
      <c r="B7248" s="53"/>
      <c r="I7248" s="53"/>
      <c r="U7248" s="31" t="n">
        <f aca="false">IF($B7248='設定（最初に1回）'!$C$4,N(U7247)+1,N(U7247))</f>
        <v>134</v>
      </c>
    </row>
    <row r="7249" customFormat="false" ht="15" hidden="false" customHeight="false" outlineLevel="0" collapsed="false">
      <c r="B7249" s="53"/>
      <c r="I7249" s="53"/>
      <c r="U7249" s="31" t="n">
        <f aca="false">IF($B7249='設定（最初に1回）'!$C$4,N(U7248)+1,N(U7248))</f>
        <v>134</v>
      </c>
    </row>
    <row r="7250" customFormat="false" ht="15" hidden="false" customHeight="false" outlineLevel="0" collapsed="false">
      <c r="B7250" s="53"/>
      <c r="I7250" s="53"/>
      <c r="U7250" s="31" t="n">
        <f aca="false">IF($B7250='設定（最初に1回）'!$C$4,N(U7249)+1,N(U7249))</f>
        <v>134</v>
      </c>
    </row>
    <row r="7251" customFormat="false" ht="15" hidden="false" customHeight="false" outlineLevel="0" collapsed="false">
      <c r="B7251" s="53"/>
      <c r="I7251" s="53"/>
      <c r="U7251" s="31" t="n">
        <f aca="false">IF($B7251='設定（最初に1回）'!$C$4,N(U7250)+1,N(U7250))</f>
        <v>134</v>
      </c>
    </row>
    <row r="7252" customFormat="false" ht="15" hidden="false" customHeight="false" outlineLevel="0" collapsed="false">
      <c r="B7252" s="53"/>
      <c r="I7252" s="53"/>
      <c r="U7252" s="31" t="n">
        <f aca="false">IF($B7252='設定（最初に1回）'!$C$4,N(U7251)+1,N(U7251))</f>
        <v>134</v>
      </c>
    </row>
    <row r="7253" customFormat="false" ht="15" hidden="false" customHeight="false" outlineLevel="0" collapsed="false">
      <c r="B7253" s="53"/>
      <c r="I7253" s="53"/>
      <c r="U7253" s="31" t="n">
        <f aca="false">IF($B7253='設定（最初に1回）'!$C$4,N(U7252)+1,N(U7252))</f>
        <v>134</v>
      </c>
    </row>
    <row r="7254" customFormat="false" ht="15" hidden="false" customHeight="false" outlineLevel="0" collapsed="false">
      <c r="B7254" s="53"/>
      <c r="I7254" s="53"/>
      <c r="U7254" s="31" t="n">
        <f aca="false">IF($B7254='設定（最初に1回）'!$C$4,N(U7253)+1,N(U7253))</f>
        <v>134</v>
      </c>
    </row>
    <row r="7255" customFormat="false" ht="15" hidden="false" customHeight="false" outlineLevel="0" collapsed="false">
      <c r="B7255" s="53"/>
      <c r="I7255" s="53"/>
      <c r="U7255" s="31" t="n">
        <f aca="false">IF($B7255='設定（最初に1回）'!$C$4,N(U7254)+1,N(U7254))</f>
        <v>134</v>
      </c>
    </row>
    <row r="7256" customFormat="false" ht="15" hidden="false" customHeight="false" outlineLevel="0" collapsed="false">
      <c r="B7256" s="53"/>
      <c r="I7256" s="53"/>
      <c r="U7256" s="31" t="n">
        <f aca="false">IF($B7256='設定（最初に1回）'!$C$4,N(U7255)+1,N(U7255))</f>
        <v>134</v>
      </c>
    </row>
    <row r="7257" customFormat="false" ht="15" hidden="false" customHeight="false" outlineLevel="0" collapsed="false">
      <c r="B7257" s="53"/>
      <c r="I7257" s="53"/>
      <c r="U7257" s="31" t="n">
        <f aca="false">IF($B7257='設定（最初に1回）'!$C$4,N(U7256)+1,N(U7256))</f>
        <v>134</v>
      </c>
    </row>
    <row r="7258" customFormat="false" ht="15" hidden="false" customHeight="false" outlineLevel="0" collapsed="false">
      <c r="B7258" s="53"/>
      <c r="I7258" s="53"/>
      <c r="U7258" s="31" t="n">
        <f aca="false">IF($B7258='設定（最初に1回）'!$C$4,N(U7257)+1,N(U7257))</f>
        <v>134</v>
      </c>
    </row>
    <row r="7259" customFormat="false" ht="15" hidden="false" customHeight="false" outlineLevel="0" collapsed="false">
      <c r="B7259" s="53"/>
      <c r="I7259" s="53"/>
      <c r="U7259" s="31" t="n">
        <f aca="false">IF($B7259='設定（最初に1回）'!$C$4,N(U7258)+1,N(U7258))</f>
        <v>134</v>
      </c>
    </row>
    <row r="7260" customFormat="false" ht="15" hidden="false" customHeight="false" outlineLevel="0" collapsed="false">
      <c r="B7260" s="53"/>
      <c r="I7260" s="53"/>
      <c r="U7260" s="31" t="n">
        <f aca="false">IF($B7260='設定（最初に1回）'!$C$4,N(U7259)+1,N(U7259))</f>
        <v>134</v>
      </c>
    </row>
    <row r="7261" customFormat="false" ht="15" hidden="false" customHeight="false" outlineLevel="0" collapsed="false">
      <c r="B7261" s="53"/>
      <c r="I7261" s="53"/>
      <c r="U7261" s="31" t="n">
        <f aca="false">IF($B7261='設定（最初に1回）'!$C$4,N(U7260)+1,N(U7260))</f>
        <v>134</v>
      </c>
    </row>
    <row r="7262" customFormat="false" ht="15" hidden="false" customHeight="false" outlineLevel="0" collapsed="false">
      <c r="B7262" s="53"/>
      <c r="I7262" s="53"/>
      <c r="U7262" s="31" t="n">
        <f aca="false">IF($B7262='設定（最初に1回）'!$C$4,N(U7261)+1,N(U7261))</f>
        <v>134</v>
      </c>
    </row>
    <row r="7263" customFormat="false" ht="15" hidden="false" customHeight="false" outlineLevel="0" collapsed="false">
      <c r="B7263" s="53"/>
      <c r="I7263" s="53"/>
      <c r="U7263" s="31" t="n">
        <f aca="false">IF($B7263='設定（最初に1回）'!$C$4,N(U7262)+1,N(U7262))</f>
        <v>134</v>
      </c>
    </row>
    <row r="7264" customFormat="false" ht="15" hidden="false" customHeight="false" outlineLevel="0" collapsed="false">
      <c r="B7264" s="53"/>
      <c r="I7264" s="53"/>
      <c r="U7264" s="31" t="n">
        <f aca="false">IF($B7264='設定（最初に1回）'!$C$4,N(U7263)+1,N(U7263))</f>
        <v>134</v>
      </c>
    </row>
    <row r="7265" customFormat="false" ht="15" hidden="false" customHeight="false" outlineLevel="0" collapsed="false">
      <c r="B7265" s="53"/>
      <c r="I7265" s="53"/>
      <c r="U7265" s="31" t="n">
        <f aca="false">IF($B7265='設定（最初に1回）'!$C$4,N(U7264)+1,N(U7264))</f>
        <v>134</v>
      </c>
    </row>
    <row r="7266" customFormat="false" ht="15" hidden="false" customHeight="false" outlineLevel="0" collapsed="false">
      <c r="B7266" s="53"/>
      <c r="I7266" s="53"/>
      <c r="U7266" s="31" t="n">
        <f aca="false">IF($B7266='設定（最初に1回）'!$C$4,N(U7265)+1,N(U7265))</f>
        <v>134</v>
      </c>
    </row>
    <row r="7267" customFormat="false" ht="15" hidden="false" customHeight="false" outlineLevel="0" collapsed="false">
      <c r="B7267" s="53"/>
      <c r="I7267" s="53"/>
      <c r="U7267" s="31" t="n">
        <f aca="false">IF($B7267='設定（最初に1回）'!$C$4,N(U7266)+1,N(U7266))</f>
        <v>134</v>
      </c>
    </row>
    <row r="7268" customFormat="false" ht="15" hidden="false" customHeight="false" outlineLevel="0" collapsed="false">
      <c r="B7268" s="53"/>
      <c r="I7268" s="53"/>
      <c r="U7268" s="31" t="n">
        <f aca="false">IF($B7268='設定（最初に1回）'!$C$4,N(U7267)+1,N(U7267))</f>
        <v>134</v>
      </c>
    </row>
    <row r="7269" customFormat="false" ht="15" hidden="false" customHeight="false" outlineLevel="0" collapsed="false">
      <c r="B7269" s="53"/>
      <c r="I7269" s="53"/>
      <c r="U7269" s="31" t="n">
        <f aca="false">IF($B7269='設定（最初に1回）'!$C$4,N(U7268)+1,N(U7268))</f>
        <v>134</v>
      </c>
    </row>
    <row r="7270" customFormat="false" ht="15" hidden="false" customHeight="false" outlineLevel="0" collapsed="false">
      <c r="B7270" s="53"/>
      <c r="I7270" s="53"/>
      <c r="U7270" s="31" t="n">
        <f aca="false">IF($B7270='設定（最初に1回）'!$C$4,N(U7269)+1,N(U7269))</f>
        <v>134</v>
      </c>
    </row>
    <row r="7271" customFormat="false" ht="15" hidden="false" customHeight="false" outlineLevel="0" collapsed="false">
      <c r="B7271" s="53"/>
      <c r="I7271" s="53"/>
      <c r="U7271" s="31" t="n">
        <f aca="false">IF($B7271='設定（最初に1回）'!$C$4,N(U7270)+1,N(U7270))</f>
        <v>134</v>
      </c>
    </row>
    <row r="7272" customFormat="false" ht="15" hidden="false" customHeight="false" outlineLevel="0" collapsed="false">
      <c r="B7272" s="53"/>
      <c r="I7272" s="53"/>
      <c r="U7272" s="31" t="n">
        <f aca="false">IF($B7272='設定（最初に1回）'!$C$4,N(U7271)+1,N(U7271))</f>
        <v>134</v>
      </c>
    </row>
    <row r="7273" customFormat="false" ht="15" hidden="false" customHeight="false" outlineLevel="0" collapsed="false">
      <c r="B7273" s="53"/>
      <c r="I7273" s="53"/>
      <c r="U7273" s="31" t="n">
        <f aca="false">IF($B7273='設定（最初に1回）'!$C$4,N(U7272)+1,N(U7272))</f>
        <v>134</v>
      </c>
    </row>
    <row r="7274" customFormat="false" ht="15" hidden="false" customHeight="false" outlineLevel="0" collapsed="false">
      <c r="B7274" s="53"/>
      <c r="I7274" s="53"/>
      <c r="U7274" s="31" t="n">
        <f aca="false">IF($B7274='設定（最初に1回）'!$C$4,N(U7273)+1,N(U7273))</f>
        <v>134</v>
      </c>
    </row>
    <row r="7275" customFormat="false" ht="15" hidden="false" customHeight="false" outlineLevel="0" collapsed="false">
      <c r="B7275" s="53"/>
      <c r="I7275" s="53"/>
      <c r="U7275" s="31" t="n">
        <f aca="false">IF($B7275='設定（最初に1回）'!$C$4,N(U7274)+1,N(U7274))</f>
        <v>134</v>
      </c>
    </row>
    <row r="7276" customFormat="false" ht="15" hidden="false" customHeight="false" outlineLevel="0" collapsed="false">
      <c r="B7276" s="53"/>
      <c r="I7276" s="53"/>
      <c r="U7276" s="31" t="n">
        <f aca="false">IF($B7276='設定（最初に1回）'!$C$4,N(U7275)+1,N(U7275))</f>
        <v>134</v>
      </c>
    </row>
    <row r="7277" customFormat="false" ht="15" hidden="false" customHeight="false" outlineLevel="0" collapsed="false">
      <c r="B7277" s="53"/>
      <c r="I7277" s="53"/>
      <c r="U7277" s="31" t="n">
        <f aca="false">IF($B7277='設定（最初に1回）'!$C$4,N(U7276)+1,N(U7276))</f>
        <v>134</v>
      </c>
    </row>
    <row r="7278" customFormat="false" ht="15" hidden="false" customHeight="false" outlineLevel="0" collapsed="false">
      <c r="B7278" s="53"/>
      <c r="I7278" s="53"/>
      <c r="U7278" s="31" t="n">
        <f aca="false">IF($B7278='設定（最初に1回）'!$C$4,N(U7277)+1,N(U7277))</f>
        <v>134</v>
      </c>
    </row>
    <row r="7279" customFormat="false" ht="15" hidden="false" customHeight="false" outlineLevel="0" collapsed="false">
      <c r="B7279" s="53"/>
      <c r="I7279" s="53"/>
      <c r="U7279" s="31" t="n">
        <f aca="false">IF($B7279='設定（最初に1回）'!$C$4,N(U7278)+1,N(U7278))</f>
        <v>134</v>
      </c>
    </row>
    <row r="7280" customFormat="false" ht="15" hidden="false" customHeight="false" outlineLevel="0" collapsed="false">
      <c r="B7280" s="53"/>
      <c r="I7280" s="53"/>
      <c r="U7280" s="31" t="n">
        <f aca="false">IF($B7280='設定（最初に1回）'!$C$4,N(U7279)+1,N(U7279))</f>
        <v>134</v>
      </c>
    </row>
    <row r="7281" customFormat="false" ht="15" hidden="false" customHeight="false" outlineLevel="0" collapsed="false">
      <c r="B7281" s="53"/>
      <c r="I7281" s="53"/>
      <c r="U7281" s="31" t="n">
        <f aca="false">IF($B7281='設定（最初に1回）'!$C$4,N(U7280)+1,N(U7280))</f>
        <v>134</v>
      </c>
    </row>
    <row r="7282" customFormat="false" ht="15" hidden="false" customHeight="false" outlineLevel="0" collapsed="false">
      <c r="B7282" s="53"/>
      <c r="I7282" s="53"/>
      <c r="U7282" s="31" t="n">
        <f aca="false">IF($B7282='設定（最初に1回）'!$C$4,N(U7281)+1,N(U7281))</f>
        <v>134</v>
      </c>
    </row>
    <row r="7283" customFormat="false" ht="15" hidden="false" customHeight="false" outlineLevel="0" collapsed="false">
      <c r="B7283" s="53"/>
      <c r="I7283" s="53"/>
      <c r="U7283" s="31" t="n">
        <f aca="false">IF($B7283='設定（最初に1回）'!$C$4,N(U7282)+1,N(U7282))</f>
        <v>134</v>
      </c>
    </row>
    <row r="7284" customFormat="false" ht="15" hidden="false" customHeight="false" outlineLevel="0" collapsed="false">
      <c r="B7284" s="53"/>
      <c r="I7284" s="53"/>
      <c r="U7284" s="31" t="n">
        <f aca="false">IF($B7284='設定（最初に1回）'!$C$4,N(U7283)+1,N(U7283))</f>
        <v>134</v>
      </c>
    </row>
    <row r="7285" customFormat="false" ht="15" hidden="false" customHeight="false" outlineLevel="0" collapsed="false">
      <c r="B7285" s="53"/>
      <c r="I7285" s="53"/>
      <c r="U7285" s="31" t="n">
        <f aca="false">IF($B7285='設定（最初に1回）'!$C$4,N(U7284)+1,N(U7284))</f>
        <v>134</v>
      </c>
    </row>
    <row r="7286" customFormat="false" ht="15" hidden="false" customHeight="false" outlineLevel="0" collapsed="false">
      <c r="B7286" s="53"/>
      <c r="I7286" s="53"/>
      <c r="U7286" s="31" t="n">
        <f aca="false">IF($B7286='設定（最初に1回）'!$C$4,N(U7285)+1,N(U7285))</f>
        <v>134</v>
      </c>
    </row>
    <row r="7287" customFormat="false" ht="15" hidden="false" customHeight="false" outlineLevel="0" collapsed="false">
      <c r="B7287" s="53"/>
      <c r="I7287" s="53"/>
      <c r="U7287" s="31" t="n">
        <f aca="false">IF($B7287='設定（最初に1回）'!$C$4,N(U7286)+1,N(U7286))</f>
        <v>134</v>
      </c>
    </row>
    <row r="7288" customFormat="false" ht="15" hidden="false" customHeight="false" outlineLevel="0" collapsed="false">
      <c r="B7288" s="53"/>
      <c r="I7288" s="53"/>
      <c r="U7288" s="31" t="n">
        <f aca="false">IF($B7288='設定（最初に1回）'!$C$4,N(U7287)+1,N(U7287))</f>
        <v>134</v>
      </c>
    </row>
    <row r="7289" customFormat="false" ht="15" hidden="false" customHeight="false" outlineLevel="0" collapsed="false">
      <c r="B7289" s="53"/>
      <c r="I7289" s="53"/>
      <c r="U7289" s="31" t="n">
        <f aca="false">IF($B7289='設定（最初に1回）'!$C$4,N(U7288)+1,N(U7288))</f>
        <v>134</v>
      </c>
    </row>
    <row r="7290" customFormat="false" ht="15" hidden="false" customHeight="false" outlineLevel="0" collapsed="false">
      <c r="B7290" s="53"/>
      <c r="I7290" s="53"/>
      <c r="U7290" s="31" t="n">
        <f aca="false">IF($B7290='設定（最初に1回）'!$C$4,N(U7289)+1,N(U7289))</f>
        <v>134</v>
      </c>
    </row>
    <row r="7291" customFormat="false" ht="15" hidden="false" customHeight="false" outlineLevel="0" collapsed="false">
      <c r="B7291" s="53"/>
      <c r="I7291" s="53"/>
      <c r="U7291" s="31" t="n">
        <f aca="false">IF($B7291='設定（最初に1回）'!$C$4,N(U7290)+1,N(U7290))</f>
        <v>134</v>
      </c>
    </row>
    <row r="7292" customFormat="false" ht="15" hidden="false" customHeight="false" outlineLevel="0" collapsed="false">
      <c r="B7292" s="53"/>
      <c r="I7292" s="53"/>
      <c r="U7292" s="31" t="n">
        <f aca="false">IF($B7292='設定（最初に1回）'!$C$4,N(U7291)+1,N(U7291))</f>
        <v>134</v>
      </c>
    </row>
    <row r="7293" customFormat="false" ht="15" hidden="false" customHeight="false" outlineLevel="0" collapsed="false">
      <c r="B7293" s="53"/>
      <c r="I7293" s="53"/>
      <c r="U7293" s="31" t="n">
        <f aca="false">IF($B7293='設定（最初に1回）'!$C$4,N(U7292)+1,N(U7292))</f>
        <v>134</v>
      </c>
    </row>
    <row r="7294" customFormat="false" ht="15" hidden="false" customHeight="false" outlineLevel="0" collapsed="false">
      <c r="B7294" s="53"/>
      <c r="I7294" s="53"/>
      <c r="U7294" s="31" t="n">
        <f aca="false">IF($B7294='設定（最初に1回）'!$C$4,N(U7293)+1,N(U7293))</f>
        <v>134</v>
      </c>
    </row>
    <row r="7295" customFormat="false" ht="15" hidden="false" customHeight="false" outlineLevel="0" collapsed="false">
      <c r="B7295" s="53"/>
      <c r="I7295" s="53"/>
      <c r="U7295" s="31" t="n">
        <f aca="false">IF($B7295='設定（最初に1回）'!$C$4,N(U7294)+1,N(U7294))</f>
        <v>134</v>
      </c>
    </row>
    <row r="7296" customFormat="false" ht="15" hidden="false" customHeight="false" outlineLevel="0" collapsed="false">
      <c r="B7296" s="53"/>
      <c r="I7296" s="53"/>
      <c r="U7296" s="31" t="n">
        <f aca="false">IF($B7296='設定（最初に1回）'!$C$4,N(U7295)+1,N(U7295))</f>
        <v>134</v>
      </c>
    </row>
    <row r="7297" customFormat="false" ht="15" hidden="false" customHeight="false" outlineLevel="0" collapsed="false">
      <c r="B7297" s="53"/>
      <c r="I7297" s="53"/>
      <c r="U7297" s="31" t="n">
        <f aca="false">IF($B7297='設定（最初に1回）'!$C$4,N(U7296)+1,N(U7296))</f>
        <v>134</v>
      </c>
    </row>
    <row r="7298" customFormat="false" ht="15" hidden="false" customHeight="false" outlineLevel="0" collapsed="false">
      <c r="B7298" s="53"/>
      <c r="I7298" s="53"/>
      <c r="U7298" s="31" t="n">
        <f aca="false">IF($B7298='設定（最初に1回）'!$C$4,N(U7297)+1,N(U7297))</f>
        <v>134</v>
      </c>
    </row>
    <row r="7299" customFormat="false" ht="15" hidden="false" customHeight="false" outlineLevel="0" collapsed="false">
      <c r="B7299" s="53"/>
      <c r="I7299" s="53"/>
      <c r="U7299" s="31" t="n">
        <f aca="false">IF($B7299='設定（最初に1回）'!$C$4,N(U7298)+1,N(U7298))</f>
        <v>134</v>
      </c>
    </row>
    <row r="7300" customFormat="false" ht="15" hidden="false" customHeight="false" outlineLevel="0" collapsed="false">
      <c r="B7300" s="53"/>
      <c r="I7300" s="53"/>
      <c r="U7300" s="31" t="n">
        <f aca="false">IF($B7300='設定（最初に1回）'!$C$4,N(U7299)+1,N(U7299))</f>
        <v>134</v>
      </c>
    </row>
    <row r="7301" customFormat="false" ht="15" hidden="false" customHeight="false" outlineLevel="0" collapsed="false">
      <c r="B7301" s="53"/>
      <c r="I7301" s="53"/>
      <c r="U7301" s="31" t="n">
        <f aca="false">IF($B7301='設定（最初に1回）'!$C$4,N(U7300)+1,N(U7300))</f>
        <v>134</v>
      </c>
    </row>
    <row r="7302" customFormat="false" ht="15" hidden="false" customHeight="false" outlineLevel="0" collapsed="false">
      <c r="B7302" s="53"/>
      <c r="I7302" s="53"/>
      <c r="U7302" s="31" t="n">
        <f aca="false">IF($B7302='設定（最初に1回）'!$C$4,N(U7301)+1,N(U7301))</f>
        <v>134</v>
      </c>
    </row>
    <row r="7303" customFormat="false" ht="15" hidden="false" customHeight="false" outlineLevel="0" collapsed="false">
      <c r="B7303" s="53"/>
      <c r="I7303" s="53"/>
      <c r="U7303" s="31" t="n">
        <f aca="false">IF($B7303='設定（最初に1回）'!$C$4,N(U7302)+1,N(U7302))</f>
        <v>134</v>
      </c>
    </row>
    <row r="7304" customFormat="false" ht="15" hidden="false" customHeight="false" outlineLevel="0" collapsed="false">
      <c r="B7304" s="53"/>
      <c r="I7304" s="53"/>
      <c r="U7304" s="31" t="n">
        <f aca="false">IF($B7304='設定（最初に1回）'!$C$4,N(U7303)+1,N(U7303))</f>
        <v>134</v>
      </c>
    </row>
    <row r="7305" customFormat="false" ht="15" hidden="false" customHeight="false" outlineLevel="0" collapsed="false">
      <c r="B7305" s="53"/>
      <c r="I7305" s="53"/>
      <c r="U7305" s="31" t="n">
        <f aca="false">IF($B7305='設定（最初に1回）'!$C$4,N(U7304)+1,N(U7304))</f>
        <v>134</v>
      </c>
    </row>
    <row r="7306" customFormat="false" ht="15" hidden="false" customHeight="false" outlineLevel="0" collapsed="false">
      <c r="B7306" s="53"/>
      <c r="I7306" s="53"/>
      <c r="U7306" s="31" t="n">
        <f aca="false">IF($B7306='設定（最初に1回）'!$C$4,N(U7305)+1,N(U7305))</f>
        <v>134</v>
      </c>
    </row>
    <row r="7307" customFormat="false" ht="15" hidden="false" customHeight="false" outlineLevel="0" collapsed="false">
      <c r="B7307" s="53"/>
      <c r="I7307" s="53"/>
      <c r="U7307" s="31" t="n">
        <f aca="false">IF($B7307='設定（最初に1回）'!$C$4,N(U7306)+1,N(U7306))</f>
        <v>134</v>
      </c>
    </row>
    <row r="7308" customFormat="false" ht="15" hidden="false" customHeight="false" outlineLevel="0" collapsed="false">
      <c r="B7308" s="53"/>
      <c r="I7308" s="53"/>
      <c r="U7308" s="31" t="n">
        <f aca="false">IF($B7308='設定（最初に1回）'!$C$4,N(U7307)+1,N(U7307))</f>
        <v>134</v>
      </c>
    </row>
    <row r="7309" customFormat="false" ht="15" hidden="false" customHeight="false" outlineLevel="0" collapsed="false">
      <c r="B7309" s="53"/>
      <c r="I7309" s="53"/>
      <c r="U7309" s="31" t="n">
        <f aca="false">IF($B7309='設定（最初に1回）'!$C$4,N(U7308)+1,N(U7308))</f>
        <v>134</v>
      </c>
    </row>
    <row r="7310" customFormat="false" ht="15" hidden="false" customHeight="false" outlineLevel="0" collapsed="false">
      <c r="B7310" s="53"/>
      <c r="I7310" s="53"/>
      <c r="U7310" s="31" t="n">
        <f aca="false">IF($B7310='設定（最初に1回）'!$C$4,N(U7309)+1,N(U7309))</f>
        <v>134</v>
      </c>
    </row>
    <row r="7311" customFormat="false" ht="15" hidden="false" customHeight="false" outlineLevel="0" collapsed="false">
      <c r="B7311" s="53"/>
      <c r="I7311" s="53"/>
      <c r="U7311" s="31" t="n">
        <f aca="false">IF($B7311='設定（最初に1回）'!$C$4,N(U7310)+1,N(U7310))</f>
        <v>134</v>
      </c>
    </row>
    <row r="7312" customFormat="false" ht="15" hidden="false" customHeight="false" outlineLevel="0" collapsed="false">
      <c r="B7312" s="53"/>
      <c r="I7312" s="53"/>
      <c r="U7312" s="31" t="n">
        <f aca="false">IF($B7312='設定（最初に1回）'!$C$4,N(U7311)+1,N(U7311))</f>
        <v>134</v>
      </c>
    </row>
    <row r="7313" customFormat="false" ht="15" hidden="false" customHeight="false" outlineLevel="0" collapsed="false">
      <c r="B7313" s="53"/>
      <c r="I7313" s="53"/>
      <c r="U7313" s="31" t="n">
        <f aca="false">IF($B7313='設定（最初に1回）'!$C$4,N(U7312)+1,N(U7312))</f>
        <v>134</v>
      </c>
    </row>
    <row r="7314" customFormat="false" ht="15" hidden="false" customHeight="false" outlineLevel="0" collapsed="false">
      <c r="B7314" s="53"/>
      <c r="I7314" s="53"/>
      <c r="U7314" s="31" t="n">
        <f aca="false">IF($B7314='設定（最初に1回）'!$C$4,N(U7313)+1,N(U7313))</f>
        <v>134</v>
      </c>
    </row>
    <row r="7315" customFormat="false" ht="15" hidden="false" customHeight="false" outlineLevel="0" collapsed="false">
      <c r="B7315" s="53"/>
      <c r="I7315" s="53"/>
      <c r="U7315" s="31" t="n">
        <f aca="false">IF($B7315='設定（最初に1回）'!$C$4,N(U7314)+1,N(U7314))</f>
        <v>134</v>
      </c>
    </row>
    <row r="7316" customFormat="false" ht="15" hidden="false" customHeight="false" outlineLevel="0" collapsed="false">
      <c r="B7316" s="53"/>
      <c r="I7316" s="53"/>
      <c r="U7316" s="31" t="n">
        <f aca="false">IF($B7316='設定（最初に1回）'!$C$4,N(U7315)+1,N(U7315))</f>
        <v>134</v>
      </c>
    </row>
    <row r="7317" customFormat="false" ht="15" hidden="false" customHeight="false" outlineLevel="0" collapsed="false">
      <c r="B7317" s="53"/>
      <c r="I7317" s="53"/>
      <c r="U7317" s="31" t="n">
        <f aca="false">IF($B7317='設定（最初に1回）'!$C$4,N(U7316)+1,N(U7316))</f>
        <v>134</v>
      </c>
    </row>
    <row r="7318" customFormat="false" ht="15" hidden="false" customHeight="false" outlineLevel="0" collapsed="false">
      <c r="B7318" s="53"/>
      <c r="I7318" s="53"/>
      <c r="U7318" s="31" t="n">
        <f aca="false">IF($B7318='設定（最初に1回）'!$C$4,N(U7317)+1,N(U7317))</f>
        <v>134</v>
      </c>
    </row>
    <row r="7319" customFormat="false" ht="15" hidden="false" customHeight="false" outlineLevel="0" collapsed="false">
      <c r="B7319" s="53"/>
      <c r="I7319" s="53"/>
      <c r="U7319" s="31" t="n">
        <f aca="false">IF($B7319='設定（最初に1回）'!$C$4,N(U7318)+1,N(U7318))</f>
        <v>134</v>
      </c>
    </row>
    <row r="7320" customFormat="false" ht="15" hidden="false" customHeight="false" outlineLevel="0" collapsed="false">
      <c r="B7320" s="53"/>
      <c r="I7320" s="53"/>
      <c r="U7320" s="31" t="n">
        <f aca="false">IF($B7320='設定（最初に1回）'!$C$4,N(U7319)+1,N(U7319))</f>
        <v>134</v>
      </c>
    </row>
    <row r="7321" customFormat="false" ht="15" hidden="false" customHeight="false" outlineLevel="0" collapsed="false">
      <c r="B7321" s="53"/>
      <c r="I7321" s="53"/>
      <c r="U7321" s="31" t="n">
        <f aca="false">IF($B7321='設定（最初に1回）'!$C$4,N(U7320)+1,N(U7320))</f>
        <v>134</v>
      </c>
    </row>
    <row r="7322" customFormat="false" ht="15" hidden="false" customHeight="false" outlineLevel="0" collapsed="false">
      <c r="B7322" s="53"/>
      <c r="I7322" s="53"/>
      <c r="U7322" s="31" t="n">
        <f aca="false">IF($B7322='設定（最初に1回）'!$C$4,N(U7321)+1,N(U7321))</f>
        <v>134</v>
      </c>
    </row>
    <row r="7323" customFormat="false" ht="15" hidden="false" customHeight="false" outlineLevel="0" collapsed="false">
      <c r="B7323" s="53"/>
      <c r="I7323" s="53"/>
      <c r="U7323" s="31" t="n">
        <f aca="false">IF($B7323='設定（最初に1回）'!$C$4,N(U7322)+1,N(U7322))</f>
        <v>134</v>
      </c>
    </row>
    <row r="7324" customFormat="false" ht="15" hidden="false" customHeight="false" outlineLevel="0" collapsed="false">
      <c r="B7324" s="53"/>
      <c r="I7324" s="53"/>
      <c r="U7324" s="31" t="n">
        <f aca="false">IF($B7324='設定（最初に1回）'!$C$4,N(U7323)+1,N(U7323))</f>
        <v>134</v>
      </c>
    </row>
    <row r="7325" customFormat="false" ht="15" hidden="false" customHeight="false" outlineLevel="0" collapsed="false">
      <c r="B7325" s="53"/>
      <c r="I7325" s="53"/>
      <c r="U7325" s="31" t="n">
        <f aca="false">IF($B7325='設定（最初に1回）'!$C$4,N(U7324)+1,N(U7324))</f>
        <v>134</v>
      </c>
    </row>
    <row r="7326" customFormat="false" ht="15" hidden="false" customHeight="false" outlineLevel="0" collapsed="false">
      <c r="B7326" s="53"/>
      <c r="I7326" s="53"/>
      <c r="U7326" s="31" t="n">
        <f aca="false">IF($B7326='設定（最初に1回）'!$C$4,N(U7325)+1,N(U7325))</f>
        <v>134</v>
      </c>
    </row>
    <row r="7327" customFormat="false" ht="15" hidden="false" customHeight="false" outlineLevel="0" collapsed="false">
      <c r="B7327" s="53"/>
      <c r="I7327" s="53"/>
      <c r="U7327" s="31" t="n">
        <f aca="false">IF($B7327='設定（最初に1回）'!$C$4,N(U7326)+1,N(U7326))</f>
        <v>134</v>
      </c>
    </row>
    <row r="7328" customFormat="false" ht="15" hidden="false" customHeight="false" outlineLevel="0" collapsed="false">
      <c r="B7328" s="53"/>
      <c r="I7328" s="53"/>
      <c r="U7328" s="31" t="n">
        <f aca="false">IF($B7328='設定（最初に1回）'!$C$4,N(U7327)+1,N(U7327))</f>
        <v>134</v>
      </c>
    </row>
    <row r="7329" customFormat="false" ht="15" hidden="false" customHeight="false" outlineLevel="0" collapsed="false">
      <c r="B7329" s="53"/>
      <c r="I7329" s="53"/>
      <c r="U7329" s="31" t="n">
        <f aca="false">IF($B7329='設定（最初に1回）'!$C$4,N(U7328)+1,N(U7328))</f>
        <v>134</v>
      </c>
    </row>
    <row r="7330" customFormat="false" ht="15" hidden="false" customHeight="false" outlineLevel="0" collapsed="false">
      <c r="B7330" s="53"/>
      <c r="I7330" s="53"/>
      <c r="U7330" s="31" t="n">
        <f aca="false">IF($B7330='設定（最初に1回）'!$C$4,N(U7329)+1,N(U7329))</f>
        <v>134</v>
      </c>
    </row>
    <row r="7331" customFormat="false" ht="15" hidden="false" customHeight="false" outlineLevel="0" collapsed="false">
      <c r="B7331" s="53"/>
      <c r="I7331" s="53"/>
      <c r="U7331" s="31" t="n">
        <f aca="false">IF($B7331='設定（最初に1回）'!$C$4,N(U7330)+1,N(U7330))</f>
        <v>134</v>
      </c>
    </row>
    <row r="7332" customFormat="false" ht="15" hidden="false" customHeight="false" outlineLevel="0" collapsed="false">
      <c r="B7332" s="53"/>
      <c r="I7332" s="53"/>
      <c r="U7332" s="31" t="n">
        <f aca="false">IF($B7332='設定（最初に1回）'!$C$4,N(U7331)+1,N(U7331))</f>
        <v>134</v>
      </c>
    </row>
    <row r="7333" customFormat="false" ht="15" hidden="false" customHeight="false" outlineLevel="0" collapsed="false">
      <c r="B7333" s="53"/>
      <c r="I7333" s="53"/>
      <c r="U7333" s="31" t="n">
        <f aca="false">IF($B7333='設定（最初に1回）'!$C$4,N(U7332)+1,N(U7332))</f>
        <v>134</v>
      </c>
    </row>
    <row r="7334" customFormat="false" ht="15" hidden="false" customHeight="false" outlineLevel="0" collapsed="false">
      <c r="B7334" s="53"/>
      <c r="I7334" s="53"/>
      <c r="U7334" s="31" t="n">
        <f aca="false">IF($B7334='設定（最初に1回）'!$C$4,N(U7333)+1,N(U7333))</f>
        <v>134</v>
      </c>
    </row>
    <row r="7335" customFormat="false" ht="15" hidden="false" customHeight="false" outlineLevel="0" collapsed="false">
      <c r="B7335" s="53"/>
      <c r="I7335" s="53"/>
      <c r="U7335" s="31" t="n">
        <f aca="false">IF($B7335='設定（最初に1回）'!$C$4,N(U7334)+1,N(U7334))</f>
        <v>134</v>
      </c>
    </row>
    <row r="7336" customFormat="false" ht="15" hidden="false" customHeight="false" outlineLevel="0" collapsed="false">
      <c r="B7336" s="53"/>
      <c r="I7336" s="53"/>
      <c r="U7336" s="31" t="n">
        <f aca="false">IF($B7336='設定（最初に1回）'!$C$4,N(U7335)+1,N(U7335))</f>
        <v>134</v>
      </c>
    </row>
    <row r="7337" customFormat="false" ht="15" hidden="false" customHeight="false" outlineLevel="0" collapsed="false">
      <c r="B7337" s="53"/>
      <c r="I7337" s="53"/>
      <c r="U7337" s="31" t="n">
        <f aca="false">IF($B7337='設定（最初に1回）'!$C$4,N(U7336)+1,N(U7336))</f>
        <v>134</v>
      </c>
    </row>
    <row r="7338" customFormat="false" ht="15" hidden="false" customHeight="false" outlineLevel="0" collapsed="false">
      <c r="B7338" s="53"/>
      <c r="I7338" s="53"/>
      <c r="U7338" s="31" t="n">
        <f aca="false">IF($B7338='設定（最初に1回）'!$C$4,N(U7337)+1,N(U7337))</f>
        <v>134</v>
      </c>
    </row>
    <row r="7339" customFormat="false" ht="15" hidden="false" customHeight="false" outlineLevel="0" collapsed="false">
      <c r="B7339" s="53"/>
      <c r="I7339" s="53"/>
      <c r="U7339" s="31" t="n">
        <f aca="false">IF($B7339='設定（最初に1回）'!$C$4,N(U7338)+1,N(U7338))</f>
        <v>134</v>
      </c>
    </row>
    <row r="7340" customFormat="false" ht="15" hidden="false" customHeight="false" outlineLevel="0" collapsed="false">
      <c r="B7340" s="53"/>
      <c r="I7340" s="53"/>
      <c r="U7340" s="31" t="n">
        <f aca="false">IF($B7340='設定（最初に1回）'!$C$4,N(U7339)+1,N(U7339))</f>
        <v>134</v>
      </c>
    </row>
    <row r="7341" customFormat="false" ht="15" hidden="false" customHeight="false" outlineLevel="0" collapsed="false">
      <c r="B7341" s="53"/>
      <c r="I7341" s="53"/>
      <c r="U7341" s="31" t="n">
        <f aca="false">IF($B7341='設定（最初に1回）'!$C$4,N(U7340)+1,N(U7340))</f>
        <v>134</v>
      </c>
    </row>
    <row r="7342" customFormat="false" ht="15" hidden="false" customHeight="false" outlineLevel="0" collapsed="false">
      <c r="B7342" s="53"/>
      <c r="I7342" s="53"/>
      <c r="U7342" s="31" t="n">
        <f aca="false">IF($B7342='設定（最初に1回）'!$C$4,N(U7341)+1,N(U7341))</f>
        <v>134</v>
      </c>
    </row>
    <row r="7343" customFormat="false" ht="15" hidden="false" customHeight="false" outlineLevel="0" collapsed="false">
      <c r="B7343" s="53"/>
      <c r="I7343" s="53"/>
      <c r="U7343" s="31" t="n">
        <f aca="false">IF($B7343='設定（最初に1回）'!$C$4,N(U7342)+1,N(U7342))</f>
        <v>134</v>
      </c>
    </row>
    <row r="7344" customFormat="false" ht="15" hidden="false" customHeight="false" outlineLevel="0" collapsed="false">
      <c r="B7344" s="53"/>
      <c r="I7344" s="53"/>
      <c r="U7344" s="31" t="n">
        <f aca="false">IF($B7344='設定（最初に1回）'!$C$4,N(U7343)+1,N(U7343))</f>
        <v>134</v>
      </c>
    </row>
    <row r="7345" customFormat="false" ht="15" hidden="false" customHeight="false" outlineLevel="0" collapsed="false">
      <c r="B7345" s="53"/>
      <c r="I7345" s="53"/>
      <c r="U7345" s="31" t="n">
        <f aca="false">IF($B7345='設定（最初に1回）'!$C$4,N(U7344)+1,N(U7344))</f>
        <v>134</v>
      </c>
    </row>
    <row r="7346" customFormat="false" ht="15" hidden="false" customHeight="false" outlineLevel="0" collapsed="false">
      <c r="B7346" s="53"/>
      <c r="I7346" s="53"/>
      <c r="U7346" s="31" t="n">
        <f aca="false">IF($B7346='設定（最初に1回）'!$C$4,N(U7345)+1,N(U7345))</f>
        <v>134</v>
      </c>
    </row>
    <row r="7347" customFormat="false" ht="15" hidden="false" customHeight="false" outlineLevel="0" collapsed="false">
      <c r="B7347" s="53"/>
      <c r="I7347" s="53"/>
      <c r="U7347" s="31" t="n">
        <f aca="false">IF($B7347='設定（最初に1回）'!$C$4,N(U7346)+1,N(U7346))</f>
        <v>134</v>
      </c>
    </row>
    <row r="7348" customFormat="false" ht="15" hidden="false" customHeight="false" outlineLevel="0" collapsed="false">
      <c r="B7348" s="53"/>
      <c r="I7348" s="53"/>
      <c r="U7348" s="31" t="n">
        <f aca="false">IF($B7348='設定（最初に1回）'!$C$4,N(U7347)+1,N(U7347))</f>
        <v>134</v>
      </c>
    </row>
    <row r="7349" customFormat="false" ht="15" hidden="false" customHeight="false" outlineLevel="0" collapsed="false">
      <c r="B7349" s="53"/>
      <c r="I7349" s="53"/>
      <c r="U7349" s="31" t="n">
        <f aca="false">IF($B7349='設定（最初に1回）'!$C$4,N(U7348)+1,N(U7348))</f>
        <v>134</v>
      </c>
    </row>
    <row r="7350" customFormat="false" ht="15" hidden="false" customHeight="false" outlineLevel="0" collapsed="false">
      <c r="B7350" s="53"/>
      <c r="I7350" s="53"/>
      <c r="U7350" s="31" t="n">
        <f aca="false">IF($B7350='設定（最初に1回）'!$C$4,N(U7349)+1,N(U7349))</f>
        <v>134</v>
      </c>
    </row>
    <row r="7351" customFormat="false" ht="15" hidden="false" customHeight="false" outlineLevel="0" collapsed="false">
      <c r="B7351" s="53"/>
      <c r="I7351" s="53"/>
      <c r="U7351" s="31" t="n">
        <f aca="false">IF($B7351='設定（最初に1回）'!$C$4,N(U7350)+1,N(U7350))</f>
        <v>134</v>
      </c>
    </row>
    <row r="7352" customFormat="false" ht="15" hidden="false" customHeight="false" outlineLevel="0" collapsed="false">
      <c r="B7352" s="53"/>
      <c r="I7352" s="53"/>
      <c r="U7352" s="31" t="n">
        <f aca="false">IF($B7352='設定（最初に1回）'!$C$4,N(U7351)+1,N(U7351))</f>
        <v>134</v>
      </c>
    </row>
    <row r="7353" customFormat="false" ht="15" hidden="false" customHeight="false" outlineLevel="0" collapsed="false">
      <c r="B7353" s="53"/>
      <c r="I7353" s="53"/>
      <c r="U7353" s="31" t="n">
        <f aca="false">IF($B7353='設定（最初に1回）'!$C$4,N(U7352)+1,N(U7352))</f>
        <v>134</v>
      </c>
    </row>
    <row r="7354" customFormat="false" ht="15" hidden="false" customHeight="false" outlineLevel="0" collapsed="false">
      <c r="B7354" s="53"/>
      <c r="I7354" s="53"/>
      <c r="U7354" s="31" t="n">
        <f aca="false">IF($B7354='設定（最初に1回）'!$C$4,N(U7353)+1,N(U7353))</f>
        <v>134</v>
      </c>
    </row>
    <row r="7355" customFormat="false" ht="15" hidden="false" customHeight="false" outlineLevel="0" collapsed="false">
      <c r="B7355" s="53"/>
      <c r="I7355" s="53"/>
      <c r="U7355" s="31" t="n">
        <f aca="false">IF($B7355='設定（最初に1回）'!$C$4,N(U7354)+1,N(U7354))</f>
        <v>134</v>
      </c>
    </row>
    <row r="7356" customFormat="false" ht="15" hidden="false" customHeight="false" outlineLevel="0" collapsed="false">
      <c r="B7356" s="53"/>
      <c r="I7356" s="53"/>
      <c r="U7356" s="31" t="n">
        <f aca="false">IF($B7356='設定（最初に1回）'!$C$4,N(U7355)+1,N(U7355))</f>
        <v>134</v>
      </c>
    </row>
    <row r="7357" customFormat="false" ht="15" hidden="false" customHeight="false" outlineLevel="0" collapsed="false">
      <c r="B7357" s="53"/>
      <c r="I7357" s="53"/>
      <c r="U7357" s="31" t="n">
        <f aca="false">IF($B7357='設定（最初に1回）'!$C$4,N(U7356)+1,N(U7356))</f>
        <v>134</v>
      </c>
    </row>
    <row r="7358" customFormat="false" ht="15" hidden="false" customHeight="false" outlineLevel="0" collapsed="false">
      <c r="B7358" s="53"/>
      <c r="I7358" s="53"/>
      <c r="U7358" s="31" t="n">
        <f aca="false">IF($B7358='設定（最初に1回）'!$C$4,N(U7357)+1,N(U7357))</f>
        <v>134</v>
      </c>
    </row>
    <row r="7359" customFormat="false" ht="15" hidden="false" customHeight="false" outlineLevel="0" collapsed="false">
      <c r="B7359" s="53"/>
      <c r="I7359" s="53"/>
      <c r="U7359" s="31" t="n">
        <f aca="false">IF($B7359='設定（最初に1回）'!$C$4,N(U7358)+1,N(U7358))</f>
        <v>134</v>
      </c>
    </row>
    <row r="7360" customFormat="false" ht="15" hidden="false" customHeight="false" outlineLevel="0" collapsed="false">
      <c r="B7360" s="53"/>
      <c r="I7360" s="53"/>
      <c r="U7360" s="31" t="n">
        <f aca="false">IF($B7360='設定（最初に1回）'!$C$4,N(U7359)+1,N(U7359))</f>
        <v>134</v>
      </c>
    </row>
    <row r="7361" customFormat="false" ht="15" hidden="false" customHeight="false" outlineLevel="0" collapsed="false">
      <c r="B7361" s="53"/>
      <c r="I7361" s="53"/>
      <c r="U7361" s="31" t="n">
        <f aca="false">IF($B7361='設定（最初に1回）'!$C$4,N(U7360)+1,N(U7360))</f>
        <v>134</v>
      </c>
    </row>
    <row r="7362" customFormat="false" ht="15" hidden="false" customHeight="false" outlineLevel="0" collapsed="false">
      <c r="B7362" s="53"/>
      <c r="I7362" s="53"/>
      <c r="U7362" s="31" t="n">
        <f aca="false">IF($B7362='設定（最初に1回）'!$C$4,N(U7361)+1,N(U7361))</f>
        <v>134</v>
      </c>
    </row>
    <row r="7363" customFormat="false" ht="15" hidden="false" customHeight="false" outlineLevel="0" collapsed="false">
      <c r="B7363" s="53"/>
      <c r="I7363" s="53"/>
      <c r="U7363" s="31" t="n">
        <f aca="false">IF($B7363='設定（最初に1回）'!$C$4,N(U7362)+1,N(U7362))</f>
        <v>134</v>
      </c>
    </row>
    <row r="7364" customFormat="false" ht="15" hidden="false" customHeight="false" outlineLevel="0" collapsed="false">
      <c r="B7364" s="53"/>
      <c r="I7364" s="53"/>
      <c r="U7364" s="31" t="n">
        <f aca="false">IF($B7364='設定（最初に1回）'!$C$4,N(U7363)+1,N(U7363))</f>
        <v>134</v>
      </c>
    </row>
    <row r="7365" customFormat="false" ht="15" hidden="false" customHeight="false" outlineLevel="0" collapsed="false">
      <c r="B7365" s="53"/>
      <c r="I7365" s="53"/>
      <c r="U7365" s="31" t="n">
        <f aca="false">IF($B7365='設定（最初に1回）'!$C$4,N(U7364)+1,N(U7364))</f>
        <v>134</v>
      </c>
    </row>
    <row r="7366" customFormat="false" ht="15" hidden="false" customHeight="false" outlineLevel="0" collapsed="false">
      <c r="B7366" s="53"/>
      <c r="I7366" s="53"/>
      <c r="U7366" s="31" t="n">
        <f aca="false">IF($B7366='設定（最初に1回）'!$C$4,N(U7365)+1,N(U7365))</f>
        <v>134</v>
      </c>
    </row>
    <row r="7367" customFormat="false" ht="15" hidden="false" customHeight="false" outlineLevel="0" collapsed="false">
      <c r="B7367" s="53"/>
      <c r="I7367" s="53"/>
      <c r="U7367" s="31" t="n">
        <f aca="false">IF($B7367='設定（最初に1回）'!$C$4,N(U7366)+1,N(U7366))</f>
        <v>134</v>
      </c>
    </row>
    <row r="7368" customFormat="false" ht="15" hidden="false" customHeight="false" outlineLevel="0" collapsed="false">
      <c r="B7368" s="53"/>
      <c r="I7368" s="53"/>
      <c r="U7368" s="31" t="n">
        <f aca="false">IF($B7368='設定（最初に1回）'!$C$4,N(U7367)+1,N(U7367))</f>
        <v>134</v>
      </c>
    </row>
    <row r="7369" customFormat="false" ht="15" hidden="false" customHeight="false" outlineLevel="0" collapsed="false">
      <c r="B7369" s="53"/>
      <c r="I7369" s="53"/>
      <c r="U7369" s="31" t="n">
        <f aca="false">IF($B7369='設定（最初に1回）'!$C$4,N(U7368)+1,N(U7368))</f>
        <v>134</v>
      </c>
    </row>
    <row r="7370" customFormat="false" ht="15" hidden="false" customHeight="false" outlineLevel="0" collapsed="false">
      <c r="B7370" s="53"/>
      <c r="I7370" s="53"/>
      <c r="U7370" s="31" t="n">
        <f aca="false">IF($B7370='設定（最初に1回）'!$C$4,N(U7369)+1,N(U7369))</f>
        <v>134</v>
      </c>
    </row>
    <row r="7371" customFormat="false" ht="15" hidden="false" customHeight="false" outlineLevel="0" collapsed="false">
      <c r="B7371" s="53"/>
      <c r="I7371" s="53"/>
      <c r="U7371" s="31" t="n">
        <f aca="false">IF($B7371='設定（最初に1回）'!$C$4,N(U7370)+1,N(U7370))</f>
        <v>134</v>
      </c>
    </row>
    <row r="7372" customFormat="false" ht="15" hidden="false" customHeight="false" outlineLevel="0" collapsed="false">
      <c r="B7372" s="53"/>
      <c r="I7372" s="53"/>
      <c r="U7372" s="31" t="n">
        <f aca="false">IF($B7372='設定（最初に1回）'!$C$4,N(U7371)+1,N(U7371))</f>
        <v>134</v>
      </c>
    </row>
    <row r="7373" customFormat="false" ht="15" hidden="false" customHeight="false" outlineLevel="0" collapsed="false">
      <c r="B7373" s="53"/>
      <c r="I7373" s="53"/>
      <c r="U7373" s="31" t="n">
        <f aca="false">IF($B7373='設定（最初に1回）'!$C$4,N(U7372)+1,N(U7372))</f>
        <v>134</v>
      </c>
    </row>
    <row r="7374" customFormat="false" ht="15" hidden="false" customHeight="false" outlineLevel="0" collapsed="false">
      <c r="B7374" s="53"/>
      <c r="I7374" s="53"/>
      <c r="U7374" s="31" t="n">
        <f aca="false">IF($B7374='設定（最初に1回）'!$C$4,N(U7373)+1,N(U7373))</f>
        <v>134</v>
      </c>
    </row>
    <row r="7375" customFormat="false" ht="15" hidden="false" customHeight="false" outlineLevel="0" collapsed="false">
      <c r="B7375" s="53"/>
      <c r="I7375" s="53"/>
      <c r="U7375" s="31" t="n">
        <f aca="false">IF($B7375='設定（最初に1回）'!$C$4,N(U7374)+1,N(U7374))</f>
        <v>134</v>
      </c>
    </row>
    <row r="7376" customFormat="false" ht="15" hidden="false" customHeight="false" outlineLevel="0" collapsed="false">
      <c r="B7376" s="53"/>
      <c r="I7376" s="53"/>
      <c r="U7376" s="31" t="n">
        <f aca="false">IF($B7376='設定（最初に1回）'!$C$4,N(U7375)+1,N(U7375))</f>
        <v>134</v>
      </c>
    </row>
    <row r="7377" customFormat="false" ht="15" hidden="false" customHeight="false" outlineLevel="0" collapsed="false">
      <c r="B7377" s="53"/>
      <c r="I7377" s="53"/>
      <c r="U7377" s="31" t="n">
        <f aca="false">IF($B7377='設定（最初に1回）'!$C$4,N(U7376)+1,N(U7376))</f>
        <v>134</v>
      </c>
    </row>
    <row r="7378" customFormat="false" ht="15" hidden="false" customHeight="false" outlineLevel="0" collapsed="false">
      <c r="B7378" s="53"/>
      <c r="I7378" s="53"/>
      <c r="U7378" s="31" t="n">
        <f aca="false">IF($B7378='設定（最初に1回）'!$C$4,N(U7377)+1,N(U7377))</f>
        <v>134</v>
      </c>
    </row>
    <row r="7379" customFormat="false" ht="15" hidden="false" customHeight="false" outlineLevel="0" collapsed="false">
      <c r="B7379" s="53"/>
      <c r="I7379" s="53"/>
      <c r="U7379" s="31" t="n">
        <f aca="false">IF($B7379='設定（最初に1回）'!$C$4,N(U7378)+1,N(U7378))</f>
        <v>134</v>
      </c>
    </row>
    <row r="7380" customFormat="false" ht="15" hidden="false" customHeight="false" outlineLevel="0" collapsed="false">
      <c r="B7380" s="53"/>
      <c r="I7380" s="53"/>
      <c r="U7380" s="31" t="n">
        <f aca="false">IF($B7380='設定（最初に1回）'!$C$4,N(U7379)+1,N(U7379))</f>
        <v>134</v>
      </c>
    </row>
    <row r="7381" customFormat="false" ht="15" hidden="false" customHeight="false" outlineLevel="0" collapsed="false">
      <c r="B7381" s="53"/>
      <c r="I7381" s="53"/>
      <c r="U7381" s="31" t="n">
        <f aca="false">IF($B7381='設定（最初に1回）'!$C$4,N(U7380)+1,N(U7380))</f>
        <v>134</v>
      </c>
    </row>
    <row r="7382" customFormat="false" ht="15" hidden="false" customHeight="false" outlineLevel="0" collapsed="false">
      <c r="B7382" s="53"/>
      <c r="I7382" s="53"/>
      <c r="U7382" s="31" t="n">
        <f aca="false">IF($B7382='設定（最初に1回）'!$C$4,N(U7381)+1,N(U7381))</f>
        <v>134</v>
      </c>
    </row>
    <row r="7383" customFormat="false" ht="15" hidden="false" customHeight="false" outlineLevel="0" collapsed="false">
      <c r="B7383" s="53"/>
      <c r="I7383" s="53"/>
      <c r="U7383" s="31" t="n">
        <f aca="false">IF($B7383='設定（最初に1回）'!$C$4,N(U7382)+1,N(U7382))</f>
        <v>134</v>
      </c>
    </row>
    <row r="7384" customFormat="false" ht="15" hidden="false" customHeight="false" outlineLevel="0" collapsed="false">
      <c r="B7384" s="53"/>
      <c r="I7384" s="53"/>
      <c r="U7384" s="31" t="n">
        <f aca="false">IF($B7384='設定（最初に1回）'!$C$4,N(U7383)+1,N(U7383))</f>
        <v>134</v>
      </c>
    </row>
    <row r="7385" customFormat="false" ht="15" hidden="false" customHeight="false" outlineLevel="0" collapsed="false">
      <c r="B7385" s="53"/>
      <c r="I7385" s="53"/>
      <c r="U7385" s="31" t="n">
        <f aca="false">IF($B7385='設定（最初に1回）'!$C$4,N(U7384)+1,N(U7384))</f>
        <v>134</v>
      </c>
    </row>
    <row r="7386" customFormat="false" ht="15" hidden="false" customHeight="false" outlineLevel="0" collapsed="false">
      <c r="B7386" s="53"/>
      <c r="I7386" s="53"/>
      <c r="U7386" s="31" t="n">
        <f aca="false">IF($B7386='設定（最初に1回）'!$C$4,N(U7385)+1,N(U7385))</f>
        <v>134</v>
      </c>
    </row>
    <row r="7387" customFormat="false" ht="15" hidden="false" customHeight="false" outlineLevel="0" collapsed="false">
      <c r="B7387" s="53"/>
      <c r="I7387" s="53"/>
      <c r="U7387" s="31" t="n">
        <f aca="false">IF($B7387='設定（最初に1回）'!$C$4,N(U7386)+1,N(U7386))</f>
        <v>134</v>
      </c>
    </row>
    <row r="7388" customFormat="false" ht="15" hidden="false" customHeight="false" outlineLevel="0" collapsed="false">
      <c r="B7388" s="53"/>
      <c r="I7388" s="53"/>
      <c r="U7388" s="31" t="n">
        <f aca="false">IF($B7388='設定（最初に1回）'!$C$4,N(U7387)+1,N(U7387))</f>
        <v>134</v>
      </c>
    </row>
    <row r="7389" customFormat="false" ht="15" hidden="false" customHeight="false" outlineLevel="0" collapsed="false">
      <c r="B7389" s="53"/>
      <c r="I7389" s="53"/>
      <c r="U7389" s="31" t="n">
        <f aca="false">IF($B7389='設定（最初に1回）'!$C$4,N(U7388)+1,N(U7388))</f>
        <v>134</v>
      </c>
    </row>
    <row r="7390" customFormat="false" ht="15" hidden="false" customHeight="false" outlineLevel="0" collapsed="false">
      <c r="B7390" s="53"/>
      <c r="I7390" s="53"/>
      <c r="U7390" s="31" t="n">
        <f aca="false">IF($B7390='設定（最初に1回）'!$C$4,N(U7389)+1,N(U7389))</f>
        <v>134</v>
      </c>
    </row>
    <row r="7391" customFormat="false" ht="15" hidden="false" customHeight="false" outlineLevel="0" collapsed="false">
      <c r="B7391" s="53"/>
      <c r="I7391" s="53"/>
      <c r="U7391" s="31" t="n">
        <f aca="false">IF($B7391='設定（最初に1回）'!$C$4,N(U7390)+1,N(U7390))</f>
        <v>134</v>
      </c>
    </row>
    <row r="7392" customFormat="false" ht="15" hidden="false" customHeight="false" outlineLevel="0" collapsed="false">
      <c r="B7392" s="53"/>
      <c r="I7392" s="53"/>
      <c r="U7392" s="31" t="n">
        <f aca="false">IF($B7392='設定（最初に1回）'!$C$4,N(U7391)+1,N(U7391))</f>
        <v>134</v>
      </c>
    </row>
    <row r="7393" customFormat="false" ht="15" hidden="false" customHeight="false" outlineLevel="0" collapsed="false">
      <c r="B7393" s="53"/>
      <c r="I7393" s="53"/>
      <c r="U7393" s="31" t="n">
        <f aca="false">IF($B7393='設定（最初に1回）'!$C$4,N(U7392)+1,N(U7392))</f>
        <v>134</v>
      </c>
    </row>
    <row r="7394" customFormat="false" ht="15" hidden="false" customHeight="false" outlineLevel="0" collapsed="false">
      <c r="B7394" s="53"/>
      <c r="I7394" s="53"/>
      <c r="U7394" s="31" t="n">
        <f aca="false">IF($B7394='設定（最初に1回）'!$C$4,N(U7393)+1,N(U7393))</f>
        <v>134</v>
      </c>
    </row>
    <row r="7395" customFormat="false" ht="15" hidden="false" customHeight="false" outlineLevel="0" collapsed="false">
      <c r="B7395" s="53"/>
      <c r="I7395" s="53"/>
      <c r="U7395" s="31" t="n">
        <f aca="false">IF($B7395='設定（最初に1回）'!$C$4,N(U7394)+1,N(U7394))</f>
        <v>134</v>
      </c>
    </row>
    <row r="7396" customFormat="false" ht="15" hidden="false" customHeight="false" outlineLevel="0" collapsed="false">
      <c r="B7396" s="53"/>
      <c r="I7396" s="53"/>
      <c r="U7396" s="31" t="n">
        <f aca="false">IF($B7396='設定（最初に1回）'!$C$4,N(U7395)+1,N(U7395))</f>
        <v>134</v>
      </c>
    </row>
    <row r="7397" customFormat="false" ht="15" hidden="false" customHeight="false" outlineLevel="0" collapsed="false">
      <c r="B7397" s="53"/>
      <c r="I7397" s="53"/>
      <c r="U7397" s="31" t="n">
        <f aca="false">IF($B7397='設定（最初に1回）'!$C$4,N(U7396)+1,N(U7396))</f>
        <v>134</v>
      </c>
    </row>
    <row r="7398" customFormat="false" ht="15" hidden="false" customHeight="false" outlineLevel="0" collapsed="false">
      <c r="B7398" s="53"/>
      <c r="I7398" s="53"/>
      <c r="U7398" s="31" t="n">
        <f aca="false">IF($B7398='設定（最初に1回）'!$C$4,N(U7397)+1,N(U7397))</f>
        <v>134</v>
      </c>
    </row>
    <row r="7399" customFormat="false" ht="15" hidden="false" customHeight="false" outlineLevel="0" collapsed="false">
      <c r="B7399" s="53"/>
      <c r="I7399" s="53"/>
      <c r="U7399" s="31" t="n">
        <f aca="false">IF($B7399='設定（最初に1回）'!$C$4,N(U7398)+1,N(U7398))</f>
        <v>134</v>
      </c>
    </row>
    <row r="7400" customFormat="false" ht="15" hidden="false" customHeight="false" outlineLevel="0" collapsed="false">
      <c r="B7400" s="53"/>
      <c r="I7400" s="53"/>
      <c r="U7400" s="31" t="n">
        <f aca="false">IF($B7400='設定（最初に1回）'!$C$4,N(U7399)+1,N(U7399))</f>
        <v>134</v>
      </c>
    </row>
    <row r="7401" customFormat="false" ht="15" hidden="false" customHeight="false" outlineLevel="0" collapsed="false">
      <c r="B7401" s="53"/>
      <c r="I7401" s="53"/>
      <c r="U7401" s="31" t="n">
        <f aca="false">IF($B7401='設定（最初に1回）'!$C$4,N(U7400)+1,N(U7400))</f>
        <v>134</v>
      </c>
    </row>
    <row r="7402" customFormat="false" ht="15" hidden="false" customHeight="false" outlineLevel="0" collapsed="false">
      <c r="B7402" s="53"/>
      <c r="I7402" s="53"/>
      <c r="U7402" s="31" t="n">
        <f aca="false">IF($B7402='設定（最初に1回）'!$C$4,N(U7401)+1,N(U7401))</f>
        <v>134</v>
      </c>
    </row>
    <row r="7403" customFormat="false" ht="15" hidden="false" customHeight="false" outlineLevel="0" collapsed="false">
      <c r="B7403" s="53"/>
      <c r="I7403" s="53"/>
      <c r="U7403" s="31" t="n">
        <f aca="false">IF($B7403='設定（最初に1回）'!$C$4,N(U7402)+1,N(U7402))</f>
        <v>134</v>
      </c>
    </row>
    <row r="7404" customFormat="false" ht="15" hidden="false" customHeight="false" outlineLevel="0" collapsed="false">
      <c r="B7404" s="53"/>
      <c r="I7404" s="53"/>
      <c r="U7404" s="31" t="n">
        <f aca="false">IF($B7404='設定（最初に1回）'!$C$4,N(U7403)+1,N(U7403))</f>
        <v>134</v>
      </c>
    </row>
    <row r="7405" customFormat="false" ht="15" hidden="false" customHeight="false" outlineLevel="0" collapsed="false">
      <c r="B7405" s="53"/>
      <c r="I7405" s="53"/>
      <c r="U7405" s="31" t="n">
        <f aca="false">IF($B7405='設定（最初に1回）'!$C$4,N(U7404)+1,N(U7404))</f>
        <v>134</v>
      </c>
    </row>
    <row r="7406" customFormat="false" ht="15" hidden="false" customHeight="false" outlineLevel="0" collapsed="false">
      <c r="B7406" s="53"/>
      <c r="I7406" s="53"/>
      <c r="U7406" s="31" t="n">
        <f aca="false">IF($B7406='設定（最初に1回）'!$C$4,N(U7405)+1,N(U7405))</f>
        <v>134</v>
      </c>
    </row>
    <row r="7407" customFormat="false" ht="15" hidden="false" customHeight="false" outlineLevel="0" collapsed="false">
      <c r="B7407" s="53"/>
      <c r="I7407" s="53"/>
      <c r="U7407" s="31" t="n">
        <f aca="false">IF($B7407='設定（最初に1回）'!$C$4,N(U7406)+1,N(U7406))</f>
        <v>134</v>
      </c>
    </row>
    <row r="7408" customFormat="false" ht="15" hidden="false" customHeight="false" outlineLevel="0" collapsed="false">
      <c r="B7408" s="53"/>
      <c r="I7408" s="53"/>
      <c r="U7408" s="31" t="n">
        <f aca="false">IF($B7408='設定（最初に1回）'!$C$4,N(U7407)+1,N(U7407))</f>
        <v>134</v>
      </c>
    </row>
    <row r="7409" customFormat="false" ht="15" hidden="false" customHeight="false" outlineLevel="0" collapsed="false">
      <c r="B7409" s="53"/>
      <c r="I7409" s="53"/>
      <c r="U7409" s="31" t="n">
        <f aca="false">IF($B7409='設定（最初に1回）'!$C$4,N(U7408)+1,N(U7408))</f>
        <v>134</v>
      </c>
    </row>
    <row r="7410" customFormat="false" ht="15" hidden="false" customHeight="false" outlineLevel="0" collapsed="false">
      <c r="B7410" s="53"/>
      <c r="I7410" s="53"/>
      <c r="U7410" s="31" t="n">
        <f aca="false">IF($B7410='設定（最初に1回）'!$C$4,N(U7409)+1,N(U7409))</f>
        <v>134</v>
      </c>
    </row>
    <row r="7411" customFormat="false" ht="15" hidden="false" customHeight="false" outlineLevel="0" collapsed="false">
      <c r="B7411" s="53"/>
      <c r="I7411" s="53"/>
      <c r="U7411" s="31" t="n">
        <f aca="false">IF($B7411='設定（最初に1回）'!$C$4,N(U7410)+1,N(U7410))</f>
        <v>134</v>
      </c>
    </row>
    <row r="7412" customFormat="false" ht="15" hidden="false" customHeight="false" outlineLevel="0" collapsed="false">
      <c r="B7412" s="53"/>
      <c r="I7412" s="53"/>
      <c r="U7412" s="31" t="n">
        <f aca="false">IF($B7412='設定（最初に1回）'!$C$4,N(U7411)+1,N(U7411))</f>
        <v>134</v>
      </c>
    </row>
    <row r="7413" customFormat="false" ht="15" hidden="false" customHeight="false" outlineLevel="0" collapsed="false">
      <c r="B7413" s="53"/>
      <c r="I7413" s="53"/>
      <c r="U7413" s="31" t="n">
        <f aca="false">IF($B7413='設定（最初に1回）'!$C$4,N(U7412)+1,N(U7412))</f>
        <v>134</v>
      </c>
    </row>
    <row r="7414" customFormat="false" ht="15" hidden="false" customHeight="false" outlineLevel="0" collapsed="false">
      <c r="B7414" s="53"/>
      <c r="I7414" s="53"/>
      <c r="U7414" s="31" t="n">
        <f aca="false">IF($B7414='設定（最初に1回）'!$C$4,N(U7413)+1,N(U7413))</f>
        <v>134</v>
      </c>
    </row>
    <row r="7415" customFormat="false" ht="15" hidden="false" customHeight="false" outlineLevel="0" collapsed="false">
      <c r="B7415" s="53"/>
      <c r="I7415" s="53"/>
      <c r="U7415" s="31" t="n">
        <f aca="false">IF($B7415='設定（最初に1回）'!$C$4,N(U7414)+1,N(U7414))</f>
        <v>134</v>
      </c>
    </row>
    <row r="7416" customFormat="false" ht="15" hidden="false" customHeight="false" outlineLevel="0" collapsed="false">
      <c r="B7416" s="53"/>
      <c r="I7416" s="53"/>
      <c r="U7416" s="31" t="n">
        <f aca="false">IF($B7416='設定（最初に1回）'!$C$4,N(U7415)+1,N(U7415))</f>
        <v>134</v>
      </c>
    </row>
    <row r="7417" customFormat="false" ht="15" hidden="false" customHeight="false" outlineLevel="0" collapsed="false">
      <c r="B7417" s="53"/>
      <c r="I7417" s="53"/>
      <c r="U7417" s="31" t="n">
        <f aca="false">IF($B7417='設定（最初に1回）'!$C$4,N(U7416)+1,N(U7416))</f>
        <v>134</v>
      </c>
    </row>
    <row r="7418" customFormat="false" ht="15" hidden="false" customHeight="false" outlineLevel="0" collapsed="false">
      <c r="B7418" s="53"/>
      <c r="I7418" s="53"/>
      <c r="U7418" s="31" t="n">
        <f aca="false">IF($B7418='設定（最初に1回）'!$C$4,N(U7417)+1,N(U7417))</f>
        <v>134</v>
      </c>
    </row>
    <row r="7419" customFormat="false" ht="15" hidden="false" customHeight="false" outlineLevel="0" collapsed="false">
      <c r="B7419" s="53"/>
      <c r="I7419" s="53"/>
      <c r="U7419" s="31" t="n">
        <f aca="false">IF($B7419='設定（最初に1回）'!$C$4,N(U7418)+1,N(U7418))</f>
        <v>134</v>
      </c>
    </row>
    <row r="7420" customFormat="false" ht="15" hidden="false" customHeight="false" outlineLevel="0" collapsed="false">
      <c r="B7420" s="53"/>
      <c r="I7420" s="53"/>
      <c r="U7420" s="31" t="n">
        <f aca="false">IF($B7420='設定（最初に1回）'!$C$4,N(U7419)+1,N(U7419))</f>
        <v>134</v>
      </c>
    </row>
    <row r="7421" customFormat="false" ht="15" hidden="false" customHeight="false" outlineLevel="0" collapsed="false">
      <c r="B7421" s="53"/>
      <c r="I7421" s="53"/>
      <c r="U7421" s="31" t="n">
        <f aca="false">IF($B7421='設定（最初に1回）'!$C$4,N(U7420)+1,N(U7420))</f>
        <v>134</v>
      </c>
    </row>
    <row r="7422" customFormat="false" ht="15" hidden="false" customHeight="false" outlineLevel="0" collapsed="false">
      <c r="B7422" s="53"/>
      <c r="I7422" s="53"/>
      <c r="U7422" s="31" t="n">
        <f aca="false">IF($B7422='設定（最初に1回）'!$C$4,N(U7421)+1,N(U7421))</f>
        <v>134</v>
      </c>
    </row>
    <row r="7423" customFormat="false" ht="15" hidden="false" customHeight="false" outlineLevel="0" collapsed="false">
      <c r="B7423" s="53"/>
      <c r="I7423" s="53"/>
      <c r="U7423" s="31" t="n">
        <f aca="false">IF($B7423='設定（最初に1回）'!$C$4,N(U7422)+1,N(U7422))</f>
        <v>134</v>
      </c>
    </row>
    <row r="7424" customFormat="false" ht="15" hidden="false" customHeight="false" outlineLevel="0" collapsed="false">
      <c r="B7424" s="53"/>
      <c r="I7424" s="53"/>
      <c r="U7424" s="31" t="n">
        <f aca="false">IF($B7424='設定（最初に1回）'!$C$4,N(U7423)+1,N(U7423))</f>
        <v>134</v>
      </c>
    </row>
    <row r="7425" customFormat="false" ht="15" hidden="false" customHeight="false" outlineLevel="0" collapsed="false">
      <c r="B7425" s="53"/>
      <c r="I7425" s="53"/>
      <c r="U7425" s="31" t="n">
        <f aca="false">IF($B7425='設定（最初に1回）'!$C$4,N(U7424)+1,N(U7424))</f>
        <v>134</v>
      </c>
    </row>
    <row r="7426" customFormat="false" ht="15" hidden="false" customHeight="false" outlineLevel="0" collapsed="false">
      <c r="B7426" s="53"/>
      <c r="I7426" s="53"/>
      <c r="U7426" s="31" t="n">
        <f aca="false">IF($B7426='設定（最初に1回）'!$C$4,N(U7425)+1,N(U7425))</f>
        <v>134</v>
      </c>
    </row>
    <row r="7427" customFormat="false" ht="15" hidden="false" customHeight="false" outlineLevel="0" collapsed="false">
      <c r="B7427" s="53"/>
      <c r="I7427" s="53"/>
      <c r="U7427" s="31" t="n">
        <f aca="false">IF($B7427='設定（最初に1回）'!$C$4,N(U7426)+1,N(U7426))</f>
        <v>134</v>
      </c>
    </row>
    <row r="7428" customFormat="false" ht="15" hidden="false" customHeight="false" outlineLevel="0" collapsed="false">
      <c r="B7428" s="53"/>
      <c r="I7428" s="53"/>
      <c r="U7428" s="31" t="n">
        <f aca="false">IF($B7428='設定（最初に1回）'!$C$4,N(U7427)+1,N(U7427))</f>
        <v>134</v>
      </c>
    </row>
    <row r="7429" customFormat="false" ht="15" hidden="false" customHeight="false" outlineLevel="0" collapsed="false">
      <c r="B7429" s="53"/>
      <c r="I7429" s="53"/>
      <c r="U7429" s="31" t="n">
        <f aca="false">IF($B7429='設定（最初に1回）'!$C$4,N(U7428)+1,N(U7428))</f>
        <v>134</v>
      </c>
    </row>
    <row r="7430" customFormat="false" ht="15" hidden="false" customHeight="false" outlineLevel="0" collapsed="false">
      <c r="B7430" s="53"/>
      <c r="I7430" s="53"/>
      <c r="U7430" s="31" t="n">
        <f aca="false">IF($B7430='設定（最初に1回）'!$C$4,N(U7429)+1,N(U7429))</f>
        <v>134</v>
      </c>
    </row>
    <row r="7431" customFormat="false" ht="15" hidden="false" customHeight="false" outlineLevel="0" collapsed="false">
      <c r="B7431" s="53"/>
      <c r="I7431" s="53"/>
      <c r="U7431" s="31" t="n">
        <f aca="false">IF($B7431='設定（最初に1回）'!$C$4,N(U7430)+1,N(U7430))</f>
        <v>134</v>
      </c>
    </row>
    <row r="7432" customFormat="false" ht="15" hidden="false" customHeight="false" outlineLevel="0" collapsed="false">
      <c r="B7432" s="53"/>
      <c r="I7432" s="53"/>
      <c r="U7432" s="31" t="n">
        <f aca="false">IF($B7432='設定（最初に1回）'!$C$4,N(U7431)+1,N(U7431))</f>
        <v>134</v>
      </c>
    </row>
    <row r="7433" customFormat="false" ht="15" hidden="false" customHeight="false" outlineLevel="0" collapsed="false">
      <c r="B7433" s="53"/>
      <c r="I7433" s="53"/>
      <c r="U7433" s="31" t="n">
        <f aca="false">IF($B7433='設定（最初に1回）'!$C$4,N(U7432)+1,N(U7432))</f>
        <v>134</v>
      </c>
    </row>
    <row r="7434" customFormat="false" ht="15" hidden="false" customHeight="false" outlineLevel="0" collapsed="false">
      <c r="B7434" s="53"/>
      <c r="I7434" s="53"/>
      <c r="U7434" s="31" t="n">
        <f aca="false">IF($B7434='設定（最初に1回）'!$C$4,N(U7433)+1,N(U7433))</f>
        <v>134</v>
      </c>
    </row>
    <row r="7435" customFormat="false" ht="15" hidden="false" customHeight="false" outlineLevel="0" collapsed="false">
      <c r="B7435" s="53"/>
      <c r="I7435" s="53"/>
      <c r="U7435" s="31" t="n">
        <f aca="false">IF($B7435='設定（最初に1回）'!$C$4,N(U7434)+1,N(U7434))</f>
        <v>134</v>
      </c>
    </row>
    <row r="7436" customFormat="false" ht="15" hidden="false" customHeight="false" outlineLevel="0" collapsed="false">
      <c r="B7436" s="53"/>
      <c r="I7436" s="53"/>
      <c r="U7436" s="31" t="n">
        <f aca="false">IF($B7436='設定（最初に1回）'!$C$4,N(U7435)+1,N(U7435))</f>
        <v>134</v>
      </c>
    </row>
    <row r="7437" customFormat="false" ht="15" hidden="false" customHeight="false" outlineLevel="0" collapsed="false">
      <c r="B7437" s="53"/>
      <c r="I7437" s="53"/>
      <c r="U7437" s="31" t="n">
        <f aca="false">IF($B7437='設定（最初に1回）'!$C$4,N(U7436)+1,N(U7436))</f>
        <v>134</v>
      </c>
    </row>
    <row r="7438" customFormat="false" ht="15" hidden="false" customHeight="false" outlineLevel="0" collapsed="false">
      <c r="B7438" s="53"/>
      <c r="I7438" s="53"/>
      <c r="U7438" s="31" t="n">
        <f aca="false">IF($B7438='設定（最初に1回）'!$C$4,N(U7437)+1,N(U7437))</f>
        <v>134</v>
      </c>
    </row>
    <row r="7439" customFormat="false" ht="15" hidden="false" customHeight="false" outlineLevel="0" collapsed="false">
      <c r="B7439" s="53"/>
      <c r="I7439" s="53"/>
      <c r="U7439" s="31" t="n">
        <f aca="false">IF($B7439='設定（最初に1回）'!$C$4,N(U7438)+1,N(U7438))</f>
        <v>134</v>
      </c>
    </row>
    <row r="7440" customFormat="false" ht="15" hidden="false" customHeight="false" outlineLevel="0" collapsed="false">
      <c r="B7440" s="53"/>
      <c r="I7440" s="53"/>
      <c r="U7440" s="31" t="n">
        <f aca="false">IF($B7440='設定（最初に1回）'!$C$4,N(U7439)+1,N(U7439))</f>
        <v>134</v>
      </c>
    </row>
    <row r="7441" customFormat="false" ht="15" hidden="false" customHeight="false" outlineLevel="0" collapsed="false">
      <c r="B7441" s="53"/>
      <c r="I7441" s="53"/>
      <c r="U7441" s="31" t="n">
        <f aca="false">IF($B7441='設定（最初に1回）'!$C$4,N(U7440)+1,N(U7440))</f>
        <v>134</v>
      </c>
    </row>
    <row r="7442" customFormat="false" ht="15" hidden="false" customHeight="false" outlineLevel="0" collapsed="false">
      <c r="B7442" s="53"/>
      <c r="I7442" s="53"/>
      <c r="U7442" s="31" t="n">
        <f aca="false">IF($B7442='設定（最初に1回）'!$C$4,N(U7441)+1,N(U7441))</f>
        <v>134</v>
      </c>
    </row>
    <row r="7443" customFormat="false" ht="15" hidden="false" customHeight="false" outlineLevel="0" collapsed="false">
      <c r="B7443" s="53"/>
      <c r="I7443" s="53"/>
      <c r="U7443" s="31" t="n">
        <f aca="false">IF($B7443='設定（最初に1回）'!$C$4,N(U7442)+1,N(U7442))</f>
        <v>134</v>
      </c>
    </row>
    <row r="7444" customFormat="false" ht="15" hidden="false" customHeight="false" outlineLevel="0" collapsed="false">
      <c r="B7444" s="53"/>
      <c r="I7444" s="53"/>
      <c r="U7444" s="31" t="n">
        <f aca="false">IF($B7444='設定（最初に1回）'!$C$4,N(U7443)+1,N(U7443))</f>
        <v>134</v>
      </c>
    </row>
    <row r="7445" customFormat="false" ht="15" hidden="false" customHeight="false" outlineLevel="0" collapsed="false">
      <c r="B7445" s="53"/>
      <c r="I7445" s="53"/>
      <c r="U7445" s="31" t="n">
        <f aca="false">IF($B7445='設定（最初に1回）'!$C$4,N(U7444)+1,N(U7444))</f>
        <v>134</v>
      </c>
    </row>
    <row r="7446" customFormat="false" ht="15" hidden="false" customHeight="false" outlineLevel="0" collapsed="false">
      <c r="B7446" s="53"/>
      <c r="I7446" s="53"/>
      <c r="U7446" s="31" t="n">
        <f aca="false">IF($B7446='設定（最初に1回）'!$C$4,N(U7445)+1,N(U7445))</f>
        <v>134</v>
      </c>
    </row>
    <row r="7447" customFormat="false" ht="15" hidden="false" customHeight="false" outlineLevel="0" collapsed="false">
      <c r="B7447" s="53"/>
      <c r="I7447" s="53"/>
      <c r="U7447" s="31" t="n">
        <f aca="false">IF($B7447='設定（最初に1回）'!$C$4,N(U7446)+1,N(U7446))</f>
        <v>134</v>
      </c>
    </row>
    <row r="7448" customFormat="false" ht="15" hidden="false" customHeight="false" outlineLevel="0" collapsed="false">
      <c r="B7448" s="53"/>
      <c r="I7448" s="53"/>
      <c r="U7448" s="31" t="n">
        <f aca="false">IF($B7448='設定（最初に1回）'!$C$4,N(U7447)+1,N(U7447))</f>
        <v>134</v>
      </c>
    </row>
    <row r="7449" customFormat="false" ht="15" hidden="false" customHeight="false" outlineLevel="0" collapsed="false">
      <c r="B7449" s="53"/>
      <c r="I7449" s="53"/>
      <c r="U7449" s="31" t="n">
        <f aca="false">IF($B7449='設定（最初に1回）'!$C$4,N(U7448)+1,N(U7448))</f>
        <v>134</v>
      </c>
    </row>
    <row r="7450" customFormat="false" ht="15" hidden="false" customHeight="false" outlineLevel="0" collapsed="false">
      <c r="B7450" s="53"/>
      <c r="I7450" s="53"/>
      <c r="U7450" s="31" t="n">
        <f aca="false">IF($B7450='設定（最初に1回）'!$C$4,N(U7449)+1,N(U7449))</f>
        <v>134</v>
      </c>
    </row>
    <row r="7451" customFormat="false" ht="15" hidden="false" customHeight="false" outlineLevel="0" collapsed="false">
      <c r="B7451" s="53"/>
      <c r="I7451" s="53"/>
      <c r="U7451" s="31" t="n">
        <f aca="false">IF($B7451='設定（最初に1回）'!$C$4,N(U7450)+1,N(U7450))</f>
        <v>134</v>
      </c>
    </row>
    <row r="7452" customFormat="false" ht="15" hidden="false" customHeight="false" outlineLevel="0" collapsed="false">
      <c r="B7452" s="53"/>
      <c r="I7452" s="53"/>
      <c r="U7452" s="31" t="n">
        <f aca="false">IF($B7452='設定（最初に1回）'!$C$4,N(U7451)+1,N(U7451))</f>
        <v>134</v>
      </c>
    </row>
    <row r="7453" customFormat="false" ht="15" hidden="false" customHeight="false" outlineLevel="0" collapsed="false">
      <c r="B7453" s="53"/>
      <c r="I7453" s="53"/>
      <c r="U7453" s="31" t="n">
        <f aca="false">IF($B7453='設定（最初に1回）'!$C$4,N(U7452)+1,N(U7452))</f>
        <v>134</v>
      </c>
    </row>
    <row r="7454" customFormat="false" ht="15" hidden="false" customHeight="false" outlineLevel="0" collapsed="false">
      <c r="B7454" s="53"/>
      <c r="I7454" s="53"/>
      <c r="U7454" s="31" t="n">
        <f aca="false">IF($B7454='設定（最初に1回）'!$C$4,N(U7453)+1,N(U7453))</f>
        <v>134</v>
      </c>
    </row>
    <row r="7455" customFormat="false" ht="15" hidden="false" customHeight="false" outlineLevel="0" collapsed="false">
      <c r="B7455" s="53"/>
      <c r="I7455" s="53"/>
      <c r="U7455" s="31" t="n">
        <f aca="false">IF($B7455='設定（最初に1回）'!$C$4,N(U7454)+1,N(U7454))</f>
        <v>134</v>
      </c>
    </row>
    <row r="7456" customFormat="false" ht="15" hidden="false" customHeight="false" outlineLevel="0" collapsed="false">
      <c r="B7456" s="53"/>
      <c r="I7456" s="53"/>
      <c r="U7456" s="31" t="n">
        <f aca="false">IF($B7456='設定（最初に1回）'!$C$4,N(U7455)+1,N(U7455))</f>
        <v>134</v>
      </c>
    </row>
    <row r="7457" customFormat="false" ht="15" hidden="false" customHeight="false" outlineLevel="0" collapsed="false">
      <c r="B7457" s="53"/>
      <c r="I7457" s="53"/>
      <c r="U7457" s="31" t="n">
        <f aca="false">IF($B7457='設定（最初に1回）'!$C$4,N(U7456)+1,N(U7456))</f>
        <v>134</v>
      </c>
    </row>
    <row r="7458" customFormat="false" ht="15" hidden="false" customHeight="false" outlineLevel="0" collapsed="false">
      <c r="B7458" s="53"/>
      <c r="I7458" s="53"/>
      <c r="U7458" s="31" t="n">
        <f aca="false">IF($B7458='設定（最初に1回）'!$C$4,N(U7457)+1,N(U7457))</f>
        <v>134</v>
      </c>
    </row>
    <row r="7459" customFormat="false" ht="15" hidden="false" customHeight="false" outlineLevel="0" collapsed="false">
      <c r="B7459" s="53"/>
      <c r="I7459" s="53"/>
      <c r="U7459" s="31" t="n">
        <f aca="false">IF($B7459='設定（最初に1回）'!$C$4,N(U7458)+1,N(U7458))</f>
        <v>134</v>
      </c>
    </row>
    <row r="7460" customFormat="false" ht="15" hidden="false" customHeight="false" outlineLevel="0" collapsed="false">
      <c r="B7460" s="53"/>
      <c r="I7460" s="53"/>
      <c r="U7460" s="31" t="n">
        <f aca="false">IF($B7460='設定（最初に1回）'!$C$4,N(U7459)+1,N(U7459))</f>
        <v>134</v>
      </c>
    </row>
    <row r="7461" customFormat="false" ht="15" hidden="false" customHeight="false" outlineLevel="0" collapsed="false">
      <c r="B7461" s="53"/>
      <c r="I7461" s="53"/>
      <c r="U7461" s="31" t="n">
        <f aca="false">IF($B7461='設定（最初に1回）'!$C$4,N(U7460)+1,N(U7460))</f>
        <v>134</v>
      </c>
    </row>
    <row r="7462" customFormat="false" ht="15" hidden="false" customHeight="false" outlineLevel="0" collapsed="false">
      <c r="B7462" s="53"/>
      <c r="I7462" s="53"/>
      <c r="U7462" s="31" t="n">
        <f aca="false">IF($B7462='設定（最初に1回）'!$C$4,N(U7461)+1,N(U7461))</f>
        <v>134</v>
      </c>
    </row>
    <row r="7463" customFormat="false" ht="15" hidden="false" customHeight="false" outlineLevel="0" collapsed="false">
      <c r="B7463" s="53"/>
      <c r="I7463" s="53"/>
      <c r="U7463" s="31" t="n">
        <f aca="false">IF($B7463='設定（最初に1回）'!$C$4,N(U7462)+1,N(U7462))</f>
        <v>134</v>
      </c>
    </row>
    <row r="7464" customFormat="false" ht="15" hidden="false" customHeight="false" outlineLevel="0" collapsed="false">
      <c r="B7464" s="53"/>
      <c r="I7464" s="53"/>
      <c r="U7464" s="31" t="n">
        <f aca="false">IF($B7464='設定（最初に1回）'!$C$4,N(U7463)+1,N(U7463))</f>
        <v>134</v>
      </c>
    </row>
    <row r="7465" customFormat="false" ht="15" hidden="false" customHeight="false" outlineLevel="0" collapsed="false">
      <c r="B7465" s="53"/>
      <c r="I7465" s="53"/>
      <c r="U7465" s="31" t="n">
        <f aca="false">IF($B7465='設定（最初に1回）'!$C$4,N(U7464)+1,N(U7464))</f>
        <v>134</v>
      </c>
    </row>
    <row r="7466" customFormat="false" ht="15" hidden="false" customHeight="false" outlineLevel="0" collapsed="false">
      <c r="B7466" s="53"/>
      <c r="I7466" s="53"/>
      <c r="U7466" s="31" t="n">
        <f aca="false">IF($B7466='設定（最初に1回）'!$C$4,N(U7465)+1,N(U7465))</f>
        <v>134</v>
      </c>
    </row>
    <row r="7467" customFormat="false" ht="15" hidden="false" customHeight="false" outlineLevel="0" collapsed="false">
      <c r="B7467" s="53"/>
      <c r="I7467" s="53"/>
      <c r="U7467" s="31" t="n">
        <f aca="false">IF($B7467='設定（最初に1回）'!$C$4,N(U7466)+1,N(U7466))</f>
        <v>134</v>
      </c>
    </row>
    <row r="7468" customFormat="false" ht="15" hidden="false" customHeight="false" outlineLevel="0" collapsed="false">
      <c r="B7468" s="53"/>
      <c r="I7468" s="53"/>
      <c r="U7468" s="31" t="n">
        <f aca="false">IF($B7468='設定（最初に1回）'!$C$4,N(U7467)+1,N(U7467))</f>
        <v>134</v>
      </c>
    </row>
    <row r="7469" customFormat="false" ht="15" hidden="false" customHeight="false" outlineLevel="0" collapsed="false">
      <c r="B7469" s="53"/>
      <c r="I7469" s="53"/>
      <c r="U7469" s="31" t="n">
        <f aca="false">IF($B7469='設定（最初に1回）'!$C$4,N(U7468)+1,N(U7468))</f>
        <v>134</v>
      </c>
    </row>
    <row r="7470" customFormat="false" ht="15" hidden="false" customHeight="false" outlineLevel="0" collapsed="false">
      <c r="B7470" s="53"/>
      <c r="I7470" s="53"/>
      <c r="U7470" s="31" t="n">
        <f aca="false">IF($B7470='設定（最初に1回）'!$C$4,N(U7469)+1,N(U7469))</f>
        <v>134</v>
      </c>
    </row>
    <row r="7471" customFormat="false" ht="15" hidden="false" customHeight="false" outlineLevel="0" collapsed="false">
      <c r="B7471" s="53"/>
      <c r="I7471" s="53"/>
      <c r="U7471" s="31" t="n">
        <f aca="false">IF($B7471='設定（最初に1回）'!$C$4,N(U7470)+1,N(U7470))</f>
        <v>134</v>
      </c>
    </row>
    <row r="7472" customFormat="false" ht="15" hidden="false" customHeight="false" outlineLevel="0" collapsed="false">
      <c r="B7472" s="53"/>
      <c r="I7472" s="53"/>
      <c r="U7472" s="31" t="n">
        <f aca="false">IF($B7472='設定（最初に1回）'!$C$4,N(U7471)+1,N(U7471))</f>
        <v>134</v>
      </c>
    </row>
    <row r="7473" customFormat="false" ht="15" hidden="false" customHeight="false" outlineLevel="0" collapsed="false">
      <c r="B7473" s="53"/>
      <c r="I7473" s="53"/>
      <c r="U7473" s="31" t="n">
        <f aca="false">IF($B7473='設定（最初に1回）'!$C$4,N(U7472)+1,N(U7472))</f>
        <v>134</v>
      </c>
    </row>
    <row r="7474" customFormat="false" ht="15" hidden="false" customHeight="false" outlineLevel="0" collapsed="false">
      <c r="B7474" s="53"/>
      <c r="I7474" s="53"/>
      <c r="U7474" s="31" t="n">
        <f aca="false">IF($B7474='設定（最初に1回）'!$C$4,N(U7473)+1,N(U7473))</f>
        <v>134</v>
      </c>
    </row>
    <row r="7475" customFormat="false" ht="15" hidden="false" customHeight="false" outlineLevel="0" collapsed="false">
      <c r="B7475" s="53"/>
      <c r="I7475" s="53"/>
      <c r="U7475" s="31" t="n">
        <f aca="false">IF($B7475='設定（最初に1回）'!$C$4,N(U7474)+1,N(U7474))</f>
        <v>134</v>
      </c>
    </row>
    <row r="7476" customFormat="false" ht="15" hidden="false" customHeight="false" outlineLevel="0" collapsed="false">
      <c r="B7476" s="53"/>
      <c r="I7476" s="53"/>
      <c r="U7476" s="31" t="n">
        <f aca="false">IF($B7476='設定（最初に1回）'!$C$4,N(U7475)+1,N(U7475))</f>
        <v>134</v>
      </c>
    </row>
    <row r="7477" customFormat="false" ht="15" hidden="false" customHeight="false" outlineLevel="0" collapsed="false">
      <c r="B7477" s="53"/>
      <c r="I7477" s="53"/>
      <c r="U7477" s="31" t="n">
        <f aca="false">IF($B7477='設定（最初に1回）'!$C$4,N(U7476)+1,N(U7476))</f>
        <v>134</v>
      </c>
    </row>
    <row r="7478" customFormat="false" ht="15" hidden="false" customHeight="false" outlineLevel="0" collapsed="false">
      <c r="B7478" s="53"/>
      <c r="I7478" s="53"/>
      <c r="U7478" s="31" t="n">
        <f aca="false">IF($B7478='設定（最初に1回）'!$C$4,N(U7477)+1,N(U7477))</f>
        <v>134</v>
      </c>
    </row>
    <row r="7479" customFormat="false" ht="15" hidden="false" customHeight="false" outlineLevel="0" collapsed="false">
      <c r="B7479" s="53"/>
      <c r="I7479" s="53"/>
      <c r="U7479" s="31" t="n">
        <f aca="false">IF($B7479='設定（最初に1回）'!$C$4,N(U7478)+1,N(U7478))</f>
        <v>134</v>
      </c>
    </row>
    <row r="7480" customFormat="false" ht="15" hidden="false" customHeight="false" outlineLevel="0" collapsed="false">
      <c r="B7480" s="53"/>
      <c r="I7480" s="53"/>
      <c r="U7480" s="31" t="n">
        <f aca="false">IF($B7480='設定（最初に1回）'!$C$4,N(U7479)+1,N(U7479))</f>
        <v>134</v>
      </c>
    </row>
    <row r="7481" customFormat="false" ht="15" hidden="false" customHeight="false" outlineLevel="0" collapsed="false">
      <c r="B7481" s="53"/>
      <c r="I7481" s="53"/>
      <c r="U7481" s="31" t="n">
        <f aca="false">IF($B7481='設定（最初に1回）'!$C$4,N(U7480)+1,N(U7480))</f>
        <v>134</v>
      </c>
    </row>
    <row r="7482" customFormat="false" ht="15" hidden="false" customHeight="false" outlineLevel="0" collapsed="false">
      <c r="B7482" s="53"/>
      <c r="I7482" s="53"/>
      <c r="U7482" s="31" t="n">
        <f aca="false">IF($B7482='設定（最初に1回）'!$C$4,N(U7481)+1,N(U7481))</f>
        <v>134</v>
      </c>
    </row>
    <row r="7483" customFormat="false" ht="15" hidden="false" customHeight="false" outlineLevel="0" collapsed="false">
      <c r="B7483" s="53"/>
      <c r="I7483" s="53"/>
      <c r="U7483" s="31" t="n">
        <f aca="false">IF($B7483='設定（最初に1回）'!$C$4,N(U7482)+1,N(U7482))</f>
        <v>134</v>
      </c>
    </row>
    <row r="7484" customFormat="false" ht="15" hidden="false" customHeight="false" outlineLevel="0" collapsed="false">
      <c r="B7484" s="53"/>
      <c r="I7484" s="53"/>
      <c r="U7484" s="31" t="n">
        <f aca="false">IF($B7484='設定（最初に1回）'!$C$4,N(U7483)+1,N(U7483))</f>
        <v>134</v>
      </c>
    </row>
    <row r="7485" customFormat="false" ht="15" hidden="false" customHeight="false" outlineLevel="0" collapsed="false">
      <c r="B7485" s="53"/>
      <c r="I7485" s="53"/>
      <c r="U7485" s="31" t="n">
        <f aca="false">IF($B7485='設定（最初に1回）'!$C$4,N(U7484)+1,N(U7484))</f>
        <v>134</v>
      </c>
    </row>
    <row r="7486" customFormat="false" ht="15" hidden="false" customHeight="false" outlineLevel="0" collapsed="false">
      <c r="B7486" s="53"/>
      <c r="I7486" s="53"/>
      <c r="U7486" s="31" t="n">
        <f aca="false">IF($B7486='設定（最初に1回）'!$C$4,N(U7485)+1,N(U7485))</f>
        <v>134</v>
      </c>
    </row>
    <row r="7487" customFormat="false" ht="15" hidden="false" customHeight="false" outlineLevel="0" collapsed="false">
      <c r="B7487" s="53"/>
      <c r="I7487" s="53"/>
      <c r="U7487" s="31" t="n">
        <f aca="false">IF($B7487='設定（最初に1回）'!$C$4,N(U7486)+1,N(U7486))</f>
        <v>134</v>
      </c>
    </row>
    <row r="7488" customFormat="false" ht="15" hidden="false" customHeight="false" outlineLevel="0" collapsed="false">
      <c r="B7488" s="53"/>
      <c r="I7488" s="53"/>
      <c r="U7488" s="31" t="n">
        <f aca="false">IF($B7488='設定（最初に1回）'!$C$4,N(U7487)+1,N(U7487))</f>
        <v>134</v>
      </c>
    </row>
    <row r="7489" customFormat="false" ht="15" hidden="false" customHeight="false" outlineLevel="0" collapsed="false">
      <c r="B7489" s="53"/>
      <c r="I7489" s="53"/>
      <c r="U7489" s="31" t="n">
        <f aca="false">IF($B7489='設定（最初に1回）'!$C$4,N(U7488)+1,N(U7488))</f>
        <v>134</v>
      </c>
    </row>
    <row r="7490" customFormat="false" ht="15" hidden="false" customHeight="false" outlineLevel="0" collapsed="false">
      <c r="B7490" s="53"/>
      <c r="I7490" s="53"/>
      <c r="U7490" s="31" t="n">
        <f aca="false">IF($B7490='設定（最初に1回）'!$C$4,N(U7489)+1,N(U7489))</f>
        <v>134</v>
      </c>
    </row>
    <row r="7491" customFormat="false" ht="15" hidden="false" customHeight="false" outlineLevel="0" collapsed="false">
      <c r="B7491" s="53"/>
      <c r="I7491" s="53"/>
      <c r="U7491" s="31" t="n">
        <f aca="false">IF($B7491='設定（最初に1回）'!$C$4,N(U7490)+1,N(U7490))</f>
        <v>134</v>
      </c>
    </row>
    <row r="7492" customFormat="false" ht="15" hidden="false" customHeight="false" outlineLevel="0" collapsed="false">
      <c r="B7492" s="53"/>
      <c r="I7492" s="53"/>
      <c r="U7492" s="31" t="n">
        <f aca="false">IF($B7492='設定（最初に1回）'!$C$4,N(U7491)+1,N(U7491))</f>
        <v>134</v>
      </c>
    </row>
    <row r="7493" customFormat="false" ht="15" hidden="false" customHeight="false" outlineLevel="0" collapsed="false">
      <c r="B7493" s="53"/>
      <c r="I7493" s="53"/>
      <c r="U7493" s="31" t="n">
        <f aca="false">IF($B7493='設定（最初に1回）'!$C$4,N(U7492)+1,N(U7492))</f>
        <v>134</v>
      </c>
    </row>
    <row r="7494" customFormat="false" ht="15" hidden="false" customHeight="false" outlineLevel="0" collapsed="false">
      <c r="B7494" s="53"/>
      <c r="I7494" s="53"/>
      <c r="U7494" s="31" t="n">
        <f aca="false">IF($B7494='設定（最初に1回）'!$C$4,N(U7493)+1,N(U7493))</f>
        <v>134</v>
      </c>
    </row>
    <row r="7495" customFormat="false" ht="15" hidden="false" customHeight="false" outlineLevel="0" collapsed="false">
      <c r="B7495" s="53"/>
      <c r="I7495" s="53"/>
      <c r="U7495" s="31" t="n">
        <f aca="false">IF($B7495='設定（最初に1回）'!$C$4,N(U7494)+1,N(U7494))</f>
        <v>134</v>
      </c>
    </row>
    <row r="7496" customFormat="false" ht="15" hidden="false" customHeight="false" outlineLevel="0" collapsed="false">
      <c r="B7496" s="53"/>
      <c r="I7496" s="53"/>
      <c r="U7496" s="31" t="n">
        <f aca="false">IF($B7496='設定（最初に1回）'!$C$4,N(U7495)+1,N(U7495))</f>
        <v>134</v>
      </c>
    </row>
    <row r="7497" customFormat="false" ht="15" hidden="false" customHeight="false" outlineLevel="0" collapsed="false">
      <c r="B7497" s="53"/>
      <c r="I7497" s="53"/>
      <c r="U7497" s="31" t="n">
        <f aca="false">IF($B7497='設定（最初に1回）'!$C$4,N(U7496)+1,N(U7496))</f>
        <v>134</v>
      </c>
    </row>
    <row r="7498" customFormat="false" ht="15" hidden="false" customHeight="false" outlineLevel="0" collapsed="false">
      <c r="B7498" s="53"/>
      <c r="I7498" s="53"/>
      <c r="U7498" s="31" t="n">
        <f aca="false">IF($B7498='設定（最初に1回）'!$C$4,N(U7497)+1,N(U7497))</f>
        <v>134</v>
      </c>
    </row>
    <row r="7499" customFormat="false" ht="15" hidden="false" customHeight="false" outlineLevel="0" collapsed="false">
      <c r="B7499" s="53"/>
      <c r="I7499" s="53"/>
      <c r="U7499" s="31" t="n">
        <f aca="false">IF($B7499='設定（最初に1回）'!$C$4,N(U7498)+1,N(U7498))</f>
        <v>134</v>
      </c>
    </row>
    <row r="7500" customFormat="false" ht="15" hidden="false" customHeight="false" outlineLevel="0" collapsed="false">
      <c r="B7500" s="53"/>
      <c r="I7500" s="53"/>
      <c r="U7500" s="31" t="n">
        <f aca="false">IF($B7500='設定（最初に1回）'!$C$4,N(U7499)+1,N(U7499))</f>
        <v>134</v>
      </c>
    </row>
    <row r="7501" customFormat="false" ht="15" hidden="false" customHeight="false" outlineLevel="0" collapsed="false">
      <c r="B7501" s="53"/>
      <c r="I7501" s="53"/>
      <c r="U7501" s="31" t="n">
        <f aca="false">IF($B7501='設定（最初に1回）'!$C$4,N(U7500)+1,N(U7500))</f>
        <v>134</v>
      </c>
    </row>
    <row r="7502" customFormat="false" ht="15" hidden="false" customHeight="false" outlineLevel="0" collapsed="false">
      <c r="B7502" s="53"/>
      <c r="I7502" s="53"/>
      <c r="U7502" s="31" t="n">
        <f aca="false">IF($B7502='設定（最初に1回）'!$C$4,N(U7501)+1,N(U7501))</f>
        <v>134</v>
      </c>
    </row>
    <row r="7503" customFormat="false" ht="15" hidden="false" customHeight="false" outlineLevel="0" collapsed="false">
      <c r="B7503" s="53"/>
      <c r="I7503" s="53"/>
      <c r="U7503" s="31" t="n">
        <f aca="false">IF($B7503='設定（最初に1回）'!$C$4,N(U7502)+1,N(U7502))</f>
        <v>134</v>
      </c>
    </row>
    <row r="7504" customFormat="false" ht="15" hidden="false" customHeight="false" outlineLevel="0" collapsed="false">
      <c r="B7504" s="53"/>
      <c r="I7504" s="53"/>
      <c r="U7504" s="31" t="n">
        <f aca="false">IF($B7504='設定（最初に1回）'!$C$4,N(U7503)+1,N(U7503))</f>
        <v>134</v>
      </c>
    </row>
    <row r="7505" customFormat="false" ht="15" hidden="false" customHeight="false" outlineLevel="0" collapsed="false">
      <c r="B7505" s="53"/>
      <c r="I7505" s="53"/>
      <c r="U7505" s="31" t="n">
        <f aca="false">IF($B7505='設定（最初に1回）'!$C$4,N(U7504)+1,N(U7504))</f>
        <v>134</v>
      </c>
    </row>
    <row r="7506" customFormat="false" ht="15" hidden="false" customHeight="false" outlineLevel="0" collapsed="false">
      <c r="B7506" s="53"/>
      <c r="I7506" s="53"/>
      <c r="U7506" s="31" t="n">
        <f aca="false">IF($B7506='設定（最初に1回）'!$C$4,N(U7505)+1,N(U7505))</f>
        <v>134</v>
      </c>
    </row>
    <row r="7507" customFormat="false" ht="15" hidden="false" customHeight="false" outlineLevel="0" collapsed="false">
      <c r="B7507" s="53"/>
      <c r="I7507" s="53"/>
      <c r="U7507" s="31" t="n">
        <f aca="false">IF($B7507='設定（最初に1回）'!$C$4,N(U7506)+1,N(U7506))</f>
        <v>134</v>
      </c>
    </row>
    <row r="7508" customFormat="false" ht="15" hidden="false" customHeight="false" outlineLevel="0" collapsed="false">
      <c r="B7508" s="53"/>
      <c r="I7508" s="53"/>
      <c r="U7508" s="31" t="n">
        <f aca="false">IF($B7508='設定（最初に1回）'!$C$4,N(U7507)+1,N(U7507))</f>
        <v>134</v>
      </c>
    </row>
    <row r="7509" customFormat="false" ht="15" hidden="false" customHeight="false" outlineLevel="0" collapsed="false">
      <c r="B7509" s="53"/>
      <c r="I7509" s="53"/>
      <c r="U7509" s="31" t="n">
        <f aca="false">IF($B7509='設定（最初に1回）'!$C$4,N(U7508)+1,N(U7508))</f>
        <v>134</v>
      </c>
    </row>
    <row r="7510" customFormat="false" ht="15" hidden="false" customHeight="false" outlineLevel="0" collapsed="false">
      <c r="B7510" s="53"/>
      <c r="I7510" s="53"/>
      <c r="U7510" s="31" t="n">
        <f aca="false">IF($B7510='設定（最初に1回）'!$C$4,N(U7509)+1,N(U7509))</f>
        <v>134</v>
      </c>
    </row>
    <row r="7511" customFormat="false" ht="15" hidden="false" customHeight="false" outlineLevel="0" collapsed="false">
      <c r="B7511" s="53"/>
      <c r="I7511" s="53"/>
      <c r="U7511" s="31" t="n">
        <f aca="false">IF($B7511='設定（最初に1回）'!$C$4,N(U7510)+1,N(U7510))</f>
        <v>134</v>
      </c>
    </row>
    <row r="7512" customFormat="false" ht="15" hidden="false" customHeight="false" outlineLevel="0" collapsed="false">
      <c r="B7512" s="53"/>
      <c r="I7512" s="53"/>
      <c r="U7512" s="31" t="n">
        <f aca="false">IF($B7512='設定（最初に1回）'!$C$4,N(U7511)+1,N(U7511))</f>
        <v>134</v>
      </c>
    </row>
    <row r="7513" customFormat="false" ht="15" hidden="false" customHeight="false" outlineLevel="0" collapsed="false">
      <c r="B7513" s="53"/>
      <c r="I7513" s="53"/>
      <c r="U7513" s="31" t="n">
        <f aca="false">IF($B7513='設定（最初に1回）'!$C$4,N(U7512)+1,N(U7512))</f>
        <v>134</v>
      </c>
    </row>
    <row r="7514" customFormat="false" ht="15" hidden="false" customHeight="false" outlineLevel="0" collapsed="false">
      <c r="B7514" s="53"/>
      <c r="I7514" s="53"/>
      <c r="U7514" s="31" t="n">
        <f aca="false">IF($B7514='設定（最初に1回）'!$C$4,N(U7513)+1,N(U7513))</f>
        <v>134</v>
      </c>
    </row>
    <row r="7515" customFormat="false" ht="15" hidden="false" customHeight="false" outlineLevel="0" collapsed="false">
      <c r="B7515" s="53"/>
      <c r="I7515" s="53"/>
      <c r="U7515" s="31" t="n">
        <f aca="false">IF($B7515='設定（最初に1回）'!$C$4,N(U7514)+1,N(U7514))</f>
        <v>134</v>
      </c>
    </row>
    <row r="7516" customFormat="false" ht="15" hidden="false" customHeight="false" outlineLevel="0" collapsed="false">
      <c r="B7516" s="53"/>
      <c r="I7516" s="53"/>
      <c r="U7516" s="31" t="n">
        <f aca="false">IF($B7516='設定（最初に1回）'!$C$4,N(U7515)+1,N(U7515))</f>
        <v>134</v>
      </c>
    </row>
    <row r="7517" customFormat="false" ht="15" hidden="false" customHeight="false" outlineLevel="0" collapsed="false">
      <c r="B7517" s="53"/>
      <c r="I7517" s="53"/>
      <c r="U7517" s="31" t="n">
        <f aca="false">IF($B7517='設定（最初に1回）'!$C$4,N(U7516)+1,N(U7516))</f>
        <v>134</v>
      </c>
    </row>
    <row r="7518" customFormat="false" ht="15" hidden="false" customHeight="false" outlineLevel="0" collapsed="false">
      <c r="B7518" s="53"/>
      <c r="I7518" s="53"/>
      <c r="U7518" s="31" t="n">
        <f aca="false">IF($B7518='設定（最初に1回）'!$C$4,N(U7517)+1,N(U7517))</f>
        <v>134</v>
      </c>
    </row>
    <row r="7519" customFormat="false" ht="15" hidden="false" customHeight="false" outlineLevel="0" collapsed="false">
      <c r="B7519" s="53"/>
      <c r="I7519" s="53"/>
      <c r="U7519" s="31" t="n">
        <f aca="false">IF($B7519='設定（最初に1回）'!$C$4,N(U7518)+1,N(U7518))</f>
        <v>134</v>
      </c>
    </row>
    <row r="7520" customFormat="false" ht="15" hidden="false" customHeight="false" outlineLevel="0" collapsed="false">
      <c r="B7520" s="53"/>
      <c r="I7520" s="53"/>
      <c r="U7520" s="31" t="n">
        <f aca="false">IF($B7520='設定（最初に1回）'!$C$4,N(U7519)+1,N(U7519))</f>
        <v>134</v>
      </c>
    </row>
    <row r="7521" customFormat="false" ht="15" hidden="false" customHeight="false" outlineLevel="0" collapsed="false">
      <c r="B7521" s="53"/>
      <c r="I7521" s="53"/>
      <c r="U7521" s="31" t="n">
        <f aca="false">IF($B7521='設定（最初に1回）'!$C$4,N(U7520)+1,N(U7520))</f>
        <v>134</v>
      </c>
    </row>
    <row r="7522" customFormat="false" ht="15" hidden="false" customHeight="false" outlineLevel="0" collapsed="false">
      <c r="B7522" s="53"/>
      <c r="I7522" s="53"/>
      <c r="U7522" s="31" t="n">
        <f aca="false">IF($B7522='設定（最初に1回）'!$C$4,N(U7521)+1,N(U7521))</f>
        <v>134</v>
      </c>
    </row>
    <row r="7523" customFormat="false" ht="15" hidden="false" customHeight="false" outlineLevel="0" collapsed="false">
      <c r="B7523" s="53"/>
      <c r="I7523" s="53"/>
      <c r="U7523" s="31" t="n">
        <f aca="false">IF($B7523='設定（最初に1回）'!$C$4,N(U7522)+1,N(U7522))</f>
        <v>134</v>
      </c>
    </row>
    <row r="7524" customFormat="false" ht="15" hidden="false" customHeight="false" outlineLevel="0" collapsed="false">
      <c r="B7524" s="53"/>
      <c r="I7524" s="53"/>
      <c r="U7524" s="31" t="n">
        <f aca="false">IF($B7524='設定（最初に1回）'!$C$4,N(U7523)+1,N(U7523))</f>
        <v>134</v>
      </c>
    </row>
    <row r="7525" customFormat="false" ht="15" hidden="false" customHeight="false" outlineLevel="0" collapsed="false">
      <c r="B7525" s="53"/>
      <c r="I7525" s="53"/>
      <c r="U7525" s="31" t="n">
        <f aca="false">IF($B7525='設定（最初に1回）'!$C$4,N(U7524)+1,N(U7524))</f>
        <v>134</v>
      </c>
    </row>
    <row r="7526" customFormat="false" ht="15" hidden="false" customHeight="false" outlineLevel="0" collapsed="false">
      <c r="B7526" s="53"/>
      <c r="I7526" s="53"/>
      <c r="U7526" s="31" t="n">
        <f aca="false">IF($B7526='設定（最初に1回）'!$C$4,N(U7525)+1,N(U7525))</f>
        <v>134</v>
      </c>
    </row>
    <row r="7527" customFormat="false" ht="15" hidden="false" customHeight="false" outlineLevel="0" collapsed="false">
      <c r="B7527" s="53"/>
      <c r="I7527" s="53"/>
      <c r="U7527" s="31" t="n">
        <f aca="false">IF($B7527='設定（最初に1回）'!$C$4,N(U7526)+1,N(U7526))</f>
        <v>134</v>
      </c>
    </row>
    <row r="7528" customFormat="false" ht="15" hidden="false" customHeight="false" outlineLevel="0" collapsed="false">
      <c r="B7528" s="53"/>
      <c r="I7528" s="53"/>
      <c r="U7528" s="31" t="n">
        <f aca="false">IF($B7528='設定（最初に1回）'!$C$4,N(U7527)+1,N(U7527))</f>
        <v>134</v>
      </c>
    </row>
    <row r="7529" customFormat="false" ht="15" hidden="false" customHeight="false" outlineLevel="0" collapsed="false">
      <c r="B7529" s="53"/>
      <c r="I7529" s="53"/>
      <c r="U7529" s="31" t="n">
        <f aca="false">IF($B7529='設定（最初に1回）'!$C$4,N(U7528)+1,N(U7528))</f>
        <v>134</v>
      </c>
    </row>
    <row r="7530" customFormat="false" ht="15" hidden="false" customHeight="false" outlineLevel="0" collapsed="false">
      <c r="B7530" s="53"/>
      <c r="I7530" s="53"/>
      <c r="U7530" s="31" t="n">
        <f aca="false">IF($B7530='設定（最初に1回）'!$C$4,N(U7529)+1,N(U7529))</f>
        <v>134</v>
      </c>
    </row>
    <row r="7531" customFormat="false" ht="15" hidden="false" customHeight="false" outlineLevel="0" collapsed="false">
      <c r="B7531" s="53"/>
      <c r="I7531" s="53"/>
      <c r="U7531" s="31" t="n">
        <f aca="false">IF($B7531='設定（最初に1回）'!$C$4,N(U7530)+1,N(U7530))</f>
        <v>134</v>
      </c>
    </row>
    <row r="7532" customFormat="false" ht="15" hidden="false" customHeight="false" outlineLevel="0" collapsed="false">
      <c r="B7532" s="53"/>
      <c r="I7532" s="53"/>
      <c r="U7532" s="31" t="n">
        <f aca="false">IF($B7532='設定（最初に1回）'!$C$4,N(U7531)+1,N(U7531))</f>
        <v>134</v>
      </c>
    </row>
    <row r="7533" customFormat="false" ht="15" hidden="false" customHeight="false" outlineLevel="0" collapsed="false">
      <c r="B7533" s="53"/>
      <c r="I7533" s="53"/>
      <c r="U7533" s="31" t="n">
        <f aca="false">IF($B7533='設定（最初に1回）'!$C$4,N(U7532)+1,N(U7532))</f>
        <v>134</v>
      </c>
    </row>
    <row r="7534" customFormat="false" ht="15" hidden="false" customHeight="false" outlineLevel="0" collapsed="false">
      <c r="B7534" s="53"/>
      <c r="I7534" s="53"/>
      <c r="U7534" s="31" t="n">
        <f aca="false">IF($B7534='設定（最初に1回）'!$C$4,N(U7533)+1,N(U7533))</f>
        <v>134</v>
      </c>
    </row>
    <row r="7535" customFormat="false" ht="15" hidden="false" customHeight="false" outlineLevel="0" collapsed="false">
      <c r="B7535" s="53"/>
      <c r="I7535" s="53"/>
      <c r="U7535" s="31" t="n">
        <f aca="false">IF($B7535='設定（最初に1回）'!$C$4,N(U7534)+1,N(U7534))</f>
        <v>134</v>
      </c>
    </row>
    <row r="7536" customFormat="false" ht="15" hidden="false" customHeight="false" outlineLevel="0" collapsed="false">
      <c r="B7536" s="53"/>
      <c r="I7536" s="53"/>
      <c r="U7536" s="31" t="n">
        <f aca="false">IF($B7536='設定（最初に1回）'!$C$4,N(U7535)+1,N(U7535))</f>
        <v>134</v>
      </c>
    </row>
    <row r="7537" customFormat="false" ht="15" hidden="false" customHeight="false" outlineLevel="0" collapsed="false">
      <c r="B7537" s="53"/>
      <c r="I7537" s="53"/>
      <c r="U7537" s="31" t="n">
        <f aca="false">IF($B7537='設定（最初に1回）'!$C$4,N(U7536)+1,N(U7536))</f>
        <v>134</v>
      </c>
    </row>
    <row r="7538" customFormat="false" ht="15" hidden="false" customHeight="false" outlineLevel="0" collapsed="false">
      <c r="B7538" s="53"/>
      <c r="I7538" s="53"/>
      <c r="U7538" s="31" t="n">
        <f aca="false">IF($B7538='設定（最初に1回）'!$C$4,N(U7537)+1,N(U7537))</f>
        <v>134</v>
      </c>
    </row>
    <row r="7539" customFormat="false" ht="15" hidden="false" customHeight="false" outlineLevel="0" collapsed="false">
      <c r="B7539" s="53"/>
      <c r="I7539" s="53"/>
      <c r="U7539" s="31" t="n">
        <f aca="false">IF($B7539='設定（最初に1回）'!$C$4,N(U7538)+1,N(U7538))</f>
        <v>134</v>
      </c>
    </row>
    <row r="7540" customFormat="false" ht="15" hidden="false" customHeight="false" outlineLevel="0" collapsed="false">
      <c r="B7540" s="53"/>
      <c r="I7540" s="53"/>
      <c r="U7540" s="31" t="n">
        <f aca="false">IF($B7540='設定（最初に1回）'!$C$4,N(U7539)+1,N(U7539))</f>
        <v>134</v>
      </c>
    </row>
    <row r="7541" customFormat="false" ht="15" hidden="false" customHeight="false" outlineLevel="0" collapsed="false">
      <c r="B7541" s="53"/>
      <c r="I7541" s="53"/>
      <c r="U7541" s="31" t="n">
        <f aca="false">IF($B7541='設定（最初に1回）'!$C$4,N(U7540)+1,N(U7540))</f>
        <v>134</v>
      </c>
    </row>
    <row r="7542" customFormat="false" ht="15" hidden="false" customHeight="false" outlineLevel="0" collapsed="false">
      <c r="B7542" s="53"/>
      <c r="I7542" s="53"/>
      <c r="U7542" s="31" t="n">
        <f aca="false">IF($B7542='設定（最初に1回）'!$C$4,N(U7541)+1,N(U7541))</f>
        <v>134</v>
      </c>
    </row>
    <row r="7543" customFormat="false" ht="15" hidden="false" customHeight="false" outlineLevel="0" collapsed="false">
      <c r="B7543" s="53"/>
      <c r="I7543" s="53"/>
      <c r="U7543" s="31" t="n">
        <f aca="false">IF($B7543='設定（最初に1回）'!$C$4,N(U7542)+1,N(U7542))</f>
        <v>134</v>
      </c>
    </row>
    <row r="7544" customFormat="false" ht="15" hidden="false" customHeight="false" outlineLevel="0" collapsed="false">
      <c r="B7544" s="53"/>
      <c r="I7544" s="53"/>
      <c r="U7544" s="31" t="n">
        <f aca="false">IF($B7544='設定（最初に1回）'!$C$4,N(U7543)+1,N(U7543))</f>
        <v>134</v>
      </c>
    </row>
    <row r="7545" customFormat="false" ht="15" hidden="false" customHeight="false" outlineLevel="0" collapsed="false">
      <c r="B7545" s="53"/>
      <c r="I7545" s="53"/>
      <c r="U7545" s="31" t="n">
        <f aca="false">IF($B7545='設定（最初に1回）'!$C$4,N(U7544)+1,N(U7544))</f>
        <v>134</v>
      </c>
    </row>
    <row r="7546" customFormat="false" ht="15" hidden="false" customHeight="false" outlineLevel="0" collapsed="false">
      <c r="B7546" s="53"/>
      <c r="I7546" s="53"/>
      <c r="U7546" s="31" t="n">
        <f aca="false">IF($B7546='設定（最初に1回）'!$C$4,N(U7545)+1,N(U7545))</f>
        <v>134</v>
      </c>
    </row>
    <row r="7547" customFormat="false" ht="15" hidden="false" customHeight="false" outlineLevel="0" collapsed="false">
      <c r="B7547" s="53"/>
      <c r="I7547" s="53"/>
      <c r="U7547" s="31" t="n">
        <f aca="false">IF($B7547='設定（最初に1回）'!$C$4,N(U7546)+1,N(U7546))</f>
        <v>134</v>
      </c>
    </row>
    <row r="7548" customFormat="false" ht="15" hidden="false" customHeight="false" outlineLevel="0" collapsed="false">
      <c r="B7548" s="53"/>
      <c r="I7548" s="53"/>
      <c r="U7548" s="31" t="n">
        <f aca="false">IF($B7548='設定（最初に1回）'!$C$4,N(U7547)+1,N(U7547))</f>
        <v>134</v>
      </c>
    </row>
    <row r="7549" customFormat="false" ht="15" hidden="false" customHeight="false" outlineLevel="0" collapsed="false">
      <c r="B7549" s="53"/>
      <c r="I7549" s="53"/>
      <c r="U7549" s="31" t="n">
        <f aca="false">IF($B7549='設定（最初に1回）'!$C$4,N(U7548)+1,N(U7548))</f>
        <v>134</v>
      </c>
    </row>
    <row r="7550" customFormat="false" ht="15" hidden="false" customHeight="false" outlineLevel="0" collapsed="false">
      <c r="B7550" s="53"/>
      <c r="I7550" s="53"/>
      <c r="U7550" s="31" t="n">
        <f aca="false">IF($B7550='設定（最初に1回）'!$C$4,N(U7549)+1,N(U7549))</f>
        <v>134</v>
      </c>
    </row>
    <row r="7551" customFormat="false" ht="15" hidden="false" customHeight="false" outlineLevel="0" collapsed="false">
      <c r="B7551" s="53"/>
      <c r="I7551" s="53"/>
      <c r="U7551" s="31" t="n">
        <f aca="false">IF($B7551='設定（最初に1回）'!$C$4,N(U7550)+1,N(U7550))</f>
        <v>134</v>
      </c>
    </row>
    <row r="7552" customFormat="false" ht="15" hidden="false" customHeight="false" outlineLevel="0" collapsed="false">
      <c r="B7552" s="53"/>
      <c r="I7552" s="53"/>
      <c r="U7552" s="31" t="n">
        <f aca="false">IF($B7552='設定（最初に1回）'!$C$4,N(U7551)+1,N(U7551))</f>
        <v>134</v>
      </c>
    </row>
    <row r="7553" customFormat="false" ht="15" hidden="false" customHeight="false" outlineLevel="0" collapsed="false">
      <c r="B7553" s="53"/>
      <c r="I7553" s="53"/>
      <c r="U7553" s="31" t="n">
        <f aca="false">IF($B7553='設定（最初に1回）'!$C$4,N(U7552)+1,N(U7552))</f>
        <v>134</v>
      </c>
    </row>
    <row r="7554" customFormat="false" ht="15" hidden="false" customHeight="false" outlineLevel="0" collapsed="false">
      <c r="B7554" s="53"/>
      <c r="I7554" s="53"/>
      <c r="U7554" s="31" t="n">
        <f aca="false">IF($B7554='設定（最初に1回）'!$C$4,N(U7553)+1,N(U7553))</f>
        <v>134</v>
      </c>
    </row>
    <row r="7555" customFormat="false" ht="15" hidden="false" customHeight="false" outlineLevel="0" collapsed="false">
      <c r="B7555" s="53"/>
      <c r="I7555" s="53"/>
      <c r="U7555" s="31" t="n">
        <f aca="false">IF($B7555='設定（最初に1回）'!$C$4,N(U7554)+1,N(U7554))</f>
        <v>134</v>
      </c>
    </row>
    <row r="7556" customFormat="false" ht="15" hidden="false" customHeight="false" outlineLevel="0" collapsed="false">
      <c r="B7556" s="53"/>
      <c r="I7556" s="53"/>
      <c r="U7556" s="31" t="n">
        <f aca="false">IF($B7556='設定（最初に1回）'!$C$4,N(U7555)+1,N(U7555))</f>
        <v>134</v>
      </c>
    </row>
    <row r="7557" customFormat="false" ht="15" hidden="false" customHeight="false" outlineLevel="0" collapsed="false">
      <c r="B7557" s="53"/>
      <c r="I7557" s="53"/>
      <c r="U7557" s="31" t="n">
        <f aca="false">IF($B7557='設定（最初に1回）'!$C$4,N(U7556)+1,N(U7556))</f>
        <v>134</v>
      </c>
    </row>
    <row r="7558" customFormat="false" ht="15" hidden="false" customHeight="false" outlineLevel="0" collapsed="false">
      <c r="B7558" s="53"/>
      <c r="I7558" s="53"/>
      <c r="U7558" s="31" t="n">
        <f aca="false">IF($B7558='設定（最初に1回）'!$C$4,N(U7557)+1,N(U7557))</f>
        <v>134</v>
      </c>
    </row>
    <row r="7559" customFormat="false" ht="15" hidden="false" customHeight="false" outlineLevel="0" collapsed="false">
      <c r="B7559" s="53"/>
      <c r="I7559" s="53"/>
      <c r="U7559" s="31" t="n">
        <f aca="false">IF($B7559='設定（最初に1回）'!$C$4,N(U7558)+1,N(U7558))</f>
        <v>134</v>
      </c>
    </row>
    <row r="7560" customFormat="false" ht="15" hidden="false" customHeight="false" outlineLevel="0" collapsed="false">
      <c r="B7560" s="53"/>
      <c r="I7560" s="53"/>
      <c r="U7560" s="31" t="n">
        <f aca="false">IF($B7560='設定（最初に1回）'!$C$4,N(U7559)+1,N(U7559))</f>
        <v>134</v>
      </c>
    </row>
    <row r="7561" customFormat="false" ht="15" hidden="false" customHeight="false" outlineLevel="0" collapsed="false">
      <c r="B7561" s="53"/>
      <c r="I7561" s="53"/>
      <c r="U7561" s="31" t="n">
        <f aca="false">IF($B7561='設定（最初に1回）'!$C$4,N(U7560)+1,N(U7560))</f>
        <v>134</v>
      </c>
    </row>
    <row r="7562" customFormat="false" ht="15" hidden="false" customHeight="false" outlineLevel="0" collapsed="false">
      <c r="B7562" s="53"/>
      <c r="I7562" s="53"/>
      <c r="U7562" s="31" t="n">
        <f aca="false">IF($B7562='設定（最初に1回）'!$C$4,N(U7561)+1,N(U7561))</f>
        <v>134</v>
      </c>
    </row>
    <row r="7563" customFormat="false" ht="15" hidden="false" customHeight="false" outlineLevel="0" collapsed="false">
      <c r="B7563" s="53"/>
      <c r="I7563" s="53"/>
      <c r="U7563" s="31" t="n">
        <f aca="false">IF($B7563='設定（最初に1回）'!$C$4,N(U7562)+1,N(U7562))</f>
        <v>134</v>
      </c>
    </row>
    <row r="7564" customFormat="false" ht="15" hidden="false" customHeight="false" outlineLevel="0" collapsed="false">
      <c r="B7564" s="53"/>
      <c r="I7564" s="53"/>
      <c r="U7564" s="31" t="n">
        <f aca="false">IF($B7564='設定（最初に1回）'!$C$4,N(U7563)+1,N(U7563))</f>
        <v>134</v>
      </c>
    </row>
    <row r="7565" customFormat="false" ht="15" hidden="false" customHeight="false" outlineLevel="0" collapsed="false">
      <c r="B7565" s="53"/>
      <c r="I7565" s="53"/>
      <c r="U7565" s="31" t="n">
        <f aca="false">IF($B7565='設定（最初に1回）'!$C$4,N(U7564)+1,N(U7564))</f>
        <v>134</v>
      </c>
    </row>
    <row r="7566" customFormat="false" ht="15" hidden="false" customHeight="false" outlineLevel="0" collapsed="false">
      <c r="B7566" s="53"/>
      <c r="I7566" s="53"/>
      <c r="U7566" s="31" t="n">
        <f aca="false">IF($B7566='設定（最初に1回）'!$C$4,N(U7565)+1,N(U7565))</f>
        <v>134</v>
      </c>
    </row>
    <row r="7567" customFormat="false" ht="15" hidden="false" customHeight="false" outlineLevel="0" collapsed="false">
      <c r="B7567" s="53"/>
      <c r="I7567" s="53"/>
      <c r="U7567" s="31" t="n">
        <f aca="false">IF($B7567='設定（最初に1回）'!$C$4,N(U7566)+1,N(U7566))</f>
        <v>134</v>
      </c>
    </row>
    <row r="7568" customFormat="false" ht="15" hidden="false" customHeight="false" outlineLevel="0" collapsed="false">
      <c r="B7568" s="53"/>
      <c r="I7568" s="53"/>
      <c r="U7568" s="31" t="n">
        <f aca="false">IF($B7568='設定（最初に1回）'!$C$4,N(U7567)+1,N(U7567))</f>
        <v>134</v>
      </c>
    </row>
    <row r="7569" customFormat="false" ht="15" hidden="false" customHeight="false" outlineLevel="0" collapsed="false">
      <c r="B7569" s="53"/>
      <c r="I7569" s="53"/>
      <c r="U7569" s="31" t="n">
        <f aca="false">IF($B7569='設定（最初に1回）'!$C$4,N(U7568)+1,N(U7568))</f>
        <v>134</v>
      </c>
    </row>
    <row r="7570" customFormat="false" ht="15" hidden="false" customHeight="false" outlineLevel="0" collapsed="false">
      <c r="B7570" s="53"/>
      <c r="I7570" s="53"/>
      <c r="U7570" s="31" t="n">
        <f aca="false">IF($B7570='設定（最初に1回）'!$C$4,N(U7569)+1,N(U7569))</f>
        <v>134</v>
      </c>
    </row>
    <row r="7571" customFormat="false" ht="15" hidden="false" customHeight="false" outlineLevel="0" collapsed="false">
      <c r="B7571" s="53"/>
      <c r="I7571" s="53"/>
      <c r="U7571" s="31" t="n">
        <f aca="false">IF($B7571='設定（最初に1回）'!$C$4,N(U7570)+1,N(U7570))</f>
        <v>134</v>
      </c>
    </row>
    <row r="7572" customFormat="false" ht="15" hidden="false" customHeight="false" outlineLevel="0" collapsed="false">
      <c r="B7572" s="53"/>
      <c r="I7572" s="53"/>
      <c r="U7572" s="31" t="n">
        <f aca="false">IF($B7572='設定（最初に1回）'!$C$4,N(U7571)+1,N(U7571))</f>
        <v>134</v>
      </c>
    </row>
    <row r="7573" customFormat="false" ht="15" hidden="false" customHeight="false" outlineLevel="0" collapsed="false">
      <c r="B7573" s="53"/>
      <c r="I7573" s="53"/>
      <c r="U7573" s="31" t="n">
        <f aca="false">IF($B7573='設定（最初に1回）'!$C$4,N(U7572)+1,N(U7572))</f>
        <v>134</v>
      </c>
    </row>
    <row r="7574" customFormat="false" ht="15" hidden="false" customHeight="false" outlineLevel="0" collapsed="false">
      <c r="B7574" s="53"/>
      <c r="I7574" s="53"/>
      <c r="U7574" s="31" t="n">
        <f aca="false">IF($B7574='設定（最初に1回）'!$C$4,N(U7573)+1,N(U7573))</f>
        <v>134</v>
      </c>
    </row>
    <row r="7575" customFormat="false" ht="15" hidden="false" customHeight="false" outlineLevel="0" collapsed="false">
      <c r="B7575" s="53"/>
      <c r="I7575" s="53"/>
      <c r="U7575" s="31" t="n">
        <f aca="false">IF($B7575='設定（最初に1回）'!$C$4,N(U7574)+1,N(U7574))</f>
        <v>134</v>
      </c>
    </row>
    <row r="7576" customFormat="false" ht="15" hidden="false" customHeight="false" outlineLevel="0" collapsed="false">
      <c r="B7576" s="53"/>
      <c r="I7576" s="53"/>
      <c r="U7576" s="31" t="n">
        <f aca="false">IF($B7576='設定（最初に1回）'!$C$4,N(U7575)+1,N(U7575))</f>
        <v>134</v>
      </c>
    </row>
    <row r="7577" customFormat="false" ht="15" hidden="false" customHeight="false" outlineLevel="0" collapsed="false">
      <c r="B7577" s="53"/>
      <c r="I7577" s="53"/>
      <c r="U7577" s="31" t="n">
        <f aca="false">IF($B7577='設定（最初に1回）'!$C$4,N(U7576)+1,N(U7576))</f>
        <v>134</v>
      </c>
    </row>
    <row r="7578" customFormat="false" ht="15" hidden="false" customHeight="false" outlineLevel="0" collapsed="false">
      <c r="B7578" s="53"/>
      <c r="I7578" s="53"/>
      <c r="U7578" s="31" t="n">
        <f aca="false">IF($B7578='設定（最初に1回）'!$C$4,N(U7577)+1,N(U7577))</f>
        <v>134</v>
      </c>
    </row>
    <row r="7579" customFormat="false" ht="15" hidden="false" customHeight="false" outlineLevel="0" collapsed="false">
      <c r="B7579" s="53"/>
      <c r="I7579" s="53"/>
      <c r="U7579" s="31" t="n">
        <f aca="false">IF($B7579='設定（最初に1回）'!$C$4,N(U7578)+1,N(U7578))</f>
        <v>134</v>
      </c>
    </row>
    <row r="7580" customFormat="false" ht="15" hidden="false" customHeight="false" outlineLevel="0" collapsed="false">
      <c r="B7580" s="53"/>
      <c r="I7580" s="53"/>
      <c r="U7580" s="31" t="n">
        <f aca="false">IF($B7580='設定（最初に1回）'!$C$4,N(U7579)+1,N(U7579))</f>
        <v>134</v>
      </c>
    </row>
    <row r="7581" customFormat="false" ht="15" hidden="false" customHeight="false" outlineLevel="0" collapsed="false">
      <c r="B7581" s="53"/>
      <c r="I7581" s="53"/>
      <c r="U7581" s="31" t="n">
        <f aca="false">IF($B7581='設定（最初に1回）'!$C$4,N(U7580)+1,N(U7580))</f>
        <v>134</v>
      </c>
    </row>
    <row r="7582" customFormat="false" ht="15" hidden="false" customHeight="false" outlineLevel="0" collapsed="false">
      <c r="B7582" s="53"/>
      <c r="I7582" s="53"/>
      <c r="U7582" s="31" t="n">
        <f aca="false">IF($B7582='設定（最初に1回）'!$C$4,N(U7581)+1,N(U7581))</f>
        <v>134</v>
      </c>
    </row>
    <row r="7583" customFormat="false" ht="15" hidden="false" customHeight="false" outlineLevel="0" collapsed="false">
      <c r="B7583" s="53"/>
      <c r="I7583" s="53"/>
      <c r="U7583" s="31" t="n">
        <f aca="false">IF($B7583='設定（最初に1回）'!$C$4,N(U7582)+1,N(U7582))</f>
        <v>134</v>
      </c>
    </row>
    <row r="7584" customFormat="false" ht="15" hidden="false" customHeight="false" outlineLevel="0" collapsed="false">
      <c r="B7584" s="53"/>
      <c r="I7584" s="53"/>
      <c r="U7584" s="31" t="n">
        <f aca="false">IF($B7584='設定（最初に1回）'!$C$4,N(U7583)+1,N(U7583))</f>
        <v>134</v>
      </c>
    </row>
    <row r="7585" customFormat="false" ht="15" hidden="false" customHeight="false" outlineLevel="0" collapsed="false">
      <c r="B7585" s="53"/>
      <c r="I7585" s="53"/>
      <c r="U7585" s="31" t="n">
        <f aca="false">IF($B7585='設定（最初に1回）'!$C$4,N(U7584)+1,N(U7584))</f>
        <v>134</v>
      </c>
    </row>
    <row r="7586" customFormat="false" ht="15" hidden="false" customHeight="false" outlineLevel="0" collapsed="false">
      <c r="B7586" s="53"/>
      <c r="I7586" s="53"/>
      <c r="U7586" s="31" t="n">
        <f aca="false">IF($B7586='設定（最初に1回）'!$C$4,N(U7585)+1,N(U7585))</f>
        <v>134</v>
      </c>
    </row>
    <row r="7587" customFormat="false" ht="15" hidden="false" customHeight="false" outlineLevel="0" collapsed="false">
      <c r="B7587" s="53"/>
      <c r="I7587" s="53"/>
      <c r="U7587" s="31" t="n">
        <f aca="false">IF($B7587='設定（最初に1回）'!$C$4,N(U7586)+1,N(U7586))</f>
        <v>134</v>
      </c>
    </row>
    <row r="7588" customFormat="false" ht="15" hidden="false" customHeight="false" outlineLevel="0" collapsed="false">
      <c r="B7588" s="53"/>
      <c r="I7588" s="53"/>
      <c r="U7588" s="31" t="n">
        <f aca="false">IF($B7588='設定（最初に1回）'!$C$4,N(U7587)+1,N(U7587))</f>
        <v>134</v>
      </c>
    </row>
    <row r="7589" customFormat="false" ht="15" hidden="false" customHeight="false" outlineLevel="0" collapsed="false">
      <c r="B7589" s="53"/>
      <c r="I7589" s="53"/>
      <c r="U7589" s="31" t="n">
        <f aca="false">IF($B7589='設定（最初に1回）'!$C$4,N(U7588)+1,N(U7588))</f>
        <v>134</v>
      </c>
    </row>
    <row r="7590" customFormat="false" ht="15" hidden="false" customHeight="false" outlineLevel="0" collapsed="false">
      <c r="B7590" s="53"/>
      <c r="I7590" s="53"/>
      <c r="U7590" s="31" t="n">
        <f aca="false">IF($B7590='設定（最初に1回）'!$C$4,N(U7589)+1,N(U7589))</f>
        <v>134</v>
      </c>
    </row>
    <row r="7591" customFormat="false" ht="15" hidden="false" customHeight="false" outlineLevel="0" collapsed="false">
      <c r="B7591" s="53"/>
      <c r="I7591" s="53"/>
      <c r="U7591" s="31" t="n">
        <f aca="false">IF($B7591='設定（最初に1回）'!$C$4,N(U7590)+1,N(U7590))</f>
        <v>134</v>
      </c>
    </row>
    <row r="7592" customFormat="false" ht="15" hidden="false" customHeight="false" outlineLevel="0" collapsed="false">
      <c r="B7592" s="53"/>
      <c r="I7592" s="53"/>
      <c r="U7592" s="31" t="n">
        <f aca="false">IF($B7592='設定（最初に1回）'!$C$4,N(U7591)+1,N(U7591))</f>
        <v>134</v>
      </c>
    </row>
    <row r="7593" customFormat="false" ht="15" hidden="false" customHeight="false" outlineLevel="0" collapsed="false">
      <c r="B7593" s="53"/>
      <c r="I7593" s="53"/>
      <c r="U7593" s="31" t="n">
        <f aca="false">IF($B7593='設定（最初に1回）'!$C$4,N(U7592)+1,N(U7592))</f>
        <v>134</v>
      </c>
    </row>
    <row r="7594" customFormat="false" ht="15" hidden="false" customHeight="false" outlineLevel="0" collapsed="false">
      <c r="B7594" s="53"/>
      <c r="I7594" s="53"/>
      <c r="U7594" s="31" t="n">
        <f aca="false">IF($B7594='設定（最初に1回）'!$C$4,N(U7593)+1,N(U7593))</f>
        <v>134</v>
      </c>
    </row>
    <row r="7595" customFormat="false" ht="15" hidden="false" customHeight="false" outlineLevel="0" collapsed="false">
      <c r="B7595" s="53"/>
      <c r="I7595" s="53"/>
      <c r="U7595" s="31" t="n">
        <f aca="false">IF($B7595='設定（最初に1回）'!$C$4,N(U7594)+1,N(U7594))</f>
        <v>134</v>
      </c>
    </row>
    <row r="7596" customFormat="false" ht="15" hidden="false" customHeight="false" outlineLevel="0" collapsed="false">
      <c r="B7596" s="53"/>
      <c r="I7596" s="53"/>
      <c r="U7596" s="31" t="n">
        <f aca="false">IF($B7596='設定（最初に1回）'!$C$4,N(U7595)+1,N(U7595))</f>
        <v>134</v>
      </c>
    </row>
    <row r="7597" customFormat="false" ht="15" hidden="false" customHeight="false" outlineLevel="0" collapsed="false">
      <c r="B7597" s="53"/>
      <c r="I7597" s="53"/>
      <c r="U7597" s="31" t="n">
        <f aca="false">IF($B7597='設定（最初に1回）'!$C$4,N(U7596)+1,N(U7596))</f>
        <v>134</v>
      </c>
    </row>
    <row r="7598" customFormat="false" ht="15" hidden="false" customHeight="false" outlineLevel="0" collapsed="false">
      <c r="B7598" s="53"/>
      <c r="I7598" s="53"/>
      <c r="U7598" s="31" t="n">
        <f aca="false">IF($B7598='設定（最初に1回）'!$C$4,N(U7597)+1,N(U7597))</f>
        <v>134</v>
      </c>
    </row>
    <row r="7599" customFormat="false" ht="15" hidden="false" customHeight="false" outlineLevel="0" collapsed="false">
      <c r="B7599" s="53"/>
      <c r="I7599" s="53"/>
      <c r="U7599" s="31" t="n">
        <f aca="false">IF($B7599='設定（最初に1回）'!$C$4,N(U7598)+1,N(U7598))</f>
        <v>134</v>
      </c>
    </row>
    <row r="7600" customFormat="false" ht="15" hidden="false" customHeight="false" outlineLevel="0" collapsed="false">
      <c r="B7600" s="53"/>
      <c r="I7600" s="53"/>
      <c r="U7600" s="31" t="n">
        <f aca="false">IF($B7600='設定（最初に1回）'!$C$4,N(U7599)+1,N(U7599))</f>
        <v>134</v>
      </c>
    </row>
    <row r="7601" customFormat="false" ht="15" hidden="false" customHeight="false" outlineLevel="0" collapsed="false">
      <c r="B7601" s="53"/>
      <c r="I7601" s="53"/>
      <c r="U7601" s="31" t="n">
        <f aca="false">IF($B7601='設定（最初に1回）'!$C$4,N(U7600)+1,N(U7600))</f>
        <v>134</v>
      </c>
    </row>
    <row r="7602" customFormat="false" ht="15" hidden="false" customHeight="false" outlineLevel="0" collapsed="false">
      <c r="B7602" s="53"/>
      <c r="I7602" s="53"/>
      <c r="U7602" s="31" t="n">
        <f aca="false">IF($B7602='設定（最初に1回）'!$C$4,N(U7601)+1,N(U7601))</f>
        <v>134</v>
      </c>
    </row>
    <row r="7603" customFormat="false" ht="15" hidden="false" customHeight="false" outlineLevel="0" collapsed="false">
      <c r="B7603" s="53"/>
      <c r="I7603" s="53"/>
      <c r="U7603" s="31" t="n">
        <f aca="false">IF($B7603='設定（最初に1回）'!$C$4,N(U7602)+1,N(U7602))</f>
        <v>134</v>
      </c>
    </row>
    <row r="7604" customFormat="false" ht="15" hidden="false" customHeight="false" outlineLevel="0" collapsed="false">
      <c r="B7604" s="53"/>
      <c r="I7604" s="53"/>
      <c r="U7604" s="31" t="n">
        <f aca="false">IF($B7604='設定（最初に1回）'!$C$4,N(U7603)+1,N(U7603))</f>
        <v>134</v>
      </c>
    </row>
    <row r="7605" customFormat="false" ht="15" hidden="false" customHeight="false" outlineLevel="0" collapsed="false">
      <c r="B7605" s="53"/>
      <c r="I7605" s="53"/>
      <c r="U7605" s="31" t="n">
        <f aca="false">IF($B7605='設定（最初に1回）'!$C$4,N(U7604)+1,N(U7604))</f>
        <v>134</v>
      </c>
    </row>
    <row r="7606" customFormat="false" ht="15" hidden="false" customHeight="false" outlineLevel="0" collapsed="false">
      <c r="B7606" s="53"/>
      <c r="I7606" s="53"/>
      <c r="U7606" s="31" t="n">
        <f aca="false">IF($B7606='設定（最初に1回）'!$C$4,N(U7605)+1,N(U7605))</f>
        <v>134</v>
      </c>
    </row>
    <row r="7607" customFormat="false" ht="15" hidden="false" customHeight="false" outlineLevel="0" collapsed="false">
      <c r="B7607" s="53"/>
      <c r="I7607" s="53"/>
      <c r="U7607" s="31" t="n">
        <f aca="false">IF($B7607='設定（最初に1回）'!$C$4,N(U7606)+1,N(U7606))</f>
        <v>134</v>
      </c>
    </row>
    <row r="7608" customFormat="false" ht="15" hidden="false" customHeight="false" outlineLevel="0" collapsed="false">
      <c r="B7608" s="53"/>
      <c r="I7608" s="53"/>
      <c r="U7608" s="31" t="n">
        <f aca="false">IF($B7608='設定（最初に1回）'!$C$4,N(U7607)+1,N(U7607))</f>
        <v>134</v>
      </c>
    </row>
    <row r="7609" customFormat="false" ht="15" hidden="false" customHeight="false" outlineLevel="0" collapsed="false">
      <c r="B7609" s="53"/>
      <c r="I7609" s="53"/>
      <c r="U7609" s="31" t="n">
        <f aca="false">IF($B7609='設定（最初に1回）'!$C$4,N(U7608)+1,N(U7608))</f>
        <v>134</v>
      </c>
    </row>
    <row r="7610" customFormat="false" ht="15" hidden="false" customHeight="false" outlineLevel="0" collapsed="false">
      <c r="B7610" s="53"/>
      <c r="I7610" s="53"/>
      <c r="U7610" s="31" t="n">
        <f aca="false">IF($B7610='設定（最初に1回）'!$C$4,N(U7609)+1,N(U7609))</f>
        <v>134</v>
      </c>
    </row>
    <row r="7611" customFormat="false" ht="15" hidden="false" customHeight="false" outlineLevel="0" collapsed="false">
      <c r="B7611" s="53"/>
      <c r="I7611" s="53"/>
      <c r="U7611" s="31" t="n">
        <f aca="false">IF($B7611='設定（最初に1回）'!$C$4,N(U7610)+1,N(U7610))</f>
        <v>134</v>
      </c>
    </row>
    <row r="7612" customFormat="false" ht="15" hidden="false" customHeight="false" outlineLevel="0" collapsed="false">
      <c r="B7612" s="53"/>
      <c r="I7612" s="53"/>
      <c r="U7612" s="31" t="n">
        <f aca="false">IF($B7612='設定（最初に1回）'!$C$4,N(U7611)+1,N(U7611))</f>
        <v>134</v>
      </c>
    </row>
    <row r="7613" customFormat="false" ht="15" hidden="false" customHeight="false" outlineLevel="0" collapsed="false">
      <c r="B7613" s="53"/>
      <c r="I7613" s="53"/>
      <c r="U7613" s="31" t="n">
        <f aca="false">IF($B7613='設定（最初に1回）'!$C$4,N(U7612)+1,N(U7612))</f>
        <v>134</v>
      </c>
    </row>
    <row r="7614" customFormat="false" ht="15" hidden="false" customHeight="false" outlineLevel="0" collapsed="false">
      <c r="B7614" s="53"/>
      <c r="I7614" s="53"/>
      <c r="U7614" s="31" t="n">
        <f aca="false">IF($B7614='設定（最初に1回）'!$C$4,N(U7613)+1,N(U7613))</f>
        <v>134</v>
      </c>
    </row>
    <row r="7615" customFormat="false" ht="15" hidden="false" customHeight="false" outlineLevel="0" collapsed="false">
      <c r="B7615" s="53"/>
      <c r="I7615" s="53"/>
      <c r="U7615" s="31" t="n">
        <f aca="false">IF($B7615='設定（最初に1回）'!$C$4,N(U7614)+1,N(U7614))</f>
        <v>134</v>
      </c>
    </row>
    <row r="7616" customFormat="false" ht="15" hidden="false" customHeight="false" outlineLevel="0" collapsed="false">
      <c r="B7616" s="53"/>
      <c r="I7616" s="53"/>
      <c r="U7616" s="31" t="n">
        <f aca="false">IF($B7616='設定（最初に1回）'!$C$4,N(U7615)+1,N(U7615))</f>
        <v>134</v>
      </c>
    </row>
    <row r="7617" customFormat="false" ht="15" hidden="false" customHeight="false" outlineLevel="0" collapsed="false">
      <c r="B7617" s="53"/>
      <c r="I7617" s="53"/>
      <c r="U7617" s="31" t="n">
        <f aca="false">IF($B7617='設定（最初に1回）'!$C$4,N(U7616)+1,N(U7616))</f>
        <v>134</v>
      </c>
    </row>
    <row r="7618" customFormat="false" ht="15" hidden="false" customHeight="false" outlineLevel="0" collapsed="false">
      <c r="B7618" s="53"/>
      <c r="I7618" s="53"/>
      <c r="U7618" s="31" t="n">
        <f aca="false">IF($B7618='設定（最初に1回）'!$C$4,N(U7617)+1,N(U7617))</f>
        <v>134</v>
      </c>
    </row>
    <row r="7619" customFormat="false" ht="15" hidden="false" customHeight="false" outlineLevel="0" collapsed="false">
      <c r="B7619" s="53"/>
      <c r="I7619" s="53"/>
      <c r="U7619" s="31" t="n">
        <f aca="false">IF($B7619='設定（最初に1回）'!$C$4,N(U7618)+1,N(U7618))</f>
        <v>134</v>
      </c>
    </row>
    <row r="7620" customFormat="false" ht="15" hidden="false" customHeight="false" outlineLevel="0" collapsed="false">
      <c r="B7620" s="53"/>
      <c r="I7620" s="53"/>
      <c r="U7620" s="31" t="n">
        <f aca="false">IF($B7620='設定（最初に1回）'!$C$4,N(U7619)+1,N(U7619))</f>
        <v>134</v>
      </c>
    </row>
    <row r="7621" customFormat="false" ht="15" hidden="false" customHeight="false" outlineLevel="0" collapsed="false">
      <c r="B7621" s="53"/>
      <c r="I7621" s="53"/>
      <c r="U7621" s="31" t="n">
        <f aca="false">IF($B7621='設定（最初に1回）'!$C$4,N(U7620)+1,N(U7620))</f>
        <v>134</v>
      </c>
    </row>
    <row r="7622" customFormat="false" ht="15" hidden="false" customHeight="false" outlineLevel="0" collapsed="false">
      <c r="B7622" s="53"/>
      <c r="I7622" s="53"/>
      <c r="U7622" s="31" t="n">
        <f aca="false">IF($B7622='設定（最初に1回）'!$C$4,N(U7621)+1,N(U7621))</f>
        <v>134</v>
      </c>
    </row>
    <row r="7623" customFormat="false" ht="15" hidden="false" customHeight="false" outlineLevel="0" collapsed="false">
      <c r="B7623" s="53"/>
      <c r="I7623" s="53"/>
      <c r="U7623" s="31" t="n">
        <f aca="false">IF($B7623='設定（最初に1回）'!$C$4,N(U7622)+1,N(U7622))</f>
        <v>134</v>
      </c>
    </row>
    <row r="7624" customFormat="false" ht="15" hidden="false" customHeight="false" outlineLevel="0" collapsed="false">
      <c r="B7624" s="53"/>
      <c r="I7624" s="53"/>
      <c r="U7624" s="31" t="n">
        <f aca="false">IF($B7624='設定（最初に1回）'!$C$4,N(U7623)+1,N(U7623))</f>
        <v>134</v>
      </c>
    </row>
    <row r="7625" customFormat="false" ht="15" hidden="false" customHeight="false" outlineLevel="0" collapsed="false">
      <c r="B7625" s="53"/>
      <c r="I7625" s="53"/>
      <c r="U7625" s="31" t="n">
        <f aca="false">IF($B7625='設定（最初に1回）'!$C$4,N(U7624)+1,N(U7624))</f>
        <v>134</v>
      </c>
    </row>
    <row r="7626" customFormat="false" ht="15" hidden="false" customHeight="false" outlineLevel="0" collapsed="false">
      <c r="B7626" s="53"/>
      <c r="I7626" s="53"/>
      <c r="U7626" s="31" t="n">
        <f aca="false">IF($B7626='設定（最初に1回）'!$C$4,N(U7625)+1,N(U7625))</f>
        <v>134</v>
      </c>
    </row>
    <row r="7627" customFormat="false" ht="15" hidden="false" customHeight="false" outlineLevel="0" collapsed="false">
      <c r="B7627" s="53"/>
      <c r="I7627" s="53"/>
      <c r="U7627" s="31" t="n">
        <f aca="false">IF($B7627='設定（最初に1回）'!$C$4,N(U7626)+1,N(U7626))</f>
        <v>134</v>
      </c>
    </row>
    <row r="7628" customFormat="false" ht="15" hidden="false" customHeight="false" outlineLevel="0" collapsed="false">
      <c r="B7628" s="53"/>
      <c r="I7628" s="53"/>
      <c r="U7628" s="31" t="n">
        <f aca="false">IF($B7628='設定（最初に1回）'!$C$4,N(U7627)+1,N(U7627))</f>
        <v>134</v>
      </c>
    </row>
    <row r="7629" customFormat="false" ht="15" hidden="false" customHeight="false" outlineLevel="0" collapsed="false">
      <c r="B7629" s="53"/>
      <c r="I7629" s="53"/>
      <c r="U7629" s="31" t="n">
        <f aca="false">IF($B7629='設定（最初に1回）'!$C$4,N(U7628)+1,N(U7628))</f>
        <v>134</v>
      </c>
    </row>
    <row r="7630" customFormat="false" ht="15" hidden="false" customHeight="false" outlineLevel="0" collapsed="false">
      <c r="B7630" s="53"/>
      <c r="I7630" s="53"/>
      <c r="U7630" s="31" t="n">
        <f aca="false">IF($B7630='設定（最初に1回）'!$C$4,N(U7629)+1,N(U7629))</f>
        <v>134</v>
      </c>
    </row>
    <row r="7631" customFormat="false" ht="15" hidden="false" customHeight="false" outlineLevel="0" collapsed="false">
      <c r="B7631" s="53"/>
      <c r="I7631" s="53"/>
      <c r="U7631" s="31" t="n">
        <f aca="false">IF($B7631='設定（最初に1回）'!$C$4,N(U7630)+1,N(U7630))</f>
        <v>134</v>
      </c>
    </row>
    <row r="7632" customFormat="false" ht="15" hidden="false" customHeight="false" outlineLevel="0" collapsed="false">
      <c r="B7632" s="53"/>
      <c r="I7632" s="53"/>
      <c r="U7632" s="31" t="n">
        <f aca="false">IF($B7632='設定（最初に1回）'!$C$4,N(U7631)+1,N(U7631))</f>
        <v>134</v>
      </c>
    </row>
    <row r="7633" customFormat="false" ht="15" hidden="false" customHeight="false" outlineLevel="0" collapsed="false">
      <c r="B7633" s="53"/>
      <c r="I7633" s="53"/>
      <c r="U7633" s="31" t="n">
        <f aca="false">IF($B7633='設定（最初に1回）'!$C$4,N(U7632)+1,N(U7632))</f>
        <v>134</v>
      </c>
    </row>
    <row r="7634" customFormat="false" ht="15" hidden="false" customHeight="false" outlineLevel="0" collapsed="false">
      <c r="B7634" s="53"/>
      <c r="I7634" s="53"/>
      <c r="U7634" s="31" t="n">
        <f aca="false">IF($B7634='設定（最初に1回）'!$C$4,N(U7633)+1,N(U7633))</f>
        <v>134</v>
      </c>
    </row>
    <row r="7635" customFormat="false" ht="15" hidden="false" customHeight="false" outlineLevel="0" collapsed="false">
      <c r="B7635" s="53"/>
      <c r="I7635" s="53"/>
      <c r="U7635" s="31" t="n">
        <f aca="false">IF($B7635='設定（最初に1回）'!$C$4,N(U7634)+1,N(U7634))</f>
        <v>134</v>
      </c>
    </row>
    <row r="7636" customFormat="false" ht="15" hidden="false" customHeight="false" outlineLevel="0" collapsed="false">
      <c r="B7636" s="53"/>
      <c r="I7636" s="53"/>
      <c r="U7636" s="31" t="n">
        <f aca="false">IF($B7636='設定（最初に1回）'!$C$4,N(U7635)+1,N(U7635))</f>
        <v>134</v>
      </c>
    </row>
    <row r="7637" customFormat="false" ht="15" hidden="false" customHeight="false" outlineLevel="0" collapsed="false">
      <c r="B7637" s="53"/>
      <c r="I7637" s="53"/>
      <c r="U7637" s="31" t="n">
        <f aca="false">IF($B7637='設定（最初に1回）'!$C$4,N(U7636)+1,N(U7636))</f>
        <v>134</v>
      </c>
    </row>
    <row r="7638" customFormat="false" ht="15" hidden="false" customHeight="false" outlineLevel="0" collapsed="false">
      <c r="B7638" s="53"/>
      <c r="I7638" s="53"/>
      <c r="U7638" s="31" t="n">
        <f aca="false">IF($B7638='設定（最初に1回）'!$C$4,N(U7637)+1,N(U7637))</f>
        <v>134</v>
      </c>
    </row>
    <row r="7639" customFormat="false" ht="15" hidden="false" customHeight="false" outlineLevel="0" collapsed="false">
      <c r="B7639" s="53"/>
      <c r="I7639" s="53"/>
      <c r="U7639" s="31" t="n">
        <f aca="false">IF($B7639='設定（最初に1回）'!$C$4,N(U7638)+1,N(U7638))</f>
        <v>134</v>
      </c>
    </row>
    <row r="7640" customFormat="false" ht="15" hidden="false" customHeight="false" outlineLevel="0" collapsed="false">
      <c r="B7640" s="53"/>
      <c r="I7640" s="53"/>
      <c r="U7640" s="31" t="n">
        <f aca="false">IF($B7640='設定（最初に1回）'!$C$4,N(U7639)+1,N(U7639))</f>
        <v>134</v>
      </c>
    </row>
    <row r="7641" customFormat="false" ht="15" hidden="false" customHeight="false" outlineLevel="0" collapsed="false">
      <c r="B7641" s="53"/>
      <c r="I7641" s="53"/>
      <c r="U7641" s="31" t="n">
        <f aca="false">IF($B7641='設定（最初に1回）'!$C$4,N(U7640)+1,N(U7640))</f>
        <v>134</v>
      </c>
    </row>
    <row r="7642" customFormat="false" ht="15" hidden="false" customHeight="false" outlineLevel="0" collapsed="false">
      <c r="B7642" s="53"/>
      <c r="I7642" s="53"/>
      <c r="U7642" s="31" t="n">
        <f aca="false">IF($B7642='設定（最初に1回）'!$C$4,N(U7641)+1,N(U7641))</f>
        <v>134</v>
      </c>
    </row>
    <row r="7643" customFormat="false" ht="15" hidden="false" customHeight="false" outlineLevel="0" collapsed="false">
      <c r="B7643" s="53"/>
      <c r="I7643" s="53"/>
      <c r="U7643" s="31" t="n">
        <f aca="false">IF($B7643='設定（最初に1回）'!$C$4,N(U7642)+1,N(U7642))</f>
        <v>134</v>
      </c>
    </row>
    <row r="7644" customFormat="false" ht="15" hidden="false" customHeight="false" outlineLevel="0" collapsed="false">
      <c r="B7644" s="53"/>
      <c r="I7644" s="53"/>
      <c r="U7644" s="31" t="n">
        <f aca="false">IF($B7644='設定（最初に1回）'!$C$4,N(U7643)+1,N(U7643))</f>
        <v>134</v>
      </c>
    </row>
    <row r="7645" customFormat="false" ht="15" hidden="false" customHeight="false" outlineLevel="0" collapsed="false">
      <c r="B7645" s="53"/>
      <c r="I7645" s="53"/>
      <c r="U7645" s="31" t="n">
        <f aca="false">IF($B7645='設定（最初に1回）'!$C$4,N(U7644)+1,N(U7644))</f>
        <v>134</v>
      </c>
    </row>
    <row r="7646" customFormat="false" ht="15" hidden="false" customHeight="false" outlineLevel="0" collapsed="false">
      <c r="B7646" s="53"/>
      <c r="I7646" s="53"/>
      <c r="U7646" s="31" t="n">
        <f aca="false">IF($B7646='設定（最初に1回）'!$C$4,N(U7645)+1,N(U7645))</f>
        <v>134</v>
      </c>
    </row>
    <row r="7647" customFormat="false" ht="15" hidden="false" customHeight="false" outlineLevel="0" collapsed="false">
      <c r="B7647" s="53"/>
      <c r="I7647" s="53"/>
      <c r="U7647" s="31" t="n">
        <f aca="false">IF($B7647='設定（最初に1回）'!$C$4,N(U7646)+1,N(U7646))</f>
        <v>134</v>
      </c>
    </row>
    <row r="7648" customFormat="false" ht="15" hidden="false" customHeight="false" outlineLevel="0" collapsed="false">
      <c r="B7648" s="53"/>
      <c r="I7648" s="53"/>
      <c r="U7648" s="31" t="n">
        <f aca="false">IF($B7648='設定（最初に1回）'!$C$4,N(U7647)+1,N(U7647))</f>
        <v>134</v>
      </c>
    </row>
    <row r="7649" customFormat="false" ht="15" hidden="false" customHeight="false" outlineLevel="0" collapsed="false">
      <c r="B7649" s="53"/>
      <c r="I7649" s="53"/>
      <c r="U7649" s="31" t="n">
        <f aca="false">IF($B7649='設定（最初に1回）'!$C$4,N(U7648)+1,N(U7648))</f>
        <v>134</v>
      </c>
    </row>
    <row r="7650" customFormat="false" ht="15" hidden="false" customHeight="false" outlineLevel="0" collapsed="false">
      <c r="B7650" s="53"/>
      <c r="I7650" s="53"/>
      <c r="U7650" s="31" t="n">
        <f aca="false">IF($B7650='設定（最初に1回）'!$C$4,N(U7649)+1,N(U7649))</f>
        <v>134</v>
      </c>
    </row>
    <row r="7651" customFormat="false" ht="15" hidden="false" customHeight="false" outlineLevel="0" collapsed="false">
      <c r="B7651" s="53"/>
      <c r="I7651" s="53"/>
      <c r="U7651" s="31" t="n">
        <f aca="false">IF($B7651='設定（最初に1回）'!$C$4,N(U7650)+1,N(U7650))</f>
        <v>134</v>
      </c>
    </row>
    <row r="7652" customFormat="false" ht="15" hidden="false" customHeight="false" outlineLevel="0" collapsed="false">
      <c r="B7652" s="53"/>
      <c r="I7652" s="53"/>
      <c r="U7652" s="31" t="n">
        <f aca="false">IF($B7652='設定（最初に1回）'!$C$4,N(U7651)+1,N(U7651))</f>
        <v>134</v>
      </c>
    </row>
    <row r="7653" customFormat="false" ht="15" hidden="false" customHeight="false" outlineLevel="0" collapsed="false">
      <c r="B7653" s="53"/>
      <c r="I7653" s="53"/>
      <c r="U7653" s="31" t="n">
        <f aca="false">IF($B7653='設定（最初に1回）'!$C$4,N(U7652)+1,N(U7652))</f>
        <v>134</v>
      </c>
    </row>
    <row r="7654" customFormat="false" ht="15" hidden="false" customHeight="false" outlineLevel="0" collapsed="false">
      <c r="B7654" s="53"/>
      <c r="I7654" s="53"/>
      <c r="U7654" s="31" t="n">
        <f aca="false">IF($B7654='設定（最初に1回）'!$C$4,N(U7653)+1,N(U7653))</f>
        <v>134</v>
      </c>
    </row>
    <row r="7655" customFormat="false" ht="15" hidden="false" customHeight="false" outlineLevel="0" collapsed="false">
      <c r="B7655" s="53"/>
      <c r="I7655" s="53"/>
      <c r="U7655" s="31" t="n">
        <f aca="false">IF($B7655='設定（最初に1回）'!$C$4,N(U7654)+1,N(U7654))</f>
        <v>134</v>
      </c>
    </row>
    <row r="7656" customFormat="false" ht="15" hidden="false" customHeight="false" outlineLevel="0" collapsed="false">
      <c r="B7656" s="53"/>
      <c r="I7656" s="53"/>
      <c r="U7656" s="31" t="n">
        <f aca="false">IF($B7656='設定（最初に1回）'!$C$4,N(U7655)+1,N(U7655))</f>
        <v>134</v>
      </c>
    </row>
    <row r="7657" customFormat="false" ht="15" hidden="false" customHeight="false" outlineLevel="0" collapsed="false">
      <c r="B7657" s="53"/>
      <c r="I7657" s="53"/>
      <c r="U7657" s="31" t="n">
        <f aca="false">IF($B7657='設定（最初に1回）'!$C$4,N(U7656)+1,N(U7656))</f>
        <v>134</v>
      </c>
    </row>
    <row r="7658" customFormat="false" ht="15" hidden="false" customHeight="false" outlineLevel="0" collapsed="false">
      <c r="B7658" s="53"/>
      <c r="I7658" s="53"/>
      <c r="U7658" s="31" t="n">
        <f aca="false">IF($B7658='設定（最初に1回）'!$C$4,N(U7657)+1,N(U7657))</f>
        <v>134</v>
      </c>
    </row>
    <row r="7659" customFormat="false" ht="15" hidden="false" customHeight="false" outlineLevel="0" collapsed="false">
      <c r="B7659" s="53"/>
      <c r="I7659" s="53"/>
      <c r="U7659" s="31" t="n">
        <f aca="false">IF($B7659='設定（最初に1回）'!$C$4,N(U7658)+1,N(U7658))</f>
        <v>134</v>
      </c>
    </row>
    <row r="7660" customFormat="false" ht="15" hidden="false" customHeight="false" outlineLevel="0" collapsed="false">
      <c r="B7660" s="53"/>
      <c r="I7660" s="53"/>
      <c r="U7660" s="31" t="n">
        <f aca="false">IF($B7660='設定（最初に1回）'!$C$4,N(U7659)+1,N(U7659))</f>
        <v>134</v>
      </c>
    </row>
    <row r="7661" customFormat="false" ht="15" hidden="false" customHeight="false" outlineLevel="0" collapsed="false">
      <c r="B7661" s="53"/>
      <c r="I7661" s="53"/>
      <c r="U7661" s="31" t="n">
        <f aca="false">IF($B7661='設定（最初に1回）'!$C$4,N(U7660)+1,N(U7660))</f>
        <v>134</v>
      </c>
    </row>
    <row r="7662" customFormat="false" ht="15" hidden="false" customHeight="false" outlineLevel="0" collapsed="false">
      <c r="B7662" s="53"/>
      <c r="I7662" s="53"/>
      <c r="U7662" s="31" t="n">
        <f aca="false">IF($B7662='設定（最初に1回）'!$C$4,N(U7661)+1,N(U7661))</f>
        <v>134</v>
      </c>
    </row>
    <row r="7663" customFormat="false" ht="15" hidden="false" customHeight="false" outlineLevel="0" collapsed="false">
      <c r="B7663" s="53"/>
      <c r="I7663" s="53"/>
      <c r="U7663" s="31" t="n">
        <f aca="false">IF($B7663='設定（最初に1回）'!$C$4,N(U7662)+1,N(U7662))</f>
        <v>134</v>
      </c>
    </row>
    <row r="7664" customFormat="false" ht="15" hidden="false" customHeight="false" outlineLevel="0" collapsed="false">
      <c r="B7664" s="53"/>
      <c r="I7664" s="53"/>
      <c r="U7664" s="31" t="n">
        <f aca="false">IF($B7664='設定（最初に1回）'!$C$4,N(U7663)+1,N(U7663))</f>
        <v>134</v>
      </c>
    </row>
    <row r="7665" customFormat="false" ht="15" hidden="false" customHeight="false" outlineLevel="0" collapsed="false">
      <c r="B7665" s="53"/>
      <c r="I7665" s="53"/>
      <c r="U7665" s="31" t="n">
        <f aca="false">IF($B7665='設定（最初に1回）'!$C$4,N(U7664)+1,N(U7664))</f>
        <v>134</v>
      </c>
    </row>
    <row r="7666" customFormat="false" ht="15" hidden="false" customHeight="false" outlineLevel="0" collapsed="false">
      <c r="B7666" s="53"/>
      <c r="I7666" s="53"/>
      <c r="U7666" s="31" t="n">
        <f aca="false">IF($B7666='設定（最初に1回）'!$C$4,N(U7665)+1,N(U7665))</f>
        <v>134</v>
      </c>
    </row>
    <row r="7667" customFormat="false" ht="15" hidden="false" customHeight="false" outlineLevel="0" collapsed="false">
      <c r="B7667" s="53"/>
      <c r="I7667" s="53"/>
      <c r="U7667" s="31" t="n">
        <f aca="false">IF($B7667='設定（最初に1回）'!$C$4,N(U7666)+1,N(U7666))</f>
        <v>134</v>
      </c>
    </row>
    <row r="7668" customFormat="false" ht="15" hidden="false" customHeight="false" outlineLevel="0" collapsed="false">
      <c r="B7668" s="53"/>
      <c r="I7668" s="53"/>
      <c r="U7668" s="31" t="n">
        <f aca="false">IF($B7668='設定（最初に1回）'!$C$4,N(U7667)+1,N(U7667))</f>
        <v>134</v>
      </c>
    </row>
    <row r="7669" customFormat="false" ht="15" hidden="false" customHeight="false" outlineLevel="0" collapsed="false">
      <c r="B7669" s="53"/>
      <c r="I7669" s="53"/>
      <c r="U7669" s="31" t="n">
        <f aca="false">IF($B7669='設定（最初に1回）'!$C$4,N(U7668)+1,N(U7668))</f>
        <v>134</v>
      </c>
    </row>
    <row r="7670" customFormat="false" ht="15" hidden="false" customHeight="false" outlineLevel="0" collapsed="false">
      <c r="B7670" s="53"/>
      <c r="I7670" s="53"/>
      <c r="U7670" s="31" t="n">
        <f aca="false">IF($B7670='設定（最初に1回）'!$C$4,N(U7669)+1,N(U7669))</f>
        <v>134</v>
      </c>
    </row>
    <row r="7671" customFormat="false" ht="15" hidden="false" customHeight="false" outlineLevel="0" collapsed="false">
      <c r="B7671" s="53"/>
      <c r="I7671" s="53"/>
      <c r="U7671" s="31" t="n">
        <f aca="false">IF($B7671='設定（最初に1回）'!$C$4,N(U7670)+1,N(U7670))</f>
        <v>134</v>
      </c>
    </row>
    <row r="7672" customFormat="false" ht="15" hidden="false" customHeight="false" outlineLevel="0" collapsed="false">
      <c r="B7672" s="53"/>
      <c r="I7672" s="53"/>
      <c r="U7672" s="31" t="n">
        <f aca="false">IF($B7672='設定（最初に1回）'!$C$4,N(U7671)+1,N(U7671))</f>
        <v>134</v>
      </c>
    </row>
    <row r="7673" customFormat="false" ht="15" hidden="false" customHeight="false" outlineLevel="0" collapsed="false">
      <c r="B7673" s="53"/>
      <c r="I7673" s="53"/>
      <c r="U7673" s="31" t="n">
        <f aca="false">IF($B7673='設定（最初に1回）'!$C$4,N(U7672)+1,N(U7672))</f>
        <v>134</v>
      </c>
    </row>
    <row r="7674" customFormat="false" ht="15" hidden="false" customHeight="false" outlineLevel="0" collapsed="false">
      <c r="B7674" s="53"/>
      <c r="I7674" s="53"/>
      <c r="U7674" s="31" t="n">
        <f aca="false">IF($B7674='設定（最初に1回）'!$C$4,N(U7673)+1,N(U7673))</f>
        <v>134</v>
      </c>
    </row>
    <row r="7675" customFormat="false" ht="15" hidden="false" customHeight="false" outlineLevel="0" collapsed="false">
      <c r="B7675" s="53"/>
      <c r="I7675" s="53"/>
      <c r="U7675" s="31" t="n">
        <f aca="false">IF($B7675='設定（最初に1回）'!$C$4,N(U7674)+1,N(U7674))</f>
        <v>134</v>
      </c>
    </row>
    <row r="7676" customFormat="false" ht="15" hidden="false" customHeight="false" outlineLevel="0" collapsed="false">
      <c r="B7676" s="53"/>
      <c r="I7676" s="53"/>
      <c r="U7676" s="31" t="n">
        <f aca="false">IF($B7676='設定（最初に1回）'!$C$4,N(U7675)+1,N(U7675))</f>
        <v>134</v>
      </c>
    </row>
    <row r="7677" customFormat="false" ht="15" hidden="false" customHeight="false" outlineLevel="0" collapsed="false">
      <c r="B7677" s="53"/>
      <c r="I7677" s="53"/>
      <c r="U7677" s="31" t="n">
        <f aca="false">IF($B7677='設定（最初に1回）'!$C$4,N(U7676)+1,N(U7676))</f>
        <v>134</v>
      </c>
    </row>
    <row r="7678" customFormat="false" ht="15" hidden="false" customHeight="false" outlineLevel="0" collapsed="false">
      <c r="B7678" s="53"/>
      <c r="I7678" s="53"/>
      <c r="U7678" s="31" t="n">
        <f aca="false">IF($B7678='設定（最初に1回）'!$C$4,N(U7677)+1,N(U7677))</f>
        <v>134</v>
      </c>
    </row>
    <row r="7679" customFormat="false" ht="15" hidden="false" customHeight="false" outlineLevel="0" collapsed="false">
      <c r="B7679" s="53"/>
      <c r="I7679" s="53"/>
      <c r="U7679" s="31" t="n">
        <f aca="false">IF($B7679='設定（最初に1回）'!$C$4,N(U7678)+1,N(U7678))</f>
        <v>134</v>
      </c>
    </row>
    <row r="7680" customFormat="false" ht="15" hidden="false" customHeight="false" outlineLevel="0" collapsed="false">
      <c r="B7680" s="53"/>
      <c r="I7680" s="53"/>
      <c r="U7680" s="31" t="n">
        <f aca="false">IF($B7680='設定（最初に1回）'!$C$4,N(U7679)+1,N(U7679))</f>
        <v>134</v>
      </c>
    </row>
    <row r="7681" customFormat="false" ht="15" hidden="false" customHeight="false" outlineLevel="0" collapsed="false">
      <c r="B7681" s="53"/>
      <c r="I7681" s="53"/>
      <c r="U7681" s="31" t="n">
        <f aca="false">IF($B7681='設定（最初に1回）'!$C$4,N(U7680)+1,N(U7680))</f>
        <v>134</v>
      </c>
    </row>
    <row r="7682" customFormat="false" ht="15" hidden="false" customHeight="false" outlineLevel="0" collapsed="false">
      <c r="B7682" s="53"/>
      <c r="I7682" s="53"/>
      <c r="U7682" s="31" t="n">
        <f aca="false">IF($B7682='設定（最初に1回）'!$C$4,N(U7681)+1,N(U7681))</f>
        <v>134</v>
      </c>
    </row>
    <row r="7683" customFormat="false" ht="15" hidden="false" customHeight="false" outlineLevel="0" collapsed="false">
      <c r="B7683" s="53"/>
      <c r="I7683" s="53"/>
      <c r="U7683" s="31" t="n">
        <f aca="false">IF($B7683='設定（最初に1回）'!$C$4,N(U7682)+1,N(U7682))</f>
        <v>134</v>
      </c>
    </row>
    <row r="7684" customFormat="false" ht="15" hidden="false" customHeight="false" outlineLevel="0" collapsed="false">
      <c r="B7684" s="53"/>
      <c r="I7684" s="53"/>
      <c r="U7684" s="31" t="n">
        <f aca="false">IF($B7684='設定（最初に1回）'!$C$4,N(U7683)+1,N(U7683))</f>
        <v>134</v>
      </c>
    </row>
    <row r="7685" customFormat="false" ht="15" hidden="false" customHeight="false" outlineLevel="0" collapsed="false">
      <c r="B7685" s="53"/>
      <c r="I7685" s="53"/>
      <c r="U7685" s="31" t="n">
        <f aca="false">IF($B7685='設定（最初に1回）'!$C$4,N(U7684)+1,N(U7684))</f>
        <v>134</v>
      </c>
    </row>
    <row r="7686" customFormat="false" ht="15" hidden="false" customHeight="false" outlineLevel="0" collapsed="false">
      <c r="B7686" s="53"/>
      <c r="I7686" s="53"/>
      <c r="U7686" s="31" t="n">
        <f aca="false">IF($B7686='設定（最初に1回）'!$C$4,N(U7685)+1,N(U7685))</f>
        <v>134</v>
      </c>
    </row>
    <row r="7687" customFormat="false" ht="15" hidden="false" customHeight="false" outlineLevel="0" collapsed="false">
      <c r="B7687" s="53"/>
      <c r="I7687" s="53"/>
      <c r="U7687" s="31" t="n">
        <f aca="false">IF($B7687='設定（最初に1回）'!$C$4,N(U7686)+1,N(U7686))</f>
        <v>134</v>
      </c>
    </row>
    <row r="7688" customFormat="false" ht="15" hidden="false" customHeight="false" outlineLevel="0" collapsed="false">
      <c r="B7688" s="53"/>
      <c r="I7688" s="53"/>
      <c r="U7688" s="31" t="n">
        <f aca="false">IF($B7688='設定（最初に1回）'!$C$4,N(U7687)+1,N(U7687))</f>
        <v>134</v>
      </c>
    </row>
    <row r="7689" customFormat="false" ht="15" hidden="false" customHeight="false" outlineLevel="0" collapsed="false">
      <c r="B7689" s="53"/>
      <c r="I7689" s="53"/>
      <c r="U7689" s="31" t="n">
        <f aca="false">IF($B7689='設定（最初に1回）'!$C$4,N(U7688)+1,N(U7688))</f>
        <v>134</v>
      </c>
    </row>
    <row r="7690" customFormat="false" ht="15" hidden="false" customHeight="false" outlineLevel="0" collapsed="false">
      <c r="B7690" s="53"/>
      <c r="I7690" s="53"/>
      <c r="U7690" s="31" t="n">
        <f aca="false">IF($B7690='設定（最初に1回）'!$C$4,N(U7689)+1,N(U7689))</f>
        <v>134</v>
      </c>
    </row>
    <row r="7691" customFormat="false" ht="15" hidden="false" customHeight="false" outlineLevel="0" collapsed="false">
      <c r="B7691" s="53"/>
      <c r="I7691" s="53"/>
      <c r="U7691" s="31" t="n">
        <f aca="false">IF($B7691='設定（最初に1回）'!$C$4,N(U7690)+1,N(U7690))</f>
        <v>134</v>
      </c>
    </row>
    <row r="7692" customFormat="false" ht="15" hidden="false" customHeight="false" outlineLevel="0" collapsed="false">
      <c r="B7692" s="53"/>
      <c r="I7692" s="53"/>
      <c r="U7692" s="31" t="n">
        <f aca="false">IF($B7692='設定（最初に1回）'!$C$4,N(U7691)+1,N(U7691))</f>
        <v>134</v>
      </c>
    </row>
    <row r="7693" customFormat="false" ht="15" hidden="false" customHeight="false" outlineLevel="0" collapsed="false">
      <c r="B7693" s="53"/>
      <c r="I7693" s="53"/>
      <c r="U7693" s="31" t="n">
        <f aca="false">IF($B7693='設定（最初に1回）'!$C$4,N(U7692)+1,N(U7692))</f>
        <v>134</v>
      </c>
    </row>
    <row r="7694" customFormat="false" ht="15" hidden="false" customHeight="false" outlineLevel="0" collapsed="false">
      <c r="B7694" s="53"/>
      <c r="I7694" s="53"/>
      <c r="U7694" s="31" t="n">
        <f aca="false">IF($B7694='設定（最初に1回）'!$C$4,N(U7693)+1,N(U7693))</f>
        <v>134</v>
      </c>
    </row>
    <row r="7695" customFormat="false" ht="15" hidden="false" customHeight="false" outlineLevel="0" collapsed="false">
      <c r="B7695" s="53"/>
      <c r="I7695" s="53"/>
      <c r="U7695" s="31" t="n">
        <f aca="false">IF($B7695='設定（最初に1回）'!$C$4,N(U7694)+1,N(U7694))</f>
        <v>134</v>
      </c>
    </row>
    <row r="7696" customFormat="false" ht="15" hidden="false" customHeight="false" outlineLevel="0" collapsed="false">
      <c r="B7696" s="53"/>
      <c r="I7696" s="53"/>
      <c r="U7696" s="31" t="n">
        <f aca="false">IF($B7696='設定（最初に1回）'!$C$4,N(U7695)+1,N(U7695))</f>
        <v>134</v>
      </c>
    </row>
    <row r="7697" customFormat="false" ht="15" hidden="false" customHeight="false" outlineLevel="0" collapsed="false">
      <c r="B7697" s="53"/>
      <c r="I7697" s="53"/>
      <c r="U7697" s="31" t="n">
        <f aca="false">IF($B7697='設定（最初に1回）'!$C$4,N(U7696)+1,N(U7696))</f>
        <v>134</v>
      </c>
    </row>
    <row r="7698" customFormat="false" ht="15" hidden="false" customHeight="false" outlineLevel="0" collapsed="false">
      <c r="B7698" s="53"/>
      <c r="I7698" s="53"/>
      <c r="U7698" s="31" t="n">
        <f aca="false">IF($B7698='設定（最初に1回）'!$C$4,N(U7697)+1,N(U7697))</f>
        <v>134</v>
      </c>
    </row>
    <row r="7699" customFormat="false" ht="15" hidden="false" customHeight="false" outlineLevel="0" collapsed="false">
      <c r="B7699" s="53"/>
      <c r="I7699" s="53"/>
      <c r="U7699" s="31" t="n">
        <f aca="false">IF($B7699='設定（最初に1回）'!$C$4,N(U7698)+1,N(U7698))</f>
        <v>134</v>
      </c>
    </row>
    <row r="7700" customFormat="false" ht="15" hidden="false" customHeight="false" outlineLevel="0" collapsed="false">
      <c r="B7700" s="53"/>
      <c r="I7700" s="53"/>
      <c r="U7700" s="31" t="n">
        <f aca="false">IF($B7700='設定（最初に1回）'!$C$4,N(U7699)+1,N(U7699))</f>
        <v>134</v>
      </c>
    </row>
    <row r="7701" customFormat="false" ht="15" hidden="false" customHeight="false" outlineLevel="0" collapsed="false">
      <c r="B7701" s="53"/>
      <c r="I7701" s="53"/>
      <c r="U7701" s="31" t="n">
        <f aca="false">IF($B7701='設定（最初に1回）'!$C$4,N(U7700)+1,N(U7700))</f>
        <v>134</v>
      </c>
    </row>
    <row r="7702" customFormat="false" ht="15" hidden="false" customHeight="false" outlineLevel="0" collapsed="false">
      <c r="B7702" s="53"/>
      <c r="I7702" s="53"/>
      <c r="U7702" s="31" t="n">
        <f aca="false">IF($B7702='設定（最初に1回）'!$C$4,N(U7701)+1,N(U7701))</f>
        <v>134</v>
      </c>
    </row>
    <row r="7703" customFormat="false" ht="15" hidden="false" customHeight="false" outlineLevel="0" collapsed="false">
      <c r="B7703" s="53"/>
      <c r="I7703" s="53"/>
      <c r="U7703" s="31" t="n">
        <f aca="false">IF($B7703='設定（最初に1回）'!$C$4,N(U7702)+1,N(U7702))</f>
        <v>134</v>
      </c>
    </row>
    <row r="7704" customFormat="false" ht="15" hidden="false" customHeight="false" outlineLevel="0" collapsed="false">
      <c r="B7704" s="53"/>
      <c r="I7704" s="53"/>
      <c r="U7704" s="31" t="n">
        <f aca="false">IF($B7704='設定（最初に1回）'!$C$4,N(U7703)+1,N(U7703))</f>
        <v>134</v>
      </c>
    </row>
    <row r="7705" customFormat="false" ht="15" hidden="false" customHeight="false" outlineLevel="0" collapsed="false">
      <c r="B7705" s="53"/>
      <c r="I7705" s="53"/>
      <c r="U7705" s="31" t="n">
        <f aca="false">IF($B7705='設定（最初に1回）'!$C$4,N(U7704)+1,N(U7704))</f>
        <v>134</v>
      </c>
    </row>
    <row r="7706" customFormat="false" ht="15" hidden="false" customHeight="false" outlineLevel="0" collapsed="false">
      <c r="B7706" s="53"/>
      <c r="I7706" s="53"/>
      <c r="U7706" s="31" t="n">
        <f aca="false">IF($B7706='設定（最初に1回）'!$C$4,N(U7705)+1,N(U7705))</f>
        <v>134</v>
      </c>
    </row>
    <row r="7707" customFormat="false" ht="15" hidden="false" customHeight="false" outlineLevel="0" collapsed="false">
      <c r="B7707" s="53"/>
      <c r="I7707" s="53"/>
      <c r="U7707" s="31" t="n">
        <f aca="false">IF($B7707='設定（最初に1回）'!$C$4,N(U7706)+1,N(U7706))</f>
        <v>134</v>
      </c>
    </row>
    <row r="7708" customFormat="false" ht="15" hidden="false" customHeight="false" outlineLevel="0" collapsed="false">
      <c r="B7708" s="53"/>
      <c r="I7708" s="53"/>
      <c r="U7708" s="31" t="n">
        <f aca="false">IF($B7708='設定（最初に1回）'!$C$4,N(U7707)+1,N(U7707))</f>
        <v>134</v>
      </c>
    </row>
    <row r="7709" customFormat="false" ht="15" hidden="false" customHeight="false" outlineLevel="0" collapsed="false">
      <c r="B7709" s="53"/>
      <c r="I7709" s="53"/>
      <c r="U7709" s="31" t="n">
        <f aca="false">IF($B7709='設定（最初に1回）'!$C$4,N(U7708)+1,N(U7708))</f>
        <v>134</v>
      </c>
    </row>
    <row r="7710" customFormat="false" ht="15" hidden="false" customHeight="false" outlineLevel="0" collapsed="false">
      <c r="B7710" s="53"/>
      <c r="I7710" s="53"/>
      <c r="U7710" s="31" t="n">
        <f aca="false">IF($B7710='設定（最初に1回）'!$C$4,N(U7709)+1,N(U7709))</f>
        <v>134</v>
      </c>
    </row>
    <row r="7711" customFormat="false" ht="15" hidden="false" customHeight="false" outlineLevel="0" collapsed="false">
      <c r="B7711" s="53"/>
      <c r="I7711" s="53"/>
      <c r="U7711" s="31" t="n">
        <f aca="false">IF($B7711='設定（最初に1回）'!$C$4,N(U7710)+1,N(U7710))</f>
        <v>134</v>
      </c>
    </row>
    <row r="7712" customFormat="false" ht="15" hidden="false" customHeight="false" outlineLevel="0" collapsed="false">
      <c r="B7712" s="53"/>
      <c r="I7712" s="53"/>
      <c r="U7712" s="31" t="n">
        <f aca="false">IF($B7712='設定（最初に1回）'!$C$4,N(U7711)+1,N(U7711))</f>
        <v>134</v>
      </c>
    </row>
    <row r="7713" customFormat="false" ht="15" hidden="false" customHeight="false" outlineLevel="0" collapsed="false">
      <c r="B7713" s="53"/>
      <c r="I7713" s="53"/>
      <c r="U7713" s="31" t="n">
        <f aca="false">IF($B7713='設定（最初に1回）'!$C$4,N(U7712)+1,N(U7712))</f>
        <v>134</v>
      </c>
    </row>
    <row r="7714" customFormat="false" ht="15" hidden="false" customHeight="false" outlineLevel="0" collapsed="false">
      <c r="B7714" s="53"/>
      <c r="I7714" s="53"/>
      <c r="U7714" s="31" t="n">
        <f aca="false">IF($B7714='設定（最初に1回）'!$C$4,N(U7713)+1,N(U7713))</f>
        <v>134</v>
      </c>
    </row>
    <row r="7715" customFormat="false" ht="15" hidden="false" customHeight="false" outlineLevel="0" collapsed="false">
      <c r="B7715" s="53"/>
      <c r="I7715" s="53"/>
      <c r="U7715" s="31" t="n">
        <f aca="false">IF($B7715='設定（最初に1回）'!$C$4,N(U7714)+1,N(U7714))</f>
        <v>134</v>
      </c>
    </row>
    <row r="7716" customFormat="false" ht="15" hidden="false" customHeight="false" outlineLevel="0" collapsed="false">
      <c r="B7716" s="53"/>
      <c r="I7716" s="53"/>
      <c r="U7716" s="31" t="n">
        <f aca="false">IF($B7716='設定（最初に1回）'!$C$4,N(U7715)+1,N(U7715))</f>
        <v>134</v>
      </c>
    </row>
    <row r="7717" customFormat="false" ht="15" hidden="false" customHeight="false" outlineLevel="0" collapsed="false">
      <c r="B7717" s="53"/>
      <c r="I7717" s="53"/>
      <c r="U7717" s="31" t="n">
        <f aca="false">IF($B7717='設定（最初に1回）'!$C$4,N(U7716)+1,N(U7716))</f>
        <v>134</v>
      </c>
    </row>
    <row r="7718" customFormat="false" ht="15" hidden="false" customHeight="false" outlineLevel="0" collapsed="false">
      <c r="B7718" s="53"/>
      <c r="I7718" s="53"/>
      <c r="U7718" s="31" t="n">
        <f aca="false">IF($B7718='設定（最初に1回）'!$C$4,N(U7717)+1,N(U7717))</f>
        <v>134</v>
      </c>
    </row>
    <row r="7719" customFormat="false" ht="15" hidden="false" customHeight="false" outlineLevel="0" collapsed="false">
      <c r="B7719" s="53"/>
      <c r="I7719" s="53"/>
      <c r="U7719" s="31" t="n">
        <f aca="false">IF($B7719='設定（最初に1回）'!$C$4,N(U7718)+1,N(U7718))</f>
        <v>134</v>
      </c>
    </row>
    <row r="7720" customFormat="false" ht="15" hidden="false" customHeight="false" outlineLevel="0" collapsed="false">
      <c r="B7720" s="53"/>
      <c r="I7720" s="53"/>
      <c r="U7720" s="31" t="n">
        <f aca="false">IF($B7720='設定（最初に1回）'!$C$4,N(U7719)+1,N(U7719))</f>
        <v>134</v>
      </c>
    </row>
    <row r="7721" customFormat="false" ht="15" hidden="false" customHeight="false" outlineLevel="0" collapsed="false">
      <c r="B7721" s="53"/>
      <c r="I7721" s="53"/>
      <c r="U7721" s="31" t="n">
        <f aca="false">IF($B7721='設定（最初に1回）'!$C$4,N(U7720)+1,N(U7720))</f>
        <v>134</v>
      </c>
    </row>
    <row r="7722" customFormat="false" ht="15" hidden="false" customHeight="false" outlineLevel="0" collapsed="false">
      <c r="B7722" s="53"/>
      <c r="I7722" s="53"/>
      <c r="U7722" s="31" t="n">
        <f aca="false">IF($B7722='設定（最初に1回）'!$C$4,N(U7721)+1,N(U7721))</f>
        <v>134</v>
      </c>
    </row>
    <row r="7723" customFormat="false" ht="15" hidden="false" customHeight="false" outlineLevel="0" collapsed="false">
      <c r="B7723" s="53"/>
      <c r="I7723" s="53"/>
      <c r="U7723" s="31" t="n">
        <f aca="false">IF($B7723='設定（最初に1回）'!$C$4,N(U7722)+1,N(U7722))</f>
        <v>134</v>
      </c>
    </row>
    <row r="7724" customFormat="false" ht="15" hidden="false" customHeight="false" outlineLevel="0" collapsed="false">
      <c r="B7724" s="53"/>
      <c r="I7724" s="53"/>
      <c r="U7724" s="31" t="n">
        <f aca="false">IF($B7724='設定（最初に1回）'!$C$4,N(U7723)+1,N(U7723))</f>
        <v>134</v>
      </c>
    </row>
    <row r="7725" customFormat="false" ht="15" hidden="false" customHeight="false" outlineLevel="0" collapsed="false">
      <c r="B7725" s="53"/>
      <c r="I7725" s="53"/>
      <c r="U7725" s="31" t="n">
        <f aca="false">IF($B7725='設定（最初に1回）'!$C$4,N(U7724)+1,N(U7724))</f>
        <v>134</v>
      </c>
    </row>
    <row r="7726" customFormat="false" ht="15" hidden="false" customHeight="false" outlineLevel="0" collapsed="false">
      <c r="B7726" s="53"/>
      <c r="I7726" s="53"/>
      <c r="U7726" s="31" t="n">
        <f aca="false">IF($B7726='設定（最初に1回）'!$C$4,N(U7725)+1,N(U7725))</f>
        <v>134</v>
      </c>
    </row>
    <row r="7727" customFormat="false" ht="15" hidden="false" customHeight="false" outlineLevel="0" collapsed="false">
      <c r="B7727" s="53"/>
      <c r="I7727" s="53"/>
      <c r="U7727" s="31" t="n">
        <f aca="false">IF($B7727='設定（最初に1回）'!$C$4,N(U7726)+1,N(U7726))</f>
        <v>134</v>
      </c>
    </row>
    <row r="7728" customFormat="false" ht="15" hidden="false" customHeight="false" outlineLevel="0" collapsed="false">
      <c r="B7728" s="53"/>
      <c r="I7728" s="53"/>
      <c r="U7728" s="31" t="n">
        <f aca="false">IF($B7728='設定（最初に1回）'!$C$4,N(U7727)+1,N(U7727))</f>
        <v>134</v>
      </c>
    </row>
    <row r="7729" customFormat="false" ht="15" hidden="false" customHeight="false" outlineLevel="0" collapsed="false">
      <c r="B7729" s="53"/>
      <c r="I7729" s="53"/>
      <c r="U7729" s="31" t="n">
        <f aca="false">IF($B7729='設定（最初に1回）'!$C$4,N(U7728)+1,N(U7728))</f>
        <v>134</v>
      </c>
    </row>
    <row r="7730" customFormat="false" ht="15" hidden="false" customHeight="false" outlineLevel="0" collapsed="false">
      <c r="B7730" s="53"/>
      <c r="I7730" s="53"/>
      <c r="U7730" s="31" t="n">
        <f aca="false">IF($B7730='設定（最初に1回）'!$C$4,N(U7729)+1,N(U7729))</f>
        <v>134</v>
      </c>
    </row>
    <row r="7731" customFormat="false" ht="15" hidden="false" customHeight="false" outlineLevel="0" collapsed="false">
      <c r="B7731" s="53"/>
      <c r="I7731" s="53"/>
      <c r="U7731" s="31" t="n">
        <f aca="false">IF($B7731='設定（最初に1回）'!$C$4,N(U7730)+1,N(U7730))</f>
        <v>134</v>
      </c>
    </row>
    <row r="7732" customFormat="false" ht="15" hidden="false" customHeight="false" outlineLevel="0" collapsed="false">
      <c r="B7732" s="53"/>
      <c r="I7732" s="53"/>
      <c r="U7732" s="31" t="n">
        <f aca="false">IF($B7732='設定（最初に1回）'!$C$4,N(U7731)+1,N(U7731))</f>
        <v>134</v>
      </c>
    </row>
    <row r="7733" customFormat="false" ht="15" hidden="false" customHeight="false" outlineLevel="0" collapsed="false">
      <c r="B7733" s="53"/>
      <c r="I7733" s="53"/>
      <c r="U7733" s="31" t="n">
        <f aca="false">IF($B7733='設定（最初に1回）'!$C$4,N(U7732)+1,N(U7732))</f>
        <v>134</v>
      </c>
    </row>
    <row r="7734" customFormat="false" ht="15" hidden="false" customHeight="false" outlineLevel="0" collapsed="false">
      <c r="B7734" s="53"/>
      <c r="I7734" s="53"/>
      <c r="U7734" s="31" t="n">
        <f aca="false">IF($B7734='設定（最初に1回）'!$C$4,N(U7733)+1,N(U7733))</f>
        <v>134</v>
      </c>
    </row>
    <row r="7735" customFormat="false" ht="15" hidden="false" customHeight="false" outlineLevel="0" collapsed="false">
      <c r="B7735" s="53"/>
      <c r="I7735" s="53"/>
      <c r="U7735" s="31" t="n">
        <f aca="false">IF($B7735='設定（最初に1回）'!$C$4,N(U7734)+1,N(U7734))</f>
        <v>134</v>
      </c>
    </row>
    <row r="7736" customFormat="false" ht="15" hidden="false" customHeight="false" outlineLevel="0" collapsed="false">
      <c r="B7736" s="53"/>
      <c r="I7736" s="53"/>
      <c r="U7736" s="31" t="n">
        <f aca="false">IF($B7736='設定（最初に1回）'!$C$4,N(U7735)+1,N(U7735))</f>
        <v>134</v>
      </c>
    </row>
    <row r="7737" customFormat="false" ht="15" hidden="false" customHeight="false" outlineLevel="0" collapsed="false">
      <c r="B7737" s="53"/>
      <c r="I7737" s="53"/>
      <c r="U7737" s="31" t="n">
        <f aca="false">IF($B7737='設定（最初に1回）'!$C$4,N(U7736)+1,N(U7736))</f>
        <v>134</v>
      </c>
    </row>
    <row r="7738" customFormat="false" ht="15" hidden="false" customHeight="false" outlineLevel="0" collapsed="false">
      <c r="B7738" s="53"/>
      <c r="I7738" s="53"/>
      <c r="U7738" s="31" t="n">
        <f aca="false">IF($B7738='設定（最初に1回）'!$C$4,N(U7737)+1,N(U7737))</f>
        <v>134</v>
      </c>
    </row>
    <row r="7739" customFormat="false" ht="15" hidden="false" customHeight="false" outlineLevel="0" collapsed="false">
      <c r="B7739" s="53"/>
      <c r="I7739" s="53"/>
      <c r="U7739" s="31" t="n">
        <f aca="false">IF($B7739='設定（最初に1回）'!$C$4,N(U7738)+1,N(U7738))</f>
        <v>134</v>
      </c>
    </row>
    <row r="7740" customFormat="false" ht="15" hidden="false" customHeight="false" outlineLevel="0" collapsed="false">
      <c r="B7740" s="53"/>
      <c r="I7740" s="53"/>
      <c r="U7740" s="31" t="n">
        <f aca="false">IF($B7740='設定（最初に1回）'!$C$4,N(U7739)+1,N(U7739))</f>
        <v>134</v>
      </c>
    </row>
    <row r="7741" customFormat="false" ht="15" hidden="false" customHeight="false" outlineLevel="0" collapsed="false">
      <c r="B7741" s="53"/>
      <c r="I7741" s="53"/>
      <c r="U7741" s="31" t="n">
        <f aca="false">IF($B7741='設定（最初に1回）'!$C$4,N(U7740)+1,N(U7740))</f>
        <v>134</v>
      </c>
    </row>
    <row r="7742" customFormat="false" ht="15" hidden="false" customHeight="false" outlineLevel="0" collapsed="false">
      <c r="B7742" s="53"/>
      <c r="I7742" s="53"/>
      <c r="U7742" s="31" t="n">
        <f aca="false">IF($B7742='設定（最初に1回）'!$C$4,N(U7741)+1,N(U7741))</f>
        <v>134</v>
      </c>
    </row>
    <row r="7743" customFormat="false" ht="15" hidden="false" customHeight="false" outlineLevel="0" collapsed="false">
      <c r="B7743" s="53"/>
      <c r="I7743" s="53"/>
      <c r="U7743" s="31" t="n">
        <f aca="false">IF($B7743='設定（最初に1回）'!$C$4,N(U7742)+1,N(U7742))</f>
        <v>134</v>
      </c>
    </row>
    <row r="7744" customFormat="false" ht="15" hidden="false" customHeight="false" outlineLevel="0" collapsed="false">
      <c r="B7744" s="53"/>
      <c r="I7744" s="53"/>
      <c r="U7744" s="31" t="n">
        <f aca="false">IF($B7744='設定（最初に1回）'!$C$4,N(U7743)+1,N(U7743))</f>
        <v>134</v>
      </c>
    </row>
    <row r="7745" customFormat="false" ht="15" hidden="false" customHeight="false" outlineLevel="0" collapsed="false">
      <c r="B7745" s="53"/>
      <c r="I7745" s="53"/>
      <c r="U7745" s="31" t="n">
        <f aca="false">IF($B7745='設定（最初に1回）'!$C$4,N(U7744)+1,N(U7744))</f>
        <v>134</v>
      </c>
    </row>
    <row r="7746" customFormat="false" ht="15" hidden="false" customHeight="false" outlineLevel="0" collapsed="false">
      <c r="B7746" s="53"/>
      <c r="I7746" s="53"/>
      <c r="U7746" s="31" t="n">
        <f aca="false">IF($B7746='設定（最初に1回）'!$C$4,N(U7745)+1,N(U7745))</f>
        <v>134</v>
      </c>
    </row>
    <row r="7747" customFormat="false" ht="15" hidden="false" customHeight="false" outlineLevel="0" collapsed="false">
      <c r="B7747" s="53"/>
      <c r="I7747" s="53"/>
      <c r="U7747" s="31" t="n">
        <f aca="false">IF($B7747='設定（最初に1回）'!$C$4,N(U7746)+1,N(U7746))</f>
        <v>134</v>
      </c>
    </row>
    <row r="7748" customFormat="false" ht="15" hidden="false" customHeight="false" outlineLevel="0" collapsed="false">
      <c r="B7748" s="53"/>
      <c r="I7748" s="53"/>
      <c r="U7748" s="31" t="n">
        <f aca="false">IF($B7748='設定（最初に1回）'!$C$4,N(U7747)+1,N(U7747))</f>
        <v>134</v>
      </c>
    </row>
    <row r="7749" customFormat="false" ht="15" hidden="false" customHeight="false" outlineLevel="0" collapsed="false">
      <c r="B7749" s="53"/>
      <c r="I7749" s="53"/>
      <c r="U7749" s="31" t="n">
        <f aca="false">IF($B7749='設定（最初に1回）'!$C$4,N(U7748)+1,N(U7748))</f>
        <v>134</v>
      </c>
    </row>
    <row r="7750" customFormat="false" ht="15" hidden="false" customHeight="false" outlineLevel="0" collapsed="false">
      <c r="B7750" s="53"/>
      <c r="I7750" s="53"/>
      <c r="U7750" s="31" t="n">
        <f aca="false">IF($B7750='設定（最初に1回）'!$C$4,N(U7749)+1,N(U7749))</f>
        <v>134</v>
      </c>
    </row>
    <row r="7751" customFormat="false" ht="15" hidden="false" customHeight="false" outlineLevel="0" collapsed="false">
      <c r="B7751" s="53"/>
      <c r="I7751" s="53"/>
      <c r="U7751" s="31" t="n">
        <f aca="false">IF($B7751='設定（最初に1回）'!$C$4,N(U7750)+1,N(U7750))</f>
        <v>134</v>
      </c>
    </row>
    <row r="7752" customFormat="false" ht="15" hidden="false" customHeight="false" outlineLevel="0" collapsed="false">
      <c r="B7752" s="53"/>
      <c r="I7752" s="53"/>
      <c r="U7752" s="31" t="n">
        <f aca="false">IF($B7752='設定（最初に1回）'!$C$4,N(U7751)+1,N(U7751))</f>
        <v>134</v>
      </c>
    </row>
    <row r="7753" customFormat="false" ht="15" hidden="false" customHeight="false" outlineLevel="0" collapsed="false">
      <c r="B7753" s="53"/>
      <c r="I7753" s="53"/>
      <c r="U7753" s="31" t="n">
        <f aca="false">IF($B7753='設定（最初に1回）'!$C$4,N(U7752)+1,N(U7752))</f>
        <v>134</v>
      </c>
    </row>
    <row r="7754" customFormat="false" ht="15" hidden="false" customHeight="false" outlineLevel="0" collapsed="false">
      <c r="B7754" s="53"/>
      <c r="I7754" s="53"/>
      <c r="U7754" s="31" t="n">
        <f aca="false">IF($B7754='設定（最初に1回）'!$C$4,N(U7753)+1,N(U7753))</f>
        <v>134</v>
      </c>
    </row>
    <row r="7755" customFormat="false" ht="15" hidden="false" customHeight="false" outlineLevel="0" collapsed="false">
      <c r="B7755" s="53"/>
      <c r="I7755" s="53"/>
      <c r="U7755" s="31" t="n">
        <f aca="false">IF($B7755='設定（最初に1回）'!$C$4,N(U7754)+1,N(U7754))</f>
        <v>134</v>
      </c>
    </row>
    <row r="7756" customFormat="false" ht="15" hidden="false" customHeight="false" outlineLevel="0" collapsed="false">
      <c r="B7756" s="53"/>
      <c r="I7756" s="53"/>
      <c r="U7756" s="31" t="n">
        <f aca="false">IF($B7756='設定（最初に1回）'!$C$4,N(U7755)+1,N(U7755))</f>
        <v>134</v>
      </c>
    </row>
    <row r="7757" customFormat="false" ht="15" hidden="false" customHeight="false" outlineLevel="0" collapsed="false">
      <c r="B7757" s="53"/>
      <c r="I7757" s="53"/>
      <c r="U7757" s="31" t="n">
        <f aca="false">IF($B7757='設定（最初に1回）'!$C$4,N(U7756)+1,N(U7756))</f>
        <v>134</v>
      </c>
    </row>
    <row r="7758" customFormat="false" ht="15" hidden="false" customHeight="false" outlineLevel="0" collapsed="false">
      <c r="B7758" s="53"/>
      <c r="I7758" s="53"/>
      <c r="U7758" s="31" t="n">
        <f aca="false">IF($B7758='設定（最初に1回）'!$C$4,N(U7757)+1,N(U7757))</f>
        <v>134</v>
      </c>
    </row>
    <row r="7759" customFormat="false" ht="15" hidden="false" customHeight="false" outlineLevel="0" collapsed="false">
      <c r="B7759" s="53"/>
      <c r="I7759" s="53"/>
      <c r="U7759" s="31" t="n">
        <f aca="false">IF($B7759='設定（最初に1回）'!$C$4,N(U7758)+1,N(U7758))</f>
        <v>134</v>
      </c>
    </row>
    <row r="7760" customFormat="false" ht="15" hidden="false" customHeight="false" outlineLevel="0" collapsed="false">
      <c r="B7760" s="53"/>
      <c r="I7760" s="53"/>
      <c r="U7760" s="31" t="n">
        <f aca="false">IF($B7760='設定（最初に1回）'!$C$4,N(U7759)+1,N(U7759))</f>
        <v>134</v>
      </c>
    </row>
    <row r="7761" customFormat="false" ht="15" hidden="false" customHeight="false" outlineLevel="0" collapsed="false">
      <c r="B7761" s="53"/>
      <c r="I7761" s="53"/>
      <c r="U7761" s="31" t="n">
        <f aca="false">IF($B7761='設定（最初に1回）'!$C$4,N(U7760)+1,N(U7760))</f>
        <v>134</v>
      </c>
    </row>
    <row r="7762" customFormat="false" ht="15" hidden="false" customHeight="false" outlineLevel="0" collapsed="false">
      <c r="B7762" s="53"/>
      <c r="I7762" s="53"/>
      <c r="U7762" s="31" t="n">
        <f aca="false">IF($B7762='設定（最初に1回）'!$C$4,N(U7761)+1,N(U7761))</f>
        <v>134</v>
      </c>
    </row>
    <row r="7763" customFormat="false" ht="15" hidden="false" customHeight="false" outlineLevel="0" collapsed="false">
      <c r="B7763" s="53"/>
      <c r="I7763" s="53"/>
      <c r="U7763" s="31" t="n">
        <f aca="false">IF($B7763='設定（最初に1回）'!$C$4,N(U7762)+1,N(U7762))</f>
        <v>134</v>
      </c>
    </row>
    <row r="7764" customFormat="false" ht="15" hidden="false" customHeight="false" outlineLevel="0" collapsed="false">
      <c r="B7764" s="53"/>
      <c r="I7764" s="53"/>
      <c r="U7764" s="31" t="n">
        <f aca="false">IF($B7764='設定（最初に1回）'!$C$4,N(U7763)+1,N(U7763))</f>
        <v>134</v>
      </c>
    </row>
    <row r="7765" customFormat="false" ht="15" hidden="false" customHeight="false" outlineLevel="0" collapsed="false">
      <c r="B7765" s="53"/>
      <c r="I7765" s="53"/>
      <c r="U7765" s="31" t="n">
        <f aca="false">IF($B7765='設定（最初に1回）'!$C$4,N(U7764)+1,N(U7764))</f>
        <v>134</v>
      </c>
    </row>
    <row r="7766" customFormat="false" ht="15" hidden="false" customHeight="false" outlineLevel="0" collapsed="false">
      <c r="B7766" s="53"/>
      <c r="I7766" s="53"/>
      <c r="U7766" s="31" t="n">
        <f aca="false">IF($B7766='設定（最初に1回）'!$C$4,N(U7765)+1,N(U7765))</f>
        <v>134</v>
      </c>
    </row>
    <row r="7767" customFormat="false" ht="15" hidden="false" customHeight="false" outlineLevel="0" collapsed="false">
      <c r="B7767" s="53"/>
      <c r="I7767" s="53"/>
      <c r="U7767" s="31" t="n">
        <f aca="false">IF($B7767='設定（最初に1回）'!$C$4,N(U7766)+1,N(U7766))</f>
        <v>134</v>
      </c>
    </row>
    <row r="7768" customFormat="false" ht="15" hidden="false" customHeight="false" outlineLevel="0" collapsed="false">
      <c r="B7768" s="53"/>
      <c r="I7768" s="53"/>
      <c r="U7768" s="31" t="n">
        <f aca="false">IF($B7768='設定（最初に1回）'!$C$4,N(U7767)+1,N(U7767))</f>
        <v>134</v>
      </c>
    </row>
    <row r="7769" customFormat="false" ht="15" hidden="false" customHeight="false" outlineLevel="0" collapsed="false">
      <c r="B7769" s="53"/>
      <c r="I7769" s="53"/>
      <c r="U7769" s="31" t="n">
        <f aca="false">IF($B7769='設定（最初に1回）'!$C$4,N(U7768)+1,N(U7768))</f>
        <v>134</v>
      </c>
    </row>
    <row r="7770" customFormat="false" ht="15" hidden="false" customHeight="false" outlineLevel="0" collapsed="false">
      <c r="B7770" s="53"/>
      <c r="I7770" s="53"/>
      <c r="U7770" s="31" t="n">
        <f aca="false">IF($B7770='設定（最初に1回）'!$C$4,N(U7769)+1,N(U7769))</f>
        <v>134</v>
      </c>
    </row>
    <row r="7771" customFormat="false" ht="15" hidden="false" customHeight="false" outlineLevel="0" collapsed="false">
      <c r="B7771" s="53"/>
      <c r="I7771" s="53"/>
      <c r="U7771" s="31" t="n">
        <f aca="false">IF($B7771='設定（最初に1回）'!$C$4,N(U7770)+1,N(U7770))</f>
        <v>134</v>
      </c>
    </row>
    <row r="7772" customFormat="false" ht="15" hidden="false" customHeight="false" outlineLevel="0" collapsed="false">
      <c r="B7772" s="53"/>
      <c r="I7772" s="53"/>
      <c r="U7772" s="31" t="n">
        <f aca="false">IF($B7772='設定（最初に1回）'!$C$4,N(U7771)+1,N(U7771))</f>
        <v>134</v>
      </c>
    </row>
    <row r="7773" customFormat="false" ht="15" hidden="false" customHeight="false" outlineLevel="0" collapsed="false">
      <c r="B7773" s="53"/>
      <c r="I7773" s="53"/>
      <c r="U7773" s="31" t="n">
        <f aca="false">IF($B7773='設定（最初に1回）'!$C$4,N(U7772)+1,N(U7772))</f>
        <v>134</v>
      </c>
    </row>
    <row r="7774" customFormat="false" ht="15" hidden="false" customHeight="false" outlineLevel="0" collapsed="false">
      <c r="B7774" s="53"/>
      <c r="I7774" s="53"/>
      <c r="U7774" s="31" t="n">
        <f aca="false">IF($B7774='設定（最初に1回）'!$C$4,N(U7773)+1,N(U7773))</f>
        <v>134</v>
      </c>
    </row>
    <row r="7775" customFormat="false" ht="15" hidden="false" customHeight="false" outlineLevel="0" collapsed="false">
      <c r="B7775" s="53"/>
      <c r="I7775" s="53"/>
      <c r="U7775" s="31" t="n">
        <f aca="false">IF($B7775='設定（最初に1回）'!$C$4,N(U7774)+1,N(U7774))</f>
        <v>134</v>
      </c>
    </row>
    <row r="7776" customFormat="false" ht="15" hidden="false" customHeight="false" outlineLevel="0" collapsed="false">
      <c r="B7776" s="53"/>
      <c r="I7776" s="53"/>
      <c r="U7776" s="31" t="n">
        <f aca="false">IF($B7776='設定（最初に1回）'!$C$4,N(U7775)+1,N(U7775))</f>
        <v>134</v>
      </c>
    </row>
    <row r="7777" customFormat="false" ht="15" hidden="false" customHeight="false" outlineLevel="0" collapsed="false">
      <c r="B7777" s="53"/>
      <c r="I7777" s="53"/>
      <c r="U7777" s="31" t="n">
        <f aca="false">IF($B7777='設定（最初に1回）'!$C$4,N(U7776)+1,N(U7776))</f>
        <v>134</v>
      </c>
    </row>
    <row r="7778" customFormat="false" ht="15" hidden="false" customHeight="false" outlineLevel="0" collapsed="false">
      <c r="B7778" s="53"/>
      <c r="I7778" s="53"/>
      <c r="U7778" s="31" t="n">
        <f aca="false">IF($B7778='設定（最初に1回）'!$C$4,N(U7777)+1,N(U7777))</f>
        <v>134</v>
      </c>
    </row>
    <row r="7779" customFormat="false" ht="15" hidden="false" customHeight="false" outlineLevel="0" collapsed="false">
      <c r="B7779" s="53"/>
      <c r="I7779" s="53"/>
      <c r="U7779" s="31" t="n">
        <f aca="false">IF($B7779='設定（最初に1回）'!$C$4,N(U7778)+1,N(U7778))</f>
        <v>134</v>
      </c>
    </row>
    <row r="7780" customFormat="false" ht="15" hidden="false" customHeight="false" outlineLevel="0" collapsed="false">
      <c r="B7780" s="53"/>
      <c r="I7780" s="53"/>
      <c r="U7780" s="31" t="n">
        <f aca="false">IF($B7780='設定（最初に1回）'!$C$4,N(U7779)+1,N(U7779))</f>
        <v>134</v>
      </c>
    </row>
    <row r="7781" customFormat="false" ht="15" hidden="false" customHeight="false" outlineLevel="0" collapsed="false">
      <c r="B7781" s="53"/>
      <c r="I7781" s="53"/>
      <c r="U7781" s="31" t="n">
        <f aca="false">IF($B7781='設定（最初に1回）'!$C$4,N(U7780)+1,N(U7780))</f>
        <v>134</v>
      </c>
    </row>
    <row r="7782" customFormat="false" ht="15" hidden="false" customHeight="false" outlineLevel="0" collapsed="false">
      <c r="B7782" s="53"/>
      <c r="I7782" s="53"/>
      <c r="U7782" s="31" t="n">
        <f aca="false">IF($B7782='設定（最初に1回）'!$C$4,N(U7781)+1,N(U7781))</f>
        <v>134</v>
      </c>
    </row>
    <row r="7783" customFormat="false" ht="15" hidden="false" customHeight="false" outlineLevel="0" collapsed="false">
      <c r="B7783" s="53"/>
      <c r="I7783" s="53"/>
      <c r="U7783" s="31" t="n">
        <f aca="false">IF($B7783='設定（最初に1回）'!$C$4,N(U7782)+1,N(U7782))</f>
        <v>134</v>
      </c>
    </row>
    <row r="7784" customFormat="false" ht="15" hidden="false" customHeight="false" outlineLevel="0" collapsed="false">
      <c r="B7784" s="53"/>
      <c r="I7784" s="53"/>
      <c r="U7784" s="31" t="n">
        <f aca="false">IF($B7784='設定（最初に1回）'!$C$4,N(U7783)+1,N(U7783))</f>
        <v>134</v>
      </c>
    </row>
    <row r="7785" customFormat="false" ht="15" hidden="false" customHeight="false" outlineLevel="0" collapsed="false">
      <c r="B7785" s="53"/>
      <c r="I7785" s="53"/>
      <c r="U7785" s="31" t="n">
        <f aca="false">IF($B7785='設定（最初に1回）'!$C$4,N(U7784)+1,N(U7784))</f>
        <v>134</v>
      </c>
    </row>
    <row r="7786" customFormat="false" ht="15" hidden="false" customHeight="false" outlineLevel="0" collapsed="false">
      <c r="B7786" s="53"/>
      <c r="I7786" s="53"/>
      <c r="U7786" s="31" t="n">
        <f aca="false">IF($B7786='設定（最初に1回）'!$C$4,N(U7785)+1,N(U7785))</f>
        <v>134</v>
      </c>
    </row>
    <row r="7787" customFormat="false" ht="15" hidden="false" customHeight="false" outlineLevel="0" collapsed="false">
      <c r="B7787" s="53"/>
      <c r="I7787" s="53"/>
      <c r="U7787" s="31" t="n">
        <f aca="false">IF($B7787='設定（最初に1回）'!$C$4,N(U7786)+1,N(U7786))</f>
        <v>134</v>
      </c>
    </row>
    <row r="7788" customFormat="false" ht="15" hidden="false" customHeight="false" outlineLevel="0" collapsed="false">
      <c r="B7788" s="53"/>
      <c r="I7788" s="53"/>
      <c r="U7788" s="31" t="n">
        <f aca="false">IF($B7788='設定（最初に1回）'!$C$4,N(U7787)+1,N(U7787))</f>
        <v>134</v>
      </c>
    </row>
    <row r="7789" customFormat="false" ht="15" hidden="false" customHeight="false" outlineLevel="0" collapsed="false">
      <c r="B7789" s="53"/>
      <c r="I7789" s="53"/>
      <c r="U7789" s="31" t="n">
        <f aca="false">IF($B7789='設定（最初に1回）'!$C$4,N(U7788)+1,N(U7788))</f>
        <v>134</v>
      </c>
    </row>
    <row r="7790" customFormat="false" ht="15" hidden="false" customHeight="false" outlineLevel="0" collapsed="false">
      <c r="B7790" s="53"/>
      <c r="I7790" s="53"/>
      <c r="U7790" s="31" t="n">
        <f aca="false">IF($B7790='設定（最初に1回）'!$C$4,N(U7789)+1,N(U7789))</f>
        <v>134</v>
      </c>
    </row>
    <row r="7791" customFormat="false" ht="15" hidden="false" customHeight="false" outlineLevel="0" collapsed="false">
      <c r="B7791" s="53"/>
      <c r="I7791" s="53"/>
      <c r="U7791" s="31" t="n">
        <f aca="false">IF($B7791='設定（最初に1回）'!$C$4,N(U7790)+1,N(U7790))</f>
        <v>134</v>
      </c>
    </row>
    <row r="7792" customFormat="false" ht="15" hidden="false" customHeight="false" outlineLevel="0" collapsed="false">
      <c r="B7792" s="53"/>
      <c r="I7792" s="53"/>
      <c r="U7792" s="31" t="n">
        <f aca="false">IF($B7792='設定（最初に1回）'!$C$4,N(U7791)+1,N(U7791))</f>
        <v>134</v>
      </c>
    </row>
    <row r="7793" customFormat="false" ht="15" hidden="false" customHeight="false" outlineLevel="0" collapsed="false">
      <c r="B7793" s="53"/>
      <c r="I7793" s="53"/>
      <c r="U7793" s="31" t="n">
        <f aca="false">IF($B7793='設定（最初に1回）'!$C$4,N(U7792)+1,N(U7792))</f>
        <v>134</v>
      </c>
    </row>
    <row r="7794" customFormat="false" ht="15" hidden="false" customHeight="false" outlineLevel="0" collapsed="false">
      <c r="B7794" s="53"/>
      <c r="I7794" s="53"/>
      <c r="U7794" s="31" t="n">
        <f aca="false">IF($B7794='設定（最初に1回）'!$C$4,N(U7793)+1,N(U7793))</f>
        <v>134</v>
      </c>
    </row>
    <row r="7795" customFormat="false" ht="15" hidden="false" customHeight="false" outlineLevel="0" collapsed="false">
      <c r="B7795" s="53"/>
      <c r="I7795" s="53"/>
      <c r="U7795" s="31" t="n">
        <f aca="false">IF($B7795='設定（最初に1回）'!$C$4,N(U7794)+1,N(U7794))</f>
        <v>134</v>
      </c>
    </row>
    <row r="7796" customFormat="false" ht="15" hidden="false" customHeight="false" outlineLevel="0" collapsed="false">
      <c r="B7796" s="53"/>
      <c r="I7796" s="53"/>
      <c r="U7796" s="31" t="n">
        <f aca="false">IF($B7796='設定（最初に1回）'!$C$4,N(U7795)+1,N(U7795))</f>
        <v>134</v>
      </c>
    </row>
    <row r="7797" customFormat="false" ht="15" hidden="false" customHeight="false" outlineLevel="0" collapsed="false">
      <c r="B7797" s="53"/>
      <c r="I7797" s="53"/>
      <c r="U7797" s="31" t="n">
        <f aca="false">IF($B7797='設定（最初に1回）'!$C$4,N(U7796)+1,N(U7796))</f>
        <v>134</v>
      </c>
    </row>
    <row r="7798" customFormat="false" ht="15" hidden="false" customHeight="false" outlineLevel="0" collapsed="false">
      <c r="B7798" s="53"/>
      <c r="I7798" s="53"/>
      <c r="U7798" s="31" t="n">
        <f aca="false">IF($B7798='設定（最初に1回）'!$C$4,N(U7797)+1,N(U7797))</f>
        <v>134</v>
      </c>
    </row>
    <row r="7799" customFormat="false" ht="15" hidden="false" customHeight="false" outlineLevel="0" collapsed="false">
      <c r="B7799" s="53"/>
      <c r="I7799" s="53"/>
      <c r="U7799" s="31" t="n">
        <f aca="false">IF($B7799='設定（最初に1回）'!$C$4,N(U7798)+1,N(U7798))</f>
        <v>134</v>
      </c>
    </row>
    <row r="7800" customFormat="false" ht="15" hidden="false" customHeight="false" outlineLevel="0" collapsed="false">
      <c r="B7800" s="53"/>
      <c r="I7800" s="53"/>
      <c r="U7800" s="31" t="n">
        <f aca="false">IF($B7800='設定（最初に1回）'!$C$4,N(U7799)+1,N(U7799))</f>
        <v>134</v>
      </c>
    </row>
    <row r="7801" customFormat="false" ht="15" hidden="false" customHeight="false" outlineLevel="0" collapsed="false">
      <c r="B7801" s="53"/>
      <c r="I7801" s="53"/>
      <c r="U7801" s="31" t="n">
        <f aca="false">IF($B7801='設定（最初に1回）'!$C$4,N(U7800)+1,N(U7800))</f>
        <v>134</v>
      </c>
    </row>
    <row r="7802" customFormat="false" ht="15" hidden="false" customHeight="false" outlineLevel="0" collapsed="false">
      <c r="B7802" s="53"/>
      <c r="I7802" s="53"/>
      <c r="U7802" s="31" t="n">
        <f aca="false">IF($B7802='設定（最初に1回）'!$C$4,N(U7801)+1,N(U7801))</f>
        <v>134</v>
      </c>
    </row>
    <row r="7803" customFormat="false" ht="15" hidden="false" customHeight="false" outlineLevel="0" collapsed="false">
      <c r="B7803" s="53"/>
      <c r="I7803" s="53"/>
      <c r="U7803" s="31" t="n">
        <f aca="false">IF($B7803='設定（最初に1回）'!$C$4,N(U7802)+1,N(U7802))</f>
        <v>134</v>
      </c>
    </row>
    <row r="7804" customFormat="false" ht="15" hidden="false" customHeight="false" outlineLevel="0" collapsed="false">
      <c r="B7804" s="53"/>
      <c r="I7804" s="53"/>
      <c r="U7804" s="31" t="n">
        <f aca="false">IF($B7804='設定（最初に1回）'!$C$4,N(U7803)+1,N(U7803))</f>
        <v>134</v>
      </c>
    </row>
    <row r="7805" customFormat="false" ht="15" hidden="false" customHeight="false" outlineLevel="0" collapsed="false">
      <c r="B7805" s="53"/>
      <c r="I7805" s="53"/>
      <c r="U7805" s="31" t="n">
        <f aca="false">IF($B7805='設定（最初に1回）'!$C$4,N(U7804)+1,N(U7804))</f>
        <v>134</v>
      </c>
    </row>
    <row r="7806" customFormat="false" ht="15" hidden="false" customHeight="false" outlineLevel="0" collapsed="false">
      <c r="B7806" s="53"/>
      <c r="I7806" s="53"/>
      <c r="U7806" s="31" t="n">
        <f aca="false">IF($B7806='設定（最初に1回）'!$C$4,N(U7805)+1,N(U7805))</f>
        <v>134</v>
      </c>
    </row>
    <row r="7807" customFormat="false" ht="15" hidden="false" customHeight="false" outlineLevel="0" collapsed="false">
      <c r="B7807" s="53"/>
      <c r="I7807" s="53"/>
      <c r="U7807" s="31" t="n">
        <f aca="false">IF($B7807='設定（最初に1回）'!$C$4,N(U7806)+1,N(U7806))</f>
        <v>134</v>
      </c>
    </row>
    <row r="7808" customFormat="false" ht="15" hidden="false" customHeight="false" outlineLevel="0" collapsed="false">
      <c r="B7808" s="53"/>
      <c r="I7808" s="53"/>
      <c r="U7808" s="31" t="n">
        <f aca="false">IF($B7808='設定（最初に1回）'!$C$4,N(U7807)+1,N(U7807))</f>
        <v>134</v>
      </c>
    </row>
    <row r="7809" customFormat="false" ht="15" hidden="false" customHeight="false" outlineLevel="0" collapsed="false">
      <c r="B7809" s="53"/>
      <c r="I7809" s="53"/>
      <c r="U7809" s="31" t="n">
        <f aca="false">IF($B7809='設定（最初に1回）'!$C$4,N(U7808)+1,N(U7808))</f>
        <v>134</v>
      </c>
    </row>
    <row r="7810" customFormat="false" ht="15" hidden="false" customHeight="false" outlineLevel="0" collapsed="false">
      <c r="B7810" s="53"/>
      <c r="I7810" s="53"/>
      <c r="U7810" s="31" t="n">
        <f aca="false">IF($B7810='設定（最初に1回）'!$C$4,N(U7809)+1,N(U7809))</f>
        <v>134</v>
      </c>
    </row>
    <row r="7811" customFormat="false" ht="15" hidden="false" customHeight="false" outlineLevel="0" collapsed="false">
      <c r="B7811" s="53"/>
      <c r="I7811" s="53"/>
      <c r="U7811" s="31" t="n">
        <f aca="false">IF($B7811='設定（最初に1回）'!$C$4,N(U7810)+1,N(U7810))</f>
        <v>134</v>
      </c>
    </row>
    <row r="7812" customFormat="false" ht="15" hidden="false" customHeight="false" outlineLevel="0" collapsed="false">
      <c r="B7812" s="53"/>
      <c r="I7812" s="53"/>
      <c r="U7812" s="31" t="n">
        <f aca="false">IF($B7812='設定（最初に1回）'!$C$4,N(U7811)+1,N(U7811))</f>
        <v>134</v>
      </c>
    </row>
    <row r="7813" customFormat="false" ht="15" hidden="false" customHeight="false" outlineLevel="0" collapsed="false">
      <c r="B7813" s="53"/>
      <c r="I7813" s="53"/>
      <c r="U7813" s="31" t="n">
        <f aca="false">IF($B7813='設定（最初に1回）'!$C$4,N(U7812)+1,N(U7812))</f>
        <v>134</v>
      </c>
    </row>
    <row r="7814" customFormat="false" ht="15" hidden="false" customHeight="false" outlineLevel="0" collapsed="false">
      <c r="B7814" s="53"/>
      <c r="I7814" s="53"/>
      <c r="U7814" s="31" t="n">
        <f aca="false">IF($B7814='設定（最初に1回）'!$C$4,N(U7813)+1,N(U7813))</f>
        <v>134</v>
      </c>
    </row>
    <row r="7815" customFormat="false" ht="15" hidden="false" customHeight="false" outlineLevel="0" collapsed="false">
      <c r="B7815" s="53"/>
      <c r="I7815" s="53"/>
      <c r="U7815" s="31" t="n">
        <f aca="false">IF($B7815='設定（最初に1回）'!$C$4,N(U7814)+1,N(U7814))</f>
        <v>134</v>
      </c>
    </row>
    <row r="7816" customFormat="false" ht="15" hidden="false" customHeight="false" outlineLevel="0" collapsed="false">
      <c r="B7816" s="53"/>
      <c r="I7816" s="53"/>
      <c r="U7816" s="31" t="n">
        <f aca="false">IF($B7816='設定（最初に1回）'!$C$4,N(U7815)+1,N(U7815))</f>
        <v>134</v>
      </c>
    </row>
    <row r="7817" customFormat="false" ht="15" hidden="false" customHeight="false" outlineLevel="0" collapsed="false">
      <c r="B7817" s="53"/>
      <c r="I7817" s="53"/>
      <c r="U7817" s="31" t="n">
        <f aca="false">IF($B7817='設定（最初に1回）'!$C$4,N(U7816)+1,N(U7816))</f>
        <v>134</v>
      </c>
    </row>
    <row r="7818" customFormat="false" ht="15" hidden="false" customHeight="false" outlineLevel="0" collapsed="false">
      <c r="B7818" s="53"/>
      <c r="I7818" s="53"/>
      <c r="U7818" s="31" t="n">
        <f aca="false">IF($B7818='設定（最初に1回）'!$C$4,N(U7817)+1,N(U7817))</f>
        <v>134</v>
      </c>
    </row>
    <row r="7819" customFormat="false" ht="15" hidden="false" customHeight="false" outlineLevel="0" collapsed="false">
      <c r="B7819" s="53"/>
      <c r="I7819" s="53"/>
      <c r="U7819" s="31" t="n">
        <f aca="false">IF($B7819='設定（最初に1回）'!$C$4,N(U7818)+1,N(U7818))</f>
        <v>134</v>
      </c>
    </row>
    <row r="7820" customFormat="false" ht="15" hidden="false" customHeight="false" outlineLevel="0" collapsed="false">
      <c r="B7820" s="53"/>
      <c r="I7820" s="53"/>
      <c r="U7820" s="31" t="n">
        <f aca="false">IF($B7820='設定（最初に1回）'!$C$4,N(U7819)+1,N(U7819))</f>
        <v>134</v>
      </c>
    </row>
    <row r="7821" customFormat="false" ht="15" hidden="false" customHeight="false" outlineLevel="0" collapsed="false">
      <c r="B7821" s="53"/>
      <c r="I7821" s="53"/>
      <c r="U7821" s="31" t="n">
        <f aca="false">IF($B7821='設定（最初に1回）'!$C$4,N(U7820)+1,N(U7820))</f>
        <v>134</v>
      </c>
    </row>
    <row r="7822" customFormat="false" ht="15" hidden="false" customHeight="false" outlineLevel="0" collapsed="false">
      <c r="B7822" s="53"/>
      <c r="I7822" s="53"/>
      <c r="U7822" s="31" t="n">
        <f aca="false">IF($B7822='設定（最初に1回）'!$C$4,N(U7821)+1,N(U7821))</f>
        <v>134</v>
      </c>
    </row>
    <row r="7823" customFormat="false" ht="15" hidden="false" customHeight="false" outlineLevel="0" collapsed="false">
      <c r="B7823" s="53"/>
      <c r="I7823" s="53"/>
      <c r="U7823" s="31" t="n">
        <f aca="false">IF($B7823='設定（最初に1回）'!$C$4,N(U7822)+1,N(U7822))</f>
        <v>134</v>
      </c>
    </row>
    <row r="7824" customFormat="false" ht="15" hidden="false" customHeight="false" outlineLevel="0" collapsed="false">
      <c r="B7824" s="53"/>
      <c r="I7824" s="53"/>
      <c r="U7824" s="31" t="n">
        <f aca="false">IF($B7824='設定（最初に1回）'!$C$4,N(U7823)+1,N(U7823))</f>
        <v>134</v>
      </c>
    </row>
    <row r="7825" customFormat="false" ht="15" hidden="false" customHeight="false" outlineLevel="0" collapsed="false">
      <c r="B7825" s="53"/>
      <c r="I7825" s="53"/>
      <c r="U7825" s="31" t="n">
        <f aca="false">IF($B7825='設定（最初に1回）'!$C$4,N(U7824)+1,N(U7824))</f>
        <v>134</v>
      </c>
    </row>
    <row r="7826" customFormat="false" ht="15" hidden="false" customHeight="false" outlineLevel="0" collapsed="false">
      <c r="B7826" s="53"/>
      <c r="I7826" s="53"/>
      <c r="U7826" s="31" t="n">
        <f aca="false">IF($B7826='設定（最初に1回）'!$C$4,N(U7825)+1,N(U7825))</f>
        <v>134</v>
      </c>
    </row>
    <row r="7827" customFormat="false" ht="15" hidden="false" customHeight="false" outlineLevel="0" collapsed="false">
      <c r="B7827" s="53"/>
      <c r="I7827" s="53"/>
      <c r="U7827" s="31" t="n">
        <f aca="false">IF($B7827='設定（最初に1回）'!$C$4,N(U7826)+1,N(U7826))</f>
        <v>134</v>
      </c>
    </row>
    <row r="7828" customFormat="false" ht="15" hidden="false" customHeight="false" outlineLevel="0" collapsed="false">
      <c r="B7828" s="53"/>
      <c r="I7828" s="53"/>
      <c r="U7828" s="31" t="n">
        <f aca="false">IF($B7828='設定（最初に1回）'!$C$4,N(U7827)+1,N(U7827))</f>
        <v>134</v>
      </c>
    </row>
    <row r="7829" customFormat="false" ht="15" hidden="false" customHeight="false" outlineLevel="0" collapsed="false">
      <c r="B7829" s="53"/>
      <c r="I7829" s="53"/>
      <c r="U7829" s="31" t="n">
        <f aca="false">IF($B7829='設定（最初に1回）'!$C$4,N(U7828)+1,N(U7828))</f>
        <v>134</v>
      </c>
    </row>
    <row r="7830" customFormat="false" ht="15" hidden="false" customHeight="false" outlineLevel="0" collapsed="false">
      <c r="B7830" s="53"/>
      <c r="I7830" s="53"/>
      <c r="U7830" s="31" t="n">
        <f aca="false">IF($B7830='設定（最初に1回）'!$C$4,N(U7829)+1,N(U7829))</f>
        <v>134</v>
      </c>
    </row>
    <row r="7831" customFormat="false" ht="15" hidden="false" customHeight="false" outlineLevel="0" collapsed="false">
      <c r="B7831" s="53"/>
      <c r="I7831" s="53"/>
      <c r="U7831" s="31" t="n">
        <f aca="false">IF($B7831='設定（最初に1回）'!$C$4,N(U7830)+1,N(U7830))</f>
        <v>134</v>
      </c>
    </row>
    <row r="7832" customFormat="false" ht="15" hidden="false" customHeight="false" outlineLevel="0" collapsed="false">
      <c r="B7832" s="53"/>
      <c r="I7832" s="53"/>
      <c r="U7832" s="31" t="n">
        <f aca="false">IF($B7832='設定（最初に1回）'!$C$4,N(U7831)+1,N(U7831))</f>
        <v>134</v>
      </c>
    </row>
    <row r="7833" customFormat="false" ht="15" hidden="false" customHeight="false" outlineLevel="0" collapsed="false">
      <c r="B7833" s="53"/>
      <c r="I7833" s="53"/>
      <c r="U7833" s="31" t="n">
        <f aca="false">IF($B7833='設定（最初に1回）'!$C$4,N(U7832)+1,N(U7832))</f>
        <v>134</v>
      </c>
    </row>
    <row r="7834" customFormat="false" ht="15" hidden="false" customHeight="false" outlineLevel="0" collapsed="false">
      <c r="B7834" s="53"/>
      <c r="I7834" s="53"/>
      <c r="U7834" s="31" t="n">
        <f aca="false">IF($B7834='設定（最初に1回）'!$C$4,N(U7833)+1,N(U7833))</f>
        <v>134</v>
      </c>
    </row>
    <row r="7835" customFormat="false" ht="15" hidden="false" customHeight="false" outlineLevel="0" collapsed="false">
      <c r="B7835" s="53"/>
      <c r="I7835" s="53"/>
      <c r="U7835" s="31" t="n">
        <f aca="false">IF($B7835='設定（最初に1回）'!$C$4,N(U7834)+1,N(U7834))</f>
        <v>134</v>
      </c>
    </row>
    <row r="7836" customFormat="false" ht="15" hidden="false" customHeight="false" outlineLevel="0" collapsed="false">
      <c r="B7836" s="53"/>
      <c r="I7836" s="53"/>
      <c r="U7836" s="31" t="n">
        <f aca="false">IF($B7836='設定（最初に1回）'!$C$4,N(U7835)+1,N(U7835))</f>
        <v>134</v>
      </c>
    </row>
    <row r="7837" customFormat="false" ht="15" hidden="false" customHeight="false" outlineLevel="0" collapsed="false">
      <c r="B7837" s="53"/>
      <c r="I7837" s="53"/>
      <c r="U7837" s="31" t="n">
        <f aca="false">IF($B7837='設定（最初に1回）'!$C$4,N(U7836)+1,N(U7836))</f>
        <v>134</v>
      </c>
    </row>
    <row r="7838" customFormat="false" ht="15" hidden="false" customHeight="false" outlineLevel="0" collapsed="false">
      <c r="B7838" s="53"/>
      <c r="I7838" s="53"/>
      <c r="U7838" s="31" t="n">
        <f aca="false">IF($B7838='設定（最初に1回）'!$C$4,N(U7837)+1,N(U7837))</f>
        <v>134</v>
      </c>
    </row>
    <row r="7839" customFormat="false" ht="15" hidden="false" customHeight="false" outlineLevel="0" collapsed="false">
      <c r="B7839" s="53"/>
      <c r="I7839" s="53"/>
      <c r="U7839" s="31" t="n">
        <f aca="false">IF($B7839='設定（最初に1回）'!$C$4,N(U7838)+1,N(U7838))</f>
        <v>134</v>
      </c>
    </row>
    <row r="7840" customFormat="false" ht="15" hidden="false" customHeight="false" outlineLevel="0" collapsed="false">
      <c r="B7840" s="53"/>
      <c r="I7840" s="53"/>
      <c r="U7840" s="31" t="n">
        <f aca="false">IF($B7840='設定（最初に1回）'!$C$4,N(U7839)+1,N(U7839))</f>
        <v>134</v>
      </c>
    </row>
    <row r="7841" customFormat="false" ht="15" hidden="false" customHeight="false" outlineLevel="0" collapsed="false">
      <c r="B7841" s="53"/>
      <c r="I7841" s="53"/>
      <c r="U7841" s="31" t="n">
        <f aca="false">IF($B7841='設定（最初に1回）'!$C$4,N(U7840)+1,N(U7840))</f>
        <v>134</v>
      </c>
    </row>
    <row r="7842" customFormat="false" ht="15" hidden="false" customHeight="false" outlineLevel="0" collapsed="false">
      <c r="B7842" s="53"/>
      <c r="I7842" s="53"/>
      <c r="U7842" s="31" t="n">
        <f aca="false">IF($B7842='設定（最初に1回）'!$C$4,N(U7841)+1,N(U7841))</f>
        <v>134</v>
      </c>
    </row>
    <row r="7843" customFormat="false" ht="15" hidden="false" customHeight="false" outlineLevel="0" collapsed="false">
      <c r="B7843" s="53"/>
      <c r="I7843" s="53"/>
      <c r="U7843" s="31" t="n">
        <f aca="false">IF($B7843='設定（最初に1回）'!$C$4,N(U7842)+1,N(U7842))</f>
        <v>134</v>
      </c>
    </row>
    <row r="7844" customFormat="false" ht="15" hidden="false" customHeight="false" outlineLevel="0" collapsed="false">
      <c r="B7844" s="53"/>
      <c r="I7844" s="53"/>
      <c r="U7844" s="31" t="n">
        <f aca="false">IF($B7844='設定（最初に1回）'!$C$4,N(U7843)+1,N(U7843))</f>
        <v>134</v>
      </c>
    </row>
    <row r="7845" customFormat="false" ht="15" hidden="false" customHeight="false" outlineLevel="0" collapsed="false">
      <c r="B7845" s="53"/>
      <c r="I7845" s="53"/>
      <c r="U7845" s="31" t="n">
        <f aca="false">IF($B7845='設定（最初に1回）'!$C$4,N(U7844)+1,N(U7844))</f>
        <v>134</v>
      </c>
    </row>
    <row r="7846" customFormat="false" ht="15" hidden="false" customHeight="false" outlineLevel="0" collapsed="false">
      <c r="B7846" s="53"/>
      <c r="I7846" s="53"/>
      <c r="U7846" s="31" t="n">
        <f aca="false">IF($B7846='設定（最初に1回）'!$C$4,N(U7845)+1,N(U7845))</f>
        <v>134</v>
      </c>
    </row>
    <row r="7847" customFormat="false" ht="15" hidden="false" customHeight="false" outlineLevel="0" collapsed="false">
      <c r="B7847" s="53"/>
      <c r="I7847" s="53"/>
      <c r="U7847" s="31" t="n">
        <f aca="false">IF($B7847='設定（最初に1回）'!$C$4,N(U7846)+1,N(U7846))</f>
        <v>134</v>
      </c>
    </row>
    <row r="7848" customFormat="false" ht="15" hidden="false" customHeight="false" outlineLevel="0" collapsed="false">
      <c r="B7848" s="53"/>
      <c r="I7848" s="53"/>
      <c r="U7848" s="31" t="n">
        <f aca="false">IF($B7848='設定（最初に1回）'!$C$4,N(U7847)+1,N(U7847))</f>
        <v>134</v>
      </c>
    </row>
    <row r="7849" customFormat="false" ht="15" hidden="false" customHeight="false" outlineLevel="0" collapsed="false">
      <c r="B7849" s="53"/>
      <c r="I7849" s="53"/>
      <c r="U7849" s="31" t="n">
        <f aca="false">IF($B7849='設定（最初に1回）'!$C$4,N(U7848)+1,N(U7848))</f>
        <v>134</v>
      </c>
    </row>
    <row r="7850" customFormat="false" ht="15" hidden="false" customHeight="false" outlineLevel="0" collapsed="false">
      <c r="B7850" s="53"/>
      <c r="I7850" s="53"/>
      <c r="U7850" s="31" t="n">
        <f aca="false">IF($B7850='設定（最初に1回）'!$C$4,N(U7849)+1,N(U7849))</f>
        <v>134</v>
      </c>
    </row>
    <row r="7851" customFormat="false" ht="15" hidden="false" customHeight="false" outlineLevel="0" collapsed="false">
      <c r="B7851" s="53"/>
      <c r="I7851" s="53"/>
      <c r="U7851" s="31" t="n">
        <f aca="false">IF($B7851='設定（最初に1回）'!$C$4,N(U7850)+1,N(U7850))</f>
        <v>134</v>
      </c>
    </row>
    <row r="7852" customFormat="false" ht="15" hidden="false" customHeight="false" outlineLevel="0" collapsed="false">
      <c r="B7852" s="53"/>
      <c r="I7852" s="53"/>
      <c r="U7852" s="31" t="n">
        <f aca="false">IF($B7852='設定（最初に1回）'!$C$4,N(U7851)+1,N(U7851))</f>
        <v>134</v>
      </c>
    </row>
    <row r="7853" customFormat="false" ht="15" hidden="false" customHeight="false" outlineLevel="0" collapsed="false">
      <c r="B7853" s="53"/>
      <c r="I7853" s="53"/>
      <c r="U7853" s="31" t="n">
        <f aca="false">IF($B7853='設定（最初に1回）'!$C$4,N(U7852)+1,N(U7852))</f>
        <v>134</v>
      </c>
    </row>
    <row r="7854" customFormat="false" ht="15" hidden="false" customHeight="false" outlineLevel="0" collapsed="false">
      <c r="B7854" s="53"/>
      <c r="I7854" s="53"/>
      <c r="U7854" s="31" t="n">
        <f aca="false">IF($B7854='設定（最初に1回）'!$C$4,N(U7853)+1,N(U7853))</f>
        <v>134</v>
      </c>
    </row>
    <row r="7855" customFormat="false" ht="15" hidden="false" customHeight="false" outlineLevel="0" collapsed="false">
      <c r="B7855" s="53"/>
      <c r="I7855" s="53"/>
      <c r="U7855" s="31" t="n">
        <f aca="false">IF($B7855='設定（最初に1回）'!$C$4,N(U7854)+1,N(U7854))</f>
        <v>134</v>
      </c>
    </row>
    <row r="7856" customFormat="false" ht="15" hidden="false" customHeight="false" outlineLevel="0" collapsed="false">
      <c r="B7856" s="53"/>
      <c r="I7856" s="53"/>
      <c r="U7856" s="31" t="n">
        <f aca="false">IF($B7856='設定（最初に1回）'!$C$4,N(U7855)+1,N(U7855))</f>
        <v>134</v>
      </c>
    </row>
    <row r="7857" customFormat="false" ht="15" hidden="false" customHeight="false" outlineLevel="0" collapsed="false">
      <c r="B7857" s="53"/>
      <c r="I7857" s="53"/>
      <c r="U7857" s="31" t="n">
        <f aca="false">IF($B7857='設定（最初に1回）'!$C$4,N(U7856)+1,N(U7856))</f>
        <v>134</v>
      </c>
    </row>
    <row r="7858" customFormat="false" ht="15" hidden="false" customHeight="false" outlineLevel="0" collapsed="false">
      <c r="B7858" s="53"/>
      <c r="I7858" s="53"/>
      <c r="U7858" s="31" t="n">
        <f aca="false">IF($B7858='設定（最初に1回）'!$C$4,N(U7857)+1,N(U7857))</f>
        <v>134</v>
      </c>
    </row>
    <row r="7859" customFormat="false" ht="15" hidden="false" customHeight="false" outlineLevel="0" collapsed="false">
      <c r="B7859" s="53"/>
      <c r="I7859" s="53"/>
      <c r="U7859" s="31" t="n">
        <f aca="false">IF($B7859='設定（最初に1回）'!$C$4,N(U7858)+1,N(U7858))</f>
        <v>134</v>
      </c>
    </row>
    <row r="7860" customFormat="false" ht="15" hidden="false" customHeight="false" outlineLevel="0" collapsed="false">
      <c r="B7860" s="53"/>
      <c r="I7860" s="53"/>
      <c r="U7860" s="31" t="n">
        <f aca="false">IF($B7860='設定（最初に1回）'!$C$4,N(U7859)+1,N(U7859))</f>
        <v>134</v>
      </c>
    </row>
    <row r="7861" customFormat="false" ht="15" hidden="false" customHeight="false" outlineLevel="0" collapsed="false">
      <c r="B7861" s="53"/>
      <c r="I7861" s="53"/>
      <c r="U7861" s="31" t="n">
        <f aca="false">IF($B7861='設定（最初に1回）'!$C$4,N(U7860)+1,N(U7860))</f>
        <v>134</v>
      </c>
    </row>
    <row r="7862" customFormat="false" ht="15" hidden="false" customHeight="false" outlineLevel="0" collapsed="false">
      <c r="B7862" s="53"/>
      <c r="I7862" s="53"/>
      <c r="U7862" s="31" t="n">
        <f aca="false">IF($B7862='設定（最初に1回）'!$C$4,N(U7861)+1,N(U7861))</f>
        <v>134</v>
      </c>
    </row>
    <row r="7863" customFormat="false" ht="15" hidden="false" customHeight="false" outlineLevel="0" collapsed="false">
      <c r="B7863" s="53"/>
      <c r="I7863" s="53"/>
      <c r="U7863" s="31" t="n">
        <f aca="false">IF($B7863='設定（最初に1回）'!$C$4,N(U7862)+1,N(U7862))</f>
        <v>134</v>
      </c>
    </row>
    <row r="7864" customFormat="false" ht="15" hidden="false" customHeight="false" outlineLevel="0" collapsed="false">
      <c r="B7864" s="53"/>
      <c r="I7864" s="53"/>
      <c r="U7864" s="31" t="n">
        <f aca="false">IF($B7864='設定（最初に1回）'!$C$4,N(U7863)+1,N(U7863))</f>
        <v>134</v>
      </c>
    </row>
    <row r="7865" customFormat="false" ht="15" hidden="false" customHeight="false" outlineLevel="0" collapsed="false">
      <c r="B7865" s="53"/>
      <c r="I7865" s="53"/>
      <c r="U7865" s="31" t="n">
        <f aca="false">IF($B7865='設定（最初に1回）'!$C$4,N(U7864)+1,N(U7864))</f>
        <v>134</v>
      </c>
    </row>
    <row r="7866" customFormat="false" ht="15" hidden="false" customHeight="false" outlineLevel="0" collapsed="false">
      <c r="B7866" s="53"/>
      <c r="I7866" s="53"/>
      <c r="U7866" s="31" t="n">
        <f aca="false">IF($B7866='設定（最初に1回）'!$C$4,N(U7865)+1,N(U7865))</f>
        <v>134</v>
      </c>
    </row>
    <row r="7867" customFormat="false" ht="15" hidden="false" customHeight="false" outlineLevel="0" collapsed="false">
      <c r="B7867" s="53"/>
      <c r="I7867" s="53"/>
      <c r="U7867" s="31" t="n">
        <f aca="false">IF($B7867='設定（最初に1回）'!$C$4,N(U7866)+1,N(U7866))</f>
        <v>134</v>
      </c>
    </row>
    <row r="7868" customFormat="false" ht="15" hidden="false" customHeight="false" outlineLevel="0" collapsed="false">
      <c r="B7868" s="53"/>
      <c r="I7868" s="53"/>
      <c r="U7868" s="31" t="n">
        <f aca="false">IF($B7868='設定（最初に1回）'!$C$4,N(U7867)+1,N(U7867))</f>
        <v>134</v>
      </c>
    </row>
    <row r="7869" customFormat="false" ht="15" hidden="false" customHeight="false" outlineLevel="0" collapsed="false">
      <c r="B7869" s="53"/>
      <c r="I7869" s="53"/>
      <c r="U7869" s="31" t="n">
        <f aca="false">IF($B7869='設定（最初に1回）'!$C$4,N(U7868)+1,N(U7868))</f>
        <v>134</v>
      </c>
    </row>
    <row r="7870" customFormat="false" ht="15" hidden="false" customHeight="false" outlineLevel="0" collapsed="false">
      <c r="B7870" s="53"/>
      <c r="I7870" s="53"/>
      <c r="U7870" s="31" t="n">
        <f aca="false">IF($B7870='設定（最初に1回）'!$C$4,N(U7869)+1,N(U7869))</f>
        <v>134</v>
      </c>
    </row>
    <row r="7871" customFormat="false" ht="15" hidden="false" customHeight="false" outlineLevel="0" collapsed="false">
      <c r="B7871" s="53"/>
      <c r="I7871" s="53"/>
      <c r="U7871" s="31" t="n">
        <f aca="false">IF($B7871='設定（最初に1回）'!$C$4,N(U7870)+1,N(U7870))</f>
        <v>134</v>
      </c>
    </row>
    <row r="7872" customFormat="false" ht="15" hidden="false" customHeight="false" outlineLevel="0" collapsed="false">
      <c r="B7872" s="53"/>
      <c r="I7872" s="53"/>
      <c r="U7872" s="31" t="n">
        <f aca="false">IF($B7872='設定（最初に1回）'!$C$4,N(U7871)+1,N(U7871))</f>
        <v>134</v>
      </c>
    </row>
    <row r="7873" customFormat="false" ht="15" hidden="false" customHeight="false" outlineLevel="0" collapsed="false">
      <c r="B7873" s="53"/>
      <c r="I7873" s="53"/>
      <c r="U7873" s="31" t="n">
        <f aca="false">IF($B7873='設定（最初に1回）'!$C$4,N(U7872)+1,N(U7872))</f>
        <v>134</v>
      </c>
    </row>
    <row r="7874" customFormat="false" ht="15" hidden="false" customHeight="false" outlineLevel="0" collapsed="false">
      <c r="B7874" s="53"/>
      <c r="I7874" s="53"/>
      <c r="U7874" s="31" t="n">
        <f aca="false">IF($B7874='設定（最初に1回）'!$C$4,N(U7873)+1,N(U7873))</f>
        <v>134</v>
      </c>
    </row>
    <row r="7875" customFormat="false" ht="15" hidden="false" customHeight="false" outlineLevel="0" collapsed="false">
      <c r="B7875" s="53"/>
      <c r="I7875" s="53"/>
      <c r="U7875" s="31" t="n">
        <f aca="false">IF($B7875='設定（最初に1回）'!$C$4,N(U7874)+1,N(U7874))</f>
        <v>134</v>
      </c>
    </row>
    <row r="7876" customFormat="false" ht="15" hidden="false" customHeight="false" outlineLevel="0" collapsed="false">
      <c r="B7876" s="53"/>
      <c r="I7876" s="53"/>
      <c r="U7876" s="31" t="n">
        <f aca="false">IF($B7876='設定（最初に1回）'!$C$4,N(U7875)+1,N(U7875))</f>
        <v>134</v>
      </c>
    </row>
    <row r="7877" customFormat="false" ht="15" hidden="false" customHeight="false" outlineLevel="0" collapsed="false">
      <c r="B7877" s="53"/>
      <c r="I7877" s="53"/>
      <c r="U7877" s="31" t="n">
        <f aca="false">IF($B7877='設定（最初に1回）'!$C$4,N(U7876)+1,N(U7876))</f>
        <v>134</v>
      </c>
    </row>
    <row r="7878" customFormat="false" ht="15" hidden="false" customHeight="false" outlineLevel="0" collapsed="false">
      <c r="B7878" s="53"/>
      <c r="I7878" s="53"/>
      <c r="U7878" s="31" t="n">
        <f aca="false">IF($B7878='設定（最初に1回）'!$C$4,N(U7877)+1,N(U7877))</f>
        <v>134</v>
      </c>
    </row>
    <row r="7879" customFormat="false" ht="15" hidden="false" customHeight="false" outlineLevel="0" collapsed="false">
      <c r="B7879" s="53"/>
      <c r="I7879" s="53"/>
      <c r="U7879" s="31" t="n">
        <f aca="false">IF($B7879='設定（最初に1回）'!$C$4,N(U7878)+1,N(U7878))</f>
        <v>134</v>
      </c>
    </row>
    <row r="7880" customFormat="false" ht="15" hidden="false" customHeight="false" outlineLevel="0" collapsed="false">
      <c r="B7880" s="53"/>
      <c r="I7880" s="53"/>
      <c r="U7880" s="31" t="n">
        <f aca="false">IF($B7880='設定（最初に1回）'!$C$4,N(U7879)+1,N(U7879))</f>
        <v>134</v>
      </c>
    </row>
    <row r="7881" customFormat="false" ht="15" hidden="false" customHeight="false" outlineLevel="0" collapsed="false">
      <c r="B7881" s="53"/>
      <c r="I7881" s="53"/>
      <c r="U7881" s="31" t="n">
        <f aca="false">IF($B7881='設定（最初に1回）'!$C$4,N(U7880)+1,N(U7880))</f>
        <v>134</v>
      </c>
    </row>
    <row r="7882" customFormat="false" ht="15" hidden="false" customHeight="false" outlineLevel="0" collapsed="false">
      <c r="B7882" s="53"/>
      <c r="I7882" s="53"/>
      <c r="U7882" s="31" t="n">
        <f aca="false">IF($B7882='設定（最初に1回）'!$C$4,N(U7881)+1,N(U7881))</f>
        <v>134</v>
      </c>
    </row>
    <row r="7883" customFormat="false" ht="15" hidden="false" customHeight="false" outlineLevel="0" collapsed="false">
      <c r="B7883" s="53"/>
      <c r="I7883" s="53"/>
      <c r="U7883" s="31" t="n">
        <f aca="false">IF($B7883='設定（最初に1回）'!$C$4,N(U7882)+1,N(U7882))</f>
        <v>134</v>
      </c>
    </row>
    <row r="7884" customFormat="false" ht="15" hidden="false" customHeight="false" outlineLevel="0" collapsed="false">
      <c r="B7884" s="53"/>
      <c r="I7884" s="53"/>
      <c r="U7884" s="31" t="n">
        <f aca="false">IF($B7884='設定（最初に1回）'!$C$4,N(U7883)+1,N(U7883))</f>
        <v>134</v>
      </c>
    </row>
    <row r="7885" customFormat="false" ht="15" hidden="false" customHeight="false" outlineLevel="0" collapsed="false">
      <c r="B7885" s="53"/>
      <c r="I7885" s="53"/>
      <c r="U7885" s="31" t="n">
        <f aca="false">IF($B7885='設定（最初に1回）'!$C$4,N(U7884)+1,N(U7884))</f>
        <v>134</v>
      </c>
    </row>
    <row r="7886" customFormat="false" ht="15" hidden="false" customHeight="false" outlineLevel="0" collapsed="false">
      <c r="B7886" s="53"/>
      <c r="I7886" s="53"/>
      <c r="U7886" s="31" t="n">
        <f aca="false">IF($B7886='設定（最初に1回）'!$C$4,N(U7885)+1,N(U7885))</f>
        <v>134</v>
      </c>
    </row>
    <row r="7887" customFormat="false" ht="15" hidden="false" customHeight="false" outlineLevel="0" collapsed="false">
      <c r="B7887" s="53"/>
      <c r="I7887" s="53"/>
      <c r="U7887" s="31" t="n">
        <f aca="false">IF($B7887='設定（最初に1回）'!$C$4,N(U7886)+1,N(U7886))</f>
        <v>134</v>
      </c>
    </row>
    <row r="7888" customFormat="false" ht="15" hidden="false" customHeight="false" outlineLevel="0" collapsed="false">
      <c r="B7888" s="53"/>
      <c r="I7888" s="53"/>
      <c r="U7888" s="31" t="n">
        <f aca="false">IF($B7888='設定（最初に1回）'!$C$4,N(U7887)+1,N(U7887))</f>
        <v>134</v>
      </c>
    </row>
    <row r="7889" customFormat="false" ht="15" hidden="false" customHeight="false" outlineLevel="0" collapsed="false">
      <c r="B7889" s="53"/>
      <c r="I7889" s="53"/>
      <c r="U7889" s="31" t="n">
        <f aca="false">IF($B7889='設定（最初に1回）'!$C$4,N(U7888)+1,N(U7888))</f>
        <v>134</v>
      </c>
    </row>
    <row r="7890" customFormat="false" ht="15" hidden="false" customHeight="false" outlineLevel="0" collapsed="false">
      <c r="B7890" s="53"/>
      <c r="I7890" s="53"/>
      <c r="U7890" s="31" t="n">
        <f aca="false">IF($B7890='設定（最初に1回）'!$C$4,N(U7889)+1,N(U7889))</f>
        <v>134</v>
      </c>
    </row>
    <row r="7891" customFormat="false" ht="15" hidden="false" customHeight="false" outlineLevel="0" collapsed="false">
      <c r="B7891" s="53"/>
      <c r="I7891" s="53"/>
      <c r="U7891" s="31" t="n">
        <f aca="false">IF($B7891='設定（最初に1回）'!$C$4,N(U7890)+1,N(U7890))</f>
        <v>134</v>
      </c>
    </row>
    <row r="7892" customFormat="false" ht="15" hidden="false" customHeight="false" outlineLevel="0" collapsed="false">
      <c r="B7892" s="53"/>
      <c r="I7892" s="53"/>
      <c r="U7892" s="31" t="n">
        <f aca="false">IF($B7892='設定（最初に1回）'!$C$4,N(U7891)+1,N(U7891))</f>
        <v>134</v>
      </c>
    </row>
    <row r="7893" customFormat="false" ht="15" hidden="false" customHeight="false" outlineLevel="0" collapsed="false">
      <c r="B7893" s="53"/>
      <c r="I7893" s="53"/>
      <c r="U7893" s="31" t="n">
        <f aca="false">IF($B7893='設定（最初に1回）'!$C$4,N(U7892)+1,N(U7892))</f>
        <v>134</v>
      </c>
    </row>
    <row r="7894" customFormat="false" ht="15" hidden="false" customHeight="false" outlineLevel="0" collapsed="false">
      <c r="B7894" s="53"/>
      <c r="I7894" s="53"/>
      <c r="U7894" s="31" t="n">
        <f aca="false">IF($B7894='設定（最初に1回）'!$C$4,N(U7893)+1,N(U7893))</f>
        <v>134</v>
      </c>
    </row>
    <row r="7895" customFormat="false" ht="15" hidden="false" customHeight="false" outlineLevel="0" collapsed="false">
      <c r="B7895" s="53"/>
      <c r="I7895" s="53"/>
      <c r="U7895" s="31" t="n">
        <f aca="false">IF($B7895='設定（最初に1回）'!$C$4,N(U7894)+1,N(U7894))</f>
        <v>134</v>
      </c>
    </row>
    <row r="7896" customFormat="false" ht="15" hidden="false" customHeight="false" outlineLevel="0" collapsed="false">
      <c r="B7896" s="53"/>
      <c r="I7896" s="53"/>
      <c r="U7896" s="31" t="n">
        <f aca="false">IF($B7896='設定（最初に1回）'!$C$4,N(U7895)+1,N(U7895))</f>
        <v>134</v>
      </c>
    </row>
    <row r="7897" customFormat="false" ht="15" hidden="false" customHeight="false" outlineLevel="0" collapsed="false">
      <c r="B7897" s="53"/>
      <c r="I7897" s="53"/>
      <c r="U7897" s="31" t="n">
        <f aca="false">IF($B7897='設定（最初に1回）'!$C$4,N(U7896)+1,N(U7896))</f>
        <v>134</v>
      </c>
    </row>
    <row r="7898" customFormat="false" ht="15" hidden="false" customHeight="false" outlineLevel="0" collapsed="false">
      <c r="B7898" s="53"/>
      <c r="I7898" s="53"/>
      <c r="U7898" s="31" t="n">
        <f aca="false">IF($B7898='設定（最初に1回）'!$C$4,N(U7897)+1,N(U7897))</f>
        <v>134</v>
      </c>
    </row>
    <row r="7899" customFormat="false" ht="15" hidden="false" customHeight="false" outlineLevel="0" collapsed="false">
      <c r="B7899" s="53"/>
      <c r="I7899" s="53"/>
      <c r="U7899" s="31" t="n">
        <f aca="false">IF($B7899='設定（最初に1回）'!$C$4,N(U7898)+1,N(U7898))</f>
        <v>134</v>
      </c>
    </row>
    <row r="7900" customFormat="false" ht="15" hidden="false" customHeight="false" outlineLevel="0" collapsed="false">
      <c r="B7900" s="53"/>
      <c r="I7900" s="53"/>
      <c r="U7900" s="31" t="n">
        <f aca="false">IF($B7900='設定（最初に1回）'!$C$4,N(U7899)+1,N(U7899))</f>
        <v>134</v>
      </c>
    </row>
    <row r="7901" customFormat="false" ht="15" hidden="false" customHeight="false" outlineLevel="0" collapsed="false">
      <c r="B7901" s="53"/>
      <c r="I7901" s="53"/>
      <c r="U7901" s="31" t="n">
        <f aca="false">IF($B7901='設定（最初に1回）'!$C$4,N(U7900)+1,N(U7900))</f>
        <v>134</v>
      </c>
    </row>
    <row r="7902" customFormat="false" ht="15" hidden="false" customHeight="false" outlineLevel="0" collapsed="false">
      <c r="B7902" s="53"/>
      <c r="I7902" s="53"/>
      <c r="U7902" s="31" t="n">
        <f aca="false">IF($B7902='設定（最初に1回）'!$C$4,N(U7901)+1,N(U7901))</f>
        <v>134</v>
      </c>
    </row>
    <row r="7903" customFormat="false" ht="15" hidden="false" customHeight="false" outlineLevel="0" collapsed="false">
      <c r="B7903" s="53"/>
      <c r="I7903" s="53"/>
      <c r="U7903" s="31" t="n">
        <f aca="false">IF($B7903='設定（最初に1回）'!$C$4,N(U7902)+1,N(U7902))</f>
        <v>134</v>
      </c>
    </row>
    <row r="7904" customFormat="false" ht="15" hidden="false" customHeight="false" outlineLevel="0" collapsed="false">
      <c r="B7904" s="53"/>
      <c r="I7904" s="53"/>
      <c r="U7904" s="31" t="n">
        <f aca="false">IF($B7904='設定（最初に1回）'!$C$4,N(U7903)+1,N(U7903))</f>
        <v>134</v>
      </c>
    </row>
    <row r="7905" customFormat="false" ht="15" hidden="false" customHeight="false" outlineLevel="0" collapsed="false">
      <c r="B7905" s="53"/>
      <c r="I7905" s="53"/>
      <c r="U7905" s="31" t="n">
        <f aca="false">IF($B7905='設定（最初に1回）'!$C$4,N(U7904)+1,N(U7904))</f>
        <v>134</v>
      </c>
    </row>
    <row r="7906" customFormat="false" ht="15" hidden="false" customHeight="false" outlineLevel="0" collapsed="false">
      <c r="B7906" s="53"/>
      <c r="I7906" s="53"/>
      <c r="U7906" s="31" t="n">
        <f aca="false">IF($B7906='設定（最初に1回）'!$C$4,N(U7905)+1,N(U7905))</f>
        <v>134</v>
      </c>
    </row>
    <row r="7907" customFormat="false" ht="15" hidden="false" customHeight="false" outlineLevel="0" collapsed="false">
      <c r="B7907" s="53"/>
      <c r="I7907" s="53"/>
      <c r="U7907" s="31" t="n">
        <f aca="false">IF($B7907='設定（最初に1回）'!$C$4,N(U7906)+1,N(U7906))</f>
        <v>134</v>
      </c>
    </row>
    <row r="7908" customFormat="false" ht="15" hidden="false" customHeight="false" outlineLevel="0" collapsed="false">
      <c r="B7908" s="53"/>
      <c r="I7908" s="53"/>
      <c r="U7908" s="31" t="n">
        <f aca="false">IF($B7908='設定（最初に1回）'!$C$4,N(U7907)+1,N(U7907))</f>
        <v>134</v>
      </c>
    </row>
    <row r="7909" customFormat="false" ht="15" hidden="false" customHeight="false" outlineLevel="0" collapsed="false">
      <c r="B7909" s="53"/>
      <c r="I7909" s="53"/>
      <c r="U7909" s="31" t="n">
        <f aca="false">IF($B7909='設定（最初に1回）'!$C$4,N(U7908)+1,N(U7908))</f>
        <v>134</v>
      </c>
    </row>
    <row r="7910" customFormat="false" ht="15" hidden="false" customHeight="false" outlineLevel="0" collapsed="false">
      <c r="B7910" s="53"/>
      <c r="I7910" s="53"/>
      <c r="U7910" s="31" t="n">
        <f aca="false">IF($B7910='設定（最初に1回）'!$C$4,N(U7909)+1,N(U7909))</f>
        <v>134</v>
      </c>
    </row>
    <row r="7911" customFormat="false" ht="15" hidden="false" customHeight="false" outlineLevel="0" collapsed="false">
      <c r="B7911" s="53"/>
      <c r="I7911" s="53"/>
      <c r="U7911" s="31" t="n">
        <f aca="false">IF($B7911='設定（最初に1回）'!$C$4,N(U7910)+1,N(U7910))</f>
        <v>134</v>
      </c>
    </row>
    <row r="7912" customFormat="false" ht="15" hidden="false" customHeight="false" outlineLevel="0" collapsed="false">
      <c r="B7912" s="53"/>
      <c r="I7912" s="53"/>
      <c r="U7912" s="31" t="n">
        <f aca="false">IF($B7912='設定（最初に1回）'!$C$4,N(U7911)+1,N(U7911))</f>
        <v>134</v>
      </c>
    </row>
    <row r="7913" customFormat="false" ht="15" hidden="false" customHeight="false" outlineLevel="0" collapsed="false">
      <c r="B7913" s="53"/>
      <c r="I7913" s="53"/>
      <c r="U7913" s="31" t="n">
        <f aca="false">IF($B7913='設定（最初に1回）'!$C$4,N(U7912)+1,N(U7912))</f>
        <v>134</v>
      </c>
    </row>
    <row r="7914" customFormat="false" ht="15" hidden="false" customHeight="false" outlineLevel="0" collapsed="false">
      <c r="B7914" s="53"/>
      <c r="I7914" s="53"/>
      <c r="U7914" s="31" t="n">
        <f aca="false">IF($B7914='設定（最初に1回）'!$C$4,N(U7913)+1,N(U7913))</f>
        <v>134</v>
      </c>
    </row>
    <row r="7915" customFormat="false" ht="15" hidden="false" customHeight="false" outlineLevel="0" collapsed="false">
      <c r="B7915" s="53"/>
      <c r="I7915" s="53"/>
      <c r="U7915" s="31" t="n">
        <f aca="false">IF($B7915='設定（最初に1回）'!$C$4,N(U7914)+1,N(U7914))</f>
        <v>134</v>
      </c>
    </row>
    <row r="7916" customFormat="false" ht="15" hidden="false" customHeight="false" outlineLevel="0" collapsed="false">
      <c r="B7916" s="53"/>
      <c r="I7916" s="53"/>
      <c r="U7916" s="31" t="n">
        <f aca="false">IF($B7916='設定（最初に1回）'!$C$4,N(U7915)+1,N(U7915))</f>
        <v>134</v>
      </c>
    </row>
    <row r="7917" customFormat="false" ht="15" hidden="false" customHeight="false" outlineLevel="0" collapsed="false">
      <c r="B7917" s="53"/>
      <c r="I7917" s="53"/>
      <c r="U7917" s="31" t="n">
        <f aca="false">IF($B7917='設定（最初に1回）'!$C$4,N(U7916)+1,N(U7916))</f>
        <v>134</v>
      </c>
    </row>
    <row r="7918" customFormat="false" ht="15" hidden="false" customHeight="false" outlineLevel="0" collapsed="false">
      <c r="B7918" s="53"/>
      <c r="I7918" s="53"/>
      <c r="U7918" s="31" t="n">
        <f aca="false">IF($B7918='設定（最初に1回）'!$C$4,N(U7917)+1,N(U7917))</f>
        <v>134</v>
      </c>
    </row>
    <row r="7919" customFormat="false" ht="15" hidden="false" customHeight="false" outlineLevel="0" collapsed="false">
      <c r="B7919" s="53"/>
      <c r="I7919" s="53"/>
      <c r="U7919" s="31" t="n">
        <f aca="false">IF($B7919='設定（最初に1回）'!$C$4,N(U7918)+1,N(U7918))</f>
        <v>134</v>
      </c>
    </row>
    <row r="7920" customFormat="false" ht="15" hidden="false" customHeight="false" outlineLevel="0" collapsed="false">
      <c r="B7920" s="53"/>
      <c r="I7920" s="53"/>
      <c r="U7920" s="31" t="n">
        <f aca="false">IF($B7920='設定（最初に1回）'!$C$4,N(U7919)+1,N(U7919))</f>
        <v>134</v>
      </c>
    </row>
    <row r="7921" customFormat="false" ht="15" hidden="false" customHeight="false" outlineLevel="0" collapsed="false">
      <c r="B7921" s="53"/>
      <c r="I7921" s="53"/>
      <c r="U7921" s="31" t="n">
        <f aca="false">IF($B7921='設定（最初に1回）'!$C$4,N(U7920)+1,N(U7920))</f>
        <v>134</v>
      </c>
    </row>
    <row r="7922" customFormat="false" ht="15" hidden="false" customHeight="false" outlineLevel="0" collapsed="false">
      <c r="B7922" s="53"/>
      <c r="I7922" s="53"/>
      <c r="U7922" s="31" t="n">
        <f aca="false">IF($B7922='設定（最初に1回）'!$C$4,N(U7921)+1,N(U7921))</f>
        <v>134</v>
      </c>
    </row>
    <row r="7923" customFormat="false" ht="15" hidden="false" customHeight="false" outlineLevel="0" collapsed="false">
      <c r="B7923" s="53"/>
      <c r="I7923" s="53"/>
      <c r="U7923" s="31" t="n">
        <f aca="false">IF($B7923='設定（最初に1回）'!$C$4,N(U7922)+1,N(U7922))</f>
        <v>134</v>
      </c>
    </row>
    <row r="7924" customFormat="false" ht="15" hidden="false" customHeight="false" outlineLevel="0" collapsed="false">
      <c r="B7924" s="53"/>
      <c r="I7924" s="53"/>
      <c r="U7924" s="31" t="n">
        <f aca="false">IF($B7924='設定（最初に1回）'!$C$4,N(U7923)+1,N(U7923))</f>
        <v>134</v>
      </c>
    </row>
    <row r="7925" customFormat="false" ht="15" hidden="false" customHeight="false" outlineLevel="0" collapsed="false">
      <c r="B7925" s="53"/>
      <c r="I7925" s="53"/>
      <c r="U7925" s="31" t="n">
        <f aca="false">IF($B7925='設定（最初に1回）'!$C$4,N(U7924)+1,N(U7924))</f>
        <v>134</v>
      </c>
    </row>
    <row r="7926" customFormat="false" ht="15" hidden="false" customHeight="false" outlineLevel="0" collapsed="false">
      <c r="B7926" s="53"/>
      <c r="I7926" s="53"/>
      <c r="U7926" s="31" t="n">
        <f aca="false">IF($B7926='設定（最初に1回）'!$C$4,N(U7925)+1,N(U7925))</f>
        <v>134</v>
      </c>
    </row>
    <row r="7927" customFormat="false" ht="15" hidden="false" customHeight="false" outlineLevel="0" collapsed="false">
      <c r="B7927" s="53"/>
      <c r="I7927" s="53"/>
      <c r="U7927" s="31" t="n">
        <f aca="false">IF($B7927='設定（最初に1回）'!$C$4,N(U7926)+1,N(U7926))</f>
        <v>134</v>
      </c>
    </row>
    <row r="7928" customFormat="false" ht="15" hidden="false" customHeight="false" outlineLevel="0" collapsed="false">
      <c r="B7928" s="53"/>
      <c r="I7928" s="53"/>
      <c r="U7928" s="31" t="n">
        <f aca="false">IF($B7928='設定（最初に1回）'!$C$4,N(U7927)+1,N(U7927))</f>
        <v>134</v>
      </c>
    </row>
    <row r="7929" customFormat="false" ht="15" hidden="false" customHeight="false" outlineLevel="0" collapsed="false">
      <c r="B7929" s="53"/>
      <c r="I7929" s="53"/>
      <c r="U7929" s="31" t="n">
        <f aca="false">IF($B7929='設定（最初に1回）'!$C$4,N(U7928)+1,N(U7928))</f>
        <v>134</v>
      </c>
    </row>
    <row r="7930" customFormat="false" ht="15" hidden="false" customHeight="false" outlineLevel="0" collapsed="false">
      <c r="B7930" s="53"/>
      <c r="I7930" s="53"/>
      <c r="U7930" s="31" t="n">
        <f aca="false">IF($B7930='設定（最初に1回）'!$C$4,N(U7929)+1,N(U7929))</f>
        <v>134</v>
      </c>
    </row>
    <row r="7931" customFormat="false" ht="15" hidden="false" customHeight="false" outlineLevel="0" collapsed="false">
      <c r="B7931" s="53"/>
      <c r="I7931" s="53"/>
      <c r="U7931" s="31" t="n">
        <f aca="false">IF($B7931='設定（最初に1回）'!$C$4,N(U7930)+1,N(U7930))</f>
        <v>134</v>
      </c>
    </row>
    <row r="7932" customFormat="false" ht="15" hidden="false" customHeight="false" outlineLevel="0" collapsed="false">
      <c r="B7932" s="53"/>
      <c r="I7932" s="53"/>
      <c r="U7932" s="31" t="n">
        <f aca="false">IF($B7932='設定（最初に1回）'!$C$4,N(U7931)+1,N(U7931))</f>
        <v>134</v>
      </c>
    </row>
    <row r="7933" customFormat="false" ht="15" hidden="false" customHeight="false" outlineLevel="0" collapsed="false">
      <c r="B7933" s="53"/>
      <c r="I7933" s="53"/>
      <c r="U7933" s="31" t="n">
        <f aca="false">IF($B7933='設定（最初に1回）'!$C$4,N(U7932)+1,N(U7932))</f>
        <v>134</v>
      </c>
    </row>
    <row r="7934" customFormat="false" ht="15" hidden="false" customHeight="false" outlineLevel="0" collapsed="false">
      <c r="B7934" s="53"/>
      <c r="I7934" s="53"/>
      <c r="U7934" s="31" t="n">
        <f aca="false">IF($B7934='設定（最初に1回）'!$C$4,N(U7933)+1,N(U7933))</f>
        <v>134</v>
      </c>
    </row>
    <row r="7935" customFormat="false" ht="15" hidden="false" customHeight="false" outlineLevel="0" collapsed="false">
      <c r="B7935" s="53"/>
      <c r="I7935" s="53"/>
      <c r="U7935" s="31" t="n">
        <f aca="false">IF($B7935='設定（最初に1回）'!$C$4,N(U7934)+1,N(U7934))</f>
        <v>134</v>
      </c>
    </row>
    <row r="7936" customFormat="false" ht="15" hidden="false" customHeight="false" outlineLevel="0" collapsed="false">
      <c r="B7936" s="53"/>
      <c r="I7936" s="53"/>
      <c r="U7936" s="31" t="n">
        <f aca="false">IF($B7936='設定（最初に1回）'!$C$4,N(U7935)+1,N(U7935))</f>
        <v>134</v>
      </c>
    </row>
    <row r="7937" customFormat="false" ht="15" hidden="false" customHeight="false" outlineLevel="0" collapsed="false">
      <c r="B7937" s="53"/>
      <c r="I7937" s="53"/>
      <c r="U7937" s="31" t="n">
        <f aca="false">IF($B7937='設定（最初に1回）'!$C$4,N(U7936)+1,N(U7936))</f>
        <v>134</v>
      </c>
    </row>
    <row r="7938" customFormat="false" ht="15" hidden="false" customHeight="false" outlineLevel="0" collapsed="false">
      <c r="B7938" s="53"/>
      <c r="I7938" s="53"/>
      <c r="U7938" s="31" t="n">
        <f aca="false">IF($B7938='設定（最初に1回）'!$C$4,N(U7937)+1,N(U7937))</f>
        <v>134</v>
      </c>
    </row>
    <row r="7939" customFormat="false" ht="15" hidden="false" customHeight="false" outlineLevel="0" collapsed="false">
      <c r="B7939" s="53"/>
      <c r="I7939" s="53"/>
      <c r="U7939" s="31" t="n">
        <f aca="false">IF($B7939='設定（最初に1回）'!$C$4,N(U7938)+1,N(U7938))</f>
        <v>134</v>
      </c>
    </row>
    <row r="7940" customFormat="false" ht="15" hidden="false" customHeight="false" outlineLevel="0" collapsed="false">
      <c r="B7940" s="53"/>
      <c r="I7940" s="53"/>
      <c r="U7940" s="31" t="n">
        <f aca="false">IF($B7940='設定（最初に1回）'!$C$4,N(U7939)+1,N(U7939))</f>
        <v>134</v>
      </c>
    </row>
    <row r="7941" customFormat="false" ht="15" hidden="false" customHeight="false" outlineLevel="0" collapsed="false">
      <c r="B7941" s="53"/>
      <c r="I7941" s="53"/>
      <c r="U7941" s="31" t="n">
        <f aca="false">IF($B7941='設定（最初に1回）'!$C$4,N(U7940)+1,N(U7940))</f>
        <v>134</v>
      </c>
    </row>
    <row r="7942" customFormat="false" ht="15" hidden="false" customHeight="false" outlineLevel="0" collapsed="false">
      <c r="B7942" s="53"/>
      <c r="I7942" s="53"/>
      <c r="U7942" s="31" t="n">
        <f aca="false">IF($B7942='設定（最初に1回）'!$C$4,N(U7941)+1,N(U7941))</f>
        <v>134</v>
      </c>
    </row>
    <row r="7943" customFormat="false" ht="15" hidden="false" customHeight="false" outlineLevel="0" collapsed="false">
      <c r="B7943" s="53"/>
      <c r="I7943" s="53"/>
      <c r="U7943" s="31" t="n">
        <f aca="false">IF($B7943='設定（最初に1回）'!$C$4,N(U7942)+1,N(U7942))</f>
        <v>134</v>
      </c>
    </row>
    <row r="7944" customFormat="false" ht="15" hidden="false" customHeight="false" outlineLevel="0" collapsed="false">
      <c r="B7944" s="53"/>
      <c r="I7944" s="53"/>
      <c r="U7944" s="31" t="n">
        <f aca="false">IF($B7944='設定（最初に1回）'!$C$4,N(U7943)+1,N(U7943))</f>
        <v>134</v>
      </c>
    </row>
    <row r="7945" customFormat="false" ht="15" hidden="false" customHeight="false" outlineLevel="0" collapsed="false">
      <c r="B7945" s="53"/>
      <c r="I7945" s="53"/>
      <c r="U7945" s="31" t="n">
        <f aca="false">IF($B7945='設定（最初に1回）'!$C$4,N(U7944)+1,N(U7944))</f>
        <v>134</v>
      </c>
    </row>
    <row r="7946" customFormat="false" ht="15" hidden="false" customHeight="false" outlineLevel="0" collapsed="false">
      <c r="B7946" s="53"/>
      <c r="I7946" s="53"/>
      <c r="U7946" s="31" t="n">
        <f aca="false">IF($B7946='設定（最初に1回）'!$C$4,N(U7945)+1,N(U7945))</f>
        <v>134</v>
      </c>
    </row>
    <row r="7947" customFormat="false" ht="15" hidden="false" customHeight="false" outlineLevel="0" collapsed="false">
      <c r="B7947" s="53"/>
      <c r="I7947" s="53"/>
      <c r="U7947" s="31" t="n">
        <f aca="false">IF($B7947='設定（最初に1回）'!$C$4,N(U7946)+1,N(U7946))</f>
        <v>134</v>
      </c>
    </row>
    <row r="7948" customFormat="false" ht="15" hidden="false" customHeight="false" outlineLevel="0" collapsed="false">
      <c r="B7948" s="53"/>
      <c r="I7948" s="53"/>
      <c r="U7948" s="31" t="n">
        <f aca="false">IF($B7948='設定（最初に1回）'!$C$4,N(U7947)+1,N(U7947))</f>
        <v>134</v>
      </c>
    </row>
    <row r="7949" customFormat="false" ht="15" hidden="false" customHeight="false" outlineLevel="0" collapsed="false">
      <c r="B7949" s="53"/>
      <c r="I7949" s="53"/>
      <c r="U7949" s="31" t="n">
        <f aca="false">IF($B7949='設定（最初に1回）'!$C$4,N(U7948)+1,N(U7948))</f>
        <v>134</v>
      </c>
    </row>
    <row r="7950" customFormat="false" ht="15" hidden="false" customHeight="false" outlineLevel="0" collapsed="false">
      <c r="B7950" s="53"/>
      <c r="I7950" s="53"/>
      <c r="U7950" s="31" t="n">
        <f aca="false">IF($B7950='設定（最初に1回）'!$C$4,N(U7949)+1,N(U7949))</f>
        <v>134</v>
      </c>
    </row>
    <row r="7951" customFormat="false" ht="15" hidden="false" customHeight="false" outlineLevel="0" collapsed="false">
      <c r="B7951" s="53"/>
      <c r="I7951" s="53"/>
      <c r="U7951" s="31" t="n">
        <f aca="false">IF($B7951='設定（最初に1回）'!$C$4,N(U7950)+1,N(U7950))</f>
        <v>134</v>
      </c>
    </row>
    <row r="7952" customFormat="false" ht="15" hidden="false" customHeight="false" outlineLevel="0" collapsed="false">
      <c r="B7952" s="53"/>
      <c r="I7952" s="53"/>
      <c r="U7952" s="31" t="n">
        <f aca="false">IF($B7952='設定（最初に1回）'!$C$4,N(U7951)+1,N(U7951))</f>
        <v>134</v>
      </c>
    </row>
    <row r="7953" customFormat="false" ht="15" hidden="false" customHeight="false" outlineLevel="0" collapsed="false">
      <c r="B7953" s="53"/>
      <c r="I7953" s="53"/>
      <c r="U7953" s="31" t="n">
        <f aca="false">IF($B7953='設定（最初に1回）'!$C$4,N(U7952)+1,N(U7952))</f>
        <v>134</v>
      </c>
    </row>
    <row r="7954" customFormat="false" ht="15" hidden="false" customHeight="false" outlineLevel="0" collapsed="false">
      <c r="B7954" s="53"/>
      <c r="I7954" s="53"/>
      <c r="U7954" s="31" t="n">
        <f aca="false">IF($B7954='設定（最初に1回）'!$C$4,N(U7953)+1,N(U7953))</f>
        <v>134</v>
      </c>
    </row>
    <row r="7955" customFormat="false" ht="15" hidden="false" customHeight="false" outlineLevel="0" collapsed="false">
      <c r="B7955" s="53"/>
      <c r="I7955" s="53"/>
      <c r="U7955" s="31" t="n">
        <f aca="false">IF($B7955='設定（最初に1回）'!$C$4,N(U7954)+1,N(U7954))</f>
        <v>134</v>
      </c>
    </row>
    <row r="7956" customFormat="false" ht="15" hidden="false" customHeight="false" outlineLevel="0" collapsed="false">
      <c r="B7956" s="53"/>
      <c r="I7956" s="53"/>
      <c r="U7956" s="31" t="n">
        <f aca="false">IF($B7956='設定（最初に1回）'!$C$4,N(U7955)+1,N(U7955))</f>
        <v>134</v>
      </c>
    </row>
    <row r="7957" customFormat="false" ht="15" hidden="false" customHeight="false" outlineLevel="0" collapsed="false">
      <c r="B7957" s="53"/>
      <c r="I7957" s="53"/>
      <c r="U7957" s="31" t="n">
        <f aca="false">IF($B7957='設定（最初に1回）'!$C$4,N(U7956)+1,N(U7956))</f>
        <v>134</v>
      </c>
    </row>
    <row r="7958" customFormat="false" ht="15" hidden="false" customHeight="false" outlineLevel="0" collapsed="false">
      <c r="B7958" s="53"/>
      <c r="I7958" s="53"/>
      <c r="U7958" s="31" t="n">
        <f aca="false">IF($B7958='設定（最初に1回）'!$C$4,N(U7957)+1,N(U7957))</f>
        <v>134</v>
      </c>
    </row>
    <row r="7959" customFormat="false" ht="15" hidden="false" customHeight="false" outlineLevel="0" collapsed="false">
      <c r="B7959" s="53"/>
      <c r="I7959" s="53"/>
      <c r="U7959" s="31" t="n">
        <f aca="false">IF($B7959='設定（最初に1回）'!$C$4,N(U7958)+1,N(U7958))</f>
        <v>134</v>
      </c>
    </row>
    <row r="7960" customFormat="false" ht="15" hidden="false" customHeight="false" outlineLevel="0" collapsed="false">
      <c r="B7960" s="53"/>
      <c r="I7960" s="53"/>
      <c r="U7960" s="31" t="n">
        <f aca="false">IF($B7960='設定（最初に1回）'!$C$4,N(U7959)+1,N(U7959))</f>
        <v>134</v>
      </c>
    </row>
    <row r="7961" customFormat="false" ht="15" hidden="false" customHeight="false" outlineLevel="0" collapsed="false">
      <c r="B7961" s="53"/>
      <c r="I7961" s="53"/>
      <c r="U7961" s="31" t="n">
        <f aca="false">IF($B7961='設定（最初に1回）'!$C$4,N(U7960)+1,N(U7960))</f>
        <v>134</v>
      </c>
    </row>
    <row r="7962" customFormat="false" ht="15" hidden="false" customHeight="false" outlineLevel="0" collapsed="false">
      <c r="B7962" s="53"/>
      <c r="I7962" s="53"/>
      <c r="U7962" s="31" t="n">
        <f aca="false">IF($B7962='設定（最初に1回）'!$C$4,N(U7961)+1,N(U7961))</f>
        <v>134</v>
      </c>
    </row>
    <row r="7963" customFormat="false" ht="15" hidden="false" customHeight="false" outlineLevel="0" collapsed="false">
      <c r="B7963" s="53"/>
      <c r="I7963" s="53"/>
      <c r="U7963" s="31" t="n">
        <f aca="false">IF($B7963='設定（最初に1回）'!$C$4,N(U7962)+1,N(U7962))</f>
        <v>134</v>
      </c>
    </row>
    <row r="7964" customFormat="false" ht="15" hidden="false" customHeight="false" outlineLevel="0" collapsed="false">
      <c r="B7964" s="53"/>
      <c r="I7964" s="53"/>
      <c r="U7964" s="31" t="n">
        <f aca="false">IF($B7964='設定（最初に1回）'!$C$4,N(U7963)+1,N(U7963))</f>
        <v>134</v>
      </c>
    </row>
    <row r="7965" customFormat="false" ht="15" hidden="false" customHeight="false" outlineLevel="0" collapsed="false">
      <c r="B7965" s="53"/>
      <c r="I7965" s="53"/>
      <c r="U7965" s="31" t="n">
        <f aca="false">IF($B7965='設定（最初に1回）'!$C$4,N(U7964)+1,N(U7964))</f>
        <v>134</v>
      </c>
    </row>
    <row r="7966" customFormat="false" ht="15" hidden="false" customHeight="false" outlineLevel="0" collapsed="false">
      <c r="B7966" s="53"/>
      <c r="I7966" s="53"/>
      <c r="U7966" s="31" t="n">
        <f aca="false">IF($B7966='設定（最初に1回）'!$C$4,N(U7965)+1,N(U7965))</f>
        <v>134</v>
      </c>
    </row>
    <row r="7967" customFormat="false" ht="15" hidden="false" customHeight="false" outlineLevel="0" collapsed="false">
      <c r="B7967" s="53"/>
      <c r="I7967" s="53"/>
      <c r="U7967" s="31" t="n">
        <f aca="false">IF($B7967='設定（最初に1回）'!$C$4,N(U7966)+1,N(U7966))</f>
        <v>134</v>
      </c>
    </row>
    <row r="7968" customFormat="false" ht="15" hidden="false" customHeight="false" outlineLevel="0" collapsed="false">
      <c r="B7968" s="53"/>
      <c r="I7968" s="53"/>
      <c r="U7968" s="31" t="n">
        <f aca="false">IF($B7968='設定（最初に1回）'!$C$4,N(U7967)+1,N(U7967))</f>
        <v>134</v>
      </c>
    </row>
    <row r="7969" customFormat="false" ht="15" hidden="false" customHeight="false" outlineLevel="0" collapsed="false">
      <c r="B7969" s="53"/>
      <c r="I7969" s="53"/>
      <c r="U7969" s="31" t="n">
        <f aca="false">IF($B7969='設定（最初に1回）'!$C$4,N(U7968)+1,N(U7968))</f>
        <v>134</v>
      </c>
    </row>
    <row r="7970" customFormat="false" ht="15" hidden="false" customHeight="false" outlineLevel="0" collapsed="false">
      <c r="B7970" s="53"/>
      <c r="I7970" s="53"/>
      <c r="U7970" s="31" t="n">
        <f aca="false">IF($B7970='設定（最初に1回）'!$C$4,N(U7969)+1,N(U7969))</f>
        <v>134</v>
      </c>
    </row>
    <row r="7971" customFormat="false" ht="15" hidden="false" customHeight="false" outlineLevel="0" collapsed="false">
      <c r="B7971" s="53"/>
      <c r="I7971" s="53"/>
      <c r="U7971" s="31" t="n">
        <f aca="false">IF($B7971='設定（最初に1回）'!$C$4,N(U7970)+1,N(U7970))</f>
        <v>134</v>
      </c>
    </row>
    <row r="7972" customFormat="false" ht="15" hidden="false" customHeight="false" outlineLevel="0" collapsed="false">
      <c r="B7972" s="53"/>
      <c r="I7972" s="53"/>
      <c r="U7972" s="31" t="n">
        <f aca="false">IF($B7972='設定（最初に1回）'!$C$4,N(U7971)+1,N(U7971))</f>
        <v>134</v>
      </c>
    </row>
    <row r="7973" customFormat="false" ht="15" hidden="false" customHeight="false" outlineLevel="0" collapsed="false">
      <c r="B7973" s="53"/>
      <c r="I7973" s="53"/>
      <c r="U7973" s="31" t="n">
        <f aca="false">IF($B7973='設定（最初に1回）'!$C$4,N(U7972)+1,N(U7972))</f>
        <v>134</v>
      </c>
    </row>
    <row r="7974" customFormat="false" ht="15" hidden="false" customHeight="false" outlineLevel="0" collapsed="false">
      <c r="B7974" s="53"/>
      <c r="I7974" s="53"/>
      <c r="U7974" s="31" t="n">
        <f aca="false">IF($B7974='設定（最初に1回）'!$C$4,N(U7973)+1,N(U7973))</f>
        <v>134</v>
      </c>
    </row>
    <row r="7975" customFormat="false" ht="15" hidden="false" customHeight="false" outlineLevel="0" collapsed="false">
      <c r="B7975" s="53"/>
      <c r="I7975" s="53"/>
      <c r="U7975" s="31" t="n">
        <f aca="false">IF($B7975='設定（最初に1回）'!$C$4,N(U7974)+1,N(U7974))</f>
        <v>134</v>
      </c>
    </row>
    <row r="7976" customFormat="false" ht="15" hidden="false" customHeight="false" outlineLevel="0" collapsed="false">
      <c r="B7976" s="53"/>
      <c r="I7976" s="53"/>
      <c r="U7976" s="31" t="n">
        <f aca="false">IF($B7976='設定（最初に1回）'!$C$4,N(U7975)+1,N(U7975))</f>
        <v>134</v>
      </c>
    </row>
    <row r="7977" customFormat="false" ht="15" hidden="false" customHeight="false" outlineLevel="0" collapsed="false">
      <c r="B7977" s="53"/>
      <c r="I7977" s="53"/>
      <c r="U7977" s="31" t="n">
        <f aca="false">IF($B7977='設定（最初に1回）'!$C$4,N(U7976)+1,N(U7976))</f>
        <v>134</v>
      </c>
    </row>
    <row r="7978" customFormat="false" ht="15" hidden="false" customHeight="false" outlineLevel="0" collapsed="false">
      <c r="B7978" s="53"/>
      <c r="I7978" s="53"/>
      <c r="U7978" s="31" t="n">
        <f aca="false">IF($B7978='設定（最初に1回）'!$C$4,N(U7977)+1,N(U7977))</f>
        <v>134</v>
      </c>
    </row>
    <row r="7979" customFormat="false" ht="15" hidden="false" customHeight="false" outlineLevel="0" collapsed="false">
      <c r="B7979" s="53"/>
      <c r="I7979" s="53"/>
      <c r="U7979" s="31" t="n">
        <f aca="false">IF($B7979='設定（最初に1回）'!$C$4,N(U7978)+1,N(U7978))</f>
        <v>134</v>
      </c>
    </row>
    <row r="7980" customFormat="false" ht="15" hidden="false" customHeight="false" outlineLevel="0" collapsed="false">
      <c r="B7980" s="53"/>
      <c r="I7980" s="53"/>
      <c r="U7980" s="31" t="n">
        <f aca="false">IF($B7980='設定（最初に1回）'!$C$4,N(U7979)+1,N(U7979))</f>
        <v>134</v>
      </c>
    </row>
    <row r="7981" customFormat="false" ht="15" hidden="false" customHeight="false" outlineLevel="0" collapsed="false">
      <c r="B7981" s="53"/>
      <c r="I7981" s="53"/>
      <c r="U7981" s="31" t="n">
        <f aca="false">IF($B7981='設定（最初に1回）'!$C$4,N(U7980)+1,N(U7980))</f>
        <v>134</v>
      </c>
    </row>
    <row r="7982" customFormat="false" ht="15" hidden="false" customHeight="false" outlineLevel="0" collapsed="false">
      <c r="B7982" s="53"/>
      <c r="I7982" s="53"/>
      <c r="U7982" s="31" t="n">
        <f aca="false">IF($B7982='設定（最初に1回）'!$C$4,N(U7981)+1,N(U7981))</f>
        <v>134</v>
      </c>
    </row>
    <row r="7983" customFormat="false" ht="15" hidden="false" customHeight="false" outlineLevel="0" collapsed="false">
      <c r="B7983" s="53"/>
      <c r="I7983" s="53"/>
      <c r="U7983" s="31" t="n">
        <f aca="false">IF($B7983='設定（最初に1回）'!$C$4,N(U7982)+1,N(U7982))</f>
        <v>134</v>
      </c>
    </row>
    <row r="7984" customFormat="false" ht="15" hidden="false" customHeight="false" outlineLevel="0" collapsed="false">
      <c r="B7984" s="53"/>
      <c r="I7984" s="53"/>
      <c r="U7984" s="31" t="n">
        <f aca="false">IF($B7984='設定（最初に1回）'!$C$4,N(U7983)+1,N(U7983))</f>
        <v>134</v>
      </c>
    </row>
    <row r="7985" customFormat="false" ht="15" hidden="false" customHeight="false" outlineLevel="0" collapsed="false">
      <c r="B7985" s="53"/>
      <c r="I7985" s="53"/>
      <c r="U7985" s="31" t="n">
        <f aca="false">IF($B7985='設定（最初に1回）'!$C$4,N(U7984)+1,N(U7984))</f>
        <v>134</v>
      </c>
    </row>
    <row r="7986" customFormat="false" ht="15" hidden="false" customHeight="false" outlineLevel="0" collapsed="false">
      <c r="B7986" s="53"/>
      <c r="I7986" s="53"/>
      <c r="U7986" s="31" t="n">
        <f aca="false">IF($B7986='設定（最初に1回）'!$C$4,N(U7985)+1,N(U7985))</f>
        <v>134</v>
      </c>
    </row>
    <row r="7987" customFormat="false" ht="15" hidden="false" customHeight="false" outlineLevel="0" collapsed="false">
      <c r="B7987" s="53"/>
      <c r="I7987" s="53"/>
      <c r="U7987" s="31" t="n">
        <f aca="false">IF($B7987='設定（最初に1回）'!$C$4,N(U7986)+1,N(U7986))</f>
        <v>134</v>
      </c>
    </row>
    <row r="7988" customFormat="false" ht="15" hidden="false" customHeight="false" outlineLevel="0" collapsed="false">
      <c r="B7988" s="53"/>
      <c r="I7988" s="53"/>
      <c r="U7988" s="31" t="n">
        <f aca="false">IF($B7988='設定（最初に1回）'!$C$4,N(U7987)+1,N(U7987))</f>
        <v>134</v>
      </c>
    </row>
    <row r="7989" customFormat="false" ht="15" hidden="false" customHeight="false" outlineLevel="0" collapsed="false">
      <c r="B7989" s="53"/>
      <c r="I7989" s="53"/>
      <c r="U7989" s="31" t="n">
        <f aca="false">IF($B7989='設定（最初に1回）'!$C$4,N(U7988)+1,N(U7988))</f>
        <v>134</v>
      </c>
    </row>
    <row r="7990" customFormat="false" ht="15" hidden="false" customHeight="false" outlineLevel="0" collapsed="false">
      <c r="B7990" s="53"/>
      <c r="I7990" s="53"/>
      <c r="U7990" s="31" t="n">
        <f aca="false">IF($B7990='設定（最初に1回）'!$C$4,N(U7989)+1,N(U7989))</f>
        <v>134</v>
      </c>
    </row>
    <row r="7991" customFormat="false" ht="15" hidden="false" customHeight="false" outlineLevel="0" collapsed="false">
      <c r="B7991" s="53"/>
      <c r="I7991" s="53"/>
      <c r="U7991" s="31" t="n">
        <f aca="false">IF($B7991='設定（最初に1回）'!$C$4,N(U7990)+1,N(U7990))</f>
        <v>134</v>
      </c>
    </row>
    <row r="7992" customFormat="false" ht="15" hidden="false" customHeight="false" outlineLevel="0" collapsed="false">
      <c r="B7992" s="53"/>
      <c r="I7992" s="53"/>
      <c r="U7992" s="31" t="n">
        <f aca="false">IF($B7992='設定（最初に1回）'!$C$4,N(U7991)+1,N(U7991))</f>
        <v>134</v>
      </c>
    </row>
    <row r="7993" customFormat="false" ht="15" hidden="false" customHeight="false" outlineLevel="0" collapsed="false">
      <c r="B7993" s="53"/>
      <c r="I7993" s="53"/>
      <c r="U7993" s="31" t="n">
        <f aca="false">IF($B7993='設定（最初に1回）'!$C$4,N(U7992)+1,N(U7992))</f>
        <v>134</v>
      </c>
    </row>
    <row r="7994" customFormat="false" ht="15" hidden="false" customHeight="false" outlineLevel="0" collapsed="false">
      <c r="B7994" s="53"/>
      <c r="I7994" s="53"/>
      <c r="U7994" s="31" t="n">
        <f aca="false">IF($B7994='設定（最初に1回）'!$C$4,N(U7993)+1,N(U7993))</f>
        <v>134</v>
      </c>
    </row>
    <row r="7995" customFormat="false" ht="15" hidden="false" customHeight="false" outlineLevel="0" collapsed="false">
      <c r="B7995" s="53"/>
      <c r="I7995" s="53"/>
      <c r="U7995" s="31" t="n">
        <f aca="false">IF($B7995='設定（最初に1回）'!$C$4,N(U7994)+1,N(U7994))</f>
        <v>134</v>
      </c>
    </row>
    <row r="7996" customFormat="false" ht="15" hidden="false" customHeight="false" outlineLevel="0" collapsed="false">
      <c r="B7996" s="53"/>
      <c r="I7996" s="53"/>
      <c r="U7996" s="31" t="n">
        <f aca="false">IF($B7996='設定（最初に1回）'!$C$4,N(U7995)+1,N(U7995))</f>
        <v>134</v>
      </c>
    </row>
    <row r="7997" customFormat="false" ht="15" hidden="false" customHeight="false" outlineLevel="0" collapsed="false">
      <c r="B7997" s="53"/>
      <c r="I7997" s="53"/>
      <c r="U7997" s="31" t="n">
        <f aca="false">IF($B7997='設定（最初に1回）'!$C$4,N(U7996)+1,N(U7996))</f>
        <v>134</v>
      </c>
    </row>
    <row r="7998" customFormat="false" ht="15" hidden="false" customHeight="false" outlineLevel="0" collapsed="false">
      <c r="B7998" s="53"/>
      <c r="I7998" s="53"/>
      <c r="U7998" s="31" t="n">
        <f aca="false">IF($B7998='設定（最初に1回）'!$C$4,N(U7997)+1,N(U7997))</f>
        <v>134</v>
      </c>
    </row>
    <row r="7999" customFormat="false" ht="15" hidden="false" customHeight="false" outlineLevel="0" collapsed="false">
      <c r="B7999" s="53"/>
      <c r="I7999" s="53"/>
      <c r="U7999" s="31" t="n">
        <f aca="false">IF($B7999='設定（最初に1回）'!$C$4,N(U7998)+1,N(U7998))</f>
        <v>134</v>
      </c>
    </row>
    <row r="8000" customFormat="false" ht="15" hidden="false" customHeight="false" outlineLevel="0" collapsed="false">
      <c r="B8000" s="53"/>
      <c r="I8000" s="53"/>
      <c r="U8000" s="31" t="n">
        <f aca="false">IF($B8000='設定（最初に1回）'!$C$4,N(U7999)+1,N(U7999))</f>
        <v>134</v>
      </c>
    </row>
    <row r="8001" customFormat="false" ht="15" hidden="false" customHeight="false" outlineLevel="0" collapsed="false">
      <c r="B8001" s="53"/>
      <c r="I8001" s="53"/>
      <c r="U8001" s="31" t="n">
        <f aca="false">IF($B8001='設定（最初に1回）'!$C$4,N(U8000)+1,N(U8000))</f>
        <v>134</v>
      </c>
    </row>
    <row r="8002" customFormat="false" ht="15" hidden="false" customHeight="false" outlineLevel="0" collapsed="false">
      <c r="B8002" s="53"/>
      <c r="I8002" s="53"/>
      <c r="U8002" s="31" t="n">
        <f aca="false">IF($B8002='設定（最初に1回）'!$C$4,N(U8001)+1,N(U8001))</f>
        <v>134</v>
      </c>
    </row>
    <row r="8003" customFormat="false" ht="15" hidden="false" customHeight="false" outlineLevel="0" collapsed="false">
      <c r="B8003" s="53"/>
      <c r="I8003" s="53"/>
      <c r="U8003" s="31" t="n">
        <f aca="false">IF($B8003='設定（最初に1回）'!$C$4,N(U8002)+1,N(U8002))</f>
        <v>134</v>
      </c>
    </row>
    <row r="8004" customFormat="false" ht="15" hidden="false" customHeight="false" outlineLevel="0" collapsed="false">
      <c r="B8004" s="53"/>
      <c r="I8004" s="53"/>
      <c r="U8004" s="31" t="n">
        <f aca="false">IF($B8004='設定（最初に1回）'!$C$4,N(U8003)+1,N(U8003))</f>
        <v>134</v>
      </c>
    </row>
    <row r="8005" customFormat="false" ht="15" hidden="false" customHeight="false" outlineLevel="0" collapsed="false">
      <c r="B8005" s="53"/>
      <c r="I8005" s="53"/>
      <c r="U8005" s="31" t="n">
        <f aca="false">IF($B8005='設定（最初に1回）'!$C$4,N(U8004)+1,N(U8004))</f>
        <v>134</v>
      </c>
    </row>
    <row r="8006" customFormat="false" ht="15" hidden="false" customHeight="false" outlineLevel="0" collapsed="false">
      <c r="B8006" s="53"/>
      <c r="I8006" s="53"/>
      <c r="U8006" s="31" t="n">
        <f aca="false">IF($B8006='設定（最初に1回）'!$C$4,N(U8005)+1,N(U8005))</f>
        <v>134</v>
      </c>
    </row>
    <row r="8007" customFormat="false" ht="15" hidden="false" customHeight="false" outlineLevel="0" collapsed="false">
      <c r="B8007" s="53"/>
      <c r="I8007" s="53"/>
      <c r="U8007" s="31" t="n">
        <f aca="false">IF($B8007='設定（最初に1回）'!$C$4,N(U8006)+1,N(U8006))</f>
        <v>134</v>
      </c>
    </row>
    <row r="8008" customFormat="false" ht="15" hidden="false" customHeight="false" outlineLevel="0" collapsed="false">
      <c r="B8008" s="53"/>
      <c r="I8008" s="53"/>
      <c r="U8008" s="31" t="n">
        <f aca="false">IF($B8008='設定（最初に1回）'!$C$4,N(U8007)+1,N(U8007))</f>
        <v>134</v>
      </c>
    </row>
    <row r="8009" customFormat="false" ht="15" hidden="false" customHeight="false" outlineLevel="0" collapsed="false">
      <c r="B8009" s="53"/>
      <c r="I8009" s="53"/>
      <c r="U8009" s="31" t="n">
        <f aca="false">IF($B8009='設定（最初に1回）'!$C$4,N(U8008)+1,N(U8008))</f>
        <v>134</v>
      </c>
    </row>
    <row r="8010" customFormat="false" ht="15" hidden="false" customHeight="false" outlineLevel="0" collapsed="false">
      <c r="B8010" s="53"/>
      <c r="I8010" s="53"/>
      <c r="U8010" s="31" t="n">
        <f aca="false">IF($B8010='設定（最初に1回）'!$C$4,N(U8009)+1,N(U8009))</f>
        <v>134</v>
      </c>
    </row>
    <row r="8011" customFormat="false" ht="15" hidden="false" customHeight="false" outlineLevel="0" collapsed="false">
      <c r="B8011" s="53"/>
      <c r="I8011" s="53"/>
      <c r="U8011" s="31" t="n">
        <f aca="false">IF($B8011='設定（最初に1回）'!$C$4,N(U8010)+1,N(U8010))</f>
        <v>134</v>
      </c>
    </row>
    <row r="8012" customFormat="false" ht="15" hidden="false" customHeight="false" outlineLevel="0" collapsed="false">
      <c r="B8012" s="53"/>
      <c r="I8012" s="53"/>
      <c r="U8012" s="31" t="n">
        <f aca="false">IF($B8012='設定（最初に1回）'!$C$4,N(U8011)+1,N(U8011))</f>
        <v>134</v>
      </c>
    </row>
    <row r="8013" customFormat="false" ht="15" hidden="false" customHeight="false" outlineLevel="0" collapsed="false">
      <c r="B8013" s="53"/>
      <c r="I8013" s="53"/>
      <c r="U8013" s="31" t="n">
        <f aca="false">IF($B8013='設定（最初に1回）'!$C$4,N(U8012)+1,N(U8012))</f>
        <v>134</v>
      </c>
    </row>
    <row r="8014" customFormat="false" ht="15" hidden="false" customHeight="false" outlineLevel="0" collapsed="false">
      <c r="B8014" s="53"/>
      <c r="I8014" s="53"/>
      <c r="U8014" s="31" t="n">
        <f aca="false">IF($B8014='設定（最初に1回）'!$C$4,N(U8013)+1,N(U8013))</f>
        <v>134</v>
      </c>
    </row>
    <row r="8015" customFormat="false" ht="15" hidden="false" customHeight="false" outlineLevel="0" collapsed="false">
      <c r="B8015" s="53"/>
      <c r="I8015" s="53"/>
      <c r="U8015" s="31" t="n">
        <f aca="false">IF($B8015='設定（最初に1回）'!$C$4,N(U8014)+1,N(U8014))</f>
        <v>134</v>
      </c>
    </row>
    <row r="8016" customFormat="false" ht="15" hidden="false" customHeight="false" outlineLevel="0" collapsed="false">
      <c r="B8016" s="53"/>
      <c r="I8016" s="53"/>
      <c r="U8016" s="31" t="n">
        <f aca="false">IF($B8016='設定（最初に1回）'!$C$4,N(U8015)+1,N(U8015))</f>
        <v>134</v>
      </c>
    </row>
    <row r="8017" customFormat="false" ht="15" hidden="false" customHeight="false" outlineLevel="0" collapsed="false">
      <c r="B8017" s="53"/>
      <c r="I8017" s="53"/>
      <c r="U8017" s="31" t="n">
        <f aca="false">IF($B8017='設定（最初に1回）'!$C$4,N(U8016)+1,N(U8016))</f>
        <v>134</v>
      </c>
    </row>
    <row r="8018" customFormat="false" ht="15" hidden="false" customHeight="false" outlineLevel="0" collapsed="false">
      <c r="B8018" s="53"/>
      <c r="I8018" s="53"/>
      <c r="U8018" s="31" t="n">
        <f aca="false">IF($B8018='設定（最初に1回）'!$C$4,N(U8017)+1,N(U8017))</f>
        <v>134</v>
      </c>
    </row>
    <row r="8019" customFormat="false" ht="15" hidden="false" customHeight="false" outlineLevel="0" collapsed="false">
      <c r="B8019" s="53"/>
      <c r="I8019" s="53"/>
      <c r="U8019" s="31" t="n">
        <f aca="false">IF($B8019='設定（最初に1回）'!$C$4,N(U8018)+1,N(U8018))</f>
        <v>134</v>
      </c>
    </row>
    <row r="8020" customFormat="false" ht="15" hidden="false" customHeight="false" outlineLevel="0" collapsed="false">
      <c r="B8020" s="53"/>
      <c r="I8020" s="53"/>
      <c r="U8020" s="31" t="n">
        <f aca="false">IF($B8020='設定（最初に1回）'!$C$4,N(U8019)+1,N(U8019))</f>
        <v>134</v>
      </c>
    </row>
    <row r="8021" customFormat="false" ht="15" hidden="false" customHeight="false" outlineLevel="0" collapsed="false">
      <c r="B8021" s="53"/>
      <c r="I8021" s="53"/>
      <c r="U8021" s="31" t="n">
        <f aca="false">IF($B8021='設定（最初に1回）'!$C$4,N(U8020)+1,N(U8020))</f>
        <v>134</v>
      </c>
    </row>
    <row r="8022" customFormat="false" ht="15" hidden="false" customHeight="false" outlineLevel="0" collapsed="false">
      <c r="B8022" s="53"/>
      <c r="I8022" s="53"/>
      <c r="U8022" s="31" t="n">
        <f aca="false">IF($B8022='設定（最初に1回）'!$C$4,N(U8021)+1,N(U8021))</f>
        <v>134</v>
      </c>
    </row>
    <row r="8023" customFormat="false" ht="15" hidden="false" customHeight="false" outlineLevel="0" collapsed="false">
      <c r="B8023" s="53"/>
      <c r="I8023" s="53"/>
      <c r="U8023" s="31" t="n">
        <f aca="false">IF($B8023='設定（最初に1回）'!$C$4,N(U8022)+1,N(U8022))</f>
        <v>134</v>
      </c>
    </row>
    <row r="8024" customFormat="false" ht="15" hidden="false" customHeight="false" outlineLevel="0" collapsed="false">
      <c r="B8024" s="53"/>
      <c r="I8024" s="53"/>
      <c r="U8024" s="31" t="n">
        <f aca="false">IF($B8024='設定（最初に1回）'!$C$4,N(U8023)+1,N(U8023))</f>
        <v>134</v>
      </c>
    </row>
    <row r="8025" customFormat="false" ht="15" hidden="false" customHeight="false" outlineLevel="0" collapsed="false">
      <c r="B8025" s="53"/>
      <c r="I8025" s="53"/>
      <c r="U8025" s="31" t="n">
        <f aca="false">IF($B8025='設定（最初に1回）'!$C$4,N(U8024)+1,N(U8024))</f>
        <v>134</v>
      </c>
    </row>
    <row r="8026" customFormat="false" ht="15" hidden="false" customHeight="false" outlineLevel="0" collapsed="false">
      <c r="B8026" s="53"/>
      <c r="I8026" s="53"/>
      <c r="U8026" s="31" t="n">
        <f aca="false">IF($B8026='設定（最初に1回）'!$C$4,N(U8025)+1,N(U8025))</f>
        <v>134</v>
      </c>
    </row>
    <row r="8027" customFormat="false" ht="15" hidden="false" customHeight="false" outlineLevel="0" collapsed="false">
      <c r="B8027" s="53"/>
      <c r="I8027" s="53"/>
      <c r="U8027" s="31" t="n">
        <f aca="false">IF($B8027='設定（最初に1回）'!$C$4,N(U8026)+1,N(U8026))</f>
        <v>134</v>
      </c>
    </row>
    <row r="8028" customFormat="false" ht="15" hidden="false" customHeight="false" outlineLevel="0" collapsed="false">
      <c r="B8028" s="53"/>
      <c r="I8028" s="53"/>
      <c r="U8028" s="31" t="n">
        <f aca="false">IF($B8028='設定（最初に1回）'!$C$4,N(U8027)+1,N(U8027))</f>
        <v>134</v>
      </c>
    </row>
    <row r="8029" customFormat="false" ht="15" hidden="false" customHeight="false" outlineLevel="0" collapsed="false">
      <c r="B8029" s="53"/>
      <c r="I8029" s="53"/>
      <c r="U8029" s="31" t="n">
        <f aca="false">IF($B8029='設定（最初に1回）'!$C$4,N(U8028)+1,N(U8028))</f>
        <v>134</v>
      </c>
    </row>
    <row r="8030" customFormat="false" ht="15" hidden="false" customHeight="false" outlineLevel="0" collapsed="false">
      <c r="B8030" s="53"/>
      <c r="I8030" s="53"/>
      <c r="U8030" s="31" t="n">
        <f aca="false">IF($B8030='設定（最初に1回）'!$C$4,N(U8029)+1,N(U8029))</f>
        <v>134</v>
      </c>
    </row>
    <row r="8031" customFormat="false" ht="15" hidden="false" customHeight="false" outlineLevel="0" collapsed="false">
      <c r="B8031" s="53"/>
      <c r="I8031" s="53"/>
      <c r="U8031" s="31" t="n">
        <f aca="false">IF($B8031='設定（最初に1回）'!$C$4,N(U8030)+1,N(U8030))</f>
        <v>134</v>
      </c>
    </row>
    <row r="8032" customFormat="false" ht="15" hidden="false" customHeight="false" outlineLevel="0" collapsed="false">
      <c r="B8032" s="53"/>
      <c r="I8032" s="53"/>
      <c r="U8032" s="31" t="n">
        <f aca="false">IF($B8032='設定（最初に1回）'!$C$4,N(U8031)+1,N(U8031))</f>
        <v>134</v>
      </c>
    </row>
    <row r="8033" customFormat="false" ht="15" hidden="false" customHeight="false" outlineLevel="0" collapsed="false">
      <c r="B8033" s="53"/>
      <c r="I8033" s="53"/>
      <c r="U8033" s="31" t="n">
        <f aca="false">IF($B8033='設定（最初に1回）'!$C$4,N(U8032)+1,N(U8032))</f>
        <v>134</v>
      </c>
    </row>
    <row r="8034" customFormat="false" ht="15" hidden="false" customHeight="false" outlineLevel="0" collapsed="false">
      <c r="B8034" s="53"/>
      <c r="I8034" s="53"/>
      <c r="U8034" s="31" t="n">
        <f aca="false">IF($B8034='設定（最初に1回）'!$C$4,N(U8033)+1,N(U8033))</f>
        <v>134</v>
      </c>
    </row>
    <row r="8035" customFormat="false" ht="15" hidden="false" customHeight="false" outlineLevel="0" collapsed="false">
      <c r="B8035" s="53"/>
      <c r="I8035" s="53"/>
      <c r="U8035" s="31" t="n">
        <f aca="false">IF($B8035='設定（最初に1回）'!$C$4,N(U8034)+1,N(U8034))</f>
        <v>134</v>
      </c>
    </row>
    <row r="8036" customFormat="false" ht="15" hidden="false" customHeight="false" outlineLevel="0" collapsed="false">
      <c r="B8036" s="53"/>
      <c r="I8036" s="53"/>
      <c r="U8036" s="31" t="n">
        <f aca="false">IF($B8036='設定（最初に1回）'!$C$4,N(U8035)+1,N(U8035))</f>
        <v>134</v>
      </c>
    </row>
    <row r="8037" customFormat="false" ht="15" hidden="false" customHeight="false" outlineLevel="0" collapsed="false">
      <c r="B8037" s="53"/>
      <c r="I8037" s="53"/>
      <c r="U8037" s="31" t="n">
        <f aca="false">IF($B8037='設定（最初に1回）'!$C$4,N(U8036)+1,N(U8036))</f>
        <v>134</v>
      </c>
    </row>
    <row r="8038" customFormat="false" ht="15" hidden="false" customHeight="false" outlineLevel="0" collapsed="false">
      <c r="B8038" s="53"/>
      <c r="I8038" s="53"/>
      <c r="U8038" s="31" t="n">
        <f aca="false">IF($B8038='設定（最初に1回）'!$C$4,N(U8037)+1,N(U8037))</f>
        <v>134</v>
      </c>
    </row>
    <row r="8039" customFormat="false" ht="15" hidden="false" customHeight="false" outlineLevel="0" collapsed="false">
      <c r="B8039" s="53"/>
      <c r="I8039" s="53"/>
      <c r="U8039" s="31" t="n">
        <f aca="false">IF($B8039='設定（最初に1回）'!$C$4,N(U8038)+1,N(U8038))</f>
        <v>134</v>
      </c>
    </row>
    <row r="8040" customFormat="false" ht="15" hidden="false" customHeight="false" outlineLevel="0" collapsed="false">
      <c r="B8040" s="53"/>
      <c r="I8040" s="53"/>
      <c r="U8040" s="31" t="n">
        <f aca="false">IF($B8040='設定（最初に1回）'!$C$4,N(U8039)+1,N(U8039))</f>
        <v>134</v>
      </c>
    </row>
    <row r="8041" customFormat="false" ht="15" hidden="false" customHeight="false" outlineLevel="0" collapsed="false">
      <c r="B8041" s="53"/>
      <c r="I8041" s="53"/>
      <c r="U8041" s="31" t="n">
        <f aca="false">IF($B8041='設定（最初に1回）'!$C$4,N(U8040)+1,N(U8040))</f>
        <v>134</v>
      </c>
    </row>
    <row r="8042" customFormat="false" ht="15" hidden="false" customHeight="false" outlineLevel="0" collapsed="false">
      <c r="B8042" s="53"/>
      <c r="I8042" s="53"/>
      <c r="U8042" s="31" t="n">
        <f aca="false">IF($B8042='設定（最初に1回）'!$C$4,N(U8041)+1,N(U8041))</f>
        <v>134</v>
      </c>
    </row>
    <row r="8043" customFormat="false" ht="15" hidden="false" customHeight="false" outlineLevel="0" collapsed="false">
      <c r="B8043" s="53"/>
      <c r="I8043" s="53"/>
      <c r="U8043" s="31" t="n">
        <f aca="false">IF($B8043='設定（最初に1回）'!$C$4,N(U8042)+1,N(U8042))</f>
        <v>134</v>
      </c>
    </row>
    <row r="8044" customFormat="false" ht="15" hidden="false" customHeight="false" outlineLevel="0" collapsed="false">
      <c r="B8044" s="53"/>
      <c r="I8044" s="53"/>
      <c r="U8044" s="31" t="n">
        <f aca="false">IF($B8044='設定（最初に1回）'!$C$4,N(U8043)+1,N(U8043))</f>
        <v>134</v>
      </c>
    </row>
    <row r="8045" customFormat="false" ht="15" hidden="false" customHeight="false" outlineLevel="0" collapsed="false">
      <c r="B8045" s="53"/>
      <c r="I8045" s="53"/>
      <c r="U8045" s="31" t="n">
        <f aca="false">IF($B8045='設定（最初に1回）'!$C$4,N(U8044)+1,N(U8044))</f>
        <v>134</v>
      </c>
    </row>
    <row r="8046" customFormat="false" ht="15" hidden="false" customHeight="false" outlineLevel="0" collapsed="false">
      <c r="B8046" s="53"/>
      <c r="I8046" s="53"/>
      <c r="U8046" s="31" t="n">
        <f aca="false">IF($B8046='設定（最初に1回）'!$C$4,N(U8045)+1,N(U8045))</f>
        <v>134</v>
      </c>
    </row>
    <row r="8047" customFormat="false" ht="15" hidden="false" customHeight="false" outlineLevel="0" collapsed="false">
      <c r="B8047" s="53"/>
      <c r="I8047" s="53"/>
      <c r="U8047" s="31" t="n">
        <f aca="false">IF($B8047='設定（最初に1回）'!$C$4,N(U8046)+1,N(U8046))</f>
        <v>134</v>
      </c>
    </row>
    <row r="8048" customFormat="false" ht="15" hidden="false" customHeight="false" outlineLevel="0" collapsed="false">
      <c r="B8048" s="53"/>
      <c r="I8048" s="53"/>
      <c r="U8048" s="31" t="n">
        <f aca="false">IF($B8048='設定（最初に1回）'!$C$4,N(U8047)+1,N(U8047))</f>
        <v>134</v>
      </c>
    </row>
    <row r="8049" customFormat="false" ht="15" hidden="false" customHeight="false" outlineLevel="0" collapsed="false">
      <c r="B8049" s="53"/>
      <c r="I8049" s="53"/>
      <c r="U8049" s="31" t="n">
        <f aca="false">IF($B8049='設定（最初に1回）'!$C$4,N(U8048)+1,N(U8048))</f>
        <v>134</v>
      </c>
    </row>
    <row r="8050" customFormat="false" ht="15" hidden="false" customHeight="false" outlineLevel="0" collapsed="false">
      <c r="B8050" s="53"/>
      <c r="I8050" s="53"/>
      <c r="U8050" s="31" t="n">
        <f aca="false">IF($B8050='設定（最初に1回）'!$C$4,N(U8049)+1,N(U8049))</f>
        <v>134</v>
      </c>
    </row>
    <row r="8051" customFormat="false" ht="15" hidden="false" customHeight="false" outlineLevel="0" collapsed="false">
      <c r="B8051" s="53"/>
      <c r="I8051" s="53"/>
      <c r="U8051" s="31" t="n">
        <f aca="false">IF($B8051='設定（最初に1回）'!$C$4,N(U8050)+1,N(U8050))</f>
        <v>134</v>
      </c>
    </row>
    <row r="8052" customFormat="false" ht="15" hidden="false" customHeight="false" outlineLevel="0" collapsed="false">
      <c r="B8052" s="53"/>
      <c r="I8052" s="53"/>
      <c r="U8052" s="31" t="n">
        <f aca="false">IF($B8052='設定（最初に1回）'!$C$4,N(U8051)+1,N(U8051))</f>
        <v>134</v>
      </c>
    </row>
    <row r="8053" customFormat="false" ht="15" hidden="false" customHeight="false" outlineLevel="0" collapsed="false">
      <c r="B8053" s="53"/>
      <c r="I8053" s="53"/>
      <c r="U8053" s="31" t="n">
        <f aca="false">IF($B8053='設定（最初に1回）'!$C$4,N(U8052)+1,N(U8052))</f>
        <v>134</v>
      </c>
    </row>
    <row r="8054" customFormat="false" ht="15" hidden="false" customHeight="false" outlineLevel="0" collapsed="false">
      <c r="B8054" s="53"/>
      <c r="I8054" s="53"/>
      <c r="U8054" s="31" t="n">
        <f aca="false">IF($B8054='設定（最初に1回）'!$C$4,N(U8053)+1,N(U8053))</f>
        <v>134</v>
      </c>
    </row>
    <row r="8055" customFormat="false" ht="15" hidden="false" customHeight="false" outlineLevel="0" collapsed="false">
      <c r="B8055" s="53"/>
      <c r="I8055" s="53"/>
      <c r="U8055" s="31" t="n">
        <f aca="false">IF($B8055='設定（最初に1回）'!$C$4,N(U8054)+1,N(U8054))</f>
        <v>134</v>
      </c>
    </row>
    <row r="8056" customFormat="false" ht="15" hidden="false" customHeight="false" outlineLevel="0" collapsed="false">
      <c r="B8056" s="53"/>
      <c r="I8056" s="53"/>
      <c r="U8056" s="31" t="n">
        <f aca="false">IF($B8056='設定（最初に1回）'!$C$4,N(U8055)+1,N(U8055))</f>
        <v>134</v>
      </c>
    </row>
    <row r="8057" customFormat="false" ht="15" hidden="false" customHeight="false" outlineLevel="0" collapsed="false">
      <c r="B8057" s="53"/>
      <c r="I8057" s="53"/>
      <c r="U8057" s="31" t="n">
        <f aca="false">IF($B8057='設定（最初に1回）'!$C$4,N(U8056)+1,N(U8056))</f>
        <v>134</v>
      </c>
    </row>
    <row r="8058" customFormat="false" ht="15" hidden="false" customHeight="false" outlineLevel="0" collapsed="false">
      <c r="B8058" s="53"/>
      <c r="I8058" s="53"/>
      <c r="U8058" s="31" t="n">
        <f aca="false">IF($B8058='設定（最初に1回）'!$C$4,N(U8057)+1,N(U8057))</f>
        <v>134</v>
      </c>
    </row>
    <row r="8059" customFormat="false" ht="15" hidden="false" customHeight="false" outlineLevel="0" collapsed="false">
      <c r="B8059" s="53"/>
      <c r="I8059" s="53"/>
      <c r="U8059" s="31" t="n">
        <f aca="false">IF($B8059='設定（最初に1回）'!$C$4,N(U8058)+1,N(U8058))</f>
        <v>134</v>
      </c>
    </row>
    <row r="8060" customFormat="false" ht="15" hidden="false" customHeight="false" outlineLevel="0" collapsed="false">
      <c r="B8060" s="53"/>
      <c r="I8060" s="53"/>
      <c r="U8060" s="31" t="n">
        <f aca="false">IF($B8060='設定（最初に1回）'!$C$4,N(U8059)+1,N(U8059))</f>
        <v>134</v>
      </c>
    </row>
    <row r="8061" customFormat="false" ht="15" hidden="false" customHeight="false" outlineLevel="0" collapsed="false">
      <c r="B8061" s="53"/>
      <c r="I8061" s="53"/>
      <c r="U8061" s="31" t="n">
        <f aca="false">IF($B8061='設定（最初に1回）'!$C$4,N(U8060)+1,N(U8060))</f>
        <v>134</v>
      </c>
    </row>
    <row r="8062" customFormat="false" ht="15" hidden="false" customHeight="false" outlineLevel="0" collapsed="false">
      <c r="B8062" s="53"/>
      <c r="I8062" s="53"/>
      <c r="U8062" s="31" t="n">
        <f aca="false">IF($B8062='設定（最初に1回）'!$C$4,N(U8061)+1,N(U8061))</f>
        <v>134</v>
      </c>
    </row>
    <row r="8063" customFormat="false" ht="15" hidden="false" customHeight="false" outlineLevel="0" collapsed="false">
      <c r="B8063" s="53"/>
      <c r="I8063" s="53"/>
      <c r="U8063" s="31" t="n">
        <f aca="false">IF($B8063='設定（最初に1回）'!$C$4,N(U8062)+1,N(U8062))</f>
        <v>134</v>
      </c>
    </row>
    <row r="8064" customFormat="false" ht="15" hidden="false" customHeight="false" outlineLevel="0" collapsed="false">
      <c r="B8064" s="53"/>
      <c r="I8064" s="53"/>
      <c r="U8064" s="31" t="n">
        <f aca="false">IF($B8064='設定（最初に1回）'!$C$4,N(U8063)+1,N(U8063))</f>
        <v>134</v>
      </c>
    </row>
    <row r="8065" customFormat="false" ht="15" hidden="false" customHeight="false" outlineLevel="0" collapsed="false">
      <c r="B8065" s="53"/>
      <c r="I8065" s="53"/>
      <c r="U8065" s="31" t="n">
        <f aca="false">IF($B8065='設定（最初に1回）'!$C$4,N(U8064)+1,N(U8064))</f>
        <v>134</v>
      </c>
    </row>
    <row r="8066" customFormat="false" ht="15" hidden="false" customHeight="false" outlineLevel="0" collapsed="false">
      <c r="B8066" s="53"/>
      <c r="I8066" s="53"/>
      <c r="U8066" s="31" t="n">
        <f aca="false">IF($B8066='設定（最初に1回）'!$C$4,N(U8065)+1,N(U8065))</f>
        <v>134</v>
      </c>
    </row>
    <row r="8067" customFormat="false" ht="15" hidden="false" customHeight="false" outlineLevel="0" collapsed="false">
      <c r="B8067" s="53"/>
      <c r="I8067" s="53"/>
      <c r="U8067" s="31" t="n">
        <f aca="false">IF($B8067='設定（最初に1回）'!$C$4,N(U8066)+1,N(U8066))</f>
        <v>134</v>
      </c>
    </row>
    <row r="8068" customFormat="false" ht="15" hidden="false" customHeight="false" outlineLevel="0" collapsed="false">
      <c r="B8068" s="53"/>
      <c r="I8068" s="53"/>
      <c r="U8068" s="31" t="n">
        <f aca="false">IF($B8068='設定（最初に1回）'!$C$4,N(U8067)+1,N(U8067))</f>
        <v>134</v>
      </c>
    </row>
    <row r="8069" customFormat="false" ht="15" hidden="false" customHeight="false" outlineLevel="0" collapsed="false">
      <c r="B8069" s="53"/>
      <c r="I8069" s="53"/>
      <c r="U8069" s="31" t="n">
        <f aca="false">IF($B8069='設定（最初に1回）'!$C$4,N(U8068)+1,N(U8068))</f>
        <v>134</v>
      </c>
    </row>
    <row r="8070" customFormat="false" ht="15" hidden="false" customHeight="false" outlineLevel="0" collapsed="false">
      <c r="B8070" s="53"/>
      <c r="I8070" s="53"/>
      <c r="U8070" s="31" t="n">
        <f aca="false">IF($B8070='設定（最初に1回）'!$C$4,N(U8069)+1,N(U8069))</f>
        <v>134</v>
      </c>
    </row>
    <row r="8071" customFormat="false" ht="15" hidden="false" customHeight="false" outlineLevel="0" collapsed="false">
      <c r="B8071" s="53"/>
      <c r="I8071" s="53"/>
      <c r="U8071" s="31" t="n">
        <f aca="false">IF($B8071='設定（最初に1回）'!$C$4,N(U8070)+1,N(U8070))</f>
        <v>134</v>
      </c>
    </row>
    <row r="8072" customFormat="false" ht="15" hidden="false" customHeight="false" outlineLevel="0" collapsed="false">
      <c r="B8072" s="53"/>
      <c r="I8072" s="53"/>
      <c r="U8072" s="31" t="n">
        <f aca="false">IF($B8072='設定（最初に1回）'!$C$4,N(U8071)+1,N(U8071))</f>
        <v>134</v>
      </c>
    </row>
    <row r="8073" customFormat="false" ht="15" hidden="false" customHeight="false" outlineLevel="0" collapsed="false">
      <c r="B8073" s="53"/>
      <c r="I8073" s="53"/>
      <c r="U8073" s="31" t="n">
        <f aca="false">IF($B8073='設定（最初に1回）'!$C$4,N(U8072)+1,N(U8072))</f>
        <v>134</v>
      </c>
    </row>
    <row r="8074" customFormat="false" ht="15" hidden="false" customHeight="false" outlineLevel="0" collapsed="false">
      <c r="B8074" s="53"/>
      <c r="I8074" s="53"/>
      <c r="U8074" s="31" t="n">
        <f aca="false">IF($B8074='設定（最初に1回）'!$C$4,N(U8073)+1,N(U8073))</f>
        <v>134</v>
      </c>
    </row>
    <row r="8075" customFormat="false" ht="15" hidden="false" customHeight="false" outlineLevel="0" collapsed="false">
      <c r="B8075" s="53"/>
      <c r="I8075" s="53"/>
      <c r="U8075" s="31" t="n">
        <f aca="false">IF($B8075='設定（最初に1回）'!$C$4,N(U8074)+1,N(U8074))</f>
        <v>134</v>
      </c>
    </row>
    <row r="8076" customFormat="false" ht="15" hidden="false" customHeight="false" outlineLevel="0" collapsed="false">
      <c r="B8076" s="53"/>
      <c r="I8076" s="53"/>
      <c r="U8076" s="31" t="n">
        <f aca="false">IF($B8076='設定（最初に1回）'!$C$4,N(U8075)+1,N(U8075))</f>
        <v>134</v>
      </c>
    </row>
    <row r="8077" customFormat="false" ht="15" hidden="false" customHeight="false" outlineLevel="0" collapsed="false">
      <c r="B8077" s="53"/>
      <c r="I8077" s="53"/>
      <c r="U8077" s="31" t="n">
        <f aca="false">IF($B8077='設定（最初に1回）'!$C$4,N(U8076)+1,N(U8076))</f>
        <v>134</v>
      </c>
    </row>
    <row r="8078" customFormat="false" ht="15" hidden="false" customHeight="false" outlineLevel="0" collapsed="false">
      <c r="B8078" s="53"/>
      <c r="I8078" s="53"/>
      <c r="U8078" s="31" t="n">
        <f aca="false">IF($B8078='設定（最初に1回）'!$C$4,N(U8077)+1,N(U8077))</f>
        <v>134</v>
      </c>
    </row>
    <row r="8079" customFormat="false" ht="15" hidden="false" customHeight="false" outlineLevel="0" collapsed="false">
      <c r="B8079" s="53"/>
      <c r="I8079" s="53"/>
      <c r="U8079" s="31" t="n">
        <f aca="false">IF($B8079='設定（最初に1回）'!$C$4,N(U8078)+1,N(U8078))</f>
        <v>134</v>
      </c>
    </row>
    <row r="8080" customFormat="false" ht="15" hidden="false" customHeight="false" outlineLevel="0" collapsed="false">
      <c r="B8080" s="53"/>
      <c r="I8080" s="53"/>
      <c r="U8080" s="31" t="n">
        <f aca="false">IF($B8080='設定（最初に1回）'!$C$4,N(U8079)+1,N(U8079))</f>
        <v>134</v>
      </c>
    </row>
    <row r="8081" customFormat="false" ht="15" hidden="false" customHeight="false" outlineLevel="0" collapsed="false">
      <c r="B8081" s="53"/>
      <c r="I8081" s="53"/>
      <c r="U8081" s="31" t="n">
        <f aca="false">IF($B8081='設定（最初に1回）'!$C$4,N(U8080)+1,N(U8080))</f>
        <v>134</v>
      </c>
    </row>
    <row r="8082" customFormat="false" ht="15" hidden="false" customHeight="false" outlineLevel="0" collapsed="false">
      <c r="B8082" s="53"/>
      <c r="I8082" s="53"/>
      <c r="U8082" s="31" t="n">
        <f aca="false">IF($B8082='設定（最初に1回）'!$C$4,N(U8081)+1,N(U8081))</f>
        <v>134</v>
      </c>
    </row>
    <row r="8083" customFormat="false" ht="15" hidden="false" customHeight="false" outlineLevel="0" collapsed="false">
      <c r="B8083" s="53"/>
      <c r="I8083" s="53"/>
      <c r="U8083" s="31" t="n">
        <f aca="false">IF($B8083='設定（最初に1回）'!$C$4,N(U8082)+1,N(U8082))</f>
        <v>134</v>
      </c>
    </row>
    <row r="8084" customFormat="false" ht="15" hidden="false" customHeight="false" outlineLevel="0" collapsed="false">
      <c r="B8084" s="53"/>
      <c r="I8084" s="53"/>
      <c r="U8084" s="31" t="n">
        <f aca="false">IF($B8084='設定（最初に1回）'!$C$4,N(U8083)+1,N(U8083))</f>
        <v>134</v>
      </c>
    </row>
    <row r="8085" customFormat="false" ht="15" hidden="false" customHeight="false" outlineLevel="0" collapsed="false">
      <c r="B8085" s="53"/>
      <c r="I8085" s="53"/>
      <c r="U8085" s="31" t="n">
        <f aca="false">IF($B8085='設定（最初に1回）'!$C$4,N(U8084)+1,N(U8084))</f>
        <v>134</v>
      </c>
    </row>
    <row r="8086" customFormat="false" ht="15" hidden="false" customHeight="false" outlineLevel="0" collapsed="false">
      <c r="B8086" s="53"/>
      <c r="I8086" s="53"/>
      <c r="U8086" s="31" t="n">
        <f aca="false">IF($B8086='設定（最初に1回）'!$C$4,N(U8085)+1,N(U8085))</f>
        <v>134</v>
      </c>
    </row>
    <row r="8087" customFormat="false" ht="15" hidden="false" customHeight="false" outlineLevel="0" collapsed="false">
      <c r="B8087" s="53"/>
      <c r="I8087" s="53"/>
      <c r="U8087" s="31" t="n">
        <f aca="false">IF($B8087='設定（最初に1回）'!$C$4,N(U8086)+1,N(U8086))</f>
        <v>134</v>
      </c>
    </row>
    <row r="8088" customFormat="false" ht="15" hidden="false" customHeight="false" outlineLevel="0" collapsed="false">
      <c r="B8088" s="53"/>
      <c r="I8088" s="53"/>
      <c r="U8088" s="31" t="n">
        <f aca="false">IF($B8088='設定（最初に1回）'!$C$4,N(U8087)+1,N(U8087))</f>
        <v>134</v>
      </c>
    </row>
    <row r="8089" customFormat="false" ht="15" hidden="false" customHeight="false" outlineLevel="0" collapsed="false">
      <c r="B8089" s="53"/>
      <c r="I8089" s="53"/>
      <c r="U8089" s="31" t="n">
        <f aca="false">IF($B8089='設定（最初に1回）'!$C$4,N(U8088)+1,N(U8088))</f>
        <v>134</v>
      </c>
    </row>
    <row r="8090" customFormat="false" ht="15" hidden="false" customHeight="false" outlineLevel="0" collapsed="false">
      <c r="B8090" s="53"/>
      <c r="I8090" s="53"/>
      <c r="U8090" s="31" t="n">
        <f aca="false">IF($B8090='設定（最初に1回）'!$C$4,N(U8089)+1,N(U8089))</f>
        <v>134</v>
      </c>
    </row>
    <row r="8091" customFormat="false" ht="15" hidden="false" customHeight="false" outlineLevel="0" collapsed="false">
      <c r="B8091" s="53"/>
      <c r="I8091" s="53"/>
      <c r="U8091" s="31" t="n">
        <f aca="false">IF($B8091='設定（最初に1回）'!$C$4,N(U8090)+1,N(U8090))</f>
        <v>134</v>
      </c>
    </row>
    <row r="8092" customFormat="false" ht="15" hidden="false" customHeight="false" outlineLevel="0" collapsed="false">
      <c r="B8092" s="53"/>
      <c r="I8092" s="53"/>
      <c r="U8092" s="31" t="n">
        <f aca="false">IF($B8092='設定（最初に1回）'!$C$4,N(U8091)+1,N(U8091))</f>
        <v>134</v>
      </c>
    </row>
    <row r="8093" customFormat="false" ht="15" hidden="false" customHeight="false" outlineLevel="0" collapsed="false">
      <c r="B8093" s="53"/>
      <c r="I8093" s="53"/>
      <c r="U8093" s="31" t="n">
        <f aca="false">IF($B8093='設定（最初に1回）'!$C$4,N(U8092)+1,N(U8092))</f>
        <v>134</v>
      </c>
    </row>
    <row r="8094" customFormat="false" ht="15" hidden="false" customHeight="false" outlineLevel="0" collapsed="false">
      <c r="B8094" s="53"/>
      <c r="I8094" s="53"/>
      <c r="U8094" s="31" t="n">
        <f aca="false">IF($B8094='設定（最初に1回）'!$C$4,N(U8093)+1,N(U8093))</f>
        <v>134</v>
      </c>
    </row>
    <row r="8095" customFormat="false" ht="15" hidden="false" customHeight="false" outlineLevel="0" collapsed="false">
      <c r="B8095" s="53"/>
      <c r="I8095" s="53"/>
      <c r="U8095" s="31" t="n">
        <f aca="false">IF($B8095='設定（最初に1回）'!$C$4,N(U8094)+1,N(U8094))</f>
        <v>134</v>
      </c>
    </row>
    <row r="8096" customFormat="false" ht="15" hidden="false" customHeight="false" outlineLevel="0" collapsed="false">
      <c r="B8096" s="53"/>
      <c r="I8096" s="53"/>
      <c r="U8096" s="31" t="n">
        <f aca="false">IF($B8096='設定（最初に1回）'!$C$4,N(U8095)+1,N(U8095))</f>
        <v>134</v>
      </c>
    </row>
    <row r="8097" customFormat="false" ht="15" hidden="false" customHeight="false" outlineLevel="0" collapsed="false">
      <c r="B8097" s="53"/>
      <c r="I8097" s="53"/>
      <c r="U8097" s="31" t="n">
        <f aca="false">IF($B8097='設定（最初に1回）'!$C$4,N(U8096)+1,N(U8096))</f>
        <v>134</v>
      </c>
    </row>
    <row r="8098" customFormat="false" ht="15" hidden="false" customHeight="false" outlineLevel="0" collapsed="false">
      <c r="B8098" s="53"/>
      <c r="I8098" s="53"/>
      <c r="U8098" s="31" t="n">
        <f aca="false">IF($B8098='設定（最初に1回）'!$C$4,N(U8097)+1,N(U8097))</f>
        <v>134</v>
      </c>
    </row>
    <row r="8099" customFormat="false" ht="15" hidden="false" customHeight="false" outlineLevel="0" collapsed="false">
      <c r="B8099" s="53"/>
      <c r="I8099" s="53"/>
      <c r="U8099" s="31" t="n">
        <f aca="false">IF($B8099='設定（最初に1回）'!$C$4,N(U8098)+1,N(U8098))</f>
        <v>134</v>
      </c>
    </row>
    <row r="8100" customFormat="false" ht="15" hidden="false" customHeight="false" outlineLevel="0" collapsed="false">
      <c r="B8100" s="53"/>
      <c r="I8100" s="53"/>
      <c r="U8100" s="31" t="n">
        <f aca="false">IF($B8100='設定（最初に1回）'!$C$4,N(U8099)+1,N(U8099))</f>
        <v>134</v>
      </c>
    </row>
    <row r="8101" customFormat="false" ht="15" hidden="false" customHeight="false" outlineLevel="0" collapsed="false">
      <c r="B8101" s="53"/>
      <c r="I8101" s="53"/>
      <c r="U8101" s="31" t="n">
        <f aca="false">IF($B8101='設定（最初に1回）'!$C$4,N(U8100)+1,N(U8100))</f>
        <v>134</v>
      </c>
    </row>
    <row r="8102" customFormat="false" ht="15" hidden="false" customHeight="false" outlineLevel="0" collapsed="false">
      <c r="B8102" s="53"/>
      <c r="I8102" s="53"/>
      <c r="U8102" s="31" t="n">
        <f aca="false">IF($B8102='設定（最初に1回）'!$C$4,N(U8101)+1,N(U8101))</f>
        <v>134</v>
      </c>
    </row>
    <row r="8103" customFormat="false" ht="15" hidden="false" customHeight="false" outlineLevel="0" collapsed="false">
      <c r="B8103" s="53"/>
      <c r="I8103" s="53"/>
      <c r="U8103" s="31" t="n">
        <f aca="false">IF($B8103='設定（最初に1回）'!$C$4,N(U8102)+1,N(U8102))</f>
        <v>134</v>
      </c>
    </row>
    <row r="8104" customFormat="false" ht="15" hidden="false" customHeight="false" outlineLevel="0" collapsed="false">
      <c r="B8104" s="53"/>
      <c r="I8104" s="53"/>
      <c r="U8104" s="31" t="n">
        <f aca="false">IF($B8104='設定（最初に1回）'!$C$4,N(U8103)+1,N(U8103))</f>
        <v>134</v>
      </c>
    </row>
    <row r="8105" customFormat="false" ht="15" hidden="false" customHeight="false" outlineLevel="0" collapsed="false">
      <c r="B8105" s="53"/>
      <c r="I8105" s="53"/>
      <c r="U8105" s="31" t="n">
        <f aca="false">IF($B8105='設定（最初に1回）'!$C$4,N(U8104)+1,N(U8104))</f>
        <v>134</v>
      </c>
    </row>
    <row r="8106" customFormat="false" ht="15" hidden="false" customHeight="false" outlineLevel="0" collapsed="false">
      <c r="B8106" s="53"/>
      <c r="I8106" s="53"/>
      <c r="U8106" s="31" t="n">
        <f aca="false">IF($B8106='設定（最初に1回）'!$C$4,N(U8105)+1,N(U8105))</f>
        <v>134</v>
      </c>
    </row>
    <row r="8107" customFormat="false" ht="15" hidden="false" customHeight="false" outlineLevel="0" collapsed="false">
      <c r="B8107" s="53"/>
      <c r="I8107" s="53"/>
      <c r="U8107" s="31" t="n">
        <f aca="false">IF($B8107='設定（最初に1回）'!$C$4,N(U8106)+1,N(U8106))</f>
        <v>134</v>
      </c>
    </row>
    <row r="8108" customFormat="false" ht="15" hidden="false" customHeight="false" outlineLevel="0" collapsed="false">
      <c r="B8108" s="53"/>
      <c r="I8108" s="53"/>
      <c r="U8108" s="31" t="n">
        <f aca="false">IF($B8108='設定（最初に1回）'!$C$4,N(U8107)+1,N(U8107))</f>
        <v>134</v>
      </c>
    </row>
    <row r="8109" customFormat="false" ht="15" hidden="false" customHeight="false" outlineLevel="0" collapsed="false">
      <c r="B8109" s="53"/>
      <c r="I8109" s="53"/>
      <c r="U8109" s="31" t="n">
        <f aca="false">IF($B8109='設定（最初に1回）'!$C$4,N(U8108)+1,N(U8108))</f>
        <v>134</v>
      </c>
    </row>
    <row r="8110" customFormat="false" ht="15" hidden="false" customHeight="false" outlineLevel="0" collapsed="false">
      <c r="B8110" s="53"/>
      <c r="I8110" s="53"/>
      <c r="U8110" s="31" t="n">
        <f aca="false">IF($B8110='設定（最初に1回）'!$C$4,N(U8109)+1,N(U8109))</f>
        <v>134</v>
      </c>
    </row>
    <row r="8111" customFormat="false" ht="15" hidden="false" customHeight="false" outlineLevel="0" collapsed="false">
      <c r="B8111" s="53"/>
      <c r="I8111" s="53"/>
      <c r="U8111" s="31" t="n">
        <f aca="false">IF($B8111='設定（最初に1回）'!$C$4,N(U8110)+1,N(U8110))</f>
        <v>134</v>
      </c>
    </row>
    <row r="8112" customFormat="false" ht="15" hidden="false" customHeight="false" outlineLevel="0" collapsed="false">
      <c r="B8112" s="53"/>
      <c r="I8112" s="53"/>
      <c r="U8112" s="31" t="n">
        <f aca="false">IF($B8112='設定（最初に1回）'!$C$4,N(U8111)+1,N(U8111))</f>
        <v>134</v>
      </c>
    </row>
    <row r="8113" customFormat="false" ht="15" hidden="false" customHeight="false" outlineLevel="0" collapsed="false">
      <c r="B8113" s="53"/>
      <c r="I8113" s="53"/>
      <c r="U8113" s="31" t="n">
        <f aca="false">IF($B8113='設定（最初に1回）'!$C$4,N(U8112)+1,N(U8112))</f>
        <v>134</v>
      </c>
    </row>
    <row r="8114" customFormat="false" ht="15" hidden="false" customHeight="false" outlineLevel="0" collapsed="false">
      <c r="B8114" s="53"/>
      <c r="I8114" s="53"/>
      <c r="U8114" s="31" t="n">
        <f aca="false">IF($B8114='設定（最初に1回）'!$C$4,N(U8113)+1,N(U8113))</f>
        <v>134</v>
      </c>
    </row>
    <row r="8115" customFormat="false" ht="15" hidden="false" customHeight="false" outlineLevel="0" collapsed="false">
      <c r="B8115" s="53"/>
      <c r="I8115" s="53"/>
      <c r="U8115" s="31" t="n">
        <f aca="false">IF($B8115='設定（最初に1回）'!$C$4,N(U8114)+1,N(U8114))</f>
        <v>134</v>
      </c>
    </row>
    <row r="8116" customFormat="false" ht="15" hidden="false" customHeight="false" outlineLevel="0" collapsed="false">
      <c r="B8116" s="53"/>
      <c r="I8116" s="53"/>
      <c r="U8116" s="31" t="n">
        <f aca="false">IF($B8116='設定（最初に1回）'!$C$4,N(U8115)+1,N(U8115))</f>
        <v>134</v>
      </c>
    </row>
    <row r="8117" customFormat="false" ht="15" hidden="false" customHeight="false" outlineLevel="0" collapsed="false">
      <c r="B8117" s="53"/>
      <c r="I8117" s="53"/>
      <c r="U8117" s="31" t="n">
        <f aca="false">IF($B8117='設定（最初に1回）'!$C$4,N(U8116)+1,N(U8116))</f>
        <v>134</v>
      </c>
    </row>
    <row r="8118" customFormat="false" ht="15" hidden="false" customHeight="false" outlineLevel="0" collapsed="false">
      <c r="B8118" s="53"/>
      <c r="I8118" s="53"/>
      <c r="U8118" s="31" t="n">
        <f aca="false">IF($B8118='設定（最初に1回）'!$C$4,N(U8117)+1,N(U8117))</f>
        <v>134</v>
      </c>
    </row>
    <row r="8119" customFormat="false" ht="15" hidden="false" customHeight="false" outlineLevel="0" collapsed="false">
      <c r="B8119" s="53"/>
      <c r="I8119" s="53"/>
      <c r="U8119" s="31" t="n">
        <f aca="false">IF($B8119='設定（最初に1回）'!$C$4,N(U8118)+1,N(U8118))</f>
        <v>134</v>
      </c>
    </row>
    <row r="8120" customFormat="false" ht="15" hidden="false" customHeight="false" outlineLevel="0" collapsed="false">
      <c r="B8120" s="53"/>
      <c r="I8120" s="53"/>
      <c r="U8120" s="31" t="n">
        <f aca="false">IF($B8120='設定（最初に1回）'!$C$4,N(U8119)+1,N(U8119))</f>
        <v>134</v>
      </c>
    </row>
    <row r="8121" customFormat="false" ht="15" hidden="false" customHeight="false" outlineLevel="0" collapsed="false">
      <c r="B8121" s="53"/>
      <c r="I8121" s="53"/>
      <c r="U8121" s="31" t="n">
        <f aca="false">IF($B8121='設定（最初に1回）'!$C$4,N(U8120)+1,N(U8120))</f>
        <v>134</v>
      </c>
    </row>
    <row r="8122" customFormat="false" ht="15" hidden="false" customHeight="false" outlineLevel="0" collapsed="false">
      <c r="B8122" s="53"/>
      <c r="I8122" s="53"/>
      <c r="U8122" s="31" t="n">
        <f aca="false">IF($B8122='設定（最初に1回）'!$C$4,N(U8121)+1,N(U8121))</f>
        <v>134</v>
      </c>
    </row>
    <row r="8123" customFormat="false" ht="15" hidden="false" customHeight="false" outlineLevel="0" collapsed="false">
      <c r="B8123" s="53"/>
      <c r="I8123" s="53"/>
      <c r="U8123" s="31" t="n">
        <f aca="false">IF($B8123='設定（最初に1回）'!$C$4,N(U8122)+1,N(U8122))</f>
        <v>134</v>
      </c>
    </row>
    <row r="8124" customFormat="false" ht="15" hidden="false" customHeight="false" outlineLevel="0" collapsed="false">
      <c r="B8124" s="53"/>
      <c r="I8124" s="53"/>
      <c r="U8124" s="31" t="n">
        <f aca="false">IF($B8124='設定（最初に1回）'!$C$4,N(U8123)+1,N(U8123))</f>
        <v>134</v>
      </c>
    </row>
    <row r="8125" customFormat="false" ht="15" hidden="false" customHeight="false" outlineLevel="0" collapsed="false">
      <c r="B8125" s="53"/>
      <c r="I8125" s="53"/>
      <c r="U8125" s="31" t="n">
        <f aca="false">IF($B8125='設定（最初に1回）'!$C$4,N(U8124)+1,N(U8124))</f>
        <v>134</v>
      </c>
    </row>
    <row r="8126" customFormat="false" ht="15" hidden="false" customHeight="false" outlineLevel="0" collapsed="false">
      <c r="B8126" s="53"/>
      <c r="I8126" s="53"/>
      <c r="U8126" s="31" t="n">
        <f aca="false">IF($B8126='設定（最初に1回）'!$C$4,N(U8125)+1,N(U8125))</f>
        <v>134</v>
      </c>
    </row>
    <row r="8127" customFormat="false" ht="15" hidden="false" customHeight="false" outlineLevel="0" collapsed="false">
      <c r="B8127" s="53"/>
      <c r="I8127" s="53"/>
      <c r="U8127" s="31" t="n">
        <f aca="false">IF($B8127='設定（最初に1回）'!$C$4,N(U8126)+1,N(U8126))</f>
        <v>134</v>
      </c>
    </row>
    <row r="8128" customFormat="false" ht="15" hidden="false" customHeight="false" outlineLevel="0" collapsed="false">
      <c r="B8128" s="53"/>
      <c r="I8128" s="53"/>
      <c r="U8128" s="31" t="n">
        <f aca="false">IF($B8128='設定（最初に1回）'!$C$4,N(U8127)+1,N(U8127))</f>
        <v>134</v>
      </c>
    </row>
    <row r="8129" customFormat="false" ht="15" hidden="false" customHeight="false" outlineLevel="0" collapsed="false">
      <c r="B8129" s="53"/>
      <c r="I8129" s="53"/>
      <c r="U8129" s="31" t="n">
        <f aca="false">IF($B8129='設定（最初に1回）'!$C$4,N(U8128)+1,N(U8128))</f>
        <v>134</v>
      </c>
    </row>
    <row r="8130" customFormat="false" ht="15" hidden="false" customHeight="false" outlineLevel="0" collapsed="false">
      <c r="B8130" s="53"/>
      <c r="I8130" s="53"/>
      <c r="U8130" s="31" t="n">
        <f aca="false">IF($B8130='設定（最初に1回）'!$C$4,N(U8129)+1,N(U8129))</f>
        <v>134</v>
      </c>
    </row>
    <row r="8131" customFormat="false" ht="15" hidden="false" customHeight="false" outlineLevel="0" collapsed="false">
      <c r="B8131" s="53"/>
      <c r="I8131" s="53"/>
      <c r="U8131" s="31" t="n">
        <f aca="false">IF($B8131='設定（最初に1回）'!$C$4,N(U8130)+1,N(U8130))</f>
        <v>134</v>
      </c>
    </row>
    <row r="8132" customFormat="false" ht="15" hidden="false" customHeight="false" outlineLevel="0" collapsed="false">
      <c r="B8132" s="53"/>
      <c r="I8132" s="53"/>
      <c r="U8132" s="31" t="n">
        <f aca="false">IF($B8132='設定（最初に1回）'!$C$4,N(U8131)+1,N(U8131))</f>
        <v>134</v>
      </c>
    </row>
    <row r="8133" customFormat="false" ht="15" hidden="false" customHeight="false" outlineLevel="0" collapsed="false">
      <c r="B8133" s="53"/>
      <c r="I8133" s="53"/>
      <c r="U8133" s="31" t="n">
        <f aca="false">IF($B8133='設定（最初に1回）'!$C$4,N(U8132)+1,N(U8132))</f>
        <v>134</v>
      </c>
    </row>
    <row r="8134" customFormat="false" ht="15" hidden="false" customHeight="false" outlineLevel="0" collapsed="false">
      <c r="B8134" s="53"/>
      <c r="I8134" s="53"/>
      <c r="U8134" s="31" t="n">
        <f aca="false">IF($B8134='設定（最初に1回）'!$C$4,N(U8133)+1,N(U8133))</f>
        <v>134</v>
      </c>
    </row>
    <row r="8135" customFormat="false" ht="15" hidden="false" customHeight="false" outlineLevel="0" collapsed="false">
      <c r="B8135" s="53"/>
      <c r="I8135" s="53"/>
      <c r="U8135" s="31" t="n">
        <f aca="false">IF($B8135='設定（最初に1回）'!$C$4,N(U8134)+1,N(U8134))</f>
        <v>134</v>
      </c>
    </row>
    <row r="8136" customFormat="false" ht="15" hidden="false" customHeight="false" outlineLevel="0" collapsed="false">
      <c r="B8136" s="53"/>
      <c r="I8136" s="53"/>
      <c r="U8136" s="31" t="n">
        <f aca="false">IF($B8136='設定（最初に1回）'!$C$4,N(U8135)+1,N(U8135))</f>
        <v>134</v>
      </c>
    </row>
    <row r="8137" customFormat="false" ht="15" hidden="false" customHeight="false" outlineLevel="0" collapsed="false">
      <c r="B8137" s="53"/>
      <c r="I8137" s="53"/>
      <c r="U8137" s="31" t="n">
        <f aca="false">IF($B8137='設定（最初に1回）'!$C$4,N(U8136)+1,N(U8136))</f>
        <v>134</v>
      </c>
    </row>
    <row r="8138" customFormat="false" ht="15" hidden="false" customHeight="false" outlineLevel="0" collapsed="false">
      <c r="B8138" s="53"/>
      <c r="I8138" s="53"/>
      <c r="U8138" s="31" t="n">
        <f aca="false">IF($B8138='設定（最初に1回）'!$C$4,N(U8137)+1,N(U8137))</f>
        <v>134</v>
      </c>
    </row>
    <row r="8139" customFormat="false" ht="15" hidden="false" customHeight="false" outlineLevel="0" collapsed="false">
      <c r="B8139" s="53"/>
      <c r="I8139" s="53"/>
      <c r="U8139" s="31" t="n">
        <f aca="false">IF($B8139='設定（最初に1回）'!$C$4,N(U8138)+1,N(U8138))</f>
        <v>134</v>
      </c>
    </row>
    <row r="8140" customFormat="false" ht="15" hidden="false" customHeight="false" outlineLevel="0" collapsed="false">
      <c r="B8140" s="53"/>
      <c r="I8140" s="53"/>
      <c r="U8140" s="31" t="n">
        <f aca="false">IF($B8140='設定（最初に1回）'!$C$4,N(U8139)+1,N(U8139))</f>
        <v>134</v>
      </c>
    </row>
    <row r="8141" customFormat="false" ht="15" hidden="false" customHeight="false" outlineLevel="0" collapsed="false">
      <c r="B8141" s="53"/>
      <c r="I8141" s="53"/>
      <c r="U8141" s="31" t="n">
        <f aca="false">IF($B8141='設定（最初に1回）'!$C$4,N(U8140)+1,N(U8140))</f>
        <v>134</v>
      </c>
    </row>
    <row r="8142" customFormat="false" ht="15" hidden="false" customHeight="false" outlineLevel="0" collapsed="false">
      <c r="B8142" s="53"/>
      <c r="I8142" s="53"/>
      <c r="U8142" s="31" t="n">
        <f aca="false">IF($B8142='設定（最初に1回）'!$C$4,N(U8141)+1,N(U8141))</f>
        <v>134</v>
      </c>
    </row>
    <row r="8143" customFormat="false" ht="15" hidden="false" customHeight="false" outlineLevel="0" collapsed="false">
      <c r="B8143" s="53"/>
      <c r="I8143" s="53"/>
      <c r="U8143" s="31" t="n">
        <f aca="false">IF($B8143='設定（最初に1回）'!$C$4,N(U8142)+1,N(U8142))</f>
        <v>134</v>
      </c>
    </row>
    <row r="8144" customFormat="false" ht="15" hidden="false" customHeight="false" outlineLevel="0" collapsed="false">
      <c r="B8144" s="53"/>
      <c r="I8144" s="53"/>
      <c r="U8144" s="31" t="n">
        <f aca="false">IF($B8144='設定（最初に1回）'!$C$4,N(U8143)+1,N(U8143))</f>
        <v>134</v>
      </c>
    </row>
    <row r="8145" customFormat="false" ht="15" hidden="false" customHeight="false" outlineLevel="0" collapsed="false">
      <c r="B8145" s="53"/>
      <c r="I8145" s="53"/>
      <c r="U8145" s="31" t="n">
        <f aca="false">IF($B8145='設定（最初に1回）'!$C$4,N(U8144)+1,N(U8144))</f>
        <v>134</v>
      </c>
    </row>
    <row r="8146" customFormat="false" ht="15" hidden="false" customHeight="false" outlineLevel="0" collapsed="false">
      <c r="B8146" s="53"/>
      <c r="I8146" s="53"/>
      <c r="U8146" s="31" t="n">
        <f aca="false">IF($B8146='設定（最初に1回）'!$C$4,N(U8145)+1,N(U8145))</f>
        <v>134</v>
      </c>
    </row>
    <row r="8147" customFormat="false" ht="15" hidden="false" customHeight="false" outlineLevel="0" collapsed="false">
      <c r="B8147" s="53"/>
      <c r="I8147" s="53"/>
      <c r="U8147" s="31" t="n">
        <f aca="false">IF($B8147='設定（最初に1回）'!$C$4,N(U8146)+1,N(U8146))</f>
        <v>134</v>
      </c>
    </row>
    <row r="8148" customFormat="false" ht="15" hidden="false" customHeight="false" outlineLevel="0" collapsed="false">
      <c r="B8148" s="53"/>
      <c r="I8148" s="53"/>
      <c r="U8148" s="31" t="n">
        <f aca="false">IF($B8148='設定（最初に1回）'!$C$4,N(U8147)+1,N(U8147))</f>
        <v>134</v>
      </c>
    </row>
    <row r="8149" customFormat="false" ht="15" hidden="false" customHeight="false" outlineLevel="0" collapsed="false">
      <c r="B8149" s="53"/>
      <c r="I8149" s="53"/>
      <c r="U8149" s="31" t="n">
        <f aca="false">IF($B8149='設定（最初に1回）'!$C$4,N(U8148)+1,N(U8148))</f>
        <v>134</v>
      </c>
    </row>
    <row r="8150" customFormat="false" ht="15" hidden="false" customHeight="false" outlineLevel="0" collapsed="false">
      <c r="B8150" s="53"/>
      <c r="I8150" s="53"/>
      <c r="U8150" s="31" t="n">
        <f aca="false">IF($B8150='設定（最初に1回）'!$C$4,N(U8149)+1,N(U8149))</f>
        <v>134</v>
      </c>
    </row>
    <row r="8151" customFormat="false" ht="15" hidden="false" customHeight="false" outlineLevel="0" collapsed="false">
      <c r="B8151" s="53"/>
      <c r="I8151" s="53"/>
      <c r="U8151" s="31" t="n">
        <f aca="false">IF($B8151='設定（最初に1回）'!$C$4,N(U8150)+1,N(U8150))</f>
        <v>134</v>
      </c>
    </row>
    <row r="8152" customFormat="false" ht="15" hidden="false" customHeight="false" outlineLevel="0" collapsed="false">
      <c r="B8152" s="53"/>
      <c r="I8152" s="53"/>
      <c r="U8152" s="31" t="n">
        <f aca="false">IF($B8152='設定（最初に1回）'!$C$4,N(U8151)+1,N(U8151))</f>
        <v>134</v>
      </c>
    </row>
    <row r="8153" customFormat="false" ht="15" hidden="false" customHeight="false" outlineLevel="0" collapsed="false">
      <c r="B8153" s="53"/>
      <c r="I8153" s="53"/>
      <c r="U8153" s="31" t="n">
        <f aca="false">IF($B8153='設定（最初に1回）'!$C$4,N(U8152)+1,N(U8152))</f>
        <v>134</v>
      </c>
    </row>
    <row r="8154" customFormat="false" ht="15" hidden="false" customHeight="false" outlineLevel="0" collapsed="false">
      <c r="B8154" s="53"/>
      <c r="I8154" s="53"/>
      <c r="U8154" s="31" t="n">
        <f aca="false">IF($B8154='設定（最初に1回）'!$C$4,N(U8153)+1,N(U8153))</f>
        <v>134</v>
      </c>
    </row>
    <row r="8155" customFormat="false" ht="15" hidden="false" customHeight="false" outlineLevel="0" collapsed="false">
      <c r="B8155" s="53"/>
      <c r="I8155" s="53"/>
      <c r="U8155" s="31" t="n">
        <f aca="false">IF($B8155='設定（最初に1回）'!$C$4,N(U8154)+1,N(U8154))</f>
        <v>134</v>
      </c>
    </row>
    <row r="8156" customFormat="false" ht="15" hidden="false" customHeight="false" outlineLevel="0" collapsed="false">
      <c r="B8156" s="53"/>
      <c r="I8156" s="53"/>
      <c r="U8156" s="31" t="n">
        <f aca="false">IF($B8156='設定（最初に1回）'!$C$4,N(U8155)+1,N(U8155))</f>
        <v>134</v>
      </c>
    </row>
    <row r="8157" customFormat="false" ht="15" hidden="false" customHeight="false" outlineLevel="0" collapsed="false">
      <c r="B8157" s="53"/>
      <c r="I8157" s="53"/>
      <c r="U8157" s="31" t="n">
        <f aca="false">IF($B8157='設定（最初に1回）'!$C$4,N(U8156)+1,N(U8156))</f>
        <v>134</v>
      </c>
    </row>
    <row r="8158" customFormat="false" ht="15" hidden="false" customHeight="false" outlineLevel="0" collapsed="false">
      <c r="B8158" s="53"/>
      <c r="I8158" s="53"/>
      <c r="U8158" s="31" t="n">
        <f aca="false">IF($B8158='設定（最初に1回）'!$C$4,N(U8157)+1,N(U8157))</f>
        <v>134</v>
      </c>
    </row>
    <row r="8159" customFormat="false" ht="15" hidden="false" customHeight="false" outlineLevel="0" collapsed="false">
      <c r="B8159" s="53"/>
      <c r="I8159" s="53"/>
      <c r="U8159" s="31" t="n">
        <f aca="false">IF($B8159='設定（最初に1回）'!$C$4,N(U8158)+1,N(U8158))</f>
        <v>134</v>
      </c>
    </row>
    <row r="8160" customFormat="false" ht="15" hidden="false" customHeight="false" outlineLevel="0" collapsed="false">
      <c r="B8160" s="53"/>
      <c r="I8160" s="53"/>
      <c r="U8160" s="31" t="n">
        <f aca="false">IF($B8160='設定（最初に1回）'!$C$4,N(U8159)+1,N(U8159))</f>
        <v>134</v>
      </c>
    </row>
    <row r="8161" customFormat="false" ht="15" hidden="false" customHeight="false" outlineLevel="0" collapsed="false">
      <c r="B8161" s="53"/>
      <c r="I8161" s="53"/>
      <c r="U8161" s="31" t="n">
        <f aca="false">IF($B8161='設定（最初に1回）'!$C$4,N(U8160)+1,N(U8160))</f>
        <v>134</v>
      </c>
    </row>
    <row r="8162" customFormat="false" ht="15" hidden="false" customHeight="false" outlineLevel="0" collapsed="false">
      <c r="B8162" s="53"/>
      <c r="I8162" s="53"/>
      <c r="U8162" s="31" t="n">
        <f aca="false">IF($B8162='設定（最初に1回）'!$C$4,N(U8161)+1,N(U8161))</f>
        <v>134</v>
      </c>
    </row>
    <row r="8163" customFormat="false" ht="15" hidden="false" customHeight="false" outlineLevel="0" collapsed="false">
      <c r="B8163" s="53"/>
      <c r="I8163" s="53"/>
      <c r="U8163" s="31" t="n">
        <f aca="false">IF($B8163='設定（最初に1回）'!$C$4,N(U8162)+1,N(U8162))</f>
        <v>134</v>
      </c>
    </row>
    <row r="8164" customFormat="false" ht="15" hidden="false" customHeight="false" outlineLevel="0" collapsed="false">
      <c r="B8164" s="53"/>
      <c r="I8164" s="53"/>
      <c r="U8164" s="31" t="n">
        <f aca="false">IF($B8164='設定（最初に1回）'!$C$4,N(U8163)+1,N(U8163))</f>
        <v>134</v>
      </c>
    </row>
    <row r="8165" customFormat="false" ht="15" hidden="false" customHeight="false" outlineLevel="0" collapsed="false">
      <c r="B8165" s="53"/>
      <c r="I8165" s="53"/>
      <c r="U8165" s="31" t="n">
        <f aca="false">IF($B8165='設定（最初に1回）'!$C$4,N(U8164)+1,N(U8164))</f>
        <v>134</v>
      </c>
    </row>
    <row r="8166" customFormat="false" ht="15" hidden="false" customHeight="false" outlineLevel="0" collapsed="false">
      <c r="B8166" s="53"/>
      <c r="I8166" s="53"/>
      <c r="U8166" s="31" t="n">
        <f aca="false">IF($B8166='設定（最初に1回）'!$C$4,N(U8165)+1,N(U8165))</f>
        <v>134</v>
      </c>
    </row>
    <row r="8167" customFormat="false" ht="15" hidden="false" customHeight="false" outlineLevel="0" collapsed="false">
      <c r="B8167" s="53"/>
      <c r="I8167" s="53"/>
      <c r="U8167" s="31" t="n">
        <f aca="false">IF($B8167='設定（最初に1回）'!$C$4,N(U8166)+1,N(U8166))</f>
        <v>134</v>
      </c>
    </row>
    <row r="8168" customFormat="false" ht="15" hidden="false" customHeight="false" outlineLevel="0" collapsed="false">
      <c r="B8168" s="53"/>
      <c r="I8168" s="53"/>
      <c r="U8168" s="31" t="n">
        <f aca="false">IF($B8168='設定（最初に1回）'!$C$4,N(U8167)+1,N(U8167))</f>
        <v>134</v>
      </c>
    </row>
    <row r="8169" customFormat="false" ht="15" hidden="false" customHeight="false" outlineLevel="0" collapsed="false">
      <c r="B8169" s="53"/>
      <c r="I8169" s="53"/>
      <c r="U8169" s="31" t="n">
        <f aca="false">IF($B8169='設定（最初に1回）'!$C$4,N(U8168)+1,N(U8168))</f>
        <v>134</v>
      </c>
    </row>
    <row r="8170" customFormat="false" ht="15" hidden="false" customHeight="false" outlineLevel="0" collapsed="false">
      <c r="B8170" s="53"/>
      <c r="I8170" s="53"/>
      <c r="U8170" s="31" t="n">
        <f aca="false">IF($B8170='設定（最初に1回）'!$C$4,N(U8169)+1,N(U8169))</f>
        <v>134</v>
      </c>
    </row>
    <row r="8171" customFormat="false" ht="15" hidden="false" customHeight="false" outlineLevel="0" collapsed="false">
      <c r="B8171" s="53"/>
      <c r="I8171" s="53"/>
      <c r="U8171" s="31" t="n">
        <f aca="false">IF($B8171='設定（最初に1回）'!$C$4,N(U8170)+1,N(U8170))</f>
        <v>134</v>
      </c>
    </row>
    <row r="8172" customFormat="false" ht="15" hidden="false" customHeight="false" outlineLevel="0" collapsed="false">
      <c r="B8172" s="53"/>
      <c r="I8172" s="53"/>
      <c r="U8172" s="31" t="n">
        <f aca="false">IF($B8172='設定（最初に1回）'!$C$4,N(U8171)+1,N(U8171))</f>
        <v>134</v>
      </c>
    </row>
    <row r="8173" customFormat="false" ht="15" hidden="false" customHeight="false" outlineLevel="0" collapsed="false">
      <c r="B8173" s="53"/>
      <c r="I8173" s="53"/>
      <c r="U8173" s="31" t="n">
        <f aca="false">IF($B8173='設定（最初に1回）'!$C$4,N(U8172)+1,N(U8172))</f>
        <v>134</v>
      </c>
    </row>
    <row r="8174" customFormat="false" ht="15" hidden="false" customHeight="false" outlineLevel="0" collapsed="false">
      <c r="B8174" s="53"/>
      <c r="I8174" s="53"/>
      <c r="U8174" s="31" t="n">
        <f aca="false">IF($B8174='設定（最初に1回）'!$C$4,N(U8173)+1,N(U8173))</f>
        <v>134</v>
      </c>
    </row>
    <row r="8175" customFormat="false" ht="15" hidden="false" customHeight="false" outlineLevel="0" collapsed="false">
      <c r="B8175" s="53"/>
      <c r="I8175" s="53"/>
      <c r="U8175" s="31" t="n">
        <f aca="false">IF($B8175='設定（最初に1回）'!$C$4,N(U8174)+1,N(U8174))</f>
        <v>134</v>
      </c>
    </row>
    <row r="8176" customFormat="false" ht="15" hidden="false" customHeight="false" outlineLevel="0" collapsed="false">
      <c r="B8176" s="53"/>
      <c r="I8176" s="53"/>
      <c r="U8176" s="31" t="n">
        <f aca="false">IF($B8176='設定（最初に1回）'!$C$4,N(U8175)+1,N(U8175))</f>
        <v>134</v>
      </c>
    </row>
    <row r="8177" customFormat="false" ht="15" hidden="false" customHeight="false" outlineLevel="0" collapsed="false">
      <c r="B8177" s="53"/>
      <c r="I8177" s="53"/>
      <c r="U8177" s="31" t="n">
        <f aca="false">IF($B8177='設定（最初に1回）'!$C$4,N(U8176)+1,N(U8176))</f>
        <v>134</v>
      </c>
    </row>
    <row r="8178" customFormat="false" ht="15" hidden="false" customHeight="false" outlineLevel="0" collapsed="false">
      <c r="B8178" s="53"/>
      <c r="I8178" s="53"/>
      <c r="U8178" s="31" t="n">
        <f aca="false">IF($B8178='設定（最初に1回）'!$C$4,N(U8177)+1,N(U8177))</f>
        <v>134</v>
      </c>
    </row>
    <row r="8179" customFormat="false" ht="15" hidden="false" customHeight="false" outlineLevel="0" collapsed="false">
      <c r="B8179" s="53"/>
      <c r="I8179" s="53"/>
      <c r="U8179" s="31" t="n">
        <f aca="false">IF($B8179='設定（最初に1回）'!$C$4,N(U8178)+1,N(U8178))</f>
        <v>134</v>
      </c>
    </row>
    <row r="8180" customFormat="false" ht="15" hidden="false" customHeight="false" outlineLevel="0" collapsed="false">
      <c r="B8180" s="53"/>
      <c r="I8180" s="53"/>
      <c r="U8180" s="31" t="n">
        <f aca="false">IF($B8180='設定（最初に1回）'!$C$4,N(U8179)+1,N(U8179))</f>
        <v>134</v>
      </c>
    </row>
    <row r="8181" customFormat="false" ht="15" hidden="false" customHeight="false" outlineLevel="0" collapsed="false">
      <c r="B8181" s="53"/>
      <c r="I8181" s="53"/>
      <c r="U8181" s="31" t="n">
        <f aca="false">IF($B8181='設定（最初に1回）'!$C$4,N(U8180)+1,N(U8180))</f>
        <v>134</v>
      </c>
    </row>
    <row r="8182" customFormat="false" ht="15" hidden="false" customHeight="false" outlineLevel="0" collapsed="false">
      <c r="B8182" s="53"/>
      <c r="I8182" s="53"/>
      <c r="U8182" s="31" t="n">
        <f aca="false">IF($B8182='設定（最初に1回）'!$C$4,N(U8181)+1,N(U8181))</f>
        <v>134</v>
      </c>
    </row>
    <row r="8183" customFormat="false" ht="15" hidden="false" customHeight="false" outlineLevel="0" collapsed="false">
      <c r="B8183" s="53"/>
      <c r="I8183" s="53"/>
      <c r="U8183" s="31" t="n">
        <f aca="false">IF($B8183='設定（最初に1回）'!$C$4,N(U8182)+1,N(U8182))</f>
        <v>134</v>
      </c>
    </row>
    <row r="8184" customFormat="false" ht="15" hidden="false" customHeight="false" outlineLevel="0" collapsed="false">
      <c r="B8184" s="53"/>
      <c r="I8184" s="53"/>
      <c r="U8184" s="31" t="n">
        <f aca="false">IF($B8184='設定（最初に1回）'!$C$4,N(U8183)+1,N(U8183))</f>
        <v>134</v>
      </c>
    </row>
    <row r="8185" customFormat="false" ht="15" hidden="false" customHeight="false" outlineLevel="0" collapsed="false">
      <c r="B8185" s="53"/>
      <c r="I8185" s="53"/>
      <c r="U8185" s="31" t="n">
        <f aca="false">IF($B8185='設定（最初に1回）'!$C$4,N(U8184)+1,N(U8184))</f>
        <v>134</v>
      </c>
    </row>
    <row r="8186" customFormat="false" ht="15" hidden="false" customHeight="false" outlineLevel="0" collapsed="false">
      <c r="B8186" s="53"/>
      <c r="I8186" s="53"/>
      <c r="U8186" s="31" t="n">
        <f aca="false">IF($B8186='設定（最初に1回）'!$C$4,N(U8185)+1,N(U8185))</f>
        <v>134</v>
      </c>
    </row>
    <row r="8187" customFormat="false" ht="15" hidden="false" customHeight="false" outlineLevel="0" collapsed="false">
      <c r="B8187" s="53"/>
      <c r="I8187" s="53"/>
      <c r="U8187" s="31" t="n">
        <f aca="false">IF($B8187='設定（最初に1回）'!$C$4,N(U8186)+1,N(U8186))</f>
        <v>134</v>
      </c>
    </row>
    <row r="8188" customFormat="false" ht="15" hidden="false" customHeight="false" outlineLevel="0" collapsed="false">
      <c r="B8188" s="53"/>
      <c r="I8188" s="53"/>
      <c r="U8188" s="31" t="n">
        <f aca="false">IF($B8188='設定（最初に1回）'!$C$4,N(U8187)+1,N(U8187))</f>
        <v>134</v>
      </c>
    </row>
    <row r="8189" customFormat="false" ht="15" hidden="false" customHeight="false" outlineLevel="0" collapsed="false">
      <c r="B8189" s="53"/>
      <c r="I8189" s="53"/>
      <c r="U8189" s="31" t="n">
        <f aca="false">IF($B8189='設定（最初に1回）'!$C$4,N(U8188)+1,N(U8188))</f>
        <v>134</v>
      </c>
    </row>
    <row r="8190" customFormat="false" ht="15" hidden="false" customHeight="false" outlineLevel="0" collapsed="false">
      <c r="B8190" s="53"/>
      <c r="I8190" s="53"/>
      <c r="U8190" s="31" t="n">
        <f aca="false">IF($B8190='設定（最初に1回）'!$C$4,N(U8189)+1,N(U8189))</f>
        <v>134</v>
      </c>
    </row>
    <row r="8191" customFormat="false" ht="15" hidden="false" customHeight="false" outlineLevel="0" collapsed="false">
      <c r="B8191" s="53"/>
      <c r="I8191" s="53"/>
      <c r="U8191" s="31" t="n">
        <f aca="false">IF($B8191='設定（最初に1回）'!$C$4,N(U8190)+1,N(U8190))</f>
        <v>134</v>
      </c>
    </row>
    <row r="8192" customFormat="false" ht="15" hidden="false" customHeight="false" outlineLevel="0" collapsed="false">
      <c r="B8192" s="53"/>
      <c r="I8192" s="53"/>
      <c r="U8192" s="31" t="n">
        <f aca="false">IF($B8192='設定（最初に1回）'!$C$4,N(U8191)+1,N(U8191))</f>
        <v>134</v>
      </c>
    </row>
    <row r="8193" customFormat="false" ht="15" hidden="false" customHeight="false" outlineLevel="0" collapsed="false">
      <c r="B8193" s="53"/>
      <c r="I8193" s="53"/>
      <c r="U8193" s="31" t="n">
        <f aca="false">IF($B8193='設定（最初に1回）'!$C$4,N(U8192)+1,N(U8192))</f>
        <v>134</v>
      </c>
    </row>
    <row r="8194" customFormat="false" ht="15" hidden="false" customHeight="false" outlineLevel="0" collapsed="false">
      <c r="B8194" s="53"/>
      <c r="I8194" s="53"/>
      <c r="U8194" s="31" t="n">
        <f aca="false">IF($B8194='設定（最初に1回）'!$C$4,N(U8193)+1,N(U8193))</f>
        <v>134</v>
      </c>
    </row>
    <row r="8195" customFormat="false" ht="15" hidden="false" customHeight="false" outlineLevel="0" collapsed="false">
      <c r="B8195" s="53"/>
      <c r="I8195" s="53"/>
      <c r="U8195" s="31" t="n">
        <f aca="false">IF($B8195='設定（最初に1回）'!$C$4,N(U8194)+1,N(U8194))</f>
        <v>134</v>
      </c>
    </row>
    <row r="8196" customFormat="false" ht="15" hidden="false" customHeight="false" outlineLevel="0" collapsed="false">
      <c r="B8196" s="53"/>
      <c r="I8196" s="53"/>
      <c r="U8196" s="31" t="n">
        <f aca="false">IF($B8196='設定（最初に1回）'!$C$4,N(U8195)+1,N(U8195))</f>
        <v>134</v>
      </c>
    </row>
    <row r="8197" customFormat="false" ht="15" hidden="false" customHeight="false" outlineLevel="0" collapsed="false">
      <c r="B8197" s="53"/>
      <c r="I8197" s="53"/>
      <c r="U8197" s="31" t="n">
        <f aca="false">IF($B8197='設定（最初に1回）'!$C$4,N(U8196)+1,N(U8196))</f>
        <v>134</v>
      </c>
    </row>
    <row r="8198" customFormat="false" ht="15" hidden="false" customHeight="false" outlineLevel="0" collapsed="false">
      <c r="B8198" s="53"/>
      <c r="I8198" s="53"/>
      <c r="U8198" s="31" t="n">
        <f aca="false">IF($B8198='設定（最初に1回）'!$C$4,N(U8197)+1,N(U8197))</f>
        <v>134</v>
      </c>
    </row>
    <row r="8199" customFormat="false" ht="15" hidden="false" customHeight="false" outlineLevel="0" collapsed="false">
      <c r="B8199" s="53"/>
      <c r="I8199" s="53"/>
      <c r="U8199" s="31" t="n">
        <f aca="false">IF($B8199='設定（最初に1回）'!$C$4,N(U8198)+1,N(U8198))</f>
        <v>134</v>
      </c>
    </row>
    <row r="8200" customFormat="false" ht="15" hidden="false" customHeight="false" outlineLevel="0" collapsed="false">
      <c r="B8200" s="53"/>
      <c r="I8200" s="53"/>
      <c r="U8200" s="31" t="n">
        <f aca="false">IF($B8200='設定（最初に1回）'!$C$4,N(U8199)+1,N(U8199))</f>
        <v>134</v>
      </c>
    </row>
    <row r="8201" customFormat="false" ht="15" hidden="false" customHeight="false" outlineLevel="0" collapsed="false">
      <c r="B8201" s="53"/>
      <c r="I8201" s="53"/>
      <c r="U8201" s="31" t="n">
        <f aca="false">IF($B8201='設定（最初に1回）'!$C$4,N(U8200)+1,N(U8200))</f>
        <v>134</v>
      </c>
    </row>
    <row r="8202" customFormat="false" ht="15" hidden="false" customHeight="false" outlineLevel="0" collapsed="false">
      <c r="B8202" s="53"/>
      <c r="I8202" s="53"/>
      <c r="U8202" s="31" t="n">
        <f aca="false">IF($B8202='設定（最初に1回）'!$C$4,N(U8201)+1,N(U8201))</f>
        <v>134</v>
      </c>
    </row>
    <row r="8203" customFormat="false" ht="15" hidden="false" customHeight="false" outlineLevel="0" collapsed="false">
      <c r="B8203" s="53"/>
      <c r="I8203" s="53"/>
      <c r="U8203" s="31" t="n">
        <f aca="false">IF($B8203='設定（最初に1回）'!$C$4,N(U8202)+1,N(U8202))</f>
        <v>134</v>
      </c>
    </row>
    <row r="8204" customFormat="false" ht="15" hidden="false" customHeight="false" outlineLevel="0" collapsed="false">
      <c r="B8204" s="53"/>
      <c r="I8204" s="53"/>
      <c r="U8204" s="31" t="n">
        <f aca="false">IF($B8204='設定（最初に1回）'!$C$4,N(U8203)+1,N(U8203))</f>
        <v>134</v>
      </c>
    </row>
    <row r="8205" customFormat="false" ht="15" hidden="false" customHeight="false" outlineLevel="0" collapsed="false">
      <c r="B8205" s="53"/>
      <c r="I8205" s="53"/>
      <c r="U8205" s="31" t="n">
        <f aca="false">IF($B8205='設定（最初に1回）'!$C$4,N(U8204)+1,N(U8204))</f>
        <v>134</v>
      </c>
    </row>
    <row r="8206" customFormat="false" ht="15" hidden="false" customHeight="false" outlineLevel="0" collapsed="false">
      <c r="B8206" s="53"/>
      <c r="I8206" s="53"/>
      <c r="U8206" s="31" t="n">
        <f aca="false">IF($B8206='設定（最初に1回）'!$C$4,N(U8205)+1,N(U8205))</f>
        <v>134</v>
      </c>
    </row>
    <row r="8207" customFormat="false" ht="15" hidden="false" customHeight="false" outlineLevel="0" collapsed="false">
      <c r="B8207" s="53"/>
      <c r="I8207" s="53"/>
      <c r="U8207" s="31" t="n">
        <f aca="false">IF($B8207='設定（最初に1回）'!$C$4,N(U8206)+1,N(U8206))</f>
        <v>134</v>
      </c>
    </row>
    <row r="8208" customFormat="false" ht="15" hidden="false" customHeight="false" outlineLevel="0" collapsed="false">
      <c r="B8208" s="53"/>
      <c r="I8208" s="53"/>
      <c r="U8208" s="31" t="n">
        <f aca="false">IF($B8208='設定（最初に1回）'!$C$4,N(U8207)+1,N(U8207))</f>
        <v>134</v>
      </c>
    </row>
    <row r="8209" customFormat="false" ht="15" hidden="false" customHeight="false" outlineLevel="0" collapsed="false">
      <c r="B8209" s="53"/>
      <c r="I8209" s="53"/>
      <c r="U8209" s="31" t="n">
        <f aca="false">IF($B8209='設定（最初に1回）'!$C$4,N(U8208)+1,N(U8208))</f>
        <v>134</v>
      </c>
    </row>
    <row r="8210" customFormat="false" ht="15" hidden="false" customHeight="false" outlineLevel="0" collapsed="false">
      <c r="B8210" s="53"/>
      <c r="I8210" s="53"/>
      <c r="U8210" s="31" t="n">
        <f aca="false">IF($B8210='設定（最初に1回）'!$C$4,N(U8209)+1,N(U8209))</f>
        <v>134</v>
      </c>
    </row>
    <row r="8211" customFormat="false" ht="15" hidden="false" customHeight="false" outlineLevel="0" collapsed="false">
      <c r="B8211" s="53"/>
      <c r="I8211" s="53"/>
      <c r="U8211" s="31" t="n">
        <f aca="false">IF($B8211='設定（最初に1回）'!$C$4,N(U8210)+1,N(U8210))</f>
        <v>134</v>
      </c>
    </row>
    <row r="8212" customFormat="false" ht="15" hidden="false" customHeight="false" outlineLevel="0" collapsed="false">
      <c r="B8212" s="53"/>
      <c r="I8212" s="53"/>
      <c r="U8212" s="31" t="n">
        <f aca="false">IF($B8212='設定（最初に1回）'!$C$4,N(U8211)+1,N(U8211))</f>
        <v>134</v>
      </c>
    </row>
    <row r="8213" customFormat="false" ht="15" hidden="false" customHeight="false" outlineLevel="0" collapsed="false">
      <c r="B8213" s="53"/>
      <c r="I8213" s="53"/>
      <c r="U8213" s="31" t="n">
        <f aca="false">IF($B8213='設定（最初に1回）'!$C$4,N(U8212)+1,N(U8212))</f>
        <v>134</v>
      </c>
    </row>
    <row r="8214" customFormat="false" ht="15" hidden="false" customHeight="false" outlineLevel="0" collapsed="false">
      <c r="B8214" s="53"/>
      <c r="I8214" s="53"/>
      <c r="U8214" s="31" t="n">
        <f aca="false">IF($B8214='設定（最初に1回）'!$C$4,N(U8213)+1,N(U8213))</f>
        <v>134</v>
      </c>
    </row>
    <row r="8215" customFormat="false" ht="15" hidden="false" customHeight="false" outlineLevel="0" collapsed="false">
      <c r="B8215" s="53"/>
      <c r="I8215" s="53"/>
      <c r="U8215" s="31" t="n">
        <f aca="false">IF($B8215='設定（最初に1回）'!$C$4,N(U8214)+1,N(U8214))</f>
        <v>134</v>
      </c>
    </row>
    <row r="8216" customFormat="false" ht="15" hidden="false" customHeight="false" outlineLevel="0" collapsed="false">
      <c r="B8216" s="53"/>
      <c r="I8216" s="53"/>
      <c r="U8216" s="31" t="n">
        <f aca="false">IF($B8216='設定（最初に1回）'!$C$4,N(U8215)+1,N(U8215))</f>
        <v>134</v>
      </c>
    </row>
    <row r="8217" customFormat="false" ht="15" hidden="false" customHeight="false" outlineLevel="0" collapsed="false">
      <c r="B8217" s="53"/>
      <c r="I8217" s="53"/>
      <c r="U8217" s="31" t="n">
        <f aca="false">IF($B8217='設定（最初に1回）'!$C$4,N(U8216)+1,N(U8216))</f>
        <v>134</v>
      </c>
    </row>
    <row r="8218" customFormat="false" ht="15" hidden="false" customHeight="false" outlineLevel="0" collapsed="false">
      <c r="B8218" s="53"/>
      <c r="I8218" s="53"/>
      <c r="U8218" s="31" t="n">
        <f aca="false">IF($B8218='設定（最初に1回）'!$C$4,N(U8217)+1,N(U8217))</f>
        <v>134</v>
      </c>
    </row>
    <row r="8219" customFormat="false" ht="15" hidden="false" customHeight="false" outlineLevel="0" collapsed="false">
      <c r="B8219" s="53"/>
      <c r="I8219" s="53"/>
      <c r="U8219" s="31" t="n">
        <f aca="false">IF($B8219='設定（最初に1回）'!$C$4,N(U8218)+1,N(U8218))</f>
        <v>134</v>
      </c>
    </row>
    <row r="8220" customFormat="false" ht="15" hidden="false" customHeight="false" outlineLevel="0" collapsed="false">
      <c r="B8220" s="53"/>
      <c r="I8220" s="53"/>
      <c r="U8220" s="31" t="n">
        <f aca="false">IF($B8220='設定（最初に1回）'!$C$4,N(U8219)+1,N(U8219))</f>
        <v>134</v>
      </c>
    </row>
    <row r="8221" customFormat="false" ht="15" hidden="false" customHeight="false" outlineLevel="0" collapsed="false">
      <c r="B8221" s="53"/>
      <c r="I8221" s="53"/>
      <c r="U8221" s="31" t="n">
        <f aca="false">IF($B8221='設定（最初に1回）'!$C$4,N(U8220)+1,N(U8220))</f>
        <v>134</v>
      </c>
    </row>
    <row r="8222" customFormat="false" ht="15" hidden="false" customHeight="false" outlineLevel="0" collapsed="false">
      <c r="B8222" s="53"/>
      <c r="I8222" s="53"/>
      <c r="U8222" s="31" t="n">
        <f aca="false">IF($B8222='設定（最初に1回）'!$C$4,N(U8221)+1,N(U8221))</f>
        <v>134</v>
      </c>
    </row>
    <row r="8223" customFormat="false" ht="15" hidden="false" customHeight="false" outlineLevel="0" collapsed="false">
      <c r="B8223" s="53"/>
      <c r="I8223" s="53"/>
      <c r="U8223" s="31" t="n">
        <f aca="false">IF($B8223='設定（最初に1回）'!$C$4,N(U8222)+1,N(U8222))</f>
        <v>134</v>
      </c>
    </row>
    <row r="8224" customFormat="false" ht="15" hidden="false" customHeight="false" outlineLevel="0" collapsed="false">
      <c r="B8224" s="53"/>
      <c r="I8224" s="53"/>
      <c r="U8224" s="31" t="n">
        <f aca="false">IF($B8224='設定（最初に1回）'!$C$4,N(U8223)+1,N(U8223))</f>
        <v>134</v>
      </c>
    </row>
    <row r="8225" customFormat="false" ht="15" hidden="false" customHeight="false" outlineLevel="0" collapsed="false">
      <c r="B8225" s="53"/>
      <c r="I8225" s="53"/>
      <c r="U8225" s="31" t="n">
        <f aca="false">IF($B8225='設定（最初に1回）'!$C$4,N(U8224)+1,N(U8224))</f>
        <v>134</v>
      </c>
    </row>
    <row r="8226" customFormat="false" ht="15" hidden="false" customHeight="false" outlineLevel="0" collapsed="false">
      <c r="B8226" s="53"/>
      <c r="I8226" s="53"/>
      <c r="U8226" s="31" t="n">
        <f aca="false">IF($B8226='設定（最初に1回）'!$C$4,N(U8225)+1,N(U8225))</f>
        <v>134</v>
      </c>
    </row>
    <row r="8227" customFormat="false" ht="15" hidden="false" customHeight="false" outlineLevel="0" collapsed="false">
      <c r="B8227" s="53"/>
      <c r="I8227" s="53"/>
      <c r="U8227" s="31" t="n">
        <f aca="false">IF($B8227='設定（最初に1回）'!$C$4,N(U8226)+1,N(U8226))</f>
        <v>134</v>
      </c>
    </row>
    <row r="8228" customFormat="false" ht="15" hidden="false" customHeight="false" outlineLevel="0" collapsed="false">
      <c r="B8228" s="53"/>
      <c r="I8228" s="53"/>
      <c r="U8228" s="31" t="n">
        <f aca="false">IF($B8228='設定（最初に1回）'!$C$4,N(U8227)+1,N(U8227))</f>
        <v>134</v>
      </c>
    </row>
    <row r="8229" customFormat="false" ht="15" hidden="false" customHeight="false" outlineLevel="0" collapsed="false">
      <c r="B8229" s="53"/>
      <c r="I8229" s="53"/>
      <c r="U8229" s="31" t="n">
        <f aca="false">IF($B8229='設定（最初に1回）'!$C$4,N(U8228)+1,N(U8228))</f>
        <v>134</v>
      </c>
    </row>
    <row r="8230" customFormat="false" ht="15" hidden="false" customHeight="false" outlineLevel="0" collapsed="false">
      <c r="B8230" s="53"/>
      <c r="I8230" s="53"/>
      <c r="U8230" s="31" t="n">
        <f aca="false">IF($B8230='設定（最初に1回）'!$C$4,N(U8229)+1,N(U8229))</f>
        <v>134</v>
      </c>
    </row>
    <row r="8231" customFormat="false" ht="15" hidden="false" customHeight="false" outlineLevel="0" collapsed="false">
      <c r="B8231" s="53"/>
      <c r="I8231" s="53"/>
      <c r="U8231" s="31" t="n">
        <f aca="false">IF($B8231='設定（最初に1回）'!$C$4,N(U8230)+1,N(U8230))</f>
        <v>134</v>
      </c>
    </row>
    <row r="8232" customFormat="false" ht="15" hidden="false" customHeight="false" outlineLevel="0" collapsed="false">
      <c r="B8232" s="53"/>
      <c r="I8232" s="53"/>
      <c r="U8232" s="31" t="n">
        <f aca="false">IF($B8232='設定（最初に1回）'!$C$4,N(U8231)+1,N(U8231))</f>
        <v>134</v>
      </c>
    </row>
    <row r="8233" customFormat="false" ht="15" hidden="false" customHeight="false" outlineLevel="0" collapsed="false">
      <c r="B8233" s="53"/>
      <c r="I8233" s="53"/>
      <c r="U8233" s="31" t="n">
        <f aca="false">IF($B8233='設定（最初に1回）'!$C$4,N(U8232)+1,N(U8232))</f>
        <v>134</v>
      </c>
    </row>
    <row r="8234" customFormat="false" ht="15" hidden="false" customHeight="false" outlineLevel="0" collapsed="false">
      <c r="B8234" s="53"/>
      <c r="I8234" s="53"/>
      <c r="U8234" s="31" t="n">
        <f aca="false">IF($B8234='設定（最初に1回）'!$C$4,N(U8233)+1,N(U8233))</f>
        <v>134</v>
      </c>
    </row>
    <row r="8235" customFormat="false" ht="15" hidden="false" customHeight="false" outlineLevel="0" collapsed="false">
      <c r="B8235" s="53"/>
      <c r="I8235" s="53"/>
      <c r="U8235" s="31" t="n">
        <f aca="false">IF($B8235='設定（最初に1回）'!$C$4,N(U8234)+1,N(U8234))</f>
        <v>134</v>
      </c>
    </row>
    <row r="8236" customFormat="false" ht="15" hidden="false" customHeight="false" outlineLevel="0" collapsed="false">
      <c r="B8236" s="53"/>
      <c r="I8236" s="53"/>
      <c r="U8236" s="31" t="n">
        <f aca="false">IF($B8236='設定（最初に1回）'!$C$4,N(U8235)+1,N(U8235))</f>
        <v>134</v>
      </c>
    </row>
    <row r="8237" customFormat="false" ht="15" hidden="false" customHeight="false" outlineLevel="0" collapsed="false">
      <c r="B8237" s="53"/>
      <c r="I8237" s="53"/>
      <c r="U8237" s="31" t="n">
        <f aca="false">IF($B8237='設定（最初に1回）'!$C$4,N(U8236)+1,N(U8236))</f>
        <v>134</v>
      </c>
    </row>
    <row r="8238" customFormat="false" ht="15" hidden="false" customHeight="false" outlineLevel="0" collapsed="false">
      <c r="B8238" s="53"/>
      <c r="I8238" s="53"/>
      <c r="U8238" s="31" t="n">
        <f aca="false">IF($B8238='設定（最初に1回）'!$C$4,N(U8237)+1,N(U8237))</f>
        <v>134</v>
      </c>
    </row>
    <row r="8239" customFormat="false" ht="15" hidden="false" customHeight="false" outlineLevel="0" collapsed="false">
      <c r="B8239" s="53"/>
      <c r="I8239" s="53"/>
      <c r="U8239" s="31" t="n">
        <f aca="false">IF($B8239='設定（最初に1回）'!$C$4,N(U8238)+1,N(U8238))</f>
        <v>134</v>
      </c>
    </row>
    <row r="8240" customFormat="false" ht="15" hidden="false" customHeight="false" outlineLevel="0" collapsed="false">
      <c r="B8240" s="53"/>
      <c r="I8240" s="53"/>
      <c r="U8240" s="31" t="n">
        <f aca="false">IF($B8240='設定（最初に1回）'!$C$4,N(U8239)+1,N(U8239))</f>
        <v>134</v>
      </c>
    </row>
    <row r="8241" customFormat="false" ht="15" hidden="false" customHeight="false" outlineLevel="0" collapsed="false">
      <c r="B8241" s="53"/>
      <c r="I8241" s="53"/>
      <c r="U8241" s="31" t="n">
        <f aca="false">IF($B8241='設定（最初に1回）'!$C$4,N(U8240)+1,N(U8240))</f>
        <v>134</v>
      </c>
    </row>
    <row r="8242" customFormat="false" ht="15" hidden="false" customHeight="false" outlineLevel="0" collapsed="false">
      <c r="B8242" s="53"/>
      <c r="I8242" s="53"/>
      <c r="U8242" s="31" t="n">
        <f aca="false">IF($B8242='設定（最初に1回）'!$C$4,N(U8241)+1,N(U8241))</f>
        <v>134</v>
      </c>
    </row>
    <row r="8243" customFormat="false" ht="15" hidden="false" customHeight="false" outlineLevel="0" collapsed="false">
      <c r="B8243" s="53"/>
      <c r="I8243" s="53"/>
      <c r="U8243" s="31" t="n">
        <f aca="false">IF($B8243='設定（最初に1回）'!$C$4,N(U8242)+1,N(U8242))</f>
        <v>134</v>
      </c>
    </row>
    <row r="8244" customFormat="false" ht="15" hidden="false" customHeight="false" outlineLevel="0" collapsed="false">
      <c r="B8244" s="53"/>
      <c r="I8244" s="53"/>
      <c r="U8244" s="31" t="n">
        <f aca="false">IF($B8244='設定（最初に1回）'!$C$4,N(U8243)+1,N(U8243))</f>
        <v>134</v>
      </c>
    </row>
    <row r="8245" customFormat="false" ht="15" hidden="false" customHeight="false" outlineLevel="0" collapsed="false">
      <c r="B8245" s="53"/>
      <c r="I8245" s="53"/>
      <c r="U8245" s="31" t="n">
        <f aca="false">IF($B8245='設定（最初に1回）'!$C$4,N(U8244)+1,N(U8244))</f>
        <v>134</v>
      </c>
    </row>
    <row r="8246" customFormat="false" ht="15" hidden="false" customHeight="false" outlineLevel="0" collapsed="false">
      <c r="B8246" s="53"/>
      <c r="I8246" s="53"/>
      <c r="U8246" s="31" t="n">
        <f aca="false">IF($B8246='設定（最初に1回）'!$C$4,N(U8245)+1,N(U8245))</f>
        <v>134</v>
      </c>
    </row>
    <row r="8247" customFormat="false" ht="15" hidden="false" customHeight="false" outlineLevel="0" collapsed="false">
      <c r="B8247" s="53"/>
      <c r="I8247" s="53"/>
      <c r="U8247" s="31" t="n">
        <f aca="false">IF($B8247='設定（最初に1回）'!$C$4,N(U8246)+1,N(U8246))</f>
        <v>134</v>
      </c>
    </row>
    <row r="8248" customFormat="false" ht="15" hidden="false" customHeight="false" outlineLevel="0" collapsed="false">
      <c r="B8248" s="53"/>
      <c r="I8248" s="53"/>
      <c r="U8248" s="31" t="n">
        <f aca="false">IF($B8248='設定（最初に1回）'!$C$4,N(U8247)+1,N(U8247))</f>
        <v>134</v>
      </c>
    </row>
    <row r="8249" customFormat="false" ht="15" hidden="false" customHeight="false" outlineLevel="0" collapsed="false">
      <c r="B8249" s="53"/>
      <c r="I8249" s="53"/>
      <c r="U8249" s="31" t="n">
        <f aca="false">IF($B8249='設定（最初に1回）'!$C$4,N(U8248)+1,N(U8248))</f>
        <v>134</v>
      </c>
    </row>
    <row r="8250" customFormat="false" ht="15" hidden="false" customHeight="false" outlineLevel="0" collapsed="false">
      <c r="B8250" s="53"/>
      <c r="I8250" s="53"/>
      <c r="U8250" s="31" t="n">
        <f aca="false">IF($B8250='設定（最初に1回）'!$C$4,N(U8249)+1,N(U8249))</f>
        <v>134</v>
      </c>
    </row>
    <row r="8251" customFormat="false" ht="15" hidden="false" customHeight="false" outlineLevel="0" collapsed="false">
      <c r="B8251" s="53"/>
      <c r="I8251" s="53"/>
      <c r="U8251" s="31" t="n">
        <f aca="false">IF($B8251='設定（最初に1回）'!$C$4,N(U8250)+1,N(U8250))</f>
        <v>134</v>
      </c>
    </row>
    <row r="8252" customFormat="false" ht="15" hidden="false" customHeight="false" outlineLevel="0" collapsed="false">
      <c r="B8252" s="53"/>
      <c r="I8252" s="53"/>
      <c r="U8252" s="31" t="n">
        <f aca="false">IF($B8252='設定（最初に1回）'!$C$4,N(U8251)+1,N(U8251))</f>
        <v>134</v>
      </c>
    </row>
    <row r="8253" customFormat="false" ht="15" hidden="false" customHeight="false" outlineLevel="0" collapsed="false">
      <c r="B8253" s="53"/>
      <c r="I8253" s="53"/>
      <c r="U8253" s="31" t="n">
        <f aca="false">IF($B8253='設定（最初に1回）'!$C$4,N(U8252)+1,N(U8252))</f>
        <v>134</v>
      </c>
    </row>
    <row r="8254" customFormat="false" ht="15" hidden="false" customHeight="false" outlineLevel="0" collapsed="false">
      <c r="B8254" s="53"/>
      <c r="I8254" s="53"/>
      <c r="U8254" s="31" t="n">
        <f aca="false">IF($B8254='設定（最初に1回）'!$C$4,N(U8253)+1,N(U8253))</f>
        <v>134</v>
      </c>
    </row>
    <row r="8255" customFormat="false" ht="15" hidden="false" customHeight="false" outlineLevel="0" collapsed="false">
      <c r="B8255" s="53"/>
      <c r="I8255" s="53"/>
      <c r="U8255" s="31" t="n">
        <f aca="false">IF($B8255='設定（最初に1回）'!$C$4,N(U8254)+1,N(U8254))</f>
        <v>134</v>
      </c>
    </row>
    <row r="8256" customFormat="false" ht="15" hidden="false" customHeight="false" outlineLevel="0" collapsed="false">
      <c r="B8256" s="53"/>
      <c r="I8256" s="53"/>
      <c r="U8256" s="31" t="n">
        <f aca="false">IF($B8256='設定（最初に1回）'!$C$4,N(U8255)+1,N(U8255))</f>
        <v>134</v>
      </c>
    </row>
    <row r="8257" customFormat="false" ht="15" hidden="false" customHeight="false" outlineLevel="0" collapsed="false">
      <c r="B8257" s="53"/>
      <c r="I8257" s="53"/>
      <c r="U8257" s="31" t="n">
        <f aca="false">IF($B8257='設定（最初に1回）'!$C$4,N(U8256)+1,N(U8256))</f>
        <v>134</v>
      </c>
    </row>
    <row r="8258" customFormat="false" ht="15" hidden="false" customHeight="false" outlineLevel="0" collapsed="false">
      <c r="B8258" s="53"/>
      <c r="I8258" s="53"/>
      <c r="U8258" s="31" t="n">
        <f aca="false">IF($B8258='設定（最初に1回）'!$C$4,N(U8257)+1,N(U8257))</f>
        <v>134</v>
      </c>
    </row>
    <row r="8259" customFormat="false" ht="15" hidden="false" customHeight="false" outlineLevel="0" collapsed="false">
      <c r="B8259" s="53"/>
      <c r="I8259" s="53"/>
      <c r="U8259" s="31" t="n">
        <f aca="false">IF($B8259='設定（最初に1回）'!$C$4,N(U8258)+1,N(U8258))</f>
        <v>134</v>
      </c>
    </row>
    <row r="8260" customFormat="false" ht="15" hidden="false" customHeight="false" outlineLevel="0" collapsed="false">
      <c r="B8260" s="53"/>
      <c r="I8260" s="53"/>
      <c r="U8260" s="31" t="n">
        <f aca="false">IF($B8260='設定（最初に1回）'!$C$4,N(U8259)+1,N(U8259))</f>
        <v>134</v>
      </c>
    </row>
    <row r="8261" customFormat="false" ht="15" hidden="false" customHeight="false" outlineLevel="0" collapsed="false">
      <c r="B8261" s="53"/>
      <c r="I8261" s="53"/>
      <c r="U8261" s="31" t="n">
        <f aca="false">IF($B8261='設定（最初に1回）'!$C$4,N(U8260)+1,N(U8260))</f>
        <v>134</v>
      </c>
    </row>
    <row r="8262" customFormat="false" ht="15" hidden="false" customHeight="false" outlineLevel="0" collapsed="false">
      <c r="B8262" s="53"/>
      <c r="I8262" s="53"/>
      <c r="U8262" s="31" t="n">
        <f aca="false">IF($B8262='設定（最初に1回）'!$C$4,N(U8261)+1,N(U8261))</f>
        <v>134</v>
      </c>
    </row>
    <row r="8263" customFormat="false" ht="15" hidden="false" customHeight="false" outlineLevel="0" collapsed="false">
      <c r="B8263" s="53"/>
      <c r="I8263" s="53"/>
      <c r="U8263" s="31" t="n">
        <f aca="false">IF($B8263='設定（最初に1回）'!$C$4,N(U8262)+1,N(U8262))</f>
        <v>134</v>
      </c>
    </row>
    <row r="8264" customFormat="false" ht="15" hidden="false" customHeight="false" outlineLevel="0" collapsed="false">
      <c r="B8264" s="53"/>
      <c r="I8264" s="53"/>
      <c r="U8264" s="31" t="n">
        <f aca="false">IF($B8264='設定（最初に1回）'!$C$4,N(U8263)+1,N(U8263))</f>
        <v>134</v>
      </c>
    </row>
    <row r="8265" customFormat="false" ht="15" hidden="false" customHeight="false" outlineLevel="0" collapsed="false">
      <c r="B8265" s="53"/>
      <c r="I8265" s="53"/>
      <c r="U8265" s="31" t="n">
        <f aca="false">IF($B8265='設定（最初に1回）'!$C$4,N(U8264)+1,N(U8264))</f>
        <v>134</v>
      </c>
    </row>
    <row r="8266" customFormat="false" ht="15" hidden="false" customHeight="false" outlineLevel="0" collapsed="false">
      <c r="B8266" s="53"/>
      <c r="I8266" s="53"/>
      <c r="U8266" s="31" t="n">
        <f aca="false">IF($B8266='設定（最初に1回）'!$C$4,N(U8265)+1,N(U8265))</f>
        <v>134</v>
      </c>
    </row>
    <row r="8267" customFormat="false" ht="15" hidden="false" customHeight="false" outlineLevel="0" collapsed="false">
      <c r="B8267" s="53"/>
      <c r="I8267" s="53"/>
      <c r="U8267" s="31" t="n">
        <f aca="false">IF($B8267='設定（最初に1回）'!$C$4,N(U8266)+1,N(U8266))</f>
        <v>134</v>
      </c>
    </row>
    <row r="8268" customFormat="false" ht="15" hidden="false" customHeight="false" outlineLevel="0" collapsed="false">
      <c r="B8268" s="53"/>
      <c r="I8268" s="53"/>
      <c r="U8268" s="31" t="n">
        <f aca="false">IF($B8268='設定（最初に1回）'!$C$4,N(U8267)+1,N(U8267))</f>
        <v>134</v>
      </c>
    </row>
    <row r="8269" customFormat="false" ht="15" hidden="false" customHeight="false" outlineLevel="0" collapsed="false">
      <c r="B8269" s="53"/>
      <c r="I8269" s="53"/>
      <c r="U8269" s="31" t="n">
        <f aca="false">IF($B8269='設定（最初に1回）'!$C$4,N(U8268)+1,N(U8268))</f>
        <v>134</v>
      </c>
    </row>
    <row r="8270" customFormat="false" ht="15" hidden="false" customHeight="false" outlineLevel="0" collapsed="false">
      <c r="B8270" s="53"/>
      <c r="I8270" s="53"/>
      <c r="U8270" s="31" t="n">
        <f aca="false">IF($B8270='設定（最初に1回）'!$C$4,N(U8269)+1,N(U8269))</f>
        <v>134</v>
      </c>
    </row>
    <row r="8271" customFormat="false" ht="15" hidden="false" customHeight="false" outlineLevel="0" collapsed="false">
      <c r="B8271" s="53"/>
      <c r="I8271" s="53"/>
      <c r="U8271" s="31" t="n">
        <f aca="false">IF($B8271='設定（最初に1回）'!$C$4,N(U8270)+1,N(U8270))</f>
        <v>134</v>
      </c>
    </row>
    <row r="8272" customFormat="false" ht="15" hidden="false" customHeight="false" outlineLevel="0" collapsed="false">
      <c r="B8272" s="53"/>
      <c r="I8272" s="53"/>
      <c r="U8272" s="31" t="n">
        <f aca="false">IF($B8272='設定（最初に1回）'!$C$4,N(U8271)+1,N(U8271))</f>
        <v>134</v>
      </c>
    </row>
    <row r="8273" customFormat="false" ht="15" hidden="false" customHeight="false" outlineLevel="0" collapsed="false">
      <c r="B8273" s="53"/>
      <c r="I8273" s="53"/>
      <c r="U8273" s="31" t="n">
        <f aca="false">IF($B8273='設定（最初に1回）'!$C$4,N(U8272)+1,N(U8272))</f>
        <v>134</v>
      </c>
    </row>
    <row r="8274" customFormat="false" ht="15" hidden="false" customHeight="false" outlineLevel="0" collapsed="false">
      <c r="B8274" s="53"/>
      <c r="I8274" s="53"/>
      <c r="U8274" s="31" t="n">
        <f aca="false">IF($B8274='設定（最初に1回）'!$C$4,N(U8273)+1,N(U8273))</f>
        <v>134</v>
      </c>
    </row>
    <row r="8275" customFormat="false" ht="15" hidden="false" customHeight="false" outlineLevel="0" collapsed="false">
      <c r="B8275" s="53"/>
      <c r="I8275" s="53"/>
      <c r="U8275" s="31" t="n">
        <f aca="false">IF($B8275='設定（最初に1回）'!$C$4,N(U8274)+1,N(U8274))</f>
        <v>134</v>
      </c>
    </row>
    <row r="8276" customFormat="false" ht="15" hidden="false" customHeight="false" outlineLevel="0" collapsed="false">
      <c r="B8276" s="53"/>
      <c r="I8276" s="53"/>
      <c r="U8276" s="31" t="n">
        <f aca="false">IF($B8276='設定（最初に1回）'!$C$4,N(U8275)+1,N(U8275))</f>
        <v>134</v>
      </c>
    </row>
    <row r="8277" customFormat="false" ht="15" hidden="false" customHeight="false" outlineLevel="0" collapsed="false">
      <c r="B8277" s="53"/>
      <c r="I8277" s="53"/>
      <c r="U8277" s="31" t="n">
        <f aca="false">IF($B8277='設定（最初に1回）'!$C$4,N(U8276)+1,N(U8276))</f>
        <v>134</v>
      </c>
    </row>
    <row r="8278" customFormat="false" ht="15" hidden="false" customHeight="false" outlineLevel="0" collapsed="false">
      <c r="B8278" s="53"/>
      <c r="I8278" s="53"/>
      <c r="U8278" s="31" t="n">
        <f aca="false">IF($B8278='設定（最初に1回）'!$C$4,N(U8277)+1,N(U8277))</f>
        <v>134</v>
      </c>
    </row>
    <row r="8279" customFormat="false" ht="15" hidden="false" customHeight="false" outlineLevel="0" collapsed="false">
      <c r="B8279" s="53"/>
      <c r="I8279" s="53"/>
      <c r="U8279" s="31" t="n">
        <f aca="false">IF($B8279='設定（最初に1回）'!$C$4,N(U8278)+1,N(U8278))</f>
        <v>134</v>
      </c>
    </row>
    <row r="8280" customFormat="false" ht="15" hidden="false" customHeight="false" outlineLevel="0" collapsed="false">
      <c r="B8280" s="53"/>
      <c r="I8280" s="53"/>
      <c r="U8280" s="31" t="n">
        <f aca="false">IF($B8280='設定（最初に1回）'!$C$4,N(U8279)+1,N(U8279))</f>
        <v>134</v>
      </c>
    </row>
    <row r="8281" customFormat="false" ht="15" hidden="false" customHeight="false" outlineLevel="0" collapsed="false">
      <c r="B8281" s="53"/>
      <c r="I8281" s="53"/>
      <c r="U8281" s="31" t="n">
        <f aca="false">IF($B8281='設定（最初に1回）'!$C$4,N(U8280)+1,N(U8280))</f>
        <v>134</v>
      </c>
    </row>
    <row r="8282" customFormat="false" ht="15" hidden="false" customHeight="false" outlineLevel="0" collapsed="false">
      <c r="B8282" s="53"/>
      <c r="I8282" s="53"/>
      <c r="U8282" s="31" t="n">
        <f aca="false">IF($B8282='設定（最初に1回）'!$C$4,N(U8281)+1,N(U8281))</f>
        <v>134</v>
      </c>
    </row>
    <row r="8283" customFormat="false" ht="15" hidden="false" customHeight="false" outlineLevel="0" collapsed="false">
      <c r="B8283" s="53"/>
      <c r="I8283" s="53"/>
      <c r="U8283" s="31" t="n">
        <f aca="false">IF($B8283='設定（最初に1回）'!$C$4,N(U8282)+1,N(U8282))</f>
        <v>134</v>
      </c>
    </row>
    <row r="8284" customFormat="false" ht="15" hidden="false" customHeight="false" outlineLevel="0" collapsed="false">
      <c r="B8284" s="53"/>
      <c r="I8284" s="53"/>
      <c r="U8284" s="31" t="n">
        <f aca="false">IF($B8284='設定（最初に1回）'!$C$4,N(U8283)+1,N(U8283))</f>
        <v>134</v>
      </c>
    </row>
    <row r="8285" customFormat="false" ht="15" hidden="false" customHeight="false" outlineLevel="0" collapsed="false">
      <c r="B8285" s="53"/>
      <c r="I8285" s="53"/>
      <c r="U8285" s="31" t="n">
        <f aca="false">IF($B8285='設定（最初に1回）'!$C$4,N(U8284)+1,N(U8284))</f>
        <v>134</v>
      </c>
    </row>
    <row r="8286" customFormat="false" ht="15" hidden="false" customHeight="false" outlineLevel="0" collapsed="false">
      <c r="B8286" s="53"/>
      <c r="I8286" s="53"/>
      <c r="U8286" s="31" t="n">
        <f aca="false">IF($B8286='設定（最初に1回）'!$C$4,N(U8285)+1,N(U8285))</f>
        <v>134</v>
      </c>
    </row>
    <row r="8287" customFormat="false" ht="15" hidden="false" customHeight="false" outlineLevel="0" collapsed="false">
      <c r="B8287" s="53"/>
      <c r="I8287" s="53"/>
      <c r="U8287" s="31" t="n">
        <f aca="false">IF($B8287='設定（最初に1回）'!$C$4,N(U8286)+1,N(U8286))</f>
        <v>134</v>
      </c>
    </row>
    <row r="8288" customFormat="false" ht="15" hidden="false" customHeight="false" outlineLevel="0" collapsed="false">
      <c r="B8288" s="53"/>
      <c r="I8288" s="53"/>
      <c r="U8288" s="31" t="n">
        <f aca="false">IF($B8288='設定（最初に1回）'!$C$4,N(U8287)+1,N(U8287))</f>
        <v>134</v>
      </c>
    </row>
    <row r="8289" customFormat="false" ht="15" hidden="false" customHeight="false" outlineLevel="0" collapsed="false">
      <c r="B8289" s="53"/>
      <c r="I8289" s="53"/>
      <c r="U8289" s="31" t="n">
        <f aca="false">IF($B8289='設定（最初に1回）'!$C$4,N(U8288)+1,N(U8288))</f>
        <v>134</v>
      </c>
    </row>
    <row r="8290" customFormat="false" ht="15" hidden="false" customHeight="false" outlineLevel="0" collapsed="false">
      <c r="B8290" s="53"/>
      <c r="I8290" s="53"/>
      <c r="U8290" s="31" t="n">
        <f aca="false">IF($B8290='設定（最初に1回）'!$C$4,N(U8289)+1,N(U8289))</f>
        <v>134</v>
      </c>
    </row>
    <row r="8291" customFormat="false" ht="15" hidden="false" customHeight="false" outlineLevel="0" collapsed="false">
      <c r="B8291" s="53"/>
      <c r="I8291" s="53"/>
      <c r="U8291" s="31" t="n">
        <f aca="false">IF($B8291='設定（最初に1回）'!$C$4,N(U8290)+1,N(U8290))</f>
        <v>134</v>
      </c>
    </row>
    <row r="8292" customFormat="false" ht="15" hidden="false" customHeight="false" outlineLevel="0" collapsed="false">
      <c r="B8292" s="53"/>
      <c r="I8292" s="53"/>
      <c r="U8292" s="31" t="n">
        <f aca="false">IF($B8292='設定（最初に1回）'!$C$4,N(U8291)+1,N(U8291))</f>
        <v>134</v>
      </c>
    </row>
    <row r="8293" customFormat="false" ht="15" hidden="false" customHeight="false" outlineLevel="0" collapsed="false">
      <c r="B8293" s="53"/>
      <c r="I8293" s="53"/>
      <c r="U8293" s="31" t="n">
        <f aca="false">IF($B8293='設定（最初に1回）'!$C$4,N(U8292)+1,N(U8292))</f>
        <v>134</v>
      </c>
    </row>
    <row r="8294" customFormat="false" ht="15" hidden="false" customHeight="false" outlineLevel="0" collapsed="false">
      <c r="B8294" s="53"/>
      <c r="I8294" s="53"/>
      <c r="U8294" s="31" t="n">
        <f aca="false">IF($B8294='設定（最初に1回）'!$C$4,N(U8293)+1,N(U8293))</f>
        <v>134</v>
      </c>
    </row>
    <row r="8295" customFormat="false" ht="15" hidden="false" customHeight="false" outlineLevel="0" collapsed="false">
      <c r="B8295" s="53"/>
      <c r="I8295" s="53"/>
      <c r="U8295" s="31" t="n">
        <f aca="false">IF($B8295='設定（最初に1回）'!$C$4,N(U8294)+1,N(U8294))</f>
        <v>134</v>
      </c>
    </row>
    <row r="8296" customFormat="false" ht="15" hidden="false" customHeight="false" outlineLevel="0" collapsed="false">
      <c r="B8296" s="53"/>
      <c r="I8296" s="53"/>
      <c r="U8296" s="31" t="n">
        <f aca="false">IF($B8296='設定（最初に1回）'!$C$4,N(U8295)+1,N(U8295))</f>
        <v>134</v>
      </c>
    </row>
    <row r="8297" customFormat="false" ht="15" hidden="false" customHeight="false" outlineLevel="0" collapsed="false">
      <c r="B8297" s="53"/>
      <c r="I8297" s="53"/>
      <c r="U8297" s="31" t="n">
        <f aca="false">IF($B8297='設定（最初に1回）'!$C$4,N(U8296)+1,N(U8296))</f>
        <v>134</v>
      </c>
    </row>
    <row r="8298" customFormat="false" ht="15" hidden="false" customHeight="false" outlineLevel="0" collapsed="false">
      <c r="B8298" s="53"/>
      <c r="I8298" s="53"/>
      <c r="U8298" s="31" t="n">
        <f aca="false">IF($B8298='設定（最初に1回）'!$C$4,N(U8297)+1,N(U8297))</f>
        <v>134</v>
      </c>
    </row>
    <row r="8299" customFormat="false" ht="15" hidden="false" customHeight="false" outlineLevel="0" collapsed="false">
      <c r="B8299" s="53"/>
      <c r="I8299" s="53"/>
      <c r="U8299" s="31" t="n">
        <f aca="false">IF($B8299='設定（最初に1回）'!$C$4,N(U8298)+1,N(U8298))</f>
        <v>134</v>
      </c>
    </row>
    <row r="8300" customFormat="false" ht="15" hidden="false" customHeight="false" outlineLevel="0" collapsed="false">
      <c r="B8300" s="53"/>
      <c r="I8300" s="53"/>
      <c r="U8300" s="31" t="n">
        <f aca="false">IF($B8300='設定（最初に1回）'!$C$4,N(U8299)+1,N(U8299))</f>
        <v>134</v>
      </c>
    </row>
    <row r="8301" customFormat="false" ht="15" hidden="false" customHeight="false" outlineLevel="0" collapsed="false">
      <c r="B8301" s="53"/>
      <c r="I8301" s="53"/>
      <c r="U8301" s="31" t="n">
        <f aca="false">IF($B8301='設定（最初に1回）'!$C$4,N(U8300)+1,N(U8300))</f>
        <v>134</v>
      </c>
    </row>
    <row r="8302" customFormat="false" ht="15" hidden="false" customHeight="false" outlineLevel="0" collapsed="false">
      <c r="B8302" s="53"/>
      <c r="I8302" s="53"/>
      <c r="U8302" s="31" t="n">
        <f aca="false">IF($B8302='設定（最初に1回）'!$C$4,N(U8301)+1,N(U8301))</f>
        <v>134</v>
      </c>
    </row>
    <row r="8303" customFormat="false" ht="15" hidden="false" customHeight="false" outlineLevel="0" collapsed="false">
      <c r="B8303" s="53"/>
      <c r="I8303" s="53"/>
      <c r="U8303" s="31" t="n">
        <f aca="false">IF($B8303='設定（最初に1回）'!$C$4,N(U8302)+1,N(U8302))</f>
        <v>134</v>
      </c>
    </row>
    <row r="8304" customFormat="false" ht="15" hidden="false" customHeight="false" outlineLevel="0" collapsed="false">
      <c r="B8304" s="53"/>
      <c r="I8304" s="53"/>
      <c r="U8304" s="31" t="n">
        <f aca="false">IF($B8304='設定（最初に1回）'!$C$4,N(U8303)+1,N(U8303))</f>
        <v>134</v>
      </c>
    </row>
    <row r="8305" customFormat="false" ht="15" hidden="false" customHeight="false" outlineLevel="0" collapsed="false">
      <c r="B8305" s="53"/>
      <c r="I8305" s="53"/>
      <c r="U8305" s="31" t="n">
        <f aca="false">IF($B8305='設定（最初に1回）'!$C$4,N(U8304)+1,N(U8304))</f>
        <v>134</v>
      </c>
    </row>
    <row r="8306" customFormat="false" ht="15" hidden="false" customHeight="false" outlineLevel="0" collapsed="false">
      <c r="B8306" s="53"/>
      <c r="I8306" s="53"/>
      <c r="U8306" s="31" t="n">
        <f aca="false">IF($B8306='設定（最初に1回）'!$C$4,N(U8305)+1,N(U8305))</f>
        <v>134</v>
      </c>
    </row>
    <row r="8307" customFormat="false" ht="15" hidden="false" customHeight="false" outlineLevel="0" collapsed="false">
      <c r="B8307" s="53"/>
      <c r="I8307" s="53"/>
      <c r="U8307" s="31" t="n">
        <f aca="false">IF($B8307='設定（最初に1回）'!$C$4,N(U8306)+1,N(U8306))</f>
        <v>134</v>
      </c>
    </row>
    <row r="8308" customFormat="false" ht="15" hidden="false" customHeight="false" outlineLevel="0" collapsed="false">
      <c r="B8308" s="53"/>
      <c r="I8308" s="53"/>
      <c r="U8308" s="31" t="n">
        <f aca="false">IF($B8308='設定（最初に1回）'!$C$4,N(U8307)+1,N(U8307))</f>
        <v>134</v>
      </c>
    </row>
    <row r="8309" customFormat="false" ht="15" hidden="false" customHeight="false" outlineLevel="0" collapsed="false">
      <c r="B8309" s="53"/>
      <c r="I8309" s="53"/>
      <c r="U8309" s="31" t="n">
        <f aca="false">IF($B8309='設定（最初に1回）'!$C$4,N(U8308)+1,N(U8308))</f>
        <v>134</v>
      </c>
    </row>
    <row r="8310" customFormat="false" ht="15" hidden="false" customHeight="false" outlineLevel="0" collapsed="false">
      <c r="B8310" s="53"/>
      <c r="I8310" s="53"/>
      <c r="U8310" s="31" t="n">
        <f aca="false">IF($B8310='設定（最初に1回）'!$C$4,N(U8309)+1,N(U8309))</f>
        <v>134</v>
      </c>
    </row>
    <row r="8311" customFormat="false" ht="15" hidden="false" customHeight="false" outlineLevel="0" collapsed="false">
      <c r="B8311" s="53"/>
      <c r="I8311" s="53"/>
      <c r="U8311" s="31" t="n">
        <f aca="false">IF($B8311='設定（最初に1回）'!$C$4,N(U8310)+1,N(U8310))</f>
        <v>134</v>
      </c>
    </row>
    <row r="8312" customFormat="false" ht="15" hidden="false" customHeight="false" outlineLevel="0" collapsed="false">
      <c r="B8312" s="53"/>
      <c r="I8312" s="53"/>
      <c r="U8312" s="31" t="n">
        <f aca="false">IF($B8312='設定（最初に1回）'!$C$4,N(U8311)+1,N(U8311))</f>
        <v>134</v>
      </c>
    </row>
    <row r="8313" customFormat="false" ht="15" hidden="false" customHeight="false" outlineLevel="0" collapsed="false">
      <c r="B8313" s="53"/>
      <c r="I8313" s="53"/>
      <c r="U8313" s="31" t="n">
        <f aca="false">IF($B8313='設定（最初に1回）'!$C$4,N(U8312)+1,N(U8312))</f>
        <v>134</v>
      </c>
    </row>
    <row r="8314" customFormat="false" ht="15" hidden="false" customHeight="false" outlineLevel="0" collapsed="false">
      <c r="B8314" s="53"/>
      <c r="I8314" s="53"/>
      <c r="U8314" s="31" t="n">
        <f aca="false">IF($B8314='設定（最初に1回）'!$C$4,N(U8313)+1,N(U8313))</f>
        <v>134</v>
      </c>
    </row>
    <row r="8315" customFormat="false" ht="15" hidden="false" customHeight="false" outlineLevel="0" collapsed="false">
      <c r="B8315" s="53"/>
      <c r="I8315" s="53"/>
      <c r="U8315" s="31" t="n">
        <f aca="false">IF($B8315='設定（最初に1回）'!$C$4,N(U8314)+1,N(U8314))</f>
        <v>134</v>
      </c>
    </row>
    <row r="8316" customFormat="false" ht="15" hidden="false" customHeight="false" outlineLevel="0" collapsed="false">
      <c r="B8316" s="53"/>
      <c r="I8316" s="53"/>
      <c r="U8316" s="31" t="n">
        <f aca="false">IF($B8316='設定（最初に1回）'!$C$4,N(U8315)+1,N(U8315))</f>
        <v>134</v>
      </c>
    </row>
    <row r="8317" customFormat="false" ht="15" hidden="false" customHeight="false" outlineLevel="0" collapsed="false">
      <c r="B8317" s="53"/>
      <c r="I8317" s="53"/>
      <c r="U8317" s="31" t="n">
        <f aca="false">IF($B8317='設定（最初に1回）'!$C$4,N(U8316)+1,N(U8316))</f>
        <v>134</v>
      </c>
    </row>
    <row r="8318" customFormat="false" ht="15" hidden="false" customHeight="false" outlineLevel="0" collapsed="false">
      <c r="B8318" s="53"/>
      <c r="I8318" s="53"/>
      <c r="U8318" s="31" t="n">
        <f aca="false">IF($B8318='設定（最初に1回）'!$C$4,N(U8317)+1,N(U8317))</f>
        <v>134</v>
      </c>
    </row>
    <row r="8319" customFormat="false" ht="15" hidden="false" customHeight="false" outlineLevel="0" collapsed="false">
      <c r="B8319" s="53"/>
      <c r="I8319" s="53"/>
      <c r="U8319" s="31" t="n">
        <f aca="false">IF($B8319='設定（最初に1回）'!$C$4,N(U8318)+1,N(U8318))</f>
        <v>134</v>
      </c>
    </row>
    <row r="8320" customFormat="false" ht="15" hidden="false" customHeight="false" outlineLevel="0" collapsed="false">
      <c r="B8320" s="53"/>
      <c r="I8320" s="53"/>
      <c r="U8320" s="31" t="n">
        <f aca="false">IF($B8320='設定（最初に1回）'!$C$4,N(U8319)+1,N(U8319))</f>
        <v>134</v>
      </c>
    </row>
    <row r="8321" customFormat="false" ht="15" hidden="false" customHeight="false" outlineLevel="0" collapsed="false">
      <c r="B8321" s="53"/>
      <c r="I8321" s="53"/>
      <c r="U8321" s="31" t="n">
        <f aca="false">IF($B8321='設定（最初に1回）'!$C$4,N(U8320)+1,N(U8320))</f>
        <v>134</v>
      </c>
    </row>
    <row r="8322" customFormat="false" ht="15" hidden="false" customHeight="false" outlineLevel="0" collapsed="false">
      <c r="B8322" s="53"/>
      <c r="I8322" s="53"/>
      <c r="U8322" s="31" t="n">
        <f aca="false">IF($B8322='設定（最初に1回）'!$C$4,N(U8321)+1,N(U8321))</f>
        <v>134</v>
      </c>
    </row>
    <row r="8323" customFormat="false" ht="15" hidden="false" customHeight="false" outlineLevel="0" collapsed="false">
      <c r="B8323" s="53"/>
      <c r="I8323" s="53"/>
      <c r="U8323" s="31" t="n">
        <f aca="false">IF($B8323='設定（最初に1回）'!$C$4,N(U8322)+1,N(U8322))</f>
        <v>134</v>
      </c>
    </row>
    <row r="8324" customFormat="false" ht="15" hidden="false" customHeight="false" outlineLevel="0" collapsed="false">
      <c r="B8324" s="53"/>
      <c r="I8324" s="53"/>
      <c r="U8324" s="31" t="n">
        <f aca="false">IF($B8324='設定（最初に1回）'!$C$4,N(U8323)+1,N(U8323))</f>
        <v>134</v>
      </c>
    </row>
    <row r="8325" customFormat="false" ht="15" hidden="false" customHeight="false" outlineLevel="0" collapsed="false">
      <c r="B8325" s="53"/>
      <c r="I8325" s="53"/>
      <c r="U8325" s="31" t="n">
        <f aca="false">IF($B8325='設定（最初に1回）'!$C$4,N(U8324)+1,N(U8324))</f>
        <v>134</v>
      </c>
    </row>
    <row r="8326" customFormat="false" ht="15" hidden="false" customHeight="false" outlineLevel="0" collapsed="false">
      <c r="B8326" s="53"/>
      <c r="I8326" s="53"/>
      <c r="U8326" s="31" t="n">
        <f aca="false">IF($B8326='設定（最初に1回）'!$C$4,N(U8325)+1,N(U8325))</f>
        <v>134</v>
      </c>
    </row>
    <row r="8327" customFormat="false" ht="15" hidden="false" customHeight="false" outlineLevel="0" collapsed="false">
      <c r="B8327" s="53"/>
      <c r="I8327" s="53"/>
      <c r="U8327" s="31" t="n">
        <f aca="false">IF($B8327='設定（最初に1回）'!$C$4,N(U8326)+1,N(U8326))</f>
        <v>134</v>
      </c>
    </row>
    <row r="8328" customFormat="false" ht="15" hidden="false" customHeight="false" outlineLevel="0" collapsed="false">
      <c r="B8328" s="53"/>
      <c r="I8328" s="53"/>
      <c r="U8328" s="31" t="n">
        <f aca="false">IF($B8328='設定（最初に1回）'!$C$4,N(U8327)+1,N(U8327))</f>
        <v>134</v>
      </c>
    </row>
    <row r="8329" customFormat="false" ht="15" hidden="false" customHeight="false" outlineLevel="0" collapsed="false">
      <c r="B8329" s="53"/>
      <c r="I8329" s="53"/>
      <c r="U8329" s="31" t="n">
        <f aca="false">IF($B8329='設定（最初に1回）'!$C$4,N(U8328)+1,N(U8328))</f>
        <v>134</v>
      </c>
    </row>
    <row r="8330" customFormat="false" ht="15" hidden="false" customHeight="false" outlineLevel="0" collapsed="false">
      <c r="B8330" s="53"/>
      <c r="I8330" s="53"/>
      <c r="U8330" s="31" t="n">
        <f aca="false">IF($B8330='設定（最初に1回）'!$C$4,N(U8329)+1,N(U8329))</f>
        <v>134</v>
      </c>
    </row>
    <row r="8331" customFormat="false" ht="15" hidden="false" customHeight="false" outlineLevel="0" collapsed="false">
      <c r="B8331" s="53"/>
      <c r="I8331" s="53"/>
      <c r="U8331" s="31" t="n">
        <f aca="false">IF($B8331='設定（最初に1回）'!$C$4,N(U8330)+1,N(U8330))</f>
        <v>134</v>
      </c>
    </row>
    <row r="8332" customFormat="false" ht="15" hidden="false" customHeight="false" outlineLevel="0" collapsed="false">
      <c r="B8332" s="53"/>
      <c r="I8332" s="53"/>
      <c r="U8332" s="31" t="n">
        <f aca="false">IF($B8332='設定（最初に1回）'!$C$4,N(U8331)+1,N(U8331))</f>
        <v>134</v>
      </c>
    </row>
    <row r="8333" customFormat="false" ht="15" hidden="false" customHeight="false" outlineLevel="0" collapsed="false">
      <c r="B8333" s="53"/>
      <c r="I8333" s="53"/>
      <c r="U8333" s="31" t="n">
        <f aca="false">IF($B8333='設定（最初に1回）'!$C$4,N(U8332)+1,N(U8332))</f>
        <v>134</v>
      </c>
    </row>
    <row r="8334" customFormat="false" ht="15" hidden="false" customHeight="false" outlineLevel="0" collapsed="false">
      <c r="B8334" s="53"/>
      <c r="I8334" s="53"/>
      <c r="U8334" s="31" t="n">
        <f aca="false">IF($B8334='設定（最初に1回）'!$C$4,N(U8333)+1,N(U8333))</f>
        <v>134</v>
      </c>
    </row>
    <row r="8335" customFormat="false" ht="15" hidden="false" customHeight="false" outlineLevel="0" collapsed="false">
      <c r="B8335" s="53"/>
      <c r="I8335" s="53"/>
      <c r="U8335" s="31" t="n">
        <f aca="false">IF($B8335='設定（最初に1回）'!$C$4,N(U8334)+1,N(U8334))</f>
        <v>134</v>
      </c>
    </row>
    <row r="8336" customFormat="false" ht="15" hidden="false" customHeight="false" outlineLevel="0" collapsed="false">
      <c r="B8336" s="53"/>
      <c r="I8336" s="53"/>
      <c r="U8336" s="31" t="n">
        <f aca="false">IF($B8336='設定（最初に1回）'!$C$4,N(U8335)+1,N(U8335))</f>
        <v>134</v>
      </c>
    </row>
    <row r="8337" customFormat="false" ht="15" hidden="false" customHeight="false" outlineLevel="0" collapsed="false">
      <c r="B8337" s="53"/>
      <c r="I8337" s="53"/>
      <c r="U8337" s="31" t="n">
        <f aca="false">IF($B8337='設定（最初に1回）'!$C$4,N(U8336)+1,N(U8336))</f>
        <v>134</v>
      </c>
    </row>
    <row r="8338" customFormat="false" ht="15" hidden="false" customHeight="false" outlineLevel="0" collapsed="false">
      <c r="B8338" s="53"/>
      <c r="I8338" s="53"/>
      <c r="U8338" s="31" t="n">
        <f aca="false">IF($B8338='設定（最初に1回）'!$C$4,N(U8337)+1,N(U8337))</f>
        <v>134</v>
      </c>
    </row>
    <row r="8339" customFormat="false" ht="15" hidden="false" customHeight="false" outlineLevel="0" collapsed="false">
      <c r="B8339" s="53"/>
      <c r="I8339" s="53"/>
      <c r="U8339" s="31" t="n">
        <f aca="false">IF($B8339='設定（最初に1回）'!$C$4,N(U8338)+1,N(U8338))</f>
        <v>134</v>
      </c>
    </row>
    <row r="8340" customFormat="false" ht="15" hidden="false" customHeight="false" outlineLevel="0" collapsed="false">
      <c r="B8340" s="53"/>
      <c r="I8340" s="53"/>
      <c r="U8340" s="31" t="n">
        <f aca="false">IF($B8340='設定（最初に1回）'!$C$4,N(U8339)+1,N(U8339))</f>
        <v>134</v>
      </c>
    </row>
    <row r="8341" customFormat="false" ht="15" hidden="false" customHeight="false" outlineLevel="0" collapsed="false">
      <c r="B8341" s="53"/>
      <c r="I8341" s="53"/>
      <c r="U8341" s="31" t="n">
        <f aca="false">IF($B8341='設定（最初に1回）'!$C$4,N(U8340)+1,N(U8340))</f>
        <v>134</v>
      </c>
    </row>
    <row r="8342" customFormat="false" ht="15" hidden="false" customHeight="false" outlineLevel="0" collapsed="false">
      <c r="B8342" s="53"/>
      <c r="I8342" s="53"/>
      <c r="U8342" s="31" t="n">
        <f aca="false">IF($B8342='設定（最初に1回）'!$C$4,N(U8341)+1,N(U8341))</f>
        <v>134</v>
      </c>
    </row>
    <row r="8343" customFormat="false" ht="15" hidden="false" customHeight="false" outlineLevel="0" collapsed="false">
      <c r="B8343" s="53"/>
      <c r="I8343" s="53"/>
      <c r="U8343" s="31" t="n">
        <f aca="false">IF($B8343='設定（最初に1回）'!$C$4,N(U8342)+1,N(U8342))</f>
        <v>134</v>
      </c>
    </row>
    <row r="8344" customFormat="false" ht="15" hidden="false" customHeight="false" outlineLevel="0" collapsed="false">
      <c r="B8344" s="53"/>
      <c r="I8344" s="53"/>
      <c r="U8344" s="31" t="n">
        <f aca="false">IF($B8344='設定（最初に1回）'!$C$4,N(U8343)+1,N(U8343))</f>
        <v>134</v>
      </c>
    </row>
    <row r="8345" customFormat="false" ht="15" hidden="false" customHeight="false" outlineLevel="0" collapsed="false">
      <c r="B8345" s="53"/>
      <c r="I8345" s="53"/>
      <c r="U8345" s="31" t="n">
        <f aca="false">IF($B8345='設定（最初に1回）'!$C$4,N(U8344)+1,N(U8344))</f>
        <v>134</v>
      </c>
    </row>
    <row r="8346" customFormat="false" ht="15" hidden="false" customHeight="false" outlineLevel="0" collapsed="false">
      <c r="B8346" s="53"/>
      <c r="I8346" s="53"/>
      <c r="U8346" s="31" t="n">
        <f aca="false">IF($B8346='設定（最初に1回）'!$C$4,N(U8345)+1,N(U8345))</f>
        <v>134</v>
      </c>
    </row>
    <row r="8347" customFormat="false" ht="15" hidden="false" customHeight="false" outlineLevel="0" collapsed="false">
      <c r="B8347" s="53"/>
      <c r="I8347" s="53"/>
      <c r="U8347" s="31" t="n">
        <f aca="false">IF($B8347='設定（最初に1回）'!$C$4,N(U8346)+1,N(U8346))</f>
        <v>134</v>
      </c>
    </row>
    <row r="8348" customFormat="false" ht="15" hidden="false" customHeight="false" outlineLevel="0" collapsed="false">
      <c r="B8348" s="53"/>
      <c r="I8348" s="53"/>
      <c r="U8348" s="31" t="n">
        <f aca="false">IF($B8348='設定（最初に1回）'!$C$4,N(U8347)+1,N(U8347))</f>
        <v>134</v>
      </c>
    </row>
    <row r="8349" customFormat="false" ht="15" hidden="false" customHeight="false" outlineLevel="0" collapsed="false">
      <c r="B8349" s="53"/>
      <c r="I8349" s="53"/>
      <c r="U8349" s="31" t="n">
        <f aca="false">IF($B8349='設定（最初に1回）'!$C$4,N(U8348)+1,N(U8348))</f>
        <v>134</v>
      </c>
    </row>
    <row r="8350" customFormat="false" ht="15" hidden="false" customHeight="false" outlineLevel="0" collapsed="false">
      <c r="B8350" s="53"/>
      <c r="I8350" s="53"/>
      <c r="U8350" s="31" t="n">
        <f aca="false">IF($B8350='設定（最初に1回）'!$C$4,N(U8349)+1,N(U8349))</f>
        <v>134</v>
      </c>
    </row>
    <row r="8351" customFormat="false" ht="15" hidden="false" customHeight="false" outlineLevel="0" collapsed="false">
      <c r="B8351" s="53"/>
      <c r="I8351" s="53"/>
      <c r="U8351" s="31" t="n">
        <f aca="false">IF($B8351='設定（最初に1回）'!$C$4,N(U8350)+1,N(U8350))</f>
        <v>134</v>
      </c>
    </row>
    <row r="8352" customFormat="false" ht="15" hidden="false" customHeight="false" outlineLevel="0" collapsed="false">
      <c r="B8352" s="53"/>
      <c r="I8352" s="53"/>
      <c r="U8352" s="31" t="n">
        <f aca="false">IF($B8352='設定（最初に1回）'!$C$4,N(U8351)+1,N(U8351))</f>
        <v>134</v>
      </c>
    </row>
    <row r="8353" customFormat="false" ht="15" hidden="false" customHeight="false" outlineLevel="0" collapsed="false">
      <c r="B8353" s="53"/>
      <c r="I8353" s="53"/>
      <c r="U8353" s="31" t="n">
        <f aca="false">IF($B8353='設定（最初に1回）'!$C$4,N(U8352)+1,N(U8352))</f>
        <v>134</v>
      </c>
    </row>
    <row r="8354" customFormat="false" ht="15" hidden="false" customHeight="false" outlineLevel="0" collapsed="false">
      <c r="B8354" s="53"/>
      <c r="I8354" s="53"/>
      <c r="U8354" s="31" t="n">
        <f aca="false">IF($B8354='設定（最初に1回）'!$C$4,N(U8353)+1,N(U8353))</f>
        <v>134</v>
      </c>
    </row>
    <row r="8355" customFormat="false" ht="15" hidden="false" customHeight="false" outlineLevel="0" collapsed="false">
      <c r="B8355" s="53"/>
      <c r="I8355" s="53"/>
      <c r="U8355" s="31" t="n">
        <f aca="false">IF($B8355='設定（最初に1回）'!$C$4,N(U8354)+1,N(U8354))</f>
        <v>134</v>
      </c>
    </row>
    <row r="8356" customFormat="false" ht="15" hidden="false" customHeight="false" outlineLevel="0" collapsed="false">
      <c r="B8356" s="53"/>
      <c r="I8356" s="53"/>
      <c r="U8356" s="31" t="n">
        <f aca="false">IF($B8356='設定（最初に1回）'!$C$4,N(U8355)+1,N(U8355))</f>
        <v>134</v>
      </c>
    </row>
    <row r="8357" customFormat="false" ht="15" hidden="false" customHeight="false" outlineLevel="0" collapsed="false">
      <c r="B8357" s="53"/>
      <c r="I8357" s="53"/>
      <c r="U8357" s="31" t="n">
        <f aca="false">IF($B8357='設定（最初に1回）'!$C$4,N(U8356)+1,N(U8356))</f>
        <v>134</v>
      </c>
    </row>
    <row r="8358" customFormat="false" ht="15" hidden="false" customHeight="false" outlineLevel="0" collapsed="false">
      <c r="B8358" s="53"/>
      <c r="I8358" s="53"/>
      <c r="U8358" s="31" t="n">
        <f aca="false">IF($B8358='設定（最初に1回）'!$C$4,N(U8357)+1,N(U8357))</f>
        <v>134</v>
      </c>
    </row>
    <row r="8359" customFormat="false" ht="15" hidden="false" customHeight="false" outlineLevel="0" collapsed="false">
      <c r="B8359" s="53"/>
      <c r="I8359" s="53"/>
      <c r="U8359" s="31" t="n">
        <f aca="false">IF($B8359='設定（最初に1回）'!$C$4,N(U8358)+1,N(U8358))</f>
        <v>134</v>
      </c>
    </row>
    <row r="8360" customFormat="false" ht="15" hidden="false" customHeight="false" outlineLevel="0" collapsed="false">
      <c r="B8360" s="53"/>
      <c r="I8360" s="53"/>
      <c r="U8360" s="31" t="n">
        <f aca="false">IF($B8360='設定（最初に1回）'!$C$4,N(U8359)+1,N(U8359))</f>
        <v>134</v>
      </c>
    </row>
    <row r="8361" customFormat="false" ht="15" hidden="false" customHeight="false" outlineLevel="0" collapsed="false">
      <c r="B8361" s="53"/>
      <c r="I8361" s="53"/>
      <c r="U8361" s="31" t="n">
        <f aca="false">IF($B8361='設定（最初に1回）'!$C$4,N(U8360)+1,N(U8360))</f>
        <v>134</v>
      </c>
    </row>
    <row r="8362" customFormat="false" ht="15" hidden="false" customHeight="false" outlineLevel="0" collapsed="false">
      <c r="B8362" s="53"/>
      <c r="I8362" s="53"/>
      <c r="U8362" s="31" t="n">
        <f aca="false">IF($B8362='設定（最初に1回）'!$C$4,N(U8361)+1,N(U8361))</f>
        <v>134</v>
      </c>
    </row>
    <row r="8363" customFormat="false" ht="15" hidden="false" customHeight="false" outlineLevel="0" collapsed="false">
      <c r="B8363" s="53"/>
      <c r="I8363" s="53"/>
      <c r="U8363" s="31" t="n">
        <f aca="false">IF($B8363='設定（最初に1回）'!$C$4,N(U8362)+1,N(U8362))</f>
        <v>134</v>
      </c>
    </row>
    <row r="8364" customFormat="false" ht="15" hidden="false" customHeight="false" outlineLevel="0" collapsed="false">
      <c r="B8364" s="53"/>
      <c r="I8364" s="53"/>
      <c r="U8364" s="31" t="n">
        <f aca="false">IF($B8364='設定（最初に1回）'!$C$4,N(U8363)+1,N(U8363))</f>
        <v>134</v>
      </c>
    </row>
    <row r="8365" customFormat="false" ht="15" hidden="false" customHeight="false" outlineLevel="0" collapsed="false">
      <c r="B8365" s="53"/>
      <c r="I8365" s="53"/>
      <c r="U8365" s="31" t="n">
        <f aca="false">IF($B8365='設定（最初に1回）'!$C$4,N(U8364)+1,N(U8364))</f>
        <v>134</v>
      </c>
    </row>
    <row r="8366" customFormat="false" ht="15" hidden="false" customHeight="false" outlineLevel="0" collapsed="false">
      <c r="B8366" s="53"/>
      <c r="I8366" s="53"/>
      <c r="U8366" s="31" t="n">
        <f aca="false">IF($B8366='設定（最初に1回）'!$C$4,N(U8365)+1,N(U8365))</f>
        <v>134</v>
      </c>
    </row>
    <row r="8367" customFormat="false" ht="15" hidden="false" customHeight="false" outlineLevel="0" collapsed="false">
      <c r="B8367" s="53"/>
      <c r="I8367" s="53"/>
      <c r="U8367" s="31" t="n">
        <f aca="false">IF($B8367='設定（最初に1回）'!$C$4,N(U8366)+1,N(U8366))</f>
        <v>134</v>
      </c>
    </row>
    <row r="8368" customFormat="false" ht="15" hidden="false" customHeight="false" outlineLevel="0" collapsed="false">
      <c r="B8368" s="53"/>
      <c r="I8368" s="53"/>
      <c r="U8368" s="31" t="n">
        <f aca="false">IF($B8368='設定（最初に1回）'!$C$4,N(U8367)+1,N(U8367))</f>
        <v>134</v>
      </c>
    </row>
    <row r="8369" customFormat="false" ht="15" hidden="false" customHeight="false" outlineLevel="0" collapsed="false">
      <c r="B8369" s="53"/>
      <c r="I8369" s="53"/>
      <c r="U8369" s="31" t="n">
        <f aca="false">IF($B8369='設定（最初に1回）'!$C$4,N(U8368)+1,N(U8368))</f>
        <v>134</v>
      </c>
    </row>
    <row r="8370" customFormat="false" ht="15" hidden="false" customHeight="false" outlineLevel="0" collapsed="false">
      <c r="B8370" s="53"/>
      <c r="I8370" s="53"/>
      <c r="U8370" s="31" t="n">
        <f aca="false">IF($B8370='設定（最初に1回）'!$C$4,N(U8369)+1,N(U8369))</f>
        <v>134</v>
      </c>
    </row>
    <row r="8371" customFormat="false" ht="15" hidden="false" customHeight="false" outlineLevel="0" collapsed="false">
      <c r="B8371" s="53"/>
      <c r="I8371" s="53"/>
      <c r="U8371" s="31" t="n">
        <f aca="false">IF($B8371='設定（最初に1回）'!$C$4,N(U8370)+1,N(U8370))</f>
        <v>134</v>
      </c>
    </row>
    <row r="8372" customFormat="false" ht="15" hidden="false" customHeight="false" outlineLevel="0" collapsed="false">
      <c r="B8372" s="53"/>
      <c r="I8372" s="53"/>
      <c r="U8372" s="31" t="n">
        <f aca="false">IF($B8372='設定（最初に1回）'!$C$4,N(U8371)+1,N(U8371))</f>
        <v>134</v>
      </c>
    </row>
    <row r="8373" customFormat="false" ht="15" hidden="false" customHeight="false" outlineLevel="0" collapsed="false">
      <c r="B8373" s="53"/>
      <c r="I8373" s="53"/>
      <c r="U8373" s="31" t="n">
        <f aca="false">IF($B8373='設定（最初に1回）'!$C$4,N(U8372)+1,N(U8372))</f>
        <v>134</v>
      </c>
    </row>
    <row r="8374" customFormat="false" ht="15" hidden="false" customHeight="false" outlineLevel="0" collapsed="false">
      <c r="B8374" s="53"/>
      <c r="I8374" s="53"/>
      <c r="U8374" s="31" t="n">
        <f aca="false">IF($B8374='設定（最初に1回）'!$C$4,N(U8373)+1,N(U8373))</f>
        <v>134</v>
      </c>
    </row>
    <row r="8375" customFormat="false" ht="15" hidden="false" customHeight="false" outlineLevel="0" collapsed="false">
      <c r="B8375" s="53"/>
      <c r="I8375" s="53"/>
      <c r="U8375" s="31" t="n">
        <f aca="false">IF($B8375='設定（最初に1回）'!$C$4,N(U8374)+1,N(U8374))</f>
        <v>134</v>
      </c>
    </row>
    <row r="8376" customFormat="false" ht="15" hidden="false" customHeight="false" outlineLevel="0" collapsed="false">
      <c r="B8376" s="53"/>
      <c r="I8376" s="53"/>
      <c r="U8376" s="31" t="n">
        <f aca="false">IF($B8376='設定（最初に1回）'!$C$4,N(U8375)+1,N(U8375))</f>
        <v>134</v>
      </c>
    </row>
    <row r="8377" customFormat="false" ht="15" hidden="false" customHeight="false" outlineLevel="0" collapsed="false">
      <c r="B8377" s="53"/>
      <c r="I8377" s="53"/>
      <c r="U8377" s="31" t="n">
        <f aca="false">IF($B8377='設定（最初に1回）'!$C$4,N(U8376)+1,N(U8376))</f>
        <v>134</v>
      </c>
    </row>
    <row r="8378" customFormat="false" ht="15" hidden="false" customHeight="false" outlineLevel="0" collapsed="false">
      <c r="B8378" s="53"/>
      <c r="I8378" s="53"/>
      <c r="U8378" s="31" t="n">
        <f aca="false">IF($B8378='設定（最初に1回）'!$C$4,N(U8377)+1,N(U8377))</f>
        <v>134</v>
      </c>
    </row>
    <row r="8379" customFormat="false" ht="15" hidden="false" customHeight="false" outlineLevel="0" collapsed="false">
      <c r="B8379" s="53"/>
      <c r="I8379" s="53"/>
      <c r="U8379" s="31" t="n">
        <f aca="false">IF($B8379='設定（最初に1回）'!$C$4,N(U8378)+1,N(U8378))</f>
        <v>134</v>
      </c>
    </row>
    <row r="8380" customFormat="false" ht="15" hidden="false" customHeight="false" outlineLevel="0" collapsed="false">
      <c r="B8380" s="53"/>
      <c r="I8380" s="53"/>
      <c r="U8380" s="31" t="n">
        <f aca="false">IF($B8380='設定（最初に1回）'!$C$4,N(U8379)+1,N(U8379))</f>
        <v>134</v>
      </c>
    </row>
    <row r="8381" customFormat="false" ht="15" hidden="false" customHeight="false" outlineLevel="0" collapsed="false">
      <c r="B8381" s="53"/>
      <c r="I8381" s="53"/>
      <c r="U8381" s="31" t="n">
        <f aca="false">IF($B8381='設定（最初に1回）'!$C$4,N(U8380)+1,N(U8380))</f>
        <v>134</v>
      </c>
    </row>
    <row r="8382" customFormat="false" ht="15" hidden="false" customHeight="false" outlineLevel="0" collapsed="false">
      <c r="B8382" s="53"/>
      <c r="I8382" s="53"/>
      <c r="U8382" s="31" t="n">
        <f aca="false">IF($B8382='設定（最初に1回）'!$C$4,N(U8381)+1,N(U8381))</f>
        <v>134</v>
      </c>
    </row>
    <row r="8383" customFormat="false" ht="15" hidden="false" customHeight="false" outlineLevel="0" collapsed="false">
      <c r="B8383" s="53"/>
      <c r="I8383" s="53"/>
      <c r="U8383" s="31" t="n">
        <f aca="false">IF($B8383='設定（最初に1回）'!$C$4,N(U8382)+1,N(U8382))</f>
        <v>134</v>
      </c>
    </row>
    <row r="8384" customFormat="false" ht="15" hidden="false" customHeight="false" outlineLevel="0" collapsed="false">
      <c r="B8384" s="53"/>
      <c r="I8384" s="53"/>
      <c r="U8384" s="31" t="n">
        <f aca="false">IF($B8384='設定（最初に1回）'!$C$4,N(U8383)+1,N(U8383))</f>
        <v>134</v>
      </c>
    </row>
    <row r="8385" customFormat="false" ht="15" hidden="false" customHeight="false" outlineLevel="0" collapsed="false">
      <c r="B8385" s="53"/>
      <c r="I8385" s="53"/>
      <c r="U8385" s="31" t="n">
        <f aca="false">IF($B8385='設定（最初に1回）'!$C$4,N(U8384)+1,N(U8384))</f>
        <v>134</v>
      </c>
    </row>
    <row r="8386" customFormat="false" ht="15" hidden="false" customHeight="false" outlineLevel="0" collapsed="false">
      <c r="B8386" s="53"/>
      <c r="I8386" s="53"/>
      <c r="U8386" s="31" t="n">
        <f aca="false">IF($B8386='設定（最初に1回）'!$C$4,N(U8385)+1,N(U8385))</f>
        <v>134</v>
      </c>
    </row>
    <row r="8387" customFormat="false" ht="15" hidden="false" customHeight="false" outlineLevel="0" collapsed="false">
      <c r="B8387" s="53"/>
      <c r="I8387" s="53"/>
      <c r="U8387" s="31" t="n">
        <f aca="false">IF($B8387='設定（最初に1回）'!$C$4,N(U8386)+1,N(U8386))</f>
        <v>134</v>
      </c>
    </row>
    <row r="8388" customFormat="false" ht="15" hidden="false" customHeight="false" outlineLevel="0" collapsed="false">
      <c r="B8388" s="53"/>
      <c r="I8388" s="53"/>
      <c r="U8388" s="31" t="n">
        <f aca="false">IF($B8388='設定（最初に1回）'!$C$4,N(U8387)+1,N(U8387))</f>
        <v>134</v>
      </c>
    </row>
    <row r="8389" customFormat="false" ht="15" hidden="false" customHeight="false" outlineLevel="0" collapsed="false">
      <c r="B8389" s="53"/>
      <c r="I8389" s="53"/>
      <c r="U8389" s="31" t="n">
        <f aca="false">IF($B8389='設定（最初に1回）'!$C$4,N(U8388)+1,N(U8388))</f>
        <v>134</v>
      </c>
    </row>
    <row r="8390" customFormat="false" ht="15" hidden="false" customHeight="false" outlineLevel="0" collapsed="false">
      <c r="B8390" s="53"/>
      <c r="I8390" s="53"/>
      <c r="U8390" s="31" t="n">
        <f aca="false">IF($B8390='設定（最初に1回）'!$C$4,N(U8389)+1,N(U8389))</f>
        <v>134</v>
      </c>
    </row>
    <row r="8391" customFormat="false" ht="15" hidden="false" customHeight="false" outlineLevel="0" collapsed="false">
      <c r="B8391" s="53"/>
      <c r="I8391" s="53"/>
      <c r="U8391" s="31" t="n">
        <f aca="false">IF($B8391='設定（最初に1回）'!$C$4,N(U8390)+1,N(U8390))</f>
        <v>134</v>
      </c>
    </row>
    <row r="8392" customFormat="false" ht="15" hidden="false" customHeight="false" outlineLevel="0" collapsed="false">
      <c r="B8392" s="53"/>
      <c r="I8392" s="53"/>
      <c r="U8392" s="31" t="n">
        <f aca="false">IF($B8392='設定（最初に1回）'!$C$4,N(U8391)+1,N(U8391))</f>
        <v>134</v>
      </c>
    </row>
    <row r="8393" customFormat="false" ht="15" hidden="false" customHeight="false" outlineLevel="0" collapsed="false">
      <c r="B8393" s="53"/>
      <c r="I8393" s="53"/>
      <c r="U8393" s="31" t="n">
        <f aca="false">IF($B8393='設定（最初に1回）'!$C$4,N(U8392)+1,N(U8392))</f>
        <v>134</v>
      </c>
    </row>
    <row r="8394" customFormat="false" ht="15" hidden="false" customHeight="false" outlineLevel="0" collapsed="false">
      <c r="B8394" s="53"/>
      <c r="I8394" s="53"/>
      <c r="U8394" s="31" t="n">
        <f aca="false">IF($B8394='設定（最初に1回）'!$C$4,N(U8393)+1,N(U8393))</f>
        <v>134</v>
      </c>
    </row>
    <row r="8395" customFormat="false" ht="15" hidden="false" customHeight="false" outlineLevel="0" collapsed="false">
      <c r="B8395" s="53"/>
      <c r="I8395" s="53"/>
      <c r="U8395" s="31" t="n">
        <f aca="false">IF($B8395='設定（最初に1回）'!$C$4,N(U8394)+1,N(U8394))</f>
        <v>134</v>
      </c>
    </row>
    <row r="8396" customFormat="false" ht="15" hidden="false" customHeight="false" outlineLevel="0" collapsed="false">
      <c r="B8396" s="53"/>
      <c r="I8396" s="53"/>
      <c r="U8396" s="31" t="n">
        <f aca="false">IF($B8396='設定（最初に1回）'!$C$4,N(U8395)+1,N(U8395))</f>
        <v>134</v>
      </c>
    </row>
    <row r="8397" customFormat="false" ht="15" hidden="false" customHeight="false" outlineLevel="0" collapsed="false">
      <c r="B8397" s="53"/>
      <c r="I8397" s="53"/>
      <c r="U8397" s="31" t="n">
        <f aca="false">IF($B8397='設定（最初に1回）'!$C$4,N(U8396)+1,N(U8396))</f>
        <v>134</v>
      </c>
    </row>
    <row r="8398" customFormat="false" ht="15" hidden="false" customHeight="false" outlineLevel="0" collapsed="false">
      <c r="B8398" s="53"/>
      <c r="I8398" s="53"/>
      <c r="U8398" s="31" t="n">
        <f aca="false">IF($B8398='設定（最初に1回）'!$C$4,N(U8397)+1,N(U8397))</f>
        <v>134</v>
      </c>
    </row>
    <row r="8399" customFormat="false" ht="15" hidden="false" customHeight="false" outlineLevel="0" collapsed="false">
      <c r="B8399" s="53"/>
      <c r="I8399" s="53"/>
      <c r="U8399" s="31" t="n">
        <f aca="false">IF($B8399='設定（最初に1回）'!$C$4,N(U8398)+1,N(U8398))</f>
        <v>134</v>
      </c>
    </row>
    <row r="8400" customFormat="false" ht="15" hidden="false" customHeight="false" outlineLevel="0" collapsed="false">
      <c r="B8400" s="53"/>
      <c r="I8400" s="53"/>
      <c r="U8400" s="31" t="n">
        <f aca="false">IF($B8400='設定（最初に1回）'!$C$4,N(U8399)+1,N(U8399))</f>
        <v>134</v>
      </c>
    </row>
    <row r="8401" customFormat="false" ht="15" hidden="false" customHeight="false" outlineLevel="0" collapsed="false">
      <c r="B8401" s="53"/>
      <c r="I8401" s="53"/>
      <c r="U8401" s="31" t="n">
        <f aca="false">IF($B8401='設定（最初に1回）'!$C$4,N(U8400)+1,N(U8400))</f>
        <v>134</v>
      </c>
    </row>
    <row r="8402" customFormat="false" ht="15" hidden="false" customHeight="false" outlineLevel="0" collapsed="false">
      <c r="B8402" s="53"/>
      <c r="I8402" s="53"/>
      <c r="U8402" s="31" t="n">
        <f aca="false">IF($B8402='設定（最初に1回）'!$C$4,N(U8401)+1,N(U8401))</f>
        <v>134</v>
      </c>
    </row>
    <row r="8403" customFormat="false" ht="15" hidden="false" customHeight="false" outlineLevel="0" collapsed="false">
      <c r="B8403" s="53"/>
      <c r="I8403" s="53"/>
      <c r="U8403" s="31" t="n">
        <f aca="false">IF($B8403='設定（最初に1回）'!$C$4,N(U8402)+1,N(U8402))</f>
        <v>134</v>
      </c>
    </row>
    <row r="8404" customFormat="false" ht="15" hidden="false" customHeight="false" outlineLevel="0" collapsed="false">
      <c r="B8404" s="53"/>
      <c r="I8404" s="53"/>
      <c r="U8404" s="31" t="n">
        <f aca="false">IF($B8404='設定（最初に1回）'!$C$4,N(U8403)+1,N(U8403))</f>
        <v>134</v>
      </c>
    </row>
    <row r="8405" customFormat="false" ht="15" hidden="false" customHeight="false" outlineLevel="0" collapsed="false">
      <c r="B8405" s="53"/>
      <c r="I8405" s="53"/>
      <c r="U8405" s="31" t="n">
        <f aca="false">IF($B8405='設定（最初に1回）'!$C$4,N(U8404)+1,N(U8404))</f>
        <v>134</v>
      </c>
    </row>
    <row r="8406" customFormat="false" ht="15" hidden="false" customHeight="false" outlineLevel="0" collapsed="false">
      <c r="B8406" s="53"/>
      <c r="I8406" s="53"/>
      <c r="U8406" s="31" t="n">
        <f aca="false">IF($B8406='設定（最初に1回）'!$C$4,N(U8405)+1,N(U8405))</f>
        <v>134</v>
      </c>
    </row>
    <row r="8407" customFormat="false" ht="15" hidden="false" customHeight="false" outlineLevel="0" collapsed="false">
      <c r="B8407" s="53"/>
      <c r="I8407" s="53"/>
      <c r="U8407" s="31" t="n">
        <f aca="false">IF($B8407='設定（最初に1回）'!$C$4,N(U8406)+1,N(U8406))</f>
        <v>134</v>
      </c>
    </row>
    <row r="8408" customFormat="false" ht="15" hidden="false" customHeight="false" outlineLevel="0" collapsed="false">
      <c r="B8408" s="53"/>
      <c r="I8408" s="53"/>
      <c r="U8408" s="31" t="n">
        <f aca="false">IF($B8408='設定（最初に1回）'!$C$4,N(U8407)+1,N(U8407))</f>
        <v>134</v>
      </c>
    </row>
    <row r="8409" customFormat="false" ht="15" hidden="false" customHeight="false" outlineLevel="0" collapsed="false">
      <c r="B8409" s="53"/>
      <c r="I8409" s="53"/>
      <c r="U8409" s="31" t="n">
        <f aca="false">IF($B8409='設定（最初に1回）'!$C$4,N(U8408)+1,N(U8408))</f>
        <v>134</v>
      </c>
    </row>
    <row r="8410" customFormat="false" ht="15" hidden="false" customHeight="false" outlineLevel="0" collapsed="false">
      <c r="B8410" s="53"/>
      <c r="I8410" s="53"/>
      <c r="U8410" s="31" t="n">
        <f aca="false">IF($B8410='設定（最初に1回）'!$C$4,N(U8409)+1,N(U8409))</f>
        <v>134</v>
      </c>
    </row>
    <row r="8411" customFormat="false" ht="15" hidden="false" customHeight="false" outlineLevel="0" collapsed="false">
      <c r="B8411" s="53"/>
      <c r="I8411" s="53"/>
      <c r="U8411" s="31" t="n">
        <f aca="false">IF($B8411='設定（最初に1回）'!$C$4,N(U8410)+1,N(U8410))</f>
        <v>134</v>
      </c>
    </row>
    <row r="8412" customFormat="false" ht="15" hidden="false" customHeight="false" outlineLevel="0" collapsed="false">
      <c r="B8412" s="53"/>
      <c r="I8412" s="53"/>
      <c r="U8412" s="31" t="n">
        <f aca="false">IF($B8412='設定（最初に1回）'!$C$4,N(U8411)+1,N(U8411))</f>
        <v>134</v>
      </c>
    </row>
    <row r="8413" customFormat="false" ht="15" hidden="false" customHeight="false" outlineLevel="0" collapsed="false">
      <c r="B8413" s="53"/>
      <c r="I8413" s="53"/>
      <c r="U8413" s="31" t="n">
        <f aca="false">IF($B8413='設定（最初に1回）'!$C$4,N(U8412)+1,N(U8412))</f>
        <v>134</v>
      </c>
    </row>
    <row r="8414" customFormat="false" ht="15" hidden="false" customHeight="false" outlineLevel="0" collapsed="false">
      <c r="B8414" s="53"/>
      <c r="I8414" s="53"/>
      <c r="U8414" s="31" t="n">
        <f aca="false">IF($B8414='設定（最初に1回）'!$C$4,N(U8413)+1,N(U8413))</f>
        <v>134</v>
      </c>
    </row>
    <row r="8415" customFormat="false" ht="15" hidden="false" customHeight="false" outlineLevel="0" collapsed="false">
      <c r="B8415" s="53"/>
      <c r="I8415" s="53"/>
      <c r="U8415" s="31" t="n">
        <f aca="false">IF($B8415='設定（最初に1回）'!$C$4,N(U8414)+1,N(U8414))</f>
        <v>134</v>
      </c>
    </row>
    <row r="8416" customFormat="false" ht="15" hidden="false" customHeight="false" outlineLevel="0" collapsed="false">
      <c r="B8416" s="53"/>
      <c r="I8416" s="53"/>
      <c r="U8416" s="31" t="n">
        <f aca="false">IF($B8416='設定（最初に1回）'!$C$4,N(U8415)+1,N(U8415))</f>
        <v>134</v>
      </c>
    </row>
    <row r="8417" customFormat="false" ht="15" hidden="false" customHeight="false" outlineLevel="0" collapsed="false">
      <c r="B8417" s="53"/>
      <c r="I8417" s="53"/>
      <c r="U8417" s="31" t="n">
        <f aca="false">IF($B8417='設定（最初に1回）'!$C$4,N(U8416)+1,N(U8416))</f>
        <v>134</v>
      </c>
    </row>
    <row r="8418" customFormat="false" ht="15" hidden="false" customHeight="false" outlineLevel="0" collapsed="false">
      <c r="B8418" s="53"/>
      <c r="I8418" s="53"/>
      <c r="U8418" s="31" t="n">
        <f aca="false">IF($B8418='設定（最初に1回）'!$C$4,N(U8417)+1,N(U8417))</f>
        <v>134</v>
      </c>
    </row>
    <row r="8419" customFormat="false" ht="15" hidden="false" customHeight="false" outlineLevel="0" collapsed="false">
      <c r="B8419" s="53"/>
      <c r="I8419" s="53"/>
      <c r="U8419" s="31" t="n">
        <f aca="false">IF($B8419='設定（最初に1回）'!$C$4,N(U8418)+1,N(U8418))</f>
        <v>134</v>
      </c>
    </row>
    <row r="8420" customFormat="false" ht="15" hidden="false" customHeight="false" outlineLevel="0" collapsed="false">
      <c r="B8420" s="53"/>
      <c r="I8420" s="53"/>
      <c r="U8420" s="31" t="n">
        <f aca="false">IF($B8420='設定（最初に1回）'!$C$4,N(U8419)+1,N(U8419))</f>
        <v>134</v>
      </c>
    </row>
    <row r="8421" customFormat="false" ht="15" hidden="false" customHeight="false" outlineLevel="0" collapsed="false">
      <c r="B8421" s="53"/>
      <c r="I8421" s="53"/>
      <c r="U8421" s="31" t="n">
        <f aca="false">IF($B8421='設定（最初に1回）'!$C$4,N(U8420)+1,N(U8420))</f>
        <v>134</v>
      </c>
    </row>
    <row r="8422" customFormat="false" ht="15" hidden="false" customHeight="false" outlineLevel="0" collapsed="false">
      <c r="B8422" s="53"/>
      <c r="I8422" s="53"/>
      <c r="U8422" s="31" t="n">
        <f aca="false">IF($B8422='設定（最初に1回）'!$C$4,N(U8421)+1,N(U8421))</f>
        <v>134</v>
      </c>
    </row>
    <row r="8423" customFormat="false" ht="15" hidden="false" customHeight="false" outlineLevel="0" collapsed="false">
      <c r="B8423" s="53"/>
      <c r="I8423" s="53"/>
      <c r="U8423" s="31" t="n">
        <f aca="false">IF($B8423='設定（最初に1回）'!$C$4,N(U8422)+1,N(U8422))</f>
        <v>134</v>
      </c>
    </row>
    <row r="8424" customFormat="false" ht="15" hidden="false" customHeight="false" outlineLevel="0" collapsed="false">
      <c r="B8424" s="53"/>
      <c r="I8424" s="53"/>
      <c r="U8424" s="31" t="n">
        <f aca="false">IF($B8424='設定（最初に1回）'!$C$4,N(U8423)+1,N(U8423))</f>
        <v>134</v>
      </c>
    </row>
    <row r="8425" customFormat="false" ht="15" hidden="false" customHeight="false" outlineLevel="0" collapsed="false">
      <c r="B8425" s="53"/>
      <c r="I8425" s="53"/>
      <c r="U8425" s="31" t="n">
        <f aca="false">IF($B8425='設定（最初に1回）'!$C$4,N(U8424)+1,N(U8424))</f>
        <v>134</v>
      </c>
    </row>
    <row r="8426" customFormat="false" ht="15" hidden="false" customHeight="false" outlineLevel="0" collapsed="false">
      <c r="B8426" s="53"/>
      <c r="I8426" s="53"/>
      <c r="U8426" s="31" t="n">
        <f aca="false">IF($B8426='設定（最初に1回）'!$C$4,N(U8425)+1,N(U8425))</f>
        <v>134</v>
      </c>
    </row>
    <row r="8427" customFormat="false" ht="15" hidden="false" customHeight="false" outlineLevel="0" collapsed="false">
      <c r="B8427" s="53"/>
      <c r="I8427" s="53"/>
      <c r="U8427" s="31" t="n">
        <f aca="false">IF($B8427='設定（最初に1回）'!$C$4,N(U8426)+1,N(U8426))</f>
        <v>134</v>
      </c>
    </row>
    <row r="8428" customFormat="false" ht="15" hidden="false" customHeight="false" outlineLevel="0" collapsed="false">
      <c r="B8428" s="53"/>
      <c r="I8428" s="53"/>
      <c r="U8428" s="31" t="n">
        <f aca="false">IF($B8428='設定（最初に1回）'!$C$4,N(U8427)+1,N(U8427))</f>
        <v>134</v>
      </c>
    </row>
    <row r="8429" customFormat="false" ht="15" hidden="false" customHeight="false" outlineLevel="0" collapsed="false">
      <c r="B8429" s="53"/>
      <c r="I8429" s="53"/>
      <c r="U8429" s="31" t="n">
        <f aca="false">IF($B8429='設定（最初に1回）'!$C$4,N(U8428)+1,N(U8428))</f>
        <v>134</v>
      </c>
    </row>
    <row r="8430" customFormat="false" ht="15" hidden="false" customHeight="false" outlineLevel="0" collapsed="false">
      <c r="B8430" s="53"/>
      <c r="I8430" s="53"/>
      <c r="U8430" s="31" t="n">
        <f aca="false">IF($B8430='設定（最初に1回）'!$C$4,N(U8429)+1,N(U8429))</f>
        <v>134</v>
      </c>
    </row>
    <row r="8431" customFormat="false" ht="15" hidden="false" customHeight="false" outlineLevel="0" collapsed="false">
      <c r="B8431" s="53"/>
      <c r="I8431" s="53"/>
      <c r="U8431" s="31" t="n">
        <f aca="false">IF($B8431='設定（最初に1回）'!$C$4,N(U8430)+1,N(U8430))</f>
        <v>134</v>
      </c>
    </row>
    <row r="8432" customFormat="false" ht="15" hidden="false" customHeight="false" outlineLevel="0" collapsed="false">
      <c r="B8432" s="53"/>
      <c r="I8432" s="53"/>
      <c r="U8432" s="31" t="n">
        <f aca="false">IF($B8432='設定（最初に1回）'!$C$4,N(U8431)+1,N(U8431))</f>
        <v>134</v>
      </c>
    </row>
    <row r="8433" customFormat="false" ht="15" hidden="false" customHeight="false" outlineLevel="0" collapsed="false">
      <c r="B8433" s="53"/>
      <c r="I8433" s="53"/>
      <c r="U8433" s="31" t="n">
        <f aca="false">IF($B8433='設定（最初に1回）'!$C$4,N(U8432)+1,N(U8432))</f>
        <v>134</v>
      </c>
    </row>
    <row r="8434" customFormat="false" ht="15" hidden="false" customHeight="false" outlineLevel="0" collapsed="false">
      <c r="B8434" s="53"/>
      <c r="I8434" s="53"/>
      <c r="U8434" s="31" t="n">
        <f aca="false">IF($B8434='設定（最初に1回）'!$C$4,N(U8433)+1,N(U8433))</f>
        <v>134</v>
      </c>
    </row>
    <row r="8435" customFormat="false" ht="15" hidden="false" customHeight="false" outlineLevel="0" collapsed="false">
      <c r="B8435" s="53"/>
      <c r="I8435" s="53"/>
      <c r="U8435" s="31" t="n">
        <f aca="false">IF($B8435='設定（最初に1回）'!$C$4,N(U8434)+1,N(U8434))</f>
        <v>134</v>
      </c>
    </row>
    <row r="8436" customFormat="false" ht="15" hidden="false" customHeight="false" outlineLevel="0" collapsed="false">
      <c r="B8436" s="53"/>
      <c r="I8436" s="53"/>
      <c r="U8436" s="31" t="n">
        <f aca="false">IF($B8436='設定（最初に1回）'!$C$4,N(U8435)+1,N(U8435))</f>
        <v>134</v>
      </c>
    </row>
    <row r="8437" customFormat="false" ht="15" hidden="false" customHeight="false" outlineLevel="0" collapsed="false">
      <c r="B8437" s="53"/>
      <c r="I8437" s="53"/>
      <c r="U8437" s="31" t="n">
        <f aca="false">IF($B8437='設定（最初に1回）'!$C$4,N(U8436)+1,N(U8436))</f>
        <v>134</v>
      </c>
    </row>
    <row r="8438" customFormat="false" ht="15" hidden="false" customHeight="false" outlineLevel="0" collapsed="false">
      <c r="B8438" s="53"/>
      <c r="I8438" s="53"/>
      <c r="U8438" s="31" t="n">
        <f aca="false">IF($B8438='設定（最初に1回）'!$C$4,N(U8437)+1,N(U8437))</f>
        <v>134</v>
      </c>
    </row>
    <row r="8439" customFormat="false" ht="15" hidden="false" customHeight="false" outlineLevel="0" collapsed="false">
      <c r="B8439" s="53"/>
      <c r="I8439" s="53"/>
      <c r="U8439" s="31" t="n">
        <f aca="false">IF($B8439='設定（最初に1回）'!$C$4,N(U8438)+1,N(U8438))</f>
        <v>134</v>
      </c>
    </row>
    <row r="8440" customFormat="false" ht="15" hidden="false" customHeight="false" outlineLevel="0" collapsed="false">
      <c r="B8440" s="53"/>
      <c r="I8440" s="53"/>
      <c r="U8440" s="31" t="n">
        <f aca="false">IF($B8440='設定（最初に1回）'!$C$4,N(U8439)+1,N(U8439))</f>
        <v>134</v>
      </c>
    </row>
    <row r="8441" customFormat="false" ht="15" hidden="false" customHeight="false" outlineLevel="0" collapsed="false">
      <c r="B8441" s="53"/>
      <c r="I8441" s="53"/>
      <c r="U8441" s="31" t="n">
        <f aca="false">IF($B8441='設定（最初に1回）'!$C$4,N(U8440)+1,N(U8440))</f>
        <v>134</v>
      </c>
    </row>
    <row r="8442" customFormat="false" ht="15" hidden="false" customHeight="false" outlineLevel="0" collapsed="false">
      <c r="B8442" s="53"/>
      <c r="I8442" s="53"/>
      <c r="U8442" s="31" t="n">
        <f aca="false">IF($B8442='設定（最初に1回）'!$C$4,N(U8441)+1,N(U8441))</f>
        <v>134</v>
      </c>
    </row>
    <row r="8443" customFormat="false" ht="15" hidden="false" customHeight="false" outlineLevel="0" collapsed="false">
      <c r="B8443" s="53"/>
      <c r="I8443" s="53"/>
      <c r="U8443" s="31" t="n">
        <f aca="false">IF($B8443='設定（最初に1回）'!$C$4,N(U8442)+1,N(U8442))</f>
        <v>134</v>
      </c>
    </row>
    <row r="8444" customFormat="false" ht="15" hidden="false" customHeight="false" outlineLevel="0" collapsed="false">
      <c r="B8444" s="53"/>
      <c r="I8444" s="53"/>
      <c r="U8444" s="31" t="n">
        <f aca="false">IF($B8444='設定（最初に1回）'!$C$4,N(U8443)+1,N(U8443))</f>
        <v>134</v>
      </c>
    </row>
    <row r="8445" customFormat="false" ht="15" hidden="false" customHeight="false" outlineLevel="0" collapsed="false">
      <c r="B8445" s="53"/>
      <c r="I8445" s="53"/>
      <c r="U8445" s="31" t="n">
        <f aca="false">IF($B8445='設定（最初に1回）'!$C$4,N(U8444)+1,N(U8444))</f>
        <v>134</v>
      </c>
    </row>
    <row r="8446" customFormat="false" ht="15" hidden="false" customHeight="false" outlineLevel="0" collapsed="false">
      <c r="B8446" s="53"/>
      <c r="I8446" s="53"/>
      <c r="U8446" s="31" t="n">
        <f aca="false">IF($B8446='設定（最初に1回）'!$C$4,N(U8445)+1,N(U8445))</f>
        <v>134</v>
      </c>
    </row>
    <row r="8447" customFormat="false" ht="15" hidden="false" customHeight="false" outlineLevel="0" collapsed="false">
      <c r="B8447" s="53"/>
      <c r="I8447" s="53"/>
      <c r="U8447" s="31" t="n">
        <f aca="false">IF($B8447='設定（最初に1回）'!$C$4,N(U8446)+1,N(U8446))</f>
        <v>134</v>
      </c>
    </row>
    <row r="8448" customFormat="false" ht="15" hidden="false" customHeight="false" outlineLevel="0" collapsed="false">
      <c r="B8448" s="53"/>
      <c r="I8448" s="53"/>
      <c r="U8448" s="31" t="n">
        <f aca="false">IF($B8448='設定（最初に1回）'!$C$4,N(U8447)+1,N(U8447))</f>
        <v>134</v>
      </c>
    </row>
    <row r="8449" customFormat="false" ht="15" hidden="false" customHeight="false" outlineLevel="0" collapsed="false">
      <c r="B8449" s="53"/>
      <c r="I8449" s="53"/>
      <c r="U8449" s="31" t="n">
        <f aca="false">IF($B8449='設定（最初に1回）'!$C$4,N(U8448)+1,N(U8448))</f>
        <v>134</v>
      </c>
    </row>
    <row r="8450" customFormat="false" ht="15" hidden="false" customHeight="false" outlineLevel="0" collapsed="false">
      <c r="B8450" s="53"/>
      <c r="I8450" s="53"/>
      <c r="U8450" s="31" t="n">
        <f aca="false">IF($B8450='設定（最初に1回）'!$C$4,N(U8449)+1,N(U8449))</f>
        <v>134</v>
      </c>
    </row>
    <row r="8451" customFormat="false" ht="15" hidden="false" customHeight="false" outlineLevel="0" collapsed="false">
      <c r="B8451" s="53"/>
      <c r="I8451" s="53"/>
      <c r="U8451" s="31" t="n">
        <f aca="false">IF($B8451='設定（最初に1回）'!$C$4,N(U8450)+1,N(U8450))</f>
        <v>134</v>
      </c>
    </row>
    <row r="8452" customFormat="false" ht="15" hidden="false" customHeight="false" outlineLevel="0" collapsed="false">
      <c r="B8452" s="53"/>
      <c r="I8452" s="53"/>
      <c r="U8452" s="31" t="n">
        <f aca="false">IF($B8452='設定（最初に1回）'!$C$4,N(U8451)+1,N(U8451))</f>
        <v>134</v>
      </c>
    </row>
    <row r="8453" customFormat="false" ht="15" hidden="false" customHeight="false" outlineLevel="0" collapsed="false">
      <c r="B8453" s="53"/>
      <c r="I8453" s="53"/>
      <c r="U8453" s="31" t="n">
        <f aca="false">IF($B8453='設定（最初に1回）'!$C$4,N(U8452)+1,N(U8452))</f>
        <v>134</v>
      </c>
    </row>
    <row r="8454" customFormat="false" ht="15" hidden="false" customHeight="false" outlineLevel="0" collapsed="false">
      <c r="B8454" s="53"/>
      <c r="I8454" s="53"/>
      <c r="U8454" s="31" t="n">
        <f aca="false">IF($B8454='設定（最初に1回）'!$C$4,N(U8453)+1,N(U8453))</f>
        <v>134</v>
      </c>
    </row>
    <row r="8455" customFormat="false" ht="15" hidden="false" customHeight="false" outlineLevel="0" collapsed="false">
      <c r="B8455" s="53"/>
      <c r="I8455" s="53"/>
      <c r="U8455" s="31" t="n">
        <f aca="false">IF($B8455='設定（最初に1回）'!$C$4,N(U8454)+1,N(U8454))</f>
        <v>134</v>
      </c>
    </row>
    <row r="8456" customFormat="false" ht="15" hidden="false" customHeight="false" outlineLevel="0" collapsed="false">
      <c r="B8456" s="53"/>
      <c r="I8456" s="53"/>
      <c r="U8456" s="31" t="n">
        <f aca="false">IF($B8456='設定（最初に1回）'!$C$4,N(U8455)+1,N(U8455))</f>
        <v>134</v>
      </c>
    </row>
    <row r="8457" customFormat="false" ht="15" hidden="false" customHeight="false" outlineLevel="0" collapsed="false">
      <c r="B8457" s="53"/>
      <c r="I8457" s="53"/>
      <c r="U8457" s="31" t="n">
        <f aca="false">IF($B8457='設定（最初に1回）'!$C$4,N(U8456)+1,N(U8456))</f>
        <v>134</v>
      </c>
    </row>
    <row r="8458" customFormat="false" ht="15" hidden="false" customHeight="false" outlineLevel="0" collapsed="false">
      <c r="B8458" s="53"/>
      <c r="I8458" s="53"/>
      <c r="U8458" s="31" t="n">
        <f aca="false">IF($B8458='設定（最初に1回）'!$C$4,N(U8457)+1,N(U8457))</f>
        <v>134</v>
      </c>
    </row>
    <row r="8459" customFormat="false" ht="15" hidden="false" customHeight="false" outlineLevel="0" collapsed="false">
      <c r="B8459" s="53"/>
      <c r="I8459" s="53"/>
      <c r="U8459" s="31" t="n">
        <f aca="false">IF($B8459='設定（最初に1回）'!$C$4,N(U8458)+1,N(U8458))</f>
        <v>134</v>
      </c>
    </row>
    <row r="8460" customFormat="false" ht="15" hidden="false" customHeight="false" outlineLevel="0" collapsed="false">
      <c r="B8460" s="53"/>
      <c r="I8460" s="53"/>
      <c r="U8460" s="31" t="n">
        <f aca="false">IF($B8460='設定（最初に1回）'!$C$4,N(U8459)+1,N(U8459))</f>
        <v>134</v>
      </c>
    </row>
    <row r="8461" customFormat="false" ht="15" hidden="false" customHeight="false" outlineLevel="0" collapsed="false">
      <c r="B8461" s="53"/>
      <c r="I8461" s="53"/>
      <c r="U8461" s="31" t="n">
        <f aca="false">IF($B8461='設定（最初に1回）'!$C$4,N(U8460)+1,N(U8460))</f>
        <v>134</v>
      </c>
    </row>
    <row r="8462" customFormat="false" ht="15" hidden="false" customHeight="false" outlineLevel="0" collapsed="false">
      <c r="B8462" s="53"/>
      <c r="I8462" s="53"/>
      <c r="U8462" s="31" t="n">
        <f aca="false">IF($B8462='設定（最初に1回）'!$C$4,N(U8461)+1,N(U8461))</f>
        <v>134</v>
      </c>
    </row>
    <row r="8463" customFormat="false" ht="15" hidden="false" customHeight="false" outlineLevel="0" collapsed="false">
      <c r="B8463" s="53"/>
      <c r="I8463" s="53"/>
      <c r="U8463" s="31" t="n">
        <f aca="false">IF($B8463='設定（最初に1回）'!$C$4,N(U8462)+1,N(U8462))</f>
        <v>134</v>
      </c>
    </row>
    <row r="8464" customFormat="false" ht="15" hidden="false" customHeight="false" outlineLevel="0" collapsed="false">
      <c r="B8464" s="53"/>
      <c r="I8464" s="53"/>
      <c r="U8464" s="31" t="n">
        <f aca="false">IF($B8464='設定（最初に1回）'!$C$4,N(U8463)+1,N(U8463))</f>
        <v>134</v>
      </c>
    </row>
    <row r="8465" customFormat="false" ht="15" hidden="false" customHeight="false" outlineLevel="0" collapsed="false">
      <c r="B8465" s="53"/>
      <c r="I8465" s="53"/>
      <c r="U8465" s="31" t="n">
        <f aca="false">IF($B8465='設定（最初に1回）'!$C$4,N(U8464)+1,N(U8464))</f>
        <v>134</v>
      </c>
    </row>
    <row r="8466" customFormat="false" ht="15" hidden="false" customHeight="false" outlineLevel="0" collapsed="false">
      <c r="B8466" s="53"/>
      <c r="I8466" s="53"/>
      <c r="U8466" s="31" t="n">
        <f aca="false">IF($B8466='設定（最初に1回）'!$C$4,N(U8465)+1,N(U8465))</f>
        <v>134</v>
      </c>
    </row>
    <row r="8467" customFormat="false" ht="15" hidden="false" customHeight="false" outlineLevel="0" collapsed="false">
      <c r="B8467" s="53"/>
      <c r="I8467" s="53"/>
      <c r="U8467" s="31" t="n">
        <f aca="false">IF($B8467='設定（最初に1回）'!$C$4,N(U8466)+1,N(U8466))</f>
        <v>134</v>
      </c>
    </row>
    <row r="8468" customFormat="false" ht="15" hidden="false" customHeight="false" outlineLevel="0" collapsed="false">
      <c r="B8468" s="53"/>
      <c r="I8468" s="53"/>
      <c r="U8468" s="31" t="n">
        <f aca="false">IF($B8468='設定（最初に1回）'!$C$4,N(U8467)+1,N(U8467))</f>
        <v>134</v>
      </c>
    </row>
    <row r="8469" customFormat="false" ht="15" hidden="false" customHeight="false" outlineLevel="0" collapsed="false">
      <c r="B8469" s="53"/>
      <c r="I8469" s="53"/>
      <c r="U8469" s="31" t="n">
        <f aca="false">IF($B8469='設定（最初に1回）'!$C$4,N(U8468)+1,N(U8468))</f>
        <v>134</v>
      </c>
    </row>
    <row r="8470" customFormat="false" ht="15" hidden="false" customHeight="false" outlineLevel="0" collapsed="false">
      <c r="B8470" s="53"/>
      <c r="I8470" s="53"/>
      <c r="U8470" s="31" t="n">
        <f aca="false">IF($B8470='設定（最初に1回）'!$C$4,N(U8469)+1,N(U8469))</f>
        <v>134</v>
      </c>
    </row>
    <row r="8471" customFormat="false" ht="15" hidden="false" customHeight="false" outlineLevel="0" collapsed="false">
      <c r="B8471" s="53"/>
      <c r="I8471" s="53"/>
      <c r="U8471" s="31" t="n">
        <f aca="false">IF($B8471='設定（最初に1回）'!$C$4,N(U8470)+1,N(U8470))</f>
        <v>134</v>
      </c>
    </row>
    <row r="8472" customFormat="false" ht="15" hidden="false" customHeight="false" outlineLevel="0" collapsed="false">
      <c r="B8472" s="53"/>
      <c r="I8472" s="53"/>
      <c r="U8472" s="31" t="n">
        <f aca="false">IF($B8472='設定（最初に1回）'!$C$4,N(U8471)+1,N(U8471))</f>
        <v>134</v>
      </c>
    </row>
    <row r="8473" customFormat="false" ht="15" hidden="false" customHeight="false" outlineLevel="0" collapsed="false">
      <c r="B8473" s="53"/>
      <c r="I8473" s="53"/>
      <c r="U8473" s="31" t="n">
        <f aca="false">IF($B8473='設定（最初に1回）'!$C$4,N(U8472)+1,N(U8472))</f>
        <v>134</v>
      </c>
    </row>
    <row r="8474" customFormat="false" ht="15" hidden="false" customHeight="false" outlineLevel="0" collapsed="false">
      <c r="B8474" s="53"/>
      <c r="I8474" s="53"/>
      <c r="U8474" s="31" t="n">
        <f aca="false">IF($B8474='設定（最初に1回）'!$C$4,N(U8473)+1,N(U8473))</f>
        <v>134</v>
      </c>
    </row>
    <row r="8475" customFormat="false" ht="15" hidden="false" customHeight="false" outlineLevel="0" collapsed="false">
      <c r="B8475" s="53"/>
      <c r="I8475" s="53"/>
      <c r="U8475" s="31" t="n">
        <f aca="false">IF($B8475='設定（最初に1回）'!$C$4,N(U8474)+1,N(U8474))</f>
        <v>134</v>
      </c>
    </row>
    <row r="8476" customFormat="false" ht="15" hidden="false" customHeight="false" outlineLevel="0" collapsed="false">
      <c r="B8476" s="53"/>
      <c r="I8476" s="53"/>
      <c r="U8476" s="31" t="n">
        <f aca="false">IF($B8476='設定（最初に1回）'!$C$4,N(U8475)+1,N(U8475))</f>
        <v>134</v>
      </c>
    </row>
    <row r="8477" customFormat="false" ht="15" hidden="false" customHeight="false" outlineLevel="0" collapsed="false">
      <c r="B8477" s="53"/>
      <c r="I8477" s="53"/>
      <c r="U8477" s="31" t="n">
        <f aca="false">IF($B8477='設定（最初に1回）'!$C$4,N(U8476)+1,N(U8476))</f>
        <v>134</v>
      </c>
    </row>
    <row r="8478" customFormat="false" ht="15" hidden="false" customHeight="false" outlineLevel="0" collapsed="false">
      <c r="B8478" s="53"/>
      <c r="I8478" s="53"/>
      <c r="U8478" s="31" t="n">
        <f aca="false">IF($B8478='設定（最初に1回）'!$C$4,N(U8477)+1,N(U8477))</f>
        <v>134</v>
      </c>
    </row>
    <row r="8479" customFormat="false" ht="15" hidden="false" customHeight="false" outlineLevel="0" collapsed="false">
      <c r="B8479" s="53"/>
      <c r="I8479" s="53"/>
      <c r="U8479" s="31" t="n">
        <f aca="false">IF($B8479='設定（最初に1回）'!$C$4,N(U8478)+1,N(U8478))</f>
        <v>134</v>
      </c>
    </row>
    <row r="8480" customFormat="false" ht="15" hidden="false" customHeight="false" outlineLevel="0" collapsed="false">
      <c r="B8480" s="53"/>
      <c r="I8480" s="53"/>
      <c r="U8480" s="31" t="n">
        <f aca="false">IF($B8480='設定（最初に1回）'!$C$4,N(U8479)+1,N(U8479))</f>
        <v>134</v>
      </c>
    </row>
    <row r="8481" customFormat="false" ht="15" hidden="false" customHeight="false" outlineLevel="0" collapsed="false">
      <c r="B8481" s="53"/>
      <c r="I8481" s="53"/>
      <c r="U8481" s="31" t="n">
        <f aca="false">IF($B8481='設定（最初に1回）'!$C$4,N(U8480)+1,N(U8480))</f>
        <v>134</v>
      </c>
    </row>
    <row r="8482" customFormat="false" ht="15" hidden="false" customHeight="false" outlineLevel="0" collapsed="false">
      <c r="B8482" s="53"/>
      <c r="I8482" s="53"/>
      <c r="U8482" s="31" t="n">
        <f aca="false">IF($B8482='設定（最初に1回）'!$C$4,N(U8481)+1,N(U8481))</f>
        <v>134</v>
      </c>
    </row>
    <row r="8483" customFormat="false" ht="15" hidden="false" customHeight="false" outlineLevel="0" collapsed="false">
      <c r="B8483" s="53"/>
      <c r="I8483" s="53"/>
      <c r="U8483" s="31" t="n">
        <f aca="false">IF($B8483='設定（最初に1回）'!$C$4,N(U8482)+1,N(U8482))</f>
        <v>134</v>
      </c>
    </row>
    <row r="8484" customFormat="false" ht="15" hidden="false" customHeight="false" outlineLevel="0" collapsed="false">
      <c r="B8484" s="53"/>
      <c r="I8484" s="53"/>
      <c r="U8484" s="31" t="n">
        <f aca="false">IF($B8484='設定（最初に1回）'!$C$4,N(U8483)+1,N(U8483))</f>
        <v>134</v>
      </c>
    </row>
    <row r="8485" customFormat="false" ht="15" hidden="false" customHeight="false" outlineLevel="0" collapsed="false">
      <c r="B8485" s="53"/>
      <c r="I8485" s="53"/>
      <c r="U8485" s="31" t="n">
        <f aca="false">IF($B8485='設定（最初に1回）'!$C$4,N(U8484)+1,N(U8484))</f>
        <v>134</v>
      </c>
    </row>
    <row r="8486" customFormat="false" ht="15" hidden="false" customHeight="false" outlineLevel="0" collapsed="false">
      <c r="B8486" s="53"/>
      <c r="I8486" s="53"/>
      <c r="U8486" s="31" t="n">
        <f aca="false">IF($B8486='設定（最初に1回）'!$C$4,N(U8485)+1,N(U8485))</f>
        <v>134</v>
      </c>
    </row>
    <row r="8487" customFormat="false" ht="15" hidden="false" customHeight="false" outlineLevel="0" collapsed="false">
      <c r="B8487" s="53"/>
      <c r="I8487" s="53"/>
      <c r="U8487" s="31" t="n">
        <f aca="false">IF($B8487='設定（最初に1回）'!$C$4,N(U8486)+1,N(U8486))</f>
        <v>134</v>
      </c>
    </row>
    <row r="8488" customFormat="false" ht="15" hidden="false" customHeight="false" outlineLevel="0" collapsed="false">
      <c r="B8488" s="53"/>
      <c r="I8488" s="53"/>
      <c r="U8488" s="31" t="n">
        <f aca="false">IF($B8488='設定（最初に1回）'!$C$4,N(U8487)+1,N(U8487))</f>
        <v>134</v>
      </c>
    </row>
    <row r="8489" customFormat="false" ht="15" hidden="false" customHeight="false" outlineLevel="0" collapsed="false">
      <c r="B8489" s="53"/>
      <c r="I8489" s="53"/>
      <c r="U8489" s="31" t="n">
        <f aca="false">IF($B8489='設定（最初に1回）'!$C$4,N(U8488)+1,N(U8488))</f>
        <v>134</v>
      </c>
    </row>
    <row r="8490" customFormat="false" ht="15" hidden="false" customHeight="false" outlineLevel="0" collapsed="false">
      <c r="B8490" s="53"/>
      <c r="I8490" s="53"/>
      <c r="U8490" s="31" t="n">
        <f aca="false">IF($B8490='設定（最初に1回）'!$C$4,N(U8489)+1,N(U8489))</f>
        <v>134</v>
      </c>
    </row>
    <row r="8491" customFormat="false" ht="15" hidden="false" customHeight="false" outlineLevel="0" collapsed="false">
      <c r="B8491" s="53"/>
      <c r="I8491" s="53"/>
      <c r="U8491" s="31" t="n">
        <f aca="false">IF($B8491='設定（最初に1回）'!$C$4,N(U8490)+1,N(U8490))</f>
        <v>134</v>
      </c>
    </row>
    <row r="8492" customFormat="false" ht="15" hidden="false" customHeight="false" outlineLevel="0" collapsed="false">
      <c r="B8492" s="53"/>
      <c r="I8492" s="53"/>
      <c r="U8492" s="31" t="n">
        <f aca="false">IF($B8492='設定（最初に1回）'!$C$4,N(U8491)+1,N(U8491))</f>
        <v>134</v>
      </c>
    </row>
    <row r="8493" customFormat="false" ht="15" hidden="false" customHeight="false" outlineLevel="0" collapsed="false">
      <c r="B8493" s="53"/>
      <c r="I8493" s="53"/>
      <c r="U8493" s="31" t="n">
        <f aca="false">IF($B8493='設定（最初に1回）'!$C$4,N(U8492)+1,N(U8492))</f>
        <v>134</v>
      </c>
    </row>
    <row r="8494" customFormat="false" ht="15" hidden="false" customHeight="false" outlineLevel="0" collapsed="false">
      <c r="B8494" s="53"/>
      <c r="I8494" s="53"/>
      <c r="U8494" s="31" t="n">
        <f aca="false">IF($B8494='設定（最初に1回）'!$C$4,N(U8493)+1,N(U8493))</f>
        <v>134</v>
      </c>
    </row>
    <row r="8495" customFormat="false" ht="15" hidden="false" customHeight="false" outlineLevel="0" collapsed="false">
      <c r="B8495" s="53"/>
      <c r="I8495" s="53"/>
      <c r="U8495" s="31" t="n">
        <f aca="false">IF($B8495='設定（最初に1回）'!$C$4,N(U8494)+1,N(U8494))</f>
        <v>134</v>
      </c>
    </row>
    <row r="8496" customFormat="false" ht="15" hidden="false" customHeight="false" outlineLevel="0" collapsed="false">
      <c r="B8496" s="53"/>
      <c r="I8496" s="53"/>
      <c r="U8496" s="31" t="n">
        <f aca="false">IF($B8496='設定（最初に1回）'!$C$4,N(U8495)+1,N(U8495))</f>
        <v>134</v>
      </c>
    </row>
    <row r="8497" customFormat="false" ht="15" hidden="false" customHeight="false" outlineLevel="0" collapsed="false">
      <c r="B8497" s="53"/>
      <c r="I8497" s="53"/>
      <c r="U8497" s="31" t="n">
        <f aca="false">IF($B8497='設定（最初に1回）'!$C$4,N(U8496)+1,N(U8496))</f>
        <v>134</v>
      </c>
    </row>
    <row r="8498" customFormat="false" ht="15" hidden="false" customHeight="false" outlineLevel="0" collapsed="false">
      <c r="B8498" s="53"/>
      <c r="I8498" s="53"/>
      <c r="U8498" s="31" t="n">
        <f aca="false">IF($B8498='設定（最初に1回）'!$C$4,N(U8497)+1,N(U8497))</f>
        <v>134</v>
      </c>
    </row>
    <row r="8499" customFormat="false" ht="15" hidden="false" customHeight="false" outlineLevel="0" collapsed="false">
      <c r="B8499" s="53"/>
      <c r="I8499" s="53"/>
      <c r="U8499" s="31" t="n">
        <f aca="false">IF($B8499='設定（最初に1回）'!$C$4,N(U8498)+1,N(U8498))</f>
        <v>134</v>
      </c>
    </row>
    <row r="8500" customFormat="false" ht="15" hidden="false" customHeight="false" outlineLevel="0" collapsed="false">
      <c r="B8500" s="53"/>
      <c r="I8500" s="53"/>
      <c r="U8500" s="31" t="n">
        <f aca="false">IF($B8500='設定（最初に1回）'!$C$4,N(U8499)+1,N(U8499))</f>
        <v>134</v>
      </c>
    </row>
    <row r="8501" customFormat="false" ht="15" hidden="false" customHeight="false" outlineLevel="0" collapsed="false">
      <c r="B8501" s="53"/>
      <c r="I8501" s="53"/>
      <c r="U8501" s="31" t="n">
        <f aca="false">IF($B8501='設定（最初に1回）'!$C$4,N(U8500)+1,N(U8500))</f>
        <v>134</v>
      </c>
    </row>
    <row r="8502" customFormat="false" ht="15" hidden="false" customHeight="false" outlineLevel="0" collapsed="false">
      <c r="B8502" s="53"/>
      <c r="I8502" s="53"/>
      <c r="U8502" s="31" t="n">
        <f aca="false">IF($B8502='設定（最初に1回）'!$C$4,N(U8501)+1,N(U8501))</f>
        <v>134</v>
      </c>
    </row>
    <row r="8503" customFormat="false" ht="15" hidden="false" customHeight="false" outlineLevel="0" collapsed="false">
      <c r="B8503" s="53"/>
      <c r="I8503" s="53"/>
      <c r="U8503" s="31" t="n">
        <f aca="false">IF($B8503='設定（最初に1回）'!$C$4,N(U8502)+1,N(U8502))</f>
        <v>134</v>
      </c>
    </row>
    <row r="8504" customFormat="false" ht="15" hidden="false" customHeight="false" outlineLevel="0" collapsed="false">
      <c r="B8504" s="53"/>
      <c r="I8504" s="53"/>
      <c r="U8504" s="31" t="n">
        <f aca="false">IF($B8504='設定（最初に1回）'!$C$4,N(U8503)+1,N(U8503))</f>
        <v>134</v>
      </c>
    </row>
    <row r="8505" customFormat="false" ht="15" hidden="false" customHeight="false" outlineLevel="0" collapsed="false">
      <c r="B8505" s="53"/>
      <c r="I8505" s="53"/>
      <c r="U8505" s="31" t="n">
        <f aca="false">IF($B8505='設定（最初に1回）'!$C$4,N(U8504)+1,N(U8504))</f>
        <v>134</v>
      </c>
    </row>
    <row r="8506" customFormat="false" ht="15" hidden="false" customHeight="false" outlineLevel="0" collapsed="false">
      <c r="B8506" s="53"/>
      <c r="I8506" s="53"/>
      <c r="U8506" s="31" t="n">
        <f aca="false">IF($B8506='設定（最初に1回）'!$C$4,N(U8505)+1,N(U8505))</f>
        <v>134</v>
      </c>
    </row>
    <row r="8507" customFormat="false" ht="15" hidden="false" customHeight="false" outlineLevel="0" collapsed="false">
      <c r="B8507" s="53"/>
      <c r="I8507" s="53"/>
      <c r="U8507" s="31" t="n">
        <f aca="false">IF($B8507='設定（最初に1回）'!$C$4,N(U8506)+1,N(U8506))</f>
        <v>134</v>
      </c>
    </row>
    <row r="8508" customFormat="false" ht="15" hidden="false" customHeight="false" outlineLevel="0" collapsed="false">
      <c r="B8508" s="53"/>
      <c r="I8508" s="53"/>
      <c r="U8508" s="31" t="n">
        <f aca="false">IF($B8508='設定（最初に1回）'!$C$4,N(U8507)+1,N(U8507))</f>
        <v>134</v>
      </c>
    </row>
    <row r="8509" customFormat="false" ht="15" hidden="false" customHeight="false" outlineLevel="0" collapsed="false">
      <c r="B8509" s="53"/>
      <c r="I8509" s="53"/>
      <c r="U8509" s="31" t="n">
        <f aca="false">IF($B8509='設定（最初に1回）'!$C$4,N(U8508)+1,N(U8508))</f>
        <v>134</v>
      </c>
    </row>
    <row r="8510" customFormat="false" ht="15" hidden="false" customHeight="false" outlineLevel="0" collapsed="false">
      <c r="B8510" s="53"/>
      <c r="I8510" s="53"/>
      <c r="U8510" s="31" t="n">
        <f aca="false">IF($B8510='設定（最初に1回）'!$C$4,N(U8509)+1,N(U8509))</f>
        <v>134</v>
      </c>
    </row>
    <row r="8511" customFormat="false" ht="15" hidden="false" customHeight="false" outlineLevel="0" collapsed="false">
      <c r="B8511" s="53"/>
      <c r="I8511" s="53"/>
      <c r="U8511" s="31" t="n">
        <f aca="false">IF($B8511='設定（最初に1回）'!$C$4,N(U8510)+1,N(U8510))</f>
        <v>134</v>
      </c>
    </row>
    <row r="8512" customFormat="false" ht="15" hidden="false" customHeight="false" outlineLevel="0" collapsed="false">
      <c r="B8512" s="53"/>
      <c r="I8512" s="53"/>
      <c r="U8512" s="31" t="n">
        <f aca="false">IF($B8512='設定（最初に1回）'!$C$4,N(U8511)+1,N(U8511))</f>
        <v>134</v>
      </c>
    </row>
    <row r="8513" customFormat="false" ht="15" hidden="false" customHeight="false" outlineLevel="0" collapsed="false">
      <c r="B8513" s="53"/>
      <c r="I8513" s="53"/>
      <c r="U8513" s="31" t="n">
        <f aca="false">IF($B8513='設定（最初に1回）'!$C$4,N(U8512)+1,N(U8512))</f>
        <v>134</v>
      </c>
    </row>
    <row r="8514" customFormat="false" ht="15" hidden="false" customHeight="false" outlineLevel="0" collapsed="false">
      <c r="B8514" s="53"/>
      <c r="I8514" s="53"/>
      <c r="U8514" s="31" t="n">
        <f aca="false">IF($B8514='設定（最初に1回）'!$C$4,N(U8513)+1,N(U8513))</f>
        <v>134</v>
      </c>
    </row>
    <row r="8515" customFormat="false" ht="15" hidden="false" customHeight="false" outlineLevel="0" collapsed="false">
      <c r="B8515" s="53"/>
      <c r="I8515" s="53"/>
      <c r="U8515" s="31" t="n">
        <f aca="false">IF($B8515='設定（最初に1回）'!$C$4,N(U8514)+1,N(U8514))</f>
        <v>134</v>
      </c>
    </row>
    <row r="8516" customFormat="false" ht="15" hidden="false" customHeight="false" outlineLevel="0" collapsed="false">
      <c r="B8516" s="53"/>
      <c r="I8516" s="53"/>
      <c r="U8516" s="31" t="n">
        <f aca="false">IF($B8516='設定（最初に1回）'!$C$4,N(U8515)+1,N(U8515))</f>
        <v>134</v>
      </c>
    </row>
    <row r="8517" customFormat="false" ht="15" hidden="false" customHeight="false" outlineLevel="0" collapsed="false">
      <c r="B8517" s="53"/>
      <c r="I8517" s="53"/>
      <c r="U8517" s="31" t="n">
        <f aca="false">IF($B8517='設定（最初に1回）'!$C$4,N(U8516)+1,N(U8516))</f>
        <v>134</v>
      </c>
    </row>
    <row r="8518" customFormat="false" ht="15" hidden="false" customHeight="false" outlineLevel="0" collapsed="false">
      <c r="B8518" s="53"/>
      <c r="I8518" s="53"/>
      <c r="U8518" s="31" t="n">
        <f aca="false">IF($B8518='設定（最初に1回）'!$C$4,N(U8517)+1,N(U8517))</f>
        <v>134</v>
      </c>
    </row>
    <row r="8519" customFormat="false" ht="15" hidden="false" customHeight="false" outlineLevel="0" collapsed="false">
      <c r="B8519" s="53"/>
      <c r="I8519" s="53"/>
      <c r="U8519" s="31" t="n">
        <f aca="false">IF($B8519='設定（最初に1回）'!$C$4,N(U8518)+1,N(U8518))</f>
        <v>134</v>
      </c>
    </row>
    <row r="8520" customFormat="false" ht="15" hidden="false" customHeight="false" outlineLevel="0" collapsed="false">
      <c r="B8520" s="53"/>
      <c r="I8520" s="53"/>
      <c r="U8520" s="31" t="n">
        <f aca="false">IF($B8520='設定（最初に1回）'!$C$4,N(U8519)+1,N(U8519))</f>
        <v>134</v>
      </c>
    </row>
    <row r="8521" customFormat="false" ht="15" hidden="false" customHeight="false" outlineLevel="0" collapsed="false">
      <c r="B8521" s="53"/>
      <c r="I8521" s="53"/>
      <c r="U8521" s="31" t="n">
        <f aca="false">IF($B8521='設定（最初に1回）'!$C$4,N(U8520)+1,N(U8520))</f>
        <v>134</v>
      </c>
    </row>
    <row r="8522" customFormat="false" ht="15" hidden="false" customHeight="false" outlineLevel="0" collapsed="false">
      <c r="B8522" s="53"/>
      <c r="I8522" s="53"/>
      <c r="U8522" s="31" t="n">
        <f aca="false">IF($B8522='設定（最初に1回）'!$C$4,N(U8521)+1,N(U8521))</f>
        <v>134</v>
      </c>
    </row>
    <row r="8523" customFormat="false" ht="15" hidden="false" customHeight="false" outlineLevel="0" collapsed="false">
      <c r="B8523" s="53"/>
      <c r="I8523" s="53"/>
      <c r="U8523" s="31" t="n">
        <f aca="false">IF($B8523='設定（最初に1回）'!$C$4,N(U8522)+1,N(U8522))</f>
        <v>134</v>
      </c>
    </row>
    <row r="8524" customFormat="false" ht="15" hidden="false" customHeight="false" outlineLevel="0" collapsed="false">
      <c r="B8524" s="53"/>
      <c r="I8524" s="53"/>
      <c r="U8524" s="31" t="n">
        <f aca="false">IF($B8524='設定（最初に1回）'!$C$4,N(U8523)+1,N(U8523))</f>
        <v>134</v>
      </c>
    </row>
    <row r="8525" customFormat="false" ht="15" hidden="false" customHeight="false" outlineLevel="0" collapsed="false">
      <c r="B8525" s="53"/>
      <c r="I8525" s="53"/>
      <c r="U8525" s="31" t="n">
        <f aca="false">IF($B8525='設定（最初に1回）'!$C$4,N(U8524)+1,N(U8524))</f>
        <v>134</v>
      </c>
    </row>
    <row r="8526" customFormat="false" ht="15" hidden="false" customHeight="false" outlineLevel="0" collapsed="false">
      <c r="B8526" s="53"/>
      <c r="I8526" s="53"/>
      <c r="U8526" s="31" t="n">
        <f aca="false">IF($B8526='設定（最初に1回）'!$C$4,N(U8525)+1,N(U8525))</f>
        <v>134</v>
      </c>
    </row>
    <row r="8527" customFormat="false" ht="15" hidden="false" customHeight="false" outlineLevel="0" collapsed="false">
      <c r="B8527" s="53"/>
      <c r="I8527" s="53"/>
      <c r="U8527" s="31" t="n">
        <f aca="false">IF($B8527='設定（最初に1回）'!$C$4,N(U8526)+1,N(U8526))</f>
        <v>134</v>
      </c>
    </row>
    <row r="8528" customFormat="false" ht="15" hidden="false" customHeight="false" outlineLevel="0" collapsed="false">
      <c r="B8528" s="53"/>
      <c r="I8528" s="53"/>
      <c r="U8528" s="31" t="n">
        <f aca="false">IF($B8528='設定（最初に1回）'!$C$4,N(U8527)+1,N(U8527))</f>
        <v>134</v>
      </c>
    </row>
    <row r="8529" customFormat="false" ht="15" hidden="false" customHeight="false" outlineLevel="0" collapsed="false">
      <c r="B8529" s="53"/>
      <c r="I8529" s="53"/>
      <c r="U8529" s="31" t="n">
        <f aca="false">IF($B8529='設定（最初に1回）'!$C$4,N(U8528)+1,N(U8528))</f>
        <v>134</v>
      </c>
    </row>
    <row r="8530" customFormat="false" ht="15" hidden="false" customHeight="false" outlineLevel="0" collapsed="false">
      <c r="B8530" s="53"/>
      <c r="I8530" s="53"/>
      <c r="U8530" s="31" t="n">
        <f aca="false">IF($B8530='設定（最初に1回）'!$C$4,N(U8529)+1,N(U8529))</f>
        <v>134</v>
      </c>
    </row>
    <row r="8531" customFormat="false" ht="15" hidden="false" customHeight="false" outlineLevel="0" collapsed="false">
      <c r="B8531" s="53"/>
      <c r="I8531" s="53"/>
      <c r="U8531" s="31" t="n">
        <f aca="false">IF($B8531='設定（最初に1回）'!$C$4,N(U8530)+1,N(U8530))</f>
        <v>134</v>
      </c>
    </row>
    <row r="8532" customFormat="false" ht="15" hidden="false" customHeight="false" outlineLevel="0" collapsed="false">
      <c r="B8532" s="53"/>
      <c r="I8532" s="53"/>
      <c r="U8532" s="31" t="n">
        <f aca="false">IF($B8532='設定（最初に1回）'!$C$4,N(U8531)+1,N(U8531))</f>
        <v>134</v>
      </c>
    </row>
    <row r="8533" customFormat="false" ht="15" hidden="false" customHeight="false" outlineLevel="0" collapsed="false">
      <c r="B8533" s="53"/>
      <c r="I8533" s="53"/>
      <c r="U8533" s="31" t="n">
        <f aca="false">IF($B8533='設定（最初に1回）'!$C$4,N(U8532)+1,N(U8532))</f>
        <v>134</v>
      </c>
    </row>
    <row r="8534" customFormat="false" ht="15" hidden="false" customHeight="false" outlineLevel="0" collapsed="false">
      <c r="B8534" s="53"/>
      <c r="I8534" s="53"/>
      <c r="U8534" s="31" t="n">
        <f aca="false">IF($B8534='設定（最初に1回）'!$C$4,N(U8533)+1,N(U8533))</f>
        <v>134</v>
      </c>
    </row>
    <row r="8535" customFormat="false" ht="15" hidden="false" customHeight="false" outlineLevel="0" collapsed="false">
      <c r="B8535" s="53"/>
      <c r="I8535" s="53"/>
      <c r="U8535" s="31" t="n">
        <f aca="false">IF($B8535='設定（最初に1回）'!$C$4,N(U8534)+1,N(U8534))</f>
        <v>134</v>
      </c>
    </row>
    <row r="8536" customFormat="false" ht="15" hidden="false" customHeight="false" outlineLevel="0" collapsed="false">
      <c r="B8536" s="53"/>
      <c r="I8536" s="53"/>
      <c r="U8536" s="31" t="n">
        <f aca="false">IF($B8536='設定（最初に1回）'!$C$4,N(U8535)+1,N(U8535))</f>
        <v>134</v>
      </c>
    </row>
    <row r="8537" customFormat="false" ht="15" hidden="false" customHeight="false" outlineLevel="0" collapsed="false">
      <c r="B8537" s="53"/>
      <c r="I8537" s="53"/>
      <c r="U8537" s="31" t="n">
        <f aca="false">IF($B8537='設定（最初に1回）'!$C$4,N(U8536)+1,N(U8536))</f>
        <v>134</v>
      </c>
    </row>
    <row r="8538" customFormat="false" ht="15" hidden="false" customHeight="false" outlineLevel="0" collapsed="false">
      <c r="B8538" s="53"/>
      <c r="I8538" s="53"/>
      <c r="U8538" s="31" t="n">
        <f aca="false">IF($B8538='設定（最初に1回）'!$C$4,N(U8537)+1,N(U8537))</f>
        <v>134</v>
      </c>
    </row>
    <row r="8539" customFormat="false" ht="15" hidden="false" customHeight="false" outlineLevel="0" collapsed="false">
      <c r="B8539" s="53"/>
      <c r="I8539" s="53"/>
      <c r="U8539" s="31" t="n">
        <f aca="false">IF($B8539='設定（最初に1回）'!$C$4,N(U8538)+1,N(U8538))</f>
        <v>134</v>
      </c>
    </row>
    <row r="8540" customFormat="false" ht="15" hidden="false" customHeight="false" outlineLevel="0" collapsed="false">
      <c r="B8540" s="53"/>
      <c r="I8540" s="53"/>
      <c r="U8540" s="31" t="n">
        <f aca="false">IF($B8540='設定（最初に1回）'!$C$4,N(U8539)+1,N(U8539))</f>
        <v>134</v>
      </c>
    </row>
    <row r="8541" customFormat="false" ht="15" hidden="false" customHeight="false" outlineLevel="0" collapsed="false">
      <c r="B8541" s="53"/>
      <c r="I8541" s="53"/>
      <c r="U8541" s="31" t="n">
        <f aca="false">IF($B8541='設定（最初に1回）'!$C$4,N(U8540)+1,N(U8540))</f>
        <v>134</v>
      </c>
    </row>
    <row r="8542" customFormat="false" ht="15" hidden="false" customHeight="false" outlineLevel="0" collapsed="false">
      <c r="B8542" s="53"/>
      <c r="I8542" s="53"/>
      <c r="U8542" s="31" t="n">
        <f aca="false">IF($B8542='設定（最初に1回）'!$C$4,N(U8541)+1,N(U8541))</f>
        <v>134</v>
      </c>
    </row>
    <row r="8543" customFormat="false" ht="15" hidden="false" customHeight="false" outlineLevel="0" collapsed="false">
      <c r="B8543" s="53"/>
      <c r="I8543" s="53"/>
      <c r="U8543" s="31" t="n">
        <f aca="false">IF($B8543='設定（最初に1回）'!$C$4,N(U8542)+1,N(U8542))</f>
        <v>134</v>
      </c>
    </row>
    <row r="8544" customFormat="false" ht="15" hidden="false" customHeight="false" outlineLevel="0" collapsed="false">
      <c r="B8544" s="53"/>
      <c r="I8544" s="53"/>
      <c r="U8544" s="31" t="n">
        <f aca="false">IF($B8544='設定（最初に1回）'!$C$4,N(U8543)+1,N(U8543))</f>
        <v>134</v>
      </c>
    </row>
    <row r="8545" customFormat="false" ht="15" hidden="false" customHeight="false" outlineLevel="0" collapsed="false">
      <c r="B8545" s="53"/>
      <c r="I8545" s="53"/>
      <c r="U8545" s="31" t="n">
        <f aca="false">IF($B8545='設定（最初に1回）'!$C$4,N(U8544)+1,N(U8544))</f>
        <v>134</v>
      </c>
    </row>
    <row r="8546" customFormat="false" ht="15" hidden="false" customHeight="false" outlineLevel="0" collapsed="false">
      <c r="B8546" s="53"/>
      <c r="I8546" s="53"/>
      <c r="U8546" s="31" t="n">
        <f aca="false">IF($B8546='設定（最初に1回）'!$C$4,N(U8545)+1,N(U8545))</f>
        <v>134</v>
      </c>
    </row>
    <row r="8547" customFormat="false" ht="15" hidden="false" customHeight="false" outlineLevel="0" collapsed="false">
      <c r="B8547" s="53"/>
      <c r="I8547" s="53"/>
      <c r="U8547" s="31" t="n">
        <f aca="false">IF($B8547='設定（最初に1回）'!$C$4,N(U8546)+1,N(U8546))</f>
        <v>134</v>
      </c>
    </row>
    <row r="8548" customFormat="false" ht="15" hidden="false" customHeight="false" outlineLevel="0" collapsed="false">
      <c r="B8548" s="53"/>
      <c r="I8548" s="53"/>
      <c r="U8548" s="31" t="n">
        <f aca="false">IF($B8548='設定（最初に1回）'!$C$4,N(U8547)+1,N(U8547))</f>
        <v>134</v>
      </c>
    </row>
    <row r="8549" customFormat="false" ht="15" hidden="false" customHeight="false" outlineLevel="0" collapsed="false">
      <c r="B8549" s="53"/>
      <c r="I8549" s="53"/>
      <c r="U8549" s="31" t="n">
        <f aca="false">IF($B8549='設定（最初に1回）'!$C$4,N(U8548)+1,N(U8548))</f>
        <v>134</v>
      </c>
    </row>
    <row r="8550" customFormat="false" ht="15" hidden="false" customHeight="false" outlineLevel="0" collapsed="false">
      <c r="B8550" s="53"/>
      <c r="I8550" s="53"/>
      <c r="U8550" s="31" t="n">
        <f aca="false">IF($B8550='設定（最初に1回）'!$C$4,N(U8549)+1,N(U8549))</f>
        <v>134</v>
      </c>
    </row>
    <row r="8551" customFormat="false" ht="15" hidden="false" customHeight="false" outlineLevel="0" collapsed="false">
      <c r="B8551" s="53"/>
      <c r="I8551" s="53"/>
      <c r="U8551" s="31" t="n">
        <f aca="false">IF($B8551='設定（最初に1回）'!$C$4,N(U8550)+1,N(U8550))</f>
        <v>134</v>
      </c>
    </row>
    <row r="8552" customFormat="false" ht="15" hidden="false" customHeight="false" outlineLevel="0" collapsed="false">
      <c r="B8552" s="53"/>
      <c r="I8552" s="53"/>
      <c r="U8552" s="31" t="n">
        <f aca="false">IF($B8552='設定（最初に1回）'!$C$4,N(U8551)+1,N(U8551))</f>
        <v>134</v>
      </c>
    </row>
    <row r="8553" customFormat="false" ht="15" hidden="false" customHeight="false" outlineLevel="0" collapsed="false">
      <c r="B8553" s="53"/>
      <c r="I8553" s="53"/>
      <c r="U8553" s="31" t="n">
        <f aca="false">IF($B8553='設定（最初に1回）'!$C$4,N(U8552)+1,N(U8552))</f>
        <v>134</v>
      </c>
    </row>
    <row r="8554" customFormat="false" ht="15" hidden="false" customHeight="false" outlineLevel="0" collapsed="false">
      <c r="B8554" s="53"/>
      <c r="I8554" s="53"/>
      <c r="U8554" s="31" t="n">
        <f aca="false">IF($B8554='設定（最初に1回）'!$C$4,N(U8553)+1,N(U8553))</f>
        <v>134</v>
      </c>
    </row>
    <row r="8555" customFormat="false" ht="15" hidden="false" customHeight="false" outlineLevel="0" collapsed="false">
      <c r="B8555" s="53"/>
      <c r="I8555" s="53"/>
      <c r="U8555" s="31" t="n">
        <f aca="false">IF($B8555='設定（最初に1回）'!$C$4,N(U8554)+1,N(U8554))</f>
        <v>134</v>
      </c>
    </row>
    <row r="8556" customFormat="false" ht="15" hidden="false" customHeight="false" outlineLevel="0" collapsed="false">
      <c r="B8556" s="53"/>
      <c r="I8556" s="53"/>
      <c r="U8556" s="31" t="n">
        <f aca="false">IF($B8556='設定（最初に1回）'!$C$4,N(U8555)+1,N(U8555))</f>
        <v>134</v>
      </c>
    </row>
    <row r="8557" customFormat="false" ht="15" hidden="false" customHeight="false" outlineLevel="0" collapsed="false">
      <c r="B8557" s="53"/>
      <c r="I8557" s="53"/>
      <c r="U8557" s="31" t="n">
        <f aca="false">IF($B8557='設定（最初に1回）'!$C$4,N(U8556)+1,N(U8556))</f>
        <v>134</v>
      </c>
    </row>
    <row r="8558" customFormat="false" ht="15" hidden="false" customHeight="false" outlineLevel="0" collapsed="false">
      <c r="B8558" s="53"/>
      <c r="I8558" s="53"/>
      <c r="U8558" s="31" t="n">
        <f aca="false">IF($B8558='設定（最初に1回）'!$C$4,N(U8557)+1,N(U8557))</f>
        <v>134</v>
      </c>
    </row>
    <row r="8559" customFormat="false" ht="15" hidden="false" customHeight="false" outlineLevel="0" collapsed="false">
      <c r="B8559" s="53"/>
      <c r="I8559" s="53"/>
      <c r="U8559" s="31" t="n">
        <f aca="false">IF($B8559='設定（最初に1回）'!$C$4,N(U8558)+1,N(U8558))</f>
        <v>134</v>
      </c>
    </row>
    <row r="8560" customFormat="false" ht="15" hidden="false" customHeight="false" outlineLevel="0" collapsed="false">
      <c r="B8560" s="53"/>
      <c r="I8560" s="53"/>
      <c r="U8560" s="31" t="n">
        <f aca="false">IF($B8560='設定（最初に1回）'!$C$4,N(U8559)+1,N(U8559))</f>
        <v>134</v>
      </c>
    </row>
    <row r="8561" customFormat="false" ht="15" hidden="false" customHeight="false" outlineLevel="0" collapsed="false">
      <c r="B8561" s="53"/>
      <c r="I8561" s="53"/>
      <c r="U8561" s="31" t="n">
        <f aca="false">IF($B8561='設定（最初に1回）'!$C$4,N(U8560)+1,N(U8560))</f>
        <v>134</v>
      </c>
    </row>
    <row r="8562" customFormat="false" ht="15" hidden="false" customHeight="false" outlineLevel="0" collapsed="false">
      <c r="B8562" s="53"/>
      <c r="I8562" s="53"/>
      <c r="U8562" s="31" t="n">
        <f aca="false">IF($B8562='設定（最初に1回）'!$C$4,N(U8561)+1,N(U8561))</f>
        <v>134</v>
      </c>
    </row>
    <row r="8563" customFormat="false" ht="15" hidden="false" customHeight="false" outlineLevel="0" collapsed="false">
      <c r="B8563" s="53"/>
      <c r="I8563" s="53"/>
      <c r="U8563" s="31" t="n">
        <f aca="false">IF($B8563='設定（最初に1回）'!$C$4,N(U8562)+1,N(U8562))</f>
        <v>134</v>
      </c>
    </row>
    <row r="8564" customFormat="false" ht="15" hidden="false" customHeight="false" outlineLevel="0" collapsed="false">
      <c r="B8564" s="53"/>
      <c r="I8564" s="53"/>
      <c r="U8564" s="31" t="n">
        <f aca="false">IF($B8564='設定（最初に1回）'!$C$4,N(U8563)+1,N(U8563))</f>
        <v>134</v>
      </c>
    </row>
    <row r="8565" customFormat="false" ht="15" hidden="false" customHeight="false" outlineLevel="0" collapsed="false">
      <c r="B8565" s="53"/>
      <c r="I8565" s="53"/>
      <c r="U8565" s="31" t="n">
        <f aca="false">IF($B8565='設定（最初に1回）'!$C$4,N(U8564)+1,N(U8564))</f>
        <v>134</v>
      </c>
    </row>
    <row r="8566" customFormat="false" ht="15" hidden="false" customHeight="false" outlineLevel="0" collapsed="false">
      <c r="B8566" s="53"/>
      <c r="I8566" s="53"/>
      <c r="U8566" s="31" t="n">
        <f aca="false">IF($B8566='設定（最初に1回）'!$C$4,N(U8565)+1,N(U8565))</f>
        <v>134</v>
      </c>
    </row>
    <row r="8567" customFormat="false" ht="15" hidden="false" customHeight="false" outlineLevel="0" collapsed="false">
      <c r="B8567" s="53"/>
      <c r="I8567" s="53"/>
      <c r="U8567" s="31" t="n">
        <f aca="false">IF($B8567='設定（最初に1回）'!$C$4,N(U8566)+1,N(U8566))</f>
        <v>134</v>
      </c>
    </row>
    <row r="8568" customFormat="false" ht="15" hidden="false" customHeight="false" outlineLevel="0" collapsed="false">
      <c r="B8568" s="53"/>
      <c r="I8568" s="53"/>
      <c r="U8568" s="31" t="n">
        <f aca="false">IF($B8568='設定（最初に1回）'!$C$4,N(U8567)+1,N(U8567))</f>
        <v>134</v>
      </c>
    </row>
    <row r="8569" customFormat="false" ht="15" hidden="false" customHeight="false" outlineLevel="0" collapsed="false">
      <c r="B8569" s="53"/>
      <c r="I8569" s="53"/>
      <c r="U8569" s="31" t="n">
        <f aca="false">IF($B8569='設定（最初に1回）'!$C$4,N(U8568)+1,N(U8568))</f>
        <v>134</v>
      </c>
    </row>
    <row r="8570" customFormat="false" ht="15" hidden="false" customHeight="false" outlineLevel="0" collapsed="false">
      <c r="B8570" s="53"/>
      <c r="I8570" s="53"/>
      <c r="U8570" s="31" t="n">
        <f aca="false">IF($B8570='設定（最初に1回）'!$C$4,N(U8569)+1,N(U8569))</f>
        <v>134</v>
      </c>
    </row>
    <row r="8571" customFormat="false" ht="15" hidden="false" customHeight="false" outlineLevel="0" collapsed="false">
      <c r="B8571" s="53"/>
      <c r="I8571" s="53"/>
      <c r="U8571" s="31" t="n">
        <f aca="false">IF($B8571='設定（最初に1回）'!$C$4,N(U8570)+1,N(U8570))</f>
        <v>134</v>
      </c>
    </row>
    <row r="8572" customFormat="false" ht="15" hidden="false" customHeight="false" outlineLevel="0" collapsed="false">
      <c r="B8572" s="53"/>
      <c r="I8572" s="53"/>
      <c r="U8572" s="31" t="n">
        <f aca="false">IF($B8572='設定（最初に1回）'!$C$4,N(U8571)+1,N(U8571))</f>
        <v>134</v>
      </c>
    </row>
    <row r="8573" customFormat="false" ht="15" hidden="false" customHeight="false" outlineLevel="0" collapsed="false">
      <c r="B8573" s="53"/>
      <c r="I8573" s="53"/>
      <c r="U8573" s="31" t="n">
        <f aca="false">IF($B8573='設定（最初に1回）'!$C$4,N(U8572)+1,N(U8572))</f>
        <v>134</v>
      </c>
    </row>
    <row r="8574" customFormat="false" ht="15" hidden="false" customHeight="false" outlineLevel="0" collapsed="false">
      <c r="B8574" s="53"/>
      <c r="I8574" s="53"/>
      <c r="U8574" s="31" t="n">
        <f aca="false">IF($B8574='設定（最初に1回）'!$C$4,N(U8573)+1,N(U8573))</f>
        <v>134</v>
      </c>
    </row>
    <row r="8575" customFormat="false" ht="15" hidden="false" customHeight="false" outlineLevel="0" collapsed="false">
      <c r="B8575" s="53"/>
      <c r="I8575" s="53"/>
      <c r="U8575" s="31" t="n">
        <f aca="false">IF($B8575='設定（最初に1回）'!$C$4,N(U8574)+1,N(U8574))</f>
        <v>134</v>
      </c>
    </row>
    <row r="8576" customFormat="false" ht="15" hidden="false" customHeight="false" outlineLevel="0" collapsed="false">
      <c r="B8576" s="53"/>
      <c r="I8576" s="53"/>
      <c r="U8576" s="31" t="n">
        <f aca="false">IF($B8576='設定（最初に1回）'!$C$4,N(U8575)+1,N(U8575))</f>
        <v>134</v>
      </c>
    </row>
    <row r="8577" customFormat="false" ht="15" hidden="false" customHeight="false" outlineLevel="0" collapsed="false">
      <c r="B8577" s="53"/>
      <c r="I8577" s="53"/>
      <c r="U8577" s="31" t="n">
        <f aca="false">IF($B8577='設定（最初に1回）'!$C$4,N(U8576)+1,N(U8576))</f>
        <v>134</v>
      </c>
    </row>
    <row r="8578" customFormat="false" ht="15" hidden="false" customHeight="false" outlineLevel="0" collapsed="false">
      <c r="B8578" s="53"/>
      <c r="I8578" s="53"/>
      <c r="U8578" s="31" t="n">
        <f aca="false">IF($B8578='設定（最初に1回）'!$C$4,N(U8577)+1,N(U8577))</f>
        <v>134</v>
      </c>
    </row>
    <row r="8579" customFormat="false" ht="15" hidden="false" customHeight="false" outlineLevel="0" collapsed="false">
      <c r="B8579" s="53"/>
      <c r="I8579" s="53"/>
      <c r="U8579" s="31" t="n">
        <f aca="false">IF($B8579='設定（最初に1回）'!$C$4,N(U8578)+1,N(U8578))</f>
        <v>134</v>
      </c>
    </row>
    <row r="8580" customFormat="false" ht="15" hidden="false" customHeight="false" outlineLevel="0" collapsed="false">
      <c r="B8580" s="53"/>
      <c r="I8580" s="53"/>
      <c r="U8580" s="31" t="n">
        <f aca="false">IF($B8580='設定（最初に1回）'!$C$4,N(U8579)+1,N(U8579))</f>
        <v>134</v>
      </c>
    </row>
    <row r="8581" customFormat="false" ht="15" hidden="false" customHeight="false" outlineLevel="0" collapsed="false">
      <c r="B8581" s="53"/>
      <c r="I8581" s="53"/>
      <c r="U8581" s="31" t="n">
        <f aca="false">IF($B8581='設定（最初に1回）'!$C$4,N(U8580)+1,N(U8580))</f>
        <v>134</v>
      </c>
    </row>
    <row r="8582" customFormat="false" ht="15" hidden="false" customHeight="false" outlineLevel="0" collapsed="false">
      <c r="B8582" s="53"/>
      <c r="I8582" s="53"/>
      <c r="U8582" s="31" t="n">
        <f aca="false">IF($B8582='設定（最初に1回）'!$C$4,N(U8581)+1,N(U8581))</f>
        <v>134</v>
      </c>
    </row>
    <row r="8583" customFormat="false" ht="15" hidden="false" customHeight="false" outlineLevel="0" collapsed="false">
      <c r="B8583" s="53"/>
      <c r="I8583" s="53"/>
      <c r="U8583" s="31" t="n">
        <f aca="false">IF($B8583='設定（最初に1回）'!$C$4,N(U8582)+1,N(U8582))</f>
        <v>134</v>
      </c>
    </row>
    <row r="8584" customFormat="false" ht="15" hidden="false" customHeight="false" outlineLevel="0" collapsed="false">
      <c r="B8584" s="53"/>
      <c r="I8584" s="53"/>
      <c r="U8584" s="31" t="n">
        <f aca="false">IF($B8584='設定（最初に1回）'!$C$4,N(U8583)+1,N(U8583))</f>
        <v>134</v>
      </c>
    </row>
    <row r="8585" customFormat="false" ht="15" hidden="false" customHeight="false" outlineLevel="0" collapsed="false">
      <c r="B8585" s="53"/>
      <c r="I8585" s="53"/>
      <c r="U8585" s="31" t="n">
        <f aca="false">IF($B8585='設定（最初に1回）'!$C$4,N(U8584)+1,N(U8584))</f>
        <v>134</v>
      </c>
    </row>
    <row r="8586" customFormat="false" ht="15" hidden="false" customHeight="false" outlineLevel="0" collapsed="false">
      <c r="B8586" s="53"/>
      <c r="I8586" s="53"/>
      <c r="U8586" s="31" t="n">
        <f aca="false">IF($B8586='設定（最初に1回）'!$C$4,N(U8585)+1,N(U8585))</f>
        <v>134</v>
      </c>
    </row>
    <row r="8587" customFormat="false" ht="15" hidden="false" customHeight="false" outlineLevel="0" collapsed="false">
      <c r="B8587" s="53"/>
      <c r="I8587" s="53"/>
      <c r="U8587" s="31" t="n">
        <f aca="false">IF($B8587='設定（最初に1回）'!$C$4,N(U8586)+1,N(U8586))</f>
        <v>134</v>
      </c>
    </row>
    <row r="8588" customFormat="false" ht="15" hidden="false" customHeight="false" outlineLevel="0" collapsed="false">
      <c r="B8588" s="53"/>
      <c r="I8588" s="53"/>
      <c r="U8588" s="31" t="n">
        <f aca="false">IF($B8588='設定（最初に1回）'!$C$4,N(U8587)+1,N(U8587))</f>
        <v>134</v>
      </c>
    </row>
    <row r="8589" customFormat="false" ht="15" hidden="false" customHeight="false" outlineLevel="0" collapsed="false">
      <c r="B8589" s="53"/>
      <c r="I8589" s="53"/>
      <c r="U8589" s="31" t="n">
        <f aca="false">IF($B8589='設定（最初に1回）'!$C$4,N(U8588)+1,N(U8588))</f>
        <v>134</v>
      </c>
    </row>
    <row r="8590" customFormat="false" ht="15" hidden="false" customHeight="false" outlineLevel="0" collapsed="false">
      <c r="B8590" s="53"/>
      <c r="I8590" s="53"/>
      <c r="U8590" s="31" t="n">
        <f aca="false">IF($B8590='設定（最初に1回）'!$C$4,N(U8589)+1,N(U8589))</f>
        <v>134</v>
      </c>
    </row>
    <row r="8591" customFormat="false" ht="15" hidden="false" customHeight="false" outlineLevel="0" collapsed="false">
      <c r="B8591" s="53"/>
      <c r="I8591" s="53"/>
      <c r="U8591" s="31" t="n">
        <f aca="false">IF($B8591='設定（最初に1回）'!$C$4,N(U8590)+1,N(U8590))</f>
        <v>134</v>
      </c>
    </row>
    <row r="8592" customFormat="false" ht="15" hidden="false" customHeight="false" outlineLevel="0" collapsed="false">
      <c r="B8592" s="53"/>
      <c r="I8592" s="53"/>
      <c r="U8592" s="31" t="n">
        <f aca="false">IF($B8592='設定（最初に1回）'!$C$4,N(U8591)+1,N(U8591))</f>
        <v>134</v>
      </c>
    </row>
    <row r="8593" customFormat="false" ht="15" hidden="false" customHeight="false" outlineLevel="0" collapsed="false">
      <c r="B8593" s="53"/>
      <c r="I8593" s="53"/>
      <c r="U8593" s="31" t="n">
        <f aca="false">IF($B8593='設定（最初に1回）'!$C$4,N(U8592)+1,N(U8592))</f>
        <v>134</v>
      </c>
    </row>
    <row r="8594" customFormat="false" ht="15" hidden="false" customHeight="false" outlineLevel="0" collapsed="false">
      <c r="B8594" s="53"/>
      <c r="I8594" s="53"/>
      <c r="U8594" s="31" t="n">
        <f aca="false">IF($B8594='設定（最初に1回）'!$C$4,N(U8593)+1,N(U8593))</f>
        <v>134</v>
      </c>
    </row>
    <row r="8595" customFormat="false" ht="15" hidden="false" customHeight="false" outlineLevel="0" collapsed="false">
      <c r="B8595" s="53"/>
      <c r="I8595" s="53"/>
      <c r="U8595" s="31" t="n">
        <f aca="false">IF($B8595='設定（最初に1回）'!$C$4,N(U8594)+1,N(U8594))</f>
        <v>134</v>
      </c>
    </row>
    <row r="8596" customFormat="false" ht="15" hidden="false" customHeight="false" outlineLevel="0" collapsed="false">
      <c r="B8596" s="53"/>
      <c r="I8596" s="53"/>
      <c r="U8596" s="31" t="n">
        <f aca="false">IF($B8596='設定（最初に1回）'!$C$4,N(U8595)+1,N(U8595))</f>
        <v>134</v>
      </c>
    </row>
    <row r="8597" customFormat="false" ht="15" hidden="false" customHeight="false" outlineLevel="0" collapsed="false">
      <c r="B8597" s="53"/>
      <c r="I8597" s="53"/>
      <c r="U8597" s="31" t="n">
        <f aca="false">IF($B8597='設定（最初に1回）'!$C$4,N(U8596)+1,N(U8596))</f>
        <v>134</v>
      </c>
    </row>
    <row r="8598" customFormat="false" ht="15" hidden="false" customHeight="false" outlineLevel="0" collapsed="false">
      <c r="B8598" s="53"/>
      <c r="I8598" s="53"/>
      <c r="U8598" s="31" t="n">
        <f aca="false">IF($B8598='設定（最初に1回）'!$C$4,N(U8597)+1,N(U8597))</f>
        <v>134</v>
      </c>
    </row>
    <row r="8599" customFormat="false" ht="15" hidden="false" customHeight="false" outlineLevel="0" collapsed="false">
      <c r="B8599" s="53"/>
      <c r="I8599" s="53"/>
      <c r="U8599" s="31" t="n">
        <f aca="false">IF($B8599='設定（最初に1回）'!$C$4,N(U8598)+1,N(U8598))</f>
        <v>134</v>
      </c>
    </row>
    <row r="8600" customFormat="false" ht="15" hidden="false" customHeight="false" outlineLevel="0" collapsed="false">
      <c r="B8600" s="53"/>
      <c r="I8600" s="53"/>
      <c r="U8600" s="31" t="n">
        <f aca="false">IF($B8600='設定（最初に1回）'!$C$4,N(U8599)+1,N(U8599))</f>
        <v>134</v>
      </c>
    </row>
    <row r="8601" customFormat="false" ht="15" hidden="false" customHeight="false" outlineLevel="0" collapsed="false">
      <c r="B8601" s="53"/>
      <c r="I8601" s="53"/>
      <c r="U8601" s="31" t="n">
        <f aca="false">IF($B8601='設定（最初に1回）'!$C$4,N(U8600)+1,N(U8600))</f>
        <v>134</v>
      </c>
    </row>
    <row r="8602" customFormat="false" ht="15" hidden="false" customHeight="false" outlineLevel="0" collapsed="false">
      <c r="B8602" s="53"/>
      <c r="I8602" s="53"/>
      <c r="U8602" s="31" t="n">
        <f aca="false">IF($B8602='設定（最初に1回）'!$C$4,N(U8601)+1,N(U8601))</f>
        <v>134</v>
      </c>
    </row>
    <row r="8603" customFormat="false" ht="15" hidden="false" customHeight="false" outlineLevel="0" collapsed="false">
      <c r="B8603" s="53"/>
      <c r="I8603" s="53"/>
      <c r="U8603" s="31" t="n">
        <f aca="false">IF($B8603='設定（最初に1回）'!$C$4,N(U8602)+1,N(U8602))</f>
        <v>134</v>
      </c>
    </row>
    <row r="8604" customFormat="false" ht="15" hidden="false" customHeight="false" outlineLevel="0" collapsed="false">
      <c r="B8604" s="53"/>
      <c r="I8604" s="53"/>
      <c r="U8604" s="31" t="n">
        <f aca="false">IF($B8604='設定（最初に1回）'!$C$4,N(U8603)+1,N(U8603))</f>
        <v>134</v>
      </c>
    </row>
    <row r="8605" customFormat="false" ht="15" hidden="false" customHeight="false" outlineLevel="0" collapsed="false">
      <c r="B8605" s="53"/>
      <c r="I8605" s="53"/>
      <c r="U8605" s="31" t="n">
        <f aca="false">IF($B8605='設定（最初に1回）'!$C$4,N(U8604)+1,N(U8604))</f>
        <v>134</v>
      </c>
    </row>
    <row r="8606" customFormat="false" ht="15" hidden="false" customHeight="false" outlineLevel="0" collapsed="false">
      <c r="B8606" s="53"/>
      <c r="I8606" s="53"/>
      <c r="U8606" s="31" t="n">
        <f aca="false">IF($B8606='設定（最初に1回）'!$C$4,N(U8605)+1,N(U8605))</f>
        <v>134</v>
      </c>
    </row>
    <row r="8607" customFormat="false" ht="15" hidden="false" customHeight="false" outlineLevel="0" collapsed="false">
      <c r="B8607" s="53"/>
      <c r="I8607" s="53"/>
      <c r="U8607" s="31" t="n">
        <f aca="false">IF($B8607='設定（最初に1回）'!$C$4,N(U8606)+1,N(U8606))</f>
        <v>134</v>
      </c>
    </row>
    <row r="8608" customFormat="false" ht="15" hidden="false" customHeight="false" outlineLevel="0" collapsed="false">
      <c r="B8608" s="53"/>
      <c r="I8608" s="53"/>
      <c r="U8608" s="31" t="n">
        <f aca="false">IF($B8608='設定（最初に1回）'!$C$4,N(U8607)+1,N(U8607))</f>
        <v>134</v>
      </c>
    </row>
    <row r="8609" customFormat="false" ht="15" hidden="false" customHeight="false" outlineLevel="0" collapsed="false">
      <c r="B8609" s="53"/>
      <c r="I8609" s="53"/>
      <c r="U8609" s="31" t="n">
        <f aca="false">IF($B8609='設定（最初に1回）'!$C$4,N(U8608)+1,N(U8608))</f>
        <v>134</v>
      </c>
    </row>
    <row r="8610" customFormat="false" ht="15" hidden="false" customHeight="false" outlineLevel="0" collapsed="false">
      <c r="B8610" s="53"/>
      <c r="I8610" s="53"/>
      <c r="U8610" s="31" t="n">
        <f aca="false">IF($B8610='設定（最初に1回）'!$C$4,N(U8609)+1,N(U8609))</f>
        <v>134</v>
      </c>
    </row>
    <row r="8611" customFormat="false" ht="15" hidden="false" customHeight="false" outlineLevel="0" collapsed="false">
      <c r="B8611" s="53"/>
      <c r="I8611" s="53"/>
      <c r="U8611" s="31" t="n">
        <f aca="false">IF($B8611='設定（最初に1回）'!$C$4,N(U8610)+1,N(U8610))</f>
        <v>134</v>
      </c>
    </row>
    <row r="8612" customFormat="false" ht="15" hidden="false" customHeight="false" outlineLevel="0" collapsed="false">
      <c r="B8612" s="53"/>
      <c r="I8612" s="53"/>
      <c r="U8612" s="31" t="n">
        <f aca="false">IF($B8612='設定（最初に1回）'!$C$4,N(U8611)+1,N(U8611))</f>
        <v>134</v>
      </c>
    </row>
    <row r="8613" customFormat="false" ht="15" hidden="false" customHeight="false" outlineLevel="0" collapsed="false">
      <c r="B8613" s="53"/>
      <c r="I8613" s="53"/>
      <c r="U8613" s="31" t="n">
        <f aca="false">IF($B8613='設定（最初に1回）'!$C$4,N(U8612)+1,N(U8612))</f>
        <v>134</v>
      </c>
    </row>
    <row r="8614" customFormat="false" ht="15" hidden="false" customHeight="false" outlineLevel="0" collapsed="false">
      <c r="B8614" s="53"/>
      <c r="I8614" s="53"/>
      <c r="U8614" s="31" t="n">
        <f aca="false">IF($B8614='設定（最初に1回）'!$C$4,N(U8613)+1,N(U8613))</f>
        <v>134</v>
      </c>
    </row>
    <row r="8615" customFormat="false" ht="15" hidden="false" customHeight="false" outlineLevel="0" collapsed="false">
      <c r="B8615" s="53"/>
      <c r="I8615" s="53"/>
      <c r="U8615" s="31" t="n">
        <f aca="false">IF($B8615='設定（最初に1回）'!$C$4,N(U8614)+1,N(U8614))</f>
        <v>134</v>
      </c>
    </row>
    <row r="8616" customFormat="false" ht="15" hidden="false" customHeight="false" outlineLevel="0" collapsed="false">
      <c r="B8616" s="53"/>
      <c r="I8616" s="53"/>
      <c r="U8616" s="31" t="n">
        <f aca="false">IF($B8616='設定（最初に1回）'!$C$4,N(U8615)+1,N(U8615))</f>
        <v>134</v>
      </c>
    </row>
    <row r="8617" customFormat="false" ht="15" hidden="false" customHeight="false" outlineLevel="0" collapsed="false">
      <c r="B8617" s="53"/>
      <c r="I8617" s="53"/>
      <c r="U8617" s="31" t="n">
        <f aca="false">IF($B8617='設定（最初に1回）'!$C$4,N(U8616)+1,N(U8616))</f>
        <v>134</v>
      </c>
    </row>
    <row r="8618" customFormat="false" ht="15" hidden="false" customHeight="false" outlineLevel="0" collapsed="false">
      <c r="B8618" s="53"/>
      <c r="I8618" s="53"/>
      <c r="U8618" s="31" t="n">
        <f aca="false">IF($B8618='設定（最初に1回）'!$C$4,N(U8617)+1,N(U8617))</f>
        <v>134</v>
      </c>
    </row>
    <row r="8619" customFormat="false" ht="15" hidden="false" customHeight="false" outlineLevel="0" collapsed="false">
      <c r="B8619" s="53"/>
      <c r="I8619" s="53"/>
      <c r="U8619" s="31" t="n">
        <f aca="false">IF($B8619='設定（最初に1回）'!$C$4,N(U8618)+1,N(U8618))</f>
        <v>134</v>
      </c>
    </row>
    <row r="8620" customFormat="false" ht="15" hidden="false" customHeight="false" outlineLevel="0" collapsed="false">
      <c r="B8620" s="53"/>
      <c r="I8620" s="53"/>
      <c r="U8620" s="31" t="n">
        <f aca="false">IF($B8620='設定（最初に1回）'!$C$4,N(U8619)+1,N(U8619))</f>
        <v>134</v>
      </c>
    </row>
    <row r="8621" customFormat="false" ht="15" hidden="false" customHeight="false" outlineLevel="0" collapsed="false">
      <c r="B8621" s="53"/>
      <c r="I8621" s="53"/>
      <c r="U8621" s="31" t="n">
        <f aca="false">IF($B8621='設定（最初に1回）'!$C$4,N(U8620)+1,N(U8620))</f>
        <v>134</v>
      </c>
    </row>
    <row r="8622" customFormat="false" ht="15" hidden="false" customHeight="false" outlineLevel="0" collapsed="false">
      <c r="B8622" s="53"/>
      <c r="I8622" s="53"/>
      <c r="U8622" s="31" t="n">
        <f aca="false">IF($B8622='設定（最初に1回）'!$C$4,N(U8621)+1,N(U8621))</f>
        <v>134</v>
      </c>
    </row>
    <row r="8623" customFormat="false" ht="15" hidden="false" customHeight="false" outlineLevel="0" collapsed="false">
      <c r="B8623" s="53"/>
      <c r="I8623" s="53"/>
      <c r="U8623" s="31" t="n">
        <f aca="false">IF($B8623='設定（最初に1回）'!$C$4,N(U8622)+1,N(U8622))</f>
        <v>134</v>
      </c>
    </row>
    <row r="8624" customFormat="false" ht="15" hidden="false" customHeight="false" outlineLevel="0" collapsed="false">
      <c r="B8624" s="53"/>
      <c r="I8624" s="53"/>
      <c r="U8624" s="31" t="n">
        <f aca="false">IF($B8624='設定（最初に1回）'!$C$4,N(U8623)+1,N(U8623))</f>
        <v>134</v>
      </c>
    </row>
    <row r="8625" customFormat="false" ht="15" hidden="false" customHeight="false" outlineLevel="0" collapsed="false">
      <c r="B8625" s="53"/>
      <c r="I8625" s="53"/>
      <c r="U8625" s="31" t="n">
        <f aca="false">IF($B8625='設定（最初に1回）'!$C$4,N(U8624)+1,N(U8624))</f>
        <v>134</v>
      </c>
    </row>
    <row r="8626" customFormat="false" ht="15" hidden="false" customHeight="false" outlineLevel="0" collapsed="false">
      <c r="B8626" s="53"/>
      <c r="I8626" s="53"/>
      <c r="U8626" s="31" t="n">
        <f aca="false">IF($B8626='設定（最初に1回）'!$C$4,N(U8625)+1,N(U8625))</f>
        <v>134</v>
      </c>
    </row>
    <row r="8627" customFormat="false" ht="15" hidden="false" customHeight="false" outlineLevel="0" collapsed="false">
      <c r="B8627" s="53"/>
      <c r="I8627" s="53"/>
      <c r="U8627" s="31" t="n">
        <f aca="false">IF($B8627='設定（最初に1回）'!$C$4,N(U8626)+1,N(U8626))</f>
        <v>134</v>
      </c>
    </row>
    <row r="8628" customFormat="false" ht="15" hidden="false" customHeight="false" outlineLevel="0" collapsed="false">
      <c r="B8628" s="53"/>
      <c r="I8628" s="53"/>
      <c r="U8628" s="31" t="n">
        <f aca="false">IF($B8628='設定（最初に1回）'!$C$4,N(U8627)+1,N(U8627))</f>
        <v>134</v>
      </c>
    </row>
    <row r="8629" customFormat="false" ht="15" hidden="false" customHeight="false" outlineLevel="0" collapsed="false">
      <c r="B8629" s="53"/>
      <c r="I8629" s="53"/>
      <c r="U8629" s="31" t="n">
        <f aca="false">IF($B8629='設定（最初に1回）'!$C$4,N(U8628)+1,N(U8628))</f>
        <v>134</v>
      </c>
    </row>
    <row r="8630" customFormat="false" ht="15" hidden="false" customHeight="false" outlineLevel="0" collapsed="false">
      <c r="B8630" s="53"/>
      <c r="I8630" s="53"/>
      <c r="U8630" s="31" t="n">
        <f aca="false">IF($B8630='設定（最初に1回）'!$C$4,N(U8629)+1,N(U8629))</f>
        <v>134</v>
      </c>
    </row>
    <row r="8631" customFormat="false" ht="15" hidden="false" customHeight="false" outlineLevel="0" collapsed="false">
      <c r="B8631" s="53"/>
      <c r="I8631" s="53"/>
      <c r="U8631" s="31" t="n">
        <f aca="false">IF($B8631='設定（最初に1回）'!$C$4,N(U8630)+1,N(U8630))</f>
        <v>134</v>
      </c>
    </row>
    <row r="8632" customFormat="false" ht="15" hidden="false" customHeight="false" outlineLevel="0" collapsed="false">
      <c r="B8632" s="53"/>
      <c r="I8632" s="53"/>
      <c r="U8632" s="31" t="n">
        <f aca="false">IF($B8632='設定（最初に1回）'!$C$4,N(U8631)+1,N(U8631))</f>
        <v>134</v>
      </c>
    </row>
    <row r="8633" customFormat="false" ht="15" hidden="false" customHeight="false" outlineLevel="0" collapsed="false">
      <c r="B8633" s="53"/>
      <c r="I8633" s="53"/>
      <c r="U8633" s="31" t="n">
        <f aca="false">IF($B8633='設定（最初に1回）'!$C$4,N(U8632)+1,N(U8632))</f>
        <v>134</v>
      </c>
    </row>
    <row r="8634" customFormat="false" ht="15" hidden="false" customHeight="false" outlineLevel="0" collapsed="false">
      <c r="B8634" s="53"/>
      <c r="I8634" s="53"/>
      <c r="U8634" s="31" t="n">
        <f aca="false">IF($B8634='設定（最初に1回）'!$C$4,N(U8633)+1,N(U8633))</f>
        <v>134</v>
      </c>
    </row>
    <row r="8635" customFormat="false" ht="15" hidden="false" customHeight="false" outlineLevel="0" collapsed="false">
      <c r="B8635" s="53"/>
      <c r="I8635" s="53"/>
      <c r="U8635" s="31" t="n">
        <f aca="false">IF($B8635='設定（最初に1回）'!$C$4,N(U8634)+1,N(U8634))</f>
        <v>134</v>
      </c>
    </row>
    <row r="8636" customFormat="false" ht="15" hidden="false" customHeight="false" outlineLevel="0" collapsed="false">
      <c r="B8636" s="53"/>
      <c r="I8636" s="53"/>
      <c r="U8636" s="31" t="n">
        <f aca="false">IF($B8636='設定（最初に1回）'!$C$4,N(U8635)+1,N(U8635))</f>
        <v>134</v>
      </c>
    </row>
    <row r="8637" customFormat="false" ht="15" hidden="false" customHeight="false" outlineLevel="0" collapsed="false">
      <c r="B8637" s="53"/>
      <c r="I8637" s="53"/>
      <c r="U8637" s="31" t="n">
        <f aca="false">IF($B8637='設定（最初に1回）'!$C$4,N(U8636)+1,N(U8636))</f>
        <v>134</v>
      </c>
    </row>
    <row r="8638" customFormat="false" ht="15" hidden="false" customHeight="false" outlineLevel="0" collapsed="false">
      <c r="B8638" s="53"/>
      <c r="I8638" s="53"/>
      <c r="U8638" s="31" t="n">
        <f aca="false">IF($B8638='設定（最初に1回）'!$C$4,N(U8637)+1,N(U8637))</f>
        <v>134</v>
      </c>
    </row>
    <row r="8639" customFormat="false" ht="15" hidden="false" customHeight="false" outlineLevel="0" collapsed="false">
      <c r="B8639" s="53"/>
      <c r="I8639" s="53"/>
      <c r="U8639" s="31" t="n">
        <f aca="false">IF($B8639='設定（最初に1回）'!$C$4,N(U8638)+1,N(U8638))</f>
        <v>134</v>
      </c>
    </row>
    <row r="8640" customFormat="false" ht="15" hidden="false" customHeight="false" outlineLevel="0" collapsed="false">
      <c r="B8640" s="53"/>
      <c r="I8640" s="53"/>
      <c r="U8640" s="31" t="n">
        <f aca="false">IF($B8640='設定（最初に1回）'!$C$4,N(U8639)+1,N(U8639))</f>
        <v>134</v>
      </c>
    </row>
    <row r="8641" customFormat="false" ht="15" hidden="false" customHeight="false" outlineLevel="0" collapsed="false">
      <c r="B8641" s="53"/>
      <c r="I8641" s="53"/>
      <c r="U8641" s="31" t="n">
        <f aca="false">IF($B8641='設定（最初に1回）'!$C$4,N(U8640)+1,N(U8640))</f>
        <v>134</v>
      </c>
    </row>
    <row r="8642" customFormat="false" ht="15" hidden="false" customHeight="false" outlineLevel="0" collapsed="false">
      <c r="B8642" s="53"/>
      <c r="I8642" s="53"/>
      <c r="U8642" s="31" t="n">
        <f aca="false">IF($B8642='設定（最初に1回）'!$C$4,N(U8641)+1,N(U8641))</f>
        <v>134</v>
      </c>
    </row>
    <row r="8643" customFormat="false" ht="15" hidden="false" customHeight="false" outlineLevel="0" collapsed="false">
      <c r="B8643" s="53"/>
      <c r="I8643" s="53"/>
      <c r="U8643" s="31" t="n">
        <f aca="false">IF($B8643='設定（最初に1回）'!$C$4,N(U8642)+1,N(U8642))</f>
        <v>134</v>
      </c>
    </row>
    <row r="8644" customFormat="false" ht="15" hidden="false" customHeight="false" outlineLevel="0" collapsed="false">
      <c r="B8644" s="53"/>
      <c r="I8644" s="53"/>
      <c r="U8644" s="31" t="n">
        <f aca="false">IF($B8644='設定（最初に1回）'!$C$4,N(U8643)+1,N(U8643))</f>
        <v>134</v>
      </c>
    </row>
    <row r="8645" customFormat="false" ht="15" hidden="false" customHeight="false" outlineLevel="0" collapsed="false">
      <c r="B8645" s="53"/>
      <c r="I8645" s="53"/>
      <c r="U8645" s="31" t="n">
        <f aca="false">IF($B8645='設定（最初に1回）'!$C$4,N(U8644)+1,N(U8644))</f>
        <v>134</v>
      </c>
    </row>
    <row r="8646" customFormat="false" ht="15" hidden="false" customHeight="false" outlineLevel="0" collapsed="false">
      <c r="B8646" s="53"/>
      <c r="I8646" s="53"/>
      <c r="U8646" s="31" t="n">
        <f aca="false">IF($B8646='設定（最初に1回）'!$C$4,N(U8645)+1,N(U8645))</f>
        <v>134</v>
      </c>
    </row>
    <row r="8647" customFormat="false" ht="15" hidden="false" customHeight="false" outlineLevel="0" collapsed="false">
      <c r="B8647" s="53"/>
      <c r="I8647" s="53"/>
      <c r="U8647" s="31" t="n">
        <f aca="false">IF($B8647='設定（最初に1回）'!$C$4,N(U8646)+1,N(U8646))</f>
        <v>134</v>
      </c>
    </row>
    <row r="8648" customFormat="false" ht="15" hidden="false" customHeight="false" outlineLevel="0" collapsed="false">
      <c r="B8648" s="53"/>
      <c r="I8648" s="53"/>
      <c r="U8648" s="31" t="n">
        <f aca="false">IF($B8648='設定（最初に1回）'!$C$4,N(U8647)+1,N(U8647))</f>
        <v>134</v>
      </c>
    </row>
    <row r="8649" customFormat="false" ht="15" hidden="false" customHeight="false" outlineLevel="0" collapsed="false">
      <c r="B8649" s="53"/>
      <c r="I8649" s="53"/>
      <c r="U8649" s="31" t="n">
        <f aca="false">IF($B8649='設定（最初に1回）'!$C$4,N(U8648)+1,N(U8648))</f>
        <v>134</v>
      </c>
    </row>
    <row r="8650" customFormat="false" ht="15" hidden="false" customHeight="false" outlineLevel="0" collapsed="false">
      <c r="B8650" s="53"/>
      <c r="I8650" s="53"/>
      <c r="U8650" s="31" t="n">
        <f aca="false">IF($B8650='設定（最初に1回）'!$C$4,N(U8649)+1,N(U8649))</f>
        <v>134</v>
      </c>
    </row>
    <row r="8651" customFormat="false" ht="15" hidden="false" customHeight="false" outlineLevel="0" collapsed="false">
      <c r="B8651" s="53"/>
      <c r="I8651" s="53"/>
      <c r="U8651" s="31" t="n">
        <f aca="false">IF($B8651='設定（最初に1回）'!$C$4,N(U8650)+1,N(U8650))</f>
        <v>134</v>
      </c>
    </row>
    <row r="8652" customFormat="false" ht="15" hidden="false" customHeight="false" outlineLevel="0" collapsed="false">
      <c r="B8652" s="53"/>
      <c r="I8652" s="53"/>
      <c r="U8652" s="31" t="n">
        <f aca="false">IF($B8652='設定（最初に1回）'!$C$4,N(U8651)+1,N(U8651))</f>
        <v>134</v>
      </c>
    </row>
    <row r="8653" customFormat="false" ht="15" hidden="false" customHeight="false" outlineLevel="0" collapsed="false">
      <c r="B8653" s="53"/>
      <c r="I8653" s="53"/>
      <c r="U8653" s="31" t="n">
        <f aca="false">IF($B8653='設定（最初に1回）'!$C$4,N(U8652)+1,N(U8652))</f>
        <v>134</v>
      </c>
    </row>
    <row r="8654" customFormat="false" ht="15" hidden="false" customHeight="false" outlineLevel="0" collapsed="false">
      <c r="B8654" s="53"/>
      <c r="I8654" s="53"/>
      <c r="U8654" s="31" t="n">
        <f aca="false">IF($B8654='設定（最初に1回）'!$C$4,N(U8653)+1,N(U8653))</f>
        <v>134</v>
      </c>
    </row>
    <row r="8655" customFormat="false" ht="15" hidden="false" customHeight="false" outlineLevel="0" collapsed="false">
      <c r="B8655" s="53"/>
      <c r="I8655" s="53"/>
      <c r="U8655" s="31" t="n">
        <f aca="false">IF($B8655='設定（最初に1回）'!$C$4,N(U8654)+1,N(U8654))</f>
        <v>134</v>
      </c>
    </row>
    <row r="8656" customFormat="false" ht="15" hidden="false" customHeight="false" outlineLevel="0" collapsed="false">
      <c r="B8656" s="53"/>
      <c r="I8656" s="53"/>
      <c r="U8656" s="31" t="n">
        <f aca="false">IF($B8656='設定（最初に1回）'!$C$4,N(U8655)+1,N(U8655))</f>
        <v>134</v>
      </c>
    </row>
    <row r="8657" customFormat="false" ht="15" hidden="false" customHeight="false" outlineLevel="0" collapsed="false">
      <c r="B8657" s="53"/>
      <c r="I8657" s="53"/>
      <c r="U8657" s="31" t="n">
        <f aca="false">IF($B8657='設定（最初に1回）'!$C$4,N(U8656)+1,N(U8656))</f>
        <v>134</v>
      </c>
    </row>
    <row r="8658" customFormat="false" ht="15" hidden="false" customHeight="false" outlineLevel="0" collapsed="false">
      <c r="B8658" s="53"/>
      <c r="I8658" s="53"/>
      <c r="U8658" s="31" t="n">
        <f aca="false">IF($B8658='設定（最初に1回）'!$C$4,N(U8657)+1,N(U8657))</f>
        <v>134</v>
      </c>
    </row>
    <row r="8659" customFormat="false" ht="15" hidden="false" customHeight="false" outlineLevel="0" collapsed="false">
      <c r="B8659" s="53"/>
      <c r="I8659" s="53"/>
      <c r="U8659" s="31" t="n">
        <f aca="false">IF($B8659='設定（最初に1回）'!$C$4,N(U8658)+1,N(U8658))</f>
        <v>134</v>
      </c>
    </row>
    <row r="8660" customFormat="false" ht="15" hidden="false" customHeight="false" outlineLevel="0" collapsed="false">
      <c r="B8660" s="53"/>
      <c r="I8660" s="53"/>
      <c r="U8660" s="31" t="n">
        <f aca="false">IF($B8660='設定（最初に1回）'!$C$4,N(U8659)+1,N(U8659))</f>
        <v>134</v>
      </c>
    </row>
    <row r="8661" customFormat="false" ht="15" hidden="false" customHeight="false" outlineLevel="0" collapsed="false">
      <c r="B8661" s="53"/>
      <c r="I8661" s="53"/>
      <c r="U8661" s="31" t="n">
        <f aca="false">IF($B8661='設定（最初に1回）'!$C$4,N(U8660)+1,N(U8660))</f>
        <v>134</v>
      </c>
    </row>
    <row r="8662" customFormat="false" ht="15" hidden="false" customHeight="false" outlineLevel="0" collapsed="false">
      <c r="B8662" s="53"/>
      <c r="I8662" s="53"/>
      <c r="U8662" s="31" t="n">
        <f aca="false">IF($B8662='設定（最初に1回）'!$C$4,N(U8661)+1,N(U8661))</f>
        <v>134</v>
      </c>
    </row>
    <row r="8663" customFormat="false" ht="15" hidden="false" customHeight="false" outlineLevel="0" collapsed="false">
      <c r="B8663" s="53"/>
      <c r="I8663" s="53"/>
      <c r="U8663" s="31" t="n">
        <f aca="false">IF($B8663='設定（最初に1回）'!$C$4,N(U8662)+1,N(U8662))</f>
        <v>134</v>
      </c>
    </row>
    <row r="8664" customFormat="false" ht="15" hidden="false" customHeight="false" outlineLevel="0" collapsed="false">
      <c r="B8664" s="53"/>
      <c r="I8664" s="53"/>
      <c r="U8664" s="31" t="n">
        <f aca="false">IF($B8664='設定（最初に1回）'!$C$4,N(U8663)+1,N(U8663))</f>
        <v>134</v>
      </c>
    </row>
    <row r="8665" customFormat="false" ht="15" hidden="false" customHeight="false" outlineLevel="0" collapsed="false">
      <c r="B8665" s="53"/>
      <c r="I8665" s="53"/>
      <c r="U8665" s="31" t="n">
        <f aca="false">IF($B8665='設定（最初に1回）'!$C$4,N(U8664)+1,N(U8664))</f>
        <v>134</v>
      </c>
    </row>
    <row r="8666" customFormat="false" ht="15" hidden="false" customHeight="false" outlineLevel="0" collapsed="false">
      <c r="B8666" s="53"/>
      <c r="I8666" s="53"/>
      <c r="U8666" s="31" t="n">
        <f aca="false">IF($B8666='設定（最初に1回）'!$C$4,N(U8665)+1,N(U8665))</f>
        <v>134</v>
      </c>
    </row>
    <row r="8667" customFormat="false" ht="15" hidden="false" customHeight="false" outlineLevel="0" collapsed="false">
      <c r="B8667" s="53"/>
      <c r="I8667" s="53"/>
      <c r="U8667" s="31" t="n">
        <f aca="false">IF($B8667='設定（最初に1回）'!$C$4,N(U8666)+1,N(U8666))</f>
        <v>134</v>
      </c>
    </row>
    <row r="8668" customFormat="false" ht="15" hidden="false" customHeight="false" outlineLevel="0" collapsed="false">
      <c r="B8668" s="53"/>
      <c r="I8668" s="53"/>
      <c r="U8668" s="31" t="n">
        <f aca="false">IF($B8668='設定（最初に1回）'!$C$4,N(U8667)+1,N(U8667))</f>
        <v>134</v>
      </c>
    </row>
    <row r="8669" customFormat="false" ht="15" hidden="false" customHeight="false" outlineLevel="0" collapsed="false">
      <c r="B8669" s="53"/>
      <c r="I8669" s="53"/>
      <c r="U8669" s="31" t="n">
        <f aca="false">IF($B8669='設定（最初に1回）'!$C$4,N(U8668)+1,N(U8668))</f>
        <v>134</v>
      </c>
    </row>
    <row r="8670" customFormat="false" ht="15" hidden="false" customHeight="false" outlineLevel="0" collapsed="false">
      <c r="B8670" s="53"/>
      <c r="I8670" s="53"/>
      <c r="U8670" s="31" t="n">
        <f aca="false">IF($B8670='設定（最初に1回）'!$C$4,N(U8669)+1,N(U8669))</f>
        <v>134</v>
      </c>
    </row>
    <row r="8671" customFormat="false" ht="15" hidden="false" customHeight="false" outlineLevel="0" collapsed="false">
      <c r="B8671" s="53"/>
      <c r="I8671" s="53"/>
      <c r="U8671" s="31" t="n">
        <f aca="false">IF($B8671='設定（最初に1回）'!$C$4,N(U8670)+1,N(U8670))</f>
        <v>134</v>
      </c>
    </row>
    <row r="8672" customFormat="false" ht="15" hidden="false" customHeight="false" outlineLevel="0" collapsed="false">
      <c r="B8672" s="53"/>
      <c r="I8672" s="53"/>
      <c r="U8672" s="31" t="n">
        <f aca="false">IF($B8672='設定（最初に1回）'!$C$4,N(U8671)+1,N(U8671))</f>
        <v>134</v>
      </c>
    </row>
    <row r="8673" customFormat="false" ht="15" hidden="false" customHeight="false" outlineLevel="0" collapsed="false">
      <c r="B8673" s="53"/>
      <c r="I8673" s="53"/>
      <c r="U8673" s="31" t="n">
        <f aca="false">IF($B8673='設定（最初に1回）'!$C$4,N(U8672)+1,N(U8672))</f>
        <v>134</v>
      </c>
    </row>
    <row r="8674" customFormat="false" ht="15" hidden="false" customHeight="false" outlineLevel="0" collapsed="false">
      <c r="B8674" s="53"/>
      <c r="I8674" s="53"/>
      <c r="U8674" s="31" t="n">
        <f aca="false">IF($B8674='設定（最初に1回）'!$C$4,N(U8673)+1,N(U8673))</f>
        <v>134</v>
      </c>
    </row>
    <row r="8675" customFormat="false" ht="15" hidden="false" customHeight="false" outlineLevel="0" collapsed="false">
      <c r="B8675" s="53"/>
      <c r="I8675" s="53"/>
      <c r="U8675" s="31" t="n">
        <f aca="false">IF($B8675='設定（最初に1回）'!$C$4,N(U8674)+1,N(U8674))</f>
        <v>134</v>
      </c>
    </row>
    <row r="8676" customFormat="false" ht="15" hidden="false" customHeight="false" outlineLevel="0" collapsed="false">
      <c r="B8676" s="53"/>
      <c r="I8676" s="53"/>
      <c r="U8676" s="31" t="n">
        <f aca="false">IF($B8676='設定（最初に1回）'!$C$4,N(U8675)+1,N(U8675))</f>
        <v>134</v>
      </c>
    </row>
    <row r="8677" customFormat="false" ht="15" hidden="false" customHeight="false" outlineLevel="0" collapsed="false">
      <c r="B8677" s="53"/>
      <c r="I8677" s="53"/>
      <c r="U8677" s="31" t="n">
        <f aca="false">IF($B8677='設定（最初に1回）'!$C$4,N(U8676)+1,N(U8676))</f>
        <v>134</v>
      </c>
    </row>
    <row r="8678" customFormat="false" ht="15" hidden="false" customHeight="false" outlineLevel="0" collapsed="false">
      <c r="B8678" s="53"/>
      <c r="I8678" s="53"/>
      <c r="U8678" s="31" t="n">
        <f aca="false">IF($B8678='設定（最初に1回）'!$C$4,N(U8677)+1,N(U8677))</f>
        <v>134</v>
      </c>
    </row>
    <row r="8679" customFormat="false" ht="15" hidden="false" customHeight="false" outlineLevel="0" collapsed="false">
      <c r="B8679" s="53"/>
      <c r="I8679" s="53"/>
      <c r="U8679" s="31" t="n">
        <f aca="false">IF($B8679='設定（最初に1回）'!$C$4,N(U8678)+1,N(U8678))</f>
        <v>134</v>
      </c>
    </row>
    <row r="8680" customFormat="false" ht="15" hidden="false" customHeight="false" outlineLevel="0" collapsed="false">
      <c r="B8680" s="53"/>
      <c r="I8680" s="53"/>
      <c r="U8680" s="31" t="n">
        <f aca="false">IF($B8680='設定（最初に1回）'!$C$4,N(U8679)+1,N(U8679))</f>
        <v>134</v>
      </c>
    </row>
    <row r="8681" customFormat="false" ht="15" hidden="false" customHeight="false" outlineLevel="0" collapsed="false">
      <c r="B8681" s="53"/>
      <c r="I8681" s="53"/>
      <c r="U8681" s="31" t="n">
        <f aca="false">IF($B8681='設定（最初に1回）'!$C$4,N(U8680)+1,N(U8680))</f>
        <v>134</v>
      </c>
    </row>
    <row r="8682" customFormat="false" ht="15" hidden="false" customHeight="false" outlineLevel="0" collapsed="false">
      <c r="B8682" s="53"/>
      <c r="I8682" s="53"/>
      <c r="U8682" s="31" t="n">
        <f aca="false">IF($B8682='設定（最初に1回）'!$C$4,N(U8681)+1,N(U8681))</f>
        <v>134</v>
      </c>
    </row>
    <row r="8683" customFormat="false" ht="15" hidden="false" customHeight="false" outlineLevel="0" collapsed="false">
      <c r="B8683" s="53"/>
      <c r="I8683" s="53"/>
      <c r="U8683" s="31" t="n">
        <f aca="false">IF($B8683='設定（最初に1回）'!$C$4,N(U8682)+1,N(U8682))</f>
        <v>134</v>
      </c>
    </row>
    <row r="8684" customFormat="false" ht="15" hidden="false" customHeight="false" outlineLevel="0" collapsed="false">
      <c r="B8684" s="53"/>
      <c r="I8684" s="53"/>
      <c r="U8684" s="31" t="n">
        <f aca="false">IF($B8684='設定（最初に1回）'!$C$4,N(U8683)+1,N(U8683))</f>
        <v>134</v>
      </c>
    </row>
    <row r="8685" customFormat="false" ht="15" hidden="false" customHeight="false" outlineLevel="0" collapsed="false">
      <c r="B8685" s="53"/>
      <c r="I8685" s="53"/>
      <c r="U8685" s="31" t="n">
        <f aca="false">IF($B8685='設定（最初に1回）'!$C$4,N(U8684)+1,N(U8684))</f>
        <v>134</v>
      </c>
    </row>
    <row r="8686" customFormat="false" ht="15" hidden="false" customHeight="false" outlineLevel="0" collapsed="false">
      <c r="B8686" s="53"/>
      <c r="I8686" s="53"/>
      <c r="U8686" s="31" t="n">
        <f aca="false">IF($B8686='設定（最初に1回）'!$C$4,N(U8685)+1,N(U8685))</f>
        <v>134</v>
      </c>
    </row>
    <row r="8687" customFormat="false" ht="15" hidden="false" customHeight="false" outlineLevel="0" collapsed="false">
      <c r="B8687" s="53"/>
      <c r="I8687" s="53"/>
      <c r="U8687" s="31" t="n">
        <f aca="false">IF($B8687='設定（最初に1回）'!$C$4,N(U8686)+1,N(U8686))</f>
        <v>134</v>
      </c>
    </row>
    <row r="8688" customFormat="false" ht="15" hidden="false" customHeight="false" outlineLevel="0" collapsed="false">
      <c r="B8688" s="53"/>
      <c r="I8688" s="53"/>
      <c r="U8688" s="31" t="n">
        <f aca="false">IF($B8688='設定（最初に1回）'!$C$4,N(U8687)+1,N(U8687))</f>
        <v>134</v>
      </c>
    </row>
    <row r="8689" customFormat="false" ht="15" hidden="false" customHeight="false" outlineLevel="0" collapsed="false">
      <c r="B8689" s="53"/>
      <c r="I8689" s="53"/>
      <c r="U8689" s="31" t="n">
        <f aca="false">IF($B8689='設定（最初に1回）'!$C$4,N(U8688)+1,N(U8688))</f>
        <v>134</v>
      </c>
    </row>
    <row r="8690" customFormat="false" ht="15" hidden="false" customHeight="false" outlineLevel="0" collapsed="false">
      <c r="B8690" s="53"/>
      <c r="I8690" s="53"/>
      <c r="U8690" s="31" t="n">
        <f aca="false">IF($B8690='設定（最初に1回）'!$C$4,N(U8689)+1,N(U8689))</f>
        <v>134</v>
      </c>
    </row>
    <row r="8691" customFormat="false" ht="15" hidden="false" customHeight="false" outlineLevel="0" collapsed="false">
      <c r="B8691" s="53"/>
      <c r="I8691" s="53"/>
      <c r="U8691" s="31" t="n">
        <f aca="false">IF($B8691='設定（最初に1回）'!$C$4,N(U8690)+1,N(U8690))</f>
        <v>134</v>
      </c>
    </row>
    <row r="8692" customFormat="false" ht="15" hidden="false" customHeight="false" outlineLevel="0" collapsed="false">
      <c r="B8692" s="53"/>
      <c r="I8692" s="53"/>
      <c r="U8692" s="31" t="n">
        <f aca="false">IF($B8692='設定（最初に1回）'!$C$4,N(U8691)+1,N(U8691))</f>
        <v>134</v>
      </c>
    </row>
    <row r="8693" customFormat="false" ht="15" hidden="false" customHeight="false" outlineLevel="0" collapsed="false">
      <c r="B8693" s="53"/>
      <c r="I8693" s="53"/>
      <c r="U8693" s="31" t="n">
        <f aca="false">IF($B8693='設定（最初に1回）'!$C$4,N(U8692)+1,N(U8692))</f>
        <v>134</v>
      </c>
    </row>
    <row r="8694" customFormat="false" ht="15" hidden="false" customHeight="false" outlineLevel="0" collapsed="false">
      <c r="B8694" s="53"/>
      <c r="I8694" s="53"/>
      <c r="U8694" s="31" t="n">
        <f aca="false">IF($B8694='設定（最初に1回）'!$C$4,N(U8693)+1,N(U8693))</f>
        <v>134</v>
      </c>
    </row>
    <row r="8695" customFormat="false" ht="15" hidden="false" customHeight="false" outlineLevel="0" collapsed="false">
      <c r="B8695" s="53"/>
      <c r="I8695" s="53"/>
      <c r="U8695" s="31" t="n">
        <f aca="false">IF($B8695='設定（最初に1回）'!$C$4,N(U8694)+1,N(U8694))</f>
        <v>134</v>
      </c>
    </row>
    <row r="8696" customFormat="false" ht="15" hidden="false" customHeight="false" outlineLevel="0" collapsed="false">
      <c r="B8696" s="53"/>
      <c r="I8696" s="53"/>
      <c r="U8696" s="31" t="n">
        <f aca="false">IF($B8696='設定（最初に1回）'!$C$4,N(U8695)+1,N(U8695))</f>
        <v>134</v>
      </c>
    </row>
    <row r="8697" customFormat="false" ht="15" hidden="false" customHeight="false" outlineLevel="0" collapsed="false">
      <c r="B8697" s="53"/>
      <c r="I8697" s="53"/>
      <c r="U8697" s="31" t="n">
        <f aca="false">IF($B8697='設定（最初に1回）'!$C$4,N(U8696)+1,N(U8696))</f>
        <v>134</v>
      </c>
    </row>
    <row r="8698" customFormat="false" ht="15" hidden="false" customHeight="false" outlineLevel="0" collapsed="false">
      <c r="B8698" s="53"/>
      <c r="I8698" s="53"/>
      <c r="U8698" s="31" t="n">
        <f aca="false">IF($B8698='設定（最初に1回）'!$C$4,N(U8697)+1,N(U8697))</f>
        <v>134</v>
      </c>
    </row>
    <row r="8699" customFormat="false" ht="15" hidden="false" customHeight="false" outlineLevel="0" collapsed="false">
      <c r="B8699" s="53"/>
      <c r="I8699" s="53"/>
      <c r="U8699" s="31" t="n">
        <f aca="false">IF($B8699='設定（最初に1回）'!$C$4,N(U8698)+1,N(U8698))</f>
        <v>134</v>
      </c>
    </row>
    <row r="8700" customFormat="false" ht="15" hidden="false" customHeight="false" outlineLevel="0" collapsed="false">
      <c r="B8700" s="53"/>
      <c r="I8700" s="53"/>
      <c r="U8700" s="31" t="n">
        <f aca="false">IF($B8700='設定（最初に1回）'!$C$4,N(U8699)+1,N(U8699))</f>
        <v>134</v>
      </c>
    </row>
    <row r="8701" customFormat="false" ht="15" hidden="false" customHeight="false" outlineLevel="0" collapsed="false">
      <c r="B8701" s="53"/>
      <c r="I8701" s="53"/>
      <c r="U8701" s="31" t="n">
        <f aca="false">IF($B8701='設定（最初に1回）'!$C$4,N(U8700)+1,N(U8700))</f>
        <v>134</v>
      </c>
    </row>
    <row r="8702" customFormat="false" ht="15" hidden="false" customHeight="false" outlineLevel="0" collapsed="false">
      <c r="B8702" s="53"/>
      <c r="I8702" s="53"/>
      <c r="U8702" s="31" t="n">
        <f aca="false">IF($B8702='設定（最初に1回）'!$C$4,N(U8701)+1,N(U8701))</f>
        <v>134</v>
      </c>
    </row>
    <row r="8703" customFormat="false" ht="15" hidden="false" customHeight="false" outlineLevel="0" collapsed="false">
      <c r="B8703" s="53"/>
      <c r="I8703" s="53"/>
      <c r="U8703" s="31" t="n">
        <f aca="false">IF($B8703='設定（最初に1回）'!$C$4,N(U8702)+1,N(U8702))</f>
        <v>134</v>
      </c>
    </row>
    <row r="8704" customFormat="false" ht="15" hidden="false" customHeight="false" outlineLevel="0" collapsed="false">
      <c r="B8704" s="53"/>
      <c r="I8704" s="53"/>
      <c r="U8704" s="31" t="n">
        <f aca="false">IF($B8704='設定（最初に1回）'!$C$4,N(U8703)+1,N(U8703))</f>
        <v>134</v>
      </c>
    </row>
    <row r="8705" customFormat="false" ht="15" hidden="false" customHeight="false" outlineLevel="0" collapsed="false">
      <c r="B8705" s="53"/>
      <c r="I8705" s="53"/>
      <c r="U8705" s="31" t="n">
        <f aca="false">IF($B8705='設定（最初に1回）'!$C$4,N(U8704)+1,N(U8704))</f>
        <v>134</v>
      </c>
    </row>
    <row r="8706" customFormat="false" ht="15" hidden="false" customHeight="false" outlineLevel="0" collapsed="false">
      <c r="B8706" s="53"/>
      <c r="I8706" s="53"/>
      <c r="U8706" s="31" t="n">
        <f aca="false">IF($B8706='設定（最初に1回）'!$C$4,N(U8705)+1,N(U8705))</f>
        <v>134</v>
      </c>
    </row>
    <row r="8707" customFormat="false" ht="15" hidden="false" customHeight="false" outlineLevel="0" collapsed="false">
      <c r="B8707" s="53"/>
      <c r="I8707" s="53"/>
      <c r="U8707" s="31" t="n">
        <f aca="false">IF($B8707='設定（最初に1回）'!$C$4,N(U8706)+1,N(U8706))</f>
        <v>134</v>
      </c>
    </row>
    <row r="8708" customFormat="false" ht="15" hidden="false" customHeight="false" outlineLevel="0" collapsed="false">
      <c r="B8708" s="53"/>
      <c r="I8708" s="53"/>
      <c r="U8708" s="31" t="n">
        <f aca="false">IF($B8708='設定（最初に1回）'!$C$4,N(U8707)+1,N(U8707))</f>
        <v>134</v>
      </c>
    </row>
    <row r="8709" customFormat="false" ht="15" hidden="false" customHeight="false" outlineLevel="0" collapsed="false">
      <c r="B8709" s="53"/>
      <c r="I8709" s="53"/>
      <c r="U8709" s="31" t="n">
        <f aca="false">IF($B8709='設定（最初に1回）'!$C$4,N(U8708)+1,N(U8708))</f>
        <v>134</v>
      </c>
    </row>
    <row r="8710" customFormat="false" ht="15" hidden="false" customHeight="false" outlineLevel="0" collapsed="false">
      <c r="B8710" s="53"/>
      <c r="I8710" s="53"/>
      <c r="U8710" s="31" t="n">
        <f aca="false">IF($B8710='設定（最初に1回）'!$C$4,N(U8709)+1,N(U8709))</f>
        <v>134</v>
      </c>
    </row>
    <row r="8711" customFormat="false" ht="15" hidden="false" customHeight="false" outlineLevel="0" collapsed="false">
      <c r="B8711" s="53"/>
      <c r="I8711" s="53"/>
      <c r="U8711" s="31" t="n">
        <f aca="false">IF($B8711='設定（最初に1回）'!$C$4,N(U8710)+1,N(U8710))</f>
        <v>134</v>
      </c>
    </row>
    <row r="8712" customFormat="false" ht="15" hidden="false" customHeight="false" outlineLevel="0" collapsed="false">
      <c r="B8712" s="53"/>
      <c r="I8712" s="53"/>
      <c r="U8712" s="31" t="n">
        <f aca="false">IF($B8712='設定（最初に1回）'!$C$4,N(U8711)+1,N(U8711))</f>
        <v>134</v>
      </c>
    </row>
    <row r="8713" customFormat="false" ht="15" hidden="false" customHeight="false" outlineLevel="0" collapsed="false">
      <c r="B8713" s="53"/>
      <c r="I8713" s="53"/>
      <c r="U8713" s="31" t="n">
        <f aca="false">IF($B8713='設定（最初に1回）'!$C$4,N(U8712)+1,N(U8712))</f>
        <v>134</v>
      </c>
    </row>
    <row r="8714" customFormat="false" ht="15" hidden="false" customHeight="false" outlineLevel="0" collapsed="false">
      <c r="B8714" s="53"/>
      <c r="I8714" s="53"/>
      <c r="U8714" s="31" t="n">
        <f aca="false">IF($B8714='設定（最初に1回）'!$C$4,N(U8713)+1,N(U8713))</f>
        <v>134</v>
      </c>
    </row>
    <row r="8715" customFormat="false" ht="15" hidden="false" customHeight="false" outlineLevel="0" collapsed="false">
      <c r="B8715" s="53"/>
      <c r="I8715" s="53"/>
      <c r="U8715" s="31" t="n">
        <f aca="false">IF($B8715='設定（最初に1回）'!$C$4,N(U8714)+1,N(U8714))</f>
        <v>134</v>
      </c>
    </row>
    <row r="8716" customFormat="false" ht="15" hidden="false" customHeight="false" outlineLevel="0" collapsed="false">
      <c r="B8716" s="53"/>
      <c r="I8716" s="53"/>
      <c r="U8716" s="31" t="n">
        <f aca="false">IF($B8716='設定（最初に1回）'!$C$4,N(U8715)+1,N(U8715))</f>
        <v>134</v>
      </c>
    </row>
    <row r="8717" customFormat="false" ht="15" hidden="false" customHeight="false" outlineLevel="0" collapsed="false">
      <c r="B8717" s="53"/>
      <c r="I8717" s="53"/>
      <c r="U8717" s="31" t="n">
        <f aca="false">IF($B8717='設定（最初に1回）'!$C$4,N(U8716)+1,N(U8716))</f>
        <v>134</v>
      </c>
    </row>
    <row r="8718" customFormat="false" ht="15" hidden="false" customHeight="false" outlineLevel="0" collapsed="false">
      <c r="B8718" s="53"/>
      <c r="I8718" s="53"/>
      <c r="U8718" s="31" t="n">
        <f aca="false">IF($B8718='設定（最初に1回）'!$C$4,N(U8717)+1,N(U8717))</f>
        <v>134</v>
      </c>
    </row>
    <row r="8719" customFormat="false" ht="15" hidden="false" customHeight="false" outlineLevel="0" collapsed="false">
      <c r="B8719" s="53"/>
      <c r="I8719" s="53"/>
      <c r="U8719" s="31" t="n">
        <f aca="false">IF($B8719='設定（最初に1回）'!$C$4,N(U8718)+1,N(U8718))</f>
        <v>134</v>
      </c>
    </row>
    <row r="8720" customFormat="false" ht="15" hidden="false" customHeight="false" outlineLevel="0" collapsed="false">
      <c r="B8720" s="53"/>
      <c r="I8720" s="53"/>
      <c r="U8720" s="31" t="n">
        <f aca="false">IF($B8720='設定（最初に1回）'!$C$4,N(U8719)+1,N(U8719))</f>
        <v>134</v>
      </c>
    </row>
    <row r="8721" customFormat="false" ht="15" hidden="false" customHeight="false" outlineLevel="0" collapsed="false">
      <c r="B8721" s="53"/>
      <c r="I8721" s="53"/>
      <c r="U8721" s="31" t="n">
        <f aca="false">IF($B8721='設定（最初に1回）'!$C$4,N(U8720)+1,N(U8720))</f>
        <v>134</v>
      </c>
    </row>
    <row r="8722" customFormat="false" ht="15" hidden="false" customHeight="false" outlineLevel="0" collapsed="false">
      <c r="B8722" s="53"/>
      <c r="I8722" s="53"/>
      <c r="U8722" s="31" t="n">
        <f aca="false">IF($B8722='設定（最初に1回）'!$C$4,N(U8721)+1,N(U8721))</f>
        <v>134</v>
      </c>
    </row>
    <row r="8723" customFormat="false" ht="15" hidden="false" customHeight="false" outlineLevel="0" collapsed="false">
      <c r="B8723" s="53"/>
      <c r="I8723" s="53"/>
      <c r="U8723" s="31" t="n">
        <f aca="false">IF($B8723='設定（最初に1回）'!$C$4,N(U8722)+1,N(U8722))</f>
        <v>134</v>
      </c>
    </row>
    <row r="8724" customFormat="false" ht="15" hidden="false" customHeight="false" outlineLevel="0" collapsed="false">
      <c r="B8724" s="53"/>
      <c r="I8724" s="53"/>
      <c r="U8724" s="31" t="n">
        <f aca="false">IF($B8724='設定（最初に1回）'!$C$4,N(U8723)+1,N(U8723))</f>
        <v>134</v>
      </c>
    </row>
    <row r="8725" customFormat="false" ht="15" hidden="false" customHeight="false" outlineLevel="0" collapsed="false">
      <c r="B8725" s="53"/>
      <c r="I8725" s="53"/>
      <c r="U8725" s="31" t="n">
        <f aca="false">IF($B8725='設定（最初に1回）'!$C$4,N(U8724)+1,N(U8724))</f>
        <v>134</v>
      </c>
    </row>
    <row r="8726" customFormat="false" ht="15" hidden="false" customHeight="false" outlineLevel="0" collapsed="false">
      <c r="B8726" s="53"/>
      <c r="I8726" s="53"/>
      <c r="U8726" s="31" t="n">
        <f aca="false">IF($B8726='設定（最初に1回）'!$C$4,N(U8725)+1,N(U8725))</f>
        <v>134</v>
      </c>
    </row>
    <row r="8727" customFormat="false" ht="15" hidden="false" customHeight="false" outlineLevel="0" collapsed="false">
      <c r="B8727" s="53"/>
      <c r="I8727" s="53"/>
      <c r="U8727" s="31" t="n">
        <f aca="false">IF($B8727='設定（最初に1回）'!$C$4,N(U8726)+1,N(U8726))</f>
        <v>134</v>
      </c>
    </row>
    <row r="8728" customFormat="false" ht="15" hidden="false" customHeight="false" outlineLevel="0" collapsed="false">
      <c r="B8728" s="53"/>
      <c r="I8728" s="53"/>
      <c r="U8728" s="31" t="n">
        <f aca="false">IF($B8728='設定（最初に1回）'!$C$4,N(U8727)+1,N(U8727))</f>
        <v>134</v>
      </c>
    </row>
    <row r="8729" customFormat="false" ht="15" hidden="false" customHeight="false" outlineLevel="0" collapsed="false">
      <c r="B8729" s="53"/>
      <c r="I8729" s="53"/>
      <c r="U8729" s="31" t="n">
        <f aca="false">IF($B8729='設定（最初に1回）'!$C$4,N(U8728)+1,N(U8728))</f>
        <v>134</v>
      </c>
    </row>
    <row r="8730" customFormat="false" ht="15" hidden="false" customHeight="false" outlineLevel="0" collapsed="false">
      <c r="B8730" s="53"/>
      <c r="I8730" s="53"/>
      <c r="U8730" s="31" t="n">
        <f aca="false">IF($B8730='設定（最初に1回）'!$C$4,N(U8729)+1,N(U8729))</f>
        <v>134</v>
      </c>
    </row>
    <row r="8731" customFormat="false" ht="15" hidden="false" customHeight="false" outlineLevel="0" collapsed="false">
      <c r="B8731" s="53"/>
      <c r="I8731" s="53"/>
      <c r="U8731" s="31" t="n">
        <f aca="false">IF($B8731='設定（最初に1回）'!$C$4,N(U8730)+1,N(U8730))</f>
        <v>134</v>
      </c>
    </row>
    <row r="8732" customFormat="false" ht="15" hidden="false" customHeight="false" outlineLevel="0" collapsed="false">
      <c r="B8732" s="53"/>
      <c r="I8732" s="53"/>
      <c r="U8732" s="31" t="n">
        <f aca="false">IF($B8732='設定（最初に1回）'!$C$4,N(U8731)+1,N(U8731))</f>
        <v>134</v>
      </c>
    </row>
    <row r="8733" customFormat="false" ht="15" hidden="false" customHeight="false" outlineLevel="0" collapsed="false">
      <c r="B8733" s="53"/>
      <c r="I8733" s="53"/>
      <c r="U8733" s="31" t="n">
        <f aca="false">IF($B8733='設定（最初に1回）'!$C$4,N(U8732)+1,N(U8732))</f>
        <v>134</v>
      </c>
    </row>
    <row r="8734" customFormat="false" ht="15" hidden="false" customHeight="false" outlineLevel="0" collapsed="false">
      <c r="B8734" s="53"/>
      <c r="I8734" s="53"/>
      <c r="U8734" s="31" t="n">
        <f aca="false">IF($B8734='設定（最初に1回）'!$C$4,N(U8733)+1,N(U8733))</f>
        <v>134</v>
      </c>
    </row>
    <row r="8735" customFormat="false" ht="15" hidden="false" customHeight="false" outlineLevel="0" collapsed="false">
      <c r="B8735" s="53"/>
      <c r="I8735" s="53"/>
      <c r="U8735" s="31" t="n">
        <f aca="false">IF($B8735='設定（最初に1回）'!$C$4,N(U8734)+1,N(U8734))</f>
        <v>134</v>
      </c>
    </row>
    <row r="8736" customFormat="false" ht="15" hidden="false" customHeight="false" outlineLevel="0" collapsed="false">
      <c r="B8736" s="53"/>
      <c r="I8736" s="53"/>
      <c r="U8736" s="31" t="n">
        <f aca="false">IF($B8736='設定（最初に1回）'!$C$4,N(U8735)+1,N(U8735))</f>
        <v>134</v>
      </c>
    </row>
    <row r="8737" customFormat="false" ht="15" hidden="false" customHeight="false" outlineLevel="0" collapsed="false">
      <c r="B8737" s="53"/>
      <c r="I8737" s="53"/>
      <c r="U8737" s="31" t="n">
        <f aca="false">IF($B8737='設定（最初に1回）'!$C$4,N(U8736)+1,N(U8736))</f>
        <v>134</v>
      </c>
    </row>
    <row r="8738" customFormat="false" ht="15" hidden="false" customHeight="false" outlineLevel="0" collapsed="false">
      <c r="B8738" s="53"/>
      <c r="I8738" s="53"/>
      <c r="U8738" s="31" t="n">
        <f aca="false">IF($B8738='設定（最初に1回）'!$C$4,N(U8737)+1,N(U8737))</f>
        <v>134</v>
      </c>
    </row>
    <row r="8739" customFormat="false" ht="15" hidden="false" customHeight="false" outlineLevel="0" collapsed="false">
      <c r="B8739" s="53"/>
      <c r="I8739" s="53"/>
      <c r="U8739" s="31" t="n">
        <f aca="false">IF($B8739='設定（最初に1回）'!$C$4,N(U8738)+1,N(U8738))</f>
        <v>134</v>
      </c>
    </row>
    <row r="8740" customFormat="false" ht="15" hidden="false" customHeight="false" outlineLevel="0" collapsed="false">
      <c r="B8740" s="53"/>
      <c r="I8740" s="53"/>
      <c r="U8740" s="31" t="n">
        <f aca="false">IF($B8740='設定（最初に1回）'!$C$4,N(U8739)+1,N(U8739))</f>
        <v>134</v>
      </c>
    </row>
    <row r="8741" customFormat="false" ht="15" hidden="false" customHeight="false" outlineLevel="0" collapsed="false">
      <c r="B8741" s="53"/>
      <c r="I8741" s="53"/>
      <c r="U8741" s="31" t="n">
        <f aca="false">IF($B8741='設定（最初に1回）'!$C$4,N(U8740)+1,N(U8740))</f>
        <v>134</v>
      </c>
    </row>
    <row r="8742" customFormat="false" ht="15" hidden="false" customHeight="false" outlineLevel="0" collapsed="false">
      <c r="B8742" s="53"/>
      <c r="I8742" s="53"/>
      <c r="U8742" s="31" t="n">
        <f aca="false">IF($B8742='設定（最初に1回）'!$C$4,N(U8741)+1,N(U8741))</f>
        <v>134</v>
      </c>
    </row>
    <row r="8743" customFormat="false" ht="15" hidden="false" customHeight="false" outlineLevel="0" collapsed="false">
      <c r="B8743" s="53"/>
      <c r="I8743" s="53"/>
      <c r="U8743" s="31" t="n">
        <f aca="false">IF($B8743='設定（最初に1回）'!$C$4,N(U8742)+1,N(U8742))</f>
        <v>134</v>
      </c>
    </row>
    <row r="8744" customFormat="false" ht="15" hidden="false" customHeight="false" outlineLevel="0" collapsed="false">
      <c r="B8744" s="53"/>
      <c r="I8744" s="53"/>
      <c r="U8744" s="31" t="n">
        <f aca="false">IF($B8744='設定（最初に1回）'!$C$4,N(U8743)+1,N(U8743))</f>
        <v>134</v>
      </c>
    </row>
    <row r="8745" customFormat="false" ht="15" hidden="false" customHeight="false" outlineLevel="0" collapsed="false">
      <c r="B8745" s="53"/>
      <c r="I8745" s="53"/>
      <c r="U8745" s="31" t="n">
        <f aca="false">IF($B8745='設定（最初に1回）'!$C$4,N(U8744)+1,N(U8744))</f>
        <v>134</v>
      </c>
    </row>
    <row r="8746" customFormat="false" ht="15" hidden="false" customHeight="false" outlineLevel="0" collapsed="false">
      <c r="B8746" s="53"/>
      <c r="I8746" s="53"/>
      <c r="U8746" s="31" t="n">
        <f aca="false">IF($B8746='設定（最初に1回）'!$C$4,N(U8745)+1,N(U8745))</f>
        <v>134</v>
      </c>
    </row>
    <row r="8747" customFormat="false" ht="15" hidden="false" customHeight="false" outlineLevel="0" collapsed="false">
      <c r="B8747" s="53"/>
      <c r="I8747" s="53"/>
      <c r="U8747" s="31" t="n">
        <f aca="false">IF($B8747='設定（最初に1回）'!$C$4,N(U8746)+1,N(U8746))</f>
        <v>134</v>
      </c>
    </row>
    <row r="8748" customFormat="false" ht="15" hidden="false" customHeight="false" outlineLevel="0" collapsed="false">
      <c r="B8748" s="53"/>
      <c r="I8748" s="53"/>
      <c r="U8748" s="31" t="n">
        <f aca="false">IF($B8748='設定（最初に1回）'!$C$4,N(U8747)+1,N(U8747))</f>
        <v>134</v>
      </c>
    </row>
    <row r="8749" customFormat="false" ht="15" hidden="false" customHeight="false" outlineLevel="0" collapsed="false">
      <c r="B8749" s="53"/>
      <c r="I8749" s="53"/>
      <c r="U8749" s="31" t="n">
        <f aca="false">IF($B8749='設定（最初に1回）'!$C$4,N(U8748)+1,N(U8748))</f>
        <v>134</v>
      </c>
    </row>
    <row r="8750" customFormat="false" ht="15" hidden="false" customHeight="false" outlineLevel="0" collapsed="false">
      <c r="B8750" s="53"/>
      <c r="I8750" s="53"/>
      <c r="U8750" s="31" t="n">
        <f aca="false">IF($B8750='設定（最初に1回）'!$C$4,N(U8749)+1,N(U8749))</f>
        <v>134</v>
      </c>
    </row>
    <row r="8751" customFormat="false" ht="15" hidden="false" customHeight="false" outlineLevel="0" collapsed="false">
      <c r="B8751" s="53"/>
      <c r="I8751" s="53"/>
      <c r="U8751" s="31" t="n">
        <f aca="false">IF($B8751='設定（最初に1回）'!$C$4,N(U8750)+1,N(U8750))</f>
        <v>134</v>
      </c>
    </row>
    <row r="8752" customFormat="false" ht="15" hidden="false" customHeight="false" outlineLevel="0" collapsed="false">
      <c r="B8752" s="53"/>
      <c r="I8752" s="53"/>
      <c r="U8752" s="31" t="n">
        <f aca="false">IF($B8752='設定（最初に1回）'!$C$4,N(U8751)+1,N(U8751))</f>
        <v>134</v>
      </c>
    </row>
    <row r="8753" customFormat="false" ht="15" hidden="false" customHeight="false" outlineLevel="0" collapsed="false">
      <c r="B8753" s="53"/>
      <c r="I8753" s="53"/>
      <c r="U8753" s="31" t="n">
        <f aca="false">IF($B8753='設定（最初に1回）'!$C$4,N(U8752)+1,N(U8752))</f>
        <v>134</v>
      </c>
    </row>
    <row r="8754" customFormat="false" ht="15" hidden="false" customHeight="false" outlineLevel="0" collapsed="false">
      <c r="B8754" s="53"/>
      <c r="I8754" s="53"/>
      <c r="U8754" s="31" t="n">
        <f aca="false">IF($B8754='設定（最初に1回）'!$C$4,N(U8753)+1,N(U8753))</f>
        <v>134</v>
      </c>
    </row>
    <row r="8755" customFormat="false" ht="15" hidden="false" customHeight="false" outlineLevel="0" collapsed="false">
      <c r="B8755" s="53"/>
      <c r="I8755" s="53"/>
      <c r="U8755" s="31" t="n">
        <f aca="false">IF($B8755='設定（最初に1回）'!$C$4,N(U8754)+1,N(U8754))</f>
        <v>134</v>
      </c>
    </row>
    <row r="8756" customFormat="false" ht="15" hidden="false" customHeight="false" outlineLevel="0" collapsed="false">
      <c r="B8756" s="53"/>
      <c r="I8756" s="53"/>
      <c r="U8756" s="31" t="n">
        <f aca="false">IF($B8756='設定（最初に1回）'!$C$4,N(U8755)+1,N(U8755))</f>
        <v>134</v>
      </c>
    </row>
    <row r="8757" customFormat="false" ht="15" hidden="false" customHeight="false" outlineLevel="0" collapsed="false">
      <c r="B8757" s="53"/>
      <c r="I8757" s="53"/>
      <c r="U8757" s="31" t="n">
        <f aca="false">IF($B8757='設定（最初に1回）'!$C$4,N(U8756)+1,N(U8756))</f>
        <v>134</v>
      </c>
    </row>
    <row r="8758" customFormat="false" ht="15" hidden="false" customHeight="false" outlineLevel="0" collapsed="false">
      <c r="B8758" s="53"/>
      <c r="I8758" s="53"/>
      <c r="U8758" s="31" t="n">
        <f aca="false">IF($B8758='設定（最初に1回）'!$C$4,N(U8757)+1,N(U8757))</f>
        <v>134</v>
      </c>
    </row>
    <row r="8759" customFormat="false" ht="15" hidden="false" customHeight="false" outlineLevel="0" collapsed="false">
      <c r="B8759" s="53"/>
      <c r="I8759" s="53"/>
      <c r="U8759" s="31" t="n">
        <f aca="false">IF($B8759='設定（最初に1回）'!$C$4,N(U8758)+1,N(U8758))</f>
        <v>134</v>
      </c>
    </row>
    <row r="8760" customFormat="false" ht="15" hidden="false" customHeight="false" outlineLevel="0" collapsed="false">
      <c r="B8760" s="53"/>
      <c r="I8760" s="53"/>
      <c r="U8760" s="31" t="n">
        <f aca="false">IF($B8760='設定（最初に1回）'!$C$4,N(U8759)+1,N(U8759))</f>
        <v>134</v>
      </c>
    </row>
    <row r="8761" customFormat="false" ht="15" hidden="false" customHeight="false" outlineLevel="0" collapsed="false">
      <c r="B8761" s="53"/>
      <c r="I8761" s="53"/>
      <c r="U8761" s="31" t="n">
        <f aca="false">IF($B8761='設定（最初に1回）'!$C$4,N(U8760)+1,N(U8760))</f>
        <v>134</v>
      </c>
    </row>
    <row r="8762" customFormat="false" ht="15" hidden="false" customHeight="false" outlineLevel="0" collapsed="false">
      <c r="B8762" s="53"/>
      <c r="I8762" s="53"/>
      <c r="U8762" s="31" t="n">
        <f aca="false">IF($B8762='設定（最初に1回）'!$C$4,N(U8761)+1,N(U8761))</f>
        <v>134</v>
      </c>
    </row>
    <row r="8763" customFormat="false" ht="15" hidden="false" customHeight="false" outlineLevel="0" collapsed="false">
      <c r="B8763" s="53"/>
      <c r="I8763" s="53"/>
      <c r="U8763" s="31" t="n">
        <f aca="false">IF($B8763='設定（最初に1回）'!$C$4,N(U8762)+1,N(U8762))</f>
        <v>134</v>
      </c>
    </row>
    <row r="8764" customFormat="false" ht="15" hidden="false" customHeight="false" outlineLevel="0" collapsed="false">
      <c r="B8764" s="53"/>
      <c r="I8764" s="53"/>
      <c r="U8764" s="31" t="n">
        <f aca="false">IF($B8764='設定（最初に1回）'!$C$4,N(U8763)+1,N(U8763))</f>
        <v>134</v>
      </c>
    </row>
    <row r="8765" customFormat="false" ht="15" hidden="false" customHeight="false" outlineLevel="0" collapsed="false">
      <c r="B8765" s="53"/>
      <c r="I8765" s="53"/>
      <c r="U8765" s="31" t="n">
        <f aca="false">IF($B8765='設定（最初に1回）'!$C$4,N(U8764)+1,N(U8764))</f>
        <v>134</v>
      </c>
    </row>
    <row r="8766" customFormat="false" ht="15" hidden="false" customHeight="false" outlineLevel="0" collapsed="false">
      <c r="B8766" s="53"/>
      <c r="I8766" s="53"/>
      <c r="U8766" s="31" t="n">
        <f aca="false">IF($B8766='設定（最初に1回）'!$C$4,N(U8765)+1,N(U8765))</f>
        <v>134</v>
      </c>
    </row>
    <row r="8767" customFormat="false" ht="15" hidden="false" customHeight="false" outlineLevel="0" collapsed="false">
      <c r="B8767" s="53"/>
      <c r="I8767" s="53"/>
      <c r="U8767" s="31" t="n">
        <f aca="false">IF($B8767='設定（最初に1回）'!$C$4,N(U8766)+1,N(U8766))</f>
        <v>134</v>
      </c>
    </row>
    <row r="8768" customFormat="false" ht="15" hidden="false" customHeight="false" outlineLevel="0" collapsed="false">
      <c r="B8768" s="53"/>
      <c r="I8768" s="53"/>
      <c r="U8768" s="31" t="n">
        <f aca="false">IF($B8768='設定（最初に1回）'!$C$4,N(U8767)+1,N(U8767))</f>
        <v>134</v>
      </c>
    </row>
    <row r="8769" customFormat="false" ht="15" hidden="false" customHeight="false" outlineLevel="0" collapsed="false">
      <c r="B8769" s="53"/>
      <c r="I8769" s="53"/>
      <c r="U8769" s="31" t="n">
        <f aca="false">IF($B8769='設定（最初に1回）'!$C$4,N(U8768)+1,N(U8768))</f>
        <v>134</v>
      </c>
    </row>
    <row r="8770" customFormat="false" ht="15" hidden="false" customHeight="false" outlineLevel="0" collapsed="false">
      <c r="B8770" s="53"/>
      <c r="I8770" s="53"/>
      <c r="U8770" s="31" t="n">
        <f aca="false">IF($B8770='設定（最初に1回）'!$C$4,N(U8769)+1,N(U8769))</f>
        <v>134</v>
      </c>
    </row>
    <row r="8771" customFormat="false" ht="15" hidden="false" customHeight="false" outlineLevel="0" collapsed="false">
      <c r="B8771" s="53"/>
      <c r="I8771" s="53"/>
      <c r="U8771" s="31" t="n">
        <f aca="false">IF($B8771='設定（最初に1回）'!$C$4,N(U8770)+1,N(U8770))</f>
        <v>134</v>
      </c>
    </row>
    <row r="8772" customFormat="false" ht="15" hidden="false" customHeight="false" outlineLevel="0" collapsed="false">
      <c r="B8772" s="53"/>
      <c r="I8772" s="53"/>
      <c r="U8772" s="31" t="n">
        <f aca="false">IF($B8772='設定（最初に1回）'!$C$4,N(U8771)+1,N(U8771))</f>
        <v>134</v>
      </c>
    </row>
    <row r="8773" customFormat="false" ht="15" hidden="false" customHeight="false" outlineLevel="0" collapsed="false">
      <c r="B8773" s="53"/>
      <c r="I8773" s="53"/>
      <c r="U8773" s="31" t="n">
        <f aca="false">IF($B8773='設定（最初に1回）'!$C$4,N(U8772)+1,N(U8772))</f>
        <v>134</v>
      </c>
    </row>
    <row r="8774" customFormat="false" ht="15" hidden="false" customHeight="false" outlineLevel="0" collapsed="false">
      <c r="B8774" s="53"/>
      <c r="I8774" s="53"/>
      <c r="U8774" s="31" t="n">
        <f aca="false">IF($B8774='設定（最初に1回）'!$C$4,N(U8773)+1,N(U8773))</f>
        <v>134</v>
      </c>
    </row>
    <row r="8775" customFormat="false" ht="15" hidden="false" customHeight="false" outlineLevel="0" collapsed="false">
      <c r="B8775" s="53"/>
      <c r="I8775" s="53"/>
      <c r="U8775" s="31" t="n">
        <f aca="false">IF($B8775='設定（最初に1回）'!$C$4,N(U8774)+1,N(U8774))</f>
        <v>134</v>
      </c>
    </row>
    <row r="8776" customFormat="false" ht="15" hidden="false" customHeight="false" outlineLevel="0" collapsed="false">
      <c r="B8776" s="53"/>
      <c r="I8776" s="53"/>
      <c r="U8776" s="31" t="n">
        <f aca="false">IF($B8776='設定（最初に1回）'!$C$4,N(U8775)+1,N(U8775))</f>
        <v>134</v>
      </c>
    </row>
    <row r="8777" customFormat="false" ht="15" hidden="false" customHeight="false" outlineLevel="0" collapsed="false">
      <c r="B8777" s="53"/>
      <c r="I8777" s="53"/>
      <c r="U8777" s="31" t="n">
        <f aca="false">IF($B8777='設定（最初に1回）'!$C$4,N(U8776)+1,N(U8776))</f>
        <v>134</v>
      </c>
    </row>
    <row r="8778" customFormat="false" ht="15" hidden="false" customHeight="false" outlineLevel="0" collapsed="false">
      <c r="B8778" s="53"/>
      <c r="I8778" s="53"/>
      <c r="U8778" s="31" t="n">
        <f aca="false">IF($B8778='設定（最初に1回）'!$C$4,N(U8777)+1,N(U8777))</f>
        <v>134</v>
      </c>
    </row>
    <row r="8779" customFormat="false" ht="15" hidden="false" customHeight="false" outlineLevel="0" collapsed="false">
      <c r="B8779" s="53"/>
      <c r="I8779" s="53"/>
      <c r="U8779" s="31" t="n">
        <f aca="false">IF($B8779='設定（最初に1回）'!$C$4,N(U8778)+1,N(U8778))</f>
        <v>134</v>
      </c>
    </row>
    <row r="8780" customFormat="false" ht="15" hidden="false" customHeight="false" outlineLevel="0" collapsed="false">
      <c r="B8780" s="53"/>
      <c r="I8780" s="53"/>
      <c r="U8780" s="31" t="n">
        <f aca="false">IF($B8780='設定（最初に1回）'!$C$4,N(U8779)+1,N(U8779))</f>
        <v>134</v>
      </c>
    </row>
    <row r="8781" customFormat="false" ht="15" hidden="false" customHeight="false" outlineLevel="0" collapsed="false">
      <c r="B8781" s="53"/>
      <c r="I8781" s="53"/>
      <c r="U8781" s="31" t="n">
        <f aca="false">IF($B8781='設定（最初に1回）'!$C$4,N(U8780)+1,N(U8780))</f>
        <v>134</v>
      </c>
    </row>
    <row r="8782" customFormat="false" ht="15" hidden="false" customHeight="false" outlineLevel="0" collapsed="false">
      <c r="B8782" s="53"/>
      <c r="I8782" s="53"/>
      <c r="U8782" s="31" t="n">
        <f aca="false">IF($B8782='設定（最初に1回）'!$C$4,N(U8781)+1,N(U8781))</f>
        <v>134</v>
      </c>
    </row>
    <row r="8783" customFormat="false" ht="15" hidden="false" customHeight="false" outlineLevel="0" collapsed="false">
      <c r="B8783" s="53"/>
      <c r="I8783" s="53"/>
      <c r="U8783" s="31" t="n">
        <f aca="false">IF($B8783='設定（最初に1回）'!$C$4,N(U8782)+1,N(U8782))</f>
        <v>134</v>
      </c>
    </row>
    <row r="8784" customFormat="false" ht="15" hidden="false" customHeight="false" outlineLevel="0" collapsed="false">
      <c r="B8784" s="53"/>
      <c r="I8784" s="53"/>
      <c r="U8784" s="31" t="n">
        <f aca="false">IF($B8784='設定（最初に1回）'!$C$4,N(U8783)+1,N(U8783))</f>
        <v>134</v>
      </c>
    </row>
    <row r="8785" customFormat="false" ht="15" hidden="false" customHeight="false" outlineLevel="0" collapsed="false">
      <c r="B8785" s="53"/>
      <c r="I8785" s="53"/>
      <c r="U8785" s="31" t="n">
        <f aca="false">IF($B8785='設定（最初に1回）'!$C$4,N(U8784)+1,N(U8784))</f>
        <v>134</v>
      </c>
    </row>
    <row r="8786" customFormat="false" ht="15" hidden="false" customHeight="false" outlineLevel="0" collapsed="false">
      <c r="B8786" s="53"/>
      <c r="I8786" s="53"/>
      <c r="U8786" s="31" t="n">
        <f aca="false">IF($B8786='設定（最初に1回）'!$C$4,N(U8785)+1,N(U8785))</f>
        <v>134</v>
      </c>
    </row>
    <row r="8787" customFormat="false" ht="15" hidden="false" customHeight="false" outlineLevel="0" collapsed="false">
      <c r="B8787" s="53"/>
      <c r="I8787" s="53"/>
      <c r="U8787" s="31" t="n">
        <f aca="false">IF($B8787='設定（最初に1回）'!$C$4,N(U8786)+1,N(U8786))</f>
        <v>134</v>
      </c>
    </row>
    <row r="8788" customFormat="false" ht="15" hidden="false" customHeight="false" outlineLevel="0" collapsed="false">
      <c r="B8788" s="53"/>
      <c r="I8788" s="53"/>
      <c r="U8788" s="31" t="n">
        <f aca="false">IF($B8788='設定（最初に1回）'!$C$4,N(U8787)+1,N(U8787))</f>
        <v>134</v>
      </c>
    </row>
    <row r="8789" customFormat="false" ht="15" hidden="false" customHeight="false" outlineLevel="0" collapsed="false">
      <c r="B8789" s="53"/>
      <c r="I8789" s="53"/>
      <c r="U8789" s="31" t="n">
        <f aca="false">IF($B8789='設定（最初に1回）'!$C$4,N(U8788)+1,N(U8788))</f>
        <v>134</v>
      </c>
    </row>
    <row r="8790" customFormat="false" ht="15" hidden="false" customHeight="false" outlineLevel="0" collapsed="false">
      <c r="B8790" s="53"/>
      <c r="I8790" s="53"/>
      <c r="U8790" s="31" t="n">
        <f aca="false">IF($B8790='設定（最初に1回）'!$C$4,N(U8789)+1,N(U8789))</f>
        <v>134</v>
      </c>
    </row>
    <row r="8791" customFormat="false" ht="15" hidden="false" customHeight="false" outlineLevel="0" collapsed="false">
      <c r="B8791" s="53"/>
      <c r="I8791" s="53"/>
      <c r="U8791" s="31" t="n">
        <f aca="false">IF($B8791='設定（最初に1回）'!$C$4,N(U8790)+1,N(U8790))</f>
        <v>134</v>
      </c>
    </row>
    <row r="8792" customFormat="false" ht="15" hidden="false" customHeight="false" outlineLevel="0" collapsed="false">
      <c r="B8792" s="53"/>
      <c r="I8792" s="53"/>
      <c r="U8792" s="31" t="n">
        <f aca="false">IF($B8792='設定（最初に1回）'!$C$4,N(U8791)+1,N(U8791))</f>
        <v>134</v>
      </c>
    </row>
    <row r="8793" customFormat="false" ht="15" hidden="false" customHeight="false" outlineLevel="0" collapsed="false">
      <c r="B8793" s="53"/>
      <c r="I8793" s="53"/>
      <c r="U8793" s="31" t="n">
        <f aca="false">IF($B8793='設定（最初に1回）'!$C$4,N(U8792)+1,N(U8792))</f>
        <v>134</v>
      </c>
    </row>
    <row r="8794" customFormat="false" ht="15" hidden="false" customHeight="false" outlineLevel="0" collapsed="false">
      <c r="B8794" s="53"/>
      <c r="I8794" s="53"/>
      <c r="U8794" s="31" t="n">
        <f aca="false">IF($B8794='設定（最初に1回）'!$C$4,N(U8793)+1,N(U8793))</f>
        <v>134</v>
      </c>
    </row>
    <row r="8795" customFormat="false" ht="15" hidden="false" customHeight="false" outlineLevel="0" collapsed="false">
      <c r="B8795" s="53"/>
      <c r="I8795" s="53"/>
      <c r="U8795" s="31" t="n">
        <f aca="false">IF($B8795='設定（最初に1回）'!$C$4,N(U8794)+1,N(U8794))</f>
        <v>134</v>
      </c>
    </row>
    <row r="8796" customFormat="false" ht="15" hidden="false" customHeight="false" outlineLevel="0" collapsed="false">
      <c r="B8796" s="53"/>
      <c r="I8796" s="53"/>
      <c r="U8796" s="31" t="n">
        <f aca="false">IF($B8796='設定（最初に1回）'!$C$4,N(U8795)+1,N(U8795))</f>
        <v>134</v>
      </c>
    </row>
    <row r="8797" customFormat="false" ht="15" hidden="false" customHeight="false" outlineLevel="0" collapsed="false">
      <c r="B8797" s="53"/>
      <c r="I8797" s="53"/>
      <c r="U8797" s="31" t="n">
        <f aca="false">IF($B8797='設定（最初に1回）'!$C$4,N(U8796)+1,N(U8796))</f>
        <v>134</v>
      </c>
    </row>
    <row r="8798" customFormat="false" ht="15" hidden="false" customHeight="false" outlineLevel="0" collapsed="false">
      <c r="B8798" s="53"/>
      <c r="I8798" s="53"/>
      <c r="U8798" s="31" t="n">
        <f aca="false">IF($B8798='設定（最初に1回）'!$C$4,N(U8797)+1,N(U8797))</f>
        <v>134</v>
      </c>
    </row>
    <row r="8799" customFormat="false" ht="15" hidden="false" customHeight="false" outlineLevel="0" collapsed="false">
      <c r="B8799" s="53"/>
      <c r="I8799" s="53"/>
      <c r="U8799" s="31" t="n">
        <f aca="false">IF($B8799='設定（最初に1回）'!$C$4,N(U8798)+1,N(U8798))</f>
        <v>134</v>
      </c>
    </row>
    <row r="8800" customFormat="false" ht="15" hidden="false" customHeight="false" outlineLevel="0" collapsed="false">
      <c r="B8800" s="53"/>
      <c r="I8800" s="53"/>
      <c r="U8800" s="31" t="n">
        <f aca="false">IF($B8800='設定（最初に1回）'!$C$4,N(U8799)+1,N(U8799))</f>
        <v>134</v>
      </c>
    </row>
    <row r="8801" customFormat="false" ht="15" hidden="false" customHeight="false" outlineLevel="0" collapsed="false">
      <c r="B8801" s="53"/>
      <c r="I8801" s="53"/>
      <c r="U8801" s="31" t="n">
        <f aca="false">IF($B8801='設定（最初に1回）'!$C$4,N(U8800)+1,N(U8800))</f>
        <v>134</v>
      </c>
    </row>
    <row r="8802" customFormat="false" ht="15" hidden="false" customHeight="false" outlineLevel="0" collapsed="false">
      <c r="B8802" s="53"/>
      <c r="I8802" s="53"/>
      <c r="U8802" s="31" t="n">
        <f aca="false">IF($B8802='設定（最初に1回）'!$C$4,N(U8801)+1,N(U8801))</f>
        <v>134</v>
      </c>
    </row>
    <row r="8803" customFormat="false" ht="15" hidden="false" customHeight="false" outlineLevel="0" collapsed="false">
      <c r="B8803" s="53"/>
      <c r="I8803" s="53"/>
      <c r="U8803" s="31" t="n">
        <f aca="false">IF($B8803='設定（最初に1回）'!$C$4,N(U8802)+1,N(U8802))</f>
        <v>134</v>
      </c>
    </row>
    <row r="8804" customFormat="false" ht="15" hidden="false" customHeight="false" outlineLevel="0" collapsed="false">
      <c r="B8804" s="53"/>
      <c r="I8804" s="53"/>
      <c r="U8804" s="31" t="n">
        <f aca="false">IF($B8804='設定（最初に1回）'!$C$4,N(U8803)+1,N(U8803))</f>
        <v>134</v>
      </c>
    </row>
    <row r="8805" customFormat="false" ht="15" hidden="false" customHeight="false" outlineLevel="0" collapsed="false">
      <c r="B8805" s="53"/>
      <c r="I8805" s="53"/>
      <c r="U8805" s="31" t="n">
        <f aca="false">IF($B8805='設定（最初に1回）'!$C$4,N(U8804)+1,N(U8804))</f>
        <v>134</v>
      </c>
    </row>
    <row r="8806" customFormat="false" ht="15" hidden="false" customHeight="false" outlineLevel="0" collapsed="false">
      <c r="B8806" s="53"/>
      <c r="I8806" s="53"/>
      <c r="U8806" s="31" t="n">
        <f aca="false">IF($B8806='設定（最初に1回）'!$C$4,N(U8805)+1,N(U8805))</f>
        <v>134</v>
      </c>
    </row>
    <row r="8807" customFormat="false" ht="15" hidden="false" customHeight="false" outlineLevel="0" collapsed="false">
      <c r="B8807" s="53"/>
      <c r="I8807" s="53"/>
      <c r="U8807" s="31" t="n">
        <f aca="false">IF($B8807='設定（最初に1回）'!$C$4,N(U8806)+1,N(U8806))</f>
        <v>134</v>
      </c>
    </row>
    <row r="8808" customFormat="false" ht="15" hidden="false" customHeight="false" outlineLevel="0" collapsed="false">
      <c r="B8808" s="53"/>
      <c r="I8808" s="53"/>
      <c r="U8808" s="31" t="n">
        <f aca="false">IF($B8808='設定（最初に1回）'!$C$4,N(U8807)+1,N(U8807))</f>
        <v>134</v>
      </c>
    </row>
    <row r="8809" customFormat="false" ht="15" hidden="false" customHeight="false" outlineLevel="0" collapsed="false">
      <c r="B8809" s="53"/>
      <c r="I8809" s="53"/>
      <c r="U8809" s="31" t="n">
        <f aca="false">IF($B8809='設定（最初に1回）'!$C$4,N(U8808)+1,N(U8808))</f>
        <v>134</v>
      </c>
    </row>
    <row r="8810" customFormat="false" ht="15" hidden="false" customHeight="false" outlineLevel="0" collapsed="false">
      <c r="B8810" s="53"/>
      <c r="I8810" s="53"/>
      <c r="U8810" s="31" t="n">
        <f aca="false">IF($B8810='設定（最初に1回）'!$C$4,N(U8809)+1,N(U8809))</f>
        <v>134</v>
      </c>
    </row>
    <row r="8811" customFormat="false" ht="15" hidden="false" customHeight="false" outlineLevel="0" collapsed="false">
      <c r="B8811" s="53"/>
      <c r="I8811" s="53"/>
      <c r="U8811" s="31" t="n">
        <f aca="false">IF($B8811='設定（最初に1回）'!$C$4,N(U8810)+1,N(U8810))</f>
        <v>134</v>
      </c>
    </row>
    <row r="8812" customFormat="false" ht="15" hidden="false" customHeight="false" outlineLevel="0" collapsed="false">
      <c r="B8812" s="53"/>
      <c r="I8812" s="53"/>
      <c r="U8812" s="31" t="n">
        <f aca="false">IF($B8812='設定（最初に1回）'!$C$4,N(U8811)+1,N(U8811))</f>
        <v>134</v>
      </c>
    </row>
    <row r="8813" customFormat="false" ht="15" hidden="false" customHeight="false" outlineLevel="0" collapsed="false">
      <c r="B8813" s="53"/>
      <c r="I8813" s="53"/>
      <c r="U8813" s="31" t="n">
        <f aca="false">IF($B8813='設定（最初に1回）'!$C$4,N(U8812)+1,N(U8812))</f>
        <v>134</v>
      </c>
    </row>
    <row r="8814" customFormat="false" ht="15" hidden="false" customHeight="false" outlineLevel="0" collapsed="false">
      <c r="B8814" s="53"/>
      <c r="I8814" s="53"/>
      <c r="U8814" s="31" t="n">
        <f aca="false">IF($B8814='設定（最初に1回）'!$C$4,N(U8813)+1,N(U8813))</f>
        <v>134</v>
      </c>
    </row>
    <row r="8815" customFormat="false" ht="15" hidden="false" customHeight="false" outlineLevel="0" collapsed="false">
      <c r="B8815" s="53"/>
      <c r="I8815" s="53"/>
      <c r="U8815" s="31" t="n">
        <f aca="false">IF($B8815='設定（最初に1回）'!$C$4,N(U8814)+1,N(U8814))</f>
        <v>134</v>
      </c>
    </row>
    <row r="8816" customFormat="false" ht="15" hidden="false" customHeight="false" outlineLevel="0" collapsed="false">
      <c r="B8816" s="53"/>
      <c r="I8816" s="53"/>
      <c r="U8816" s="31" t="n">
        <f aca="false">IF($B8816='設定（最初に1回）'!$C$4,N(U8815)+1,N(U8815))</f>
        <v>134</v>
      </c>
    </row>
    <row r="8817" customFormat="false" ht="15" hidden="false" customHeight="false" outlineLevel="0" collapsed="false">
      <c r="B8817" s="53"/>
      <c r="I8817" s="53"/>
      <c r="U8817" s="31" t="n">
        <f aca="false">IF($B8817='設定（最初に1回）'!$C$4,N(U8816)+1,N(U8816))</f>
        <v>134</v>
      </c>
    </row>
    <row r="8818" customFormat="false" ht="15" hidden="false" customHeight="false" outlineLevel="0" collapsed="false">
      <c r="B8818" s="53"/>
      <c r="I8818" s="53"/>
      <c r="U8818" s="31" t="n">
        <f aca="false">IF($B8818='設定（最初に1回）'!$C$4,N(U8817)+1,N(U8817))</f>
        <v>134</v>
      </c>
    </row>
    <row r="8819" customFormat="false" ht="15" hidden="false" customHeight="false" outlineLevel="0" collapsed="false">
      <c r="B8819" s="53"/>
      <c r="I8819" s="53"/>
      <c r="U8819" s="31" t="n">
        <f aca="false">IF($B8819='設定（最初に1回）'!$C$4,N(U8818)+1,N(U8818))</f>
        <v>134</v>
      </c>
    </row>
    <row r="8820" customFormat="false" ht="15" hidden="false" customHeight="false" outlineLevel="0" collapsed="false">
      <c r="B8820" s="53"/>
      <c r="I8820" s="53"/>
      <c r="U8820" s="31" t="n">
        <f aca="false">IF($B8820='設定（最初に1回）'!$C$4,N(U8819)+1,N(U8819))</f>
        <v>134</v>
      </c>
    </row>
    <row r="8821" customFormat="false" ht="15" hidden="false" customHeight="false" outlineLevel="0" collapsed="false">
      <c r="B8821" s="53"/>
      <c r="I8821" s="53"/>
      <c r="U8821" s="31" t="n">
        <f aca="false">IF($B8821='設定（最初に1回）'!$C$4,N(U8820)+1,N(U8820))</f>
        <v>134</v>
      </c>
    </row>
    <row r="8822" customFormat="false" ht="15" hidden="false" customHeight="false" outlineLevel="0" collapsed="false">
      <c r="B8822" s="53"/>
      <c r="I8822" s="53"/>
      <c r="U8822" s="31" t="n">
        <f aca="false">IF($B8822='設定（最初に1回）'!$C$4,N(U8821)+1,N(U8821))</f>
        <v>134</v>
      </c>
    </row>
    <row r="8823" customFormat="false" ht="15" hidden="false" customHeight="false" outlineLevel="0" collapsed="false">
      <c r="B8823" s="53"/>
      <c r="I8823" s="53"/>
      <c r="U8823" s="31" t="n">
        <f aca="false">IF($B8823='設定（最初に1回）'!$C$4,N(U8822)+1,N(U8822))</f>
        <v>134</v>
      </c>
    </row>
    <row r="8824" customFormat="false" ht="15" hidden="false" customHeight="false" outlineLevel="0" collapsed="false">
      <c r="B8824" s="53"/>
      <c r="I8824" s="53"/>
      <c r="U8824" s="31" t="n">
        <f aca="false">IF($B8824='設定（最初に1回）'!$C$4,N(U8823)+1,N(U8823))</f>
        <v>134</v>
      </c>
    </row>
    <row r="8825" customFormat="false" ht="15" hidden="false" customHeight="false" outlineLevel="0" collapsed="false">
      <c r="B8825" s="53"/>
      <c r="I8825" s="53"/>
      <c r="U8825" s="31" t="n">
        <f aca="false">IF($B8825='設定（最初に1回）'!$C$4,N(U8824)+1,N(U8824))</f>
        <v>134</v>
      </c>
    </row>
    <row r="8826" customFormat="false" ht="15" hidden="false" customHeight="false" outlineLevel="0" collapsed="false">
      <c r="B8826" s="53"/>
      <c r="I8826" s="53"/>
      <c r="U8826" s="31" t="n">
        <f aca="false">IF($B8826='設定（最初に1回）'!$C$4,N(U8825)+1,N(U8825))</f>
        <v>134</v>
      </c>
    </row>
    <row r="8827" customFormat="false" ht="15" hidden="false" customHeight="false" outlineLevel="0" collapsed="false">
      <c r="B8827" s="53"/>
      <c r="I8827" s="53"/>
      <c r="U8827" s="31" t="n">
        <f aca="false">IF($B8827='設定（最初に1回）'!$C$4,N(U8826)+1,N(U8826))</f>
        <v>134</v>
      </c>
    </row>
    <row r="8828" customFormat="false" ht="15" hidden="false" customHeight="false" outlineLevel="0" collapsed="false">
      <c r="B8828" s="53"/>
      <c r="I8828" s="53"/>
      <c r="U8828" s="31" t="n">
        <f aca="false">IF($B8828='設定（最初に1回）'!$C$4,N(U8827)+1,N(U8827))</f>
        <v>134</v>
      </c>
    </row>
    <row r="8829" customFormat="false" ht="15" hidden="false" customHeight="false" outlineLevel="0" collapsed="false">
      <c r="B8829" s="53"/>
      <c r="I8829" s="53"/>
      <c r="U8829" s="31" t="n">
        <f aca="false">IF($B8829='設定（最初に1回）'!$C$4,N(U8828)+1,N(U8828))</f>
        <v>134</v>
      </c>
    </row>
    <row r="8830" customFormat="false" ht="15" hidden="false" customHeight="false" outlineLevel="0" collapsed="false">
      <c r="B8830" s="53"/>
      <c r="I8830" s="53"/>
      <c r="U8830" s="31" t="n">
        <f aca="false">IF($B8830='設定（最初に1回）'!$C$4,N(U8829)+1,N(U8829))</f>
        <v>134</v>
      </c>
    </row>
    <row r="8831" customFormat="false" ht="15" hidden="false" customHeight="false" outlineLevel="0" collapsed="false">
      <c r="B8831" s="53"/>
      <c r="I8831" s="53"/>
      <c r="U8831" s="31" t="n">
        <f aca="false">IF($B8831='設定（最初に1回）'!$C$4,N(U8830)+1,N(U8830))</f>
        <v>134</v>
      </c>
    </row>
    <row r="8832" customFormat="false" ht="15" hidden="false" customHeight="false" outlineLevel="0" collapsed="false">
      <c r="B8832" s="53"/>
      <c r="I8832" s="53"/>
      <c r="U8832" s="31" t="n">
        <f aca="false">IF($B8832='設定（最初に1回）'!$C$4,N(U8831)+1,N(U8831))</f>
        <v>134</v>
      </c>
    </row>
    <row r="8833" customFormat="false" ht="15" hidden="false" customHeight="false" outlineLevel="0" collapsed="false">
      <c r="B8833" s="53"/>
      <c r="I8833" s="53"/>
      <c r="U8833" s="31" t="n">
        <f aca="false">IF($B8833='設定（最初に1回）'!$C$4,N(U8832)+1,N(U8832))</f>
        <v>134</v>
      </c>
    </row>
    <row r="8834" customFormat="false" ht="15" hidden="false" customHeight="false" outlineLevel="0" collapsed="false">
      <c r="B8834" s="53"/>
      <c r="I8834" s="53"/>
      <c r="U8834" s="31" t="n">
        <f aca="false">IF($B8834='設定（最初に1回）'!$C$4,N(U8833)+1,N(U8833))</f>
        <v>134</v>
      </c>
    </row>
    <row r="8835" customFormat="false" ht="15" hidden="false" customHeight="false" outlineLevel="0" collapsed="false">
      <c r="B8835" s="53"/>
      <c r="I8835" s="53"/>
      <c r="U8835" s="31" t="n">
        <f aca="false">IF($B8835='設定（最初に1回）'!$C$4,N(U8834)+1,N(U8834))</f>
        <v>134</v>
      </c>
    </row>
    <row r="8836" customFormat="false" ht="15" hidden="false" customHeight="false" outlineLevel="0" collapsed="false">
      <c r="B8836" s="53"/>
      <c r="I8836" s="53"/>
      <c r="U8836" s="31" t="n">
        <f aca="false">IF($B8836='設定（最初に1回）'!$C$4,N(U8835)+1,N(U8835))</f>
        <v>134</v>
      </c>
    </row>
    <row r="8837" customFormat="false" ht="15" hidden="false" customHeight="false" outlineLevel="0" collapsed="false">
      <c r="B8837" s="53"/>
      <c r="I8837" s="53"/>
      <c r="U8837" s="31" t="n">
        <f aca="false">IF($B8837='設定（最初に1回）'!$C$4,N(U8836)+1,N(U8836))</f>
        <v>134</v>
      </c>
    </row>
    <row r="8838" customFormat="false" ht="15" hidden="false" customHeight="false" outlineLevel="0" collapsed="false">
      <c r="B8838" s="53"/>
      <c r="I8838" s="53"/>
      <c r="U8838" s="31" t="n">
        <f aca="false">IF($B8838='設定（最初に1回）'!$C$4,N(U8837)+1,N(U8837))</f>
        <v>134</v>
      </c>
    </row>
    <row r="8839" customFormat="false" ht="15" hidden="false" customHeight="false" outlineLevel="0" collapsed="false">
      <c r="B8839" s="53"/>
      <c r="I8839" s="53"/>
      <c r="U8839" s="31" t="n">
        <f aca="false">IF($B8839='設定（最初に1回）'!$C$4,N(U8838)+1,N(U8838))</f>
        <v>134</v>
      </c>
    </row>
    <row r="8840" customFormat="false" ht="15" hidden="false" customHeight="false" outlineLevel="0" collapsed="false">
      <c r="B8840" s="53"/>
      <c r="I8840" s="53"/>
      <c r="U8840" s="31" t="n">
        <f aca="false">IF($B8840='設定（最初に1回）'!$C$4,N(U8839)+1,N(U8839))</f>
        <v>134</v>
      </c>
    </row>
    <row r="8841" customFormat="false" ht="15" hidden="false" customHeight="false" outlineLevel="0" collapsed="false">
      <c r="B8841" s="53"/>
      <c r="I8841" s="53"/>
      <c r="U8841" s="31" t="n">
        <f aca="false">IF($B8841='設定（最初に1回）'!$C$4,N(U8840)+1,N(U8840))</f>
        <v>134</v>
      </c>
    </row>
    <row r="8842" customFormat="false" ht="15" hidden="false" customHeight="false" outlineLevel="0" collapsed="false">
      <c r="B8842" s="53"/>
      <c r="I8842" s="53"/>
      <c r="U8842" s="31" t="n">
        <f aca="false">IF($B8842='設定（最初に1回）'!$C$4,N(U8841)+1,N(U8841))</f>
        <v>134</v>
      </c>
    </row>
    <row r="8843" customFormat="false" ht="15" hidden="false" customHeight="false" outlineLevel="0" collapsed="false">
      <c r="B8843" s="53"/>
      <c r="I8843" s="53"/>
      <c r="U8843" s="31" t="n">
        <f aca="false">IF($B8843='設定（最初に1回）'!$C$4,N(U8842)+1,N(U8842))</f>
        <v>134</v>
      </c>
    </row>
    <row r="8844" customFormat="false" ht="15" hidden="false" customHeight="false" outlineLevel="0" collapsed="false">
      <c r="B8844" s="53"/>
      <c r="I8844" s="53"/>
      <c r="U8844" s="31" t="n">
        <f aca="false">IF($B8844='設定（最初に1回）'!$C$4,N(U8843)+1,N(U8843))</f>
        <v>134</v>
      </c>
    </row>
    <row r="8845" customFormat="false" ht="15" hidden="false" customHeight="false" outlineLevel="0" collapsed="false">
      <c r="B8845" s="53"/>
      <c r="I8845" s="53"/>
      <c r="U8845" s="31" t="n">
        <f aca="false">IF($B8845='設定（最初に1回）'!$C$4,N(U8844)+1,N(U8844))</f>
        <v>134</v>
      </c>
    </row>
    <row r="8846" customFormat="false" ht="15" hidden="false" customHeight="false" outlineLevel="0" collapsed="false">
      <c r="B8846" s="53"/>
      <c r="I8846" s="53"/>
      <c r="U8846" s="31" t="n">
        <f aca="false">IF($B8846='設定（最初に1回）'!$C$4,N(U8845)+1,N(U8845))</f>
        <v>134</v>
      </c>
    </row>
    <row r="8847" customFormat="false" ht="15" hidden="false" customHeight="false" outlineLevel="0" collapsed="false">
      <c r="B8847" s="53"/>
      <c r="I8847" s="53"/>
      <c r="U8847" s="31" t="n">
        <f aca="false">IF($B8847='設定（最初に1回）'!$C$4,N(U8846)+1,N(U8846))</f>
        <v>134</v>
      </c>
    </row>
    <row r="8848" customFormat="false" ht="15" hidden="false" customHeight="false" outlineLevel="0" collapsed="false">
      <c r="B8848" s="53"/>
      <c r="I8848" s="53"/>
      <c r="U8848" s="31" t="n">
        <f aca="false">IF($B8848='設定（最初に1回）'!$C$4,N(U8847)+1,N(U8847))</f>
        <v>134</v>
      </c>
    </row>
    <row r="8849" customFormat="false" ht="15" hidden="false" customHeight="false" outlineLevel="0" collapsed="false">
      <c r="B8849" s="53"/>
      <c r="I8849" s="53"/>
      <c r="U8849" s="31" t="n">
        <f aca="false">IF($B8849='設定（最初に1回）'!$C$4,N(U8848)+1,N(U8848))</f>
        <v>134</v>
      </c>
    </row>
    <row r="8850" customFormat="false" ht="15" hidden="false" customHeight="false" outlineLevel="0" collapsed="false">
      <c r="B8850" s="53"/>
      <c r="I8850" s="53"/>
      <c r="U8850" s="31" t="n">
        <f aca="false">IF($B8850='設定（最初に1回）'!$C$4,N(U8849)+1,N(U8849))</f>
        <v>134</v>
      </c>
    </row>
    <row r="8851" customFormat="false" ht="15" hidden="false" customHeight="false" outlineLevel="0" collapsed="false">
      <c r="B8851" s="53"/>
      <c r="I8851" s="53"/>
      <c r="U8851" s="31" t="n">
        <f aca="false">IF($B8851='設定（最初に1回）'!$C$4,N(U8850)+1,N(U8850))</f>
        <v>134</v>
      </c>
    </row>
    <row r="8852" customFormat="false" ht="15" hidden="false" customHeight="false" outlineLevel="0" collapsed="false">
      <c r="B8852" s="53"/>
      <c r="I8852" s="53"/>
      <c r="U8852" s="31" t="n">
        <f aca="false">IF($B8852='設定（最初に1回）'!$C$4,N(U8851)+1,N(U8851))</f>
        <v>134</v>
      </c>
    </row>
    <row r="8853" customFormat="false" ht="15" hidden="false" customHeight="false" outlineLevel="0" collapsed="false">
      <c r="B8853" s="53"/>
      <c r="I8853" s="53"/>
      <c r="U8853" s="31" t="n">
        <f aca="false">IF($B8853='設定（最初に1回）'!$C$4,N(U8852)+1,N(U8852))</f>
        <v>134</v>
      </c>
    </row>
    <row r="8854" customFormat="false" ht="15" hidden="false" customHeight="false" outlineLevel="0" collapsed="false">
      <c r="B8854" s="53"/>
      <c r="I8854" s="53"/>
      <c r="U8854" s="31" t="n">
        <f aca="false">IF($B8854='設定（最初に1回）'!$C$4,N(U8853)+1,N(U8853))</f>
        <v>134</v>
      </c>
    </row>
    <row r="8855" customFormat="false" ht="15" hidden="false" customHeight="false" outlineLevel="0" collapsed="false">
      <c r="B8855" s="53"/>
      <c r="I8855" s="53"/>
      <c r="U8855" s="31" t="n">
        <f aca="false">IF($B8855='設定（最初に1回）'!$C$4,N(U8854)+1,N(U8854))</f>
        <v>134</v>
      </c>
    </row>
    <row r="8856" customFormat="false" ht="15" hidden="false" customHeight="false" outlineLevel="0" collapsed="false">
      <c r="B8856" s="53"/>
      <c r="I8856" s="53"/>
      <c r="U8856" s="31" t="n">
        <f aca="false">IF($B8856='設定（最初に1回）'!$C$4,N(U8855)+1,N(U8855))</f>
        <v>134</v>
      </c>
    </row>
    <row r="8857" customFormat="false" ht="15" hidden="false" customHeight="false" outlineLevel="0" collapsed="false">
      <c r="B8857" s="53"/>
      <c r="I8857" s="53"/>
      <c r="U8857" s="31" t="n">
        <f aca="false">IF($B8857='設定（最初に1回）'!$C$4,N(U8856)+1,N(U8856))</f>
        <v>134</v>
      </c>
    </row>
    <row r="8858" customFormat="false" ht="15" hidden="false" customHeight="false" outlineLevel="0" collapsed="false">
      <c r="B8858" s="53"/>
      <c r="I8858" s="53"/>
      <c r="U8858" s="31" t="n">
        <f aca="false">IF($B8858='設定（最初に1回）'!$C$4,N(U8857)+1,N(U8857))</f>
        <v>134</v>
      </c>
    </row>
    <row r="8859" customFormat="false" ht="15" hidden="false" customHeight="false" outlineLevel="0" collapsed="false">
      <c r="B8859" s="53"/>
      <c r="I8859" s="53"/>
      <c r="U8859" s="31" t="n">
        <f aca="false">IF($B8859='設定（最初に1回）'!$C$4,N(U8858)+1,N(U8858))</f>
        <v>134</v>
      </c>
    </row>
    <row r="8860" customFormat="false" ht="15" hidden="false" customHeight="false" outlineLevel="0" collapsed="false">
      <c r="B8860" s="53"/>
      <c r="I8860" s="53"/>
      <c r="U8860" s="31" t="n">
        <f aca="false">IF($B8860='設定（最初に1回）'!$C$4,N(U8859)+1,N(U8859))</f>
        <v>134</v>
      </c>
    </row>
    <row r="8861" customFormat="false" ht="15" hidden="false" customHeight="false" outlineLevel="0" collapsed="false">
      <c r="B8861" s="53"/>
      <c r="I8861" s="53"/>
      <c r="U8861" s="31" t="n">
        <f aca="false">IF($B8861='設定（最初に1回）'!$C$4,N(U8860)+1,N(U8860))</f>
        <v>134</v>
      </c>
    </row>
    <row r="8862" customFormat="false" ht="15" hidden="false" customHeight="false" outlineLevel="0" collapsed="false">
      <c r="B8862" s="53"/>
      <c r="I8862" s="53"/>
      <c r="U8862" s="31" t="n">
        <f aca="false">IF($B8862='設定（最初に1回）'!$C$4,N(U8861)+1,N(U8861))</f>
        <v>134</v>
      </c>
    </row>
    <row r="8863" customFormat="false" ht="15" hidden="false" customHeight="false" outlineLevel="0" collapsed="false">
      <c r="B8863" s="53"/>
      <c r="I8863" s="53"/>
      <c r="U8863" s="31" t="n">
        <f aca="false">IF($B8863='設定（最初に1回）'!$C$4,N(U8862)+1,N(U8862))</f>
        <v>134</v>
      </c>
    </row>
    <row r="8864" customFormat="false" ht="15" hidden="false" customHeight="false" outlineLevel="0" collapsed="false">
      <c r="B8864" s="53"/>
      <c r="I8864" s="53"/>
      <c r="U8864" s="31" t="n">
        <f aca="false">IF($B8864='設定（最初に1回）'!$C$4,N(U8863)+1,N(U8863))</f>
        <v>134</v>
      </c>
    </row>
    <row r="8865" customFormat="false" ht="15" hidden="false" customHeight="false" outlineLevel="0" collapsed="false">
      <c r="B8865" s="53"/>
      <c r="I8865" s="53"/>
      <c r="U8865" s="31" t="n">
        <f aca="false">IF($B8865='設定（最初に1回）'!$C$4,N(U8864)+1,N(U8864))</f>
        <v>134</v>
      </c>
    </row>
    <row r="8866" customFormat="false" ht="15" hidden="false" customHeight="false" outlineLevel="0" collapsed="false">
      <c r="B8866" s="53"/>
      <c r="I8866" s="53"/>
      <c r="U8866" s="31" t="n">
        <f aca="false">IF($B8866='設定（最初に1回）'!$C$4,N(U8865)+1,N(U8865))</f>
        <v>134</v>
      </c>
    </row>
    <row r="8867" customFormat="false" ht="15" hidden="false" customHeight="false" outlineLevel="0" collapsed="false">
      <c r="B8867" s="53"/>
      <c r="I8867" s="53"/>
      <c r="U8867" s="31" t="n">
        <f aca="false">IF($B8867='設定（最初に1回）'!$C$4,N(U8866)+1,N(U8866))</f>
        <v>134</v>
      </c>
    </row>
    <row r="8868" customFormat="false" ht="15" hidden="false" customHeight="false" outlineLevel="0" collapsed="false">
      <c r="B8868" s="53"/>
      <c r="I8868" s="53"/>
      <c r="U8868" s="31" t="n">
        <f aca="false">IF($B8868='設定（最初に1回）'!$C$4,N(U8867)+1,N(U8867))</f>
        <v>134</v>
      </c>
    </row>
    <row r="8869" customFormat="false" ht="15" hidden="false" customHeight="false" outlineLevel="0" collapsed="false">
      <c r="B8869" s="53"/>
      <c r="I8869" s="53"/>
      <c r="U8869" s="31" t="n">
        <f aca="false">IF($B8869='設定（最初に1回）'!$C$4,N(U8868)+1,N(U8868))</f>
        <v>134</v>
      </c>
    </row>
    <row r="8870" customFormat="false" ht="15" hidden="false" customHeight="false" outlineLevel="0" collapsed="false">
      <c r="B8870" s="53"/>
      <c r="I8870" s="53"/>
      <c r="U8870" s="31" t="n">
        <f aca="false">IF($B8870='設定（最初に1回）'!$C$4,N(U8869)+1,N(U8869))</f>
        <v>134</v>
      </c>
    </row>
    <row r="8871" customFormat="false" ht="15" hidden="false" customHeight="false" outlineLevel="0" collapsed="false">
      <c r="B8871" s="53"/>
      <c r="I8871" s="53"/>
      <c r="U8871" s="31" t="n">
        <f aca="false">IF($B8871='設定（最初に1回）'!$C$4,N(U8870)+1,N(U8870))</f>
        <v>134</v>
      </c>
    </row>
    <row r="8872" customFormat="false" ht="15" hidden="false" customHeight="false" outlineLevel="0" collapsed="false">
      <c r="B8872" s="53"/>
      <c r="I8872" s="53"/>
      <c r="U8872" s="31" t="n">
        <f aca="false">IF($B8872='設定（最初に1回）'!$C$4,N(U8871)+1,N(U8871))</f>
        <v>134</v>
      </c>
    </row>
    <row r="8873" customFormat="false" ht="15" hidden="false" customHeight="false" outlineLevel="0" collapsed="false">
      <c r="B8873" s="53"/>
      <c r="I8873" s="53"/>
      <c r="U8873" s="31" t="n">
        <f aca="false">IF($B8873='設定（最初に1回）'!$C$4,N(U8872)+1,N(U8872))</f>
        <v>134</v>
      </c>
    </row>
    <row r="8874" customFormat="false" ht="15" hidden="false" customHeight="false" outlineLevel="0" collapsed="false">
      <c r="B8874" s="53"/>
      <c r="I8874" s="53"/>
      <c r="U8874" s="31" t="n">
        <f aca="false">IF($B8874='設定（最初に1回）'!$C$4,N(U8873)+1,N(U8873))</f>
        <v>134</v>
      </c>
    </row>
    <row r="8875" customFormat="false" ht="15" hidden="false" customHeight="false" outlineLevel="0" collapsed="false">
      <c r="B8875" s="53"/>
      <c r="I8875" s="53"/>
      <c r="U8875" s="31" t="n">
        <f aca="false">IF($B8875='設定（最初に1回）'!$C$4,N(U8874)+1,N(U8874))</f>
        <v>134</v>
      </c>
    </row>
    <row r="8876" customFormat="false" ht="15" hidden="false" customHeight="false" outlineLevel="0" collapsed="false">
      <c r="B8876" s="53"/>
      <c r="I8876" s="53"/>
      <c r="U8876" s="31" t="n">
        <f aca="false">IF($B8876='設定（最初に1回）'!$C$4,N(U8875)+1,N(U8875))</f>
        <v>134</v>
      </c>
    </row>
    <row r="8877" customFormat="false" ht="15" hidden="false" customHeight="false" outlineLevel="0" collapsed="false">
      <c r="B8877" s="53"/>
      <c r="I8877" s="53"/>
      <c r="U8877" s="31" t="n">
        <f aca="false">IF($B8877='設定（最初に1回）'!$C$4,N(U8876)+1,N(U8876))</f>
        <v>134</v>
      </c>
    </row>
    <row r="8878" customFormat="false" ht="15" hidden="false" customHeight="false" outlineLevel="0" collapsed="false">
      <c r="B8878" s="53"/>
      <c r="I8878" s="53"/>
      <c r="U8878" s="31" t="n">
        <f aca="false">IF($B8878='設定（最初に1回）'!$C$4,N(U8877)+1,N(U8877))</f>
        <v>134</v>
      </c>
    </row>
    <row r="8879" customFormat="false" ht="15" hidden="false" customHeight="false" outlineLevel="0" collapsed="false">
      <c r="B8879" s="53"/>
      <c r="I8879" s="53"/>
      <c r="U8879" s="31" t="n">
        <f aca="false">IF($B8879='設定（最初に1回）'!$C$4,N(U8878)+1,N(U8878))</f>
        <v>134</v>
      </c>
    </row>
    <row r="8880" customFormat="false" ht="15" hidden="false" customHeight="false" outlineLevel="0" collapsed="false">
      <c r="B8880" s="53"/>
      <c r="I8880" s="53"/>
      <c r="U8880" s="31" t="n">
        <f aca="false">IF($B8880='設定（最初に1回）'!$C$4,N(U8879)+1,N(U8879))</f>
        <v>134</v>
      </c>
    </row>
    <row r="8881" customFormat="false" ht="15" hidden="false" customHeight="false" outlineLevel="0" collapsed="false">
      <c r="B8881" s="53"/>
      <c r="I8881" s="53"/>
      <c r="U8881" s="31" t="n">
        <f aca="false">IF($B8881='設定（最初に1回）'!$C$4,N(U8880)+1,N(U8880))</f>
        <v>134</v>
      </c>
    </row>
    <row r="8882" customFormat="false" ht="15" hidden="false" customHeight="false" outlineLevel="0" collapsed="false">
      <c r="B8882" s="53"/>
      <c r="I8882" s="53"/>
      <c r="U8882" s="31" t="n">
        <f aca="false">IF($B8882='設定（最初に1回）'!$C$4,N(U8881)+1,N(U8881))</f>
        <v>134</v>
      </c>
    </row>
    <row r="8883" customFormat="false" ht="15" hidden="false" customHeight="false" outlineLevel="0" collapsed="false">
      <c r="B8883" s="53"/>
      <c r="I8883" s="53"/>
      <c r="U8883" s="31" t="n">
        <f aca="false">IF($B8883='設定（最初に1回）'!$C$4,N(U8882)+1,N(U8882))</f>
        <v>134</v>
      </c>
    </row>
    <row r="8884" customFormat="false" ht="15" hidden="false" customHeight="false" outlineLevel="0" collapsed="false">
      <c r="B8884" s="53"/>
      <c r="I8884" s="53"/>
      <c r="U8884" s="31" t="n">
        <f aca="false">IF($B8884='設定（最初に1回）'!$C$4,N(U8883)+1,N(U8883))</f>
        <v>134</v>
      </c>
    </row>
    <row r="8885" customFormat="false" ht="15" hidden="false" customHeight="false" outlineLevel="0" collapsed="false">
      <c r="B8885" s="53"/>
      <c r="I8885" s="53"/>
      <c r="U8885" s="31" t="n">
        <f aca="false">IF($B8885='設定（最初に1回）'!$C$4,N(U8884)+1,N(U8884))</f>
        <v>134</v>
      </c>
    </row>
    <row r="8886" customFormat="false" ht="15" hidden="false" customHeight="false" outlineLevel="0" collapsed="false">
      <c r="B8886" s="53"/>
      <c r="I8886" s="53"/>
      <c r="U8886" s="31" t="n">
        <f aca="false">IF($B8886='設定（最初に1回）'!$C$4,N(U8885)+1,N(U8885))</f>
        <v>134</v>
      </c>
    </row>
    <row r="8887" customFormat="false" ht="15" hidden="false" customHeight="false" outlineLevel="0" collapsed="false">
      <c r="B8887" s="53"/>
      <c r="I8887" s="53"/>
      <c r="U8887" s="31" t="n">
        <f aca="false">IF($B8887='設定（最初に1回）'!$C$4,N(U8886)+1,N(U8886))</f>
        <v>134</v>
      </c>
    </row>
    <row r="8888" customFormat="false" ht="15" hidden="false" customHeight="false" outlineLevel="0" collapsed="false">
      <c r="B8888" s="53"/>
      <c r="I8888" s="53"/>
      <c r="U8888" s="31" t="n">
        <f aca="false">IF($B8888='設定（最初に1回）'!$C$4,N(U8887)+1,N(U8887))</f>
        <v>134</v>
      </c>
    </row>
    <row r="8889" customFormat="false" ht="15" hidden="false" customHeight="false" outlineLevel="0" collapsed="false">
      <c r="B8889" s="53"/>
      <c r="I8889" s="53"/>
      <c r="U8889" s="31" t="n">
        <f aca="false">IF($B8889='設定（最初に1回）'!$C$4,N(U8888)+1,N(U8888))</f>
        <v>134</v>
      </c>
    </row>
    <row r="8890" customFormat="false" ht="15" hidden="false" customHeight="false" outlineLevel="0" collapsed="false">
      <c r="B8890" s="53"/>
      <c r="I8890" s="53"/>
      <c r="U8890" s="31" t="n">
        <f aca="false">IF($B8890='設定（最初に1回）'!$C$4,N(U8889)+1,N(U8889))</f>
        <v>134</v>
      </c>
    </row>
    <row r="8891" customFormat="false" ht="15" hidden="false" customHeight="false" outlineLevel="0" collapsed="false">
      <c r="B8891" s="53"/>
      <c r="I8891" s="53"/>
      <c r="U8891" s="31" t="n">
        <f aca="false">IF($B8891='設定（最初に1回）'!$C$4,N(U8890)+1,N(U8890))</f>
        <v>134</v>
      </c>
    </row>
    <row r="8892" customFormat="false" ht="15" hidden="false" customHeight="false" outlineLevel="0" collapsed="false">
      <c r="B8892" s="53"/>
      <c r="I8892" s="53"/>
      <c r="U8892" s="31" t="n">
        <f aca="false">IF($B8892='設定（最初に1回）'!$C$4,N(U8891)+1,N(U8891))</f>
        <v>134</v>
      </c>
    </row>
    <row r="8893" customFormat="false" ht="15" hidden="false" customHeight="false" outlineLevel="0" collapsed="false">
      <c r="B8893" s="53"/>
      <c r="I8893" s="53"/>
      <c r="U8893" s="31" t="n">
        <f aca="false">IF($B8893='設定（最初に1回）'!$C$4,N(U8892)+1,N(U8892))</f>
        <v>134</v>
      </c>
    </row>
    <row r="8894" customFormat="false" ht="15" hidden="false" customHeight="false" outlineLevel="0" collapsed="false">
      <c r="B8894" s="53"/>
      <c r="I8894" s="53"/>
      <c r="U8894" s="31" t="n">
        <f aca="false">IF($B8894='設定（最初に1回）'!$C$4,N(U8893)+1,N(U8893))</f>
        <v>134</v>
      </c>
    </row>
    <row r="8895" customFormat="false" ht="15" hidden="false" customHeight="false" outlineLevel="0" collapsed="false">
      <c r="B8895" s="53"/>
      <c r="I8895" s="53"/>
      <c r="U8895" s="31" t="n">
        <f aca="false">IF($B8895='設定（最初に1回）'!$C$4,N(U8894)+1,N(U8894))</f>
        <v>134</v>
      </c>
    </row>
    <row r="8896" customFormat="false" ht="15" hidden="false" customHeight="false" outlineLevel="0" collapsed="false">
      <c r="B8896" s="53"/>
      <c r="I8896" s="53"/>
      <c r="U8896" s="31" t="n">
        <f aca="false">IF($B8896='設定（最初に1回）'!$C$4,N(U8895)+1,N(U8895))</f>
        <v>134</v>
      </c>
    </row>
    <row r="8897" customFormat="false" ht="15" hidden="false" customHeight="false" outlineLevel="0" collapsed="false">
      <c r="B8897" s="53"/>
      <c r="I8897" s="53"/>
      <c r="U8897" s="31" t="n">
        <f aca="false">IF($B8897='設定（最初に1回）'!$C$4,N(U8896)+1,N(U8896))</f>
        <v>134</v>
      </c>
    </row>
    <row r="8898" customFormat="false" ht="15" hidden="false" customHeight="false" outlineLevel="0" collapsed="false">
      <c r="B8898" s="53"/>
      <c r="I8898" s="53"/>
      <c r="U8898" s="31" t="n">
        <f aca="false">IF($B8898='設定（最初に1回）'!$C$4,N(U8897)+1,N(U8897))</f>
        <v>134</v>
      </c>
    </row>
    <row r="8899" customFormat="false" ht="15" hidden="false" customHeight="false" outlineLevel="0" collapsed="false">
      <c r="B8899" s="53"/>
      <c r="I8899" s="53"/>
      <c r="U8899" s="31" t="n">
        <f aca="false">IF($B8899='設定（最初に1回）'!$C$4,N(U8898)+1,N(U8898))</f>
        <v>134</v>
      </c>
    </row>
    <row r="8900" customFormat="false" ht="15" hidden="false" customHeight="false" outlineLevel="0" collapsed="false">
      <c r="B8900" s="53"/>
      <c r="I8900" s="53"/>
      <c r="U8900" s="31" t="n">
        <f aca="false">IF($B8900='設定（最初に1回）'!$C$4,N(U8899)+1,N(U8899))</f>
        <v>134</v>
      </c>
    </row>
    <row r="8901" customFormat="false" ht="15" hidden="false" customHeight="false" outlineLevel="0" collapsed="false">
      <c r="B8901" s="53"/>
      <c r="I8901" s="53"/>
      <c r="U8901" s="31" t="n">
        <f aca="false">IF($B8901='設定（最初に1回）'!$C$4,N(U8900)+1,N(U8900))</f>
        <v>134</v>
      </c>
    </row>
    <row r="8902" customFormat="false" ht="15" hidden="false" customHeight="false" outlineLevel="0" collapsed="false">
      <c r="B8902" s="53"/>
      <c r="I8902" s="53"/>
      <c r="U8902" s="31" t="n">
        <f aca="false">IF($B8902='設定（最初に1回）'!$C$4,N(U8901)+1,N(U8901))</f>
        <v>134</v>
      </c>
    </row>
    <row r="8903" customFormat="false" ht="15" hidden="false" customHeight="false" outlineLevel="0" collapsed="false">
      <c r="B8903" s="53"/>
      <c r="I8903" s="53"/>
      <c r="U8903" s="31" t="n">
        <f aca="false">IF($B8903='設定（最初に1回）'!$C$4,N(U8902)+1,N(U8902))</f>
        <v>134</v>
      </c>
    </row>
    <row r="8904" customFormat="false" ht="15" hidden="false" customHeight="false" outlineLevel="0" collapsed="false">
      <c r="B8904" s="53"/>
      <c r="I8904" s="53"/>
      <c r="U8904" s="31" t="n">
        <f aca="false">IF($B8904='設定（最初に1回）'!$C$4,N(U8903)+1,N(U8903))</f>
        <v>134</v>
      </c>
    </row>
    <row r="8905" customFormat="false" ht="15" hidden="false" customHeight="false" outlineLevel="0" collapsed="false">
      <c r="B8905" s="53"/>
      <c r="I8905" s="53"/>
      <c r="U8905" s="31" t="n">
        <f aca="false">IF($B8905='設定（最初に1回）'!$C$4,N(U8904)+1,N(U8904))</f>
        <v>134</v>
      </c>
    </row>
    <row r="8906" customFormat="false" ht="15" hidden="false" customHeight="false" outlineLevel="0" collapsed="false">
      <c r="B8906" s="53"/>
      <c r="I8906" s="53"/>
      <c r="U8906" s="31" t="n">
        <f aca="false">IF($B8906='設定（最初に1回）'!$C$4,N(U8905)+1,N(U8905))</f>
        <v>134</v>
      </c>
    </row>
    <row r="8907" customFormat="false" ht="15" hidden="false" customHeight="false" outlineLevel="0" collapsed="false">
      <c r="B8907" s="53"/>
      <c r="I8907" s="53"/>
      <c r="U8907" s="31" t="n">
        <f aca="false">IF($B8907='設定（最初に1回）'!$C$4,N(U8906)+1,N(U8906))</f>
        <v>134</v>
      </c>
    </row>
    <row r="8908" customFormat="false" ht="15" hidden="false" customHeight="false" outlineLevel="0" collapsed="false">
      <c r="B8908" s="53"/>
      <c r="I8908" s="53"/>
      <c r="U8908" s="31" t="n">
        <f aca="false">IF($B8908='設定（最初に1回）'!$C$4,N(U8907)+1,N(U8907))</f>
        <v>134</v>
      </c>
    </row>
    <row r="8909" customFormat="false" ht="15" hidden="false" customHeight="false" outlineLevel="0" collapsed="false">
      <c r="B8909" s="53"/>
      <c r="I8909" s="53"/>
      <c r="U8909" s="31" t="n">
        <f aca="false">IF($B8909='設定（最初に1回）'!$C$4,N(U8908)+1,N(U8908))</f>
        <v>134</v>
      </c>
    </row>
    <row r="8910" customFormat="false" ht="15" hidden="false" customHeight="false" outlineLevel="0" collapsed="false">
      <c r="B8910" s="53"/>
      <c r="I8910" s="53"/>
      <c r="U8910" s="31" t="n">
        <f aca="false">IF($B8910='設定（最初に1回）'!$C$4,N(U8909)+1,N(U8909))</f>
        <v>134</v>
      </c>
    </row>
    <row r="8911" customFormat="false" ht="15" hidden="false" customHeight="false" outlineLevel="0" collapsed="false">
      <c r="B8911" s="53"/>
      <c r="I8911" s="53"/>
      <c r="U8911" s="31" t="n">
        <f aca="false">IF($B8911='設定（最初に1回）'!$C$4,N(U8910)+1,N(U8910))</f>
        <v>134</v>
      </c>
    </row>
    <row r="8912" customFormat="false" ht="15" hidden="false" customHeight="false" outlineLevel="0" collapsed="false">
      <c r="B8912" s="53"/>
      <c r="I8912" s="53"/>
      <c r="U8912" s="31" t="n">
        <f aca="false">IF($B8912='設定（最初に1回）'!$C$4,N(U8911)+1,N(U8911))</f>
        <v>134</v>
      </c>
    </row>
    <row r="8913" customFormat="false" ht="15" hidden="false" customHeight="false" outlineLevel="0" collapsed="false">
      <c r="B8913" s="53"/>
      <c r="I8913" s="53"/>
      <c r="U8913" s="31" t="n">
        <f aca="false">IF($B8913='設定（最初に1回）'!$C$4,N(U8912)+1,N(U8912))</f>
        <v>134</v>
      </c>
    </row>
    <row r="8914" customFormat="false" ht="15" hidden="false" customHeight="false" outlineLevel="0" collapsed="false">
      <c r="B8914" s="53"/>
      <c r="I8914" s="53"/>
      <c r="U8914" s="31" t="n">
        <f aca="false">IF($B8914='設定（最初に1回）'!$C$4,N(U8913)+1,N(U8913))</f>
        <v>134</v>
      </c>
    </row>
    <row r="8915" customFormat="false" ht="15" hidden="false" customHeight="false" outlineLevel="0" collapsed="false">
      <c r="B8915" s="53"/>
      <c r="I8915" s="53"/>
      <c r="U8915" s="31" t="n">
        <f aca="false">IF($B8915='設定（最初に1回）'!$C$4,N(U8914)+1,N(U8914))</f>
        <v>134</v>
      </c>
    </row>
    <row r="8916" customFormat="false" ht="15" hidden="false" customHeight="false" outlineLevel="0" collapsed="false">
      <c r="B8916" s="53"/>
      <c r="I8916" s="53"/>
      <c r="U8916" s="31" t="n">
        <f aca="false">IF($B8916='設定（最初に1回）'!$C$4,N(U8915)+1,N(U8915))</f>
        <v>134</v>
      </c>
    </row>
    <row r="8917" customFormat="false" ht="15" hidden="false" customHeight="false" outlineLevel="0" collapsed="false">
      <c r="B8917" s="53"/>
      <c r="I8917" s="53"/>
      <c r="U8917" s="31" t="n">
        <f aca="false">IF($B8917='設定（最初に1回）'!$C$4,N(U8916)+1,N(U8916))</f>
        <v>134</v>
      </c>
    </row>
    <row r="8918" customFormat="false" ht="15" hidden="false" customHeight="false" outlineLevel="0" collapsed="false">
      <c r="B8918" s="53"/>
      <c r="I8918" s="53"/>
      <c r="U8918" s="31" t="n">
        <f aca="false">IF($B8918='設定（最初に1回）'!$C$4,N(U8917)+1,N(U8917))</f>
        <v>134</v>
      </c>
    </row>
    <row r="8919" customFormat="false" ht="15" hidden="false" customHeight="false" outlineLevel="0" collapsed="false">
      <c r="B8919" s="53"/>
      <c r="I8919" s="53"/>
      <c r="U8919" s="31" t="n">
        <f aca="false">IF($B8919='設定（最初に1回）'!$C$4,N(U8918)+1,N(U8918))</f>
        <v>134</v>
      </c>
    </row>
    <row r="8920" customFormat="false" ht="15" hidden="false" customHeight="false" outlineLevel="0" collapsed="false">
      <c r="B8920" s="53"/>
      <c r="I8920" s="53"/>
      <c r="U8920" s="31" t="n">
        <f aca="false">IF($B8920='設定（最初に1回）'!$C$4,N(U8919)+1,N(U8919))</f>
        <v>134</v>
      </c>
    </row>
    <row r="8921" customFormat="false" ht="15" hidden="false" customHeight="false" outlineLevel="0" collapsed="false">
      <c r="B8921" s="53"/>
      <c r="I8921" s="53"/>
      <c r="U8921" s="31" t="n">
        <f aca="false">IF($B8921='設定（最初に1回）'!$C$4,N(U8920)+1,N(U8920))</f>
        <v>134</v>
      </c>
    </row>
    <row r="8922" customFormat="false" ht="15" hidden="false" customHeight="false" outlineLevel="0" collapsed="false">
      <c r="B8922" s="53"/>
      <c r="I8922" s="53"/>
      <c r="U8922" s="31" t="n">
        <f aca="false">IF($B8922='設定（最初に1回）'!$C$4,N(U8921)+1,N(U8921))</f>
        <v>134</v>
      </c>
    </row>
    <row r="8923" customFormat="false" ht="15" hidden="false" customHeight="false" outlineLevel="0" collapsed="false">
      <c r="B8923" s="53"/>
      <c r="I8923" s="53"/>
      <c r="U8923" s="31" t="n">
        <f aca="false">IF($B8923='設定（最初に1回）'!$C$4,N(U8922)+1,N(U8922))</f>
        <v>134</v>
      </c>
    </row>
    <row r="8924" customFormat="false" ht="15" hidden="false" customHeight="false" outlineLevel="0" collapsed="false">
      <c r="B8924" s="53"/>
      <c r="I8924" s="53"/>
      <c r="U8924" s="31" t="n">
        <f aca="false">IF($B8924='設定（最初に1回）'!$C$4,N(U8923)+1,N(U8923))</f>
        <v>134</v>
      </c>
    </row>
    <row r="8925" customFormat="false" ht="15" hidden="false" customHeight="false" outlineLevel="0" collapsed="false">
      <c r="B8925" s="53"/>
      <c r="I8925" s="53"/>
      <c r="U8925" s="31" t="n">
        <f aca="false">IF($B8925='設定（最初に1回）'!$C$4,N(U8924)+1,N(U8924))</f>
        <v>134</v>
      </c>
    </row>
    <row r="8926" customFormat="false" ht="15" hidden="false" customHeight="false" outlineLevel="0" collapsed="false">
      <c r="B8926" s="53"/>
      <c r="I8926" s="53"/>
      <c r="U8926" s="31" t="n">
        <f aca="false">IF($B8926='設定（最初に1回）'!$C$4,N(U8925)+1,N(U8925))</f>
        <v>134</v>
      </c>
    </row>
    <row r="8927" customFormat="false" ht="15" hidden="false" customHeight="false" outlineLevel="0" collapsed="false">
      <c r="B8927" s="53"/>
      <c r="I8927" s="53"/>
      <c r="U8927" s="31" t="n">
        <f aca="false">IF($B8927='設定（最初に1回）'!$C$4,N(U8926)+1,N(U8926))</f>
        <v>134</v>
      </c>
    </row>
    <row r="8928" customFormat="false" ht="15" hidden="false" customHeight="false" outlineLevel="0" collapsed="false">
      <c r="B8928" s="53"/>
      <c r="I8928" s="53"/>
      <c r="U8928" s="31" t="n">
        <f aca="false">IF($B8928='設定（最初に1回）'!$C$4,N(U8927)+1,N(U8927))</f>
        <v>134</v>
      </c>
    </row>
    <row r="8929" customFormat="false" ht="15" hidden="false" customHeight="false" outlineLevel="0" collapsed="false">
      <c r="B8929" s="53"/>
      <c r="I8929" s="53"/>
      <c r="U8929" s="31" t="n">
        <f aca="false">IF($B8929='設定（最初に1回）'!$C$4,N(U8928)+1,N(U8928))</f>
        <v>134</v>
      </c>
    </row>
    <row r="8930" customFormat="false" ht="15" hidden="false" customHeight="false" outlineLevel="0" collapsed="false">
      <c r="B8930" s="53"/>
      <c r="I8930" s="53"/>
      <c r="U8930" s="31" t="n">
        <f aca="false">IF($B8930='設定（最初に1回）'!$C$4,N(U8929)+1,N(U8929))</f>
        <v>134</v>
      </c>
    </row>
    <row r="8931" customFormat="false" ht="15" hidden="false" customHeight="false" outlineLevel="0" collapsed="false">
      <c r="B8931" s="53"/>
      <c r="I8931" s="53"/>
      <c r="U8931" s="31" t="n">
        <f aca="false">IF($B8931='設定（最初に1回）'!$C$4,N(U8930)+1,N(U8930))</f>
        <v>134</v>
      </c>
    </row>
    <row r="8932" customFormat="false" ht="15" hidden="false" customHeight="false" outlineLevel="0" collapsed="false">
      <c r="B8932" s="53"/>
      <c r="I8932" s="53"/>
      <c r="U8932" s="31" t="n">
        <f aca="false">IF($B8932='設定（最初に1回）'!$C$4,N(U8931)+1,N(U8931))</f>
        <v>134</v>
      </c>
    </row>
    <row r="8933" customFormat="false" ht="15" hidden="false" customHeight="false" outlineLevel="0" collapsed="false">
      <c r="B8933" s="53"/>
      <c r="I8933" s="53"/>
      <c r="U8933" s="31" t="n">
        <f aca="false">IF($B8933='設定（最初に1回）'!$C$4,N(U8932)+1,N(U8932))</f>
        <v>134</v>
      </c>
    </row>
    <row r="8934" customFormat="false" ht="15" hidden="false" customHeight="false" outlineLevel="0" collapsed="false">
      <c r="B8934" s="53"/>
      <c r="I8934" s="53"/>
      <c r="U8934" s="31" t="n">
        <f aca="false">IF($B8934='設定（最初に1回）'!$C$4,N(U8933)+1,N(U8933))</f>
        <v>134</v>
      </c>
    </row>
    <row r="8935" customFormat="false" ht="15" hidden="false" customHeight="false" outlineLevel="0" collapsed="false">
      <c r="B8935" s="53"/>
      <c r="I8935" s="53"/>
      <c r="U8935" s="31" t="n">
        <f aca="false">IF($B8935='設定（最初に1回）'!$C$4,N(U8934)+1,N(U8934))</f>
        <v>134</v>
      </c>
    </row>
    <row r="8936" customFormat="false" ht="15" hidden="false" customHeight="false" outlineLevel="0" collapsed="false">
      <c r="B8936" s="53"/>
      <c r="I8936" s="53"/>
      <c r="U8936" s="31" t="n">
        <f aca="false">IF($B8936='設定（最初に1回）'!$C$4,N(U8935)+1,N(U8935))</f>
        <v>134</v>
      </c>
    </row>
    <row r="8937" customFormat="false" ht="15" hidden="false" customHeight="false" outlineLevel="0" collapsed="false">
      <c r="B8937" s="53"/>
      <c r="I8937" s="53"/>
      <c r="U8937" s="31" t="n">
        <f aca="false">IF($B8937='設定（最初に1回）'!$C$4,N(U8936)+1,N(U8936))</f>
        <v>134</v>
      </c>
    </row>
    <row r="8938" customFormat="false" ht="15" hidden="false" customHeight="false" outlineLevel="0" collapsed="false">
      <c r="B8938" s="53"/>
      <c r="I8938" s="53"/>
      <c r="U8938" s="31" t="n">
        <f aca="false">IF($B8938='設定（最初に1回）'!$C$4,N(U8937)+1,N(U8937))</f>
        <v>134</v>
      </c>
    </row>
    <row r="8939" customFormat="false" ht="15" hidden="false" customHeight="false" outlineLevel="0" collapsed="false">
      <c r="B8939" s="53"/>
      <c r="I8939" s="53"/>
      <c r="U8939" s="31" t="n">
        <f aca="false">IF($B8939='設定（最初に1回）'!$C$4,N(U8938)+1,N(U8938))</f>
        <v>134</v>
      </c>
    </row>
    <row r="8940" customFormat="false" ht="15" hidden="false" customHeight="false" outlineLevel="0" collapsed="false">
      <c r="B8940" s="53"/>
      <c r="I8940" s="53"/>
      <c r="U8940" s="31" t="n">
        <f aca="false">IF($B8940='設定（最初に1回）'!$C$4,N(U8939)+1,N(U8939))</f>
        <v>134</v>
      </c>
    </row>
    <row r="8941" customFormat="false" ht="15" hidden="false" customHeight="false" outlineLevel="0" collapsed="false">
      <c r="B8941" s="53"/>
      <c r="I8941" s="53"/>
      <c r="U8941" s="31" t="n">
        <f aca="false">IF($B8941='設定（最初に1回）'!$C$4,N(U8940)+1,N(U8940))</f>
        <v>134</v>
      </c>
    </row>
    <row r="8942" customFormat="false" ht="15" hidden="false" customHeight="false" outlineLevel="0" collapsed="false">
      <c r="B8942" s="53"/>
      <c r="I8942" s="53"/>
      <c r="U8942" s="31" t="n">
        <f aca="false">IF($B8942='設定（最初に1回）'!$C$4,N(U8941)+1,N(U8941))</f>
        <v>134</v>
      </c>
    </row>
    <row r="8943" customFormat="false" ht="15" hidden="false" customHeight="false" outlineLevel="0" collapsed="false">
      <c r="B8943" s="53"/>
      <c r="I8943" s="53"/>
      <c r="U8943" s="31" t="n">
        <f aca="false">IF($B8943='設定（最初に1回）'!$C$4,N(U8942)+1,N(U8942))</f>
        <v>134</v>
      </c>
    </row>
    <row r="8944" customFormat="false" ht="15" hidden="false" customHeight="false" outlineLevel="0" collapsed="false">
      <c r="B8944" s="53"/>
      <c r="I8944" s="53"/>
      <c r="U8944" s="31" t="n">
        <f aca="false">IF($B8944='設定（最初に1回）'!$C$4,N(U8943)+1,N(U8943))</f>
        <v>134</v>
      </c>
    </row>
    <row r="8945" customFormat="false" ht="15" hidden="false" customHeight="false" outlineLevel="0" collapsed="false">
      <c r="B8945" s="53"/>
      <c r="I8945" s="53"/>
      <c r="U8945" s="31" t="n">
        <f aca="false">IF($B8945='設定（最初に1回）'!$C$4,N(U8944)+1,N(U8944))</f>
        <v>134</v>
      </c>
    </row>
    <row r="8946" customFormat="false" ht="15" hidden="false" customHeight="false" outlineLevel="0" collapsed="false">
      <c r="B8946" s="53"/>
      <c r="I8946" s="53"/>
      <c r="U8946" s="31" t="n">
        <f aca="false">IF($B8946='設定（最初に1回）'!$C$4,N(U8945)+1,N(U8945))</f>
        <v>134</v>
      </c>
    </row>
    <row r="8947" customFormat="false" ht="15" hidden="false" customHeight="false" outlineLevel="0" collapsed="false">
      <c r="B8947" s="53"/>
      <c r="I8947" s="53"/>
      <c r="U8947" s="31" t="n">
        <f aca="false">IF($B8947='設定（最初に1回）'!$C$4,N(U8946)+1,N(U8946))</f>
        <v>134</v>
      </c>
    </row>
    <row r="8948" customFormat="false" ht="15" hidden="false" customHeight="false" outlineLevel="0" collapsed="false">
      <c r="B8948" s="53"/>
      <c r="I8948" s="53"/>
      <c r="U8948" s="31" t="n">
        <f aca="false">IF($B8948='設定（最初に1回）'!$C$4,N(U8947)+1,N(U8947))</f>
        <v>134</v>
      </c>
    </row>
    <row r="8949" customFormat="false" ht="15" hidden="false" customHeight="false" outlineLevel="0" collapsed="false">
      <c r="B8949" s="53"/>
      <c r="I8949" s="53"/>
      <c r="U8949" s="31" t="n">
        <f aca="false">IF($B8949='設定（最初に1回）'!$C$4,N(U8948)+1,N(U8948))</f>
        <v>134</v>
      </c>
    </row>
    <row r="8950" customFormat="false" ht="15" hidden="false" customHeight="false" outlineLevel="0" collapsed="false">
      <c r="B8950" s="53"/>
      <c r="I8950" s="53"/>
      <c r="U8950" s="31" t="n">
        <f aca="false">IF($B8950='設定（最初に1回）'!$C$4,N(U8949)+1,N(U8949))</f>
        <v>134</v>
      </c>
    </row>
    <row r="8951" customFormat="false" ht="15" hidden="false" customHeight="false" outlineLevel="0" collapsed="false">
      <c r="B8951" s="53"/>
      <c r="I8951" s="53"/>
      <c r="U8951" s="31" t="n">
        <f aca="false">IF($B8951='設定（最初に1回）'!$C$4,N(U8950)+1,N(U8950))</f>
        <v>134</v>
      </c>
    </row>
    <row r="8952" customFormat="false" ht="15" hidden="false" customHeight="false" outlineLevel="0" collapsed="false">
      <c r="B8952" s="53"/>
      <c r="I8952" s="53"/>
      <c r="U8952" s="31" t="n">
        <f aca="false">IF($B8952='設定（最初に1回）'!$C$4,N(U8951)+1,N(U8951))</f>
        <v>134</v>
      </c>
    </row>
    <row r="8953" customFormat="false" ht="15" hidden="false" customHeight="false" outlineLevel="0" collapsed="false">
      <c r="B8953" s="53"/>
      <c r="I8953" s="53"/>
      <c r="U8953" s="31" t="n">
        <f aca="false">IF($B8953='設定（最初に1回）'!$C$4,N(U8952)+1,N(U8952))</f>
        <v>134</v>
      </c>
    </row>
    <row r="8954" customFormat="false" ht="15" hidden="false" customHeight="false" outlineLevel="0" collapsed="false">
      <c r="B8954" s="53"/>
      <c r="I8954" s="53"/>
      <c r="U8954" s="31" t="n">
        <f aca="false">IF($B8954='設定（最初に1回）'!$C$4,N(U8953)+1,N(U8953))</f>
        <v>134</v>
      </c>
    </row>
    <row r="8955" customFormat="false" ht="15" hidden="false" customHeight="false" outlineLevel="0" collapsed="false">
      <c r="B8955" s="53"/>
      <c r="I8955" s="53"/>
      <c r="U8955" s="31" t="n">
        <f aca="false">IF($B8955='設定（最初に1回）'!$C$4,N(U8954)+1,N(U8954))</f>
        <v>134</v>
      </c>
    </row>
    <row r="8956" customFormat="false" ht="15" hidden="false" customHeight="false" outlineLevel="0" collapsed="false">
      <c r="B8956" s="53"/>
      <c r="I8956" s="53"/>
      <c r="U8956" s="31" t="n">
        <f aca="false">IF($B8956='設定（最初に1回）'!$C$4,N(U8955)+1,N(U8955))</f>
        <v>134</v>
      </c>
    </row>
    <row r="8957" customFormat="false" ht="15" hidden="false" customHeight="false" outlineLevel="0" collapsed="false">
      <c r="B8957" s="53"/>
      <c r="I8957" s="53"/>
      <c r="U8957" s="31" t="n">
        <f aca="false">IF($B8957='設定（最初に1回）'!$C$4,N(U8956)+1,N(U8956))</f>
        <v>134</v>
      </c>
    </row>
    <row r="8958" customFormat="false" ht="15" hidden="false" customHeight="false" outlineLevel="0" collapsed="false">
      <c r="B8958" s="53"/>
      <c r="I8958" s="53"/>
      <c r="U8958" s="31" t="n">
        <f aca="false">IF($B8958='設定（最初に1回）'!$C$4,N(U8957)+1,N(U8957))</f>
        <v>134</v>
      </c>
    </row>
    <row r="8959" customFormat="false" ht="15" hidden="false" customHeight="false" outlineLevel="0" collapsed="false">
      <c r="B8959" s="53"/>
      <c r="I8959" s="53"/>
      <c r="U8959" s="31" t="n">
        <f aca="false">IF($B8959='設定（最初に1回）'!$C$4,N(U8958)+1,N(U8958))</f>
        <v>134</v>
      </c>
    </row>
    <row r="8960" customFormat="false" ht="15" hidden="false" customHeight="false" outlineLevel="0" collapsed="false">
      <c r="B8960" s="53"/>
      <c r="I8960" s="53"/>
      <c r="U8960" s="31" t="n">
        <f aca="false">IF($B8960='設定（最初に1回）'!$C$4,N(U8959)+1,N(U8959))</f>
        <v>134</v>
      </c>
    </row>
    <row r="8961" customFormat="false" ht="15" hidden="false" customHeight="false" outlineLevel="0" collapsed="false">
      <c r="B8961" s="53"/>
      <c r="I8961" s="53"/>
      <c r="U8961" s="31" t="n">
        <f aca="false">IF($B8961='設定（最初に1回）'!$C$4,N(U8960)+1,N(U8960))</f>
        <v>134</v>
      </c>
    </row>
    <row r="8962" customFormat="false" ht="15" hidden="false" customHeight="false" outlineLevel="0" collapsed="false">
      <c r="B8962" s="53"/>
      <c r="I8962" s="53"/>
      <c r="U8962" s="31" t="n">
        <f aca="false">IF($B8962='設定（最初に1回）'!$C$4,N(U8961)+1,N(U8961))</f>
        <v>134</v>
      </c>
    </row>
    <row r="8963" customFormat="false" ht="15" hidden="false" customHeight="false" outlineLevel="0" collapsed="false">
      <c r="B8963" s="53"/>
      <c r="I8963" s="53"/>
      <c r="U8963" s="31" t="n">
        <f aca="false">IF($B8963='設定（最初に1回）'!$C$4,N(U8962)+1,N(U8962))</f>
        <v>134</v>
      </c>
    </row>
    <row r="8964" customFormat="false" ht="15" hidden="false" customHeight="false" outlineLevel="0" collapsed="false">
      <c r="B8964" s="53"/>
      <c r="I8964" s="53"/>
      <c r="U8964" s="31" t="n">
        <f aca="false">IF($B8964='設定（最初に1回）'!$C$4,N(U8963)+1,N(U8963))</f>
        <v>134</v>
      </c>
    </row>
    <row r="8965" customFormat="false" ht="15" hidden="false" customHeight="false" outlineLevel="0" collapsed="false">
      <c r="B8965" s="53"/>
      <c r="I8965" s="53"/>
      <c r="U8965" s="31" t="n">
        <f aca="false">IF($B8965='設定（最初に1回）'!$C$4,N(U8964)+1,N(U8964))</f>
        <v>134</v>
      </c>
    </row>
    <row r="8966" customFormat="false" ht="15" hidden="false" customHeight="false" outlineLevel="0" collapsed="false">
      <c r="B8966" s="53"/>
      <c r="I8966" s="53"/>
      <c r="U8966" s="31" t="n">
        <f aca="false">IF($B8966='設定（最初に1回）'!$C$4,N(U8965)+1,N(U8965))</f>
        <v>134</v>
      </c>
    </row>
    <row r="8967" customFormat="false" ht="15" hidden="false" customHeight="false" outlineLevel="0" collapsed="false">
      <c r="B8967" s="53"/>
      <c r="I8967" s="53"/>
      <c r="U8967" s="31" t="n">
        <f aca="false">IF($B8967='設定（最初に1回）'!$C$4,N(U8966)+1,N(U8966))</f>
        <v>134</v>
      </c>
    </row>
    <row r="8968" customFormat="false" ht="15" hidden="false" customHeight="false" outlineLevel="0" collapsed="false">
      <c r="B8968" s="53"/>
      <c r="I8968" s="53"/>
      <c r="U8968" s="31" t="n">
        <f aca="false">IF($B8968='設定（最初に1回）'!$C$4,N(U8967)+1,N(U8967))</f>
        <v>134</v>
      </c>
    </row>
    <row r="8969" customFormat="false" ht="15" hidden="false" customHeight="false" outlineLevel="0" collapsed="false">
      <c r="B8969" s="53"/>
      <c r="I8969" s="53"/>
      <c r="U8969" s="31" t="n">
        <f aca="false">IF($B8969='設定（最初に1回）'!$C$4,N(U8968)+1,N(U8968))</f>
        <v>134</v>
      </c>
    </row>
    <row r="8970" customFormat="false" ht="15" hidden="false" customHeight="false" outlineLevel="0" collapsed="false">
      <c r="B8970" s="53"/>
      <c r="I8970" s="53"/>
      <c r="U8970" s="31" t="n">
        <f aca="false">IF($B8970='設定（最初に1回）'!$C$4,N(U8969)+1,N(U8969))</f>
        <v>134</v>
      </c>
    </row>
    <row r="8971" customFormat="false" ht="15" hidden="false" customHeight="false" outlineLevel="0" collapsed="false">
      <c r="B8971" s="53"/>
      <c r="I8971" s="53"/>
      <c r="U8971" s="31" t="n">
        <f aca="false">IF($B8971='設定（最初に1回）'!$C$4,N(U8970)+1,N(U8970))</f>
        <v>134</v>
      </c>
    </row>
    <row r="8972" customFormat="false" ht="15" hidden="false" customHeight="false" outlineLevel="0" collapsed="false">
      <c r="B8972" s="53"/>
      <c r="I8972" s="53"/>
      <c r="U8972" s="31" t="n">
        <f aca="false">IF($B8972='設定（最初に1回）'!$C$4,N(U8971)+1,N(U8971))</f>
        <v>134</v>
      </c>
    </row>
    <row r="8973" customFormat="false" ht="15" hidden="false" customHeight="false" outlineLevel="0" collapsed="false">
      <c r="B8973" s="53"/>
      <c r="I8973" s="53"/>
      <c r="U8973" s="31" t="n">
        <f aca="false">IF($B8973='設定（最初に1回）'!$C$4,N(U8972)+1,N(U8972))</f>
        <v>134</v>
      </c>
    </row>
    <row r="8974" customFormat="false" ht="15" hidden="false" customHeight="false" outlineLevel="0" collapsed="false">
      <c r="B8974" s="53"/>
      <c r="I8974" s="53"/>
      <c r="U8974" s="31" t="n">
        <f aca="false">IF($B8974='設定（最初に1回）'!$C$4,N(U8973)+1,N(U8973))</f>
        <v>134</v>
      </c>
    </row>
    <row r="8975" customFormat="false" ht="15" hidden="false" customHeight="false" outlineLevel="0" collapsed="false">
      <c r="B8975" s="53"/>
      <c r="I8975" s="53"/>
      <c r="U8975" s="31" t="n">
        <f aca="false">IF($B8975='設定（最初に1回）'!$C$4,N(U8974)+1,N(U8974))</f>
        <v>134</v>
      </c>
    </row>
    <row r="8976" customFormat="false" ht="15" hidden="false" customHeight="false" outlineLevel="0" collapsed="false">
      <c r="B8976" s="53"/>
      <c r="I8976" s="53"/>
      <c r="U8976" s="31" t="n">
        <f aca="false">IF($B8976='設定（最初に1回）'!$C$4,N(U8975)+1,N(U8975))</f>
        <v>134</v>
      </c>
    </row>
    <row r="8977" customFormat="false" ht="15" hidden="false" customHeight="false" outlineLevel="0" collapsed="false">
      <c r="B8977" s="53"/>
      <c r="I8977" s="53"/>
      <c r="U8977" s="31" t="n">
        <f aca="false">IF($B8977='設定（最初に1回）'!$C$4,N(U8976)+1,N(U8976))</f>
        <v>134</v>
      </c>
    </row>
    <row r="8978" customFormat="false" ht="15" hidden="false" customHeight="false" outlineLevel="0" collapsed="false">
      <c r="B8978" s="53"/>
      <c r="I8978" s="53"/>
      <c r="U8978" s="31" t="n">
        <f aca="false">IF($B8978='設定（最初に1回）'!$C$4,N(U8977)+1,N(U8977))</f>
        <v>134</v>
      </c>
    </row>
    <row r="8979" customFormat="false" ht="15" hidden="false" customHeight="false" outlineLevel="0" collapsed="false">
      <c r="B8979" s="53"/>
      <c r="I8979" s="53"/>
      <c r="U8979" s="31" t="n">
        <f aca="false">IF($B8979='設定（最初に1回）'!$C$4,N(U8978)+1,N(U8978))</f>
        <v>134</v>
      </c>
    </row>
    <row r="8980" customFormat="false" ht="15" hidden="false" customHeight="false" outlineLevel="0" collapsed="false">
      <c r="B8980" s="53"/>
      <c r="I8980" s="53"/>
      <c r="U8980" s="31" t="n">
        <f aca="false">IF($B8980='設定（最初に1回）'!$C$4,N(U8979)+1,N(U8979))</f>
        <v>134</v>
      </c>
    </row>
    <row r="8981" customFormat="false" ht="15" hidden="false" customHeight="false" outlineLevel="0" collapsed="false">
      <c r="B8981" s="53"/>
      <c r="I8981" s="53"/>
      <c r="U8981" s="31" t="n">
        <f aca="false">IF($B8981='設定（最初に1回）'!$C$4,N(U8980)+1,N(U8980))</f>
        <v>134</v>
      </c>
    </row>
    <row r="8982" customFormat="false" ht="15" hidden="false" customHeight="false" outlineLevel="0" collapsed="false">
      <c r="B8982" s="53"/>
      <c r="I8982" s="53"/>
      <c r="U8982" s="31" t="n">
        <f aca="false">IF($B8982='設定（最初に1回）'!$C$4,N(U8981)+1,N(U8981))</f>
        <v>134</v>
      </c>
    </row>
    <row r="8983" customFormat="false" ht="15" hidden="false" customHeight="false" outlineLevel="0" collapsed="false">
      <c r="B8983" s="53"/>
      <c r="I8983" s="53"/>
      <c r="U8983" s="31" t="n">
        <f aca="false">IF($B8983='設定（最初に1回）'!$C$4,N(U8982)+1,N(U8982))</f>
        <v>134</v>
      </c>
    </row>
    <row r="8984" customFormat="false" ht="15" hidden="false" customHeight="false" outlineLevel="0" collapsed="false">
      <c r="B8984" s="53"/>
      <c r="I8984" s="53"/>
      <c r="U8984" s="31" t="n">
        <f aca="false">IF($B8984='設定（最初に1回）'!$C$4,N(U8983)+1,N(U8983))</f>
        <v>134</v>
      </c>
    </row>
    <row r="8985" customFormat="false" ht="15" hidden="false" customHeight="false" outlineLevel="0" collapsed="false">
      <c r="B8985" s="53"/>
      <c r="I8985" s="53"/>
      <c r="U8985" s="31" t="n">
        <f aca="false">IF($B8985='設定（最初に1回）'!$C$4,N(U8984)+1,N(U8984))</f>
        <v>134</v>
      </c>
    </row>
    <row r="8986" customFormat="false" ht="15" hidden="false" customHeight="false" outlineLevel="0" collapsed="false">
      <c r="B8986" s="53"/>
      <c r="I8986" s="53"/>
      <c r="U8986" s="31" t="n">
        <f aca="false">IF($B8986='設定（最初に1回）'!$C$4,N(U8985)+1,N(U8985))</f>
        <v>134</v>
      </c>
    </row>
    <row r="8987" customFormat="false" ht="15" hidden="false" customHeight="false" outlineLevel="0" collapsed="false">
      <c r="B8987" s="53"/>
      <c r="I8987" s="53"/>
      <c r="U8987" s="31" t="n">
        <f aca="false">IF($B8987='設定（最初に1回）'!$C$4,N(U8986)+1,N(U8986))</f>
        <v>134</v>
      </c>
    </row>
    <row r="8988" customFormat="false" ht="15" hidden="false" customHeight="false" outlineLevel="0" collapsed="false">
      <c r="B8988" s="53"/>
      <c r="I8988" s="53"/>
      <c r="U8988" s="31" t="n">
        <f aca="false">IF($B8988='設定（最初に1回）'!$C$4,N(U8987)+1,N(U8987))</f>
        <v>134</v>
      </c>
    </row>
    <row r="8989" customFormat="false" ht="15" hidden="false" customHeight="false" outlineLevel="0" collapsed="false">
      <c r="B8989" s="53"/>
      <c r="I8989" s="53"/>
      <c r="U8989" s="31" t="n">
        <f aca="false">IF($B8989='設定（最初に1回）'!$C$4,N(U8988)+1,N(U8988))</f>
        <v>134</v>
      </c>
    </row>
    <row r="8990" customFormat="false" ht="15" hidden="false" customHeight="false" outlineLevel="0" collapsed="false">
      <c r="B8990" s="53"/>
      <c r="I8990" s="53"/>
      <c r="U8990" s="31" t="n">
        <f aca="false">IF($B8990='設定（最初に1回）'!$C$4,N(U8989)+1,N(U8989))</f>
        <v>134</v>
      </c>
    </row>
    <row r="8991" customFormat="false" ht="15" hidden="false" customHeight="false" outlineLevel="0" collapsed="false">
      <c r="B8991" s="53"/>
      <c r="I8991" s="53"/>
      <c r="U8991" s="31" t="n">
        <f aca="false">IF($B8991='設定（最初に1回）'!$C$4,N(U8990)+1,N(U8990))</f>
        <v>134</v>
      </c>
    </row>
    <row r="8992" customFormat="false" ht="15" hidden="false" customHeight="false" outlineLevel="0" collapsed="false">
      <c r="B8992" s="53"/>
      <c r="I8992" s="53"/>
      <c r="U8992" s="31" t="n">
        <f aca="false">IF($B8992='設定（最初に1回）'!$C$4,N(U8991)+1,N(U8991))</f>
        <v>134</v>
      </c>
    </row>
    <row r="8993" customFormat="false" ht="15" hidden="false" customHeight="false" outlineLevel="0" collapsed="false">
      <c r="B8993" s="53"/>
      <c r="I8993" s="53"/>
      <c r="U8993" s="31" t="n">
        <f aca="false">IF($B8993='設定（最初に1回）'!$C$4,N(U8992)+1,N(U8992))</f>
        <v>134</v>
      </c>
    </row>
    <row r="8994" customFormat="false" ht="15" hidden="false" customHeight="false" outlineLevel="0" collapsed="false">
      <c r="B8994" s="53"/>
      <c r="I8994" s="53"/>
      <c r="U8994" s="31" t="n">
        <f aca="false">IF($B8994='設定（最初に1回）'!$C$4,N(U8993)+1,N(U8993))</f>
        <v>134</v>
      </c>
    </row>
    <row r="8995" customFormat="false" ht="15" hidden="false" customHeight="false" outlineLevel="0" collapsed="false">
      <c r="B8995" s="53"/>
      <c r="I8995" s="53"/>
      <c r="U8995" s="31" t="n">
        <f aca="false">IF($B8995='設定（最初に1回）'!$C$4,N(U8994)+1,N(U8994))</f>
        <v>134</v>
      </c>
    </row>
    <row r="8996" customFormat="false" ht="15" hidden="false" customHeight="false" outlineLevel="0" collapsed="false">
      <c r="B8996" s="53"/>
      <c r="I8996" s="53"/>
      <c r="U8996" s="31" t="n">
        <f aca="false">IF($B8996='設定（最初に1回）'!$C$4,N(U8995)+1,N(U8995))</f>
        <v>134</v>
      </c>
    </row>
    <row r="8997" customFormat="false" ht="15" hidden="false" customHeight="false" outlineLevel="0" collapsed="false">
      <c r="B8997" s="53"/>
      <c r="I8997" s="53"/>
      <c r="U8997" s="31" t="n">
        <f aca="false">IF($B8997='設定（最初に1回）'!$C$4,N(U8996)+1,N(U8996))</f>
        <v>134</v>
      </c>
    </row>
    <row r="8998" customFormat="false" ht="15" hidden="false" customHeight="false" outlineLevel="0" collapsed="false">
      <c r="B8998" s="53"/>
      <c r="I8998" s="53"/>
      <c r="U8998" s="31" t="n">
        <f aca="false">IF($B8998='設定（最初に1回）'!$C$4,N(U8997)+1,N(U8997))</f>
        <v>134</v>
      </c>
    </row>
    <row r="8999" customFormat="false" ht="15" hidden="false" customHeight="false" outlineLevel="0" collapsed="false">
      <c r="B8999" s="53"/>
      <c r="I8999" s="53"/>
      <c r="U8999" s="31" t="n">
        <f aca="false">IF($B8999='設定（最初に1回）'!$C$4,N(U8998)+1,N(U8998))</f>
        <v>134</v>
      </c>
    </row>
    <row r="9000" customFormat="false" ht="15" hidden="false" customHeight="false" outlineLevel="0" collapsed="false">
      <c r="B9000" s="53"/>
      <c r="I9000" s="53"/>
      <c r="U9000" s="31" t="n">
        <f aca="false">IF($B9000='設定（最初に1回）'!$C$4,N(U8999)+1,N(U8999))</f>
        <v>134</v>
      </c>
    </row>
    <row r="9001" customFormat="false" ht="15" hidden="false" customHeight="false" outlineLevel="0" collapsed="false">
      <c r="B9001" s="53"/>
      <c r="I9001" s="53"/>
      <c r="U9001" s="31" t="n">
        <f aca="false">IF($B9001='設定（最初に1回）'!$C$4,N(U9000)+1,N(U9000))</f>
        <v>134</v>
      </c>
    </row>
    <row r="9002" customFormat="false" ht="15" hidden="false" customHeight="false" outlineLevel="0" collapsed="false">
      <c r="B9002" s="53"/>
      <c r="I9002" s="53"/>
      <c r="U9002" s="31" t="n">
        <f aca="false">IF($B9002='設定（最初に1回）'!$C$4,N(U9001)+1,N(U9001))</f>
        <v>134</v>
      </c>
    </row>
    <row r="9003" customFormat="false" ht="15" hidden="false" customHeight="false" outlineLevel="0" collapsed="false">
      <c r="B9003" s="53"/>
      <c r="I9003" s="53"/>
      <c r="U9003" s="31" t="n">
        <f aca="false">IF($B9003='設定（最初に1回）'!$C$4,N(U9002)+1,N(U9002))</f>
        <v>134</v>
      </c>
    </row>
    <row r="9004" customFormat="false" ht="15" hidden="false" customHeight="false" outlineLevel="0" collapsed="false">
      <c r="B9004" s="53"/>
      <c r="I9004" s="53"/>
      <c r="U9004" s="31" t="n">
        <f aca="false">IF($B9004='設定（最初に1回）'!$C$4,N(U9003)+1,N(U9003))</f>
        <v>134</v>
      </c>
    </row>
    <row r="9005" customFormat="false" ht="15" hidden="false" customHeight="false" outlineLevel="0" collapsed="false">
      <c r="B9005" s="53"/>
      <c r="I9005" s="53"/>
      <c r="U9005" s="31" t="n">
        <f aca="false">IF($B9005='設定（最初に1回）'!$C$4,N(U9004)+1,N(U9004))</f>
        <v>134</v>
      </c>
    </row>
    <row r="9006" customFormat="false" ht="15" hidden="false" customHeight="false" outlineLevel="0" collapsed="false">
      <c r="B9006" s="53"/>
      <c r="I9006" s="53"/>
      <c r="U9006" s="31" t="n">
        <f aca="false">IF($B9006='設定（最初に1回）'!$C$4,N(U9005)+1,N(U9005))</f>
        <v>134</v>
      </c>
    </row>
    <row r="9007" customFormat="false" ht="15" hidden="false" customHeight="false" outlineLevel="0" collapsed="false">
      <c r="B9007" s="53"/>
      <c r="I9007" s="53"/>
      <c r="U9007" s="31" t="n">
        <f aca="false">IF($B9007='設定（最初に1回）'!$C$4,N(U9006)+1,N(U9006))</f>
        <v>134</v>
      </c>
    </row>
    <row r="9008" customFormat="false" ht="15" hidden="false" customHeight="false" outlineLevel="0" collapsed="false">
      <c r="B9008" s="53"/>
      <c r="I9008" s="53"/>
      <c r="U9008" s="31" t="n">
        <f aca="false">IF($B9008='設定（最初に1回）'!$C$4,N(U9007)+1,N(U9007))</f>
        <v>134</v>
      </c>
    </row>
    <row r="9009" customFormat="false" ht="15" hidden="false" customHeight="false" outlineLevel="0" collapsed="false">
      <c r="B9009" s="53"/>
      <c r="I9009" s="53"/>
      <c r="U9009" s="31" t="n">
        <f aca="false">IF($B9009='設定（最初に1回）'!$C$4,N(U9008)+1,N(U9008))</f>
        <v>134</v>
      </c>
    </row>
    <row r="9010" customFormat="false" ht="15" hidden="false" customHeight="false" outlineLevel="0" collapsed="false">
      <c r="B9010" s="53"/>
      <c r="I9010" s="53"/>
      <c r="U9010" s="31" t="n">
        <f aca="false">IF($B9010='設定（最初に1回）'!$C$4,N(U9009)+1,N(U9009))</f>
        <v>134</v>
      </c>
    </row>
    <row r="9011" customFormat="false" ht="15" hidden="false" customHeight="false" outlineLevel="0" collapsed="false">
      <c r="B9011" s="53"/>
      <c r="I9011" s="53"/>
      <c r="U9011" s="31" t="n">
        <f aca="false">IF($B9011='設定（最初に1回）'!$C$4,N(U9010)+1,N(U9010))</f>
        <v>134</v>
      </c>
    </row>
    <row r="9012" customFormat="false" ht="15" hidden="false" customHeight="false" outlineLevel="0" collapsed="false">
      <c r="B9012" s="53"/>
      <c r="I9012" s="53"/>
      <c r="U9012" s="31" t="n">
        <f aca="false">IF($B9012='設定（最初に1回）'!$C$4,N(U9011)+1,N(U9011))</f>
        <v>134</v>
      </c>
    </row>
    <row r="9013" customFormat="false" ht="15" hidden="false" customHeight="false" outlineLevel="0" collapsed="false">
      <c r="B9013" s="53"/>
      <c r="I9013" s="53"/>
      <c r="U9013" s="31" t="n">
        <f aca="false">IF($B9013='設定（最初に1回）'!$C$4,N(U9012)+1,N(U9012))</f>
        <v>134</v>
      </c>
    </row>
    <row r="9014" customFormat="false" ht="15" hidden="false" customHeight="false" outlineLevel="0" collapsed="false">
      <c r="B9014" s="53"/>
      <c r="I9014" s="53"/>
      <c r="U9014" s="31" t="n">
        <f aca="false">IF($B9014='設定（最初に1回）'!$C$4,N(U9013)+1,N(U9013))</f>
        <v>134</v>
      </c>
    </row>
    <row r="9015" customFormat="false" ht="15" hidden="false" customHeight="false" outlineLevel="0" collapsed="false">
      <c r="B9015" s="53"/>
      <c r="I9015" s="53"/>
      <c r="U9015" s="31" t="n">
        <f aca="false">IF($B9015='設定（最初に1回）'!$C$4,N(U9014)+1,N(U9014))</f>
        <v>134</v>
      </c>
    </row>
    <row r="9016" customFormat="false" ht="15" hidden="false" customHeight="false" outlineLevel="0" collapsed="false">
      <c r="B9016" s="53"/>
      <c r="I9016" s="53"/>
      <c r="U9016" s="31" t="n">
        <f aca="false">IF($B9016='設定（最初に1回）'!$C$4,N(U9015)+1,N(U9015))</f>
        <v>134</v>
      </c>
    </row>
    <row r="9017" customFormat="false" ht="15" hidden="false" customHeight="false" outlineLevel="0" collapsed="false">
      <c r="B9017" s="53"/>
      <c r="I9017" s="53"/>
      <c r="U9017" s="31" t="n">
        <f aca="false">IF($B9017='設定（最初に1回）'!$C$4,N(U9016)+1,N(U9016))</f>
        <v>134</v>
      </c>
    </row>
    <row r="9018" customFormat="false" ht="15" hidden="false" customHeight="false" outlineLevel="0" collapsed="false">
      <c r="B9018" s="53"/>
      <c r="I9018" s="53"/>
      <c r="U9018" s="31" t="n">
        <f aca="false">IF($B9018='設定（最初に1回）'!$C$4,N(U9017)+1,N(U9017))</f>
        <v>134</v>
      </c>
    </row>
    <row r="9019" customFormat="false" ht="15" hidden="false" customHeight="false" outlineLevel="0" collapsed="false">
      <c r="B9019" s="53"/>
      <c r="I9019" s="53"/>
      <c r="U9019" s="31" t="n">
        <f aca="false">IF($B9019='設定（最初に1回）'!$C$4,N(U9018)+1,N(U9018))</f>
        <v>134</v>
      </c>
    </row>
    <row r="9020" customFormat="false" ht="15" hidden="false" customHeight="false" outlineLevel="0" collapsed="false">
      <c r="B9020" s="53"/>
      <c r="I9020" s="53"/>
      <c r="U9020" s="31" t="n">
        <f aca="false">IF($B9020='設定（最初に1回）'!$C$4,N(U9019)+1,N(U9019))</f>
        <v>134</v>
      </c>
    </row>
    <row r="9021" customFormat="false" ht="15" hidden="false" customHeight="false" outlineLevel="0" collapsed="false">
      <c r="B9021" s="53"/>
      <c r="I9021" s="53"/>
      <c r="U9021" s="31" t="n">
        <f aca="false">IF($B9021='設定（最初に1回）'!$C$4,N(U9020)+1,N(U9020))</f>
        <v>134</v>
      </c>
    </row>
    <row r="9022" customFormat="false" ht="15" hidden="false" customHeight="false" outlineLevel="0" collapsed="false">
      <c r="B9022" s="53"/>
      <c r="I9022" s="53"/>
      <c r="U9022" s="31" t="n">
        <f aca="false">IF($B9022='設定（最初に1回）'!$C$4,N(U9021)+1,N(U9021))</f>
        <v>134</v>
      </c>
    </row>
    <row r="9023" customFormat="false" ht="15" hidden="false" customHeight="false" outlineLevel="0" collapsed="false">
      <c r="B9023" s="53"/>
      <c r="I9023" s="53"/>
      <c r="U9023" s="31" t="n">
        <f aca="false">IF($B9023='設定（最初に1回）'!$C$4,N(U9022)+1,N(U9022))</f>
        <v>134</v>
      </c>
    </row>
    <row r="9024" customFormat="false" ht="15" hidden="false" customHeight="false" outlineLevel="0" collapsed="false">
      <c r="B9024" s="53"/>
      <c r="I9024" s="53"/>
      <c r="U9024" s="31" t="n">
        <f aca="false">IF($B9024='設定（最初に1回）'!$C$4,N(U9023)+1,N(U9023))</f>
        <v>134</v>
      </c>
    </row>
    <row r="9025" customFormat="false" ht="15" hidden="false" customHeight="false" outlineLevel="0" collapsed="false">
      <c r="B9025" s="53"/>
      <c r="I9025" s="53"/>
      <c r="U9025" s="31" t="n">
        <f aca="false">IF($B9025='設定（最初に1回）'!$C$4,N(U9024)+1,N(U9024))</f>
        <v>134</v>
      </c>
    </row>
    <row r="9026" customFormat="false" ht="15" hidden="false" customHeight="false" outlineLevel="0" collapsed="false">
      <c r="B9026" s="53"/>
      <c r="I9026" s="53"/>
      <c r="U9026" s="31" t="n">
        <f aca="false">IF($B9026='設定（最初に1回）'!$C$4,N(U9025)+1,N(U9025))</f>
        <v>134</v>
      </c>
    </row>
    <row r="9027" customFormat="false" ht="15" hidden="false" customHeight="false" outlineLevel="0" collapsed="false">
      <c r="B9027" s="53"/>
      <c r="I9027" s="53"/>
      <c r="U9027" s="31" t="n">
        <f aca="false">IF($B9027='設定（最初に1回）'!$C$4,N(U9026)+1,N(U9026))</f>
        <v>134</v>
      </c>
    </row>
    <row r="9028" customFormat="false" ht="15" hidden="false" customHeight="false" outlineLevel="0" collapsed="false">
      <c r="B9028" s="53"/>
      <c r="I9028" s="53"/>
      <c r="U9028" s="31" t="n">
        <f aca="false">IF($B9028='設定（最初に1回）'!$C$4,N(U9027)+1,N(U9027))</f>
        <v>134</v>
      </c>
    </row>
    <row r="9029" customFormat="false" ht="15" hidden="false" customHeight="false" outlineLevel="0" collapsed="false">
      <c r="B9029" s="53"/>
      <c r="I9029" s="53"/>
      <c r="U9029" s="31" t="n">
        <f aca="false">IF($B9029='設定（最初に1回）'!$C$4,N(U9028)+1,N(U9028))</f>
        <v>134</v>
      </c>
    </row>
    <row r="9030" customFormat="false" ht="15" hidden="false" customHeight="false" outlineLevel="0" collapsed="false">
      <c r="B9030" s="53"/>
      <c r="I9030" s="53"/>
      <c r="U9030" s="31" t="n">
        <f aca="false">IF($B9030='設定（最初に1回）'!$C$4,N(U9029)+1,N(U9029))</f>
        <v>134</v>
      </c>
    </row>
    <row r="9031" customFormat="false" ht="15" hidden="false" customHeight="false" outlineLevel="0" collapsed="false">
      <c r="B9031" s="53"/>
      <c r="I9031" s="53"/>
      <c r="U9031" s="31" t="n">
        <f aca="false">IF($B9031='設定（最初に1回）'!$C$4,N(U9030)+1,N(U9030))</f>
        <v>134</v>
      </c>
    </row>
    <row r="9032" customFormat="false" ht="15" hidden="false" customHeight="false" outlineLevel="0" collapsed="false">
      <c r="B9032" s="53"/>
      <c r="I9032" s="53"/>
      <c r="U9032" s="31" t="n">
        <f aca="false">IF($B9032='設定（最初に1回）'!$C$4,N(U9031)+1,N(U9031))</f>
        <v>134</v>
      </c>
    </row>
    <row r="9033" customFormat="false" ht="15" hidden="false" customHeight="false" outlineLevel="0" collapsed="false">
      <c r="B9033" s="53"/>
      <c r="I9033" s="53"/>
      <c r="U9033" s="31" t="n">
        <f aca="false">IF($B9033='設定（最初に1回）'!$C$4,N(U9032)+1,N(U9032))</f>
        <v>134</v>
      </c>
    </row>
    <row r="9034" customFormat="false" ht="15" hidden="false" customHeight="false" outlineLevel="0" collapsed="false">
      <c r="B9034" s="53"/>
      <c r="I9034" s="53"/>
      <c r="U9034" s="31" t="n">
        <f aca="false">IF($B9034='設定（最初に1回）'!$C$4,N(U9033)+1,N(U9033))</f>
        <v>134</v>
      </c>
    </row>
    <row r="9035" customFormat="false" ht="15" hidden="false" customHeight="false" outlineLevel="0" collapsed="false">
      <c r="B9035" s="53"/>
      <c r="I9035" s="53"/>
      <c r="U9035" s="31" t="n">
        <f aca="false">IF($B9035='設定（最初に1回）'!$C$4,N(U9034)+1,N(U9034))</f>
        <v>134</v>
      </c>
    </row>
    <row r="9036" customFormat="false" ht="15" hidden="false" customHeight="false" outlineLevel="0" collapsed="false">
      <c r="B9036" s="53"/>
      <c r="I9036" s="53"/>
      <c r="U9036" s="31" t="n">
        <f aca="false">IF($B9036='設定（最初に1回）'!$C$4,N(U9035)+1,N(U9035))</f>
        <v>134</v>
      </c>
    </row>
    <row r="9037" customFormat="false" ht="15" hidden="false" customHeight="false" outlineLevel="0" collapsed="false">
      <c r="B9037" s="53"/>
      <c r="I9037" s="53"/>
      <c r="U9037" s="31" t="n">
        <f aca="false">IF($B9037='設定（最初に1回）'!$C$4,N(U9036)+1,N(U9036))</f>
        <v>134</v>
      </c>
    </row>
    <row r="9038" customFormat="false" ht="15" hidden="false" customHeight="false" outlineLevel="0" collapsed="false">
      <c r="B9038" s="53"/>
      <c r="I9038" s="53"/>
      <c r="U9038" s="31" t="n">
        <f aca="false">IF($B9038='設定（最初に1回）'!$C$4,N(U9037)+1,N(U9037))</f>
        <v>134</v>
      </c>
    </row>
    <row r="9039" customFormat="false" ht="15" hidden="false" customHeight="false" outlineLevel="0" collapsed="false">
      <c r="B9039" s="53"/>
      <c r="I9039" s="53"/>
      <c r="U9039" s="31" t="n">
        <f aca="false">IF($B9039='設定（最初に1回）'!$C$4,N(U9038)+1,N(U9038))</f>
        <v>134</v>
      </c>
    </row>
    <row r="9040" customFormat="false" ht="15" hidden="false" customHeight="false" outlineLevel="0" collapsed="false">
      <c r="B9040" s="53"/>
      <c r="I9040" s="53"/>
      <c r="U9040" s="31" t="n">
        <f aca="false">IF($B9040='設定（最初に1回）'!$C$4,N(U9039)+1,N(U9039))</f>
        <v>134</v>
      </c>
    </row>
    <row r="9041" customFormat="false" ht="15" hidden="false" customHeight="false" outlineLevel="0" collapsed="false">
      <c r="B9041" s="53"/>
      <c r="I9041" s="53"/>
      <c r="U9041" s="31" t="n">
        <f aca="false">IF($B9041='設定（最初に1回）'!$C$4,N(U9040)+1,N(U9040))</f>
        <v>134</v>
      </c>
    </row>
    <row r="9042" customFormat="false" ht="15" hidden="false" customHeight="false" outlineLevel="0" collapsed="false">
      <c r="B9042" s="53"/>
      <c r="I9042" s="53"/>
      <c r="U9042" s="31" t="n">
        <f aca="false">IF($B9042='設定（最初に1回）'!$C$4,N(U9041)+1,N(U9041))</f>
        <v>134</v>
      </c>
    </row>
    <row r="9043" customFormat="false" ht="15" hidden="false" customHeight="false" outlineLevel="0" collapsed="false">
      <c r="B9043" s="53"/>
      <c r="I9043" s="53"/>
      <c r="U9043" s="31" t="n">
        <f aca="false">IF($B9043='設定（最初に1回）'!$C$4,N(U9042)+1,N(U9042))</f>
        <v>134</v>
      </c>
    </row>
    <row r="9044" customFormat="false" ht="15" hidden="false" customHeight="false" outlineLevel="0" collapsed="false">
      <c r="B9044" s="53"/>
      <c r="I9044" s="53"/>
      <c r="U9044" s="31" t="n">
        <f aca="false">IF($B9044='設定（最初に1回）'!$C$4,N(U9043)+1,N(U9043))</f>
        <v>134</v>
      </c>
    </row>
    <row r="9045" customFormat="false" ht="15" hidden="false" customHeight="false" outlineLevel="0" collapsed="false">
      <c r="B9045" s="53"/>
      <c r="I9045" s="53"/>
      <c r="U9045" s="31" t="n">
        <f aca="false">IF($B9045='設定（最初に1回）'!$C$4,N(U9044)+1,N(U9044))</f>
        <v>134</v>
      </c>
    </row>
    <row r="9046" customFormat="false" ht="15" hidden="false" customHeight="false" outlineLevel="0" collapsed="false">
      <c r="B9046" s="53"/>
      <c r="I9046" s="53"/>
      <c r="U9046" s="31" t="n">
        <f aca="false">IF($B9046='設定（最初に1回）'!$C$4,N(U9045)+1,N(U9045))</f>
        <v>134</v>
      </c>
    </row>
    <row r="9047" customFormat="false" ht="15" hidden="false" customHeight="false" outlineLevel="0" collapsed="false">
      <c r="B9047" s="53"/>
      <c r="I9047" s="53"/>
      <c r="U9047" s="31" t="n">
        <f aca="false">IF($B9047='設定（最初に1回）'!$C$4,N(U9046)+1,N(U9046))</f>
        <v>134</v>
      </c>
    </row>
    <row r="9048" customFormat="false" ht="15" hidden="false" customHeight="false" outlineLevel="0" collapsed="false">
      <c r="B9048" s="53"/>
      <c r="I9048" s="53"/>
      <c r="U9048" s="31" t="n">
        <f aca="false">IF($B9048='設定（最初に1回）'!$C$4,N(U9047)+1,N(U9047))</f>
        <v>134</v>
      </c>
    </row>
    <row r="9049" customFormat="false" ht="15" hidden="false" customHeight="false" outlineLevel="0" collapsed="false">
      <c r="B9049" s="53"/>
      <c r="I9049" s="53"/>
      <c r="U9049" s="31" t="n">
        <f aca="false">IF($B9049='設定（最初に1回）'!$C$4,N(U9048)+1,N(U9048))</f>
        <v>134</v>
      </c>
    </row>
    <row r="9050" customFormat="false" ht="15" hidden="false" customHeight="false" outlineLevel="0" collapsed="false">
      <c r="B9050" s="53"/>
      <c r="I9050" s="53"/>
      <c r="U9050" s="31" t="n">
        <f aca="false">IF($B9050='設定（最初に1回）'!$C$4,N(U9049)+1,N(U9049))</f>
        <v>134</v>
      </c>
    </row>
    <row r="9051" customFormat="false" ht="15" hidden="false" customHeight="false" outlineLevel="0" collapsed="false">
      <c r="B9051" s="53"/>
      <c r="I9051" s="53"/>
      <c r="U9051" s="31" t="n">
        <f aca="false">IF($B9051='設定（最初に1回）'!$C$4,N(U9050)+1,N(U9050))</f>
        <v>134</v>
      </c>
    </row>
    <row r="9052" customFormat="false" ht="15" hidden="false" customHeight="false" outlineLevel="0" collapsed="false">
      <c r="B9052" s="53"/>
      <c r="I9052" s="53"/>
      <c r="U9052" s="31" t="n">
        <f aca="false">IF($B9052='設定（最初に1回）'!$C$4,N(U9051)+1,N(U9051))</f>
        <v>134</v>
      </c>
    </row>
    <row r="9053" customFormat="false" ht="15" hidden="false" customHeight="false" outlineLevel="0" collapsed="false">
      <c r="B9053" s="53"/>
      <c r="I9053" s="53"/>
      <c r="U9053" s="31" t="n">
        <f aca="false">IF($B9053='設定（最初に1回）'!$C$4,N(U9052)+1,N(U9052))</f>
        <v>134</v>
      </c>
    </row>
    <row r="9054" customFormat="false" ht="15" hidden="false" customHeight="false" outlineLevel="0" collapsed="false">
      <c r="B9054" s="53"/>
      <c r="I9054" s="53"/>
      <c r="U9054" s="31" t="n">
        <f aca="false">IF($B9054='設定（最初に1回）'!$C$4,N(U9053)+1,N(U9053))</f>
        <v>134</v>
      </c>
    </row>
    <row r="9055" customFormat="false" ht="15" hidden="false" customHeight="false" outlineLevel="0" collapsed="false">
      <c r="B9055" s="53"/>
      <c r="I9055" s="53"/>
      <c r="U9055" s="31" t="n">
        <f aca="false">IF($B9055='設定（最初に1回）'!$C$4,N(U9054)+1,N(U9054))</f>
        <v>134</v>
      </c>
    </row>
    <row r="9056" customFormat="false" ht="15" hidden="false" customHeight="false" outlineLevel="0" collapsed="false">
      <c r="B9056" s="53"/>
      <c r="I9056" s="53"/>
      <c r="U9056" s="31" t="n">
        <f aca="false">IF($B9056='設定（最初に1回）'!$C$4,N(U9055)+1,N(U9055))</f>
        <v>134</v>
      </c>
    </row>
    <row r="9057" customFormat="false" ht="15" hidden="false" customHeight="false" outlineLevel="0" collapsed="false">
      <c r="B9057" s="53"/>
      <c r="I9057" s="53"/>
      <c r="U9057" s="31" t="n">
        <f aca="false">IF($B9057='設定（最初に1回）'!$C$4,N(U9056)+1,N(U9056))</f>
        <v>134</v>
      </c>
    </row>
    <row r="9058" customFormat="false" ht="15" hidden="false" customHeight="false" outlineLevel="0" collapsed="false">
      <c r="B9058" s="53"/>
      <c r="I9058" s="53"/>
      <c r="U9058" s="31" t="n">
        <f aca="false">IF($B9058='設定（最初に1回）'!$C$4,N(U9057)+1,N(U9057))</f>
        <v>134</v>
      </c>
    </row>
    <row r="9059" customFormat="false" ht="15" hidden="false" customHeight="false" outlineLevel="0" collapsed="false">
      <c r="B9059" s="53"/>
      <c r="I9059" s="53"/>
      <c r="U9059" s="31" t="n">
        <f aca="false">IF($B9059='設定（最初に1回）'!$C$4,N(U9058)+1,N(U9058))</f>
        <v>134</v>
      </c>
    </row>
    <row r="9060" customFormat="false" ht="15" hidden="false" customHeight="false" outlineLevel="0" collapsed="false">
      <c r="B9060" s="53"/>
      <c r="I9060" s="53"/>
      <c r="U9060" s="31" t="n">
        <f aca="false">IF($B9060='設定（最初に1回）'!$C$4,N(U9059)+1,N(U9059))</f>
        <v>134</v>
      </c>
    </row>
    <row r="9061" customFormat="false" ht="15" hidden="false" customHeight="false" outlineLevel="0" collapsed="false">
      <c r="B9061" s="53"/>
      <c r="I9061" s="53"/>
      <c r="U9061" s="31" t="n">
        <f aca="false">IF($B9061='設定（最初に1回）'!$C$4,N(U9060)+1,N(U9060))</f>
        <v>134</v>
      </c>
    </row>
    <row r="9062" customFormat="false" ht="15" hidden="false" customHeight="false" outlineLevel="0" collapsed="false">
      <c r="B9062" s="53"/>
      <c r="I9062" s="53"/>
      <c r="U9062" s="31" t="n">
        <f aca="false">IF($B9062='設定（最初に1回）'!$C$4,N(U9061)+1,N(U9061))</f>
        <v>134</v>
      </c>
    </row>
    <row r="9063" customFormat="false" ht="15" hidden="false" customHeight="false" outlineLevel="0" collapsed="false">
      <c r="B9063" s="53"/>
      <c r="I9063" s="53"/>
      <c r="U9063" s="31" t="n">
        <f aca="false">IF($B9063='設定（最初に1回）'!$C$4,N(U9062)+1,N(U9062))</f>
        <v>134</v>
      </c>
    </row>
    <row r="9064" customFormat="false" ht="15" hidden="false" customHeight="false" outlineLevel="0" collapsed="false">
      <c r="B9064" s="53"/>
      <c r="I9064" s="53"/>
      <c r="U9064" s="31" t="n">
        <f aca="false">IF($B9064='設定（最初に1回）'!$C$4,N(U9063)+1,N(U9063))</f>
        <v>134</v>
      </c>
    </row>
    <row r="9065" customFormat="false" ht="15" hidden="false" customHeight="false" outlineLevel="0" collapsed="false">
      <c r="B9065" s="53"/>
      <c r="I9065" s="53"/>
      <c r="U9065" s="31" t="n">
        <f aca="false">IF($B9065='設定（最初に1回）'!$C$4,N(U9064)+1,N(U9064))</f>
        <v>134</v>
      </c>
    </row>
    <row r="9066" customFormat="false" ht="15" hidden="false" customHeight="false" outlineLevel="0" collapsed="false">
      <c r="B9066" s="53"/>
      <c r="I9066" s="53"/>
      <c r="U9066" s="31" t="n">
        <f aca="false">IF($B9066='設定（最初に1回）'!$C$4,N(U9065)+1,N(U9065))</f>
        <v>134</v>
      </c>
    </row>
    <row r="9067" customFormat="false" ht="15" hidden="false" customHeight="false" outlineLevel="0" collapsed="false">
      <c r="B9067" s="53"/>
      <c r="I9067" s="53"/>
      <c r="U9067" s="31" t="n">
        <f aca="false">IF($B9067='設定（最初に1回）'!$C$4,N(U9066)+1,N(U9066))</f>
        <v>134</v>
      </c>
    </row>
    <row r="9068" customFormat="false" ht="15" hidden="false" customHeight="false" outlineLevel="0" collapsed="false">
      <c r="B9068" s="53"/>
      <c r="I9068" s="53"/>
      <c r="U9068" s="31" t="n">
        <f aca="false">IF($B9068='設定（最初に1回）'!$C$4,N(U9067)+1,N(U9067))</f>
        <v>134</v>
      </c>
    </row>
    <row r="9069" customFormat="false" ht="15" hidden="false" customHeight="false" outlineLevel="0" collapsed="false">
      <c r="B9069" s="53"/>
      <c r="I9069" s="53"/>
      <c r="U9069" s="31" t="n">
        <f aca="false">IF($B9069='設定（最初に1回）'!$C$4,N(U9068)+1,N(U9068))</f>
        <v>134</v>
      </c>
    </row>
    <row r="9070" customFormat="false" ht="15" hidden="false" customHeight="false" outlineLevel="0" collapsed="false">
      <c r="B9070" s="53"/>
      <c r="I9070" s="53"/>
      <c r="U9070" s="31" t="n">
        <f aca="false">IF($B9070='設定（最初に1回）'!$C$4,N(U9069)+1,N(U9069))</f>
        <v>134</v>
      </c>
    </row>
    <row r="9071" customFormat="false" ht="15" hidden="false" customHeight="false" outlineLevel="0" collapsed="false">
      <c r="B9071" s="53"/>
      <c r="I9071" s="53"/>
      <c r="U9071" s="31" t="n">
        <f aca="false">IF($B9071='設定（最初に1回）'!$C$4,N(U9070)+1,N(U9070))</f>
        <v>134</v>
      </c>
    </row>
    <row r="9072" customFormat="false" ht="15" hidden="false" customHeight="false" outlineLevel="0" collapsed="false">
      <c r="B9072" s="53"/>
      <c r="I9072" s="53"/>
      <c r="U9072" s="31" t="n">
        <f aca="false">IF($B9072='設定（最初に1回）'!$C$4,N(U9071)+1,N(U9071))</f>
        <v>134</v>
      </c>
    </row>
    <row r="9073" customFormat="false" ht="15" hidden="false" customHeight="false" outlineLevel="0" collapsed="false">
      <c r="B9073" s="53"/>
      <c r="I9073" s="53"/>
      <c r="U9073" s="31" t="n">
        <f aca="false">IF($B9073='設定（最初に1回）'!$C$4,N(U9072)+1,N(U9072))</f>
        <v>134</v>
      </c>
    </row>
    <row r="9074" customFormat="false" ht="15" hidden="false" customHeight="false" outlineLevel="0" collapsed="false">
      <c r="B9074" s="53"/>
      <c r="I9074" s="53"/>
      <c r="U9074" s="31" t="n">
        <f aca="false">IF($B9074='設定（最初に1回）'!$C$4,N(U9073)+1,N(U9073))</f>
        <v>134</v>
      </c>
    </row>
    <row r="9075" customFormat="false" ht="15" hidden="false" customHeight="false" outlineLevel="0" collapsed="false">
      <c r="B9075" s="53"/>
      <c r="I9075" s="53"/>
      <c r="U9075" s="31" t="n">
        <f aca="false">IF($B9075='設定（最初に1回）'!$C$4,N(U9074)+1,N(U9074))</f>
        <v>134</v>
      </c>
    </row>
    <row r="9076" customFormat="false" ht="15" hidden="false" customHeight="false" outlineLevel="0" collapsed="false">
      <c r="B9076" s="53"/>
      <c r="I9076" s="53"/>
      <c r="U9076" s="31" t="n">
        <f aca="false">IF($B9076='設定（最初に1回）'!$C$4,N(U9075)+1,N(U9075))</f>
        <v>134</v>
      </c>
    </row>
    <row r="9077" customFormat="false" ht="15" hidden="false" customHeight="false" outlineLevel="0" collapsed="false">
      <c r="B9077" s="53"/>
      <c r="I9077" s="53"/>
      <c r="U9077" s="31" t="n">
        <f aca="false">IF($B9077='設定（最初に1回）'!$C$4,N(U9076)+1,N(U9076))</f>
        <v>134</v>
      </c>
    </row>
    <row r="9078" customFormat="false" ht="15" hidden="false" customHeight="false" outlineLevel="0" collapsed="false">
      <c r="B9078" s="53"/>
      <c r="I9078" s="53"/>
      <c r="U9078" s="31" t="n">
        <f aca="false">IF($B9078='設定（最初に1回）'!$C$4,N(U9077)+1,N(U9077))</f>
        <v>134</v>
      </c>
    </row>
    <row r="9079" customFormat="false" ht="15" hidden="false" customHeight="false" outlineLevel="0" collapsed="false">
      <c r="B9079" s="53"/>
      <c r="I9079" s="53"/>
      <c r="U9079" s="31" t="n">
        <f aca="false">IF($B9079='設定（最初に1回）'!$C$4,N(U9078)+1,N(U9078))</f>
        <v>134</v>
      </c>
    </row>
    <row r="9080" customFormat="false" ht="15" hidden="false" customHeight="false" outlineLevel="0" collapsed="false">
      <c r="B9080" s="53"/>
      <c r="I9080" s="53"/>
      <c r="U9080" s="31" t="n">
        <f aca="false">IF($B9080='設定（最初に1回）'!$C$4,N(U9079)+1,N(U9079))</f>
        <v>134</v>
      </c>
    </row>
    <row r="9081" customFormat="false" ht="15" hidden="false" customHeight="false" outlineLevel="0" collapsed="false">
      <c r="B9081" s="53"/>
      <c r="I9081" s="53"/>
      <c r="U9081" s="31" t="n">
        <f aca="false">IF($B9081='設定（最初に1回）'!$C$4,N(U9080)+1,N(U9080))</f>
        <v>134</v>
      </c>
    </row>
    <row r="9082" customFormat="false" ht="15" hidden="false" customHeight="false" outlineLevel="0" collapsed="false">
      <c r="B9082" s="53"/>
      <c r="I9082" s="53"/>
      <c r="U9082" s="31" t="n">
        <f aca="false">IF($B9082='設定（最初に1回）'!$C$4,N(U9081)+1,N(U9081))</f>
        <v>134</v>
      </c>
    </row>
    <row r="9083" customFormat="false" ht="15" hidden="false" customHeight="false" outlineLevel="0" collapsed="false">
      <c r="B9083" s="53"/>
      <c r="I9083" s="53"/>
      <c r="U9083" s="31" t="n">
        <f aca="false">IF($B9083='設定（最初に1回）'!$C$4,N(U9082)+1,N(U9082))</f>
        <v>134</v>
      </c>
    </row>
    <row r="9084" customFormat="false" ht="15" hidden="false" customHeight="false" outlineLevel="0" collapsed="false">
      <c r="B9084" s="53"/>
      <c r="I9084" s="53"/>
      <c r="U9084" s="31" t="n">
        <f aca="false">IF($B9084='設定（最初に1回）'!$C$4,N(U9083)+1,N(U9083))</f>
        <v>134</v>
      </c>
    </row>
    <row r="9085" customFormat="false" ht="15" hidden="false" customHeight="false" outlineLevel="0" collapsed="false">
      <c r="B9085" s="53"/>
      <c r="I9085" s="53"/>
      <c r="U9085" s="31" t="n">
        <f aca="false">IF($B9085='設定（最初に1回）'!$C$4,N(U9084)+1,N(U9084))</f>
        <v>134</v>
      </c>
    </row>
    <row r="9086" customFormat="false" ht="15" hidden="false" customHeight="false" outlineLevel="0" collapsed="false">
      <c r="B9086" s="53"/>
      <c r="I9086" s="53"/>
      <c r="U9086" s="31" t="n">
        <f aca="false">IF($B9086='設定（最初に1回）'!$C$4,N(U9085)+1,N(U9085))</f>
        <v>134</v>
      </c>
    </row>
    <row r="9087" customFormat="false" ht="15" hidden="false" customHeight="false" outlineLevel="0" collapsed="false">
      <c r="B9087" s="53"/>
      <c r="I9087" s="53"/>
      <c r="U9087" s="31" t="n">
        <f aca="false">IF($B9087='設定（最初に1回）'!$C$4,N(U9086)+1,N(U9086))</f>
        <v>134</v>
      </c>
    </row>
    <row r="9088" customFormat="false" ht="15" hidden="false" customHeight="false" outlineLevel="0" collapsed="false">
      <c r="B9088" s="53"/>
      <c r="I9088" s="53"/>
      <c r="U9088" s="31" t="n">
        <f aca="false">IF($B9088='設定（最初に1回）'!$C$4,N(U9087)+1,N(U9087))</f>
        <v>134</v>
      </c>
    </row>
    <row r="9089" customFormat="false" ht="15" hidden="false" customHeight="false" outlineLevel="0" collapsed="false">
      <c r="B9089" s="53"/>
      <c r="I9089" s="53"/>
      <c r="U9089" s="31" t="n">
        <f aca="false">IF($B9089='設定（最初に1回）'!$C$4,N(U9088)+1,N(U9088))</f>
        <v>134</v>
      </c>
    </row>
    <row r="9090" customFormat="false" ht="15" hidden="false" customHeight="false" outlineLevel="0" collapsed="false">
      <c r="B9090" s="53"/>
      <c r="I9090" s="53"/>
      <c r="U9090" s="31" t="n">
        <f aca="false">IF($B9090='設定（最初に1回）'!$C$4,N(U9089)+1,N(U9089))</f>
        <v>134</v>
      </c>
    </row>
    <row r="9091" customFormat="false" ht="15" hidden="false" customHeight="false" outlineLevel="0" collapsed="false">
      <c r="B9091" s="53"/>
      <c r="I9091" s="53"/>
      <c r="U9091" s="31" t="n">
        <f aca="false">IF($B9091='設定（最初に1回）'!$C$4,N(U9090)+1,N(U9090))</f>
        <v>134</v>
      </c>
    </row>
    <row r="9092" customFormat="false" ht="15" hidden="false" customHeight="false" outlineLevel="0" collapsed="false">
      <c r="B9092" s="53"/>
      <c r="I9092" s="53"/>
      <c r="U9092" s="31" t="n">
        <f aca="false">IF($B9092='設定（最初に1回）'!$C$4,N(U9091)+1,N(U9091))</f>
        <v>134</v>
      </c>
    </row>
    <row r="9093" customFormat="false" ht="15" hidden="false" customHeight="false" outlineLevel="0" collapsed="false">
      <c r="B9093" s="53"/>
      <c r="I9093" s="53"/>
      <c r="U9093" s="31" t="n">
        <f aca="false">IF($B9093='設定（最初に1回）'!$C$4,N(U9092)+1,N(U9092))</f>
        <v>134</v>
      </c>
    </row>
    <row r="9094" customFormat="false" ht="15" hidden="false" customHeight="false" outlineLevel="0" collapsed="false">
      <c r="B9094" s="53"/>
      <c r="I9094" s="53"/>
      <c r="U9094" s="31" t="n">
        <f aca="false">IF($B9094='設定（最初に1回）'!$C$4,N(U9093)+1,N(U9093))</f>
        <v>134</v>
      </c>
    </row>
    <row r="9095" customFormat="false" ht="15" hidden="false" customHeight="false" outlineLevel="0" collapsed="false">
      <c r="B9095" s="53"/>
      <c r="I9095" s="53"/>
      <c r="U9095" s="31" t="n">
        <f aca="false">IF($B9095='設定（最初に1回）'!$C$4,N(U9094)+1,N(U9094))</f>
        <v>134</v>
      </c>
    </row>
    <row r="9096" customFormat="false" ht="15" hidden="false" customHeight="false" outlineLevel="0" collapsed="false">
      <c r="B9096" s="53"/>
      <c r="I9096" s="53"/>
      <c r="U9096" s="31" t="n">
        <f aca="false">IF($B9096='設定（最初に1回）'!$C$4,N(U9095)+1,N(U9095))</f>
        <v>134</v>
      </c>
    </row>
    <row r="9097" customFormat="false" ht="15" hidden="false" customHeight="false" outlineLevel="0" collapsed="false">
      <c r="B9097" s="53"/>
      <c r="I9097" s="53"/>
      <c r="U9097" s="31" t="n">
        <f aca="false">IF($B9097='設定（最初に1回）'!$C$4,N(U9096)+1,N(U9096))</f>
        <v>134</v>
      </c>
    </row>
    <row r="9098" customFormat="false" ht="15" hidden="false" customHeight="false" outlineLevel="0" collapsed="false">
      <c r="B9098" s="53"/>
      <c r="I9098" s="53"/>
      <c r="U9098" s="31" t="n">
        <f aca="false">IF($B9098='設定（最初に1回）'!$C$4,N(U9097)+1,N(U9097))</f>
        <v>134</v>
      </c>
    </row>
    <row r="9099" customFormat="false" ht="15" hidden="false" customHeight="false" outlineLevel="0" collapsed="false">
      <c r="B9099" s="53"/>
      <c r="I9099" s="53"/>
      <c r="U9099" s="31" t="n">
        <f aca="false">IF($B9099='設定（最初に1回）'!$C$4,N(U9098)+1,N(U9098))</f>
        <v>134</v>
      </c>
    </row>
    <row r="9100" customFormat="false" ht="15" hidden="false" customHeight="false" outlineLevel="0" collapsed="false">
      <c r="B9100" s="53"/>
      <c r="I9100" s="53"/>
      <c r="U9100" s="31" t="n">
        <f aca="false">IF($B9100='設定（最初に1回）'!$C$4,N(U9099)+1,N(U9099))</f>
        <v>134</v>
      </c>
    </row>
    <row r="9101" customFormat="false" ht="15" hidden="false" customHeight="false" outlineLevel="0" collapsed="false">
      <c r="B9101" s="53"/>
      <c r="I9101" s="53"/>
      <c r="U9101" s="31" t="n">
        <f aca="false">IF($B9101='設定（最初に1回）'!$C$4,N(U9100)+1,N(U9100))</f>
        <v>134</v>
      </c>
    </row>
    <row r="9102" customFormat="false" ht="15" hidden="false" customHeight="false" outlineLevel="0" collapsed="false">
      <c r="B9102" s="53"/>
      <c r="I9102" s="53"/>
      <c r="U9102" s="31" t="n">
        <f aca="false">IF($B9102='設定（最初に1回）'!$C$4,N(U9101)+1,N(U9101))</f>
        <v>134</v>
      </c>
    </row>
    <row r="9103" customFormat="false" ht="15" hidden="false" customHeight="false" outlineLevel="0" collapsed="false">
      <c r="B9103" s="53"/>
      <c r="I9103" s="53"/>
      <c r="U9103" s="31" t="n">
        <f aca="false">IF($B9103='設定（最初に1回）'!$C$4,N(U9102)+1,N(U9102))</f>
        <v>134</v>
      </c>
    </row>
    <row r="9104" customFormat="false" ht="15" hidden="false" customHeight="false" outlineLevel="0" collapsed="false">
      <c r="B9104" s="53"/>
      <c r="I9104" s="53"/>
      <c r="U9104" s="31" t="n">
        <f aca="false">IF($B9104='設定（最初に1回）'!$C$4,N(U9103)+1,N(U9103))</f>
        <v>134</v>
      </c>
    </row>
    <row r="9105" customFormat="false" ht="15" hidden="false" customHeight="false" outlineLevel="0" collapsed="false">
      <c r="B9105" s="53"/>
      <c r="I9105" s="53"/>
      <c r="U9105" s="31" t="n">
        <f aca="false">IF($B9105='設定（最初に1回）'!$C$4,N(U9104)+1,N(U9104))</f>
        <v>134</v>
      </c>
    </row>
    <row r="9106" customFormat="false" ht="15" hidden="false" customHeight="false" outlineLevel="0" collapsed="false">
      <c r="B9106" s="53"/>
      <c r="I9106" s="53"/>
      <c r="U9106" s="31" t="n">
        <f aca="false">IF($B9106='設定（最初に1回）'!$C$4,N(U9105)+1,N(U9105))</f>
        <v>134</v>
      </c>
    </row>
    <row r="9107" customFormat="false" ht="15" hidden="false" customHeight="false" outlineLevel="0" collapsed="false">
      <c r="B9107" s="53"/>
      <c r="I9107" s="53"/>
      <c r="U9107" s="31" t="n">
        <f aca="false">IF($B9107='設定（最初に1回）'!$C$4,N(U9106)+1,N(U9106))</f>
        <v>134</v>
      </c>
    </row>
    <row r="9108" customFormat="false" ht="15" hidden="false" customHeight="false" outlineLevel="0" collapsed="false">
      <c r="B9108" s="53"/>
      <c r="I9108" s="53"/>
      <c r="U9108" s="31" t="n">
        <f aca="false">IF($B9108='設定（最初に1回）'!$C$4,N(U9107)+1,N(U9107))</f>
        <v>134</v>
      </c>
    </row>
    <row r="9109" customFormat="false" ht="15" hidden="false" customHeight="false" outlineLevel="0" collapsed="false">
      <c r="B9109" s="53"/>
      <c r="I9109" s="53"/>
      <c r="U9109" s="31" t="n">
        <f aca="false">IF($B9109='設定（最初に1回）'!$C$4,N(U9108)+1,N(U9108))</f>
        <v>134</v>
      </c>
    </row>
    <row r="9110" customFormat="false" ht="15" hidden="false" customHeight="false" outlineLevel="0" collapsed="false">
      <c r="B9110" s="53"/>
      <c r="I9110" s="53"/>
      <c r="U9110" s="31" t="n">
        <f aca="false">IF($B9110='設定（最初に1回）'!$C$4,N(U9109)+1,N(U9109))</f>
        <v>134</v>
      </c>
    </row>
    <row r="9111" customFormat="false" ht="15" hidden="false" customHeight="false" outlineLevel="0" collapsed="false">
      <c r="B9111" s="53"/>
      <c r="I9111" s="53"/>
      <c r="U9111" s="31" t="n">
        <f aca="false">IF($B9111='設定（最初に1回）'!$C$4,N(U9110)+1,N(U9110))</f>
        <v>134</v>
      </c>
    </row>
    <row r="9112" customFormat="false" ht="15" hidden="false" customHeight="false" outlineLevel="0" collapsed="false">
      <c r="B9112" s="53"/>
      <c r="I9112" s="53"/>
      <c r="U9112" s="31" t="n">
        <f aca="false">IF($B9112='設定（最初に1回）'!$C$4,N(U9111)+1,N(U9111))</f>
        <v>134</v>
      </c>
    </row>
    <row r="9113" customFormat="false" ht="15" hidden="false" customHeight="false" outlineLevel="0" collapsed="false">
      <c r="B9113" s="53"/>
      <c r="I9113" s="53"/>
      <c r="U9113" s="31" t="n">
        <f aca="false">IF($B9113='設定（最初に1回）'!$C$4,N(U9112)+1,N(U9112))</f>
        <v>134</v>
      </c>
    </row>
    <row r="9114" customFormat="false" ht="15" hidden="false" customHeight="false" outlineLevel="0" collapsed="false">
      <c r="B9114" s="53"/>
      <c r="I9114" s="53"/>
      <c r="U9114" s="31" t="n">
        <f aca="false">IF($B9114='設定（最初に1回）'!$C$4,N(U9113)+1,N(U9113))</f>
        <v>134</v>
      </c>
    </row>
    <row r="9115" customFormat="false" ht="15" hidden="false" customHeight="false" outlineLevel="0" collapsed="false">
      <c r="B9115" s="53"/>
      <c r="I9115" s="53"/>
      <c r="U9115" s="31" t="n">
        <f aca="false">IF($B9115='設定（最初に1回）'!$C$4,N(U9114)+1,N(U9114))</f>
        <v>134</v>
      </c>
    </row>
    <row r="9116" customFormat="false" ht="15" hidden="false" customHeight="false" outlineLevel="0" collapsed="false">
      <c r="B9116" s="53"/>
      <c r="I9116" s="53"/>
      <c r="U9116" s="31" t="n">
        <f aca="false">IF($B9116='設定（最初に1回）'!$C$4,N(U9115)+1,N(U9115))</f>
        <v>134</v>
      </c>
    </row>
    <row r="9117" customFormat="false" ht="15" hidden="false" customHeight="false" outlineLevel="0" collapsed="false">
      <c r="B9117" s="53"/>
      <c r="I9117" s="53"/>
      <c r="U9117" s="31" t="n">
        <f aca="false">IF($B9117='設定（最初に1回）'!$C$4,N(U9116)+1,N(U9116))</f>
        <v>134</v>
      </c>
    </row>
    <row r="9118" customFormat="false" ht="15" hidden="false" customHeight="false" outlineLevel="0" collapsed="false">
      <c r="B9118" s="53"/>
      <c r="I9118" s="53"/>
      <c r="U9118" s="31" t="n">
        <f aca="false">IF($B9118='設定（最初に1回）'!$C$4,N(U9117)+1,N(U9117))</f>
        <v>134</v>
      </c>
    </row>
    <row r="9119" customFormat="false" ht="15" hidden="false" customHeight="false" outlineLevel="0" collapsed="false">
      <c r="B9119" s="53"/>
      <c r="I9119" s="53"/>
      <c r="U9119" s="31" t="n">
        <f aca="false">IF($B9119='設定（最初に1回）'!$C$4,N(U9118)+1,N(U9118))</f>
        <v>134</v>
      </c>
    </row>
    <row r="9120" customFormat="false" ht="15" hidden="false" customHeight="false" outlineLevel="0" collapsed="false">
      <c r="B9120" s="53"/>
      <c r="I9120" s="53"/>
      <c r="U9120" s="31" t="n">
        <f aca="false">IF($B9120='設定（最初に1回）'!$C$4,N(U9119)+1,N(U9119))</f>
        <v>134</v>
      </c>
    </row>
    <row r="9121" customFormat="false" ht="15" hidden="false" customHeight="false" outlineLevel="0" collapsed="false">
      <c r="B9121" s="53"/>
      <c r="I9121" s="53"/>
      <c r="U9121" s="31" t="n">
        <f aca="false">IF($B9121='設定（最初に1回）'!$C$4,N(U9120)+1,N(U9120))</f>
        <v>134</v>
      </c>
    </row>
    <row r="9122" customFormat="false" ht="15" hidden="false" customHeight="false" outlineLevel="0" collapsed="false">
      <c r="B9122" s="53"/>
      <c r="I9122" s="53"/>
      <c r="U9122" s="31" t="n">
        <f aca="false">IF($B9122='設定（最初に1回）'!$C$4,N(U9121)+1,N(U9121))</f>
        <v>134</v>
      </c>
    </row>
    <row r="9123" customFormat="false" ht="15" hidden="false" customHeight="false" outlineLevel="0" collapsed="false">
      <c r="B9123" s="53"/>
      <c r="I9123" s="53"/>
      <c r="U9123" s="31" t="n">
        <f aca="false">IF($B9123='設定（最初に1回）'!$C$4,N(U9122)+1,N(U9122))</f>
        <v>134</v>
      </c>
    </row>
    <row r="9124" customFormat="false" ht="15" hidden="false" customHeight="false" outlineLevel="0" collapsed="false">
      <c r="B9124" s="53"/>
      <c r="I9124" s="53"/>
      <c r="U9124" s="31" t="n">
        <f aca="false">IF($B9124='設定（最初に1回）'!$C$4,N(U9123)+1,N(U9123))</f>
        <v>134</v>
      </c>
    </row>
    <row r="9125" customFormat="false" ht="15" hidden="false" customHeight="false" outlineLevel="0" collapsed="false">
      <c r="B9125" s="53"/>
      <c r="I9125" s="53"/>
      <c r="U9125" s="31" t="n">
        <f aca="false">IF($B9125='設定（最初に1回）'!$C$4,N(U9124)+1,N(U9124))</f>
        <v>134</v>
      </c>
    </row>
    <row r="9126" customFormat="false" ht="15" hidden="false" customHeight="false" outlineLevel="0" collapsed="false">
      <c r="B9126" s="53"/>
      <c r="I9126" s="53"/>
      <c r="U9126" s="31" t="n">
        <f aca="false">IF($B9126='設定（最初に1回）'!$C$4,N(U9125)+1,N(U9125))</f>
        <v>134</v>
      </c>
    </row>
    <row r="9127" customFormat="false" ht="15" hidden="false" customHeight="false" outlineLevel="0" collapsed="false">
      <c r="B9127" s="53"/>
      <c r="I9127" s="53"/>
      <c r="U9127" s="31" t="n">
        <f aca="false">IF($B9127='設定（最初に1回）'!$C$4,N(U9126)+1,N(U9126))</f>
        <v>134</v>
      </c>
    </row>
    <row r="9128" customFormat="false" ht="15" hidden="false" customHeight="false" outlineLevel="0" collapsed="false">
      <c r="B9128" s="53"/>
      <c r="I9128" s="53"/>
      <c r="U9128" s="31" t="n">
        <f aca="false">IF($B9128='設定（最初に1回）'!$C$4,N(U9127)+1,N(U9127))</f>
        <v>134</v>
      </c>
    </row>
    <row r="9129" customFormat="false" ht="15" hidden="false" customHeight="false" outlineLevel="0" collapsed="false">
      <c r="B9129" s="53"/>
      <c r="I9129" s="53"/>
      <c r="U9129" s="31" t="n">
        <f aca="false">IF($B9129='設定（最初に1回）'!$C$4,N(U9128)+1,N(U9128))</f>
        <v>134</v>
      </c>
    </row>
    <row r="9130" customFormat="false" ht="15" hidden="false" customHeight="false" outlineLevel="0" collapsed="false">
      <c r="B9130" s="53"/>
      <c r="I9130" s="53"/>
      <c r="U9130" s="31" t="n">
        <f aca="false">IF($B9130='設定（最初に1回）'!$C$4,N(U9129)+1,N(U9129))</f>
        <v>134</v>
      </c>
    </row>
    <row r="9131" customFormat="false" ht="15" hidden="false" customHeight="false" outlineLevel="0" collapsed="false">
      <c r="B9131" s="53"/>
      <c r="I9131" s="53"/>
      <c r="U9131" s="31" t="n">
        <f aca="false">IF($B9131='設定（最初に1回）'!$C$4,N(U9130)+1,N(U9130))</f>
        <v>134</v>
      </c>
    </row>
    <row r="9132" customFormat="false" ht="15" hidden="false" customHeight="false" outlineLevel="0" collapsed="false">
      <c r="B9132" s="53"/>
      <c r="I9132" s="53"/>
      <c r="U9132" s="31" t="n">
        <f aca="false">IF($B9132='設定（最初に1回）'!$C$4,N(U9131)+1,N(U9131))</f>
        <v>134</v>
      </c>
    </row>
    <row r="9133" customFormat="false" ht="15" hidden="false" customHeight="false" outlineLevel="0" collapsed="false">
      <c r="B9133" s="53"/>
      <c r="I9133" s="53"/>
      <c r="U9133" s="31" t="n">
        <f aca="false">IF($B9133='設定（最初に1回）'!$C$4,N(U9132)+1,N(U9132))</f>
        <v>134</v>
      </c>
    </row>
    <row r="9134" customFormat="false" ht="15" hidden="false" customHeight="false" outlineLevel="0" collapsed="false">
      <c r="B9134" s="53"/>
      <c r="I9134" s="53"/>
      <c r="U9134" s="31" t="n">
        <f aca="false">IF($B9134='設定（最初に1回）'!$C$4,N(U9133)+1,N(U9133))</f>
        <v>134</v>
      </c>
    </row>
    <row r="9135" customFormat="false" ht="15" hidden="false" customHeight="false" outlineLevel="0" collapsed="false">
      <c r="B9135" s="53"/>
      <c r="I9135" s="53"/>
      <c r="U9135" s="31" t="n">
        <f aca="false">IF($B9135='設定（最初に1回）'!$C$4,N(U9134)+1,N(U9134))</f>
        <v>134</v>
      </c>
    </row>
    <row r="9136" customFormat="false" ht="15" hidden="false" customHeight="false" outlineLevel="0" collapsed="false">
      <c r="B9136" s="53"/>
      <c r="I9136" s="53"/>
      <c r="U9136" s="31" t="n">
        <f aca="false">IF($B9136='設定（最初に1回）'!$C$4,N(U9135)+1,N(U9135))</f>
        <v>134</v>
      </c>
    </row>
    <row r="9137" customFormat="false" ht="15" hidden="false" customHeight="false" outlineLevel="0" collapsed="false">
      <c r="B9137" s="53"/>
      <c r="I9137" s="53"/>
      <c r="U9137" s="31" t="n">
        <f aca="false">IF($B9137='設定（最初に1回）'!$C$4,N(U9136)+1,N(U9136))</f>
        <v>134</v>
      </c>
    </row>
    <row r="9138" customFormat="false" ht="15" hidden="false" customHeight="false" outlineLevel="0" collapsed="false">
      <c r="B9138" s="53"/>
      <c r="I9138" s="53"/>
      <c r="U9138" s="31" t="n">
        <f aca="false">IF($B9138='設定（最初に1回）'!$C$4,N(U9137)+1,N(U9137))</f>
        <v>134</v>
      </c>
    </row>
    <row r="9139" customFormat="false" ht="15" hidden="false" customHeight="false" outlineLevel="0" collapsed="false">
      <c r="B9139" s="53"/>
      <c r="I9139" s="53"/>
      <c r="U9139" s="31" t="n">
        <f aca="false">IF($B9139='設定（最初に1回）'!$C$4,N(U9138)+1,N(U9138))</f>
        <v>134</v>
      </c>
    </row>
    <row r="9140" customFormat="false" ht="15" hidden="false" customHeight="false" outlineLevel="0" collapsed="false">
      <c r="B9140" s="53"/>
      <c r="I9140" s="53"/>
      <c r="U9140" s="31" t="n">
        <f aca="false">IF($B9140='設定（最初に1回）'!$C$4,N(U9139)+1,N(U9139))</f>
        <v>134</v>
      </c>
    </row>
    <row r="9141" customFormat="false" ht="15" hidden="false" customHeight="false" outlineLevel="0" collapsed="false">
      <c r="B9141" s="53"/>
      <c r="I9141" s="53"/>
      <c r="U9141" s="31" t="n">
        <f aca="false">IF($B9141='設定（最初に1回）'!$C$4,N(U9140)+1,N(U9140))</f>
        <v>134</v>
      </c>
    </row>
    <row r="9142" customFormat="false" ht="15" hidden="false" customHeight="false" outlineLevel="0" collapsed="false">
      <c r="B9142" s="53"/>
      <c r="I9142" s="53"/>
      <c r="U9142" s="31" t="n">
        <f aca="false">IF($B9142='設定（最初に1回）'!$C$4,N(U9141)+1,N(U9141))</f>
        <v>134</v>
      </c>
    </row>
    <row r="9143" customFormat="false" ht="15" hidden="false" customHeight="false" outlineLevel="0" collapsed="false">
      <c r="B9143" s="53"/>
      <c r="I9143" s="53"/>
      <c r="U9143" s="31" t="n">
        <f aca="false">IF($B9143='設定（最初に1回）'!$C$4,N(U9142)+1,N(U9142))</f>
        <v>134</v>
      </c>
    </row>
    <row r="9144" customFormat="false" ht="15" hidden="false" customHeight="false" outlineLevel="0" collapsed="false">
      <c r="B9144" s="53"/>
      <c r="I9144" s="53"/>
      <c r="U9144" s="31" t="n">
        <f aca="false">IF($B9144='設定（最初に1回）'!$C$4,N(U9143)+1,N(U9143))</f>
        <v>134</v>
      </c>
    </row>
    <row r="9145" customFormat="false" ht="15" hidden="false" customHeight="false" outlineLevel="0" collapsed="false">
      <c r="B9145" s="53"/>
      <c r="I9145" s="53"/>
      <c r="U9145" s="31" t="n">
        <f aca="false">IF($B9145='設定（最初に1回）'!$C$4,N(U9144)+1,N(U9144))</f>
        <v>134</v>
      </c>
    </row>
    <row r="9146" customFormat="false" ht="15" hidden="false" customHeight="false" outlineLevel="0" collapsed="false">
      <c r="B9146" s="53"/>
      <c r="I9146" s="53"/>
      <c r="U9146" s="31" t="n">
        <f aca="false">IF($B9146='設定（最初に1回）'!$C$4,N(U9145)+1,N(U9145))</f>
        <v>134</v>
      </c>
    </row>
    <row r="9147" customFormat="false" ht="15" hidden="false" customHeight="false" outlineLevel="0" collapsed="false">
      <c r="B9147" s="53"/>
      <c r="I9147" s="53"/>
      <c r="U9147" s="31" t="n">
        <f aca="false">IF($B9147='設定（最初に1回）'!$C$4,N(U9146)+1,N(U9146))</f>
        <v>134</v>
      </c>
    </row>
    <row r="9148" customFormat="false" ht="15" hidden="false" customHeight="false" outlineLevel="0" collapsed="false">
      <c r="B9148" s="53"/>
      <c r="I9148" s="53"/>
      <c r="U9148" s="31" t="n">
        <f aca="false">IF($B9148='設定（最初に1回）'!$C$4,N(U9147)+1,N(U9147))</f>
        <v>134</v>
      </c>
    </row>
    <row r="9149" customFormat="false" ht="15" hidden="false" customHeight="false" outlineLevel="0" collapsed="false">
      <c r="B9149" s="53"/>
      <c r="I9149" s="53"/>
      <c r="U9149" s="31" t="n">
        <f aca="false">IF($B9149='設定（最初に1回）'!$C$4,N(U9148)+1,N(U9148))</f>
        <v>134</v>
      </c>
    </row>
    <row r="9150" customFormat="false" ht="15" hidden="false" customHeight="false" outlineLevel="0" collapsed="false">
      <c r="B9150" s="53"/>
      <c r="I9150" s="53"/>
      <c r="U9150" s="31" t="n">
        <f aca="false">IF($B9150='設定（最初に1回）'!$C$4,N(U9149)+1,N(U9149))</f>
        <v>134</v>
      </c>
    </row>
    <row r="9151" customFormat="false" ht="15" hidden="false" customHeight="false" outlineLevel="0" collapsed="false">
      <c r="B9151" s="53"/>
      <c r="I9151" s="53"/>
      <c r="U9151" s="31" t="n">
        <f aca="false">IF($B9151='設定（最初に1回）'!$C$4,N(U9150)+1,N(U9150))</f>
        <v>134</v>
      </c>
    </row>
    <row r="9152" customFormat="false" ht="15" hidden="false" customHeight="false" outlineLevel="0" collapsed="false">
      <c r="B9152" s="53"/>
      <c r="I9152" s="53"/>
      <c r="U9152" s="31" t="n">
        <f aca="false">IF($B9152='設定（最初に1回）'!$C$4,N(U9151)+1,N(U9151))</f>
        <v>134</v>
      </c>
    </row>
    <row r="9153" customFormat="false" ht="15" hidden="false" customHeight="false" outlineLevel="0" collapsed="false">
      <c r="B9153" s="53"/>
      <c r="I9153" s="53"/>
      <c r="U9153" s="31" t="n">
        <f aca="false">IF($B9153='設定（最初に1回）'!$C$4,N(U9152)+1,N(U9152))</f>
        <v>134</v>
      </c>
    </row>
    <row r="9154" customFormat="false" ht="15" hidden="false" customHeight="false" outlineLevel="0" collapsed="false">
      <c r="B9154" s="53"/>
      <c r="I9154" s="53"/>
      <c r="U9154" s="31" t="n">
        <f aca="false">IF($B9154='設定（最初に1回）'!$C$4,N(U9153)+1,N(U9153))</f>
        <v>134</v>
      </c>
    </row>
    <row r="9155" customFormat="false" ht="15" hidden="false" customHeight="false" outlineLevel="0" collapsed="false">
      <c r="B9155" s="53"/>
      <c r="I9155" s="53"/>
      <c r="U9155" s="31" t="n">
        <f aca="false">IF($B9155='設定（最初に1回）'!$C$4,N(U9154)+1,N(U9154))</f>
        <v>134</v>
      </c>
    </row>
    <row r="9156" customFormat="false" ht="15" hidden="false" customHeight="false" outlineLevel="0" collapsed="false">
      <c r="B9156" s="53"/>
      <c r="I9156" s="53"/>
      <c r="U9156" s="31" t="n">
        <f aca="false">IF($B9156='設定（最初に1回）'!$C$4,N(U9155)+1,N(U9155))</f>
        <v>134</v>
      </c>
    </row>
    <row r="9157" customFormat="false" ht="15" hidden="false" customHeight="false" outlineLevel="0" collapsed="false">
      <c r="B9157" s="53"/>
      <c r="I9157" s="53"/>
      <c r="U9157" s="31" t="n">
        <f aca="false">IF($B9157='設定（最初に1回）'!$C$4,N(U9156)+1,N(U9156))</f>
        <v>134</v>
      </c>
    </row>
    <row r="9158" customFormat="false" ht="15" hidden="false" customHeight="false" outlineLevel="0" collapsed="false">
      <c r="B9158" s="53"/>
      <c r="I9158" s="53"/>
      <c r="U9158" s="31" t="n">
        <f aca="false">IF($B9158='設定（最初に1回）'!$C$4,N(U9157)+1,N(U9157))</f>
        <v>134</v>
      </c>
    </row>
    <row r="9159" customFormat="false" ht="15" hidden="false" customHeight="false" outlineLevel="0" collapsed="false">
      <c r="B9159" s="53"/>
      <c r="I9159" s="53"/>
      <c r="U9159" s="31" t="n">
        <f aca="false">IF($B9159='設定（最初に1回）'!$C$4,N(U9158)+1,N(U9158))</f>
        <v>134</v>
      </c>
    </row>
    <row r="9160" customFormat="false" ht="15" hidden="false" customHeight="false" outlineLevel="0" collapsed="false">
      <c r="B9160" s="53"/>
      <c r="I9160" s="53"/>
      <c r="U9160" s="31" t="n">
        <f aca="false">IF($B9160='設定（最初に1回）'!$C$4,N(U9159)+1,N(U9159))</f>
        <v>134</v>
      </c>
    </row>
    <row r="9161" customFormat="false" ht="15" hidden="false" customHeight="false" outlineLevel="0" collapsed="false">
      <c r="B9161" s="53"/>
      <c r="I9161" s="53"/>
      <c r="U9161" s="31" t="n">
        <f aca="false">IF($B9161='設定（最初に1回）'!$C$4,N(U9160)+1,N(U9160))</f>
        <v>134</v>
      </c>
    </row>
    <row r="9162" customFormat="false" ht="15" hidden="false" customHeight="false" outlineLevel="0" collapsed="false">
      <c r="B9162" s="53"/>
      <c r="I9162" s="53"/>
      <c r="U9162" s="31" t="n">
        <f aca="false">IF($B9162='設定（最初に1回）'!$C$4,N(U9161)+1,N(U9161))</f>
        <v>134</v>
      </c>
    </row>
    <row r="9163" customFormat="false" ht="15" hidden="false" customHeight="false" outlineLevel="0" collapsed="false">
      <c r="B9163" s="53"/>
      <c r="I9163" s="53"/>
      <c r="U9163" s="31" t="n">
        <f aca="false">IF($B9163='設定（最初に1回）'!$C$4,N(U9162)+1,N(U9162))</f>
        <v>134</v>
      </c>
    </row>
    <row r="9164" customFormat="false" ht="15" hidden="false" customHeight="false" outlineLevel="0" collapsed="false">
      <c r="B9164" s="53"/>
      <c r="I9164" s="53"/>
      <c r="U9164" s="31" t="n">
        <f aca="false">IF($B9164='設定（最初に1回）'!$C$4,N(U9163)+1,N(U9163))</f>
        <v>134</v>
      </c>
    </row>
    <row r="9165" customFormat="false" ht="15" hidden="false" customHeight="false" outlineLevel="0" collapsed="false">
      <c r="B9165" s="53"/>
      <c r="I9165" s="53"/>
      <c r="U9165" s="31" t="n">
        <f aca="false">IF($B9165='設定（最初に1回）'!$C$4,N(U9164)+1,N(U9164))</f>
        <v>134</v>
      </c>
    </row>
    <row r="9166" customFormat="false" ht="15" hidden="false" customHeight="false" outlineLevel="0" collapsed="false">
      <c r="B9166" s="53"/>
      <c r="I9166" s="53"/>
      <c r="U9166" s="31" t="n">
        <f aca="false">IF($B9166='設定（最初に1回）'!$C$4,N(U9165)+1,N(U9165))</f>
        <v>134</v>
      </c>
    </row>
    <row r="9167" customFormat="false" ht="15" hidden="false" customHeight="false" outlineLevel="0" collapsed="false">
      <c r="B9167" s="53"/>
      <c r="I9167" s="53"/>
      <c r="U9167" s="31" t="n">
        <f aca="false">IF($B9167='設定（最初に1回）'!$C$4,N(U9166)+1,N(U9166))</f>
        <v>134</v>
      </c>
    </row>
    <row r="9168" customFormat="false" ht="15" hidden="false" customHeight="false" outlineLevel="0" collapsed="false">
      <c r="B9168" s="53"/>
      <c r="I9168" s="53"/>
      <c r="U9168" s="31" t="n">
        <f aca="false">IF($B9168='設定（最初に1回）'!$C$4,N(U9167)+1,N(U9167))</f>
        <v>134</v>
      </c>
    </row>
    <row r="9169" customFormat="false" ht="15" hidden="false" customHeight="false" outlineLevel="0" collapsed="false">
      <c r="B9169" s="53"/>
      <c r="I9169" s="53"/>
      <c r="U9169" s="31" t="n">
        <f aca="false">IF($B9169='設定（最初に1回）'!$C$4,N(U9168)+1,N(U9168))</f>
        <v>134</v>
      </c>
    </row>
    <row r="9170" customFormat="false" ht="15" hidden="false" customHeight="false" outlineLevel="0" collapsed="false">
      <c r="B9170" s="53"/>
      <c r="I9170" s="53"/>
      <c r="U9170" s="31" t="n">
        <f aca="false">IF($B9170='設定（最初に1回）'!$C$4,N(U9169)+1,N(U9169))</f>
        <v>134</v>
      </c>
    </row>
    <row r="9171" customFormat="false" ht="15" hidden="false" customHeight="false" outlineLevel="0" collapsed="false">
      <c r="B9171" s="53"/>
      <c r="I9171" s="53"/>
      <c r="U9171" s="31" t="n">
        <f aca="false">IF($B9171='設定（最初に1回）'!$C$4,N(U9170)+1,N(U9170))</f>
        <v>134</v>
      </c>
    </row>
    <row r="9172" customFormat="false" ht="15" hidden="false" customHeight="false" outlineLevel="0" collapsed="false">
      <c r="B9172" s="53"/>
      <c r="I9172" s="53"/>
      <c r="U9172" s="31" t="n">
        <f aca="false">IF($B9172='設定（最初に1回）'!$C$4,N(U9171)+1,N(U9171))</f>
        <v>134</v>
      </c>
    </row>
    <row r="9173" customFormat="false" ht="15" hidden="false" customHeight="false" outlineLevel="0" collapsed="false">
      <c r="B9173" s="53"/>
      <c r="I9173" s="53"/>
      <c r="U9173" s="31" t="n">
        <f aca="false">IF($B9173='設定（最初に1回）'!$C$4,N(U9172)+1,N(U9172))</f>
        <v>134</v>
      </c>
    </row>
    <row r="9174" customFormat="false" ht="15" hidden="false" customHeight="false" outlineLevel="0" collapsed="false">
      <c r="B9174" s="53"/>
      <c r="I9174" s="53"/>
      <c r="U9174" s="31" t="n">
        <f aca="false">IF($B9174='設定（最初に1回）'!$C$4,N(U9173)+1,N(U9173))</f>
        <v>134</v>
      </c>
    </row>
    <row r="9175" customFormat="false" ht="15" hidden="false" customHeight="false" outlineLevel="0" collapsed="false">
      <c r="B9175" s="53"/>
      <c r="I9175" s="53"/>
      <c r="U9175" s="31" t="n">
        <f aca="false">IF($B9175='設定（最初に1回）'!$C$4,N(U9174)+1,N(U9174))</f>
        <v>134</v>
      </c>
    </row>
    <row r="9176" customFormat="false" ht="15" hidden="false" customHeight="false" outlineLevel="0" collapsed="false">
      <c r="B9176" s="53"/>
      <c r="I9176" s="53"/>
      <c r="U9176" s="31" t="n">
        <f aca="false">IF($B9176='設定（最初に1回）'!$C$4,N(U9175)+1,N(U9175))</f>
        <v>134</v>
      </c>
    </row>
    <row r="9177" customFormat="false" ht="15" hidden="false" customHeight="false" outlineLevel="0" collapsed="false">
      <c r="B9177" s="53"/>
      <c r="I9177" s="53"/>
      <c r="U9177" s="31" t="n">
        <f aca="false">IF($B9177='設定（最初に1回）'!$C$4,N(U9176)+1,N(U9176))</f>
        <v>134</v>
      </c>
    </row>
    <row r="9178" customFormat="false" ht="15" hidden="false" customHeight="false" outlineLevel="0" collapsed="false">
      <c r="B9178" s="53"/>
      <c r="I9178" s="53"/>
      <c r="U9178" s="31" t="n">
        <f aca="false">IF($B9178='設定（最初に1回）'!$C$4,N(U9177)+1,N(U9177))</f>
        <v>134</v>
      </c>
    </row>
    <row r="9179" customFormat="false" ht="15" hidden="false" customHeight="false" outlineLevel="0" collapsed="false">
      <c r="B9179" s="53"/>
      <c r="I9179" s="53"/>
      <c r="U9179" s="31" t="n">
        <f aca="false">IF($B9179='設定（最初に1回）'!$C$4,N(U9178)+1,N(U9178))</f>
        <v>134</v>
      </c>
    </row>
    <row r="9180" customFormat="false" ht="15" hidden="false" customHeight="false" outlineLevel="0" collapsed="false">
      <c r="B9180" s="53"/>
      <c r="I9180" s="53"/>
      <c r="U9180" s="31" t="n">
        <f aca="false">IF($B9180='設定（最初に1回）'!$C$4,N(U9179)+1,N(U9179))</f>
        <v>134</v>
      </c>
    </row>
    <row r="9181" customFormat="false" ht="15" hidden="false" customHeight="false" outlineLevel="0" collapsed="false">
      <c r="B9181" s="53"/>
      <c r="I9181" s="53"/>
      <c r="U9181" s="31" t="n">
        <f aca="false">IF($B9181='設定（最初に1回）'!$C$4,N(U9180)+1,N(U9180))</f>
        <v>134</v>
      </c>
    </row>
    <row r="9182" customFormat="false" ht="15" hidden="false" customHeight="false" outlineLevel="0" collapsed="false">
      <c r="B9182" s="53"/>
      <c r="I9182" s="53"/>
      <c r="U9182" s="31" t="n">
        <f aca="false">IF($B9182='設定（最初に1回）'!$C$4,N(U9181)+1,N(U9181))</f>
        <v>134</v>
      </c>
    </row>
    <row r="9183" customFormat="false" ht="15" hidden="false" customHeight="false" outlineLevel="0" collapsed="false">
      <c r="B9183" s="53"/>
      <c r="I9183" s="53"/>
      <c r="U9183" s="31" t="n">
        <f aca="false">IF($B9183='設定（最初に1回）'!$C$4,N(U9182)+1,N(U9182))</f>
        <v>134</v>
      </c>
    </row>
    <row r="9184" customFormat="false" ht="15" hidden="false" customHeight="false" outlineLevel="0" collapsed="false">
      <c r="B9184" s="53"/>
      <c r="I9184" s="53"/>
      <c r="U9184" s="31" t="n">
        <f aca="false">IF($B9184='設定（最初に1回）'!$C$4,N(U9183)+1,N(U9183))</f>
        <v>134</v>
      </c>
    </row>
    <row r="9185" customFormat="false" ht="15" hidden="false" customHeight="false" outlineLevel="0" collapsed="false">
      <c r="B9185" s="53"/>
      <c r="I9185" s="53"/>
      <c r="U9185" s="31" t="n">
        <f aca="false">IF($B9185='設定（最初に1回）'!$C$4,N(U9184)+1,N(U9184))</f>
        <v>134</v>
      </c>
    </row>
    <row r="9186" customFormat="false" ht="15" hidden="false" customHeight="false" outlineLevel="0" collapsed="false">
      <c r="B9186" s="53"/>
      <c r="I9186" s="53"/>
      <c r="U9186" s="31" t="n">
        <f aca="false">IF($B9186='設定（最初に1回）'!$C$4,N(U9185)+1,N(U9185))</f>
        <v>134</v>
      </c>
    </row>
    <row r="9187" customFormat="false" ht="15" hidden="false" customHeight="false" outlineLevel="0" collapsed="false">
      <c r="B9187" s="53"/>
      <c r="I9187" s="53"/>
      <c r="U9187" s="31" t="n">
        <f aca="false">IF($B9187='設定（最初に1回）'!$C$4,N(U9186)+1,N(U9186))</f>
        <v>134</v>
      </c>
    </row>
    <row r="9188" customFormat="false" ht="15" hidden="false" customHeight="false" outlineLevel="0" collapsed="false">
      <c r="B9188" s="53"/>
      <c r="I9188" s="53"/>
      <c r="U9188" s="31" t="n">
        <f aca="false">IF($B9188='設定（最初に1回）'!$C$4,N(U9187)+1,N(U9187))</f>
        <v>134</v>
      </c>
    </row>
    <row r="9189" customFormat="false" ht="15" hidden="false" customHeight="false" outlineLevel="0" collapsed="false">
      <c r="B9189" s="53"/>
      <c r="I9189" s="53"/>
      <c r="U9189" s="31" t="n">
        <f aca="false">IF($B9189='設定（最初に1回）'!$C$4,N(U9188)+1,N(U9188))</f>
        <v>134</v>
      </c>
    </row>
    <row r="9190" customFormat="false" ht="15" hidden="false" customHeight="false" outlineLevel="0" collapsed="false">
      <c r="B9190" s="53"/>
      <c r="I9190" s="53"/>
      <c r="U9190" s="31" t="n">
        <f aca="false">IF($B9190='設定（最初に1回）'!$C$4,N(U9189)+1,N(U9189))</f>
        <v>134</v>
      </c>
    </row>
    <row r="9191" customFormat="false" ht="15" hidden="false" customHeight="false" outlineLevel="0" collapsed="false">
      <c r="B9191" s="53"/>
      <c r="I9191" s="53"/>
      <c r="U9191" s="31" t="n">
        <f aca="false">IF($B9191='設定（最初に1回）'!$C$4,N(U9190)+1,N(U9190))</f>
        <v>134</v>
      </c>
    </row>
    <row r="9192" customFormat="false" ht="15" hidden="false" customHeight="false" outlineLevel="0" collapsed="false">
      <c r="B9192" s="53"/>
      <c r="I9192" s="53"/>
      <c r="U9192" s="31" t="n">
        <f aca="false">IF($B9192='設定（最初に1回）'!$C$4,N(U9191)+1,N(U9191))</f>
        <v>134</v>
      </c>
    </row>
    <row r="9193" customFormat="false" ht="15" hidden="false" customHeight="false" outlineLevel="0" collapsed="false">
      <c r="B9193" s="53"/>
      <c r="I9193" s="53"/>
      <c r="U9193" s="31" t="n">
        <f aca="false">IF($B9193='設定（最初に1回）'!$C$4,N(U9192)+1,N(U9192))</f>
        <v>134</v>
      </c>
    </row>
    <row r="9194" customFormat="false" ht="15" hidden="false" customHeight="false" outlineLevel="0" collapsed="false">
      <c r="B9194" s="53"/>
      <c r="I9194" s="53"/>
      <c r="U9194" s="31" t="n">
        <f aca="false">IF($B9194='設定（最初に1回）'!$C$4,N(U9193)+1,N(U9193))</f>
        <v>134</v>
      </c>
    </row>
    <row r="9195" customFormat="false" ht="15" hidden="false" customHeight="false" outlineLevel="0" collapsed="false">
      <c r="B9195" s="53"/>
      <c r="I9195" s="53"/>
      <c r="U9195" s="31" t="n">
        <f aca="false">IF($B9195='設定（最初に1回）'!$C$4,N(U9194)+1,N(U9194))</f>
        <v>134</v>
      </c>
    </row>
    <row r="9196" customFormat="false" ht="15" hidden="false" customHeight="false" outlineLevel="0" collapsed="false">
      <c r="B9196" s="53"/>
      <c r="I9196" s="53"/>
      <c r="U9196" s="31" t="n">
        <f aca="false">IF($B9196='設定（最初に1回）'!$C$4,N(U9195)+1,N(U9195))</f>
        <v>134</v>
      </c>
    </row>
    <row r="9197" customFormat="false" ht="15" hidden="false" customHeight="false" outlineLevel="0" collapsed="false">
      <c r="B9197" s="53"/>
      <c r="I9197" s="53"/>
      <c r="U9197" s="31" t="n">
        <f aca="false">IF($B9197='設定（最初に1回）'!$C$4,N(U9196)+1,N(U9196))</f>
        <v>134</v>
      </c>
    </row>
    <row r="9198" customFormat="false" ht="15" hidden="false" customHeight="false" outlineLevel="0" collapsed="false">
      <c r="B9198" s="53"/>
      <c r="I9198" s="53"/>
      <c r="U9198" s="31" t="n">
        <f aca="false">IF($B9198='設定（最初に1回）'!$C$4,N(U9197)+1,N(U9197))</f>
        <v>134</v>
      </c>
    </row>
    <row r="9199" customFormat="false" ht="15" hidden="false" customHeight="false" outlineLevel="0" collapsed="false">
      <c r="B9199" s="53"/>
      <c r="I9199" s="53"/>
      <c r="U9199" s="31" t="n">
        <f aca="false">IF($B9199='設定（最初に1回）'!$C$4,N(U9198)+1,N(U9198))</f>
        <v>134</v>
      </c>
    </row>
    <row r="9200" customFormat="false" ht="15" hidden="false" customHeight="false" outlineLevel="0" collapsed="false">
      <c r="B9200" s="53"/>
      <c r="I9200" s="53"/>
      <c r="U9200" s="31" t="n">
        <f aca="false">IF($B9200='設定（最初に1回）'!$C$4,N(U9199)+1,N(U9199))</f>
        <v>134</v>
      </c>
    </row>
    <row r="9201" customFormat="false" ht="15" hidden="false" customHeight="false" outlineLevel="0" collapsed="false">
      <c r="B9201" s="53"/>
      <c r="I9201" s="53"/>
      <c r="U9201" s="31" t="n">
        <f aca="false">IF($B9201='設定（最初に1回）'!$C$4,N(U9200)+1,N(U9200))</f>
        <v>134</v>
      </c>
    </row>
    <row r="9202" customFormat="false" ht="15" hidden="false" customHeight="false" outlineLevel="0" collapsed="false">
      <c r="B9202" s="53"/>
      <c r="I9202" s="53"/>
      <c r="U9202" s="31" t="n">
        <f aca="false">IF($B9202='設定（最初に1回）'!$C$4,N(U9201)+1,N(U9201))</f>
        <v>134</v>
      </c>
    </row>
    <row r="9203" customFormat="false" ht="15" hidden="false" customHeight="false" outlineLevel="0" collapsed="false">
      <c r="B9203" s="53"/>
      <c r="I9203" s="53"/>
      <c r="U9203" s="31" t="n">
        <f aca="false">IF($B9203='設定（最初に1回）'!$C$4,N(U9202)+1,N(U9202))</f>
        <v>134</v>
      </c>
    </row>
    <row r="9204" customFormat="false" ht="15" hidden="false" customHeight="false" outlineLevel="0" collapsed="false">
      <c r="B9204" s="53"/>
      <c r="I9204" s="53"/>
      <c r="U9204" s="31" t="n">
        <f aca="false">IF($B9204='設定（最初に1回）'!$C$4,N(U9203)+1,N(U9203))</f>
        <v>134</v>
      </c>
    </row>
    <row r="9205" customFormat="false" ht="15" hidden="false" customHeight="false" outlineLevel="0" collapsed="false">
      <c r="B9205" s="53"/>
      <c r="I9205" s="53"/>
      <c r="U9205" s="31" t="n">
        <f aca="false">IF($B9205='設定（最初に1回）'!$C$4,N(U9204)+1,N(U9204))</f>
        <v>134</v>
      </c>
    </row>
    <row r="9206" customFormat="false" ht="15" hidden="false" customHeight="false" outlineLevel="0" collapsed="false">
      <c r="B9206" s="53"/>
      <c r="I9206" s="53"/>
      <c r="U9206" s="31" t="n">
        <f aca="false">IF($B9206='設定（最初に1回）'!$C$4,N(U9205)+1,N(U9205))</f>
        <v>134</v>
      </c>
    </row>
    <row r="9207" customFormat="false" ht="15" hidden="false" customHeight="false" outlineLevel="0" collapsed="false">
      <c r="B9207" s="53"/>
      <c r="I9207" s="53"/>
      <c r="U9207" s="31" t="n">
        <f aca="false">IF($B9207='設定（最初に1回）'!$C$4,N(U9206)+1,N(U9206))</f>
        <v>134</v>
      </c>
    </row>
    <row r="9208" customFormat="false" ht="15" hidden="false" customHeight="false" outlineLevel="0" collapsed="false">
      <c r="B9208" s="53"/>
      <c r="I9208" s="53"/>
      <c r="U9208" s="31" t="n">
        <f aca="false">IF($B9208='設定（最初に1回）'!$C$4,N(U9207)+1,N(U9207))</f>
        <v>134</v>
      </c>
    </row>
    <row r="9209" customFormat="false" ht="15" hidden="false" customHeight="false" outlineLevel="0" collapsed="false">
      <c r="B9209" s="53"/>
      <c r="I9209" s="53"/>
      <c r="U9209" s="31" t="n">
        <f aca="false">IF($B9209='設定（最初に1回）'!$C$4,N(U9208)+1,N(U9208))</f>
        <v>134</v>
      </c>
    </row>
    <row r="9210" customFormat="false" ht="15" hidden="false" customHeight="false" outlineLevel="0" collapsed="false">
      <c r="B9210" s="53"/>
      <c r="I9210" s="53"/>
      <c r="U9210" s="31" t="n">
        <f aca="false">IF($B9210='設定（最初に1回）'!$C$4,N(U9209)+1,N(U9209))</f>
        <v>134</v>
      </c>
    </row>
    <row r="9211" customFormat="false" ht="15" hidden="false" customHeight="false" outlineLevel="0" collapsed="false">
      <c r="B9211" s="53"/>
      <c r="I9211" s="53"/>
      <c r="U9211" s="31" t="n">
        <f aca="false">IF($B9211='設定（最初に1回）'!$C$4,N(U9210)+1,N(U9210))</f>
        <v>134</v>
      </c>
    </row>
    <row r="9212" customFormat="false" ht="15" hidden="false" customHeight="false" outlineLevel="0" collapsed="false">
      <c r="B9212" s="53"/>
      <c r="I9212" s="53"/>
      <c r="U9212" s="31" t="n">
        <f aca="false">IF($B9212='設定（最初に1回）'!$C$4,N(U9211)+1,N(U9211))</f>
        <v>134</v>
      </c>
    </row>
    <row r="9213" customFormat="false" ht="15" hidden="false" customHeight="false" outlineLevel="0" collapsed="false">
      <c r="B9213" s="53"/>
      <c r="I9213" s="53"/>
      <c r="U9213" s="31" t="n">
        <f aca="false">IF($B9213='設定（最初に1回）'!$C$4,N(U9212)+1,N(U9212))</f>
        <v>134</v>
      </c>
    </row>
    <row r="9214" customFormat="false" ht="15" hidden="false" customHeight="false" outlineLevel="0" collapsed="false">
      <c r="B9214" s="53"/>
      <c r="I9214" s="53"/>
      <c r="U9214" s="31" t="n">
        <f aca="false">IF($B9214='設定（最初に1回）'!$C$4,N(U9213)+1,N(U9213))</f>
        <v>134</v>
      </c>
    </row>
    <row r="9215" customFormat="false" ht="15" hidden="false" customHeight="false" outlineLevel="0" collapsed="false">
      <c r="B9215" s="53"/>
      <c r="I9215" s="53"/>
      <c r="U9215" s="31" t="n">
        <f aca="false">IF($B9215='設定（最初に1回）'!$C$4,N(U9214)+1,N(U9214))</f>
        <v>134</v>
      </c>
    </row>
    <row r="9216" customFormat="false" ht="15" hidden="false" customHeight="false" outlineLevel="0" collapsed="false">
      <c r="B9216" s="53"/>
      <c r="I9216" s="53"/>
      <c r="U9216" s="31" t="n">
        <f aca="false">IF($B9216='設定（最初に1回）'!$C$4,N(U9215)+1,N(U9215))</f>
        <v>134</v>
      </c>
    </row>
    <row r="9217" customFormat="false" ht="15" hidden="false" customHeight="false" outlineLevel="0" collapsed="false">
      <c r="B9217" s="53"/>
      <c r="I9217" s="53"/>
      <c r="U9217" s="31" t="n">
        <f aca="false">IF($B9217='設定（最初に1回）'!$C$4,N(U9216)+1,N(U9216))</f>
        <v>134</v>
      </c>
    </row>
    <row r="9218" customFormat="false" ht="15" hidden="false" customHeight="false" outlineLevel="0" collapsed="false">
      <c r="B9218" s="53"/>
      <c r="I9218" s="53"/>
      <c r="U9218" s="31" t="n">
        <f aca="false">IF($B9218='設定（最初に1回）'!$C$4,N(U9217)+1,N(U9217))</f>
        <v>134</v>
      </c>
    </row>
    <row r="9219" customFormat="false" ht="15" hidden="false" customHeight="false" outlineLevel="0" collapsed="false">
      <c r="B9219" s="53"/>
      <c r="I9219" s="53"/>
      <c r="U9219" s="31" t="n">
        <f aca="false">IF($B9219='設定（最初に1回）'!$C$4,N(U9218)+1,N(U9218))</f>
        <v>134</v>
      </c>
    </row>
    <row r="9220" customFormat="false" ht="15" hidden="false" customHeight="false" outlineLevel="0" collapsed="false">
      <c r="B9220" s="53"/>
      <c r="I9220" s="53"/>
      <c r="U9220" s="31" t="n">
        <f aca="false">IF($B9220='設定（最初に1回）'!$C$4,N(U9219)+1,N(U9219))</f>
        <v>134</v>
      </c>
    </row>
    <row r="9221" customFormat="false" ht="15" hidden="false" customHeight="false" outlineLevel="0" collapsed="false">
      <c r="B9221" s="53"/>
      <c r="I9221" s="53"/>
      <c r="U9221" s="31" t="n">
        <f aca="false">IF($B9221='設定（最初に1回）'!$C$4,N(U9220)+1,N(U9220))</f>
        <v>134</v>
      </c>
    </row>
    <row r="9222" customFormat="false" ht="15" hidden="false" customHeight="false" outlineLevel="0" collapsed="false">
      <c r="B9222" s="53"/>
      <c r="I9222" s="53"/>
      <c r="U9222" s="31" t="n">
        <f aca="false">IF($B9222='設定（最初に1回）'!$C$4,N(U9221)+1,N(U9221))</f>
        <v>134</v>
      </c>
    </row>
    <row r="9223" customFormat="false" ht="15" hidden="false" customHeight="false" outlineLevel="0" collapsed="false">
      <c r="B9223" s="53"/>
      <c r="I9223" s="53"/>
      <c r="U9223" s="31" t="n">
        <f aca="false">IF($B9223='設定（最初に1回）'!$C$4,N(U9222)+1,N(U9222))</f>
        <v>134</v>
      </c>
    </row>
    <row r="9224" customFormat="false" ht="15" hidden="false" customHeight="false" outlineLevel="0" collapsed="false">
      <c r="B9224" s="53"/>
      <c r="I9224" s="53"/>
      <c r="U9224" s="31" t="n">
        <f aca="false">IF($B9224='設定（最初に1回）'!$C$4,N(U9223)+1,N(U9223))</f>
        <v>134</v>
      </c>
    </row>
    <row r="9225" customFormat="false" ht="15" hidden="false" customHeight="false" outlineLevel="0" collapsed="false">
      <c r="B9225" s="53"/>
      <c r="I9225" s="53"/>
      <c r="U9225" s="31" t="n">
        <f aca="false">IF($B9225='設定（最初に1回）'!$C$4,N(U9224)+1,N(U9224))</f>
        <v>134</v>
      </c>
    </row>
    <row r="9226" customFormat="false" ht="15" hidden="false" customHeight="false" outlineLevel="0" collapsed="false">
      <c r="B9226" s="53"/>
      <c r="I9226" s="53"/>
      <c r="U9226" s="31" t="n">
        <f aca="false">IF($B9226='設定（最初に1回）'!$C$4,N(U9225)+1,N(U9225))</f>
        <v>134</v>
      </c>
    </row>
    <row r="9227" customFormat="false" ht="15" hidden="false" customHeight="false" outlineLevel="0" collapsed="false">
      <c r="B9227" s="53"/>
      <c r="I9227" s="53"/>
      <c r="U9227" s="31" t="n">
        <f aca="false">IF($B9227='設定（最初に1回）'!$C$4,N(U9226)+1,N(U9226))</f>
        <v>134</v>
      </c>
    </row>
    <row r="9228" customFormat="false" ht="15" hidden="false" customHeight="false" outlineLevel="0" collapsed="false">
      <c r="B9228" s="53"/>
      <c r="I9228" s="53"/>
      <c r="U9228" s="31" t="n">
        <f aca="false">IF($B9228='設定（最初に1回）'!$C$4,N(U9227)+1,N(U9227))</f>
        <v>134</v>
      </c>
    </row>
    <row r="9229" customFormat="false" ht="15" hidden="false" customHeight="false" outlineLevel="0" collapsed="false">
      <c r="B9229" s="53"/>
      <c r="I9229" s="53"/>
      <c r="U9229" s="31" t="n">
        <f aca="false">IF($B9229='設定（最初に1回）'!$C$4,N(U9228)+1,N(U9228))</f>
        <v>134</v>
      </c>
    </row>
    <row r="9230" customFormat="false" ht="15" hidden="false" customHeight="false" outlineLevel="0" collapsed="false">
      <c r="B9230" s="53"/>
      <c r="I9230" s="53"/>
      <c r="U9230" s="31" t="n">
        <f aca="false">IF($B9230='設定（最初に1回）'!$C$4,N(U9229)+1,N(U9229))</f>
        <v>134</v>
      </c>
    </row>
    <row r="9231" customFormat="false" ht="15" hidden="false" customHeight="false" outlineLevel="0" collapsed="false">
      <c r="B9231" s="53"/>
      <c r="I9231" s="53"/>
      <c r="U9231" s="31" t="n">
        <f aca="false">IF($B9231='設定（最初に1回）'!$C$4,N(U9230)+1,N(U9230))</f>
        <v>134</v>
      </c>
    </row>
    <row r="9232" customFormat="false" ht="15" hidden="false" customHeight="false" outlineLevel="0" collapsed="false">
      <c r="B9232" s="53"/>
      <c r="I9232" s="53"/>
      <c r="U9232" s="31" t="n">
        <f aca="false">IF($B9232='設定（最初に1回）'!$C$4,N(U9231)+1,N(U9231))</f>
        <v>134</v>
      </c>
    </row>
    <row r="9233" customFormat="false" ht="15" hidden="false" customHeight="false" outlineLevel="0" collapsed="false">
      <c r="B9233" s="53"/>
      <c r="I9233" s="53"/>
      <c r="U9233" s="31" t="n">
        <f aca="false">IF($B9233='設定（最初に1回）'!$C$4,N(U9232)+1,N(U9232))</f>
        <v>134</v>
      </c>
    </row>
    <row r="9234" customFormat="false" ht="15" hidden="false" customHeight="false" outlineLevel="0" collapsed="false">
      <c r="B9234" s="53"/>
      <c r="I9234" s="53"/>
      <c r="U9234" s="31" t="n">
        <f aca="false">IF($B9234='設定（最初に1回）'!$C$4,N(U9233)+1,N(U9233))</f>
        <v>134</v>
      </c>
    </row>
    <row r="9235" customFormat="false" ht="15" hidden="false" customHeight="false" outlineLevel="0" collapsed="false">
      <c r="B9235" s="53"/>
      <c r="I9235" s="53"/>
      <c r="U9235" s="31" t="n">
        <f aca="false">IF($B9235='設定（最初に1回）'!$C$4,N(U9234)+1,N(U9234))</f>
        <v>134</v>
      </c>
    </row>
    <row r="9236" customFormat="false" ht="15" hidden="false" customHeight="false" outlineLevel="0" collapsed="false">
      <c r="B9236" s="53"/>
      <c r="I9236" s="53"/>
      <c r="U9236" s="31" t="n">
        <f aca="false">IF($B9236='設定（最初に1回）'!$C$4,N(U9235)+1,N(U9235))</f>
        <v>134</v>
      </c>
    </row>
    <row r="9237" customFormat="false" ht="15" hidden="false" customHeight="false" outlineLevel="0" collapsed="false">
      <c r="B9237" s="53"/>
      <c r="I9237" s="53"/>
      <c r="U9237" s="31" t="n">
        <f aca="false">IF($B9237='設定（最初に1回）'!$C$4,N(U9236)+1,N(U9236))</f>
        <v>134</v>
      </c>
    </row>
    <row r="9238" customFormat="false" ht="15" hidden="false" customHeight="false" outlineLevel="0" collapsed="false">
      <c r="B9238" s="53"/>
      <c r="I9238" s="53"/>
      <c r="U9238" s="31" t="n">
        <f aca="false">IF($B9238='設定（最初に1回）'!$C$4,N(U9237)+1,N(U9237))</f>
        <v>134</v>
      </c>
    </row>
    <row r="9239" customFormat="false" ht="15" hidden="false" customHeight="false" outlineLevel="0" collapsed="false">
      <c r="B9239" s="53"/>
      <c r="I9239" s="53"/>
      <c r="U9239" s="31" t="n">
        <f aca="false">IF($B9239='設定（最初に1回）'!$C$4,N(U9238)+1,N(U9238))</f>
        <v>134</v>
      </c>
    </row>
    <row r="9240" customFormat="false" ht="15" hidden="false" customHeight="false" outlineLevel="0" collapsed="false">
      <c r="B9240" s="53"/>
      <c r="I9240" s="53"/>
      <c r="U9240" s="31" t="n">
        <f aca="false">IF($B9240='設定（最初に1回）'!$C$4,N(U9239)+1,N(U9239))</f>
        <v>134</v>
      </c>
    </row>
    <row r="9241" customFormat="false" ht="15" hidden="false" customHeight="false" outlineLevel="0" collapsed="false">
      <c r="B9241" s="53"/>
      <c r="I9241" s="53"/>
      <c r="U9241" s="31" t="n">
        <f aca="false">IF($B9241='設定（最初に1回）'!$C$4,N(U9240)+1,N(U9240))</f>
        <v>134</v>
      </c>
    </row>
    <row r="9242" customFormat="false" ht="15" hidden="false" customHeight="false" outlineLevel="0" collapsed="false">
      <c r="B9242" s="53"/>
      <c r="I9242" s="53"/>
      <c r="U9242" s="31" t="n">
        <f aca="false">IF($B9242='設定（最初に1回）'!$C$4,N(U9241)+1,N(U9241))</f>
        <v>134</v>
      </c>
    </row>
    <row r="9243" customFormat="false" ht="15" hidden="false" customHeight="false" outlineLevel="0" collapsed="false">
      <c r="B9243" s="53"/>
      <c r="I9243" s="53"/>
      <c r="U9243" s="31" t="n">
        <f aca="false">IF($B9243='設定（最初に1回）'!$C$4,N(U9242)+1,N(U9242))</f>
        <v>134</v>
      </c>
    </row>
    <row r="9244" customFormat="false" ht="15" hidden="false" customHeight="false" outlineLevel="0" collapsed="false">
      <c r="B9244" s="53"/>
      <c r="I9244" s="53"/>
      <c r="U9244" s="31" t="n">
        <f aca="false">IF($B9244='設定（最初に1回）'!$C$4,N(U9243)+1,N(U9243))</f>
        <v>134</v>
      </c>
    </row>
    <row r="9245" customFormat="false" ht="15" hidden="false" customHeight="false" outlineLevel="0" collapsed="false">
      <c r="B9245" s="53"/>
      <c r="I9245" s="53"/>
      <c r="U9245" s="31" t="n">
        <f aca="false">IF($B9245='設定（最初に1回）'!$C$4,N(U9244)+1,N(U9244))</f>
        <v>134</v>
      </c>
    </row>
    <row r="9246" customFormat="false" ht="15" hidden="false" customHeight="false" outlineLevel="0" collapsed="false">
      <c r="B9246" s="53"/>
      <c r="I9246" s="53"/>
      <c r="U9246" s="31" t="n">
        <f aca="false">IF($B9246='設定（最初に1回）'!$C$4,N(U9245)+1,N(U9245))</f>
        <v>134</v>
      </c>
    </row>
    <row r="9247" customFormat="false" ht="15" hidden="false" customHeight="false" outlineLevel="0" collapsed="false">
      <c r="B9247" s="53"/>
      <c r="I9247" s="53"/>
      <c r="U9247" s="31" t="n">
        <f aca="false">IF($B9247='設定（最初に1回）'!$C$4,N(U9246)+1,N(U9246))</f>
        <v>134</v>
      </c>
    </row>
    <row r="9248" customFormat="false" ht="15" hidden="false" customHeight="false" outlineLevel="0" collapsed="false">
      <c r="B9248" s="53"/>
      <c r="I9248" s="53"/>
      <c r="U9248" s="31" t="n">
        <f aca="false">IF($B9248='設定（最初に1回）'!$C$4,N(U9247)+1,N(U9247))</f>
        <v>134</v>
      </c>
    </row>
    <row r="9249" customFormat="false" ht="15" hidden="false" customHeight="false" outlineLevel="0" collapsed="false">
      <c r="B9249" s="53"/>
      <c r="I9249" s="53"/>
      <c r="U9249" s="31" t="n">
        <f aca="false">IF($B9249='設定（最初に1回）'!$C$4,N(U9248)+1,N(U9248))</f>
        <v>134</v>
      </c>
    </row>
    <row r="9250" customFormat="false" ht="15" hidden="false" customHeight="false" outlineLevel="0" collapsed="false">
      <c r="B9250" s="53"/>
      <c r="I9250" s="53"/>
      <c r="U9250" s="31" t="n">
        <f aca="false">IF($B9250='設定（最初に1回）'!$C$4,N(U9249)+1,N(U9249))</f>
        <v>134</v>
      </c>
    </row>
    <row r="9251" customFormat="false" ht="15" hidden="false" customHeight="false" outlineLevel="0" collapsed="false">
      <c r="B9251" s="53"/>
      <c r="I9251" s="53"/>
      <c r="U9251" s="31" t="n">
        <f aca="false">IF($B9251='設定（最初に1回）'!$C$4,N(U9250)+1,N(U9250))</f>
        <v>134</v>
      </c>
    </row>
    <row r="9252" customFormat="false" ht="15" hidden="false" customHeight="false" outlineLevel="0" collapsed="false">
      <c r="B9252" s="53"/>
      <c r="I9252" s="53"/>
      <c r="U9252" s="31" t="n">
        <f aca="false">IF($B9252='設定（最初に1回）'!$C$4,N(U9251)+1,N(U9251))</f>
        <v>134</v>
      </c>
    </row>
    <row r="9253" customFormat="false" ht="15" hidden="false" customHeight="false" outlineLevel="0" collapsed="false">
      <c r="B9253" s="53"/>
      <c r="I9253" s="53"/>
      <c r="U9253" s="31" t="n">
        <f aca="false">IF($B9253='設定（最初に1回）'!$C$4,N(U9252)+1,N(U9252))</f>
        <v>134</v>
      </c>
    </row>
    <row r="9254" customFormat="false" ht="15" hidden="false" customHeight="false" outlineLevel="0" collapsed="false">
      <c r="B9254" s="53"/>
      <c r="I9254" s="53"/>
      <c r="U9254" s="31" t="n">
        <f aca="false">IF($B9254='設定（最初に1回）'!$C$4,N(U9253)+1,N(U9253))</f>
        <v>134</v>
      </c>
    </row>
    <row r="9255" customFormat="false" ht="15" hidden="false" customHeight="false" outlineLevel="0" collapsed="false">
      <c r="B9255" s="53"/>
      <c r="I9255" s="53"/>
      <c r="U9255" s="31" t="n">
        <f aca="false">IF($B9255='設定（最初に1回）'!$C$4,N(U9254)+1,N(U9254))</f>
        <v>134</v>
      </c>
    </row>
    <row r="9256" customFormat="false" ht="15" hidden="false" customHeight="false" outlineLevel="0" collapsed="false">
      <c r="B9256" s="53"/>
      <c r="I9256" s="53"/>
      <c r="U9256" s="31" t="n">
        <f aca="false">IF($B9256='設定（最初に1回）'!$C$4,N(U9255)+1,N(U9255))</f>
        <v>134</v>
      </c>
    </row>
    <row r="9257" customFormat="false" ht="15" hidden="false" customHeight="false" outlineLevel="0" collapsed="false">
      <c r="B9257" s="53"/>
      <c r="I9257" s="53"/>
      <c r="U9257" s="31" t="n">
        <f aca="false">IF($B9257='設定（最初に1回）'!$C$4,N(U9256)+1,N(U9256))</f>
        <v>134</v>
      </c>
    </row>
    <row r="9258" customFormat="false" ht="15" hidden="false" customHeight="false" outlineLevel="0" collapsed="false">
      <c r="B9258" s="53"/>
      <c r="I9258" s="53"/>
      <c r="U9258" s="31" t="n">
        <f aca="false">IF($B9258='設定（最初に1回）'!$C$4,N(U9257)+1,N(U9257))</f>
        <v>134</v>
      </c>
    </row>
    <row r="9259" customFormat="false" ht="15" hidden="false" customHeight="false" outlineLevel="0" collapsed="false">
      <c r="B9259" s="53"/>
      <c r="I9259" s="53"/>
      <c r="U9259" s="31" t="n">
        <f aca="false">IF($B9259='設定（最初に1回）'!$C$4,N(U9258)+1,N(U9258))</f>
        <v>134</v>
      </c>
    </row>
    <row r="9260" customFormat="false" ht="15" hidden="false" customHeight="false" outlineLevel="0" collapsed="false">
      <c r="B9260" s="53"/>
      <c r="I9260" s="53"/>
      <c r="U9260" s="31" t="n">
        <f aca="false">IF($B9260='設定（最初に1回）'!$C$4,N(U9259)+1,N(U9259))</f>
        <v>134</v>
      </c>
    </row>
    <row r="9261" customFormat="false" ht="15" hidden="false" customHeight="false" outlineLevel="0" collapsed="false">
      <c r="B9261" s="53"/>
      <c r="I9261" s="53"/>
      <c r="U9261" s="31" t="n">
        <f aca="false">IF($B9261='設定（最初に1回）'!$C$4,N(U9260)+1,N(U9260))</f>
        <v>134</v>
      </c>
    </row>
    <row r="9262" customFormat="false" ht="15" hidden="false" customHeight="false" outlineLevel="0" collapsed="false">
      <c r="B9262" s="53"/>
      <c r="I9262" s="53"/>
      <c r="U9262" s="31" t="n">
        <f aca="false">IF($B9262='設定（最初に1回）'!$C$4,N(U9261)+1,N(U9261))</f>
        <v>134</v>
      </c>
    </row>
    <row r="9263" customFormat="false" ht="15" hidden="false" customHeight="false" outlineLevel="0" collapsed="false">
      <c r="B9263" s="53"/>
      <c r="I9263" s="53"/>
      <c r="U9263" s="31" t="n">
        <f aca="false">IF($B9263='設定（最初に1回）'!$C$4,N(U9262)+1,N(U9262))</f>
        <v>134</v>
      </c>
    </row>
    <row r="9264" customFormat="false" ht="15" hidden="false" customHeight="false" outlineLevel="0" collapsed="false">
      <c r="B9264" s="53"/>
      <c r="I9264" s="53"/>
      <c r="U9264" s="31" t="n">
        <f aca="false">IF($B9264='設定（最初に1回）'!$C$4,N(U9263)+1,N(U9263))</f>
        <v>134</v>
      </c>
    </row>
    <row r="9265" customFormat="false" ht="15" hidden="false" customHeight="false" outlineLevel="0" collapsed="false">
      <c r="B9265" s="53"/>
      <c r="I9265" s="53"/>
      <c r="U9265" s="31" t="n">
        <f aca="false">IF($B9265='設定（最初に1回）'!$C$4,N(U9264)+1,N(U9264))</f>
        <v>134</v>
      </c>
    </row>
    <row r="9266" customFormat="false" ht="15" hidden="false" customHeight="false" outlineLevel="0" collapsed="false">
      <c r="B9266" s="53"/>
      <c r="I9266" s="53"/>
      <c r="U9266" s="31" t="n">
        <f aca="false">IF($B9266='設定（最初に1回）'!$C$4,N(U9265)+1,N(U9265))</f>
        <v>134</v>
      </c>
    </row>
    <row r="9267" customFormat="false" ht="15" hidden="false" customHeight="false" outlineLevel="0" collapsed="false">
      <c r="B9267" s="53"/>
      <c r="I9267" s="53"/>
      <c r="U9267" s="31" t="n">
        <f aca="false">IF($B9267='設定（最初に1回）'!$C$4,N(U9266)+1,N(U9266))</f>
        <v>134</v>
      </c>
    </row>
    <row r="9268" customFormat="false" ht="15" hidden="false" customHeight="false" outlineLevel="0" collapsed="false">
      <c r="B9268" s="53"/>
      <c r="I9268" s="53"/>
      <c r="U9268" s="31" t="n">
        <f aca="false">IF($B9268='設定（最初に1回）'!$C$4,N(U9267)+1,N(U9267))</f>
        <v>134</v>
      </c>
    </row>
    <row r="9269" customFormat="false" ht="15" hidden="false" customHeight="false" outlineLevel="0" collapsed="false">
      <c r="B9269" s="53"/>
      <c r="I9269" s="53"/>
      <c r="U9269" s="31" t="n">
        <f aca="false">IF($B9269='設定（最初に1回）'!$C$4,N(U9268)+1,N(U9268))</f>
        <v>134</v>
      </c>
    </row>
    <row r="9270" customFormat="false" ht="15" hidden="false" customHeight="false" outlineLevel="0" collapsed="false">
      <c r="B9270" s="53"/>
      <c r="I9270" s="53"/>
      <c r="U9270" s="31" t="n">
        <f aca="false">IF($B9270='設定（最初に1回）'!$C$4,N(U9269)+1,N(U9269))</f>
        <v>134</v>
      </c>
    </row>
    <row r="9271" customFormat="false" ht="15" hidden="false" customHeight="false" outlineLevel="0" collapsed="false">
      <c r="B9271" s="53"/>
      <c r="I9271" s="53"/>
      <c r="U9271" s="31" t="n">
        <f aca="false">IF($B9271='設定（最初に1回）'!$C$4,N(U9270)+1,N(U9270))</f>
        <v>134</v>
      </c>
    </row>
    <row r="9272" customFormat="false" ht="15" hidden="false" customHeight="false" outlineLevel="0" collapsed="false">
      <c r="B9272" s="53"/>
      <c r="I9272" s="53"/>
      <c r="U9272" s="31" t="n">
        <f aca="false">IF($B9272='設定（最初に1回）'!$C$4,N(U9271)+1,N(U9271))</f>
        <v>134</v>
      </c>
    </row>
    <row r="9273" customFormat="false" ht="15" hidden="false" customHeight="false" outlineLevel="0" collapsed="false">
      <c r="B9273" s="53"/>
      <c r="I9273" s="53"/>
      <c r="U9273" s="31" t="n">
        <f aca="false">IF($B9273='設定（最初に1回）'!$C$4,N(U9272)+1,N(U9272))</f>
        <v>134</v>
      </c>
    </row>
    <row r="9274" customFormat="false" ht="15" hidden="false" customHeight="false" outlineLevel="0" collapsed="false">
      <c r="B9274" s="53"/>
      <c r="I9274" s="53"/>
      <c r="U9274" s="31" t="n">
        <f aca="false">IF($B9274='設定（最初に1回）'!$C$4,N(U9273)+1,N(U9273))</f>
        <v>134</v>
      </c>
    </row>
    <row r="9275" customFormat="false" ht="15" hidden="false" customHeight="false" outlineLevel="0" collapsed="false">
      <c r="B9275" s="53"/>
      <c r="I9275" s="53"/>
      <c r="U9275" s="31" t="n">
        <f aca="false">IF($B9275='設定（最初に1回）'!$C$4,N(U9274)+1,N(U9274))</f>
        <v>134</v>
      </c>
    </row>
    <row r="9276" customFormat="false" ht="15" hidden="false" customHeight="false" outlineLevel="0" collapsed="false">
      <c r="B9276" s="53"/>
      <c r="I9276" s="53"/>
      <c r="U9276" s="31" t="n">
        <f aca="false">IF($B9276='設定（最初に1回）'!$C$4,N(U9275)+1,N(U9275))</f>
        <v>134</v>
      </c>
    </row>
    <row r="9277" customFormat="false" ht="15" hidden="false" customHeight="false" outlineLevel="0" collapsed="false">
      <c r="B9277" s="53"/>
      <c r="I9277" s="53"/>
      <c r="U9277" s="31" t="n">
        <f aca="false">IF($B9277='設定（最初に1回）'!$C$4,N(U9276)+1,N(U9276))</f>
        <v>134</v>
      </c>
    </row>
    <row r="9278" customFormat="false" ht="15" hidden="false" customHeight="false" outlineLevel="0" collapsed="false">
      <c r="B9278" s="53"/>
      <c r="I9278" s="53"/>
      <c r="U9278" s="31" t="n">
        <f aca="false">IF($B9278='設定（最初に1回）'!$C$4,N(U9277)+1,N(U9277))</f>
        <v>134</v>
      </c>
    </row>
    <row r="9279" customFormat="false" ht="15" hidden="false" customHeight="false" outlineLevel="0" collapsed="false">
      <c r="B9279" s="53"/>
      <c r="I9279" s="53"/>
      <c r="U9279" s="31" t="n">
        <f aca="false">IF($B9279='設定（最初に1回）'!$C$4,N(U9278)+1,N(U9278))</f>
        <v>134</v>
      </c>
    </row>
    <row r="9280" customFormat="false" ht="15" hidden="false" customHeight="false" outlineLevel="0" collapsed="false">
      <c r="B9280" s="53"/>
      <c r="I9280" s="53"/>
      <c r="U9280" s="31" t="n">
        <f aca="false">IF($B9280='設定（最初に1回）'!$C$4,N(U9279)+1,N(U9279))</f>
        <v>134</v>
      </c>
    </row>
    <row r="9281" customFormat="false" ht="15" hidden="false" customHeight="false" outlineLevel="0" collapsed="false">
      <c r="B9281" s="53"/>
      <c r="I9281" s="53"/>
      <c r="U9281" s="31" t="n">
        <f aca="false">IF($B9281='設定（最初に1回）'!$C$4,N(U9280)+1,N(U9280))</f>
        <v>134</v>
      </c>
    </row>
    <row r="9282" customFormat="false" ht="15" hidden="false" customHeight="false" outlineLevel="0" collapsed="false">
      <c r="B9282" s="53"/>
      <c r="I9282" s="53"/>
      <c r="U9282" s="31" t="n">
        <f aca="false">IF($B9282='設定（最初に1回）'!$C$4,N(U9281)+1,N(U9281))</f>
        <v>134</v>
      </c>
    </row>
    <row r="9283" customFormat="false" ht="15" hidden="false" customHeight="false" outlineLevel="0" collapsed="false">
      <c r="B9283" s="53"/>
      <c r="I9283" s="53"/>
      <c r="U9283" s="31" t="n">
        <f aca="false">IF($B9283='設定（最初に1回）'!$C$4,N(U9282)+1,N(U9282))</f>
        <v>134</v>
      </c>
    </row>
    <row r="9284" customFormat="false" ht="15" hidden="false" customHeight="false" outlineLevel="0" collapsed="false">
      <c r="B9284" s="53"/>
      <c r="I9284" s="53"/>
      <c r="U9284" s="31" t="n">
        <f aca="false">IF($B9284='設定（最初に1回）'!$C$4,N(U9283)+1,N(U9283))</f>
        <v>134</v>
      </c>
    </row>
    <row r="9285" customFormat="false" ht="15" hidden="false" customHeight="false" outlineLevel="0" collapsed="false">
      <c r="B9285" s="53"/>
      <c r="I9285" s="53"/>
      <c r="U9285" s="31" t="n">
        <f aca="false">IF($B9285='設定（最初に1回）'!$C$4,N(U9284)+1,N(U9284))</f>
        <v>134</v>
      </c>
    </row>
    <row r="9286" customFormat="false" ht="15" hidden="false" customHeight="false" outlineLevel="0" collapsed="false">
      <c r="B9286" s="53"/>
      <c r="I9286" s="53"/>
      <c r="U9286" s="31" t="n">
        <f aca="false">IF($B9286='設定（最初に1回）'!$C$4,N(U9285)+1,N(U9285))</f>
        <v>134</v>
      </c>
    </row>
    <row r="9287" customFormat="false" ht="15" hidden="false" customHeight="false" outlineLevel="0" collapsed="false">
      <c r="B9287" s="53"/>
      <c r="I9287" s="53"/>
      <c r="U9287" s="31" t="n">
        <f aca="false">IF($B9287='設定（最初に1回）'!$C$4,N(U9286)+1,N(U9286))</f>
        <v>134</v>
      </c>
    </row>
    <row r="9288" customFormat="false" ht="15" hidden="false" customHeight="false" outlineLevel="0" collapsed="false">
      <c r="B9288" s="53"/>
      <c r="I9288" s="53"/>
      <c r="U9288" s="31" t="n">
        <f aca="false">IF($B9288='設定（最初に1回）'!$C$4,N(U9287)+1,N(U9287))</f>
        <v>134</v>
      </c>
    </row>
    <row r="9289" customFormat="false" ht="15" hidden="false" customHeight="false" outlineLevel="0" collapsed="false">
      <c r="B9289" s="53"/>
      <c r="I9289" s="53"/>
      <c r="U9289" s="31" t="n">
        <f aca="false">IF($B9289='設定（最初に1回）'!$C$4,N(U9288)+1,N(U9288))</f>
        <v>134</v>
      </c>
    </row>
    <row r="9290" customFormat="false" ht="15" hidden="false" customHeight="false" outlineLevel="0" collapsed="false">
      <c r="B9290" s="53"/>
      <c r="I9290" s="53"/>
      <c r="U9290" s="31" t="n">
        <f aca="false">IF($B9290='設定（最初に1回）'!$C$4,N(U9289)+1,N(U9289))</f>
        <v>134</v>
      </c>
    </row>
    <row r="9291" customFormat="false" ht="15" hidden="false" customHeight="false" outlineLevel="0" collapsed="false">
      <c r="B9291" s="53"/>
      <c r="I9291" s="53"/>
      <c r="U9291" s="31" t="n">
        <f aca="false">IF($B9291='設定（最初に1回）'!$C$4,N(U9290)+1,N(U9290))</f>
        <v>134</v>
      </c>
    </row>
    <row r="9292" customFormat="false" ht="15" hidden="false" customHeight="false" outlineLevel="0" collapsed="false">
      <c r="B9292" s="53"/>
      <c r="I9292" s="53"/>
      <c r="U9292" s="31" t="n">
        <f aca="false">IF($B9292='設定（最初に1回）'!$C$4,N(U9291)+1,N(U9291))</f>
        <v>134</v>
      </c>
    </row>
    <row r="9293" customFormat="false" ht="15" hidden="false" customHeight="false" outlineLevel="0" collapsed="false">
      <c r="B9293" s="53"/>
      <c r="I9293" s="53"/>
      <c r="U9293" s="31" t="n">
        <f aca="false">IF($B9293='設定（最初に1回）'!$C$4,N(U9292)+1,N(U9292))</f>
        <v>134</v>
      </c>
    </row>
    <row r="9294" customFormat="false" ht="15" hidden="false" customHeight="false" outlineLevel="0" collapsed="false">
      <c r="B9294" s="53"/>
      <c r="I9294" s="53"/>
      <c r="U9294" s="31" t="n">
        <f aca="false">IF($B9294='設定（最初に1回）'!$C$4,N(U9293)+1,N(U9293))</f>
        <v>134</v>
      </c>
    </row>
    <row r="9295" customFormat="false" ht="15" hidden="false" customHeight="false" outlineLevel="0" collapsed="false">
      <c r="B9295" s="53"/>
      <c r="I9295" s="53"/>
      <c r="U9295" s="31" t="n">
        <f aca="false">IF($B9295='設定（最初に1回）'!$C$4,N(U9294)+1,N(U9294))</f>
        <v>134</v>
      </c>
    </row>
    <row r="9296" customFormat="false" ht="15" hidden="false" customHeight="false" outlineLevel="0" collapsed="false">
      <c r="B9296" s="53"/>
      <c r="I9296" s="53"/>
      <c r="U9296" s="31" t="n">
        <f aca="false">IF($B9296='設定（最初に1回）'!$C$4,N(U9295)+1,N(U9295))</f>
        <v>134</v>
      </c>
    </row>
    <row r="9297" customFormat="false" ht="15" hidden="false" customHeight="false" outlineLevel="0" collapsed="false">
      <c r="B9297" s="53"/>
      <c r="I9297" s="53"/>
      <c r="U9297" s="31" t="n">
        <f aca="false">IF($B9297='設定（最初に1回）'!$C$4,N(U9296)+1,N(U9296))</f>
        <v>134</v>
      </c>
    </row>
    <row r="9298" customFormat="false" ht="15" hidden="false" customHeight="false" outlineLevel="0" collapsed="false">
      <c r="B9298" s="53"/>
      <c r="I9298" s="53"/>
      <c r="U9298" s="31" t="n">
        <f aca="false">IF($B9298='設定（最初に1回）'!$C$4,N(U9297)+1,N(U9297))</f>
        <v>134</v>
      </c>
    </row>
    <row r="9299" customFormat="false" ht="15" hidden="false" customHeight="false" outlineLevel="0" collapsed="false">
      <c r="B9299" s="53"/>
      <c r="I9299" s="53"/>
      <c r="U9299" s="31" t="n">
        <f aca="false">IF($B9299='設定（最初に1回）'!$C$4,N(U9298)+1,N(U9298))</f>
        <v>134</v>
      </c>
    </row>
    <row r="9300" customFormat="false" ht="15" hidden="false" customHeight="false" outlineLevel="0" collapsed="false">
      <c r="B9300" s="53"/>
      <c r="I9300" s="53"/>
      <c r="U9300" s="31" t="n">
        <f aca="false">IF($B9300='設定（最初に1回）'!$C$4,N(U9299)+1,N(U9299))</f>
        <v>134</v>
      </c>
    </row>
    <row r="9301" customFormat="false" ht="15" hidden="false" customHeight="false" outlineLevel="0" collapsed="false">
      <c r="B9301" s="53"/>
      <c r="I9301" s="53"/>
      <c r="U9301" s="31" t="n">
        <f aca="false">IF($B9301='設定（最初に1回）'!$C$4,N(U9300)+1,N(U9300))</f>
        <v>134</v>
      </c>
    </row>
    <row r="9302" customFormat="false" ht="15" hidden="false" customHeight="false" outlineLevel="0" collapsed="false">
      <c r="B9302" s="53"/>
      <c r="I9302" s="53"/>
      <c r="U9302" s="31" t="n">
        <f aca="false">IF($B9302='設定（最初に1回）'!$C$4,N(U9301)+1,N(U9301))</f>
        <v>134</v>
      </c>
    </row>
    <row r="9303" customFormat="false" ht="15" hidden="false" customHeight="false" outlineLevel="0" collapsed="false">
      <c r="B9303" s="53"/>
      <c r="I9303" s="53"/>
      <c r="U9303" s="31" t="n">
        <f aca="false">IF($B9303='設定（最初に1回）'!$C$4,N(U9302)+1,N(U9302))</f>
        <v>134</v>
      </c>
    </row>
    <row r="9304" customFormat="false" ht="15" hidden="false" customHeight="false" outlineLevel="0" collapsed="false">
      <c r="B9304" s="53"/>
      <c r="I9304" s="53"/>
      <c r="U9304" s="31" t="n">
        <f aca="false">IF($B9304='設定（最初に1回）'!$C$4,N(U9303)+1,N(U9303))</f>
        <v>134</v>
      </c>
    </row>
    <row r="9305" customFormat="false" ht="15" hidden="false" customHeight="false" outlineLevel="0" collapsed="false">
      <c r="B9305" s="53"/>
      <c r="I9305" s="53"/>
      <c r="U9305" s="31" t="n">
        <f aca="false">IF($B9305='設定（最初に1回）'!$C$4,N(U9304)+1,N(U9304))</f>
        <v>134</v>
      </c>
    </row>
    <row r="9306" customFormat="false" ht="15" hidden="false" customHeight="false" outlineLevel="0" collapsed="false">
      <c r="B9306" s="53"/>
      <c r="I9306" s="53"/>
      <c r="U9306" s="31" t="n">
        <f aca="false">IF($B9306='設定（最初に1回）'!$C$4,N(U9305)+1,N(U9305))</f>
        <v>134</v>
      </c>
    </row>
    <row r="9307" customFormat="false" ht="15" hidden="false" customHeight="false" outlineLevel="0" collapsed="false">
      <c r="B9307" s="53"/>
      <c r="I9307" s="53"/>
      <c r="U9307" s="31" t="n">
        <f aca="false">IF($B9307='設定（最初に1回）'!$C$4,N(U9306)+1,N(U9306))</f>
        <v>134</v>
      </c>
    </row>
    <row r="9308" customFormat="false" ht="15" hidden="false" customHeight="false" outlineLevel="0" collapsed="false">
      <c r="B9308" s="53"/>
      <c r="I9308" s="53"/>
      <c r="U9308" s="31" t="n">
        <f aca="false">IF($B9308='設定（最初に1回）'!$C$4,N(U9307)+1,N(U9307))</f>
        <v>134</v>
      </c>
    </row>
    <row r="9309" customFormat="false" ht="15" hidden="false" customHeight="false" outlineLevel="0" collapsed="false">
      <c r="B9309" s="53"/>
      <c r="I9309" s="53"/>
      <c r="U9309" s="31" t="n">
        <f aca="false">IF($B9309='設定（最初に1回）'!$C$4,N(U9308)+1,N(U9308))</f>
        <v>134</v>
      </c>
    </row>
    <row r="9310" customFormat="false" ht="15" hidden="false" customHeight="false" outlineLevel="0" collapsed="false">
      <c r="B9310" s="53"/>
      <c r="I9310" s="53"/>
      <c r="U9310" s="31" t="n">
        <f aca="false">IF($B9310='設定（最初に1回）'!$C$4,N(U9309)+1,N(U9309))</f>
        <v>134</v>
      </c>
    </row>
    <row r="9311" customFormat="false" ht="15" hidden="false" customHeight="false" outlineLevel="0" collapsed="false">
      <c r="B9311" s="53"/>
      <c r="I9311" s="53"/>
      <c r="U9311" s="31" t="n">
        <f aca="false">IF($B9311='設定（最初に1回）'!$C$4,N(U9310)+1,N(U9310))</f>
        <v>134</v>
      </c>
    </row>
    <row r="9312" customFormat="false" ht="15" hidden="false" customHeight="false" outlineLevel="0" collapsed="false">
      <c r="B9312" s="53"/>
      <c r="I9312" s="53"/>
      <c r="U9312" s="31" t="n">
        <f aca="false">IF($B9312='設定（最初に1回）'!$C$4,N(U9311)+1,N(U9311))</f>
        <v>134</v>
      </c>
    </row>
    <row r="9313" customFormat="false" ht="15" hidden="false" customHeight="false" outlineLevel="0" collapsed="false">
      <c r="B9313" s="53"/>
      <c r="I9313" s="53"/>
      <c r="U9313" s="31" t="n">
        <f aca="false">IF($B9313='設定（最初に1回）'!$C$4,N(U9312)+1,N(U9312))</f>
        <v>134</v>
      </c>
    </row>
    <row r="9314" customFormat="false" ht="15" hidden="false" customHeight="false" outlineLevel="0" collapsed="false">
      <c r="B9314" s="53"/>
      <c r="I9314" s="53"/>
      <c r="U9314" s="31" t="n">
        <f aca="false">IF($B9314='設定（最初に1回）'!$C$4,N(U9313)+1,N(U9313))</f>
        <v>134</v>
      </c>
    </row>
    <row r="9315" customFormat="false" ht="15" hidden="false" customHeight="false" outlineLevel="0" collapsed="false">
      <c r="B9315" s="53"/>
      <c r="I9315" s="53"/>
      <c r="U9315" s="31" t="n">
        <f aca="false">IF($B9315='設定（最初に1回）'!$C$4,N(U9314)+1,N(U9314))</f>
        <v>134</v>
      </c>
    </row>
    <row r="9316" customFormat="false" ht="15" hidden="false" customHeight="false" outlineLevel="0" collapsed="false">
      <c r="B9316" s="53"/>
      <c r="I9316" s="53"/>
      <c r="U9316" s="31" t="n">
        <f aca="false">IF($B9316='設定（最初に1回）'!$C$4,N(U9315)+1,N(U9315))</f>
        <v>134</v>
      </c>
    </row>
    <row r="9317" customFormat="false" ht="15" hidden="false" customHeight="false" outlineLevel="0" collapsed="false">
      <c r="B9317" s="53"/>
      <c r="I9317" s="53"/>
      <c r="U9317" s="31" t="n">
        <f aca="false">IF($B9317='設定（最初に1回）'!$C$4,N(U9316)+1,N(U9316))</f>
        <v>134</v>
      </c>
    </row>
    <row r="9318" customFormat="false" ht="15" hidden="false" customHeight="false" outlineLevel="0" collapsed="false">
      <c r="B9318" s="53"/>
      <c r="I9318" s="53"/>
      <c r="U9318" s="31" t="n">
        <f aca="false">IF($B9318='設定（最初に1回）'!$C$4,N(U9317)+1,N(U9317))</f>
        <v>134</v>
      </c>
    </row>
    <row r="9319" customFormat="false" ht="15" hidden="false" customHeight="false" outlineLevel="0" collapsed="false">
      <c r="B9319" s="53"/>
      <c r="I9319" s="53"/>
      <c r="U9319" s="31" t="n">
        <f aca="false">IF($B9319='設定（最初に1回）'!$C$4,N(U9318)+1,N(U9318))</f>
        <v>134</v>
      </c>
    </row>
    <row r="9320" customFormat="false" ht="15" hidden="false" customHeight="false" outlineLevel="0" collapsed="false">
      <c r="B9320" s="53"/>
      <c r="I9320" s="53"/>
      <c r="U9320" s="31" t="n">
        <f aca="false">IF($B9320='設定（最初に1回）'!$C$4,N(U9319)+1,N(U9319))</f>
        <v>134</v>
      </c>
    </row>
    <row r="9321" customFormat="false" ht="15" hidden="false" customHeight="false" outlineLevel="0" collapsed="false">
      <c r="B9321" s="53"/>
      <c r="I9321" s="53"/>
      <c r="U9321" s="31" t="n">
        <f aca="false">IF($B9321='設定（最初に1回）'!$C$4,N(U9320)+1,N(U9320))</f>
        <v>134</v>
      </c>
    </row>
    <row r="9322" customFormat="false" ht="15" hidden="false" customHeight="false" outlineLevel="0" collapsed="false">
      <c r="B9322" s="53"/>
      <c r="I9322" s="53"/>
      <c r="U9322" s="31" t="n">
        <f aca="false">IF($B9322='設定（最初に1回）'!$C$4,N(U9321)+1,N(U9321))</f>
        <v>134</v>
      </c>
    </row>
    <row r="9323" customFormat="false" ht="15" hidden="false" customHeight="false" outlineLevel="0" collapsed="false">
      <c r="B9323" s="53"/>
      <c r="I9323" s="53"/>
      <c r="U9323" s="31" t="n">
        <f aca="false">IF($B9323='設定（最初に1回）'!$C$4,N(U9322)+1,N(U9322))</f>
        <v>134</v>
      </c>
    </row>
    <row r="9324" customFormat="false" ht="15" hidden="false" customHeight="false" outlineLevel="0" collapsed="false">
      <c r="B9324" s="53"/>
      <c r="I9324" s="53"/>
      <c r="U9324" s="31" t="n">
        <f aca="false">IF($B9324='設定（最初に1回）'!$C$4,N(U9323)+1,N(U9323))</f>
        <v>134</v>
      </c>
    </row>
    <row r="9325" customFormat="false" ht="15" hidden="false" customHeight="false" outlineLevel="0" collapsed="false">
      <c r="B9325" s="53"/>
      <c r="I9325" s="53"/>
      <c r="U9325" s="31" t="n">
        <f aca="false">IF($B9325='設定（最初に1回）'!$C$4,N(U9324)+1,N(U9324))</f>
        <v>134</v>
      </c>
    </row>
    <row r="9326" customFormat="false" ht="15" hidden="false" customHeight="false" outlineLevel="0" collapsed="false">
      <c r="B9326" s="53"/>
      <c r="I9326" s="53"/>
      <c r="U9326" s="31" t="n">
        <f aca="false">IF($B9326='設定（最初に1回）'!$C$4,N(U9325)+1,N(U9325))</f>
        <v>134</v>
      </c>
    </row>
    <row r="9327" customFormat="false" ht="15" hidden="false" customHeight="false" outlineLevel="0" collapsed="false">
      <c r="B9327" s="53"/>
      <c r="I9327" s="53"/>
      <c r="U9327" s="31" t="n">
        <f aca="false">IF($B9327='設定（最初に1回）'!$C$4,N(U9326)+1,N(U9326))</f>
        <v>134</v>
      </c>
    </row>
    <row r="9328" customFormat="false" ht="15" hidden="false" customHeight="false" outlineLevel="0" collapsed="false">
      <c r="B9328" s="53"/>
      <c r="I9328" s="53"/>
      <c r="U9328" s="31" t="n">
        <f aca="false">IF($B9328='設定（最初に1回）'!$C$4,N(U9327)+1,N(U9327))</f>
        <v>134</v>
      </c>
    </row>
    <row r="9329" customFormat="false" ht="15" hidden="false" customHeight="false" outlineLevel="0" collapsed="false">
      <c r="B9329" s="53"/>
      <c r="I9329" s="53"/>
      <c r="U9329" s="31" t="n">
        <f aca="false">IF($B9329='設定（最初に1回）'!$C$4,N(U9328)+1,N(U9328))</f>
        <v>134</v>
      </c>
    </row>
    <row r="9330" customFormat="false" ht="15" hidden="false" customHeight="false" outlineLevel="0" collapsed="false">
      <c r="B9330" s="53"/>
      <c r="I9330" s="53"/>
      <c r="U9330" s="31" t="n">
        <f aca="false">IF($B9330='設定（最初に1回）'!$C$4,N(U9329)+1,N(U9329))</f>
        <v>134</v>
      </c>
    </row>
    <row r="9331" customFormat="false" ht="15" hidden="false" customHeight="false" outlineLevel="0" collapsed="false">
      <c r="B9331" s="53"/>
      <c r="I9331" s="53"/>
      <c r="U9331" s="31" t="n">
        <f aca="false">IF($B9331='設定（最初に1回）'!$C$4,N(U9330)+1,N(U9330))</f>
        <v>134</v>
      </c>
    </row>
    <row r="9332" customFormat="false" ht="15" hidden="false" customHeight="false" outlineLevel="0" collapsed="false">
      <c r="B9332" s="53"/>
      <c r="I9332" s="53"/>
      <c r="U9332" s="31" t="n">
        <f aca="false">IF($B9332='設定（最初に1回）'!$C$4,N(U9331)+1,N(U9331))</f>
        <v>134</v>
      </c>
    </row>
    <row r="9333" customFormat="false" ht="15" hidden="false" customHeight="false" outlineLevel="0" collapsed="false">
      <c r="B9333" s="53"/>
      <c r="I9333" s="53"/>
      <c r="U9333" s="31" t="n">
        <f aca="false">IF($B9333='設定（最初に1回）'!$C$4,N(U9332)+1,N(U9332))</f>
        <v>134</v>
      </c>
    </row>
    <row r="9334" customFormat="false" ht="15" hidden="false" customHeight="false" outlineLevel="0" collapsed="false">
      <c r="B9334" s="53"/>
      <c r="I9334" s="53"/>
      <c r="U9334" s="31" t="n">
        <f aca="false">IF($B9334='設定（最初に1回）'!$C$4,N(U9333)+1,N(U9333))</f>
        <v>134</v>
      </c>
    </row>
    <row r="9335" customFormat="false" ht="15" hidden="false" customHeight="false" outlineLevel="0" collapsed="false">
      <c r="B9335" s="53"/>
      <c r="I9335" s="53"/>
      <c r="U9335" s="31" t="n">
        <f aca="false">IF($B9335='設定（最初に1回）'!$C$4,N(U9334)+1,N(U9334))</f>
        <v>134</v>
      </c>
    </row>
    <row r="9336" customFormat="false" ht="15" hidden="false" customHeight="false" outlineLevel="0" collapsed="false">
      <c r="B9336" s="53"/>
      <c r="I9336" s="53"/>
      <c r="U9336" s="31" t="n">
        <f aca="false">IF($B9336='設定（最初に1回）'!$C$4,N(U9335)+1,N(U9335))</f>
        <v>134</v>
      </c>
    </row>
    <row r="9337" customFormat="false" ht="15" hidden="false" customHeight="false" outlineLevel="0" collapsed="false">
      <c r="B9337" s="53"/>
      <c r="I9337" s="53"/>
      <c r="U9337" s="31" t="n">
        <f aca="false">IF($B9337='設定（最初に1回）'!$C$4,N(U9336)+1,N(U9336))</f>
        <v>134</v>
      </c>
    </row>
    <row r="9338" customFormat="false" ht="15" hidden="false" customHeight="false" outlineLevel="0" collapsed="false">
      <c r="B9338" s="53"/>
      <c r="I9338" s="53"/>
      <c r="U9338" s="31" t="n">
        <f aca="false">IF($B9338='設定（最初に1回）'!$C$4,N(U9337)+1,N(U9337))</f>
        <v>134</v>
      </c>
    </row>
    <row r="9339" customFormat="false" ht="15" hidden="false" customHeight="false" outlineLevel="0" collapsed="false">
      <c r="B9339" s="53"/>
      <c r="I9339" s="53"/>
      <c r="U9339" s="31" t="n">
        <f aca="false">IF($B9339='設定（最初に1回）'!$C$4,N(U9338)+1,N(U9338))</f>
        <v>134</v>
      </c>
    </row>
    <row r="9340" customFormat="false" ht="15" hidden="false" customHeight="false" outlineLevel="0" collapsed="false">
      <c r="B9340" s="53"/>
      <c r="I9340" s="53"/>
      <c r="U9340" s="31" t="n">
        <f aca="false">IF($B9340='設定（最初に1回）'!$C$4,N(U9339)+1,N(U9339))</f>
        <v>134</v>
      </c>
    </row>
    <row r="9341" customFormat="false" ht="15" hidden="false" customHeight="false" outlineLevel="0" collapsed="false">
      <c r="B9341" s="53"/>
      <c r="I9341" s="53"/>
      <c r="U9341" s="31" t="n">
        <f aca="false">IF($B9341='設定（最初に1回）'!$C$4,N(U9340)+1,N(U9340))</f>
        <v>134</v>
      </c>
    </row>
    <row r="9342" customFormat="false" ht="15" hidden="false" customHeight="false" outlineLevel="0" collapsed="false">
      <c r="B9342" s="53"/>
      <c r="I9342" s="53"/>
      <c r="U9342" s="31" t="n">
        <f aca="false">IF($B9342='設定（最初に1回）'!$C$4,N(U9341)+1,N(U9341))</f>
        <v>134</v>
      </c>
    </row>
    <row r="9343" customFormat="false" ht="15" hidden="false" customHeight="false" outlineLevel="0" collapsed="false">
      <c r="B9343" s="53"/>
      <c r="I9343" s="53"/>
      <c r="U9343" s="31" t="n">
        <f aca="false">IF($B9343='設定（最初に1回）'!$C$4,N(U9342)+1,N(U9342))</f>
        <v>134</v>
      </c>
    </row>
    <row r="9344" customFormat="false" ht="15" hidden="false" customHeight="false" outlineLevel="0" collapsed="false">
      <c r="B9344" s="53"/>
      <c r="I9344" s="53"/>
      <c r="U9344" s="31" t="n">
        <f aca="false">IF($B9344='設定（最初に1回）'!$C$4,N(U9343)+1,N(U9343))</f>
        <v>134</v>
      </c>
    </row>
    <row r="9345" customFormat="false" ht="15" hidden="false" customHeight="false" outlineLevel="0" collapsed="false">
      <c r="B9345" s="53"/>
      <c r="I9345" s="53"/>
      <c r="U9345" s="31" t="n">
        <f aca="false">IF($B9345='設定（最初に1回）'!$C$4,N(U9344)+1,N(U9344))</f>
        <v>134</v>
      </c>
    </row>
    <row r="9346" customFormat="false" ht="15" hidden="false" customHeight="false" outlineLevel="0" collapsed="false">
      <c r="B9346" s="53"/>
      <c r="I9346" s="53"/>
      <c r="U9346" s="31" t="n">
        <f aca="false">IF($B9346='設定（最初に1回）'!$C$4,N(U9345)+1,N(U9345))</f>
        <v>134</v>
      </c>
    </row>
    <row r="9347" customFormat="false" ht="15" hidden="false" customHeight="false" outlineLevel="0" collapsed="false">
      <c r="B9347" s="53"/>
      <c r="I9347" s="53"/>
      <c r="U9347" s="31" t="n">
        <f aca="false">IF($B9347='設定（最初に1回）'!$C$4,N(U9346)+1,N(U9346))</f>
        <v>134</v>
      </c>
    </row>
    <row r="9348" customFormat="false" ht="15" hidden="false" customHeight="false" outlineLevel="0" collapsed="false">
      <c r="B9348" s="53"/>
      <c r="I9348" s="53"/>
      <c r="U9348" s="31" t="n">
        <f aca="false">IF($B9348='設定（最初に1回）'!$C$4,N(U9347)+1,N(U9347))</f>
        <v>134</v>
      </c>
    </row>
    <row r="9349" customFormat="false" ht="15" hidden="false" customHeight="false" outlineLevel="0" collapsed="false">
      <c r="B9349" s="53"/>
      <c r="I9349" s="53"/>
      <c r="U9349" s="31" t="n">
        <f aca="false">IF($B9349='設定（最初に1回）'!$C$4,N(U9348)+1,N(U9348))</f>
        <v>134</v>
      </c>
    </row>
    <row r="9350" customFormat="false" ht="15" hidden="false" customHeight="false" outlineLevel="0" collapsed="false">
      <c r="B9350" s="53"/>
      <c r="I9350" s="53"/>
      <c r="U9350" s="31" t="n">
        <f aca="false">IF($B9350='設定（最初に1回）'!$C$4,N(U9349)+1,N(U9349))</f>
        <v>134</v>
      </c>
    </row>
    <row r="9351" customFormat="false" ht="15" hidden="false" customHeight="false" outlineLevel="0" collapsed="false">
      <c r="B9351" s="53"/>
      <c r="I9351" s="53"/>
      <c r="U9351" s="31" t="n">
        <f aca="false">IF($B9351='設定（最初に1回）'!$C$4,N(U9350)+1,N(U9350))</f>
        <v>134</v>
      </c>
    </row>
    <row r="9352" customFormat="false" ht="15" hidden="false" customHeight="false" outlineLevel="0" collapsed="false">
      <c r="B9352" s="53"/>
      <c r="I9352" s="53"/>
      <c r="U9352" s="31" t="n">
        <f aca="false">IF($B9352='設定（最初に1回）'!$C$4,N(U9351)+1,N(U9351))</f>
        <v>134</v>
      </c>
    </row>
    <row r="9353" customFormat="false" ht="15" hidden="false" customHeight="false" outlineLevel="0" collapsed="false">
      <c r="B9353" s="53"/>
      <c r="I9353" s="53"/>
      <c r="U9353" s="31" t="n">
        <f aca="false">IF($B9353='設定（最初に1回）'!$C$4,N(U9352)+1,N(U9352))</f>
        <v>134</v>
      </c>
    </row>
    <row r="9354" customFormat="false" ht="15" hidden="false" customHeight="false" outlineLevel="0" collapsed="false">
      <c r="B9354" s="53"/>
      <c r="I9354" s="53"/>
      <c r="U9354" s="31" t="n">
        <f aca="false">IF($B9354='設定（最初に1回）'!$C$4,N(U9353)+1,N(U9353))</f>
        <v>134</v>
      </c>
    </row>
    <row r="9355" customFormat="false" ht="15" hidden="false" customHeight="false" outlineLevel="0" collapsed="false">
      <c r="B9355" s="53"/>
      <c r="I9355" s="53"/>
      <c r="U9355" s="31" t="n">
        <f aca="false">IF($B9355='設定（最初に1回）'!$C$4,N(U9354)+1,N(U9354))</f>
        <v>134</v>
      </c>
    </row>
    <row r="9356" customFormat="false" ht="15" hidden="false" customHeight="false" outlineLevel="0" collapsed="false">
      <c r="B9356" s="53"/>
      <c r="I9356" s="53"/>
      <c r="U9356" s="31" t="n">
        <f aca="false">IF($B9356='設定（最初に1回）'!$C$4,N(U9355)+1,N(U9355))</f>
        <v>134</v>
      </c>
    </row>
    <row r="9357" customFormat="false" ht="15" hidden="false" customHeight="false" outlineLevel="0" collapsed="false">
      <c r="B9357" s="53"/>
      <c r="I9357" s="53"/>
      <c r="U9357" s="31" t="n">
        <f aca="false">IF($B9357='設定（最初に1回）'!$C$4,N(U9356)+1,N(U9356))</f>
        <v>134</v>
      </c>
    </row>
    <row r="9358" customFormat="false" ht="15" hidden="false" customHeight="false" outlineLevel="0" collapsed="false">
      <c r="B9358" s="53"/>
      <c r="I9358" s="53"/>
      <c r="U9358" s="31" t="n">
        <f aca="false">IF($B9358='設定（最初に1回）'!$C$4,N(U9357)+1,N(U9357))</f>
        <v>134</v>
      </c>
    </row>
    <row r="9359" customFormat="false" ht="15" hidden="false" customHeight="false" outlineLevel="0" collapsed="false">
      <c r="B9359" s="53"/>
      <c r="I9359" s="53"/>
      <c r="U9359" s="31" t="n">
        <f aca="false">IF($B9359='設定（最初に1回）'!$C$4,N(U9358)+1,N(U9358))</f>
        <v>134</v>
      </c>
    </row>
    <row r="9360" customFormat="false" ht="15" hidden="false" customHeight="false" outlineLevel="0" collapsed="false">
      <c r="B9360" s="53"/>
      <c r="I9360" s="53"/>
      <c r="U9360" s="31" t="n">
        <f aca="false">IF($B9360='設定（最初に1回）'!$C$4,N(U9359)+1,N(U9359))</f>
        <v>134</v>
      </c>
    </row>
    <row r="9361" customFormat="false" ht="15" hidden="false" customHeight="false" outlineLevel="0" collapsed="false">
      <c r="B9361" s="53"/>
      <c r="I9361" s="53"/>
      <c r="U9361" s="31" t="n">
        <f aca="false">IF($B9361='設定（最初に1回）'!$C$4,N(U9360)+1,N(U9360))</f>
        <v>134</v>
      </c>
    </row>
    <row r="9362" customFormat="false" ht="15" hidden="false" customHeight="false" outlineLevel="0" collapsed="false">
      <c r="B9362" s="53"/>
      <c r="I9362" s="53"/>
      <c r="U9362" s="31" t="n">
        <f aca="false">IF($B9362='設定（最初に1回）'!$C$4,N(U9361)+1,N(U9361))</f>
        <v>134</v>
      </c>
    </row>
    <row r="9363" customFormat="false" ht="15" hidden="false" customHeight="false" outlineLevel="0" collapsed="false">
      <c r="B9363" s="53"/>
      <c r="I9363" s="53"/>
      <c r="U9363" s="31" t="n">
        <f aca="false">IF($B9363='設定（最初に1回）'!$C$4,N(U9362)+1,N(U9362))</f>
        <v>134</v>
      </c>
    </row>
    <row r="9364" customFormat="false" ht="15" hidden="false" customHeight="false" outlineLevel="0" collapsed="false">
      <c r="B9364" s="53"/>
      <c r="I9364" s="53"/>
      <c r="U9364" s="31" t="n">
        <f aca="false">IF($B9364='設定（最初に1回）'!$C$4,N(U9363)+1,N(U9363))</f>
        <v>134</v>
      </c>
    </row>
    <row r="9365" customFormat="false" ht="15" hidden="false" customHeight="false" outlineLevel="0" collapsed="false">
      <c r="B9365" s="53"/>
      <c r="I9365" s="53"/>
      <c r="U9365" s="31" t="n">
        <f aca="false">IF($B9365='設定（最初に1回）'!$C$4,N(U9364)+1,N(U9364))</f>
        <v>134</v>
      </c>
    </row>
    <row r="9366" customFormat="false" ht="15" hidden="false" customHeight="false" outlineLevel="0" collapsed="false">
      <c r="B9366" s="53"/>
      <c r="I9366" s="53"/>
      <c r="U9366" s="31" t="n">
        <f aca="false">IF($B9366='設定（最初に1回）'!$C$4,N(U9365)+1,N(U9365))</f>
        <v>134</v>
      </c>
    </row>
    <row r="9367" customFormat="false" ht="15" hidden="false" customHeight="false" outlineLevel="0" collapsed="false">
      <c r="B9367" s="53"/>
      <c r="I9367" s="53"/>
      <c r="U9367" s="31" t="n">
        <f aca="false">IF($B9367='設定（最初に1回）'!$C$4,N(U9366)+1,N(U9366))</f>
        <v>134</v>
      </c>
    </row>
    <row r="9368" customFormat="false" ht="15" hidden="false" customHeight="false" outlineLevel="0" collapsed="false">
      <c r="B9368" s="53"/>
      <c r="I9368" s="53"/>
      <c r="U9368" s="31" t="n">
        <f aca="false">IF($B9368='設定（最初に1回）'!$C$4,N(U9367)+1,N(U9367))</f>
        <v>134</v>
      </c>
    </row>
    <row r="9369" customFormat="false" ht="15" hidden="false" customHeight="false" outlineLevel="0" collapsed="false">
      <c r="B9369" s="53"/>
      <c r="I9369" s="53"/>
      <c r="U9369" s="31" t="n">
        <f aca="false">IF($B9369='設定（最初に1回）'!$C$4,N(U9368)+1,N(U9368))</f>
        <v>134</v>
      </c>
    </row>
    <row r="9370" customFormat="false" ht="15" hidden="false" customHeight="false" outlineLevel="0" collapsed="false">
      <c r="B9370" s="53"/>
      <c r="I9370" s="53"/>
      <c r="U9370" s="31" t="n">
        <f aca="false">IF($B9370='設定（最初に1回）'!$C$4,N(U9369)+1,N(U9369))</f>
        <v>134</v>
      </c>
    </row>
    <row r="9371" customFormat="false" ht="15" hidden="false" customHeight="false" outlineLevel="0" collapsed="false">
      <c r="B9371" s="53"/>
      <c r="I9371" s="53"/>
      <c r="U9371" s="31" t="n">
        <f aca="false">IF($B9371='設定（最初に1回）'!$C$4,N(U9370)+1,N(U9370))</f>
        <v>134</v>
      </c>
    </row>
    <row r="9372" customFormat="false" ht="15" hidden="false" customHeight="false" outlineLevel="0" collapsed="false">
      <c r="B9372" s="53"/>
      <c r="I9372" s="53"/>
      <c r="U9372" s="31" t="n">
        <f aca="false">IF($B9372='設定（最初に1回）'!$C$4,N(U9371)+1,N(U9371))</f>
        <v>134</v>
      </c>
    </row>
    <row r="9373" customFormat="false" ht="15" hidden="false" customHeight="false" outlineLevel="0" collapsed="false">
      <c r="B9373" s="53"/>
      <c r="I9373" s="53"/>
      <c r="U9373" s="31" t="n">
        <f aca="false">IF($B9373='設定（最初に1回）'!$C$4,N(U9372)+1,N(U9372))</f>
        <v>134</v>
      </c>
    </row>
    <row r="9374" customFormat="false" ht="15" hidden="false" customHeight="false" outlineLevel="0" collapsed="false">
      <c r="B9374" s="53"/>
      <c r="I9374" s="53"/>
      <c r="U9374" s="31" t="n">
        <f aca="false">IF($B9374='設定（最初に1回）'!$C$4,N(U9373)+1,N(U9373))</f>
        <v>134</v>
      </c>
    </row>
    <row r="9375" customFormat="false" ht="15" hidden="false" customHeight="false" outlineLevel="0" collapsed="false">
      <c r="B9375" s="53"/>
      <c r="I9375" s="53"/>
      <c r="U9375" s="31" t="n">
        <f aca="false">IF($B9375='設定（最初に1回）'!$C$4,N(U9374)+1,N(U9374))</f>
        <v>134</v>
      </c>
    </row>
    <row r="9376" customFormat="false" ht="15" hidden="false" customHeight="false" outlineLevel="0" collapsed="false">
      <c r="B9376" s="53"/>
      <c r="I9376" s="53"/>
      <c r="U9376" s="31" t="n">
        <f aca="false">IF($B9376='設定（最初に1回）'!$C$4,N(U9375)+1,N(U9375))</f>
        <v>134</v>
      </c>
    </row>
    <row r="9377" customFormat="false" ht="15" hidden="false" customHeight="false" outlineLevel="0" collapsed="false">
      <c r="B9377" s="53"/>
      <c r="I9377" s="53"/>
      <c r="U9377" s="31" t="n">
        <f aca="false">IF($B9377='設定（最初に1回）'!$C$4,N(U9376)+1,N(U9376))</f>
        <v>134</v>
      </c>
    </row>
    <row r="9378" customFormat="false" ht="15" hidden="false" customHeight="false" outlineLevel="0" collapsed="false">
      <c r="B9378" s="53"/>
      <c r="I9378" s="53"/>
      <c r="U9378" s="31" t="n">
        <f aca="false">IF($B9378='設定（最初に1回）'!$C$4,N(U9377)+1,N(U9377))</f>
        <v>134</v>
      </c>
    </row>
    <row r="9379" customFormat="false" ht="15" hidden="false" customHeight="false" outlineLevel="0" collapsed="false">
      <c r="B9379" s="53"/>
      <c r="I9379" s="53"/>
      <c r="U9379" s="31" t="n">
        <f aca="false">IF($B9379='設定（最初に1回）'!$C$4,N(U9378)+1,N(U9378))</f>
        <v>134</v>
      </c>
    </row>
    <row r="9380" customFormat="false" ht="15" hidden="false" customHeight="false" outlineLevel="0" collapsed="false">
      <c r="B9380" s="53"/>
      <c r="I9380" s="53"/>
      <c r="U9380" s="31" t="n">
        <f aca="false">IF($B9380='設定（最初に1回）'!$C$4,N(U9379)+1,N(U9379))</f>
        <v>134</v>
      </c>
    </row>
    <row r="9381" customFormat="false" ht="15" hidden="false" customHeight="false" outlineLevel="0" collapsed="false">
      <c r="B9381" s="53"/>
      <c r="I9381" s="53"/>
      <c r="U9381" s="31" t="n">
        <f aca="false">IF($B9381='設定（最初に1回）'!$C$4,N(U9380)+1,N(U9380))</f>
        <v>134</v>
      </c>
    </row>
    <row r="9382" customFormat="false" ht="15" hidden="false" customHeight="false" outlineLevel="0" collapsed="false">
      <c r="B9382" s="53"/>
      <c r="I9382" s="53"/>
      <c r="U9382" s="31" t="n">
        <f aca="false">IF($B9382='設定（最初に1回）'!$C$4,N(U9381)+1,N(U9381))</f>
        <v>134</v>
      </c>
    </row>
    <row r="9383" customFormat="false" ht="15" hidden="false" customHeight="false" outlineLevel="0" collapsed="false">
      <c r="B9383" s="53"/>
      <c r="I9383" s="53"/>
      <c r="U9383" s="31" t="n">
        <f aca="false">IF($B9383='設定（最初に1回）'!$C$4,N(U9382)+1,N(U9382))</f>
        <v>134</v>
      </c>
    </row>
    <row r="9384" customFormat="false" ht="15" hidden="false" customHeight="false" outlineLevel="0" collapsed="false">
      <c r="B9384" s="53"/>
      <c r="I9384" s="53"/>
      <c r="U9384" s="31" t="n">
        <f aca="false">IF($B9384='設定（最初に1回）'!$C$4,N(U9383)+1,N(U9383))</f>
        <v>134</v>
      </c>
    </row>
    <row r="9385" customFormat="false" ht="15" hidden="false" customHeight="false" outlineLevel="0" collapsed="false">
      <c r="B9385" s="53"/>
      <c r="I9385" s="53"/>
      <c r="U9385" s="31" t="n">
        <f aca="false">IF($B9385='設定（最初に1回）'!$C$4,N(U9384)+1,N(U9384))</f>
        <v>134</v>
      </c>
    </row>
    <row r="9386" customFormat="false" ht="15" hidden="false" customHeight="false" outlineLevel="0" collapsed="false">
      <c r="B9386" s="53"/>
      <c r="I9386" s="53"/>
      <c r="U9386" s="31" t="n">
        <f aca="false">IF($B9386='設定（最初に1回）'!$C$4,N(U9385)+1,N(U9385))</f>
        <v>134</v>
      </c>
    </row>
    <row r="9387" customFormat="false" ht="15" hidden="false" customHeight="false" outlineLevel="0" collapsed="false">
      <c r="B9387" s="53"/>
      <c r="I9387" s="53"/>
      <c r="U9387" s="31" t="n">
        <f aca="false">IF($B9387='設定（最初に1回）'!$C$4,N(U9386)+1,N(U9386))</f>
        <v>134</v>
      </c>
    </row>
    <row r="9388" customFormat="false" ht="15" hidden="false" customHeight="false" outlineLevel="0" collapsed="false">
      <c r="B9388" s="53"/>
      <c r="I9388" s="53"/>
      <c r="U9388" s="31" t="n">
        <f aca="false">IF($B9388='設定（最初に1回）'!$C$4,N(U9387)+1,N(U9387))</f>
        <v>134</v>
      </c>
    </row>
    <row r="9389" customFormat="false" ht="15" hidden="false" customHeight="false" outlineLevel="0" collapsed="false">
      <c r="B9389" s="53"/>
      <c r="I9389" s="53"/>
      <c r="U9389" s="31" t="n">
        <f aca="false">IF($B9389='設定（最初に1回）'!$C$4,N(U9388)+1,N(U9388))</f>
        <v>134</v>
      </c>
    </row>
    <row r="9390" customFormat="false" ht="15" hidden="false" customHeight="false" outlineLevel="0" collapsed="false">
      <c r="B9390" s="53"/>
      <c r="I9390" s="53"/>
      <c r="U9390" s="31" t="n">
        <f aca="false">IF($B9390='設定（最初に1回）'!$C$4,N(U9389)+1,N(U9389))</f>
        <v>134</v>
      </c>
    </row>
    <row r="9391" customFormat="false" ht="15" hidden="false" customHeight="false" outlineLevel="0" collapsed="false">
      <c r="B9391" s="53"/>
      <c r="I9391" s="53"/>
      <c r="U9391" s="31" t="n">
        <f aca="false">IF($B9391='設定（最初に1回）'!$C$4,N(U9390)+1,N(U9390))</f>
        <v>134</v>
      </c>
    </row>
    <row r="9392" customFormat="false" ht="15" hidden="false" customHeight="false" outlineLevel="0" collapsed="false">
      <c r="B9392" s="53"/>
      <c r="I9392" s="53"/>
      <c r="U9392" s="31" t="n">
        <f aca="false">IF($B9392='設定（最初に1回）'!$C$4,N(U9391)+1,N(U9391))</f>
        <v>134</v>
      </c>
    </row>
    <row r="9393" customFormat="false" ht="15" hidden="false" customHeight="false" outlineLevel="0" collapsed="false">
      <c r="B9393" s="53"/>
      <c r="I9393" s="53"/>
      <c r="U9393" s="31" t="n">
        <f aca="false">IF($B9393='設定（最初に1回）'!$C$4,N(U9392)+1,N(U9392))</f>
        <v>134</v>
      </c>
    </row>
    <row r="9394" customFormat="false" ht="15" hidden="false" customHeight="false" outlineLevel="0" collapsed="false">
      <c r="B9394" s="53"/>
      <c r="I9394" s="53"/>
      <c r="U9394" s="31" t="n">
        <f aca="false">IF($B9394='設定（最初に1回）'!$C$4,N(U9393)+1,N(U9393))</f>
        <v>134</v>
      </c>
    </row>
    <row r="9395" customFormat="false" ht="15" hidden="false" customHeight="false" outlineLevel="0" collapsed="false">
      <c r="B9395" s="53"/>
      <c r="I9395" s="53"/>
      <c r="U9395" s="31" t="n">
        <f aca="false">IF($B9395='設定（最初に1回）'!$C$4,N(U9394)+1,N(U9394))</f>
        <v>134</v>
      </c>
    </row>
    <row r="9396" customFormat="false" ht="15" hidden="false" customHeight="false" outlineLevel="0" collapsed="false">
      <c r="B9396" s="53"/>
      <c r="I9396" s="53"/>
      <c r="U9396" s="31" t="n">
        <f aca="false">IF($B9396='設定（最初に1回）'!$C$4,N(U9395)+1,N(U9395))</f>
        <v>134</v>
      </c>
    </row>
    <row r="9397" customFormat="false" ht="15" hidden="false" customHeight="false" outlineLevel="0" collapsed="false">
      <c r="B9397" s="53"/>
      <c r="I9397" s="53"/>
      <c r="U9397" s="31" t="n">
        <f aca="false">IF($B9397='設定（最初に1回）'!$C$4,N(U9396)+1,N(U9396))</f>
        <v>134</v>
      </c>
    </row>
    <row r="9398" customFormat="false" ht="15" hidden="false" customHeight="false" outlineLevel="0" collapsed="false">
      <c r="B9398" s="53"/>
      <c r="I9398" s="53"/>
      <c r="U9398" s="31" t="n">
        <f aca="false">IF($B9398='設定（最初に1回）'!$C$4,N(U9397)+1,N(U9397))</f>
        <v>134</v>
      </c>
    </row>
    <row r="9399" customFormat="false" ht="15" hidden="false" customHeight="false" outlineLevel="0" collapsed="false">
      <c r="B9399" s="53"/>
      <c r="I9399" s="53"/>
      <c r="U9399" s="31" t="n">
        <f aca="false">IF($B9399='設定（最初に1回）'!$C$4,N(U9398)+1,N(U9398))</f>
        <v>134</v>
      </c>
    </row>
    <row r="9400" customFormat="false" ht="15" hidden="false" customHeight="false" outlineLevel="0" collapsed="false">
      <c r="B9400" s="53"/>
      <c r="I9400" s="53"/>
      <c r="U9400" s="31" t="n">
        <f aca="false">IF($B9400='設定（最初に1回）'!$C$4,N(U9399)+1,N(U9399))</f>
        <v>134</v>
      </c>
    </row>
    <row r="9401" customFormat="false" ht="15" hidden="false" customHeight="false" outlineLevel="0" collapsed="false">
      <c r="B9401" s="53"/>
      <c r="I9401" s="53"/>
      <c r="U9401" s="31" t="n">
        <f aca="false">IF($B9401='設定（最初に1回）'!$C$4,N(U9400)+1,N(U9400))</f>
        <v>134</v>
      </c>
    </row>
    <row r="9402" customFormat="false" ht="15" hidden="false" customHeight="false" outlineLevel="0" collapsed="false">
      <c r="B9402" s="53"/>
      <c r="I9402" s="53"/>
      <c r="U9402" s="31" t="n">
        <f aca="false">IF($B9402='設定（最初に1回）'!$C$4,N(U9401)+1,N(U9401))</f>
        <v>134</v>
      </c>
    </row>
    <row r="9403" customFormat="false" ht="15" hidden="false" customHeight="false" outlineLevel="0" collapsed="false">
      <c r="B9403" s="53"/>
      <c r="I9403" s="53"/>
      <c r="U9403" s="31" t="n">
        <f aca="false">IF($B9403='設定（最初に1回）'!$C$4,N(U9402)+1,N(U9402))</f>
        <v>134</v>
      </c>
    </row>
    <row r="9404" customFormat="false" ht="15" hidden="false" customHeight="false" outlineLevel="0" collapsed="false">
      <c r="B9404" s="53"/>
      <c r="I9404" s="53"/>
      <c r="U9404" s="31" t="n">
        <f aca="false">IF($B9404='設定（最初に1回）'!$C$4,N(U9403)+1,N(U9403))</f>
        <v>134</v>
      </c>
    </row>
    <row r="9405" customFormat="false" ht="15" hidden="false" customHeight="false" outlineLevel="0" collapsed="false">
      <c r="B9405" s="53"/>
      <c r="I9405" s="53"/>
      <c r="U9405" s="31" t="n">
        <f aca="false">IF($B9405='設定（最初に1回）'!$C$4,N(U9404)+1,N(U9404))</f>
        <v>134</v>
      </c>
    </row>
    <row r="9406" customFormat="false" ht="15" hidden="false" customHeight="false" outlineLevel="0" collapsed="false">
      <c r="B9406" s="53"/>
      <c r="I9406" s="53"/>
      <c r="U9406" s="31" t="n">
        <f aca="false">IF($B9406='設定（最初に1回）'!$C$4,N(U9405)+1,N(U9405))</f>
        <v>134</v>
      </c>
    </row>
    <row r="9407" customFormat="false" ht="15" hidden="false" customHeight="false" outlineLevel="0" collapsed="false">
      <c r="B9407" s="53"/>
      <c r="I9407" s="53"/>
      <c r="U9407" s="31" t="n">
        <f aca="false">IF($B9407='設定（最初に1回）'!$C$4,N(U9406)+1,N(U9406))</f>
        <v>134</v>
      </c>
    </row>
    <row r="9408" customFormat="false" ht="15" hidden="false" customHeight="false" outlineLevel="0" collapsed="false">
      <c r="B9408" s="53"/>
      <c r="I9408" s="53"/>
      <c r="U9408" s="31" t="n">
        <f aca="false">IF($B9408='設定（最初に1回）'!$C$4,N(U9407)+1,N(U9407))</f>
        <v>134</v>
      </c>
    </row>
    <row r="9409" customFormat="false" ht="15" hidden="false" customHeight="false" outlineLevel="0" collapsed="false">
      <c r="B9409" s="53"/>
      <c r="I9409" s="53"/>
      <c r="U9409" s="31" t="n">
        <f aca="false">IF($B9409='設定（最初に1回）'!$C$4,N(U9408)+1,N(U9408))</f>
        <v>134</v>
      </c>
    </row>
    <row r="9410" customFormat="false" ht="15" hidden="false" customHeight="false" outlineLevel="0" collapsed="false">
      <c r="B9410" s="53"/>
      <c r="I9410" s="53"/>
      <c r="U9410" s="31" t="n">
        <f aca="false">IF($B9410='設定（最初に1回）'!$C$4,N(U9409)+1,N(U9409))</f>
        <v>134</v>
      </c>
    </row>
    <row r="9411" customFormat="false" ht="15" hidden="false" customHeight="false" outlineLevel="0" collapsed="false">
      <c r="B9411" s="53"/>
      <c r="I9411" s="53"/>
      <c r="U9411" s="31" t="n">
        <f aca="false">IF($B9411='設定（最初に1回）'!$C$4,N(U9410)+1,N(U9410))</f>
        <v>134</v>
      </c>
    </row>
    <row r="9412" customFormat="false" ht="15" hidden="false" customHeight="false" outlineLevel="0" collapsed="false">
      <c r="B9412" s="53"/>
      <c r="I9412" s="53"/>
      <c r="U9412" s="31" t="n">
        <f aca="false">IF($B9412='設定（最初に1回）'!$C$4,N(U9411)+1,N(U9411))</f>
        <v>134</v>
      </c>
    </row>
    <row r="9413" customFormat="false" ht="15" hidden="false" customHeight="false" outlineLevel="0" collapsed="false">
      <c r="B9413" s="53"/>
      <c r="I9413" s="53"/>
      <c r="U9413" s="31" t="n">
        <f aca="false">IF($B9413='設定（最初に1回）'!$C$4,N(U9412)+1,N(U9412))</f>
        <v>134</v>
      </c>
    </row>
    <row r="9414" customFormat="false" ht="15" hidden="false" customHeight="false" outlineLevel="0" collapsed="false">
      <c r="B9414" s="53"/>
      <c r="I9414" s="53"/>
      <c r="U9414" s="31" t="n">
        <f aca="false">IF($B9414='設定（最初に1回）'!$C$4,N(U9413)+1,N(U9413))</f>
        <v>134</v>
      </c>
    </row>
    <row r="9415" customFormat="false" ht="15" hidden="false" customHeight="false" outlineLevel="0" collapsed="false">
      <c r="B9415" s="53"/>
      <c r="I9415" s="53"/>
      <c r="U9415" s="31" t="n">
        <f aca="false">IF($B9415='設定（最初に1回）'!$C$4,N(U9414)+1,N(U9414))</f>
        <v>134</v>
      </c>
    </row>
    <row r="9416" customFormat="false" ht="15" hidden="false" customHeight="false" outlineLevel="0" collapsed="false">
      <c r="B9416" s="53"/>
      <c r="I9416" s="53"/>
      <c r="U9416" s="31" t="n">
        <f aca="false">IF($B9416='設定（最初に1回）'!$C$4,N(U9415)+1,N(U9415))</f>
        <v>134</v>
      </c>
    </row>
    <row r="9417" customFormat="false" ht="15" hidden="false" customHeight="false" outlineLevel="0" collapsed="false">
      <c r="B9417" s="53"/>
      <c r="I9417" s="53"/>
      <c r="U9417" s="31" t="n">
        <f aca="false">IF($B9417='設定（最初に1回）'!$C$4,N(U9416)+1,N(U9416))</f>
        <v>134</v>
      </c>
    </row>
    <row r="9418" customFormat="false" ht="15" hidden="false" customHeight="false" outlineLevel="0" collapsed="false">
      <c r="B9418" s="53"/>
      <c r="I9418" s="53"/>
      <c r="U9418" s="31" t="n">
        <f aca="false">IF($B9418='設定（最初に1回）'!$C$4,N(U9417)+1,N(U9417))</f>
        <v>134</v>
      </c>
    </row>
    <row r="9419" customFormat="false" ht="15" hidden="false" customHeight="false" outlineLevel="0" collapsed="false">
      <c r="B9419" s="53"/>
      <c r="I9419" s="53"/>
      <c r="U9419" s="31" t="n">
        <f aca="false">IF($B9419='設定（最初に1回）'!$C$4,N(U9418)+1,N(U9418))</f>
        <v>134</v>
      </c>
    </row>
    <row r="9420" customFormat="false" ht="15" hidden="false" customHeight="false" outlineLevel="0" collapsed="false">
      <c r="B9420" s="53"/>
      <c r="I9420" s="53"/>
      <c r="U9420" s="31" t="n">
        <f aca="false">IF($B9420='設定（最初に1回）'!$C$4,N(U9419)+1,N(U9419))</f>
        <v>134</v>
      </c>
    </row>
    <row r="9421" customFormat="false" ht="15" hidden="false" customHeight="false" outlineLevel="0" collapsed="false">
      <c r="B9421" s="53"/>
      <c r="I9421" s="53"/>
      <c r="U9421" s="31" t="n">
        <f aca="false">IF($B9421='設定（最初に1回）'!$C$4,N(U9420)+1,N(U9420))</f>
        <v>134</v>
      </c>
    </row>
    <row r="9422" customFormat="false" ht="15" hidden="false" customHeight="false" outlineLevel="0" collapsed="false">
      <c r="B9422" s="53"/>
      <c r="I9422" s="53"/>
      <c r="U9422" s="31" t="n">
        <f aca="false">IF($B9422='設定（最初に1回）'!$C$4,N(U9421)+1,N(U9421))</f>
        <v>134</v>
      </c>
    </row>
    <row r="9423" customFormat="false" ht="15" hidden="false" customHeight="false" outlineLevel="0" collapsed="false">
      <c r="B9423" s="53"/>
      <c r="I9423" s="53"/>
      <c r="U9423" s="31" t="n">
        <f aca="false">IF($B9423='設定（最初に1回）'!$C$4,N(U9422)+1,N(U9422))</f>
        <v>134</v>
      </c>
    </row>
    <row r="9424" customFormat="false" ht="15" hidden="false" customHeight="false" outlineLevel="0" collapsed="false">
      <c r="B9424" s="53"/>
      <c r="I9424" s="53"/>
      <c r="U9424" s="31" t="n">
        <f aca="false">IF($B9424='設定（最初に1回）'!$C$4,N(U9423)+1,N(U9423))</f>
        <v>134</v>
      </c>
    </row>
    <row r="9425" customFormat="false" ht="15" hidden="false" customHeight="false" outlineLevel="0" collapsed="false">
      <c r="B9425" s="53"/>
      <c r="I9425" s="53"/>
      <c r="U9425" s="31" t="n">
        <f aca="false">IF($B9425='設定（最初に1回）'!$C$4,N(U9424)+1,N(U9424))</f>
        <v>134</v>
      </c>
    </row>
    <row r="9426" customFormat="false" ht="15" hidden="false" customHeight="false" outlineLevel="0" collapsed="false">
      <c r="B9426" s="53"/>
      <c r="I9426" s="53"/>
      <c r="U9426" s="31" t="n">
        <f aca="false">IF($B9426='設定（最初に1回）'!$C$4,N(U9425)+1,N(U9425))</f>
        <v>134</v>
      </c>
    </row>
    <row r="9427" customFormat="false" ht="15" hidden="false" customHeight="false" outlineLevel="0" collapsed="false">
      <c r="B9427" s="53"/>
      <c r="I9427" s="53"/>
      <c r="U9427" s="31" t="n">
        <f aca="false">IF($B9427='設定（最初に1回）'!$C$4,N(U9426)+1,N(U9426))</f>
        <v>134</v>
      </c>
    </row>
    <row r="9428" customFormat="false" ht="15" hidden="false" customHeight="false" outlineLevel="0" collapsed="false">
      <c r="B9428" s="53"/>
      <c r="I9428" s="53"/>
      <c r="U9428" s="31" t="n">
        <f aca="false">IF($B9428='設定（最初に1回）'!$C$4,N(U9427)+1,N(U9427))</f>
        <v>134</v>
      </c>
    </row>
    <row r="9429" customFormat="false" ht="15" hidden="false" customHeight="false" outlineLevel="0" collapsed="false">
      <c r="B9429" s="53"/>
      <c r="I9429" s="53"/>
      <c r="U9429" s="31" t="n">
        <f aca="false">IF($B9429='設定（最初に1回）'!$C$4,N(U9428)+1,N(U9428))</f>
        <v>134</v>
      </c>
    </row>
    <row r="9430" customFormat="false" ht="15" hidden="false" customHeight="false" outlineLevel="0" collapsed="false">
      <c r="B9430" s="53"/>
      <c r="I9430" s="53"/>
      <c r="U9430" s="31" t="n">
        <f aca="false">IF($B9430='設定（最初に1回）'!$C$4,N(U9429)+1,N(U9429))</f>
        <v>134</v>
      </c>
    </row>
    <row r="9431" customFormat="false" ht="15" hidden="false" customHeight="false" outlineLevel="0" collapsed="false">
      <c r="B9431" s="53"/>
      <c r="I9431" s="53"/>
      <c r="U9431" s="31" t="n">
        <f aca="false">IF($B9431='設定（最初に1回）'!$C$4,N(U9430)+1,N(U9430))</f>
        <v>134</v>
      </c>
    </row>
    <row r="9432" customFormat="false" ht="15" hidden="false" customHeight="false" outlineLevel="0" collapsed="false">
      <c r="B9432" s="53"/>
      <c r="I9432" s="53"/>
      <c r="U9432" s="31" t="n">
        <f aca="false">IF($B9432='設定（最初に1回）'!$C$4,N(U9431)+1,N(U9431))</f>
        <v>134</v>
      </c>
    </row>
    <row r="9433" customFormat="false" ht="15" hidden="false" customHeight="false" outlineLevel="0" collapsed="false">
      <c r="B9433" s="53"/>
      <c r="I9433" s="53"/>
      <c r="U9433" s="31" t="n">
        <f aca="false">IF($B9433='設定（最初に1回）'!$C$4,N(U9432)+1,N(U9432))</f>
        <v>134</v>
      </c>
    </row>
    <row r="9434" customFormat="false" ht="15" hidden="false" customHeight="false" outlineLevel="0" collapsed="false">
      <c r="B9434" s="53"/>
      <c r="I9434" s="53"/>
      <c r="U9434" s="31" t="n">
        <f aca="false">IF($B9434='設定（最初に1回）'!$C$4,N(U9433)+1,N(U9433))</f>
        <v>134</v>
      </c>
    </row>
    <row r="9435" customFormat="false" ht="15" hidden="false" customHeight="false" outlineLevel="0" collapsed="false">
      <c r="B9435" s="53"/>
      <c r="I9435" s="53"/>
      <c r="U9435" s="31" t="n">
        <f aca="false">IF($B9435='設定（最初に1回）'!$C$4,N(U9434)+1,N(U9434))</f>
        <v>134</v>
      </c>
    </row>
    <row r="9436" customFormat="false" ht="15" hidden="false" customHeight="false" outlineLevel="0" collapsed="false">
      <c r="B9436" s="53"/>
      <c r="I9436" s="53"/>
      <c r="U9436" s="31" t="n">
        <f aca="false">IF($B9436='設定（最初に1回）'!$C$4,N(U9435)+1,N(U9435))</f>
        <v>134</v>
      </c>
    </row>
    <row r="9437" customFormat="false" ht="15" hidden="false" customHeight="false" outlineLevel="0" collapsed="false">
      <c r="B9437" s="53"/>
      <c r="I9437" s="53"/>
      <c r="U9437" s="31" t="n">
        <f aca="false">IF($B9437='設定（最初に1回）'!$C$4,N(U9436)+1,N(U9436))</f>
        <v>134</v>
      </c>
    </row>
    <row r="9438" customFormat="false" ht="15" hidden="false" customHeight="false" outlineLevel="0" collapsed="false">
      <c r="B9438" s="53"/>
      <c r="I9438" s="53"/>
      <c r="U9438" s="31" t="n">
        <f aca="false">IF($B9438='設定（最初に1回）'!$C$4,N(U9437)+1,N(U9437))</f>
        <v>134</v>
      </c>
    </row>
    <row r="9439" customFormat="false" ht="15" hidden="false" customHeight="false" outlineLevel="0" collapsed="false">
      <c r="B9439" s="53"/>
      <c r="I9439" s="53"/>
      <c r="U9439" s="31" t="n">
        <f aca="false">IF($B9439='設定（最初に1回）'!$C$4,N(U9438)+1,N(U9438))</f>
        <v>134</v>
      </c>
    </row>
    <row r="9440" customFormat="false" ht="15" hidden="false" customHeight="false" outlineLevel="0" collapsed="false">
      <c r="B9440" s="53"/>
      <c r="I9440" s="53"/>
      <c r="U9440" s="31" t="n">
        <f aca="false">IF($B9440='設定（最初に1回）'!$C$4,N(U9439)+1,N(U9439))</f>
        <v>134</v>
      </c>
    </row>
    <row r="9441" customFormat="false" ht="15" hidden="false" customHeight="false" outlineLevel="0" collapsed="false">
      <c r="B9441" s="53"/>
      <c r="I9441" s="53"/>
      <c r="U9441" s="31" t="n">
        <f aca="false">IF($B9441='設定（最初に1回）'!$C$4,N(U9440)+1,N(U9440))</f>
        <v>134</v>
      </c>
    </row>
    <row r="9442" customFormat="false" ht="15" hidden="false" customHeight="false" outlineLevel="0" collapsed="false">
      <c r="B9442" s="53"/>
      <c r="I9442" s="53"/>
      <c r="U9442" s="31" t="n">
        <f aca="false">IF($B9442='設定（最初に1回）'!$C$4,N(U9441)+1,N(U9441))</f>
        <v>134</v>
      </c>
    </row>
    <row r="9443" customFormat="false" ht="15" hidden="false" customHeight="false" outlineLevel="0" collapsed="false">
      <c r="B9443" s="53"/>
      <c r="I9443" s="53"/>
      <c r="U9443" s="31" t="n">
        <f aca="false">IF($B9443='設定（最初に1回）'!$C$4,N(U9442)+1,N(U9442))</f>
        <v>134</v>
      </c>
    </row>
    <row r="9444" customFormat="false" ht="15" hidden="false" customHeight="false" outlineLevel="0" collapsed="false">
      <c r="B9444" s="53"/>
      <c r="I9444" s="53"/>
      <c r="U9444" s="31" t="n">
        <f aca="false">IF($B9444='設定（最初に1回）'!$C$4,N(U9443)+1,N(U9443))</f>
        <v>134</v>
      </c>
    </row>
    <row r="9445" customFormat="false" ht="15" hidden="false" customHeight="false" outlineLevel="0" collapsed="false">
      <c r="B9445" s="53"/>
      <c r="I9445" s="53"/>
      <c r="U9445" s="31" t="n">
        <f aca="false">IF($B9445='設定（最初に1回）'!$C$4,N(U9444)+1,N(U9444))</f>
        <v>134</v>
      </c>
    </row>
    <row r="9446" customFormat="false" ht="15" hidden="false" customHeight="false" outlineLevel="0" collapsed="false">
      <c r="B9446" s="53"/>
      <c r="I9446" s="53"/>
      <c r="U9446" s="31" t="n">
        <f aca="false">IF($B9446='設定（最初に1回）'!$C$4,N(U9445)+1,N(U9445))</f>
        <v>134</v>
      </c>
    </row>
    <row r="9447" customFormat="false" ht="15" hidden="false" customHeight="false" outlineLevel="0" collapsed="false">
      <c r="B9447" s="53"/>
      <c r="I9447" s="53"/>
      <c r="U9447" s="31" t="n">
        <f aca="false">IF($B9447='設定（最初に1回）'!$C$4,N(U9446)+1,N(U9446))</f>
        <v>134</v>
      </c>
    </row>
    <row r="9448" customFormat="false" ht="15" hidden="false" customHeight="false" outlineLevel="0" collapsed="false">
      <c r="B9448" s="53"/>
      <c r="I9448" s="53"/>
      <c r="U9448" s="31" t="n">
        <f aca="false">IF($B9448='設定（最初に1回）'!$C$4,N(U9447)+1,N(U9447))</f>
        <v>134</v>
      </c>
    </row>
    <row r="9449" customFormat="false" ht="15" hidden="false" customHeight="false" outlineLevel="0" collapsed="false">
      <c r="B9449" s="53"/>
      <c r="I9449" s="53"/>
      <c r="U9449" s="31" t="n">
        <f aca="false">IF($B9449='設定（最初に1回）'!$C$4,N(U9448)+1,N(U9448))</f>
        <v>134</v>
      </c>
    </row>
    <row r="9450" customFormat="false" ht="15" hidden="false" customHeight="false" outlineLevel="0" collapsed="false">
      <c r="B9450" s="53"/>
      <c r="I9450" s="53"/>
      <c r="U9450" s="31" t="n">
        <f aca="false">IF($B9450='設定（最初に1回）'!$C$4,N(U9449)+1,N(U9449))</f>
        <v>134</v>
      </c>
    </row>
    <row r="9451" customFormat="false" ht="15" hidden="false" customHeight="false" outlineLevel="0" collapsed="false">
      <c r="B9451" s="53"/>
      <c r="I9451" s="53"/>
      <c r="U9451" s="31" t="n">
        <f aca="false">IF($B9451='設定（最初に1回）'!$C$4,N(U9450)+1,N(U9450))</f>
        <v>134</v>
      </c>
    </row>
    <row r="9452" customFormat="false" ht="15" hidden="false" customHeight="false" outlineLevel="0" collapsed="false">
      <c r="B9452" s="53"/>
      <c r="I9452" s="53"/>
      <c r="U9452" s="31" t="n">
        <f aca="false">IF($B9452='設定（最初に1回）'!$C$4,N(U9451)+1,N(U9451))</f>
        <v>134</v>
      </c>
    </row>
    <row r="9453" customFormat="false" ht="15" hidden="false" customHeight="false" outlineLevel="0" collapsed="false">
      <c r="B9453" s="53"/>
      <c r="I9453" s="53"/>
      <c r="U9453" s="31" t="n">
        <f aca="false">IF($B9453='設定（最初に1回）'!$C$4,N(U9452)+1,N(U9452))</f>
        <v>134</v>
      </c>
    </row>
    <row r="9454" customFormat="false" ht="15" hidden="false" customHeight="false" outlineLevel="0" collapsed="false">
      <c r="B9454" s="53"/>
      <c r="I9454" s="53"/>
      <c r="U9454" s="31" t="n">
        <f aca="false">IF($B9454='設定（最初に1回）'!$C$4,N(U9453)+1,N(U9453))</f>
        <v>134</v>
      </c>
    </row>
    <row r="9455" customFormat="false" ht="15" hidden="false" customHeight="false" outlineLevel="0" collapsed="false">
      <c r="B9455" s="53"/>
      <c r="I9455" s="53"/>
      <c r="U9455" s="31" t="n">
        <f aca="false">IF($B9455='設定（最初に1回）'!$C$4,N(U9454)+1,N(U9454))</f>
        <v>134</v>
      </c>
    </row>
    <row r="9456" customFormat="false" ht="15" hidden="false" customHeight="false" outlineLevel="0" collapsed="false">
      <c r="B9456" s="53"/>
      <c r="I9456" s="53"/>
      <c r="U9456" s="31" t="n">
        <f aca="false">IF($B9456='設定（最初に1回）'!$C$4,N(U9455)+1,N(U9455))</f>
        <v>134</v>
      </c>
    </row>
    <row r="9457" customFormat="false" ht="15" hidden="false" customHeight="false" outlineLevel="0" collapsed="false">
      <c r="B9457" s="53"/>
      <c r="I9457" s="53"/>
      <c r="U9457" s="31" t="n">
        <f aca="false">IF($B9457='設定（最初に1回）'!$C$4,N(U9456)+1,N(U9456))</f>
        <v>134</v>
      </c>
    </row>
    <row r="9458" customFormat="false" ht="15" hidden="false" customHeight="false" outlineLevel="0" collapsed="false">
      <c r="B9458" s="53"/>
      <c r="I9458" s="53"/>
      <c r="U9458" s="31" t="n">
        <f aca="false">IF($B9458='設定（最初に1回）'!$C$4,N(U9457)+1,N(U9457))</f>
        <v>134</v>
      </c>
    </row>
    <row r="9459" customFormat="false" ht="15" hidden="false" customHeight="false" outlineLevel="0" collapsed="false">
      <c r="B9459" s="53"/>
      <c r="I9459" s="53"/>
      <c r="U9459" s="31" t="n">
        <f aca="false">IF($B9459='設定（最初に1回）'!$C$4,N(U9458)+1,N(U9458))</f>
        <v>134</v>
      </c>
    </row>
    <row r="9460" customFormat="false" ht="15" hidden="false" customHeight="false" outlineLevel="0" collapsed="false">
      <c r="B9460" s="53"/>
      <c r="I9460" s="53"/>
      <c r="U9460" s="31" t="n">
        <f aca="false">IF($B9460='設定（最初に1回）'!$C$4,N(U9459)+1,N(U9459))</f>
        <v>134</v>
      </c>
    </row>
    <row r="9461" customFormat="false" ht="15" hidden="false" customHeight="false" outlineLevel="0" collapsed="false">
      <c r="B9461" s="53"/>
      <c r="I9461" s="53"/>
      <c r="U9461" s="31" t="n">
        <f aca="false">IF($B9461='設定（最初に1回）'!$C$4,N(U9460)+1,N(U9460))</f>
        <v>134</v>
      </c>
    </row>
    <row r="9462" customFormat="false" ht="15" hidden="false" customHeight="false" outlineLevel="0" collapsed="false">
      <c r="B9462" s="53"/>
      <c r="I9462" s="53"/>
      <c r="U9462" s="31" t="n">
        <f aca="false">IF($B9462='設定（最初に1回）'!$C$4,N(U9461)+1,N(U9461))</f>
        <v>134</v>
      </c>
    </row>
    <row r="9463" customFormat="false" ht="15" hidden="false" customHeight="false" outlineLevel="0" collapsed="false">
      <c r="B9463" s="53"/>
      <c r="I9463" s="53"/>
      <c r="U9463" s="31" t="n">
        <f aca="false">IF($B9463='設定（最初に1回）'!$C$4,N(U9462)+1,N(U9462))</f>
        <v>134</v>
      </c>
    </row>
    <row r="9464" customFormat="false" ht="15" hidden="false" customHeight="false" outlineLevel="0" collapsed="false">
      <c r="B9464" s="53"/>
      <c r="I9464" s="53"/>
      <c r="U9464" s="31" t="n">
        <f aca="false">IF($B9464='設定（最初に1回）'!$C$4,N(U9463)+1,N(U9463))</f>
        <v>134</v>
      </c>
    </row>
    <row r="9465" customFormat="false" ht="15" hidden="false" customHeight="false" outlineLevel="0" collapsed="false">
      <c r="B9465" s="53"/>
      <c r="I9465" s="53"/>
      <c r="U9465" s="31" t="n">
        <f aca="false">IF($B9465='設定（最初に1回）'!$C$4,N(U9464)+1,N(U9464))</f>
        <v>134</v>
      </c>
    </row>
    <row r="9466" customFormat="false" ht="15" hidden="false" customHeight="false" outlineLevel="0" collapsed="false">
      <c r="B9466" s="53"/>
      <c r="I9466" s="53"/>
      <c r="U9466" s="31" t="n">
        <f aca="false">IF($B9466='設定（最初に1回）'!$C$4,N(U9465)+1,N(U9465))</f>
        <v>134</v>
      </c>
    </row>
    <row r="9467" customFormat="false" ht="15" hidden="false" customHeight="false" outlineLevel="0" collapsed="false">
      <c r="B9467" s="53"/>
      <c r="I9467" s="53"/>
      <c r="U9467" s="31" t="n">
        <f aca="false">IF($B9467='設定（最初に1回）'!$C$4,N(U9466)+1,N(U9466))</f>
        <v>134</v>
      </c>
    </row>
    <row r="9468" customFormat="false" ht="15" hidden="false" customHeight="false" outlineLevel="0" collapsed="false">
      <c r="B9468" s="53"/>
      <c r="I9468" s="53"/>
      <c r="U9468" s="31" t="n">
        <f aca="false">IF($B9468='設定（最初に1回）'!$C$4,N(U9467)+1,N(U9467))</f>
        <v>134</v>
      </c>
    </row>
    <row r="9469" customFormat="false" ht="15" hidden="false" customHeight="false" outlineLevel="0" collapsed="false">
      <c r="B9469" s="53"/>
      <c r="I9469" s="53"/>
      <c r="U9469" s="31" t="n">
        <f aca="false">IF($B9469='設定（最初に1回）'!$C$4,N(U9468)+1,N(U9468))</f>
        <v>134</v>
      </c>
    </row>
    <row r="9470" customFormat="false" ht="15" hidden="false" customHeight="false" outlineLevel="0" collapsed="false">
      <c r="B9470" s="53"/>
      <c r="I9470" s="53"/>
      <c r="U9470" s="31" t="n">
        <f aca="false">IF($B9470='設定（最初に1回）'!$C$4,N(U9469)+1,N(U9469))</f>
        <v>134</v>
      </c>
    </row>
    <row r="9471" customFormat="false" ht="15" hidden="false" customHeight="false" outlineLevel="0" collapsed="false">
      <c r="B9471" s="53"/>
      <c r="I9471" s="53"/>
      <c r="U9471" s="31" t="n">
        <f aca="false">IF($B9471='設定（最初に1回）'!$C$4,N(U9470)+1,N(U9470))</f>
        <v>134</v>
      </c>
    </row>
    <row r="9472" customFormat="false" ht="15" hidden="false" customHeight="false" outlineLevel="0" collapsed="false">
      <c r="B9472" s="53"/>
      <c r="I9472" s="53"/>
      <c r="U9472" s="31" t="n">
        <f aca="false">IF($B9472='設定（最初に1回）'!$C$4,N(U9471)+1,N(U9471))</f>
        <v>134</v>
      </c>
    </row>
    <row r="9473" customFormat="false" ht="15" hidden="false" customHeight="false" outlineLevel="0" collapsed="false">
      <c r="B9473" s="53"/>
      <c r="I9473" s="53"/>
      <c r="U9473" s="31" t="n">
        <f aca="false">IF($B9473='設定（最初に1回）'!$C$4,N(U9472)+1,N(U9472))</f>
        <v>134</v>
      </c>
    </row>
    <row r="9474" customFormat="false" ht="15" hidden="false" customHeight="false" outlineLevel="0" collapsed="false">
      <c r="B9474" s="53"/>
      <c r="I9474" s="53"/>
      <c r="U9474" s="31" t="n">
        <f aca="false">IF($B9474='設定（最初に1回）'!$C$4,N(U9473)+1,N(U9473))</f>
        <v>134</v>
      </c>
    </row>
    <row r="9475" customFormat="false" ht="15" hidden="false" customHeight="false" outlineLevel="0" collapsed="false">
      <c r="B9475" s="53"/>
      <c r="I9475" s="53"/>
      <c r="U9475" s="31" t="n">
        <f aca="false">IF($B9475='設定（最初に1回）'!$C$4,N(U9474)+1,N(U9474))</f>
        <v>134</v>
      </c>
    </row>
    <row r="9476" customFormat="false" ht="15" hidden="false" customHeight="false" outlineLevel="0" collapsed="false">
      <c r="B9476" s="53"/>
      <c r="I9476" s="53"/>
      <c r="U9476" s="31" t="n">
        <f aca="false">IF($B9476='設定（最初に1回）'!$C$4,N(U9475)+1,N(U9475))</f>
        <v>134</v>
      </c>
    </row>
    <row r="9477" customFormat="false" ht="15" hidden="false" customHeight="false" outlineLevel="0" collapsed="false">
      <c r="B9477" s="53"/>
      <c r="I9477" s="53"/>
      <c r="U9477" s="31" t="n">
        <f aca="false">IF($B9477='設定（最初に1回）'!$C$4,N(U9476)+1,N(U9476))</f>
        <v>134</v>
      </c>
    </row>
    <row r="9478" customFormat="false" ht="15" hidden="false" customHeight="false" outlineLevel="0" collapsed="false">
      <c r="B9478" s="53"/>
      <c r="I9478" s="53"/>
      <c r="U9478" s="31" t="n">
        <f aca="false">IF($B9478='設定（最初に1回）'!$C$4,N(U9477)+1,N(U9477))</f>
        <v>134</v>
      </c>
    </row>
    <row r="9479" customFormat="false" ht="15" hidden="false" customHeight="false" outlineLevel="0" collapsed="false">
      <c r="B9479" s="53"/>
      <c r="I9479" s="53"/>
      <c r="U9479" s="31" t="n">
        <f aca="false">IF($B9479='設定（最初に1回）'!$C$4,N(U9478)+1,N(U9478))</f>
        <v>134</v>
      </c>
    </row>
    <row r="9480" customFormat="false" ht="15" hidden="false" customHeight="false" outlineLevel="0" collapsed="false">
      <c r="B9480" s="53"/>
      <c r="I9480" s="53"/>
      <c r="U9480" s="31" t="n">
        <f aca="false">IF($B9480='設定（最初に1回）'!$C$4,N(U9479)+1,N(U9479))</f>
        <v>134</v>
      </c>
    </row>
    <row r="9481" customFormat="false" ht="15" hidden="false" customHeight="false" outlineLevel="0" collapsed="false">
      <c r="B9481" s="53"/>
      <c r="I9481" s="53"/>
      <c r="U9481" s="31" t="n">
        <f aca="false">IF($B9481='設定（最初に1回）'!$C$4,N(U9480)+1,N(U9480))</f>
        <v>134</v>
      </c>
    </row>
    <row r="9482" customFormat="false" ht="15" hidden="false" customHeight="false" outlineLevel="0" collapsed="false">
      <c r="B9482" s="53"/>
      <c r="I9482" s="53"/>
      <c r="U9482" s="31" t="n">
        <f aca="false">IF($B9482='設定（最初に1回）'!$C$4,N(U9481)+1,N(U9481))</f>
        <v>134</v>
      </c>
    </row>
    <row r="9483" customFormat="false" ht="15" hidden="false" customHeight="false" outlineLevel="0" collapsed="false">
      <c r="B9483" s="53"/>
      <c r="I9483" s="53"/>
      <c r="U9483" s="31" t="n">
        <f aca="false">IF($B9483='設定（最初に1回）'!$C$4,N(U9482)+1,N(U9482))</f>
        <v>134</v>
      </c>
    </row>
    <row r="9484" customFormat="false" ht="15" hidden="false" customHeight="false" outlineLevel="0" collapsed="false">
      <c r="B9484" s="53"/>
      <c r="I9484" s="53"/>
      <c r="U9484" s="31" t="n">
        <f aca="false">IF($B9484='設定（最初に1回）'!$C$4,N(U9483)+1,N(U9483))</f>
        <v>134</v>
      </c>
    </row>
    <row r="9485" customFormat="false" ht="15" hidden="false" customHeight="false" outlineLevel="0" collapsed="false">
      <c r="B9485" s="53"/>
      <c r="I9485" s="53"/>
      <c r="U9485" s="31" t="n">
        <f aca="false">IF($B9485='設定（最初に1回）'!$C$4,N(U9484)+1,N(U9484))</f>
        <v>134</v>
      </c>
    </row>
    <row r="9486" customFormat="false" ht="15" hidden="false" customHeight="false" outlineLevel="0" collapsed="false">
      <c r="B9486" s="53"/>
      <c r="I9486" s="53"/>
      <c r="U9486" s="31" t="n">
        <f aca="false">IF($B9486='設定（最初に1回）'!$C$4,N(U9485)+1,N(U9485))</f>
        <v>134</v>
      </c>
    </row>
    <row r="9487" customFormat="false" ht="15" hidden="false" customHeight="false" outlineLevel="0" collapsed="false">
      <c r="B9487" s="53"/>
      <c r="I9487" s="53"/>
      <c r="U9487" s="31" t="n">
        <f aca="false">IF($B9487='設定（最初に1回）'!$C$4,N(U9486)+1,N(U9486))</f>
        <v>134</v>
      </c>
    </row>
    <row r="9488" customFormat="false" ht="15" hidden="false" customHeight="false" outlineLevel="0" collapsed="false">
      <c r="B9488" s="53"/>
      <c r="I9488" s="53"/>
      <c r="U9488" s="31" t="n">
        <f aca="false">IF($B9488='設定（最初に1回）'!$C$4,N(U9487)+1,N(U9487))</f>
        <v>134</v>
      </c>
    </row>
    <row r="9489" customFormat="false" ht="15" hidden="false" customHeight="false" outlineLevel="0" collapsed="false">
      <c r="B9489" s="53"/>
      <c r="I9489" s="53"/>
      <c r="U9489" s="31" t="n">
        <f aca="false">IF($B9489='設定（最初に1回）'!$C$4,N(U9488)+1,N(U9488))</f>
        <v>134</v>
      </c>
    </row>
    <row r="9490" customFormat="false" ht="15" hidden="false" customHeight="false" outlineLevel="0" collapsed="false">
      <c r="B9490" s="53"/>
      <c r="I9490" s="53"/>
      <c r="U9490" s="31" t="n">
        <f aca="false">IF($B9490='設定（最初に1回）'!$C$4,N(U9489)+1,N(U9489))</f>
        <v>134</v>
      </c>
    </row>
    <row r="9491" customFormat="false" ht="15" hidden="false" customHeight="false" outlineLevel="0" collapsed="false">
      <c r="B9491" s="53"/>
      <c r="I9491" s="53"/>
      <c r="U9491" s="31" t="n">
        <f aca="false">IF($B9491='設定（最初に1回）'!$C$4,N(U9490)+1,N(U9490))</f>
        <v>134</v>
      </c>
    </row>
    <row r="9492" customFormat="false" ht="15" hidden="false" customHeight="false" outlineLevel="0" collapsed="false">
      <c r="B9492" s="53"/>
      <c r="I9492" s="53"/>
      <c r="U9492" s="31" t="n">
        <f aca="false">IF($B9492='設定（最初に1回）'!$C$4,N(U9491)+1,N(U9491))</f>
        <v>134</v>
      </c>
    </row>
    <row r="9493" customFormat="false" ht="15" hidden="false" customHeight="false" outlineLevel="0" collapsed="false">
      <c r="B9493" s="53"/>
      <c r="I9493" s="53"/>
      <c r="U9493" s="31" t="n">
        <f aca="false">IF($B9493='設定（最初に1回）'!$C$4,N(U9492)+1,N(U9492))</f>
        <v>134</v>
      </c>
    </row>
    <row r="9494" customFormat="false" ht="15" hidden="false" customHeight="false" outlineLevel="0" collapsed="false">
      <c r="B9494" s="53"/>
      <c r="I9494" s="53"/>
      <c r="U9494" s="31" t="n">
        <f aca="false">IF($B9494='設定（最初に1回）'!$C$4,N(U9493)+1,N(U9493))</f>
        <v>134</v>
      </c>
    </row>
    <row r="9495" customFormat="false" ht="15" hidden="false" customHeight="false" outlineLevel="0" collapsed="false">
      <c r="B9495" s="53"/>
      <c r="I9495" s="53"/>
      <c r="U9495" s="31" t="n">
        <f aca="false">IF($B9495='設定（最初に1回）'!$C$4,N(U9494)+1,N(U9494))</f>
        <v>134</v>
      </c>
    </row>
    <row r="9496" customFormat="false" ht="15" hidden="false" customHeight="false" outlineLevel="0" collapsed="false">
      <c r="B9496" s="53"/>
      <c r="I9496" s="53"/>
      <c r="U9496" s="31" t="n">
        <f aca="false">IF($B9496='設定（最初に1回）'!$C$4,N(U9495)+1,N(U9495))</f>
        <v>134</v>
      </c>
    </row>
    <row r="9497" customFormat="false" ht="15" hidden="false" customHeight="false" outlineLevel="0" collapsed="false">
      <c r="B9497" s="53"/>
      <c r="I9497" s="53"/>
      <c r="U9497" s="31" t="n">
        <f aca="false">IF($B9497='設定（最初に1回）'!$C$4,N(U9496)+1,N(U9496))</f>
        <v>134</v>
      </c>
    </row>
    <row r="9498" customFormat="false" ht="15" hidden="false" customHeight="false" outlineLevel="0" collapsed="false">
      <c r="B9498" s="53"/>
      <c r="I9498" s="53"/>
      <c r="U9498" s="31" t="n">
        <f aca="false">IF($B9498='設定（最初に1回）'!$C$4,N(U9497)+1,N(U9497))</f>
        <v>134</v>
      </c>
    </row>
    <row r="9499" customFormat="false" ht="15" hidden="false" customHeight="false" outlineLevel="0" collapsed="false">
      <c r="B9499" s="53"/>
      <c r="I9499" s="53"/>
      <c r="U9499" s="31" t="n">
        <f aca="false">IF($B9499='設定（最初に1回）'!$C$4,N(U9498)+1,N(U9498))</f>
        <v>134</v>
      </c>
    </row>
    <row r="9500" customFormat="false" ht="15" hidden="false" customHeight="false" outlineLevel="0" collapsed="false">
      <c r="B9500" s="53"/>
      <c r="I9500" s="53"/>
      <c r="U9500" s="31" t="n">
        <f aca="false">IF($B9500='設定（最初に1回）'!$C$4,N(U9499)+1,N(U9499))</f>
        <v>134</v>
      </c>
    </row>
    <row r="9501" customFormat="false" ht="15" hidden="false" customHeight="false" outlineLevel="0" collapsed="false">
      <c r="B9501" s="53"/>
      <c r="I9501" s="53"/>
      <c r="U9501" s="31" t="n">
        <f aca="false">IF($B9501='設定（最初に1回）'!$C$4,N(U9500)+1,N(U9500))</f>
        <v>134</v>
      </c>
    </row>
    <row r="9502" customFormat="false" ht="15" hidden="false" customHeight="false" outlineLevel="0" collapsed="false">
      <c r="B9502" s="53"/>
      <c r="I9502" s="53"/>
      <c r="U9502" s="31" t="n">
        <f aca="false">IF($B9502='設定（最初に1回）'!$C$4,N(U9501)+1,N(U9501))</f>
        <v>134</v>
      </c>
    </row>
    <row r="9503" customFormat="false" ht="15" hidden="false" customHeight="false" outlineLevel="0" collapsed="false">
      <c r="B9503" s="53"/>
      <c r="I9503" s="53"/>
      <c r="U9503" s="31" t="n">
        <f aca="false">IF($B9503='設定（最初に1回）'!$C$4,N(U9502)+1,N(U9502))</f>
        <v>134</v>
      </c>
    </row>
    <row r="9504" customFormat="false" ht="15" hidden="false" customHeight="false" outlineLevel="0" collapsed="false">
      <c r="B9504" s="53"/>
      <c r="I9504" s="53"/>
      <c r="U9504" s="31" t="n">
        <f aca="false">IF($B9504='設定（最初に1回）'!$C$4,N(U9503)+1,N(U9503))</f>
        <v>134</v>
      </c>
    </row>
    <row r="9505" customFormat="false" ht="15" hidden="false" customHeight="false" outlineLevel="0" collapsed="false">
      <c r="B9505" s="53"/>
      <c r="I9505" s="53"/>
      <c r="U9505" s="31" t="n">
        <f aca="false">IF($B9505='設定（最初に1回）'!$C$4,N(U9504)+1,N(U9504))</f>
        <v>134</v>
      </c>
    </row>
    <row r="9506" customFormat="false" ht="15" hidden="false" customHeight="false" outlineLevel="0" collapsed="false">
      <c r="B9506" s="53"/>
      <c r="I9506" s="53"/>
      <c r="U9506" s="31" t="n">
        <f aca="false">IF($B9506='設定（最初に1回）'!$C$4,N(U9505)+1,N(U9505))</f>
        <v>134</v>
      </c>
    </row>
    <row r="9507" customFormat="false" ht="15" hidden="false" customHeight="false" outlineLevel="0" collapsed="false">
      <c r="B9507" s="53"/>
      <c r="I9507" s="53"/>
      <c r="U9507" s="31" t="n">
        <f aca="false">IF($B9507='設定（最初に1回）'!$C$4,N(U9506)+1,N(U9506))</f>
        <v>134</v>
      </c>
    </row>
    <row r="9508" customFormat="false" ht="15" hidden="false" customHeight="false" outlineLevel="0" collapsed="false">
      <c r="B9508" s="53"/>
      <c r="I9508" s="53"/>
      <c r="U9508" s="31" t="n">
        <f aca="false">IF($B9508='設定（最初に1回）'!$C$4,N(U9507)+1,N(U9507))</f>
        <v>134</v>
      </c>
    </row>
    <row r="9509" customFormat="false" ht="15" hidden="false" customHeight="false" outlineLevel="0" collapsed="false">
      <c r="B9509" s="53"/>
      <c r="I9509" s="53"/>
      <c r="U9509" s="31" t="n">
        <f aca="false">IF($B9509='設定（最初に1回）'!$C$4,N(U9508)+1,N(U9508))</f>
        <v>134</v>
      </c>
    </row>
    <row r="9510" customFormat="false" ht="15" hidden="false" customHeight="false" outlineLevel="0" collapsed="false">
      <c r="B9510" s="53"/>
      <c r="I9510" s="53"/>
      <c r="U9510" s="31" t="n">
        <f aca="false">IF($B9510='設定（最初に1回）'!$C$4,N(U9509)+1,N(U9509))</f>
        <v>134</v>
      </c>
    </row>
    <row r="9511" customFormat="false" ht="15" hidden="false" customHeight="false" outlineLevel="0" collapsed="false">
      <c r="B9511" s="53"/>
      <c r="I9511" s="53"/>
      <c r="U9511" s="31" t="n">
        <f aca="false">IF($B9511='設定（最初に1回）'!$C$4,N(U9510)+1,N(U9510))</f>
        <v>134</v>
      </c>
    </row>
    <row r="9512" customFormat="false" ht="15" hidden="false" customHeight="false" outlineLevel="0" collapsed="false">
      <c r="B9512" s="53"/>
      <c r="I9512" s="53"/>
      <c r="U9512" s="31" t="n">
        <f aca="false">IF($B9512='設定（最初に1回）'!$C$4,N(U9511)+1,N(U9511))</f>
        <v>134</v>
      </c>
    </row>
    <row r="9513" customFormat="false" ht="15" hidden="false" customHeight="false" outlineLevel="0" collapsed="false">
      <c r="B9513" s="53"/>
      <c r="I9513" s="53"/>
      <c r="U9513" s="31" t="n">
        <f aca="false">IF($B9513='設定（最初に1回）'!$C$4,N(U9512)+1,N(U9512))</f>
        <v>134</v>
      </c>
    </row>
    <row r="9514" customFormat="false" ht="15" hidden="false" customHeight="false" outlineLevel="0" collapsed="false">
      <c r="B9514" s="53"/>
      <c r="I9514" s="53"/>
      <c r="U9514" s="31" t="n">
        <f aca="false">IF($B9514='設定（最初に1回）'!$C$4,N(U9513)+1,N(U9513))</f>
        <v>134</v>
      </c>
    </row>
    <row r="9515" customFormat="false" ht="15" hidden="false" customHeight="false" outlineLevel="0" collapsed="false">
      <c r="B9515" s="53"/>
      <c r="I9515" s="53"/>
      <c r="U9515" s="31" t="n">
        <f aca="false">IF($B9515='設定（最初に1回）'!$C$4,N(U9514)+1,N(U9514))</f>
        <v>134</v>
      </c>
    </row>
    <row r="9516" customFormat="false" ht="15" hidden="false" customHeight="false" outlineLevel="0" collapsed="false">
      <c r="B9516" s="53"/>
      <c r="I9516" s="53"/>
      <c r="U9516" s="31" t="n">
        <f aca="false">IF($B9516='設定（最初に1回）'!$C$4,N(U9515)+1,N(U9515))</f>
        <v>134</v>
      </c>
    </row>
    <row r="9517" customFormat="false" ht="15" hidden="false" customHeight="false" outlineLevel="0" collapsed="false">
      <c r="B9517" s="53"/>
      <c r="I9517" s="53"/>
      <c r="U9517" s="31" t="n">
        <f aca="false">IF($B9517='設定（最初に1回）'!$C$4,N(U9516)+1,N(U9516))</f>
        <v>134</v>
      </c>
    </row>
    <row r="9518" customFormat="false" ht="15" hidden="false" customHeight="false" outlineLevel="0" collapsed="false">
      <c r="B9518" s="53"/>
      <c r="I9518" s="53"/>
      <c r="U9518" s="31" t="n">
        <f aca="false">IF($B9518='設定（最初に1回）'!$C$4,N(U9517)+1,N(U9517))</f>
        <v>134</v>
      </c>
    </row>
    <row r="9519" customFormat="false" ht="15" hidden="false" customHeight="false" outlineLevel="0" collapsed="false">
      <c r="B9519" s="53"/>
      <c r="I9519" s="53"/>
      <c r="U9519" s="31" t="n">
        <f aca="false">IF($B9519='設定（最初に1回）'!$C$4,N(U9518)+1,N(U9518))</f>
        <v>134</v>
      </c>
    </row>
    <row r="9520" customFormat="false" ht="15" hidden="false" customHeight="false" outlineLevel="0" collapsed="false">
      <c r="B9520" s="53"/>
      <c r="I9520" s="53"/>
      <c r="U9520" s="31" t="n">
        <f aca="false">IF($B9520='設定（最初に1回）'!$C$4,N(U9519)+1,N(U9519))</f>
        <v>134</v>
      </c>
    </row>
    <row r="9521" customFormat="false" ht="15" hidden="false" customHeight="false" outlineLevel="0" collapsed="false">
      <c r="B9521" s="53"/>
      <c r="I9521" s="53"/>
      <c r="U9521" s="31" t="n">
        <f aca="false">IF($B9521='設定（最初に1回）'!$C$4,N(U9520)+1,N(U9520))</f>
        <v>134</v>
      </c>
    </row>
    <row r="9522" customFormat="false" ht="15" hidden="false" customHeight="false" outlineLevel="0" collapsed="false">
      <c r="B9522" s="53"/>
      <c r="I9522" s="53"/>
      <c r="U9522" s="31" t="n">
        <f aca="false">IF($B9522='設定（最初に1回）'!$C$4,N(U9521)+1,N(U9521))</f>
        <v>134</v>
      </c>
    </row>
    <row r="9523" customFormat="false" ht="15" hidden="false" customHeight="false" outlineLevel="0" collapsed="false">
      <c r="B9523" s="53"/>
      <c r="I9523" s="53"/>
      <c r="U9523" s="31" t="n">
        <f aca="false">IF($B9523='設定（最初に1回）'!$C$4,N(U9522)+1,N(U9522))</f>
        <v>134</v>
      </c>
    </row>
    <row r="9524" customFormat="false" ht="15" hidden="false" customHeight="false" outlineLevel="0" collapsed="false">
      <c r="B9524" s="53"/>
      <c r="I9524" s="53"/>
      <c r="U9524" s="31" t="n">
        <f aca="false">IF($B9524='設定（最初に1回）'!$C$4,N(U9523)+1,N(U9523))</f>
        <v>134</v>
      </c>
    </row>
    <row r="9525" customFormat="false" ht="15" hidden="false" customHeight="false" outlineLevel="0" collapsed="false">
      <c r="B9525" s="53"/>
      <c r="I9525" s="53"/>
      <c r="U9525" s="31" t="n">
        <f aca="false">IF($B9525='設定（最初に1回）'!$C$4,N(U9524)+1,N(U9524))</f>
        <v>134</v>
      </c>
    </row>
    <row r="9526" customFormat="false" ht="15" hidden="false" customHeight="false" outlineLevel="0" collapsed="false">
      <c r="B9526" s="53"/>
      <c r="I9526" s="53"/>
      <c r="U9526" s="31" t="n">
        <f aca="false">IF($B9526='設定（最初に1回）'!$C$4,N(U9525)+1,N(U9525))</f>
        <v>134</v>
      </c>
    </row>
    <row r="9527" customFormat="false" ht="15" hidden="false" customHeight="false" outlineLevel="0" collapsed="false">
      <c r="B9527" s="53"/>
      <c r="I9527" s="53"/>
      <c r="U9527" s="31" t="n">
        <f aca="false">IF($B9527='設定（最初に1回）'!$C$4,N(U9526)+1,N(U9526))</f>
        <v>134</v>
      </c>
    </row>
    <row r="9528" customFormat="false" ht="15" hidden="false" customHeight="false" outlineLevel="0" collapsed="false">
      <c r="B9528" s="53"/>
      <c r="I9528" s="53"/>
      <c r="U9528" s="31" t="n">
        <f aca="false">IF($B9528='設定（最初に1回）'!$C$4,N(U9527)+1,N(U9527))</f>
        <v>134</v>
      </c>
    </row>
    <row r="9529" customFormat="false" ht="15" hidden="false" customHeight="false" outlineLevel="0" collapsed="false">
      <c r="B9529" s="53"/>
      <c r="I9529" s="53"/>
      <c r="U9529" s="31" t="n">
        <f aca="false">IF($B9529='設定（最初に1回）'!$C$4,N(U9528)+1,N(U9528))</f>
        <v>134</v>
      </c>
    </row>
    <row r="9530" customFormat="false" ht="15" hidden="false" customHeight="false" outlineLevel="0" collapsed="false">
      <c r="B9530" s="53"/>
      <c r="I9530" s="53"/>
      <c r="U9530" s="31" t="n">
        <f aca="false">IF($B9530='設定（最初に1回）'!$C$4,N(U9529)+1,N(U9529))</f>
        <v>134</v>
      </c>
    </row>
    <row r="9531" customFormat="false" ht="15" hidden="false" customHeight="false" outlineLevel="0" collapsed="false">
      <c r="B9531" s="53"/>
      <c r="I9531" s="53"/>
      <c r="U9531" s="31" t="n">
        <f aca="false">IF($B9531='設定（最初に1回）'!$C$4,N(U9530)+1,N(U9530))</f>
        <v>134</v>
      </c>
    </row>
    <row r="9532" customFormat="false" ht="15" hidden="false" customHeight="false" outlineLevel="0" collapsed="false">
      <c r="B9532" s="53"/>
      <c r="I9532" s="53"/>
      <c r="U9532" s="31" t="n">
        <f aca="false">IF($B9532='設定（最初に1回）'!$C$4,N(U9531)+1,N(U9531))</f>
        <v>134</v>
      </c>
    </row>
    <row r="9533" customFormat="false" ht="15" hidden="false" customHeight="false" outlineLevel="0" collapsed="false">
      <c r="B9533" s="53"/>
      <c r="I9533" s="53"/>
      <c r="U9533" s="31" t="n">
        <f aca="false">IF($B9533='設定（最初に1回）'!$C$4,N(U9532)+1,N(U9532))</f>
        <v>134</v>
      </c>
    </row>
    <row r="9534" customFormat="false" ht="15" hidden="false" customHeight="false" outlineLevel="0" collapsed="false">
      <c r="B9534" s="53"/>
      <c r="I9534" s="53"/>
      <c r="U9534" s="31" t="n">
        <f aca="false">IF($B9534='設定（最初に1回）'!$C$4,N(U9533)+1,N(U9533))</f>
        <v>134</v>
      </c>
    </row>
    <row r="9535" customFormat="false" ht="15" hidden="false" customHeight="false" outlineLevel="0" collapsed="false">
      <c r="B9535" s="53"/>
      <c r="I9535" s="53"/>
      <c r="U9535" s="31" t="n">
        <f aca="false">IF($B9535='設定（最初に1回）'!$C$4,N(U9534)+1,N(U9534))</f>
        <v>134</v>
      </c>
    </row>
    <row r="9536" customFormat="false" ht="15" hidden="false" customHeight="false" outlineLevel="0" collapsed="false">
      <c r="B9536" s="53"/>
      <c r="I9536" s="53"/>
      <c r="U9536" s="31" t="n">
        <f aca="false">IF($B9536='設定（最初に1回）'!$C$4,N(U9535)+1,N(U9535))</f>
        <v>134</v>
      </c>
    </row>
    <row r="9537" customFormat="false" ht="15" hidden="false" customHeight="false" outlineLevel="0" collapsed="false">
      <c r="B9537" s="53"/>
      <c r="I9537" s="53"/>
      <c r="U9537" s="31" t="n">
        <f aca="false">IF($B9537='設定（最初に1回）'!$C$4,N(U9536)+1,N(U9536))</f>
        <v>134</v>
      </c>
    </row>
    <row r="9538" customFormat="false" ht="15" hidden="false" customHeight="false" outlineLevel="0" collapsed="false">
      <c r="B9538" s="53"/>
      <c r="I9538" s="53"/>
      <c r="U9538" s="31" t="n">
        <f aca="false">IF($B9538='設定（最初に1回）'!$C$4,N(U9537)+1,N(U9537))</f>
        <v>134</v>
      </c>
    </row>
    <row r="9539" customFormat="false" ht="15" hidden="false" customHeight="false" outlineLevel="0" collapsed="false">
      <c r="B9539" s="53"/>
      <c r="I9539" s="53"/>
      <c r="U9539" s="31" t="n">
        <f aca="false">IF($B9539='設定（最初に1回）'!$C$4,N(U9538)+1,N(U9538))</f>
        <v>134</v>
      </c>
    </row>
    <row r="9540" customFormat="false" ht="15" hidden="false" customHeight="false" outlineLevel="0" collapsed="false">
      <c r="B9540" s="53"/>
      <c r="I9540" s="53"/>
      <c r="U9540" s="31" t="n">
        <f aca="false">IF($B9540='設定（最初に1回）'!$C$4,N(U9539)+1,N(U9539))</f>
        <v>134</v>
      </c>
    </row>
    <row r="9541" customFormat="false" ht="15" hidden="false" customHeight="false" outlineLevel="0" collapsed="false">
      <c r="B9541" s="53"/>
      <c r="I9541" s="53"/>
      <c r="U9541" s="31" t="n">
        <f aca="false">IF($B9541='設定（最初に1回）'!$C$4,N(U9540)+1,N(U9540))</f>
        <v>134</v>
      </c>
    </row>
    <row r="9542" customFormat="false" ht="15" hidden="false" customHeight="false" outlineLevel="0" collapsed="false">
      <c r="B9542" s="53"/>
      <c r="I9542" s="53"/>
      <c r="U9542" s="31" t="n">
        <f aca="false">IF($B9542='設定（最初に1回）'!$C$4,N(U9541)+1,N(U9541))</f>
        <v>134</v>
      </c>
    </row>
    <row r="9543" customFormat="false" ht="15" hidden="false" customHeight="false" outlineLevel="0" collapsed="false">
      <c r="B9543" s="53"/>
      <c r="I9543" s="53"/>
      <c r="U9543" s="31" t="n">
        <f aca="false">IF($B9543='設定（最初に1回）'!$C$4,N(U9542)+1,N(U9542))</f>
        <v>134</v>
      </c>
    </row>
    <row r="9544" customFormat="false" ht="15" hidden="false" customHeight="false" outlineLevel="0" collapsed="false">
      <c r="B9544" s="53"/>
      <c r="I9544" s="53"/>
      <c r="U9544" s="31" t="n">
        <f aca="false">IF($B9544='設定（最初に1回）'!$C$4,N(U9543)+1,N(U9543))</f>
        <v>134</v>
      </c>
    </row>
    <row r="9545" customFormat="false" ht="15" hidden="false" customHeight="false" outlineLevel="0" collapsed="false">
      <c r="B9545" s="53"/>
      <c r="I9545" s="53"/>
      <c r="U9545" s="31" t="n">
        <f aca="false">IF($B9545='設定（最初に1回）'!$C$4,N(U9544)+1,N(U9544))</f>
        <v>134</v>
      </c>
    </row>
    <row r="9546" customFormat="false" ht="15" hidden="false" customHeight="false" outlineLevel="0" collapsed="false">
      <c r="B9546" s="53"/>
      <c r="I9546" s="53"/>
      <c r="U9546" s="31" t="n">
        <f aca="false">IF($B9546='設定（最初に1回）'!$C$4,N(U9545)+1,N(U9545))</f>
        <v>134</v>
      </c>
    </row>
    <row r="9547" customFormat="false" ht="15" hidden="false" customHeight="false" outlineLevel="0" collapsed="false">
      <c r="B9547" s="53"/>
      <c r="I9547" s="53"/>
      <c r="U9547" s="31" t="n">
        <f aca="false">IF($B9547='設定（最初に1回）'!$C$4,N(U9546)+1,N(U9546))</f>
        <v>134</v>
      </c>
    </row>
    <row r="9548" customFormat="false" ht="15" hidden="false" customHeight="false" outlineLevel="0" collapsed="false">
      <c r="B9548" s="53"/>
      <c r="I9548" s="53"/>
      <c r="U9548" s="31" t="n">
        <f aca="false">IF($B9548='設定（最初に1回）'!$C$4,N(U9547)+1,N(U9547))</f>
        <v>134</v>
      </c>
    </row>
    <row r="9549" customFormat="false" ht="15" hidden="false" customHeight="false" outlineLevel="0" collapsed="false">
      <c r="B9549" s="53"/>
      <c r="I9549" s="53"/>
      <c r="U9549" s="31" t="n">
        <f aca="false">IF($B9549='設定（最初に1回）'!$C$4,N(U9548)+1,N(U9548))</f>
        <v>134</v>
      </c>
    </row>
    <row r="9550" customFormat="false" ht="15" hidden="false" customHeight="false" outlineLevel="0" collapsed="false">
      <c r="B9550" s="53"/>
      <c r="I9550" s="53"/>
      <c r="U9550" s="31" t="n">
        <f aca="false">IF($B9550='設定（最初に1回）'!$C$4,N(U9549)+1,N(U9549))</f>
        <v>134</v>
      </c>
    </row>
    <row r="9551" customFormat="false" ht="15" hidden="false" customHeight="false" outlineLevel="0" collapsed="false">
      <c r="B9551" s="53"/>
      <c r="I9551" s="53"/>
      <c r="U9551" s="31" t="n">
        <f aca="false">IF($B9551='設定（最初に1回）'!$C$4,N(U9550)+1,N(U9550))</f>
        <v>134</v>
      </c>
    </row>
    <row r="9552" customFormat="false" ht="15" hidden="false" customHeight="false" outlineLevel="0" collapsed="false">
      <c r="B9552" s="53"/>
      <c r="I9552" s="53"/>
      <c r="U9552" s="31" t="n">
        <f aca="false">IF($B9552='設定（最初に1回）'!$C$4,N(U9551)+1,N(U9551))</f>
        <v>134</v>
      </c>
    </row>
    <row r="9553" customFormat="false" ht="15" hidden="false" customHeight="false" outlineLevel="0" collapsed="false">
      <c r="B9553" s="53"/>
      <c r="I9553" s="53"/>
      <c r="U9553" s="31" t="n">
        <f aca="false">IF($B9553='設定（最初に1回）'!$C$4,N(U9552)+1,N(U9552))</f>
        <v>134</v>
      </c>
    </row>
    <row r="9554" customFormat="false" ht="15" hidden="false" customHeight="false" outlineLevel="0" collapsed="false">
      <c r="B9554" s="53"/>
      <c r="I9554" s="53"/>
      <c r="U9554" s="31" t="n">
        <f aca="false">IF($B9554='設定（最初に1回）'!$C$4,N(U9553)+1,N(U9553))</f>
        <v>134</v>
      </c>
    </row>
    <row r="9555" customFormat="false" ht="15" hidden="false" customHeight="false" outlineLevel="0" collapsed="false">
      <c r="B9555" s="53"/>
      <c r="I9555" s="53"/>
      <c r="U9555" s="31" t="n">
        <f aca="false">IF($B9555='設定（最初に1回）'!$C$4,N(U9554)+1,N(U9554))</f>
        <v>134</v>
      </c>
    </row>
    <row r="9556" customFormat="false" ht="15" hidden="false" customHeight="false" outlineLevel="0" collapsed="false">
      <c r="B9556" s="53"/>
      <c r="I9556" s="53"/>
      <c r="U9556" s="31" t="n">
        <f aca="false">IF($B9556='設定（最初に1回）'!$C$4,N(U9555)+1,N(U9555))</f>
        <v>134</v>
      </c>
    </row>
    <row r="9557" customFormat="false" ht="15" hidden="false" customHeight="false" outlineLevel="0" collapsed="false">
      <c r="B9557" s="53"/>
      <c r="I9557" s="53"/>
      <c r="U9557" s="31" t="n">
        <f aca="false">IF($B9557='設定（最初に1回）'!$C$4,N(U9556)+1,N(U9556))</f>
        <v>134</v>
      </c>
    </row>
    <row r="9558" customFormat="false" ht="15" hidden="false" customHeight="false" outlineLevel="0" collapsed="false">
      <c r="B9558" s="53"/>
      <c r="I9558" s="53"/>
      <c r="U9558" s="31" t="n">
        <f aca="false">IF($B9558='設定（最初に1回）'!$C$4,N(U9557)+1,N(U9557))</f>
        <v>134</v>
      </c>
    </row>
    <row r="9559" customFormat="false" ht="15" hidden="false" customHeight="false" outlineLevel="0" collapsed="false">
      <c r="B9559" s="53"/>
      <c r="I9559" s="53"/>
      <c r="U9559" s="31" t="n">
        <f aca="false">IF($B9559='設定（最初に1回）'!$C$4,N(U9558)+1,N(U9558))</f>
        <v>134</v>
      </c>
    </row>
    <row r="9560" customFormat="false" ht="15" hidden="false" customHeight="false" outlineLevel="0" collapsed="false">
      <c r="B9560" s="53"/>
      <c r="I9560" s="53"/>
      <c r="U9560" s="31" t="n">
        <f aca="false">IF($B9560='設定（最初に1回）'!$C$4,N(U9559)+1,N(U9559))</f>
        <v>134</v>
      </c>
    </row>
    <row r="9561" customFormat="false" ht="15" hidden="false" customHeight="false" outlineLevel="0" collapsed="false">
      <c r="B9561" s="53"/>
      <c r="I9561" s="53"/>
      <c r="U9561" s="31" t="n">
        <f aca="false">IF($B9561='設定（最初に1回）'!$C$4,N(U9560)+1,N(U9560))</f>
        <v>134</v>
      </c>
    </row>
    <row r="9562" customFormat="false" ht="15" hidden="false" customHeight="false" outlineLevel="0" collapsed="false">
      <c r="B9562" s="53"/>
      <c r="I9562" s="53"/>
      <c r="U9562" s="31" t="n">
        <f aca="false">IF($B9562='設定（最初に1回）'!$C$4,N(U9561)+1,N(U9561))</f>
        <v>134</v>
      </c>
    </row>
    <row r="9563" customFormat="false" ht="15" hidden="false" customHeight="false" outlineLevel="0" collapsed="false">
      <c r="B9563" s="53"/>
      <c r="I9563" s="53"/>
      <c r="U9563" s="31" t="n">
        <f aca="false">IF($B9563='設定（最初に1回）'!$C$4,N(U9562)+1,N(U9562))</f>
        <v>134</v>
      </c>
    </row>
    <row r="9564" customFormat="false" ht="15" hidden="false" customHeight="false" outlineLevel="0" collapsed="false">
      <c r="B9564" s="53"/>
      <c r="I9564" s="53"/>
      <c r="U9564" s="31" t="n">
        <f aca="false">IF($B9564='設定（最初に1回）'!$C$4,N(U9563)+1,N(U9563))</f>
        <v>134</v>
      </c>
    </row>
    <row r="9565" customFormat="false" ht="15" hidden="false" customHeight="false" outlineLevel="0" collapsed="false">
      <c r="B9565" s="53"/>
      <c r="I9565" s="53"/>
      <c r="U9565" s="31" t="n">
        <f aca="false">IF($B9565='設定（最初に1回）'!$C$4,N(U9564)+1,N(U9564))</f>
        <v>134</v>
      </c>
    </row>
    <row r="9566" customFormat="false" ht="15" hidden="false" customHeight="false" outlineLevel="0" collapsed="false">
      <c r="B9566" s="53"/>
      <c r="I9566" s="53"/>
      <c r="U9566" s="31" t="n">
        <f aca="false">IF($B9566='設定（最初に1回）'!$C$4,N(U9565)+1,N(U9565))</f>
        <v>134</v>
      </c>
    </row>
    <row r="9567" customFormat="false" ht="15" hidden="false" customHeight="false" outlineLevel="0" collapsed="false">
      <c r="B9567" s="53"/>
      <c r="I9567" s="53"/>
      <c r="U9567" s="31" t="n">
        <f aca="false">IF($B9567='設定（最初に1回）'!$C$4,N(U9566)+1,N(U9566))</f>
        <v>134</v>
      </c>
    </row>
    <row r="9568" customFormat="false" ht="15" hidden="false" customHeight="false" outlineLevel="0" collapsed="false">
      <c r="B9568" s="53"/>
      <c r="I9568" s="53"/>
      <c r="U9568" s="31" t="n">
        <f aca="false">IF($B9568='設定（最初に1回）'!$C$4,N(U9567)+1,N(U9567))</f>
        <v>134</v>
      </c>
    </row>
    <row r="9569" customFormat="false" ht="15" hidden="false" customHeight="false" outlineLevel="0" collapsed="false">
      <c r="B9569" s="53"/>
      <c r="I9569" s="53"/>
      <c r="U9569" s="31" t="n">
        <f aca="false">IF($B9569='設定（最初に1回）'!$C$4,N(U9568)+1,N(U9568))</f>
        <v>134</v>
      </c>
    </row>
    <row r="9570" customFormat="false" ht="15" hidden="false" customHeight="false" outlineLevel="0" collapsed="false">
      <c r="B9570" s="53"/>
      <c r="I9570" s="53"/>
      <c r="U9570" s="31" t="n">
        <f aca="false">IF($B9570='設定（最初に1回）'!$C$4,N(U9569)+1,N(U9569))</f>
        <v>134</v>
      </c>
    </row>
    <row r="9571" customFormat="false" ht="15" hidden="false" customHeight="false" outlineLevel="0" collapsed="false">
      <c r="B9571" s="53"/>
      <c r="I9571" s="53"/>
      <c r="U9571" s="31" t="n">
        <f aca="false">IF($B9571='設定（最初に1回）'!$C$4,N(U9570)+1,N(U9570))</f>
        <v>134</v>
      </c>
    </row>
    <row r="9572" customFormat="false" ht="15" hidden="false" customHeight="false" outlineLevel="0" collapsed="false">
      <c r="B9572" s="53"/>
      <c r="I9572" s="53"/>
      <c r="U9572" s="31" t="n">
        <f aca="false">IF($B9572='設定（最初に1回）'!$C$4,N(U9571)+1,N(U9571))</f>
        <v>134</v>
      </c>
    </row>
    <row r="9573" customFormat="false" ht="15" hidden="false" customHeight="false" outlineLevel="0" collapsed="false">
      <c r="B9573" s="53"/>
      <c r="I9573" s="53"/>
      <c r="U9573" s="31" t="n">
        <f aca="false">IF($B9573='設定（最初に1回）'!$C$4,N(U9572)+1,N(U9572))</f>
        <v>134</v>
      </c>
    </row>
    <row r="9574" customFormat="false" ht="15" hidden="false" customHeight="false" outlineLevel="0" collapsed="false">
      <c r="B9574" s="53"/>
      <c r="I9574" s="53"/>
      <c r="U9574" s="31" t="n">
        <f aca="false">IF($B9574='設定（最初に1回）'!$C$4,N(U9573)+1,N(U9573))</f>
        <v>134</v>
      </c>
    </row>
    <row r="9575" customFormat="false" ht="15" hidden="false" customHeight="false" outlineLevel="0" collapsed="false">
      <c r="B9575" s="53"/>
      <c r="I9575" s="53"/>
      <c r="U9575" s="31" t="n">
        <f aca="false">IF($B9575='設定（最初に1回）'!$C$4,N(U9574)+1,N(U9574))</f>
        <v>134</v>
      </c>
    </row>
    <row r="9576" customFormat="false" ht="15" hidden="false" customHeight="false" outlineLevel="0" collapsed="false">
      <c r="B9576" s="53"/>
      <c r="I9576" s="53"/>
      <c r="U9576" s="31" t="n">
        <f aca="false">IF($B9576='設定（最初に1回）'!$C$4,N(U9575)+1,N(U9575))</f>
        <v>134</v>
      </c>
    </row>
    <row r="9577" customFormat="false" ht="15" hidden="false" customHeight="false" outlineLevel="0" collapsed="false">
      <c r="B9577" s="53"/>
      <c r="I9577" s="53"/>
      <c r="U9577" s="31" t="n">
        <f aca="false">IF($B9577='設定（最初に1回）'!$C$4,N(U9576)+1,N(U9576))</f>
        <v>134</v>
      </c>
    </row>
    <row r="9578" customFormat="false" ht="15" hidden="false" customHeight="false" outlineLevel="0" collapsed="false">
      <c r="B9578" s="53"/>
      <c r="I9578" s="53"/>
      <c r="U9578" s="31" t="n">
        <f aca="false">IF($B9578='設定（最初に1回）'!$C$4,N(U9577)+1,N(U9577))</f>
        <v>134</v>
      </c>
    </row>
    <row r="9579" customFormat="false" ht="15" hidden="false" customHeight="false" outlineLevel="0" collapsed="false">
      <c r="B9579" s="53"/>
      <c r="I9579" s="53"/>
      <c r="U9579" s="31" t="n">
        <f aca="false">IF($B9579='設定（最初に1回）'!$C$4,N(U9578)+1,N(U9578))</f>
        <v>134</v>
      </c>
    </row>
    <row r="9580" customFormat="false" ht="15" hidden="false" customHeight="false" outlineLevel="0" collapsed="false">
      <c r="B9580" s="53"/>
      <c r="I9580" s="53"/>
      <c r="U9580" s="31" t="n">
        <f aca="false">IF($B9580='設定（最初に1回）'!$C$4,N(U9579)+1,N(U9579))</f>
        <v>134</v>
      </c>
    </row>
    <row r="9581" customFormat="false" ht="15" hidden="false" customHeight="false" outlineLevel="0" collapsed="false">
      <c r="B9581" s="53"/>
      <c r="I9581" s="53"/>
      <c r="U9581" s="31" t="n">
        <f aca="false">IF($B9581='設定（最初に1回）'!$C$4,N(U9580)+1,N(U9580))</f>
        <v>134</v>
      </c>
    </row>
    <row r="9582" customFormat="false" ht="15" hidden="false" customHeight="false" outlineLevel="0" collapsed="false">
      <c r="B9582" s="53"/>
      <c r="I9582" s="53"/>
      <c r="U9582" s="31" t="n">
        <f aca="false">IF($B9582='設定（最初に1回）'!$C$4,N(U9581)+1,N(U9581))</f>
        <v>134</v>
      </c>
    </row>
    <row r="9583" customFormat="false" ht="15" hidden="false" customHeight="false" outlineLevel="0" collapsed="false">
      <c r="B9583" s="53"/>
      <c r="I9583" s="53"/>
      <c r="U9583" s="31" t="n">
        <f aca="false">IF($B9583='設定（最初に1回）'!$C$4,N(U9582)+1,N(U9582))</f>
        <v>134</v>
      </c>
    </row>
    <row r="9584" customFormat="false" ht="15" hidden="false" customHeight="false" outlineLevel="0" collapsed="false">
      <c r="B9584" s="53"/>
      <c r="I9584" s="53"/>
      <c r="U9584" s="31" t="n">
        <f aca="false">IF($B9584='設定（最初に1回）'!$C$4,N(U9583)+1,N(U9583))</f>
        <v>134</v>
      </c>
    </row>
    <row r="9585" customFormat="false" ht="15" hidden="false" customHeight="false" outlineLevel="0" collapsed="false">
      <c r="B9585" s="53"/>
      <c r="I9585" s="53"/>
      <c r="U9585" s="31" t="n">
        <f aca="false">IF($B9585='設定（最初に1回）'!$C$4,N(U9584)+1,N(U9584))</f>
        <v>134</v>
      </c>
    </row>
    <row r="9586" customFormat="false" ht="15" hidden="false" customHeight="false" outlineLevel="0" collapsed="false">
      <c r="B9586" s="53"/>
      <c r="I9586" s="53"/>
      <c r="U9586" s="31" t="n">
        <f aca="false">IF($B9586='設定（最初に1回）'!$C$4,N(U9585)+1,N(U9585))</f>
        <v>134</v>
      </c>
    </row>
    <row r="9587" customFormat="false" ht="15" hidden="false" customHeight="false" outlineLevel="0" collapsed="false">
      <c r="B9587" s="53"/>
      <c r="I9587" s="53"/>
      <c r="U9587" s="31" t="n">
        <f aca="false">IF($B9587='設定（最初に1回）'!$C$4,N(U9586)+1,N(U9586))</f>
        <v>134</v>
      </c>
    </row>
    <row r="9588" customFormat="false" ht="15" hidden="false" customHeight="false" outlineLevel="0" collapsed="false">
      <c r="B9588" s="53"/>
      <c r="I9588" s="53"/>
      <c r="U9588" s="31" t="n">
        <f aca="false">IF($B9588='設定（最初に1回）'!$C$4,N(U9587)+1,N(U9587))</f>
        <v>134</v>
      </c>
    </row>
    <row r="9589" customFormat="false" ht="15" hidden="false" customHeight="false" outlineLevel="0" collapsed="false">
      <c r="B9589" s="53"/>
      <c r="I9589" s="53"/>
      <c r="U9589" s="31" t="n">
        <f aca="false">IF($B9589='設定（最初に1回）'!$C$4,N(U9588)+1,N(U9588))</f>
        <v>134</v>
      </c>
    </row>
    <row r="9590" customFormat="false" ht="15" hidden="false" customHeight="false" outlineLevel="0" collapsed="false">
      <c r="B9590" s="53"/>
      <c r="I9590" s="53"/>
      <c r="U9590" s="31" t="n">
        <f aca="false">IF($B9590='設定（最初に1回）'!$C$4,N(U9589)+1,N(U9589))</f>
        <v>134</v>
      </c>
    </row>
    <row r="9591" customFormat="false" ht="15" hidden="false" customHeight="false" outlineLevel="0" collapsed="false">
      <c r="B9591" s="53"/>
      <c r="I9591" s="53"/>
      <c r="U9591" s="31" t="n">
        <f aca="false">IF($B9591='設定（最初に1回）'!$C$4,N(U9590)+1,N(U9590))</f>
        <v>134</v>
      </c>
    </row>
    <row r="9592" customFormat="false" ht="15" hidden="false" customHeight="false" outlineLevel="0" collapsed="false">
      <c r="B9592" s="53"/>
      <c r="I9592" s="53"/>
      <c r="U9592" s="31" t="n">
        <f aca="false">IF($B9592='設定（最初に1回）'!$C$4,N(U9591)+1,N(U9591))</f>
        <v>134</v>
      </c>
    </row>
    <row r="9593" customFormat="false" ht="15" hidden="false" customHeight="false" outlineLevel="0" collapsed="false">
      <c r="B9593" s="53"/>
      <c r="I9593" s="53"/>
      <c r="U9593" s="31" t="n">
        <f aca="false">IF($B9593='設定（最初に1回）'!$C$4,N(U9592)+1,N(U9592))</f>
        <v>134</v>
      </c>
    </row>
    <row r="9594" customFormat="false" ht="15" hidden="false" customHeight="false" outlineLevel="0" collapsed="false">
      <c r="B9594" s="53"/>
      <c r="I9594" s="53"/>
      <c r="U9594" s="31" t="n">
        <f aca="false">IF($B9594='設定（最初に1回）'!$C$4,N(U9593)+1,N(U9593))</f>
        <v>134</v>
      </c>
    </row>
    <row r="9595" customFormat="false" ht="15" hidden="false" customHeight="false" outlineLevel="0" collapsed="false">
      <c r="B9595" s="53"/>
      <c r="I9595" s="53"/>
      <c r="U9595" s="31" t="n">
        <f aca="false">IF($B9595='設定（最初に1回）'!$C$4,N(U9594)+1,N(U9594))</f>
        <v>134</v>
      </c>
    </row>
    <row r="9596" customFormat="false" ht="15" hidden="false" customHeight="false" outlineLevel="0" collapsed="false">
      <c r="B9596" s="53"/>
      <c r="I9596" s="53"/>
      <c r="U9596" s="31" t="n">
        <f aca="false">IF($B9596='設定（最初に1回）'!$C$4,N(U9595)+1,N(U9595))</f>
        <v>134</v>
      </c>
    </row>
    <row r="9597" customFormat="false" ht="15" hidden="false" customHeight="false" outlineLevel="0" collapsed="false">
      <c r="B9597" s="53"/>
      <c r="I9597" s="53"/>
      <c r="U9597" s="31" t="n">
        <f aca="false">IF($B9597='設定（最初に1回）'!$C$4,N(U9596)+1,N(U9596))</f>
        <v>134</v>
      </c>
    </row>
    <row r="9598" customFormat="false" ht="15" hidden="false" customHeight="false" outlineLevel="0" collapsed="false">
      <c r="B9598" s="53"/>
      <c r="I9598" s="53"/>
      <c r="U9598" s="31" t="n">
        <f aca="false">IF($B9598='設定（最初に1回）'!$C$4,N(U9597)+1,N(U9597))</f>
        <v>134</v>
      </c>
    </row>
    <row r="9599" customFormat="false" ht="15" hidden="false" customHeight="false" outlineLevel="0" collapsed="false">
      <c r="B9599" s="53"/>
      <c r="I9599" s="53"/>
      <c r="U9599" s="31" t="n">
        <f aca="false">IF($B9599='設定（最初に1回）'!$C$4,N(U9598)+1,N(U9598))</f>
        <v>134</v>
      </c>
    </row>
    <row r="9600" customFormat="false" ht="15" hidden="false" customHeight="false" outlineLevel="0" collapsed="false">
      <c r="B9600" s="53"/>
      <c r="I9600" s="53"/>
      <c r="U9600" s="31" t="n">
        <f aca="false">IF($B9600='設定（最初に1回）'!$C$4,N(U9599)+1,N(U9599))</f>
        <v>134</v>
      </c>
    </row>
    <row r="9601" customFormat="false" ht="15" hidden="false" customHeight="false" outlineLevel="0" collapsed="false">
      <c r="B9601" s="53"/>
      <c r="I9601" s="53"/>
      <c r="U9601" s="31" t="n">
        <f aca="false">IF($B9601='設定（最初に1回）'!$C$4,N(U9600)+1,N(U9600))</f>
        <v>134</v>
      </c>
    </row>
    <row r="9602" customFormat="false" ht="15" hidden="false" customHeight="false" outlineLevel="0" collapsed="false">
      <c r="B9602" s="53"/>
      <c r="I9602" s="53"/>
      <c r="U9602" s="31" t="n">
        <f aca="false">IF($B9602='設定（最初に1回）'!$C$4,N(U9601)+1,N(U9601))</f>
        <v>134</v>
      </c>
    </row>
    <row r="9603" customFormat="false" ht="15" hidden="false" customHeight="false" outlineLevel="0" collapsed="false">
      <c r="B9603" s="53"/>
      <c r="I9603" s="53"/>
      <c r="U9603" s="31" t="n">
        <f aca="false">IF($B9603='設定（最初に1回）'!$C$4,N(U9602)+1,N(U9602))</f>
        <v>134</v>
      </c>
    </row>
    <row r="9604" customFormat="false" ht="15" hidden="false" customHeight="false" outlineLevel="0" collapsed="false">
      <c r="B9604" s="53"/>
      <c r="I9604" s="53"/>
      <c r="U9604" s="31" t="n">
        <f aca="false">IF($B9604='設定（最初に1回）'!$C$4,N(U9603)+1,N(U9603))</f>
        <v>134</v>
      </c>
    </row>
    <row r="9605" customFormat="false" ht="15" hidden="false" customHeight="false" outlineLevel="0" collapsed="false">
      <c r="B9605" s="53"/>
      <c r="I9605" s="53"/>
      <c r="U9605" s="31" t="n">
        <f aca="false">IF($B9605='設定（最初に1回）'!$C$4,N(U9604)+1,N(U9604))</f>
        <v>134</v>
      </c>
    </row>
    <row r="9606" customFormat="false" ht="15" hidden="false" customHeight="false" outlineLevel="0" collapsed="false">
      <c r="B9606" s="53"/>
      <c r="I9606" s="53"/>
      <c r="U9606" s="31" t="n">
        <f aca="false">IF($B9606='設定（最初に1回）'!$C$4,N(U9605)+1,N(U9605))</f>
        <v>134</v>
      </c>
    </row>
    <row r="9607" customFormat="false" ht="15" hidden="false" customHeight="false" outlineLevel="0" collapsed="false">
      <c r="B9607" s="53"/>
      <c r="I9607" s="53"/>
      <c r="U9607" s="31" t="n">
        <f aca="false">IF($B9607='設定（最初に1回）'!$C$4,N(U9606)+1,N(U9606))</f>
        <v>134</v>
      </c>
    </row>
    <row r="9608" customFormat="false" ht="15" hidden="false" customHeight="false" outlineLevel="0" collapsed="false">
      <c r="B9608" s="53"/>
      <c r="I9608" s="53"/>
      <c r="U9608" s="31" t="n">
        <f aca="false">IF($B9608='設定（最初に1回）'!$C$4,N(U9607)+1,N(U9607))</f>
        <v>134</v>
      </c>
    </row>
    <row r="9609" customFormat="false" ht="15" hidden="false" customHeight="false" outlineLevel="0" collapsed="false">
      <c r="B9609" s="53"/>
      <c r="I9609" s="53"/>
      <c r="U9609" s="31" t="n">
        <f aca="false">IF($B9609='設定（最初に1回）'!$C$4,N(U9608)+1,N(U9608))</f>
        <v>134</v>
      </c>
    </row>
    <row r="9610" customFormat="false" ht="15" hidden="false" customHeight="false" outlineLevel="0" collapsed="false">
      <c r="B9610" s="53"/>
      <c r="I9610" s="53"/>
      <c r="U9610" s="31" t="n">
        <f aca="false">IF($B9610='設定（最初に1回）'!$C$4,N(U9609)+1,N(U9609))</f>
        <v>134</v>
      </c>
    </row>
    <row r="9611" customFormat="false" ht="15" hidden="false" customHeight="false" outlineLevel="0" collapsed="false">
      <c r="B9611" s="53"/>
      <c r="I9611" s="53"/>
      <c r="U9611" s="31" t="n">
        <f aca="false">IF($B9611='設定（最初に1回）'!$C$4,N(U9610)+1,N(U9610))</f>
        <v>134</v>
      </c>
    </row>
    <row r="9612" customFormat="false" ht="15" hidden="false" customHeight="false" outlineLevel="0" collapsed="false">
      <c r="B9612" s="53"/>
      <c r="I9612" s="53"/>
      <c r="U9612" s="31" t="n">
        <f aca="false">IF($B9612='設定（最初に1回）'!$C$4,N(U9611)+1,N(U9611))</f>
        <v>134</v>
      </c>
    </row>
    <row r="9613" customFormat="false" ht="15" hidden="false" customHeight="false" outlineLevel="0" collapsed="false">
      <c r="B9613" s="53"/>
      <c r="I9613" s="53"/>
      <c r="U9613" s="31" t="n">
        <f aca="false">IF($B9613='設定（最初に1回）'!$C$4,N(U9612)+1,N(U9612))</f>
        <v>134</v>
      </c>
    </row>
    <row r="9614" customFormat="false" ht="15" hidden="false" customHeight="false" outlineLevel="0" collapsed="false">
      <c r="B9614" s="53"/>
      <c r="I9614" s="53"/>
      <c r="U9614" s="31" t="n">
        <f aca="false">IF($B9614='設定（最初に1回）'!$C$4,N(U9613)+1,N(U9613))</f>
        <v>134</v>
      </c>
    </row>
    <row r="9615" customFormat="false" ht="15" hidden="false" customHeight="false" outlineLevel="0" collapsed="false">
      <c r="B9615" s="53"/>
      <c r="I9615" s="53"/>
      <c r="U9615" s="31" t="n">
        <f aca="false">IF($B9615='設定（最初に1回）'!$C$4,N(U9614)+1,N(U9614))</f>
        <v>134</v>
      </c>
    </row>
    <row r="9616" customFormat="false" ht="15" hidden="false" customHeight="false" outlineLevel="0" collapsed="false">
      <c r="B9616" s="53"/>
      <c r="I9616" s="53"/>
      <c r="U9616" s="31" t="n">
        <f aca="false">IF($B9616='設定（最初に1回）'!$C$4,N(U9615)+1,N(U9615))</f>
        <v>134</v>
      </c>
    </row>
    <row r="9617" customFormat="false" ht="15" hidden="false" customHeight="false" outlineLevel="0" collapsed="false">
      <c r="B9617" s="53"/>
      <c r="I9617" s="53"/>
      <c r="U9617" s="31" t="n">
        <f aca="false">IF($B9617='設定（最初に1回）'!$C$4,N(U9616)+1,N(U9616))</f>
        <v>134</v>
      </c>
    </row>
    <row r="9618" customFormat="false" ht="15" hidden="false" customHeight="false" outlineLevel="0" collapsed="false">
      <c r="B9618" s="53"/>
      <c r="I9618" s="53"/>
      <c r="U9618" s="31" t="n">
        <f aca="false">IF($B9618='設定（最初に1回）'!$C$4,N(U9617)+1,N(U9617))</f>
        <v>134</v>
      </c>
    </row>
    <row r="9619" customFormat="false" ht="15" hidden="false" customHeight="false" outlineLevel="0" collapsed="false">
      <c r="B9619" s="53"/>
      <c r="I9619" s="53"/>
      <c r="U9619" s="31" t="n">
        <f aca="false">IF($B9619='設定（最初に1回）'!$C$4,N(U9618)+1,N(U9618))</f>
        <v>134</v>
      </c>
    </row>
    <row r="9620" customFormat="false" ht="15" hidden="false" customHeight="false" outlineLevel="0" collapsed="false">
      <c r="B9620" s="53"/>
      <c r="I9620" s="53"/>
      <c r="U9620" s="31" t="n">
        <f aca="false">IF($B9620='設定（最初に1回）'!$C$4,N(U9619)+1,N(U9619))</f>
        <v>134</v>
      </c>
    </row>
    <row r="9621" customFormat="false" ht="15" hidden="false" customHeight="false" outlineLevel="0" collapsed="false">
      <c r="B9621" s="53"/>
      <c r="I9621" s="53"/>
      <c r="U9621" s="31" t="n">
        <f aca="false">IF($B9621='設定（最初に1回）'!$C$4,N(U9620)+1,N(U9620))</f>
        <v>134</v>
      </c>
    </row>
    <row r="9622" customFormat="false" ht="15" hidden="false" customHeight="false" outlineLevel="0" collapsed="false">
      <c r="B9622" s="53"/>
      <c r="I9622" s="53"/>
      <c r="U9622" s="31" t="n">
        <f aca="false">IF($B9622='設定（最初に1回）'!$C$4,N(U9621)+1,N(U9621))</f>
        <v>134</v>
      </c>
    </row>
    <row r="9623" customFormat="false" ht="15" hidden="false" customHeight="false" outlineLevel="0" collapsed="false">
      <c r="B9623" s="53"/>
      <c r="I9623" s="53"/>
      <c r="U9623" s="31" t="n">
        <f aca="false">IF($B9623='設定（最初に1回）'!$C$4,N(U9622)+1,N(U9622))</f>
        <v>134</v>
      </c>
    </row>
    <row r="9624" customFormat="false" ht="15" hidden="false" customHeight="false" outlineLevel="0" collapsed="false">
      <c r="B9624" s="53"/>
      <c r="I9624" s="53"/>
      <c r="U9624" s="31" t="n">
        <f aca="false">IF($B9624='設定（最初に1回）'!$C$4,N(U9623)+1,N(U9623))</f>
        <v>134</v>
      </c>
    </row>
    <row r="9625" customFormat="false" ht="15" hidden="false" customHeight="false" outlineLevel="0" collapsed="false">
      <c r="B9625" s="53"/>
      <c r="I9625" s="53"/>
      <c r="U9625" s="31" t="n">
        <f aca="false">IF($B9625='設定（最初に1回）'!$C$4,N(U9624)+1,N(U9624))</f>
        <v>134</v>
      </c>
    </row>
    <row r="9626" customFormat="false" ht="15" hidden="false" customHeight="false" outlineLevel="0" collapsed="false">
      <c r="B9626" s="53"/>
      <c r="I9626" s="53"/>
      <c r="U9626" s="31" t="n">
        <f aca="false">IF($B9626='設定（最初に1回）'!$C$4,N(U9625)+1,N(U9625))</f>
        <v>134</v>
      </c>
    </row>
    <row r="9627" customFormat="false" ht="15" hidden="false" customHeight="false" outlineLevel="0" collapsed="false">
      <c r="B9627" s="53"/>
      <c r="I9627" s="53"/>
      <c r="U9627" s="31" t="n">
        <f aca="false">IF($B9627='設定（最初に1回）'!$C$4,N(U9626)+1,N(U9626))</f>
        <v>134</v>
      </c>
    </row>
    <row r="9628" customFormat="false" ht="15" hidden="false" customHeight="false" outlineLevel="0" collapsed="false">
      <c r="B9628" s="53"/>
      <c r="I9628" s="53"/>
      <c r="U9628" s="31" t="n">
        <f aca="false">IF($B9628='設定（最初に1回）'!$C$4,N(U9627)+1,N(U9627))</f>
        <v>134</v>
      </c>
    </row>
    <row r="9629" customFormat="false" ht="15" hidden="false" customHeight="false" outlineLevel="0" collapsed="false">
      <c r="B9629" s="53"/>
      <c r="I9629" s="53"/>
      <c r="U9629" s="31" t="n">
        <f aca="false">IF($B9629='設定（最初に1回）'!$C$4,N(U9628)+1,N(U9628))</f>
        <v>134</v>
      </c>
    </row>
    <row r="9630" customFormat="false" ht="15" hidden="false" customHeight="false" outlineLevel="0" collapsed="false">
      <c r="B9630" s="53"/>
      <c r="I9630" s="53"/>
      <c r="U9630" s="31" t="n">
        <f aca="false">IF($B9630='設定（最初に1回）'!$C$4,N(U9629)+1,N(U9629))</f>
        <v>134</v>
      </c>
    </row>
    <row r="9631" customFormat="false" ht="15" hidden="false" customHeight="false" outlineLevel="0" collapsed="false">
      <c r="B9631" s="53"/>
      <c r="I9631" s="53"/>
      <c r="U9631" s="31" t="n">
        <f aca="false">IF($B9631='設定（最初に1回）'!$C$4,N(U9630)+1,N(U9630))</f>
        <v>134</v>
      </c>
    </row>
    <row r="9632" customFormat="false" ht="15" hidden="false" customHeight="false" outlineLevel="0" collapsed="false">
      <c r="B9632" s="53"/>
      <c r="I9632" s="53"/>
      <c r="U9632" s="31" t="n">
        <f aca="false">IF($B9632='設定（最初に1回）'!$C$4,N(U9631)+1,N(U9631))</f>
        <v>134</v>
      </c>
    </row>
    <row r="9633" customFormat="false" ht="15" hidden="false" customHeight="false" outlineLevel="0" collapsed="false">
      <c r="B9633" s="53"/>
      <c r="I9633" s="53"/>
      <c r="U9633" s="31" t="n">
        <f aca="false">IF($B9633='設定（最初に1回）'!$C$4,N(U9632)+1,N(U9632))</f>
        <v>134</v>
      </c>
    </row>
    <row r="9634" customFormat="false" ht="15" hidden="false" customHeight="false" outlineLevel="0" collapsed="false">
      <c r="B9634" s="53"/>
      <c r="I9634" s="53"/>
      <c r="U9634" s="31" t="n">
        <f aca="false">IF($B9634='設定（最初に1回）'!$C$4,N(U9633)+1,N(U9633))</f>
        <v>134</v>
      </c>
    </row>
    <row r="9635" customFormat="false" ht="15" hidden="false" customHeight="false" outlineLevel="0" collapsed="false">
      <c r="B9635" s="53"/>
      <c r="I9635" s="53"/>
      <c r="U9635" s="31" t="n">
        <f aca="false">IF($B9635='設定（最初に1回）'!$C$4,N(U9634)+1,N(U9634))</f>
        <v>134</v>
      </c>
    </row>
    <row r="9636" customFormat="false" ht="15" hidden="false" customHeight="false" outlineLevel="0" collapsed="false">
      <c r="B9636" s="53"/>
      <c r="I9636" s="53"/>
      <c r="U9636" s="31" t="n">
        <f aca="false">IF($B9636='設定（最初に1回）'!$C$4,N(U9635)+1,N(U9635))</f>
        <v>134</v>
      </c>
    </row>
    <row r="9637" customFormat="false" ht="15" hidden="false" customHeight="false" outlineLevel="0" collapsed="false">
      <c r="B9637" s="53"/>
      <c r="I9637" s="53"/>
      <c r="U9637" s="31" t="n">
        <f aca="false">IF($B9637='設定（最初に1回）'!$C$4,N(U9636)+1,N(U9636))</f>
        <v>134</v>
      </c>
    </row>
    <row r="9638" customFormat="false" ht="15" hidden="false" customHeight="false" outlineLevel="0" collapsed="false">
      <c r="B9638" s="53"/>
      <c r="I9638" s="53"/>
      <c r="U9638" s="31" t="n">
        <f aca="false">IF($B9638='設定（最初に1回）'!$C$4,N(U9637)+1,N(U9637))</f>
        <v>134</v>
      </c>
    </row>
    <row r="9639" customFormat="false" ht="15" hidden="false" customHeight="false" outlineLevel="0" collapsed="false">
      <c r="B9639" s="53"/>
      <c r="I9639" s="53"/>
      <c r="U9639" s="31" t="n">
        <f aca="false">IF($B9639='設定（最初に1回）'!$C$4,N(U9638)+1,N(U9638))</f>
        <v>134</v>
      </c>
    </row>
    <row r="9640" customFormat="false" ht="15" hidden="false" customHeight="false" outlineLevel="0" collapsed="false">
      <c r="B9640" s="53"/>
      <c r="I9640" s="53"/>
      <c r="U9640" s="31" t="n">
        <f aca="false">IF($B9640='設定（最初に1回）'!$C$4,N(U9639)+1,N(U9639))</f>
        <v>134</v>
      </c>
    </row>
    <row r="9641" customFormat="false" ht="15" hidden="false" customHeight="false" outlineLevel="0" collapsed="false">
      <c r="B9641" s="53"/>
      <c r="I9641" s="53"/>
      <c r="U9641" s="31" t="n">
        <f aca="false">IF($B9641='設定（最初に1回）'!$C$4,N(U9640)+1,N(U9640))</f>
        <v>134</v>
      </c>
    </row>
    <row r="9642" customFormat="false" ht="15" hidden="false" customHeight="false" outlineLevel="0" collapsed="false">
      <c r="B9642" s="53"/>
      <c r="I9642" s="53"/>
      <c r="U9642" s="31" t="n">
        <f aca="false">IF($B9642='設定（最初に1回）'!$C$4,N(U9641)+1,N(U9641))</f>
        <v>134</v>
      </c>
    </row>
    <row r="9643" customFormat="false" ht="15" hidden="false" customHeight="false" outlineLevel="0" collapsed="false">
      <c r="B9643" s="53"/>
      <c r="I9643" s="53"/>
      <c r="U9643" s="31" t="n">
        <f aca="false">IF($B9643='設定（最初に1回）'!$C$4,N(U9642)+1,N(U9642))</f>
        <v>134</v>
      </c>
    </row>
    <row r="9644" customFormat="false" ht="15" hidden="false" customHeight="false" outlineLevel="0" collapsed="false">
      <c r="B9644" s="53"/>
      <c r="I9644" s="53"/>
      <c r="U9644" s="31" t="n">
        <f aca="false">IF($B9644='設定（最初に1回）'!$C$4,N(U9643)+1,N(U9643))</f>
        <v>134</v>
      </c>
    </row>
    <row r="9645" customFormat="false" ht="15" hidden="false" customHeight="false" outlineLevel="0" collapsed="false">
      <c r="B9645" s="53"/>
      <c r="I9645" s="53"/>
      <c r="U9645" s="31" t="n">
        <f aca="false">IF($B9645='設定（最初に1回）'!$C$4,N(U9644)+1,N(U9644))</f>
        <v>134</v>
      </c>
    </row>
    <row r="9646" customFormat="false" ht="15" hidden="false" customHeight="false" outlineLevel="0" collapsed="false">
      <c r="B9646" s="53"/>
      <c r="I9646" s="53"/>
      <c r="U9646" s="31" t="n">
        <f aca="false">IF($B9646='設定（最初に1回）'!$C$4,N(U9645)+1,N(U9645))</f>
        <v>134</v>
      </c>
    </row>
    <row r="9647" customFormat="false" ht="15" hidden="false" customHeight="false" outlineLevel="0" collapsed="false">
      <c r="B9647" s="53"/>
      <c r="I9647" s="53"/>
      <c r="U9647" s="31" t="n">
        <f aca="false">IF($B9647='設定（最初に1回）'!$C$4,N(U9646)+1,N(U9646))</f>
        <v>134</v>
      </c>
    </row>
    <row r="9648" customFormat="false" ht="15" hidden="false" customHeight="false" outlineLevel="0" collapsed="false">
      <c r="B9648" s="53"/>
      <c r="I9648" s="53"/>
      <c r="U9648" s="31" t="n">
        <f aca="false">IF($B9648='設定（最初に1回）'!$C$4,N(U9647)+1,N(U9647))</f>
        <v>134</v>
      </c>
    </row>
    <row r="9649" customFormat="false" ht="15" hidden="false" customHeight="false" outlineLevel="0" collapsed="false">
      <c r="B9649" s="53"/>
      <c r="I9649" s="53"/>
      <c r="U9649" s="31" t="n">
        <f aca="false">IF($B9649='設定（最初に1回）'!$C$4,N(U9648)+1,N(U9648))</f>
        <v>134</v>
      </c>
    </row>
    <row r="9650" customFormat="false" ht="15" hidden="false" customHeight="false" outlineLevel="0" collapsed="false">
      <c r="B9650" s="53"/>
      <c r="I9650" s="53"/>
      <c r="U9650" s="31" t="n">
        <f aca="false">IF($B9650='設定（最初に1回）'!$C$4,N(U9649)+1,N(U9649))</f>
        <v>134</v>
      </c>
    </row>
    <row r="9651" customFormat="false" ht="15" hidden="false" customHeight="false" outlineLevel="0" collapsed="false">
      <c r="B9651" s="53"/>
      <c r="I9651" s="53"/>
      <c r="U9651" s="31" t="n">
        <f aca="false">IF($B9651='設定（最初に1回）'!$C$4,N(U9650)+1,N(U9650))</f>
        <v>134</v>
      </c>
    </row>
    <row r="9652" customFormat="false" ht="15" hidden="false" customHeight="false" outlineLevel="0" collapsed="false">
      <c r="B9652" s="53"/>
      <c r="I9652" s="53"/>
      <c r="U9652" s="31" t="n">
        <f aca="false">IF($B9652='設定（最初に1回）'!$C$4,N(U9651)+1,N(U9651))</f>
        <v>134</v>
      </c>
    </row>
    <row r="9653" customFormat="false" ht="15" hidden="false" customHeight="false" outlineLevel="0" collapsed="false">
      <c r="B9653" s="53"/>
      <c r="I9653" s="53"/>
      <c r="U9653" s="31" t="n">
        <f aca="false">IF($B9653='設定（最初に1回）'!$C$4,N(U9652)+1,N(U9652))</f>
        <v>134</v>
      </c>
    </row>
    <row r="9654" customFormat="false" ht="15" hidden="false" customHeight="false" outlineLevel="0" collapsed="false">
      <c r="B9654" s="53"/>
      <c r="I9654" s="53"/>
      <c r="U9654" s="31" t="n">
        <f aca="false">IF($B9654='設定（最初に1回）'!$C$4,N(U9653)+1,N(U9653))</f>
        <v>134</v>
      </c>
    </row>
    <row r="9655" customFormat="false" ht="15" hidden="false" customHeight="false" outlineLevel="0" collapsed="false">
      <c r="B9655" s="53"/>
      <c r="I9655" s="53"/>
      <c r="U9655" s="31" t="n">
        <f aca="false">IF($B9655='設定（最初に1回）'!$C$4,N(U9654)+1,N(U9654))</f>
        <v>134</v>
      </c>
    </row>
    <row r="9656" customFormat="false" ht="15" hidden="false" customHeight="false" outlineLevel="0" collapsed="false">
      <c r="B9656" s="53"/>
      <c r="I9656" s="53"/>
      <c r="U9656" s="31" t="n">
        <f aca="false">IF($B9656='設定（最初に1回）'!$C$4,N(U9655)+1,N(U9655))</f>
        <v>134</v>
      </c>
    </row>
    <row r="9657" customFormat="false" ht="15" hidden="false" customHeight="false" outlineLevel="0" collapsed="false">
      <c r="B9657" s="53"/>
      <c r="I9657" s="53"/>
      <c r="U9657" s="31" t="n">
        <f aca="false">IF($B9657='設定（最初に1回）'!$C$4,N(U9656)+1,N(U9656))</f>
        <v>134</v>
      </c>
    </row>
    <row r="9658" customFormat="false" ht="15" hidden="false" customHeight="false" outlineLevel="0" collapsed="false">
      <c r="B9658" s="53"/>
      <c r="I9658" s="53"/>
      <c r="U9658" s="31" t="n">
        <f aca="false">IF($B9658='設定（最初に1回）'!$C$4,N(U9657)+1,N(U9657))</f>
        <v>134</v>
      </c>
    </row>
    <row r="9659" customFormat="false" ht="15" hidden="false" customHeight="false" outlineLevel="0" collapsed="false">
      <c r="B9659" s="53"/>
      <c r="I9659" s="53"/>
      <c r="U9659" s="31" t="n">
        <f aca="false">IF($B9659='設定（最初に1回）'!$C$4,N(U9658)+1,N(U9658))</f>
        <v>134</v>
      </c>
    </row>
    <row r="9660" customFormat="false" ht="15" hidden="false" customHeight="false" outlineLevel="0" collapsed="false">
      <c r="B9660" s="53"/>
      <c r="I9660" s="53"/>
      <c r="U9660" s="31" t="n">
        <f aca="false">IF($B9660='設定（最初に1回）'!$C$4,N(U9659)+1,N(U9659))</f>
        <v>134</v>
      </c>
    </row>
    <row r="9661" customFormat="false" ht="15" hidden="false" customHeight="false" outlineLevel="0" collapsed="false">
      <c r="B9661" s="53"/>
      <c r="I9661" s="53"/>
      <c r="U9661" s="31" t="n">
        <f aca="false">IF($B9661='設定（最初に1回）'!$C$4,N(U9660)+1,N(U9660))</f>
        <v>134</v>
      </c>
    </row>
    <row r="9662" customFormat="false" ht="15" hidden="false" customHeight="false" outlineLevel="0" collapsed="false">
      <c r="B9662" s="53"/>
      <c r="I9662" s="53"/>
      <c r="U9662" s="31" t="n">
        <f aca="false">IF($B9662='設定（最初に1回）'!$C$4,N(U9661)+1,N(U9661))</f>
        <v>134</v>
      </c>
    </row>
    <row r="9663" customFormat="false" ht="15" hidden="false" customHeight="false" outlineLevel="0" collapsed="false">
      <c r="B9663" s="53"/>
      <c r="I9663" s="53"/>
      <c r="U9663" s="31" t="n">
        <f aca="false">IF($B9663='設定（最初に1回）'!$C$4,N(U9662)+1,N(U9662))</f>
        <v>134</v>
      </c>
    </row>
    <row r="9664" customFormat="false" ht="15" hidden="false" customHeight="false" outlineLevel="0" collapsed="false">
      <c r="B9664" s="53"/>
      <c r="I9664" s="53"/>
      <c r="U9664" s="31" t="n">
        <f aca="false">IF($B9664='設定（最初に1回）'!$C$4,N(U9663)+1,N(U9663))</f>
        <v>134</v>
      </c>
    </row>
    <row r="9665" customFormat="false" ht="15" hidden="false" customHeight="false" outlineLevel="0" collapsed="false">
      <c r="B9665" s="53"/>
      <c r="I9665" s="53"/>
      <c r="U9665" s="31" t="n">
        <f aca="false">IF($B9665='設定（最初に1回）'!$C$4,N(U9664)+1,N(U9664))</f>
        <v>134</v>
      </c>
    </row>
    <row r="9666" customFormat="false" ht="15" hidden="false" customHeight="false" outlineLevel="0" collapsed="false">
      <c r="B9666" s="53"/>
      <c r="I9666" s="53"/>
      <c r="U9666" s="31" t="n">
        <f aca="false">IF($B9666='設定（最初に1回）'!$C$4,N(U9665)+1,N(U9665))</f>
        <v>134</v>
      </c>
    </row>
    <row r="9667" customFormat="false" ht="15" hidden="false" customHeight="false" outlineLevel="0" collapsed="false">
      <c r="B9667" s="53"/>
      <c r="I9667" s="53"/>
      <c r="U9667" s="31" t="n">
        <f aca="false">IF($B9667='設定（最初に1回）'!$C$4,N(U9666)+1,N(U9666))</f>
        <v>134</v>
      </c>
    </row>
    <row r="9668" customFormat="false" ht="15" hidden="false" customHeight="false" outlineLevel="0" collapsed="false">
      <c r="B9668" s="53"/>
      <c r="I9668" s="53"/>
      <c r="U9668" s="31" t="n">
        <f aca="false">IF($B9668='設定（最初に1回）'!$C$4,N(U9667)+1,N(U9667))</f>
        <v>134</v>
      </c>
    </row>
    <row r="9669" customFormat="false" ht="15" hidden="false" customHeight="false" outlineLevel="0" collapsed="false">
      <c r="B9669" s="53"/>
      <c r="I9669" s="53"/>
      <c r="U9669" s="31" t="n">
        <f aca="false">IF($B9669='設定（最初に1回）'!$C$4,N(U9668)+1,N(U9668))</f>
        <v>134</v>
      </c>
    </row>
    <row r="9670" customFormat="false" ht="15" hidden="false" customHeight="false" outlineLevel="0" collapsed="false">
      <c r="B9670" s="53"/>
      <c r="I9670" s="53"/>
      <c r="U9670" s="31" t="n">
        <f aca="false">IF($B9670='設定（最初に1回）'!$C$4,N(U9669)+1,N(U9669))</f>
        <v>134</v>
      </c>
    </row>
    <row r="9671" customFormat="false" ht="15" hidden="false" customHeight="false" outlineLevel="0" collapsed="false">
      <c r="B9671" s="53"/>
      <c r="I9671" s="53"/>
      <c r="U9671" s="31" t="n">
        <f aca="false">IF($B9671='設定（最初に1回）'!$C$4,N(U9670)+1,N(U9670))</f>
        <v>134</v>
      </c>
    </row>
    <row r="9672" customFormat="false" ht="15" hidden="false" customHeight="false" outlineLevel="0" collapsed="false">
      <c r="B9672" s="53"/>
      <c r="I9672" s="53"/>
      <c r="U9672" s="31" t="n">
        <f aca="false">IF($B9672='設定（最初に1回）'!$C$4,N(U9671)+1,N(U9671))</f>
        <v>134</v>
      </c>
    </row>
    <row r="9673" customFormat="false" ht="15" hidden="false" customHeight="false" outlineLevel="0" collapsed="false">
      <c r="B9673" s="53"/>
      <c r="I9673" s="53"/>
      <c r="U9673" s="31" t="n">
        <f aca="false">IF($B9673='設定（最初に1回）'!$C$4,N(U9672)+1,N(U9672))</f>
        <v>134</v>
      </c>
    </row>
    <row r="9674" customFormat="false" ht="15" hidden="false" customHeight="false" outlineLevel="0" collapsed="false">
      <c r="B9674" s="53"/>
      <c r="I9674" s="53"/>
      <c r="U9674" s="31" t="n">
        <f aca="false">IF($B9674='設定（最初に1回）'!$C$4,N(U9673)+1,N(U9673))</f>
        <v>134</v>
      </c>
    </row>
    <row r="9675" customFormat="false" ht="15" hidden="false" customHeight="false" outlineLevel="0" collapsed="false">
      <c r="B9675" s="53"/>
      <c r="I9675" s="53"/>
      <c r="U9675" s="31" t="n">
        <f aca="false">IF($B9675='設定（最初に1回）'!$C$4,N(U9674)+1,N(U9674))</f>
        <v>134</v>
      </c>
    </row>
    <row r="9676" customFormat="false" ht="15" hidden="false" customHeight="false" outlineLevel="0" collapsed="false">
      <c r="B9676" s="53"/>
      <c r="I9676" s="53"/>
      <c r="U9676" s="31" t="n">
        <f aca="false">IF($B9676='設定（最初に1回）'!$C$4,N(U9675)+1,N(U9675))</f>
        <v>134</v>
      </c>
    </row>
    <row r="9677" customFormat="false" ht="15" hidden="false" customHeight="false" outlineLevel="0" collapsed="false">
      <c r="B9677" s="53"/>
      <c r="I9677" s="53"/>
      <c r="U9677" s="31" t="n">
        <f aca="false">IF($B9677='設定（最初に1回）'!$C$4,N(U9676)+1,N(U9676))</f>
        <v>134</v>
      </c>
    </row>
    <row r="9678" customFormat="false" ht="15" hidden="false" customHeight="false" outlineLevel="0" collapsed="false">
      <c r="B9678" s="53"/>
      <c r="I9678" s="53"/>
      <c r="U9678" s="31" t="n">
        <f aca="false">IF($B9678='設定（最初に1回）'!$C$4,N(U9677)+1,N(U9677))</f>
        <v>134</v>
      </c>
    </row>
    <row r="9679" customFormat="false" ht="15" hidden="false" customHeight="false" outlineLevel="0" collapsed="false">
      <c r="B9679" s="53"/>
      <c r="I9679" s="53"/>
      <c r="U9679" s="31" t="n">
        <f aca="false">IF($B9679='設定（最初に1回）'!$C$4,N(U9678)+1,N(U9678))</f>
        <v>134</v>
      </c>
    </row>
    <row r="9680" customFormat="false" ht="15" hidden="false" customHeight="false" outlineLevel="0" collapsed="false">
      <c r="B9680" s="53"/>
      <c r="I9680" s="53"/>
      <c r="U9680" s="31" t="n">
        <f aca="false">IF($B9680='設定（最初に1回）'!$C$4,N(U9679)+1,N(U9679))</f>
        <v>134</v>
      </c>
    </row>
    <row r="9681" customFormat="false" ht="15" hidden="false" customHeight="false" outlineLevel="0" collapsed="false">
      <c r="B9681" s="53"/>
      <c r="I9681" s="53"/>
      <c r="U9681" s="31" t="n">
        <f aca="false">IF($B9681='設定（最初に1回）'!$C$4,N(U9680)+1,N(U9680))</f>
        <v>134</v>
      </c>
    </row>
    <row r="9682" customFormat="false" ht="15" hidden="false" customHeight="false" outlineLevel="0" collapsed="false">
      <c r="B9682" s="53"/>
      <c r="I9682" s="53"/>
      <c r="U9682" s="31" t="n">
        <f aca="false">IF($B9682='設定（最初に1回）'!$C$4,N(U9681)+1,N(U9681))</f>
        <v>134</v>
      </c>
    </row>
    <row r="9683" customFormat="false" ht="15" hidden="false" customHeight="false" outlineLevel="0" collapsed="false">
      <c r="B9683" s="53"/>
      <c r="I9683" s="53"/>
      <c r="U9683" s="31" t="n">
        <f aca="false">IF($B9683='設定（最初に1回）'!$C$4,N(U9682)+1,N(U9682))</f>
        <v>134</v>
      </c>
    </row>
    <row r="9684" customFormat="false" ht="15" hidden="false" customHeight="false" outlineLevel="0" collapsed="false">
      <c r="B9684" s="53"/>
      <c r="I9684" s="53"/>
      <c r="U9684" s="31" t="n">
        <f aca="false">IF($B9684='設定（最初に1回）'!$C$4,N(U9683)+1,N(U9683))</f>
        <v>134</v>
      </c>
    </row>
    <row r="9685" customFormat="false" ht="15" hidden="false" customHeight="false" outlineLevel="0" collapsed="false">
      <c r="B9685" s="53"/>
      <c r="I9685" s="53"/>
      <c r="U9685" s="31" t="n">
        <f aca="false">IF($B9685='設定（最初に1回）'!$C$4,N(U9684)+1,N(U9684))</f>
        <v>134</v>
      </c>
    </row>
    <row r="9686" customFormat="false" ht="15" hidden="false" customHeight="false" outlineLevel="0" collapsed="false">
      <c r="B9686" s="53"/>
      <c r="I9686" s="53"/>
      <c r="U9686" s="31" t="n">
        <f aca="false">IF($B9686='設定（最初に1回）'!$C$4,N(U9685)+1,N(U9685))</f>
        <v>134</v>
      </c>
    </row>
    <row r="9687" customFormat="false" ht="15" hidden="false" customHeight="false" outlineLevel="0" collapsed="false">
      <c r="B9687" s="53"/>
      <c r="I9687" s="53"/>
      <c r="U9687" s="31" t="n">
        <f aca="false">IF($B9687='設定（最初に1回）'!$C$4,N(U9686)+1,N(U9686))</f>
        <v>134</v>
      </c>
    </row>
    <row r="9688" customFormat="false" ht="15" hidden="false" customHeight="false" outlineLevel="0" collapsed="false">
      <c r="B9688" s="53"/>
      <c r="I9688" s="53"/>
      <c r="U9688" s="31" t="n">
        <f aca="false">IF($B9688='設定（最初に1回）'!$C$4,N(U9687)+1,N(U9687))</f>
        <v>134</v>
      </c>
    </row>
    <row r="9689" customFormat="false" ht="15" hidden="false" customHeight="false" outlineLevel="0" collapsed="false">
      <c r="B9689" s="53"/>
      <c r="I9689" s="53"/>
      <c r="U9689" s="31" t="n">
        <f aca="false">IF($B9689='設定（最初に1回）'!$C$4,N(U9688)+1,N(U9688))</f>
        <v>134</v>
      </c>
    </row>
    <row r="9690" customFormat="false" ht="15" hidden="false" customHeight="false" outlineLevel="0" collapsed="false">
      <c r="B9690" s="53"/>
      <c r="I9690" s="53"/>
      <c r="U9690" s="31" t="n">
        <f aca="false">IF($B9690='設定（最初に1回）'!$C$4,N(U9689)+1,N(U9689))</f>
        <v>134</v>
      </c>
    </row>
    <row r="9691" customFormat="false" ht="15" hidden="false" customHeight="false" outlineLevel="0" collapsed="false">
      <c r="B9691" s="53"/>
      <c r="I9691" s="53"/>
      <c r="U9691" s="31" t="n">
        <f aca="false">IF($B9691='設定（最初に1回）'!$C$4,N(U9690)+1,N(U9690))</f>
        <v>134</v>
      </c>
    </row>
    <row r="9692" customFormat="false" ht="15" hidden="false" customHeight="false" outlineLevel="0" collapsed="false">
      <c r="B9692" s="53"/>
      <c r="I9692" s="53"/>
      <c r="U9692" s="31" t="n">
        <f aca="false">IF($B9692='設定（最初に1回）'!$C$4,N(U9691)+1,N(U9691))</f>
        <v>134</v>
      </c>
    </row>
    <row r="9693" customFormat="false" ht="15" hidden="false" customHeight="false" outlineLevel="0" collapsed="false">
      <c r="B9693" s="53"/>
      <c r="I9693" s="53"/>
      <c r="U9693" s="31" t="n">
        <f aca="false">IF($B9693='設定（最初に1回）'!$C$4,N(U9692)+1,N(U9692))</f>
        <v>134</v>
      </c>
    </row>
    <row r="9694" customFormat="false" ht="15" hidden="false" customHeight="false" outlineLevel="0" collapsed="false">
      <c r="B9694" s="53"/>
      <c r="I9694" s="53"/>
      <c r="U9694" s="31" t="n">
        <f aca="false">IF($B9694='設定（最初に1回）'!$C$4,N(U9693)+1,N(U9693))</f>
        <v>134</v>
      </c>
    </row>
    <row r="9695" customFormat="false" ht="15" hidden="false" customHeight="false" outlineLevel="0" collapsed="false">
      <c r="B9695" s="53"/>
      <c r="I9695" s="53"/>
      <c r="U9695" s="31" t="n">
        <f aca="false">IF($B9695='設定（最初に1回）'!$C$4,N(U9694)+1,N(U9694))</f>
        <v>134</v>
      </c>
    </row>
    <row r="9696" customFormat="false" ht="15" hidden="false" customHeight="false" outlineLevel="0" collapsed="false">
      <c r="B9696" s="53"/>
      <c r="I9696" s="53"/>
      <c r="U9696" s="31" t="n">
        <f aca="false">IF($B9696='設定（最初に1回）'!$C$4,N(U9695)+1,N(U9695))</f>
        <v>134</v>
      </c>
    </row>
    <row r="9697" customFormat="false" ht="15" hidden="false" customHeight="false" outlineLevel="0" collapsed="false">
      <c r="B9697" s="53"/>
      <c r="I9697" s="53"/>
      <c r="U9697" s="31" t="n">
        <f aca="false">IF($B9697='設定（最初に1回）'!$C$4,N(U9696)+1,N(U9696))</f>
        <v>134</v>
      </c>
    </row>
    <row r="9698" customFormat="false" ht="15" hidden="false" customHeight="false" outlineLevel="0" collapsed="false">
      <c r="B9698" s="53"/>
      <c r="I9698" s="53"/>
      <c r="U9698" s="31" t="n">
        <f aca="false">IF($B9698='設定（最初に1回）'!$C$4,N(U9697)+1,N(U9697))</f>
        <v>134</v>
      </c>
    </row>
    <row r="9699" customFormat="false" ht="15" hidden="false" customHeight="false" outlineLevel="0" collapsed="false">
      <c r="B9699" s="53"/>
      <c r="I9699" s="53"/>
      <c r="U9699" s="31" t="n">
        <f aca="false">IF($B9699='設定（最初に1回）'!$C$4,N(U9698)+1,N(U9698))</f>
        <v>134</v>
      </c>
    </row>
    <row r="9700" customFormat="false" ht="15" hidden="false" customHeight="false" outlineLevel="0" collapsed="false">
      <c r="B9700" s="53"/>
      <c r="I9700" s="53"/>
      <c r="U9700" s="31" t="n">
        <f aca="false">IF($B9700='設定（最初に1回）'!$C$4,N(U9699)+1,N(U9699))</f>
        <v>134</v>
      </c>
    </row>
    <row r="9701" customFormat="false" ht="15" hidden="false" customHeight="false" outlineLevel="0" collapsed="false">
      <c r="B9701" s="53"/>
      <c r="I9701" s="53"/>
      <c r="U9701" s="31" t="n">
        <f aca="false">IF($B9701='設定（最初に1回）'!$C$4,N(U9700)+1,N(U9700))</f>
        <v>134</v>
      </c>
    </row>
    <row r="9702" customFormat="false" ht="15" hidden="false" customHeight="false" outlineLevel="0" collapsed="false">
      <c r="B9702" s="53"/>
      <c r="I9702" s="53"/>
      <c r="U9702" s="31" t="n">
        <f aca="false">IF($B9702='設定（最初に1回）'!$C$4,N(U9701)+1,N(U9701))</f>
        <v>134</v>
      </c>
    </row>
    <row r="9703" customFormat="false" ht="15" hidden="false" customHeight="false" outlineLevel="0" collapsed="false">
      <c r="B9703" s="53"/>
      <c r="I9703" s="53"/>
      <c r="U9703" s="31" t="n">
        <f aca="false">IF($B9703='設定（最初に1回）'!$C$4,N(U9702)+1,N(U9702))</f>
        <v>134</v>
      </c>
    </row>
    <row r="9704" customFormat="false" ht="15" hidden="false" customHeight="false" outlineLevel="0" collapsed="false">
      <c r="B9704" s="53"/>
      <c r="I9704" s="53"/>
      <c r="U9704" s="31" t="n">
        <f aca="false">IF($B9704='設定（最初に1回）'!$C$4,N(U9703)+1,N(U9703))</f>
        <v>134</v>
      </c>
    </row>
    <row r="9705" customFormat="false" ht="15" hidden="false" customHeight="false" outlineLevel="0" collapsed="false">
      <c r="B9705" s="53"/>
      <c r="I9705" s="53"/>
      <c r="U9705" s="31" t="n">
        <f aca="false">IF($B9705='設定（最初に1回）'!$C$4,N(U9704)+1,N(U9704))</f>
        <v>134</v>
      </c>
    </row>
    <row r="9706" customFormat="false" ht="15" hidden="false" customHeight="false" outlineLevel="0" collapsed="false">
      <c r="B9706" s="53"/>
      <c r="I9706" s="53"/>
      <c r="U9706" s="31" t="n">
        <f aca="false">IF($B9706='設定（最初に1回）'!$C$4,N(U9705)+1,N(U9705))</f>
        <v>134</v>
      </c>
    </row>
    <row r="9707" customFormat="false" ht="15" hidden="false" customHeight="false" outlineLevel="0" collapsed="false">
      <c r="B9707" s="53"/>
      <c r="I9707" s="53"/>
      <c r="U9707" s="31" t="n">
        <f aca="false">IF($B9707='設定（最初に1回）'!$C$4,N(U9706)+1,N(U9706))</f>
        <v>134</v>
      </c>
    </row>
    <row r="9708" customFormat="false" ht="15" hidden="false" customHeight="false" outlineLevel="0" collapsed="false">
      <c r="B9708" s="53"/>
      <c r="I9708" s="53"/>
      <c r="U9708" s="31" t="n">
        <f aca="false">IF($B9708='設定（最初に1回）'!$C$4,N(U9707)+1,N(U9707))</f>
        <v>134</v>
      </c>
    </row>
    <row r="9709" customFormat="false" ht="15" hidden="false" customHeight="false" outlineLevel="0" collapsed="false">
      <c r="B9709" s="53"/>
      <c r="I9709" s="53"/>
      <c r="U9709" s="31" t="n">
        <f aca="false">IF($B9709='設定（最初に1回）'!$C$4,N(U9708)+1,N(U9708))</f>
        <v>134</v>
      </c>
    </row>
    <row r="9710" customFormat="false" ht="15" hidden="false" customHeight="false" outlineLevel="0" collapsed="false">
      <c r="B9710" s="53"/>
      <c r="I9710" s="53"/>
      <c r="U9710" s="31" t="n">
        <f aca="false">IF($B9710='設定（最初に1回）'!$C$4,N(U9709)+1,N(U9709))</f>
        <v>134</v>
      </c>
    </row>
    <row r="9711" customFormat="false" ht="15" hidden="false" customHeight="false" outlineLevel="0" collapsed="false">
      <c r="B9711" s="53"/>
      <c r="I9711" s="53"/>
      <c r="U9711" s="31" t="n">
        <f aca="false">IF($B9711='設定（最初に1回）'!$C$4,N(U9710)+1,N(U9710))</f>
        <v>134</v>
      </c>
    </row>
    <row r="9712" customFormat="false" ht="15" hidden="false" customHeight="false" outlineLevel="0" collapsed="false">
      <c r="B9712" s="53"/>
      <c r="I9712" s="53"/>
      <c r="U9712" s="31" t="n">
        <f aca="false">IF($B9712='設定（最初に1回）'!$C$4,N(U9711)+1,N(U9711))</f>
        <v>134</v>
      </c>
    </row>
    <row r="9713" customFormat="false" ht="15" hidden="false" customHeight="false" outlineLevel="0" collapsed="false">
      <c r="B9713" s="53"/>
      <c r="I9713" s="53"/>
      <c r="U9713" s="31" t="n">
        <f aca="false">IF($B9713='設定（最初に1回）'!$C$4,N(U9712)+1,N(U9712))</f>
        <v>134</v>
      </c>
    </row>
    <row r="9714" customFormat="false" ht="15" hidden="false" customHeight="false" outlineLevel="0" collapsed="false">
      <c r="B9714" s="53"/>
      <c r="I9714" s="53"/>
      <c r="U9714" s="31" t="n">
        <f aca="false">IF($B9714='設定（最初に1回）'!$C$4,N(U9713)+1,N(U9713))</f>
        <v>134</v>
      </c>
    </row>
    <row r="9715" customFormat="false" ht="15" hidden="false" customHeight="false" outlineLevel="0" collapsed="false">
      <c r="B9715" s="53"/>
      <c r="I9715" s="53"/>
      <c r="U9715" s="31" t="n">
        <f aca="false">IF($B9715='設定（最初に1回）'!$C$4,N(U9714)+1,N(U9714))</f>
        <v>134</v>
      </c>
    </row>
    <row r="9716" customFormat="false" ht="15" hidden="false" customHeight="false" outlineLevel="0" collapsed="false">
      <c r="B9716" s="53"/>
      <c r="I9716" s="53"/>
      <c r="U9716" s="31" t="n">
        <f aca="false">IF($B9716='設定（最初に1回）'!$C$4,N(U9715)+1,N(U9715))</f>
        <v>134</v>
      </c>
    </row>
    <row r="9717" customFormat="false" ht="15" hidden="false" customHeight="false" outlineLevel="0" collapsed="false">
      <c r="B9717" s="53"/>
      <c r="I9717" s="53"/>
      <c r="U9717" s="31" t="n">
        <f aca="false">IF($B9717='設定（最初に1回）'!$C$4,N(U9716)+1,N(U9716))</f>
        <v>134</v>
      </c>
    </row>
    <row r="9718" customFormat="false" ht="15" hidden="false" customHeight="false" outlineLevel="0" collapsed="false">
      <c r="B9718" s="53"/>
      <c r="I9718" s="53"/>
      <c r="U9718" s="31" t="n">
        <f aca="false">IF($B9718='設定（最初に1回）'!$C$4,N(U9717)+1,N(U9717))</f>
        <v>134</v>
      </c>
    </row>
    <row r="9719" customFormat="false" ht="15" hidden="false" customHeight="false" outlineLevel="0" collapsed="false">
      <c r="B9719" s="53"/>
      <c r="I9719" s="53"/>
      <c r="U9719" s="31" t="n">
        <f aca="false">IF($B9719='設定（最初に1回）'!$C$4,N(U9718)+1,N(U9718))</f>
        <v>134</v>
      </c>
    </row>
    <row r="9720" customFormat="false" ht="15" hidden="false" customHeight="false" outlineLevel="0" collapsed="false">
      <c r="B9720" s="53"/>
      <c r="I9720" s="53"/>
      <c r="U9720" s="31" t="n">
        <f aca="false">IF($B9720='設定（最初に1回）'!$C$4,N(U9719)+1,N(U9719))</f>
        <v>134</v>
      </c>
    </row>
    <row r="9721" customFormat="false" ht="15" hidden="false" customHeight="false" outlineLevel="0" collapsed="false">
      <c r="B9721" s="53"/>
      <c r="I9721" s="53"/>
      <c r="U9721" s="31" t="n">
        <f aca="false">IF($B9721='設定（最初に1回）'!$C$4,N(U9720)+1,N(U9720))</f>
        <v>134</v>
      </c>
    </row>
    <row r="9722" customFormat="false" ht="15" hidden="false" customHeight="false" outlineLevel="0" collapsed="false">
      <c r="B9722" s="53"/>
      <c r="I9722" s="53"/>
      <c r="U9722" s="31" t="n">
        <f aca="false">IF($B9722='設定（最初に1回）'!$C$4,N(U9721)+1,N(U9721))</f>
        <v>134</v>
      </c>
    </row>
    <row r="9723" customFormat="false" ht="15" hidden="false" customHeight="false" outlineLevel="0" collapsed="false">
      <c r="B9723" s="53"/>
      <c r="I9723" s="53"/>
      <c r="U9723" s="31" t="n">
        <f aca="false">IF($B9723='設定（最初に1回）'!$C$4,N(U9722)+1,N(U9722))</f>
        <v>134</v>
      </c>
    </row>
    <row r="9724" customFormat="false" ht="15" hidden="false" customHeight="false" outlineLevel="0" collapsed="false">
      <c r="B9724" s="53"/>
      <c r="I9724" s="53"/>
      <c r="U9724" s="31" t="n">
        <f aca="false">IF($B9724='設定（最初に1回）'!$C$4,N(U9723)+1,N(U9723))</f>
        <v>134</v>
      </c>
    </row>
    <row r="9725" customFormat="false" ht="15" hidden="false" customHeight="false" outlineLevel="0" collapsed="false">
      <c r="B9725" s="53"/>
      <c r="I9725" s="53"/>
      <c r="U9725" s="31" t="n">
        <f aca="false">IF($B9725='設定（最初に1回）'!$C$4,N(U9724)+1,N(U9724))</f>
        <v>134</v>
      </c>
    </row>
    <row r="9726" customFormat="false" ht="15" hidden="false" customHeight="false" outlineLevel="0" collapsed="false">
      <c r="B9726" s="53"/>
      <c r="I9726" s="53"/>
      <c r="U9726" s="31" t="n">
        <f aca="false">IF($B9726='設定（最初に1回）'!$C$4,N(U9725)+1,N(U9725))</f>
        <v>134</v>
      </c>
    </row>
    <row r="9727" customFormat="false" ht="15" hidden="false" customHeight="false" outlineLevel="0" collapsed="false">
      <c r="B9727" s="53"/>
      <c r="I9727" s="53"/>
      <c r="U9727" s="31" t="n">
        <f aca="false">IF($B9727='設定（最初に1回）'!$C$4,N(U9726)+1,N(U9726))</f>
        <v>134</v>
      </c>
    </row>
    <row r="9728" customFormat="false" ht="15" hidden="false" customHeight="false" outlineLevel="0" collapsed="false">
      <c r="B9728" s="53"/>
      <c r="I9728" s="53"/>
      <c r="U9728" s="31" t="n">
        <f aca="false">IF($B9728='設定（最初に1回）'!$C$4,N(U9727)+1,N(U9727))</f>
        <v>134</v>
      </c>
    </row>
    <row r="9729" customFormat="false" ht="15" hidden="false" customHeight="false" outlineLevel="0" collapsed="false">
      <c r="B9729" s="53"/>
      <c r="I9729" s="53"/>
      <c r="U9729" s="31" t="n">
        <f aca="false">IF($B9729='設定（最初に1回）'!$C$4,N(U9728)+1,N(U9728))</f>
        <v>134</v>
      </c>
    </row>
    <row r="9730" customFormat="false" ht="15" hidden="false" customHeight="false" outlineLevel="0" collapsed="false">
      <c r="B9730" s="53"/>
      <c r="I9730" s="53"/>
      <c r="U9730" s="31" t="n">
        <f aca="false">IF($B9730='設定（最初に1回）'!$C$4,N(U9729)+1,N(U9729))</f>
        <v>134</v>
      </c>
    </row>
    <row r="9731" customFormat="false" ht="15" hidden="false" customHeight="false" outlineLevel="0" collapsed="false">
      <c r="B9731" s="53"/>
      <c r="I9731" s="53"/>
      <c r="U9731" s="31" t="n">
        <f aca="false">IF($B9731='設定（最初に1回）'!$C$4,N(U9730)+1,N(U9730))</f>
        <v>134</v>
      </c>
    </row>
    <row r="9732" customFormat="false" ht="15" hidden="false" customHeight="false" outlineLevel="0" collapsed="false">
      <c r="B9732" s="53"/>
      <c r="I9732" s="53"/>
      <c r="U9732" s="31" t="n">
        <f aca="false">IF($B9732='設定（最初に1回）'!$C$4,N(U9731)+1,N(U9731))</f>
        <v>134</v>
      </c>
    </row>
    <row r="9733" customFormat="false" ht="15" hidden="false" customHeight="false" outlineLevel="0" collapsed="false">
      <c r="B9733" s="53"/>
      <c r="I9733" s="53"/>
      <c r="U9733" s="31" t="n">
        <f aca="false">IF($B9733='設定（最初に1回）'!$C$4,N(U9732)+1,N(U9732))</f>
        <v>134</v>
      </c>
    </row>
    <row r="9734" customFormat="false" ht="15" hidden="false" customHeight="false" outlineLevel="0" collapsed="false">
      <c r="B9734" s="53"/>
      <c r="I9734" s="53"/>
      <c r="U9734" s="31" t="n">
        <f aca="false">IF($B9734='設定（最初に1回）'!$C$4,N(U9733)+1,N(U9733))</f>
        <v>134</v>
      </c>
    </row>
    <row r="9735" customFormat="false" ht="15" hidden="false" customHeight="false" outlineLevel="0" collapsed="false">
      <c r="B9735" s="53"/>
      <c r="I9735" s="53"/>
      <c r="U9735" s="31" t="n">
        <f aca="false">IF($B9735='設定（最初に1回）'!$C$4,N(U9734)+1,N(U9734))</f>
        <v>134</v>
      </c>
    </row>
    <row r="9736" customFormat="false" ht="15" hidden="false" customHeight="false" outlineLevel="0" collapsed="false">
      <c r="B9736" s="53"/>
      <c r="I9736" s="53"/>
      <c r="U9736" s="31" t="n">
        <f aca="false">IF($B9736='設定（最初に1回）'!$C$4,N(U9735)+1,N(U9735))</f>
        <v>134</v>
      </c>
    </row>
    <row r="9737" customFormat="false" ht="15" hidden="false" customHeight="false" outlineLevel="0" collapsed="false">
      <c r="B9737" s="53"/>
      <c r="I9737" s="53"/>
      <c r="U9737" s="31" t="n">
        <f aca="false">IF($B9737='設定（最初に1回）'!$C$4,N(U9736)+1,N(U9736))</f>
        <v>134</v>
      </c>
    </row>
    <row r="9738" customFormat="false" ht="15" hidden="false" customHeight="false" outlineLevel="0" collapsed="false">
      <c r="B9738" s="53"/>
      <c r="I9738" s="53"/>
      <c r="U9738" s="31" t="n">
        <f aca="false">IF($B9738='設定（最初に1回）'!$C$4,N(U9737)+1,N(U9737))</f>
        <v>134</v>
      </c>
    </row>
    <row r="9739" customFormat="false" ht="15" hidden="false" customHeight="false" outlineLevel="0" collapsed="false">
      <c r="B9739" s="53"/>
      <c r="I9739" s="53"/>
      <c r="U9739" s="31" t="n">
        <f aca="false">IF($B9739='設定（最初に1回）'!$C$4,N(U9738)+1,N(U9738))</f>
        <v>134</v>
      </c>
    </row>
    <row r="9740" customFormat="false" ht="15" hidden="false" customHeight="false" outlineLevel="0" collapsed="false">
      <c r="B9740" s="53"/>
      <c r="I9740" s="53"/>
      <c r="U9740" s="31" t="n">
        <f aca="false">IF($B9740='設定（最初に1回）'!$C$4,N(U9739)+1,N(U9739))</f>
        <v>134</v>
      </c>
    </row>
    <row r="9741" customFormat="false" ht="15" hidden="false" customHeight="false" outlineLevel="0" collapsed="false">
      <c r="B9741" s="53"/>
      <c r="I9741" s="53"/>
      <c r="U9741" s="31" t="n">
        <f aca="false">IF($B9741='設定（最初に1回）'!$C$4,N(U9740)+1,N(U9740))</f>
        <v>134</v>
      </c>
    </row>
    <row r="9742" customFormat="false" ht="15" hidden="false" customHeight="false" outlineLevel="0" collapsed="false">
      <c r="B9742" s="53"/>
      <c r="I9742" s="53"/>
      <c r="U9742" s="31" t="n">
        <f aca="false">IF($B9742='設定（最初に1回）'!$C$4,N(U9741)+1,N(U9741))</f>
        <v>134</v>
      </c>
    </row>
    <row r="9743" customFormat="false" ht="15" hidden="false" customHeight="false" outlineLevel="0" collapsed="false">
      <c r="B9743" s="53"/>
      <c r="I9743" s="53"/>
      <c r="U9743" s="31" t="n">
        <f aca="false">IF($B9743='設定（最初に1回）'!$C$4,N(U9742)+1,N(U9742))</f>
        <v>134</v>
      </c>
    </row>
    <row r="9744" customFormat="false" ht="15" hidden="false" customHeight="false" outlineLevel="0" collapsed="false">
      <c r="B9744" s="53"/>
      <c r="I9744" s="53"/>
      <c r="U9744" s="31" t="n">
        <f aca="false">IF($B9744='設定（最初に1回）'!$C$4,N(U9743)+1,N(U9743))</f>
        <v>134</v>
      </c>
    </row>
    <row r="9745" customFormat="false" ht="15" hidden="false" customHeight="false" outlineLevel="0" collapsed="false">
      <c r="B9745" s="53"/>
      <c r="I9745" s="53"/>
      <c r="U9745" s="31" t="n">
        <f aca="false">IF($B9745='設定（最初に1回）'!$C$4,N(U9744)+1,N(U9744))</f>
        <v>134</v>
      </c>
    </row>
    <row r="9746" customFormat="false" ht="15" hidden="false" customHeight="false" outlineLevel="0" collapsed="false">
      <c r="B9746" s="53"/>
      <c r="I9746" s="53"/>
      <c r="U9746" s="31" t="n">
        <f aca="false">IF($B9746='設定（最初に1回）'!$C$4,N(U9745)+1,N(U9745))</f>
        <v>134</v>
      </c>
    </row>
    <row r="9747" customFormat="false" ht="15" hidden="false" customHeight="false" outlineLevel="0" collapsed="false">
      <c r="B9747" s="53"/>
      <c r="I9747" s="53"/>
      <c r="U9747" s="31" t="n">
        <f aca="false">IF($B9747='設定（最初に1回）'!$C$4,N(U9746)+1,N(U9746))</f>
        <v>134</v>
      </c>
    </row>
    <row r="9748" customFormat="false" ht="15" hidden="false" customHeight="false" outlineLevel="0" collapsed="false">
      <c r="B9748" s="53"/>
      <c r="I9748" s="53"/>
      <c r="U9748" s="31" t="n">
        <f aca="false">IF($B9748='設定（最初に1回）'!$C$4,N(U9747)+1,N(U9747))</f>
        <v>134</v>
      </c>
    </row>
    <row r="9749" customFormat="false" ht="15" hidden="false" customHeight="false" outlineLevel="0" collapsed="false">
      <c r="B9749" s="53"/>
      <c r="I9749" s="53"/>
      <c r="U9749" s="31" t="n">
        <f aca="false">IF($B9749='設定（最初に1回）'!$C$4,N(U9748)+1,N(U9748))</f>
        <v>134</v>
      </c>
    </row>
    <row r="9750" customFormat="false" ht="15" hidden="false" customHeight="false" outlineLevel="0" collapsed="false">
      <c r="B9750" s="53"/>
      <c r="I9750" s="53"/>
      <c r="U9750" s="31" t="n">
        <f aca="false">IF($B9750='設定（最初に1回）'!$C$4,N(U9749)+1,N(U9749))</f>
        <v>134</v>
      </c>
    </row>
    <row r="9751" customFormat="false" ht="15" hidden="false" customHeight="false" outlineLevel="0" collapsed="false">
      <c r="B9751" s="53"/>
      <c r="I9751" s="53"/>
      <c r="U9751" s="31" t="n">
        <f aca="false">IF($B9751='設定（最初に1回）'!$C$4,N(U9750)+1,N(U9750))</f>
        <v>134</v>
      </c>
    </row>
    <row r="9752" customFormat="false" ht="15" hidden="false" customHeight="false" outlineLevel="0" collapsed="false">
      <c r="B9752" s="53"/>
      <c r="I9752" s="53"/>
      <c r="U9752" s="31" t="n">
        <f aca="false">IF($B9752='設定（最初に1回）'!$C$4,N(U9751)+1,N(U9751))</f>
        <v>134</v>
      </c>
    </row>
    <row r="9753" customFormat="false" ht="15" hidden="false" customHeight="false" outlineLevel="0" collapsed="false">
      <c r="B9753" s="53"/>
      <c r="I9753" s="53"/>
      <c r="U9753" s="31" t="n">
        <f aca="false">IF($B9753='設定（最初に1回）'!$C$4,N(U9752)+1,N(U9752))</f>
        <v>134</v>
      </c>
    </row>
    <row r="9754" customFormat="false" ht="15" hidden="false" customHeight="false" outlineLevel="0" collapsed="false">
      <c r="B9754" s="53"/>
      <c r="I9754" s="53"/>
      <c r="U9754" s="31" t="n">
        <f aca="false">IF($B9754='設定（最初に1回）'!$C$4,N(U9753)+1,N(U9753))</f>
        <v>134</v>
      </c>
    </row>
    <row r="9755" customFormat="false" ht="15" hidden="false" customHeight="false" outlineLevel="0" collapsed="false">
      <c r="B9755" s="53"/>
      <c r="I9755" s="53"/>
      <c r="U9755" s="31" t="n">
        <f aca="false">IF($B9755='設定（最初に1回）'!$C$4,N(U9754)+1,N(U9754))</f>
        <v>134</v>
      </c>
    </row>
    <row r="9756" customFormat="false" ht="15" hidden="false" customHeight="false" outlineLevel="0" collapsed="false">
      <c r="B9756" s="53"/>
      <c r="I9756" s="53"/>
      <c r="U9756" s="31" t="n">
        <f aca="false">IF($B9756='設定（最初に1回）'!$C$4,N(U9755)+1,N(U9755))</f>
        <v>134</v>
      </c>
    </row>
    <row r="9757" customFormat="false" ht="15" hidden="false" customHeight="false" outlineLevel="0" collapsed="false">
      <c r="B9757" s="53"/>
      <c r="I9757" s="53"/>
      <c r="U9757" s="31" t="n">
        <f aca="false">IF($B9757='設定（最初に1回）'!$C$4,N(U9756)+1,N(U9756))</f>
        <v>134</v>
      </c>
    </row>
    <row r="9758" customFormat="false" ht="15" hidden="false" customHeight="false" outlineLevel="0" collapsed="false">
      <c r="B9758" s="53"/>
      <c r="I9758" s="53"/>
      <c r="U9758" s="31" t="n">
        <f aca="false">IF($B9758='設定（最初に1回）'!$C$4,N(U9757)+1,N(U9757))</f>
        <v>134</v>
      </c>
    </row>
    <row r="9759" customFormat="false" ht="15" hidden="false" customHeight="false" outlineLevel="0" collapsed="false">
      <c r="B9759" s="53"/>
      <c r="I9759" s="53"/>
      <c r="U9759" s="31" t="n">
        <f aca="false">IF($B9759='設定（最初に1回）'!$C$4,N(U9758)+1,N(U9758))</f>
        <v>134</v>
      </c>
    </row>
    <row r="9760" customFormat="false" ht="15" hidden="false" customHeight="false" outlineLevel="0" collapsed="false">
      <c r="B9760" s="53"/>
      <c r="I9760" s="53"/>
      <c r="U9760" s="31" t="n">
        <f aca="false">IF($B9760='設定（最初に1回）'!$C$4,N(U9759)+1,N(U9759))</f>
        <v>134</v>
      </c>
    </row>
    <row r="9761" customFormat="false" ht="15" hidden="false" customHeight="false" outlineLevel="0" collapsed="false">
      <c r="B9761" s="53"/>
      <c r="I9761" s="53"/>
      <c r="U9761" s="31" t="n">
        <f aca="false">IF($B9761='設定（最初に1回）'!$C$4,N(U9760)+1,N(U9760))</f>
        <v>134</v>
      </c>
    </row>
    <row r="9762" customFormat="false" ht="15" hidden="false" customHeight="false" outlineLevel="0" collapsed="false">
      <c r="B9762" s="53"/>
      <c r="I9762" s="53"/>
      <c r="U9762" s="31" t="n">
        <f aca="false">IF($B9762='設定（最初に1回）'!$C$4,N(U9761)+1,N(U9761))</f>
        <v>134</v>
      </c>
    </row>
    <row r="9763" customFormat="false" ht="15" hidden="false" customHeight="false" outlineLevel="0" collapsed="false">
      <c r="B9763" s="53"/>
      <c r="I9763" s="53"/>
      <c r="U9763" s="31" t="n">
        <f aca="false">IF($B9763='設定（最初に1回）'!$C$4,N(U9762)+1,N(U9762))</f>
        <v>134</v>
      </c>
    </row>
    <row r="9764" customFormat="false" ht="15" hidden="false" customHeight="false" outlineLevel="0" collapsed="false">
      <c r="B9764" s="53"/>
      <c r="I9764" s="53"/>
      <c r="U9764" s="31" t="n">
        <f aca="false">IF($B9764='設定（最初に1回）'!$C$4,N(U9763)+1,N(U9763))</f>
        <v>134</v>
      </c>
    </row>
    <row r="9765" customFormat="false" ht="15" hidden="false" customHeight="false" outlineLevel="0" collapsed="false">
      <c r="B9765" s="53"/>
      <c r="I9765" s="53"/>
      <c r="U9765" s="31" t="n">
        <f aca="false">IF($B9765='設定（最初に1回）'!$C$4,N(U9764)+1,N(U9764))</f>
        <v>134</v>
      </c>
    </row>
    <row r="9766" customFormat="false" ht="15" hidden="false" customHeight="false" outlineLevel="0" collapsed="false">
      <c r="B9766" s="53"/>
      <c r="I9766" s="53"/>
      <c r="U9766" s="31" t="n">
        <f aca="false">IF($B9766='設定（最初に1回）'!$C$4,N(U9765)+1,N(U9765))</f>
        <v>134</v>
      </c>
    </row>
    <row r="9767" customFormat="false" ht="15" hidden="false" customHeight="false" outlineLevel="0" collapsed="false">
      <c r="B9767" s="53"/>
      <c r="I9767" s="53"/>
      <c r="U9767" s="31" t="n">
        <f aca="false">IF($B9767='設定（最初に1回）'!$C$4,N(U9766)+1,N(U9766))</f>
        <v>134</v>
      </c>
    </row>
    <row r="9768" customFormat="false" ht="15" hidden="false" customHeight="false" outlineLevel="0" collapsed="false">
      <c r="B9768" s="53"/>
      <c r="I9768" s="53"/>
      <c r="U9768" s="31" t="n">
        <f aca="false">IF($B9768='設定（最初に1回）'!$C$4,N(U9767)+1,N(U9767))</f>
        <v>134</v>
      </c>
    </row>
    <row r="9769" customFormat="false" ht="15" hidden="false" customHeight="false" outlineLevel="0" collapsed="false">
      <c r="B9769" s="53"/>
      <c r="I9769" s="53"/>
      <c r="U9769" s="31" t="n">
        <f aca="false">IF($B9769='設定（最初に1回）'!$C$4,N(U9768)+1,N(U9768))</f>
        <v>134</v>
      </c>
    </row>
    <row r="9770" customFormat="false" ht="15" hidden="false" customHeight="false" outlineLevel="0" collapsed="false">
      <c r="B9770" s="53"/>
      <c r="I9770" s="53"/>
      <c r="U9770" s="31" t="n">
        <f aca="false">IF($B9770='設定（最初に1回）'!$C$4,N(U9769)+1,N(U9769))</f>
        <v>134</v>
      </c>
    </row>
    <row r="9771" customFormat="false" ht="15" hidden="false" customHeight="false" outlineLevel="0" collapsed="false">
      <c r="B9771" s="53"/>
      <c r="I9771" s="53"/>
      <c r="U9771" s="31" t="n">
        <f aca="false">IF($B9771='設定（最初に1回）'!$C$4,N(U9770)+1,N(U9770))</f>
        <v>134</v>
      </c>
    </row>
    <row r="9772" customFormat="false" ht="15" hidden="false" customHeight="false" outlineLevel="0" collapsed="false">
      <c r="B9772" s="53"/>
      <c r="I9772" s="53"/>
      <c r="U9772" s="31" t="n">
        <f aca="false">IF($B9772='設定（最初に1回）'!$C$4,N(U9771)+1,N(U9771))</f>
        <v>134</v>
      </c>
    </row>
    <row r="9773" customFormat="false" ht="15" hidden="false" customHeight="false" outlineLevel="0" collapsed="false">
      <c r="B9773" s="53"/>
      <c r="I9773" s="53"/>
      <c r="U9773" s="31" t="n">
        <f aca="false">IF($B9773='設定（最初に1回）'!$C$4,N(U9772)+1,N(U9772))</f>
        <v>134</v>
      </c>
    </row>
    <row r="9774" customFormat="false" ht="15" hidden="false" customHeight="false" outlineLevel="0" collapsed="false">
      <c r="B9774" s="53"/>
      <c r="I9774" s="53"/>
      <c r="U9774" s="31" t="n">
        <f aca="false">IF($B9774='設定（最初に1回）'!$C$4,N(U9773)+1,N(U9773))</f>
        <v>134</v>
      </c>
    </row>
    <row r="9775" customFormat="false" ht="15" hidden="false" customHeight="false" outlineLevel="0" collapsed="false">
      <c r="B9775" s="53"/>
      <c r="I9775" s="53"/>
      <c r="U9775" s="31" t="n">
        <f aca="false">IF($B9775='設定（最初に1回）'!$C$4,N(U9774)+1,N(U9774))</f>
        <v>134</v>
      </c>
    </row>
    <row r="9776" customFormat="false" ht="15" hidden="false" customHeight="false" outlineLevel="0" collapsed="false">
      <c r="B9776" s="53"/>
      <c r="I9776" s="53"/>
      <c r="U9776" s="31" t="n">
        <f aca="false">IF($B9776='設定（最初に1回）'!$C$4,N(U9775)+1,N(U9775))</f>
        <v>134</v>
      </c>
    </row>
    <row r="9777" customFormat="false" ht="15" hidden="false" customHeight="false" outlineLevel="0" collapsed="false">
      <c r="B9777" s="53"/>
      <c r="I9777" s="53"/>
      <c r="U9777" s="31" t="n">
        <f aca="false">IF($B9777='設定（最初に1回）'!$C$4,N(U9776)+1,N(U9776))</f>
        <v>134</v>
      </c>
    </row>
    <row r="9778" customFormat="false" ht="15" hidden="false" customHeight="false" outlineLevel="0" collapsed="false">
      <c r="B9778" s="53"/>
      <c r="I9778" s="53"/>
      <c r="U9778" s="31" t="n">
        <f aca="false">IF($B9778='設定（最初に1回）'!$C$4,N(U9777)+1,N(U9777))</f>
        <v>134</v>
      </c>
    </row>
    <row r="9779" customFormat="false" ht="15" hidden="false" customHeight="false" outlineLevel="0" collapsed="false">
      <c r="B9779" s="53"/>
      <c r="I9779" s="53"/>
      <c r="U9779" s="31" t="n">
        <f aca="false">IF($B9779='設定（最初に1回）'!$C$4,N(U9778)+1,N(U9778))</f>
        <v>134</v>
      </c>
    </row>
    <row r="9780" customFormat="false" ht="15" hidden="false" customHeight="false" outlineLevel="0" collapsed="false">
      <c r="B9780" s="53"/>
      <c r="I9780" s="53"/>
      <c r="U9780" s="31" t="n">
        <f aca="false">IF($B9780='設定（最初に1回）'!$C$4,N(U9779)+1,N(U9779))</f>
        <v>134</v>
      </c>
    </row>
    <row r="9781" customFormat="false" ht="15" hidden="false" customHeight="false" outlineLevel="0" collapsed="false">
      <c r="B9781" s="53"/>
      <c r="I9781" s="53"/>
      <c r="U9781" s="31" t="n">
        <f aca="false">IF($B9781='設定（最初に1回）'!$C$4,N(U9780)+1,N(U9780))</f>
        <v>134</v>
      </c>
    </row>
    <row r="9782" customFormat="false" ht="15" hidden="false" customHeight="false" outlineLevel="0" collapsed="false">
      <c r="B9782" s="53"/>
      <c r="I9782" s="53"/>
      <c r="U9782" s="31" t="n">
        <f aca="false">IF($B9782='設定（最初に1回）'!$C$4,N(U9781)+1,N(U9781))</f>
        <v>134</v>
      </c>
    </row>
    <row r="9783" customFormat="false" ht="15" hidden="false" customHeight="false" outlineLevel="0" collapsed="false">
      <c r="B9783" s="53"/>
      <c r="I9783" s="53"/>
      <c r="U9783" s="31" t="n">
        <f aca="false">IF($B9783='設定（最初に1回）'!$C$4,N(U9782)+1,N(U9782))</f>
        <v>134</v>
      </c>
    </row>
    <row r="9784" customFormat="false" ht="15" hidden="false" customHeight="false" outlineLevel="0" collapsed="false">
      <c r="B9784" s="53"/>
      <c r="I9784" s="53"/>
      <c r="U9784" s="31" t="n">
        <f aca="false">IF($B9784='設定（最初に1回）'!$C$4,N(U9783)+1,N(U9783))</f>
        <v>134</v>
      </c>
    </row>
    <row r="9785" customFormat="false" ht="15" hidden="false" customHeight="false" outlineLevel="0" collapsed="false">
      <c r="B9785" s="53"/>
      <c r="I9785" s="53"/>
      <c r="U9785" s="31" t="n">
        <f aca="false">IF($B9785='設定（最初に1回）'!$C$4,N(U9784)+1,N(U9784))</f>
        <v>134</v>
      </c>
    </row>
    <row r="9786" customFormat="false" ht="15" hidden="false" customHeight="false" outlineLevel="0" collapsed="false">
      <c r="B9786" s="53"/>
      <c r="I9786" s="53"/>
      <c r="U9786" s="31" t="n">
        <f aca="false">IF($B9786='設定（最初に1回）'!$C$4,N(U9785)+1,N(U9785))</f>
        <v>134</v>
      </c>
    </row>
    <row r="9787" customFormat="false" ht="15" hidden="false" customHeight="false" outlineLevel="0" collapsed="false">
      <c r="B9787" s="53"/>
      <c r="I9787" s="53"/>
      <c r="U9787" s="31" t="n">
        <f aca="false">IF($B9787='設定（最初に1回）'!$C$4,N(U9786)+1,N(U9786))</f>
        <v>134</v>
      </c>
    </row>
    <row r="9788" customFormat="false" ht="15" hidden="false" customHeight="false" outlineLevel="0" collapsed="false">
      <c r="B9788" s="53"/>
      <c r="I9788" s="53"/>
      <c r="U9788" s="31" t="n">
        <f aca="false">IF($B9788='設定（最初に1回）'!$C$4,N(U9787)+1,N(U9787))</f>
        <v>134</v>
      </c>
    </row>
    <row r="9789" customFormat="false" ht="15" hidden="false" customHeight="false" outlineLevel="0" collapsed="false">
      <c r="B9789" s="53"/>
      <c r="I9789" s="53"/>
      <c r="U9789" s="31" t="n">
        <f aca="false">IF($B9789='設定（最初に1回）'!$C$4,N(U9788)+1,N(U9788))</f>
        <v>134</v>
      </c>
    </row>
    <row r="9790" customFormat="false" ht="15" hidden="false" customHeight="false" outlineLevel="0" collapsed="false">
      <c r="B9790" s="53"/>
      <c r="I9790" s="53"/>
      <c r="U9790" s="31" t="n">
        <f aca="false">IF($B9790='設定（最初に1回）'!$C$4,N(U9789)+1,N(U9789))</f>
        <v>134</v>
      </c>
    </row>
    <row r="9791" customFormat="false" ht="15" hidden="false" customHeight="false" outlineLevel="0" collapsed="false">
      <c r="B9791" s="53"/>
      <c r="I9791" s="53"/>
      <c r="U9791" s="31" t="n">
        <f aca="false">IF($B9791='設定（最初に1回）'!$C$4,N(U9790)+1,N(U9790))</f>
        <v>134</v>
      </c>
    </row>
    <row r="9792" customFormat="false" ht="15" hidden="false" customHeight="false" outlineLevel="0" collapsed="false">
      <c r="B9792" s="53"/>
      <c r="I9792" s="53"/>
      <c r="U9792" s="31" t="n">
        <f aca="false">IF($B9792='設定（最初に1回）'!$C$4,N(U9791)+1,N(U9791))</f>
        <v>134</v>
      </c>
    </row>
    <row r="9793" customFormat="false" ht="15" hidden="false" customHeight="false" outlineLevel="0" collapsed="false">
      <c r="B9793" s="53"/>
      <c r="I9793" s="53"/>
      <c r="U9793" s="31" t="n">
        <f aca="false">IF($B9793='設定（最初に1回）'!$C$4,N(U9792)+1,N(U9792))</f>
        <v>134</v>
      </c>
    </row>
    <row r="9794" customFormat="false" ht="15" hidden="false" customHeight="false" outlineLevel="0" collapsed="false">
      <c r="B9794" s="53"/>
      <c r="I9794" s="53"/>
      <c r="U9794" s="31" t="n">
        <f aca="false">IF($B9794='設定（最初に1回）'!$C$4,N(U9793)+1,N(U9793))</f>
        <v>134</v>
      </c>
    </row>
    <row r="9795" customFormat="false" ht="15" hidden="false" customHeight="false" outlineLevel="0" collapsed="false">
      <c r="B9795" s="53"/>
      <c r="I9795" s="53"/>
      <c r="U9795" s="31" t="n">
        <f aca="false">IF($B9795='設定（最初に1回）'!$C$4,N(U9794)+1,N(U9794))</f>
        <v>134</v>
      </c>
    </row>
    <row r="9796" customFormat="false" ht="15" hidden="false" customHeight="false" outlineLevel="0" collapsed="false">
      <c r="B9796" s="53"/>
      <c r="I9796" s="53"/>
      <c r="U9796" s="31" t="n">
        <f aca="false">IF($B9796='設定（最初に1回）'!$C$4,N(U9795)+1,N(U9795))</f>
        <v>134</v>
      </c>
    </row>
    <row r="9797" customFormat="false" ht="15" hidden="false" customHeight="false" outlineLevel="0" collapsed="false">
      <c r="B9797" s="53"/>
      <c r="I9797" s="53"/>
      <c r="U9797" s="31" t="n">
        <f aca="false">IF($B9797='設定（最初に1回）'!$C$4,N(U9796)+1,N(U9796))</f>
        <v>134</v>
      </c>
    </row>
    <row r="9798" customFormat="false" ht="15" hidden="false" customHeight="false" outlineLevel="0" collapsed="false">
      <c r="B9798" s="53"/>
      <c r="I9798" s="53"/>
      <c r="U9798" s="31" t="n">
        <f aca="false">IF($B9798='設定（最初に1回）'!$C$4,N(U9797)+1,N(U9797))</f>
        <v>134</v>
      </c>
    </row>
    <row r="9799" customFormat="false" ht="15" hidden="false" customHeight="false" outlineLevel="0" collapsed="false">
      <c r="B9799" s="53"/>
      <c r="I9799" s="53"/>
      <c r="U9799" s="31" t="n">
        <f aca="false">IF($B9799='設定（最初に1回）'!$C$4,N(U9798)+1,N(U9798))</f>
        <v>134</v>
      </c>
    </row>
    <row r="9800" customFormat="false" ht="15" hidden="false" customHeight="false" outlineLevel="0" collapsed="false">
      <c r="B9800" s="53"/>
      <c r="I9800" s="53"/>
      <c r="U9800" s="31" t="n">
        <f aca="false">IF($B9800='設定（最初に1回）'!$C$4,N(U9799)+1,N(U9799))</f>
        <v>134</v>
      </c>
    </row>
    <row r="9801" customFormat="false" ht="15" hidden="false" customHeight="false" outlineLevel="0" collapsed="false">
      <c r="B9801" s="53"/>
      <c r="I9801" s="53"/>
      <c r="U9801" s="31" t="n">
        <f aca="false">IF($B9801='設定（最初に1回）'!$C$4,N(U9800)+1,N(U9800))</f>
        <v>134</v>
      </c>
    </row>
    <row r="9802" customFormat="false" ht="15" hidden="false" customHeight="false" outlineLevel="0" collapsed="false">
      <c r="B9802" s="53"/>
      <c r="I9802" s="53"/>
      <c r="U9802" s="31" t="n">
        <f aca="false">IF($B9802='設定（最初に1回）'!$C$4,N(U9801)+1,N(U9801))</f>
        <v>134</v>
      </c>
    </row>
    <row r="9803" customFormat="false" ht="15" hidden="false" customHeight="false" outlineLevel="0" collapsed="false">
      <c r="B9803" s="53"/>
      <c r="I9803" s="53"/>
      <c r="U9803" s="31" t="n">
        <f aca="false">IF($B9803='設定（最初に1回）'!$C$4,N(U9802)+1,N(U9802))</f>
        <v>134</v>
      </c>
    </row>
    <row r="9804" customFormat="false" ht="15" hidden="false" customHeight="false" outlineLevel="0" collapsed="false">
      <c r="B9804" s="53"/>
      <c r="I9804" s="53"/>
      <c r="U9804" s="31" t="n">
        <f aca="false">IF($B9804='設定（最初に1回）'!$C$4,N(U9803)+1,N(U9803))</f>
        <v>134</v>
      </c>
    </row>
    <row r="9805" customFormat="false" ht="15" hidden="false" customHeight="false" outlineLevel="0" collapsed="false">
      <c r="B9805" s="53"/>
      <c r="I9805" s="53"/>
      <c r="U9805" s="31" t="n">
        <f aca="false">IF($B9805='設定（最初に1回）'!$C$4,N(U9804)+1,N(U9804))</f>
        <v>134</v>
      </c>
    </row>
    <row r="9806" customFormat="false" ht="15" hidden="false" customHeight="false" outlineLevel="0" collapsed="false">
      <c r="B9806" s="53"/>
      <c r="I9806" s="53"/>
      <c r="U9806" s="31" t="n">
        <f aca="false">IF($B9806='設定（最初に1回）'!$C$4,N(U9805)+1,N(U9805))</f>
        <v>134</v>
      </c>
    </row>
    <row r="9807" customFormat="false" ht="15" hidden="false" customHeight="false" outlineLevel="0" collapsed="false">
      <c r="B9807" s="53"/>
      <c r="I9807" s="53"/>
      <c r="U9807" s="31" t="n">
        <f aca="false">IF($B9807='設定（最初に1回）'!$C$4,N(U9806)+1,N(U9806))</f>
        <v>134</v>
      </c>
    </row>
    <row r="9808" customFormat="false" ht="15" hidden="false" customHeight="false" outlineLevel="0" collapsed="false">
      <c r="B9808" s="53"/>
      <c r="I9808" s="53"/>
      <c r="U9808" s="31" t="n">
        <f aca="false">IF($B9808='設定（最初に1回）'!$C$4,N(U9807)+1,N(U9807))</f>
        <v>134</v>
      </c>
    </row>
    <row r="9809" customFormat="false" ht="15" hidden="false" customHeight="false" outlineLevel="0" collapsed="false">
      <c r="B9809" s="53"/>
      <c r="I9809" s="53"/>
      <c r="U9809" s="31" t="n">
        <f aca="false">IF($B9809='設定（最初に1回）'!$C$4,N(U9808)+1,N(U9808))</f>
        <v>134</v>
      </c>
    </row>
    <row r="9810" customFormat="false" ht="15" hidden="false" customHeight="false" outlineLevel="0" collapsed="false">
      <c r="B9810" s="53"/>
      <c r="I9810" s="53"/>
      <c r="U9810" s="31" t="n">
        <f aca="false">IF($B9810='設定（最初に1回）'!$C$4,N(U9809)+1,N(U9809))</f>
        <v>134</v>
      </c>
    </row>
    <row r="9811" customFormat="false" ht="15" hidden="false" customHeight="false" outlineLevel="0" collapsed="false">
      <c r="B9811" s="53"/>
      <c r="I9811" s="53"/>
      <c r="U9811" s="31" t="n">
        <f aca="false">IF($B9811='設定（最初に1回）'!$C$4,N(U9810)+1,N(U9810))</f>
        <v>134</v>
      </c>
    </row>
    <row r="9812" customFormat="false" ht="15" hidden="false" customHeight="false" outlineLevel="0" collapsed="false">
      <c r="B9812" s="53"/>
      <c r="I9812" s="53"/>
      <c r="U9812" s="31" t="n">
        <f aca="false">IF($B9812='設定（最初に1回）'!$C$4,N(U9811)+1,N(U9811))</f>
        <v>134</v>
      </c>
    </row>
    <row r="9813" customFormat="false" ht="15" hidden="false" customHeight="false" outlineLevel="0" collapsed="false">
      <c r="B9813" s="53"/>
      <c r="I9813" s="53"/>
      <c r="U9813" s="31" t="n">
        <f aca="false">IF($B9813='設定（最初に1回）'!$C$4,N(U9812)+1,N(U9812))</f>
        <v>134</v>
      </c>
    </row>
    <row r="9814" customFormat="false" ht="15" hidden="false" customHeight="false" outlineLevel="0" collapsed="false">
      <c r="B9814" s="53"/>
      <c r="I9814" s="53"/>
      <c r="U9814" s="31" t="n">
        <f aca="false">IF($B9814='設定（最初に1回）'!$C$4,N(U9813)+1,N(U9813))</f>
        <v>134</v>
      </c>
    </row>
    <row r="9815" customFormat="false" ht="15" hidden="false" customHeight="false" outlineLevel="0" collapsed="false">
      <c r="B9815" s="53"/>
      <c r="I9815" s="53"/>
      <c r="U9815" s="31" t="n">
        <f aca="false">IF($B9815='設定（最初に1回）'!$C$4,N(U9814)+1,N(U9814))</f>
        <v>134</v>
      </c>
    </row>
    <row r="9816" customFormat="false" ht="15" hidden="false" customHeight="false" outlineLevel="0" collapsed="false">
      <c r="B9816" s="53"/>
      <c r="I9816" s="53"/>
      <c r="U9816" s="31" t="n">
        <f aca="false">IF($B9816='設定（最初に1回）'!$C$4,N(U9815)+1,N(U9815))</f>
        <v>134</v>
      </c>
    </row>
    <row r="9817" customFormat="false" ht="15" hidden="false" customHeight="false" outlineLevel="0" collapsed="false">
      <c r="B9817" s="53"/>
      <c r="I9817" s="53"/>
      <c r="U9817" s="31" t="n">
        <f aca="false">IF($B9817='設定（最初に1回）'!$C$4,N(U9816)+1,N(U9816))</f>
        <v>134</v>
      </c>
    </row>
    <row r="9818" customFormat="false" ht="15" hidden="false" customHeight="false" outlineLevel="0" collapsed="false">
      <c r="B9818" s="53"/>
      <c r="I9818" s="53"/>
      <c r="U9818" s="31" t="n">
        <f aca="false">IF($B9818='設定（最初に1回）'!$C$4,N(U9817)+1,N(U9817))</f>
        <v>134</v>
      </c>
    </row>
    <row r="9819" customFormat="false" ht="15" hidden="false" customHeight="false" outlineLevel="0" collapsed="false">
      <c r="B9819" s="53"/>
      <c r="I9819" s="53"/>
      <c r="U9819" s="31" t="n">
        <f aca="false">IF($B9819='設定（最初に1回）'!$C$4,N(U9818)+1,N(U9818))</f>
        <v>134</v>
      </c>
    </row>
    <row r="9820" customFormat="false" ht="15" hidden="false" customHeight="false" outlineLevel="0" collapsed="false">
      <c r="B9820" s="53"/>
      <c r="I9820" s="53"/>
      <c r="U9820" s="31" t="n">
        <f aca="false">IF($B9820='設定（最初に1回）'!$C$4,N(U9819)+1,N(U9819))</f>
        <v>134</v>
      </c>
    </row>
    <row r="9821" customFormat="false" ht="15" hidden="false" customHeight="false" outlineLevel="0" collapsed="false">
      <c r="B9821" s="53"/>
      <c r="I9821" s="53"/>
      <c r="U9821" s="31" t="n">
        <f aca="false">IF($B9821='設定（最初に1回）'!$C$4,N(U9820)+1,N(U9820))</f>
        <v>134</v>
      </c>
    </row>
    <row r="9822" customFormat="false" ht="15" hidden="false" customHeight="false" outlineLevel="0" collapsed="false">
      <c r="B9822" s="53"/>
      <c r="I9822" s="53"/>
      <c r="U9822" s="31" t="n">
        <f aca="false">IF($B9822='設定（最初に1回）'!$C$4,N(U9821)+1,N(U9821))</f>
        <v>134</v>
      </c>
    </row>
    <row r="9823" customFormat="false" ht="15" hidden="false" customHeight="false" outlineLevel="0" collapsed="false">
      <c r="B9823" s="53"/>
      <c r="I9823" s="53"/>
      <c r="U9823" s="31" t="n">
        <f aca="false">IF($B9823='設定（最初に1回）'!$C$4,N(U9822)+1,N(U9822))</f>
        <v>134</v>
      </c>
    </row>
    <row r="9824" customFormat="false" ht="15" hidden="false" customHeight="false" outlineLevel="0" collapsed="false">
      <c r="B9824" s="53"/>
      <c r="I9824" s="53"/>
      <c r="U9824" s="31" t="n">
        <f aca="false">IF($B9824='設定（最初に1回）'!$C$4,N(U9823)+1,N(U9823))</f>
        <v>134</v>
      </c>
    </row>
    <row r="9825" customFormat="false" ht="15" hidden="false" customHeight="false" outlineLevel="0" collapsed="false">
      <c r="B9825" s="53"/>
      <c r="I9825" s="53"/>
      <c r="U9825" s="31" t="n">
        <f aca="false">IF($B9825='設定（最初に1回）'!$C$4,N(U9824)+1,N(U9824))</f>
        <v>134</v>
      </c>
    </row>
    <row r="9826" customFormat="false" ht="15" hidden="false" customHeight="false" outlineLevel="0" collapsed="false">
      <c r="B9826" s="53"/>
      <c r="I9826" s="53"/>
      <c r="U9826" s="31" t="n">
        <f aca="false">IF($B9826='設定（最初に1回）'!$C$4,N(U9825)+1,N(U9825))</f>
        <v>134</v>
      </c>
    </row>
    <row r="9827" customFormat="false" ht="15" hidden="false" customHeight="false" outlineLevel="0" collapsed="false">
      <c r="B9827" s="53"/>
      <c r="I9827" s="53"/>
      <c r="U9827" s="31" t="n">
        <f aca="false">IF($B9827='設定（最初に1回）'!$C$4,N(U9826)+1,N(U9826))</f>
        <v>134</v>
      </c>
    </row>
    <row r="9828" customFormat="false" ht="15" hidden="false" customHeight="false" outlineLevel="0" collapsed="false">
      <c r="B9828" s="53"/>
      <c r="I9828" s="53"/>
      <c r="U9828" s="31" t="n">
        <f aca="false">IF($B9828='設定（最初に1回）'!$C$4,N(U9827)+1,N(U9827))</f>
        <v>134</v>
      </c>
    </row>
    <row r="9829" customFormat="false" ht="15" hidden="false" customHeight="false" outlineLevel="0" collapsed="false">
      <c r="B9829" s="53"/>
      <c r="I9829" s="53"/>
      <c r="U9829" s="31" t="n">
        <f aca="false">IF($B9829='設定（最初に1回）'!$C$4,N(U9828)+1,N(U9828))</f>
        <v>134</v>
      </c>
    </row>
    <row r="9830" customFormat="false" ht="15" hidden="false" customHeight="false" outlineLevel="0" collapsed="false">
      <c r="B9830" s="53"/>
      <c r="I9830" s="53"/>
      <c r="U9830" s="31" t="n">
        <f aca="false">IF($B9830='設定（最初に1回）'!$C$4,N(U9829)+1,N(U9829))</f>
        <v>134</v>
      </c>
    </row>
    <row r="9831" customFormat="false" ht="15" hidden="false" customHeight="false" outlineLevel="0" collapsed="false">
      <c r="B9831" s="53"/>
      <c r="I9831" s="53"/>
      <c r="U9831" s="31" t="n">
        <f aca="false">IF($B9831='設定（最初に1回）'!$C$4,N(U9830)+1,N(U9830))</f>
        <v>134</v>
      </c>
    </row>
    <row r="9832" customFormat="false" ht="15" hidden="false" customHeight="false" outlineLevel="0" collapsed="false">
      <c r="B9832" s="53"/>
      <c r="I9832" s="53"/>
      <c r="U9832" s="31" t="n">
        <f aca="false">IF($B9832='設定（最初に1回）'!$C$4,N(U9831)+1,N(U9831))</f>
        <v>134</v>
      </c>
    </row>
    <row r="9833" customFormat="false" ht="15" hidden="false" customHeight="false" outlineLevel="0" collapsed="false">
      <c r="B9833" s="53"/>
      <c r="I9833" s="53"/>
      <c r="U9833" s="31" t="n">
        <f aca="false">IF($B9833='設定（最初に1回）'!$C$4,N(U9832)+1,N(U9832))</f>
        <v>134</v>
      </c>
    </row>
    <row r="9834" customFormat="false" ht="15" hidden="false" customHeight="false" outlineLevel="0" collapsed="false">
      <c r="B9834" s="53"/>
      <c r="I9834" s="53"/>
      <c r="U9834" s="31" t="n">
        <f aca="false">IF($B9834='設定（最初に1回）'!$C$4,N(U9833)+1,N(U9833))</f>
        <v>134</v>
      </c>
    </row>
    <row r="9835" customFormat="false" ht="15" hidden="false" customHeight="false" outlineLevel="0" collapsed="false">
      <c r="B9835" s="53"/>
      <c r="I9835" s="53"/>
      <c r="U9835" s="31" t="n">
        <f aca="false">IF($B9835='設定（最初に1回）'!$C$4,N(U9834)+1,N(U9834))</f>
        <v>134</v>
      </c>
    </row>
    <row r="9836" customFormat="false" ht="15" hidden="false" customHeight="false" outlineLevel="0" collapsed="false">
      <c r="B9836" s="53"/>
      <c r="I9836" s="53"/>
      <c r="U9836" s="31" t="n">
        <f aca="false">IF($B9836='設定（最初に1回）'!$C$4,N(U9835)+1,N(U9835))</f>
        <v>134</v>
      </c>
    </row>
    <row r="9837" customFormat="false" ht="15" hidden="false" customHeight="false" outlineLevel="0" collapsed="false">
      <c r="B9837" s="53"/>
      <c r="I9837" s="53"/>
      <c r="U9837" s="31" t="n">
        <f aca="false">IF($B9837='設定（最初に1回）'!$C$4,N(U9836)+1,N(U9836))</f>
        <v>134</v>
      </c>
    </row>
    <row r="9838" customFormat="false" ht="15" hidden="false" customHeight="false" outlineLevel="0" collapsed="false">
      <c r="B9838" s="53"/>
      <c r="I9838" s="53"/>
      <c r="U9838" s="31" t="n">
        <f aca="false">IF($B9838='設定（最初に1回）'!$C$4,N(U9837)+1,N(U9837))</f>
        <v>134</v>
      </c>
    </row>
    <row r="9839" customFormat="false" ht="15" hidden="false" customHeight="false" outlineLevel="0" collapsed="false">
      <c r="B9839" s="53"/>
      <c r="I9839" s="53"/>
      <c r="U9839" s="31" t="n">
        <f aca="false">IF($B9839='設定（最初に1回）'!$C$4,N(U9838)+1,N(U9838))</f>
        <v>134</v>
      </c>
    </row>
    <row r="9840" customFormat="false" ht="15" hidden="false" customHeight="false" outlineLevel="0" collapsed="false">
      <c r="B9840" s="53"/>
      <c r="I9840" s="53"/>
      <c r="U9840" s="31" t="n">
        <f aca="false">IF($B9840='設定（最初に1回）'!$C$4,N(U9839)+1,N(U9839))</f>
        <v>134</v>
      </c>
    </row>
    <row r="9841" customFormat="false" ht="15" hidden="false" customHeight="false" outlineLevel="0" collapsed="false">
      <c r="B9841" s="53"/>
      <c r="I9841" s="53"/>
      <c r="U9841" s="31" t="n">
        <f aca="false">IF($B9841='設定（最初に1回）'!$C$4,N(U9840)+1,N(U9840))</f>
        <v>134</v>
      </c>
    </row>
    <row r="9842" customFormat="false" ht="15" hidden="false" customHeight="false" outlineLevel="0" collapsed="false">
      <c r="B9842" s="53"/>
      <c r="I9842" s="53"/>
      <c r="U9842" s="31" t="n">
        <f aca="false">IF($B9842='設定（最初に1回）'!$C$4,N(U9841)+1,N(U9841))</f>
        <v>134</v>
      </c>
    </row>
    <row r="9843" customFormat="false" ht="15" hidden="false" customHeight="false" outlineLevel="0" collapsed="false">
      <c r="B9843" s="53"/>
      <c r="I9843" s="53"/>
      <c r="U9843" s="31" t="n">
        <f aca="false">IF($B9843='設定（最初に1回）'!$C$4,N(U9842)+1,N(U9842))</f>
        <v>134</v>
      </c>
    </row>
    <row r="9844" customFormat="false" ht="15" hidden="false" customHeight="false" outlineLevel="0" collapsed="false">
      <c r="B9844" s="53"/>
      <c r="I9844" s="53"/>
      <c r="U9844" s="31" t="n">
        <f aca="false">IF($B9844='設定（最初に1回）'!$C$4,N(U9843)+1,N(U9843))</f>
        <v>134</v>
      </c>
    </row>
    <row r="9845" customFormat="false" ht="15" hidden="false" customHeight="false" outlineLevel="0" collapsed="false">
      <c r="B9845" s="53"/>
      <c r="I9845" s="53"/>
      <c r="U9845" s="31" t="n">
        <f aca="false">IF($B9845='設定（最初に1回）'!$C$4,N(U9844)+1,N(U9844))</f>
        <v>134</v>
      </c>
    </row>
    <row r="9846" customFormat="false" ht="15" hidden="false" customHeight="false" outlineLevel="0" collapsed="false">
      <c r="B9846" s="53"/>
      <c r="I9846" s="53"/>
      <c r="U9846" s="31" t="n">
        <f aca="false">IF($B9846='設定（最初に1回）'!$C$4,N(U9845)+1,N(U9845))</f>
        <v>134</v>
      </c>
    </row>
    <row r="9847" customFormat="false" ht="15" hidden="false" customHeight="false" outlineLevel="0" collapsed="false">
      <c r="B9847" s="53"/>
      <c r="I9847" s="53"/>
      <c r="U9847" s="31" t="n">
        <f aca="false">IF($B9847='設定（最初に1回）'!$C$4,N(U9846)+1,N(U9846))</f>
        <v>134</v>
      </c>
    </row>
    <row r="9848" customFormat="false" ht="15" hidden="false" customHeight="false" outlineLevel="0" collapsed="false">
      <c r="B9848" s="53"/>
      <c r="I9848" s="53"/>
      <c r="U9848" s="31" t="n">
        <f aca="false">IF($B9848='設定（最初に1回）'!$C$4,N(U9847)+1,N(U9847))</f>
        <v>134</v>
      </c>
    </row>
    <row r="9849" customFormat="false" ht="15" hidden="false" customHeight="false" outlineLevel="0" collapsed="false">
      <c r="B9849" s="53"/>
      <c r="I9849" s="53"/>
      <c r="U9849" s="31" t="n">
        <f aca="false">IF($B9849='設定（最初に1回）'!$C$4,N(U9848)+1,N(U9848))</f>
        <v>134</v>
      </c>
    </row>
    <row r="9850" customFormat="false" ht="15" hidden="false" customHeight="false" outlineLevel="0" collapsed="false">
      <c r="B9850" s="53"/>
      <c r="I9850" s="53"/>
      <c r="U9850" s="31" t="n">
        <f aca="false">IF($B9850='設定（最初に1回）'!$C$4,N(U9849)+1,N(U9849))</f>
        <v>134</v>
      </c>
    </row>
    <row r="9851" customFormat="false" ht="15" hidden="false" customHeight="false" outlineLevel="0" collapsed="false">
      <c r="B9851" s="53"/>
      <c r="I9851" s="53"/>
      <c r="U9851" s="31" t="n">
        <f aca="false">IF($B9851='設定（最初に1回）'!$C$4,N(U9850)+1,N(U9850))</f>
        <v>134</v>
      </c>
    </row>
    <row r="9852" customFormat="false" ht="15" hidden="false" customHeight="false" outlineLevel="0" collapsed="false">
      <c r="B9852" s="53"/>
      <c r="I9852" s="53"/>
      <c r="U9852" s="31" t="n">
        <f aca="false">IF($B9852='設定（最初に1回）'!$C$4,N(U9851)+1,N(U9851))</f>
        <v>134</v>
      </c>
    </row>
    <row r="9853" customFormat="false" ht="15" hidden="false" customHeight="false" outlineLevel="0" collapsed="false">
      <c r="B9853" s="53"/>
      <c r="I9853" s="53"/>
      <c r="U9853" s="31" t="n">
        <f aca="false">IF($B9853='設定（最初に1回）'!$C$4,N(U9852)+1,N(U9852))</f>
        <v>134</v>
      </c>
    </row>
    <row r="9854" customFormat="false" ht="15" hidden="false" customHeight="false" outlineLevel="0" collapsed="false">
      <c r="B9854" s="53"/>
      <c r="I9854" s="53"/>
      <c r="U9854" s="31" t="n">
        <f aca="false">IF($B9854='設定（最初に1回）'!$C$4,N(U9853)+1,N(U9853))</f>
        <v>134</v>
      </c>
    </row>
    <row r="9855" customFormat="false" ht="15" hidden="false" customHeight="false" outlineLevel="0" collapsed="false">
      <c r="B9855" s="53"/>
      <c r="I9855" s="53"/>
      <c r="U9855" s="31" t="n">
        <f aca="false">IF($B9855='設定（最初に1回）'!$C$4,N(U9854)+1,N(U9854))</f>
        <v>134</v>
      </c>
    </row>
    <row r="9856" customFormat="false" ht="15" hidden="false" customHeight="false" outlineLevel="0" collapsed="false">
      <c r="B9856" s="53"/>
      <c r="I9856" s="53"/>
      <c r="U9856" s="31" t="n">
        <f aca="false">IF($B9856='設定（最初に1回）'!$C$4,N(U9855)+1,N(U9855))</f>
        <v>134</v>
      </c>
    </row>
    <row r="9857" customFormat="false" ht="15" hidden="false" customHeight="false" outlineLevel="0" collapsed="false">
      <c r="B9857" s="53"/>
      <c r="I9857" s="53"/>
      <c r="U9857" s="31" t="n">
        <f aca="false">IF($B9857='設定（最初に1回）'!$C$4,N(U9856)+1,N(U9856))</f>
        <v>134</v>
      </c>
    </row>
    <row r="9858" customFormat="false" ht="15" hidden="false" customHeight="false" outlineLevel="0" collapsed="false">
      <c r="B9858" s="53"/>
      <c r="I9858" s="53"/>
      <c r="U9858" s="31" t="n">
        <f aca="false">IF($B9858='設定（最初に1回）'!$C$4,N(U9857)+1,N(U9857))</f>
        <v>134</v>
      </c>
    </row>
    <row r="9859" customFormat="false" ht="15" hidden="false" customHeight="false" outlineLevel="0" collapsed="false">
      <c r="B9859" s="53"/>
      <c r="I9859" s="53"/>
      <c r="U9859" s="31" t="n">
        <f aca="false">IF($B9859='設定（最初に1回）'!$C$4,N(U9858)+1,N(U9858))</f>
        <v>134</v>
      </c>
    </row>
    <row r="9860" customFormat="false" ht="15" hidden="false" customHeight="false" outlineLevel="0" collapsed="false">
      <c r="B9860" s="53"/>
      <c r="I9860" s="53"/>
      <c r="U9860" s="31" t="n">
        <f aca="false">IF($B9860='設定（最初に1回）'!$C$4,N(U9859)+1,N(U9859))</f>
        <v>134</v>
      </c>
    </row>
    <row r="9861" customFormat="false" ht="15" hidden="false" customHeight="false" outlineLevel="0" collapsed="false">
      <c r="B9861" s="53"/>
      <c r="I9861" s="53"/>
      <c r="U9861" s="31" t="n">
        <f aca="false">IF($B9861='設定（最初に1回）'!$C$4,N(U9860)+1,N(U9860))</f>
        <v>134</v>
      </c>
    </row>
    <row r="9862" customFormat="false" ht="15" hidden="false" customHeight="false" outlineLevel="0" collapsed="false">
      <c r="B9862" s="53"/>
      <c r="I9862" s="53"/>
      <c r="U9862" s="31" t="n">
        <f aca="false">IF($B9862='設定（最初に1回）'!$C$4,N(U9861)+1,N(U9861))</f>
        <v>134</v>
      </c>
    </row>
    <row r="9863" customFormat="false" ht="15" hidden="false" customHeight="false" outlineLevel="0" collapsed="false">
      <c r="B9863" s="53"/>
      <c r="I9863" s="53"/>
      <c r="U9863" s="31" t="n">
        <f aca="false">IF($B9863='設定（最初に1回）'!$C$4,N(U9862)+1,N(U9862))</f>
        <v>134</v>
      </c>
    </row>
    <row r="9864" customFormat="false" ht="15" hidden="false" customHeight="false" outlineLevel="0" collapsed="false">
      <c r="B9864" s="53"/>
      <c r="I9864" s="53"/>
      <c r="U9864" s="31" t="n">
        <f aca="false">IF($B9864='設定（最初に1回）'!$C$4,N(U9863)+1,N(U9863))</f>
        <v>134</v>
      </c>
    </row>
    <row r="9865" customFormat="false" ht="15" hidden="false" customHeight="false" outlineLevel="0" collapsed="false">
      <c r="B9865" s="53"/>
      <c r="I9865" s="53"/>
      <c r="U9865" s="31" t="n">
        <f aca="false">IF($B9865='設定（最初に1回）'!$C$4,N(U9864)+1,N(U9864))</f>
        <v>134</v>
      </c>
    </row>
    <row r="9866" customFormat="false" ht="15" hidden="false" customHeight="false" outlineLevel="0" collapsed="false">
      <c r="B9866" s="53"/>
      <c r="I9866" s="53"/>
      <c r="U9866" s="31" t="n">
        <f aca="false">IF($B9866='設定（最初に1回）'!$C$4,N(U9865)+1,N(U9865))</f>
        <v>134</v>
      </c>
    </row>
    <row r="9867" customFormat="false" ht="15" hidden="false" customHeight="false" outlineLevel="0" collapsed="false">
      <c r="B9867" s="53"/>
      <c r="I9867" s="53"/>
      <c r="U9867" s="31" t="n">
        <f aca="false">IF($B9867='設定（最初に1回）'!$C$4,N(U9866)+1,N(U9866))</f>
        <v>134</v>
      </c>
    </row>
    <row r="9868" customFormat="false" ht="15" hidden="false" customHeight="false" outlineLevel="0" collapsed="false">
      <c r="B9868" s="53"/>
      <c r="I9868" s="53"/>
      <c r="U9868" s="31" t="n">
        <f aca="false">IF($B9868='設定（最初に1回）'!$C$4,N(U9867)+1,N(U9867))</f>
        <v>134</v>
      </c>
    </row>
    <row r="9869" customFormat="false" ht="15" hidden="false" customHeight="false" outlineLevel="0" collapsed="false">
      <c r="B9869" s="53"/>
      <c r="I9869" s="53"/>
      <c r="U9869" s="31" t="n">
        <f aca="false">IF($B9869='設定（最初に1回）'!$C$4,N(U9868)+1,N(U9868))</f>
        <v>134</v>
      </c>
    </row>
    <row r="9870" customFormat="false" ht="15" hidden="false" customHeight="false" outlineLevel="0" collapsed="false">
      <c r="B9870" s="53"/>
      <c r="I9870" s="53"/>
      <c r="U9870" s="31" t="n">
        <f aca="false">IF($B9870='設定（最初に1回）'!$C$4,N(U9869)+1,N(U9869))</f>
        <v>134</v>
      </c>
    </row>
    <row r="9871" customFormat="false" ht="15" hidden="false" customHeight="false" outlineLevel="0" collapsed="false">
      <c r="B9871" s="53"/>
      <c r="I9871" s="53"/>
      <c r="U9871" s="31" t="n">
        <f aca="false">IF($B9871='設定（最初に1回）'!$C$4,N(U9870)+1,N(U9870))</f>
        <v>134</v>
      </c>
    </row>
    <row r="9872" customFormat="false" ht="15" hidden="false" customHeight="false" outlineLevel="0" collapsed="false">
      <c r="B9872" s="53"/>
      <c r="I9872" s="53"/>
      <c r="U9872" s="31" t="n">
        <f aca="false">IF($B9872='設定（最初に1回）'!$C$4,N(U9871)+1,N(U9871))</f>
        <v>134</v>
      </c>
    </row>
    <row r="9873" customFormat="false" ht="15" hidden="false" customHeight="false" outlineLevel="0" collapsed="false">
      <c r="B9873" s="53"/>
      <c r="I9873" s="53"/>
      <c r="U9873" s="31" t="n">
        <f aca="false">IF($B9873='設定（最初に1回）'!$C$4,N(U9872)+1,N(U9872))</f>
        <v>134</v>
      </c>
    </row>
    <row r="9874" customFormat="false" ht="15" hidden="false" customHeight="false" outlineLevel="0" collapsed="false">
      <c r="B9874" s="53"/>
      <c r="I9874" s="53"/>
      <c r="U9874" s="31" t="n">
        <f aca="false">IF($B9874='設定（最初に1回）'!$C$4,N(U9873)+1,N(U9873))</f>
        <v>134</v>
      </c>
    </row>
    <row r="9875" customFormat="false" ht="15" hidden="false" customHeight="false" outlineLevel="0" collapsed="false">
      <c r="B9875" s="53"/>
      <c r="I9875" s="53"/>
      <c r="U9875" s="31" t="n">
        <f aca="false">IF($B9875='設定（最初に1回）'!$C$4,N(U9874)+1,N(U9874))</f>
        <v>134</v>
      </c>
    </row>
    <row r="9876" customFormat="false" ht="15" hidden="false" customHeight="false" outlineLevel="0" collapsed="false">
      <c r="B9876" s="53"/>
      <c r="I9876" s="53"/>
      <c r="U9876" s="31" t="n">
        <f aca="false">IF($B9876='設定（最初に1回）'!$C$4,N(U9875)+1,N(U9875))</f>
        <v>134</v>
      </c>
    </row>
    <row r="9877" customFormat="false" ht="15" hidden="false" customHeight="false" outlineLevel="0" collapsed="false">
      <c r="B9877" s="53"/>
      <c r="I9877" s="53"/>
      <c r="U9877" s="31" t="n">
        <f aca="false">IF($B9877='設定（最初に1回）'!$C$4,N(U9876)+1,N(U9876))</f>
        <v>134</v>
      </c>
    </row>
    <row r="9878" customFormat="false" ht="15" hidden="false" customHeight="false" outlineLevel="0" collapsed="false">
      <c r="B9878" s="53"/>
      <c r="I9878" s="53"/>
      <c r="U9878" s="31" t="n">
        <f aca="false">IF($B9878='設定（最初に1回）'!$C$4,N(U9877)+1,N(U9877))</f>
        <v>134</v>
      </c>
    </row>
    <row r="9879" customFormat="false" ht="15" hidden="false" customHeight="false" outlineLevel="0" collapsed="false">
      <c r="B9879" s="53"/>
      <c r="I9879" s="53"/>
      <c r="U9879" s="31" t="n">
        <f aca="false">IF($B9879='設定（最初に1回）'!$C$4,N(U9878)+1,N(U9878))</f>
        <v>134</v>
      </c>
    </row>
    <row r="9880" customFormat="false" ht="15" hidden="false" customHeight="false" outlineLevel="0" collapsed="false">
      <c r="B9880" s="53"/>
      <c r="I9880" s="53"/>
      <c r="U9880" s="31" t="n">
        <f aca="false">IF($B9880='設定（最初に1回）'!$C$4,N(U9879)+1,N(U9879))</f>
        <v>134</v>
      </c>
    </row>
    <row r="9881" customFormat="false" ht="15" hidden="false" customHeight="false" outlineLevel="0" collapsed="false">
      <c r="B9881" s="53"/>
      <c r="I9881" s="53"/>
      <c r="U9881" s="31" t="n">
        <f aca="false">IF($B9881='設定（最初に1回）'!$C$4,N(U9880)+1,N(U9880))</f>
        <v>134</v>
      </c>
    </row>
    <row r="9882" customFormat="false" ht="15" hidden="false" customHeight="false" outlineLevel="0" collapsed="false">
      <c r="B9882" s="53"/>
      <c r="I9882" s="53"/>
      <c r="U9882" s="31" t="n">
        <f aca="false">IF($B9882='設定（最初に1回）'!$C$4,N(U9881)+1,N(U9881))</f>
        <v>134</v>
      </c>
    </row>
    <row r="9883" customFormat="false" ht="15" hidden="false" customHeight="false" outlineLevel="0" collapsed="false">
      <c r="B9883" s="53"/>
      <c r="I9883" s="53"/>
      <c r="U9883" s="31" t="n">
        <f aca="false">IF($B9883='設定（最初に1回）'!$C$4,N(U9882)+1,N(U9882))</f>
        <v>134</v>
      </c>
    </row>
    <row r="9884" customFormat="false" ht="15" hidden="false" customHeight="false" outlineLevel="0" collapsed="false">
      <c r="B9884" s="53"/>
      <c r="I9884" s="53"/>
      <c r="U9884" s="31" t="n">
        <f aca="false">IF($B9884='設定（最初に1回）'!$C$4,N(U9883)+1,N(U9883))</f>
        <v>134</v>
      </c>
    </row>
    <row r="9885" customFormat="false" ht="15" hidden="false" customHeight="false" outlineLevel="0" collapsed="false">
      <c r="B9885" s="53"/>
      <c r="I9885" s="53"/>
      <c r="U9885" s="31" t="n">
        <f aca="false">IF($B9885='設定（最初に1回）'!$C$4,N(U9884)+1,N(U9884))</f>
        <v>134</v>
      </c>
    </row>
    <row r="9886" customFormat="false" ht="15" hidden="false" customHeight="false" outlineLevel="0" collapsed="false">
      <c r="B9886" s="53"/>
      <c r="I9886" s="53"/>
      <c r="U9886" s="31" t="n">
        <f aca="false">IF($B9886='設定（最初に1回）'!$C$4,N(U9885)+1,N(U9885))</f>
        <v>134</v>
      </c>
    </row>
    <row r="9887" customFormat="false" ht="15" hidden="false" customHeight="false" outlineLevel="0" collapsed="false">
      <c r="B9887" s="53"/>
      <c r="I9887" s="53"/>
      <c r="U9887" s="31" t="n">
        <f aca="false">IF($B9887='設定（最初に1回）'!$C$4,N(U9886)+1,N(U9886))</f>
        <v>134</v>
      </c>
    </row>
    <row r="9888" customFormat="false" ht="15" hidden="false" customHeight="false" outlineLevel="0" collapsed="false">
      <c r="B9888" s="53"/>
      <c r="I9888" s="53"/>
      <c r="U9888" s="31" t="n">
        <f aca="false">IF($B9888='設定（最初に1回）'!$C$4,N(U9887)+1,N(U9887))</f>
        <v>134</v>
      </c>
    </row>
    <row r="9889" customFormat="false" ht="15" hidden="false" customHeight="false" outlineLevel="0" collapsed="false">
      <c r="B9889" s="53"/>
      <c r="I9889" s="53"/>
      <c r="U9889" s="31" t="n">
        <f aca="false">IF($B9889='設定（最初に1回）'!$C$4,N(U9888)+1,N(U9888))</f>
        <v>134</v>
      </c>
    </row>
    <row r="9890" customFormat="false" ht="15" hidden="false" customHeight="false" outlineLevel="0" collapsed="false">
      <c r="B9890" s="53"/>
      <c r="I9890" s="53"/>
      <c r="U9890" s="31" t="n">
        <f aca="false">IF($B9890='設定（最初に1回）'!$C$4,N(U9889)+1,N(U9889))</f>
        <v>134</v>
      </c>
    </row>
    <row r="9891" customFormat="false" ht="15" hidden="false" customHeight="false" outlineLevel="0" collapsed="false">
      <c r="B9891" s="53"/>
      <c r="I9891" s="53"/>
      <c r="U9891" s="31" t="n">
        <f aca="false">IF($B9891='設定（最初に1回）'!$C$4,N(U9890)+1,N(U9890))</f>
        <v>134</v>
      </c>
    </row>
    <row r="9892" customFormat="false" ht="15" hidden="false" customHeight="false" outlineLevel="0" collapsed="false">
      <c r="B9892" s="53"/>
      <c r="I9892" s="53"/>
      <c r="U9892" s="31" t="n">
        <f aca="false">IF($B9892='設定（最初に1回）'!$C$4,N(U9891)+1,N(U9891))</f>
        <v>134</v>
      </c>
    </row>
    <row r="9893" customFormat="false" ht="15" hidden="false" customHeight="false" outlineLevel="0" collapsed="false">
      <c r="B9893" s="53"/>
      <c r="I9893" s="53"/>
      <c r="U9893" s="31" t="n">
        <f aca="false">IF($B9893='設定（最初に1回）'!$C$4,N(U9892)+1,N(U9892))</f>
        <v>134</v>
      </c>
    </row>
    <row r="9894" customFormat="false" ht="15" hidden="false" customHeight="false" outlineLevel="0" collapsed="false">
      <c r="B9894" s="53"/>
      <c r="I9894" s="53"/>
      <c r="U9894" s="31" t="n">
        <f aca="false">IF($B9894='設定（最初に1回）'!$C$4,N(U9893)+1,N(U9893))</f>
        <v>134</v>
      </c>
    </row>
    <row r="9895" customFormat="false" ht="15" hidden="false" customHeight="false" outlineLevel="0" collapsed="false">
      <c r="B9895" s="53"/>
      <c r="I9895" s="53"/>
      <c r="U9895" s="31" t="n">
        <f aca="false">IF($B9895='設定（最初に1回）'!$C$4,N(U9894)+1,N(U9894))</f>
        <v>134</v>
      </c>
    </row>
    <row r="9896" customFormat="false" ht="15" hidden="false" customHeight="false" outlineLevel="0" collapsed="false">
      <c r="B9896" s="53"/>
      <c r="I9896" s="53"/>
      <c r="U9896" s="31" t="n">
        <f aca="false">IF($B9896='設定（最初に1回）'!$C$4,N(U9895)+1,N(U9895))</f>
        <v>134</v>
      </c>
    </row>
    <row r="9897" customFormat="false" ht="15" hidden="false" customHeight="false" outlineLevel="0" collapsed="false">
      <c r="B9897" s="53"/>
      <c r="I9897" s="53"/>
      <c r="U9897" s="31" t="n">
        <f aca="false">IF($B9897='設定（最初に1回）'!$C$4,N(U9896)+1,N(U9896))</f>
        <v>134</v>
      </c>
    </row>
    <row r="9898" customFormat="false" ht="15" hidden="false" customHeight="false" outlineLevel="0" collapsed="false">
      <c r="B9898" s="53"/>
      <c r="I9898" s="53"/>
      <c r="U9898" s="31" t="n">
        <f aca="false">IF($B9898='設定（最初に1回）'!$C$4,N(U9897)+1,N(U9897))</f>
        <v>134</v>
      </c>
    </row>
    <row r="9899" customFormat="false" ht="15" hidden="false" customHeight="false" outlineLevel="0" collapsed="false">
      <c r="B9899" s="53"/>
      <c r="I9899" s="53"/>
      <c r="U9899" s="31" t="n">
        <f aca="false">IF($B9899='設定（最初に1回）'!$C$4,N(U9898)+1,N(U9898))</f>
        <v>134</v>
      </c>
    </row>
    <row r="9900" customFormat="false" ht="15" hidden="false" customHeight="false" outlineLevel="0" collapsed="false">
      <c r="B9900" s="53"/>
      <c r="I9900" s="53"/>
      <c r="U9900" s="31" t="n">
        <f aca="false">IF($B9900='設定（最初に1回）'!$C$4,N(U9899)+1,N(U9899))</f>
        <v>134</v>
      </c>
    </row>
    <row r="9901" customFormat="false" ht="15" hidden="false" customHeight="false" outlineLevel="0" collapsed="false">
      <c r="B9901" s="53"/>
      <c r="I9901" s="53"/>
      <c r="U9901" s="31" t="n">
        <f aca="false">IF($B9901='設定（最初に1回）'!$C$4,N(U9900)+1,N(U9900))</f>
        <v>134</v>
      </c>
    </row>
    <row r="9902" customFormat="false" ht="15" hidden="false" customHeight="false" outlineLevel="0" collapsed="false">
      <c r="B9902" s="53"/>
      <c r="I9902" s="53"/>
      <c r="U9902" s="31" t="n">
        <f aca="false">IF($B9902='設定（最初に1回）'!$C$4,N(U9901)+1,N(U9901))</f>
        <v>134</v>
      </c>
    </row>
    <row r="9903" customFormat="false" ht="15" hidden="false" customHeight="false" outlineLevel="0" collapsed="false">
      <c r="B9903" s="53"/>
      <c r="I9903" s="53"/>
      <c r="U9903" s="31" t="n">
        <f aca="false">IF($B9903='設定（最初に1回）'!$C$4,N(U9902)+1,N(U9902))</f>
        <v>134</v>
      </c>
    </row>
    <row r="9904" customFormat="false" ht="15" hidden="false" customHeight="false" outlineLevel="0" collapsed="false">
      <c r="B9904" s="53"/>
      <c r="I9904" s="53"/>
      <c r="U9904" s="31" t="n">
        <f aca="false">IF($B9904='設定（最初に1回）'!$C$4,N(U9903)+1,N(U9903))</f>
        <v>134</v>
      </c>
    </row>
    <row r="9905" customFormat="false" ht="15" hidden="false" customHeight="false" outlineLevel="0" collapsed="false">
      <c r="B9905" s="53"/>
      <c r="I9905" s="53"/>
      <c r="U9905" s="31" t="n">
        <f aca="false">IF($B9905='設定（最初に1回）'!$C$4,N(U9904)+1,N(U9904))</f>
        <v>134</v>
      </c>
    </row>
    <row r="9906" customFormat="false" ht="15" hidden="false" customHeight="false" outlineLevel="0" collapsed="false">
      <c r="B9906" s="53"/>
      <c r="I9906" s="53"/>
      <c r="U9906" s="31" t="n">
        <f aca="false">IF($B9906='設定（最初に1回）'!$C$4,N(U9905)+1,N(U9905))</f>
        <v>134</v>
      </c>
    </row>
    <row r="9907" customFormat="false" ht="15" hidden="false" customHeight="false" outlineLevel="0" collapsed="false">
      <c r="B9907" s="53"/>
      <c r="I9907" s="53"/>
      <c r="U9907" s="31" t="n">
        <f aca="false">IF($B9907='設定（最初に1回）'!$C$4,N(U9906)+1,N(U9906))</f>
        <v>134</v>
      </c>
    </row>
    <row r="9908" customFormat="false" ht="15" hidden="false" customHeight="false" outlineLevel="0" collapsed="false">
      <c r="B9908" s="53"/>
      <c r="I9908" s="53"/>
      <c r="U9908" s="31" t="n">
        <f aca="false">IF($B9908='設定（最初に1回）'!$C$4,N(U9907)+1,N(U9907))</f>
        <v>134</v>
      </c>
    </row>
    <row r="9909" customFormat="false" ht="15" hidden="false" customHeight="false" outlineLevel="0" collapsed="false">
      <c r="B9909" s="53"/>
      <c r="I9909" s="53"/>
      <c r="U9909" s="31" t="n">
        <f aca="false">IF($B9909='設定（最初に1回）'!$C$4,N(U9908)+1,N(U9908))</f>
        <v>134</v>
      </c>
    </row>
    <row r="9910" customFormat="false" ht="15" hidden="false" customHeight="false" outlineLevel="0" collapsed="false">
      <c r="B9910" s="53"/>
      <c r="I9910" s="53"/>
      <c r="U9910" s="31" t="n">
        <f aca="false">IF($B9910='設定（最初に1回）'!$C$4,N(U9909)+1,N(U9909))</f>
        <v>134</v>
      </c>
    </row>
    <row r="9911" customFormat="false" ht="15" hidden="false" customHeight="false" outlineLevel="0" collapsed="false">
      <c r="B9911" s="53"/>
      <c r="I9911" s="53"/>
      <c r="U9911" s="31" t="n">
        <f aca="false">IF($B9911='設定（最初に1回）'!$C$4,N(U9910)+1,N(U9910))</f>
        <v>134</v>
      </c>
    </row>
    <row r="9912" customFormat="false" ht="15" hidden="false" customHeight="false" outlineLevel="0" collapsed="false">
      <c r="B9912" s="53"/>
      <c r="I9912" s="53"/>
      <c r="U9912" s="31" t="n">
        <f aca="false">IF($B9912='設定（最初に1回）'!$C$4,N(U9911)+1,N(U9911))</f>
        <v>134</v>
      </c>
    </row>
    <row r="9913" customFormat="false" ht="15" hidden="false" customHeight="false" outlineLevel="0" collapsed="false">
      <c r="B9913" s="53"/>
      <c r="I9913" s="53"/>
      <c r="U9913" s="31" t="n">
        <f aca="false">IF($B9913='設定（最初に1回）'!$C$4,N(U9912)+1,N(U9912))</f>
        <v>134</v>
      </c>
    </row>
    <row r="9914" customFormat="false" ht="15" hidden="false" customHeight="false" outlineLevel="0" collapsed="false">
      <c r="B9914" s="53"/>
      <c r="I9914" s="53"/>
      <c r="U9914" s="31" t="n">
        <f aca="false">IF($B9914='設定（最初に1回）'!$C$4,N(U9913)+1,N(U9913))</f>
        <v>134</v>
      </c>
    </row>
    <row r="9915" customFormat="false" ht="15" hidden="false" customHeight="false" outlineLevel="0" collapsed="false">
      <c r="B9915" s="53"/>
      <c r="I9915" s="53"/>
      <c r="U9915" s="31" t="n">
        <f aca="false">IF($B9915='設定（最初に1回）'!$C$4,N(U9914)+1,N(U9914))</f>
        <v>134</v>
      </c>
    </row>
    <row r="9916" customFormat="false" ht="15" hidden="false" customHeight="false" outlineLevel="0" collapsed="false">
      <c r="B9916" s="53"/>
      <c r="I9916" s="53"/>
      <c r="U9916" s="31" t="n">
        <f aca="false">IF($B9916='設定（最初に1回）'!$C$4,N(U9915)+1,N(U9915))</f>
        <v>134</v>
      </c>
    </row>
    <row r="9917" customFormat="false" ht="15" hidden="false" customHeight="false" outlineLevel="0" collapsed="false">
      <c r="B9917" s="53"/>
      <c r="I9917" s="53"/>
      <c r="U9917" s="31" t="n">
        <f aca="false">IF($B9917='設定（最初に1回）'!$C$4,N(U9916)+1,N(U9916))</f>
        <v>134</v>
      </c>
    </row>
    <row r="9918" customFormat="false" ht="15" hidden="false" customHeight="false" outlineLevel="0" collapsed="false">
      <c r="B9918" s="53"/>
      <c r="I9918" s="53"/>
      <c r="U9918" s="31" t="n">
        <f aca="false">IF($B9918='設定（最初に1回）'!$C$4,N(U9917)+1,N(U9917))</f>
        <v>134</v>
      </c>
    </row>
    <row r="9919" customFormat="false" ht="15" hidden="false" customHeight="false" outlineLevel="0" collapsed="false">
      <c r="B9919" s="53"/>
      <c r="I9919" s="53"/>
      <c r="U9919" s="31" t="n">
        <f aca="false">IF($B9919='設定（最初に1回）'!$C$4,N(U9918)+1,N(U9918))</f>
        <v>134</v>
      </c>
    </row>
    <row r="9920" customFormat="false" ht="15" hidden="false" customHeight="false" outlineLevel="0" collapsed="false">
      <c r="B9920" s="53"/>
      <c r="I9920" s="53"/>
      <c r="U9920" s="31" t="n">
        <f aca="false">IF($B9920='設定（最初に1回）'!$C$4,N(U9919)+1,N(U9919))</f>
        <v>134</v>
      </c>
    </row>
    <row r="9921" customFormat="false" ht="15" hidden="false" customHeight="false" outlineLevel="0" collapsed="false">
      <c r="B9921" s="53"/>
      <c r="I9921" s="53"/>
      <c r="U9921" s="31" t="n">
        <f aca="false">IF($B9921='設定（最初に1回）'!$C$4,N(U9920)+1,N(U9920))</f>
        <v>134</v>
      </c>
    </row>
    <row r="9922" customFormat="false" ht="15" hidden="false" customHeight="false" outlineLevel="0" collapsed="false">
      <c r="B9922" s="53"/>
      <c r="I9922" s="53"/>
      <c r="U9922" s="31" t="n">
        <f aca="false">IF($B9922='設定（最初に1回）'!$C$4,N(U9921)+1,N(U9921))</f>
        <v>134</v>
      </c>
    </row>
    <row r="9923" customFormat="false" ht="15" hidden="false" customHeight="false" outlineLevel="0" collapsed="false">
      <c r="B9923" s="53"/>
      <c r="I9923" s="53"/>
      <c r="U9923" s="31" t="n">
        <f aca="false">IF($B9923='設定（最初に1回）'!$C$4,N(U9922)+1,N(U9922))</f>
        <v>134</v>
      </c>
    </row>
    <row r="9924" customFormat="false" ht="15" hidden="false" customHeight="false" outlineLevel="0" collapsed="false">
      <c r="B9924" s="53"/>
      <c r="I9924" s="53"/>
      <c r="U9924" s="31" t="n">
        <f aca="false">IF($B9924='設定（最初に1回）'!$C$4,N(U9923)+1,N(U9923))</f>
        <v>134</v>
      </c>
    </row>
    <row r="9925" customFormat="false" ht="15" hidden="false" customHeight="false" outlineLevel="0" collapsed="false">
      <c r="B9925" s="53"/>
      <c r="I9925" s="53"/>
      <c r="U9925" s="31" t="n">
        <f aca="false">IF($B9925='設定（最初に1回）'!$C$4,N(U9924)+1,N(U9924))</f>
        <v>134</v>
      </c>
    </row>
    <row r="9926" customFormat="false" ht="15" hidden="false" customHeight="false" outlineLevel="0" collapsed="false">
      <c r="B9926" s="53"/>
      <c r="I9926" s="53"/>
      <c r="U9926" s="31" t="n">
        <f aca="false">IF($B9926='設定（最初に1回）'!$C$4,N(U9925)+1,N(U9925))</f>
        <v>134</v>
      </c>
    </row>
    <row r="9927" customFormat="false" ht="15" hidden="false" customHeight="false" outlineLevel="0" collapsed="false">
      <c r="B9927" s="53"/>
      <c r="I9927" s="53"/>
      <c r="U9927" s="31" t="n">
        <f aca="false">IF($B9927='設定（最初に1回）'!$C$4,N(U9926)+1,N(U9926))</f>
        <v>134</v>
      </c>
    </row>
    <row r="9928" customFormat="false" ht="15" hidden="false" customHeight="false" outlineLevel="0" collapsed="false">
      <c r="B9928" s="53"/>
      <c r="I9928" s="53"/>
      <c r="U9928" s="31" t="n">
        <f aca="false">IF($B9928='設定（最初に1回）'!$C$4,N(U9927)+1,N(U9927))</f>
        <v>134</v>
      </c>
    </row>
    <row r="9929" customFormat="false" ht="15" hidden="false" customHeight="false" outlineLevel="0" collapsed="false">
      <c r="B9929" s="53"/>
      <c r="I9929" s="53"/>
      <c r="U9929" s="31" t="n">
        <f aca="false">IF($B9929='設定（最初に1回）'!$C$4,N(U9928)+1,N(U9928))</f>
        <v>134</v>
      </c>
    </row>
    <row r="9930" customFormat="false" ht="15" hidden="false" customHeight="false" outlineLevel="0" collapsed="false">
      <c r="B9930" s="53"/>
      <c r="I9930" s="53"/>
      <c r="U9930" s="31" t="n">
        <f aca="false">IF($B9930='設定（最初に1回）'!$C$4,N(U9929)+1,N(U9929))</f>
        <v>134</v>
      </c>
    </row>
    <row r="9931" customFormat="false" ht="15" hidden="false" customHeight="false" outlineLevel="0" collapsed="false">
      <c r="B9931" s="53"/>
      <c r="I9931" s="53"/>
      <c r="U9931" s="31" t="n">
        <f aca="false">IF($B9931='設定（最初に1回）'!$C$4,N(U9930)+1,N(U9930))</f>
        <v>134</v>
      </c>
    </row>
    <row r="9932" customFormat="false" ht="15" hidden="false" customHeight="false" outlineLevel="0" collapsed="false">
      <c r="B9932" s="53"/>
      <c r="I9932" s="53"/>
      <c r="U9932" s="31" t="n">
        <f aca="false">IF($B9932='設定（最初に1回）'!$C$4,N(U9931)+1,N(U9931))</f>
        <v>134</v>
      </c>
    </row>
    <row r="9933" customFormat="false" ht="15" hidden="false" customHeight="false" outlineLevel="0" collapsed="false">
      <c r="B9933" s="53"/>
      <c r="I9933" s="53"/>
      <c r="U9933" s="31" t="n">
        <f aca="false">IF($B9933='設定（最初に1回）'!$C$4,N(U9932)+1,N(U9932))</f>
        <v>134</v>
      </c>
    </row>
    <row r="9934" customFormat="false" ht="15" hidden="false" customHeight="false" outlineLevel="0" collapsed="false">
      <c r="B9934" s="53"/>
      <c r="I9934" s="53"/>
      <c r="U9934" s="31" t="n">
        <f aca="false">IF($B9934='設定（最初に1回）'!$C$4,N(U9933)+1,N(U9933))</f>
        <v>134</v>
      </c>
    </row>
    <row r="9935" customFormat="false" ht="15" hidden="false" customHeight="false" outlineLevel="0" collapsed="false">
      <c r="B9935" s="53"/>
      <c r="I9935" s="53"/>
      <c r="U9935" s="31" t="n">
        <f aca="false">IF($B9935='設定（最初に1回）'!$C$4,N(U9934)+1,N(U9934))</f>
        <v>134</v>
      </c>
    </row>
    <row r="9936" customFormat="false" ht="15" hidden="false" customHeight="false" outlineLevel="0" collapsed="false">
      <c r="B9936" s="53"/>
      <c r="I9936" s="53"/>
      <c r="U9936" s="31" t="n">
        <f aca="false">IF($B9936='設定（最初に1回）'!$C$4,N(U9935)+1,N(U9935))</f>
        <v>134</v>
      </c>
    </row>
    <row r="9937" customFormat="false" ht="15" hidden="false" customHeight="false" outlineLevel="0" collapsed="false">
      <c r="B9937" s="53"/>
      <c r="I9937" s="53"/>
      <c r="U9937" s="31" t="n">
        <f aca="false">IF($B9937='設定（最初に1回）'!$C$4,N(U9936)+1,N(U9936))</f>
        <v>134</v>
      </c>
    </row>
    <row r="9938" customFormat="false" ht="15" hidden="false" customHeight="false" outlineLevel="0" collapsed="false">
      <c r="B9938" s="53"/>
      <c r="I9938" s="53"/>
      <c r="U9938" s="31" t="n">
        <f aca="false">IF($B9938='設定（最初に1回）'!$C$4,N(U9937)+1,N(U9937))</f>
        <v>134</v>
      </c>
    </row>
    <row r="9939" customFormat="false" ht="15" hidden="false" customHeight="false" outlineLevel="0" collapsed="false">
      <c r="B9939" s="53"/>
      <c r="I9939" s="53"/>
      <c r="U9939" s="31" t="n">
        <f aca="false">IF($B9939='設定（最初に1回）'!$C$4,N(U9938)+1,N(U9938))</f>
        <v>134</v>
      </c>
    </row>
    <row r="9940" customFormat="false" ht="15" hidden="false" customHeight="false" outlineLevel="0" collapsed="false">
      <c r="B9940" s="53"/>
      <c r="I9940" s="53"/>
      <c r="U9940" s="31" t="n">
        <f aca="false">IF($B9940='設定（最初に1回）'!$C$4,N(U9939)+1,N(U9939))</f>
        <v>134</v>
      </c>
    </row>
    <row r="9941" customFormat="false" ht="15" hidden="false" customHeight="false" outlineLevel="0" collapsed="false">
      <c r="B9941" s="53"/>
      <c r="I9941" s="53"/>
      <c r="U9941" s="31" t="n">
        <f aca="false">IF($B9941='設定（最初に1回）'!$C$4,N(U9940)+1,N(U9940))</f>
        <v>134</v>
      </c>
    </row>
    <row r="9942" customFormat="false" ht="15" hidden="false" customHeight="false" outlineLevel="0" collapsed="false">
      <c r="B9942" s="53"/>
      <c r="I9942" s="53"/>
      <c r="U9942" s="31" t="n">
        <f aca="false">IF($B9942='設定（最初に1回）'!$C$4,N(U9941)+1,N(U9941))</f>
        <v>134</v>
      </c>
    </row>
    <row r="9943" customFormat="false" ht="15" hidden="false" customHeight="false" outlineLevel="0" collapsed="false">
      <c r="B9943" s="53"/>
      <c r="I9943" s="53"/>
      <c r="U9943" s="31" t="n">
        <f aca="false">IF($B9943='設定（最初に1回）'!$C$4,N(U9942)+1,N(U9942))</f>
        <v>134</v>
      </c>
    </row>
    <row r="9944" customFormat="false" ht="15" hidden="false" customHeight="false" outlineLevel="0" collapsed="false">
      <c r="B9944" s="53"/>
      <c r="I9944" s="53"/>
      <c r="U9944" s="31" t="n">
        <f aca="false">IF($B9944='設定（最初に1回）'!$C$4,N(U9943)+1,N(U9943))</f>
        <v>134</v>
      </c>
    </row>
    <row r="9945" customFormat="false" ht="15" hidden="false" customHeight="false" outlineLevel="0" collapsed="false">
      <c r="B9945" s="53"/>
      <c r="I9945" s="53"/>
      <c r="U9945" s="31" t="n">
        <f aca="false">IF($B9945='設定（最初に1回）'!$C$4,N(U9944)+1,N(U9944))</f>
        <v>134</v>
      </c>
    </row>
    <row r="9946" customFormat="false" ht="15" hidden="false" customHeight="false" outlineLevel="0" collapsed="false">
      <c r="B9946" s="53"/>
      <c r="I9946" s="53"/>
      <c r="U9946" s="31" t="n">
        <f aca="false">IF($B9946='設定（最初に1回）'!$C$4,N(U9945)+1,N(U9945))</f>
        <v>134</v>
      </c>
    </row>
    <row r="9947" customFormat="false" ht="15" hidden="false" customHeight="false" outlineLevel="0" collapsed="false">
      <c r="B9947" s="53"/>
      <c r="I9947" s="53"/>
      <c r="U9947" s="31" t="n">
        <f aca="false">IF($B9947='設定（最初に1回）'!$C$4,N(U9946)+1,N(U9946))</f>
        <v>134</v>
      </c>
    </row>
    <row r="9948" customFormat="false" ht="15" hidden="false" customHeight="false" outlineLevel="0" collapsed="false">
      <c r="B9948" s="53"/>
      <c r="I9948" s="53"/>
      <c r="U9948" s="31" t="n">
        <f aca="false">IF($B9948='設定（最初に1回）'!$C$4,N(U9947)+1,N(U9947))</f>
        <v>134</v>
      </c>
    </row>
    <row r="9949" customFormat="false" ht="15" hidden="false" customHeight="false" outlineLevel="0" collapsed="false">
      <c r="B9949" s="53"/>
      <c r="I9949" s="53"/>
      <c r="U9949" s="31" t="n">
        <f aca="false">IF($B9949='設定（最初に1回）'!$C$4,N(U9948)+1,N(U9948))</f>
        <v>134</v>
      </c>
    </row>
    <row r="9950" customFormat="false" ht="15" hidden="false" customHeight="false" outlineLevel="0" collapsed="false">
      <c r="B9950" s="53"/>
      <c r="I9950" s="53"/>
      <c r="U9950" s="31" t="n">
        <f aca="false">IF($B9950='設定（最初に1回）'!$C$4,N(U9949)+1,N(U9949))</f>
        <v>134</v>
      </c>
    </row>
    <row r="9951" customFormat="false" ht="15" hidden="false" customHeight="false" outlineLevel="0" collapsed="false">
      <c r="B9951" s="53"/>
      <c r="I9951" s="53"/>
      <c r="U9951" s="31" t="n">
        <f aca="false">IF($B9951='設定（最初に1回）'!$C$4,N(U9950)+1,N(U9950))</f>
        <v>134</v>
      </c>
    </row>
    <row r="9952" customFormat="false" ht="15" hidden="false" customHeight="false" outlineLevel="0" collapsed="false">
      <c r="B9952" s="53"/>
      <c r="I9952" s="53"/>
      <c r="U9952" s="31" t="n">
        <f aca="false">IF($B9952='設定（最初に1回）'!$C$4,N(U9951)+1,N(U9951))</f>
        <v>134</v>
      </c>
    </row>
    <row r="9953" customFormat="false" ht="15" hidden="false" customHeight="false" outlineLevel="0" collapsed="false">
      <c r="B9953" s="53"/>
      <c r="I9953" s="53"/>
      <c r="U9953" s="31" t="n">
        <f aca="false">IF($B9953='設定（最初に1回）'!$C$4,N(U9952)+1,N(U9952))</f>
        <v>134</v>
      </c>
    </row>
    <row r="9954" customFormat="false" ht="15" hidden="false" customHeight="false" outlineLevel="0" collapsed="false">
      <c r="B9954" s="53"/>
      <c r="I9954" s="53"/>
      <c r="U9954" s="31" t="n">
        <f aca="false">IF($B9954='設定（最初に1回）'!$C$4,N(U9953)+1,N(U9953))</f>
        <v>134</v>
      </c>
    </row>
    <row r="9955" customFormat="false" ht="15" hidden="false" customHeight="false" outlineLevel="0" collapsed="false">
      <c r="B9955" s="53"/>
      <c r="I9955" s="53"/>
      <c r="U9955" s="31" t="n">
        <f aca="false">IF($B9955='設定（最初に1回）'!$C$4,N(U9954)+1,N(U9954))</f>
        <v>134</v>
      </c>
    </row>
    <row r="9956" customFormat="false" ht="15" hidden="false" customHeight="false" outlineLevel="0" collapsed="false">
      <c r="B9956" s="53"/>
      <c r="I9956" s="53"/>
      <c r="U9956" s="31" t="n">
        <f aca="false">IF($B9956='設定（最初に1回）'!$C$4,N(U9955)+1,N(U9955))</f>
        <v>134</v>
      </c>
    </row>
    <row r="9957" customFormat="false" ht="15" hidden="false" customHeight="false" outlineLevel="0" collapsed="false">
      <c r="B9957" s="53"/>
      <c r="I9957" s="53"/>
      <c r="U9957" s="31" t="n">
        <f aca="false">IF($B9957='設定（最初に1回）'!$C$4,N(U9956)+1,N(U9956))</f>
        <v>134</v>
      </c>
    </row>
    <row r="9958" customFormat="false" ht="15" hidden="false" customHeight="false" outlineLevel="0" collapsed="false">
      <c r="B9958" s="53"/>
      <c r="I9958" s="53"/>
      <c r="U9958" s="31" t="n">
        <f aca="false">IF($B9958='設定（最初に1回）'!$C$4,N(U9957)+1,N(U9957))</f>
        <v>134</v>
      </c>
    </row>
    <row r="9959" customFormat="false" ht="15" hidden="false" customHeight="false" outlineLevel="0" collapsed="false">
      <c r="B9959" s="53"/>
      <c r="I9959" s="53"/>
      <c r="U9959" s="31" t="n">
        <f aca="false">IF($B9959='設定（最初に1回）'!$C$4,N(U9958)+1,N(U9958))</f>
        <v>134</v>
      </c>
    </row>
    <row r="9960" customFormat="false" ht="15" hidden="false" customHeight="false" outlineLevel="0" collapsed="false">
      <c r="B9960" s="53"/>
      <c r="I9960" s="53"/>
      <c r="U9960" s="31" t="n">
        <f aca="false">IF($B9960='設定（最初に1回）'!$C$4,N(U9959)+1,N(U9959))</f>
        <v>134</v>
      </c>
    </row>
    <row r="9961" customFormat="false" ht="15" hidden="false" customHeight="false" outlineLevel="0" collapsed="false">
      <c r="B9961" s="53"/>
      <c r="I9961" s="53"/>
      <c r="U9961" s="31" t="n">
        <f aca="false">IF($B9961='設定（最初に1回）'!$C$4,N(U9960)+1,N(U9960))</f>
        <v>134</v>
      </c>
    </row>
    <row r="9962" customFormat="false" ht="15" hidden="false" customHeight="false" outlineLevel="0" collapsed="false">
      <c r="B9962" s="53"/>
      <c r="I9962" s="53"/>
      <c r="U9962" s="31" t="n">
        <f aca="false">IF($B9962='設定（最初に1回）'!$C$4,N(U9961)+1,N(U9961))</f>
        <v>134</v>
      </c>
    </row>
    <row r="9963" customFormat="false" ht="15" hidden="false" customHeight="false" outlineLevel="0" collapsed="false">
      <c r="B9963" s="53"/>
      <c r="I9963" s="53"/>
      <c r="U9963" s="31" t="n">
        <f aca="false">IF($B9963='設定（最初に1回）'!$C$4,N(U9962)+1,N(U9962))</f>
        <v>134</v>
      </c>
    </row>
    <row r="9964" customFormat="false" ht="15" hidden="false" customHeight="false" outlineLevel="0" collapsed="false">
      <c r="B9964" s="53"/>
      <c r="I9964" s="53"/>
      <c r="U9964" s="31" t="n">
        <f aca="false">IF($B9964='設定（最初に1回）'!$C$4,N(U9963)+1,N(U9963))</f>
        <v>134</v>
      </c>
    </row>
    <row r="9965" customFormat="false" ht="15" hidden="false" customHeight="false" outlineLevel="0" collapsed="false">
      <c r="B9965" s="53"/>
      <c r="I9965" s="53"/>
      <c r="U9965" s="31" t="n">
        <f aca="false">IF($B9965='設定（最初に1回）'!$C$4,N(U9964)+1,N(U9964))</f>
        <v>134</v>
      </c>
    </row>
    <row r="9966" customFormat="false" ht="15" hidden="false" customHeight="false" outlineLevel="0" collapsed="false">
      <c r="B9966" s="53"/>
      <c r="I9966" s="53"/>
      <c r="U9966" s="31" t="n">
        <f aca="false">IF($B9966='設定（最初に1回）'!$C$4,N(U9965)+1,N(U9965))</f>
        <v>134</v>
      </c>
    </row>
    <row r="9967" customFormat="false" ht="15" hidden="false" customHeight="false" outlineLevel="0" collapsed="false">
      <c r="B9967" s="53"/>
      <c r="I9967" s="53"/>
      <c r="U9967" s="31" t="n">
        <f aca="false">IF($B9967='設定（最初に1回）'!$C$4,N(U9966)+1,N(U9966))</f>
        <v>134</v>
      </c>
    </row>
    <row r="9968" customFormat="false" ht="15" hidden="false" customHeight="false" outlineLevel="0" collapsed="false">
      <c r="B9968" s="53"/>
      <c r="I9968" s="53"/>
      <c r="U9968" s="31" t="n">
        <f aca="false">IF($B9968='設定（最初に1回）'!$C$4,N(U9967)+1,N(U9967))</f>
        <v>134</v>
      </c>
    </row>
    <row r="9969" customFormat="false" ht="15" hidden="false" customHeight="false" outlineLevel="0" collapsed="false">
      <c r="B9969" s="53"/>
      <c r="I9969" s="53"/>
      <c r="U9969" s="31" t="n">
        <f aca="false">IF($B9969='設定（最初に1回）'!$C$4,N(U9968)+1,N(U9968))</f>
        <v>134</v>
      </c>
    </row>
    <row r="9970" customFormat="false" ht="15" hidden="false" customHeight="false" outlineLevel="0" collapsed="false">
      <c r="B9970" s="53"/>
      <c r="I9970" s="53"/>
      <c r="U9970" s="31" t="n">
        <f aca="false">IF($B9970='設定（最初に1回）'!$C$4,N(U9969)+1,N(U9969))</f>
        <v>134</v>
      </c>
    </row>
    <row r="9971" customFormat="false" ht="15" hidden="false" customHeight="false" outlineLevel="0" collapsed="false">
      <c r="B9971" s="53"/>
      <c r="I9971" s="53"/>
      <c r="U9971" s="31" t="n">
        <f aca="false">IF($B9971='設定（最初に1回）'!$C$4,N(U9970)+1,N(U9970))</f>
        <v>134</v>
      </c>
    </row>
    <row r="9972" customFormat="false" ht="15" hidden="false" customHeight="false" outlineLevel="0" collapsed="false">
      <c r="B9972" s="53"/>
      <c r="I9972" s="53"/>
      <c r="U9972" s="31" t="n">
        <f aca="false">IF($B9972='設定（最初に1回）'!$C$4,N(U9971)+1,N(U9971))</f>
        <v>134</v>
      </c>
    </row>
    <row r="9973" customFormat="false" ht="15" hidden="false" customHeight="false" outlineLevel="0" collapsed="false">
      <c r="B9973" s="53"/>
      <c r="I9973" s="53"/>
      <c r="U9973" s="31" t="n">
        <f aca="false">IF($B9973='設定（最初に1回）'!$C$4,N(U9972)+1,N(U9972))</f>
        <v>134</v>
      </c>
    </row>
    <row r="9974" customFormat="false" ht="15" hidden="false" customHeight="false" outlineLevel="0" collapsed="false">
      <c r="B9974" s="53"/>
      <c r="I9974" s="53"/>
      <c r="U9974" s="31" t="n">
        <f aca="false">IF($B9974='設定（最初に1回）'!$C$4,N(U9973)+1,N(U9973))</f>
        <v>134</v>
      </c>
    </row>
    <row r="9975" customFormat="false" ht="15" hidden="false" customHeight="false" outlineLevel="0" collapsed="false">
      <c r="B9975" s="53"/>
      <c r="I9975" s="53"/>
      <c r="U9975" s="31" t="n">
        <f aca="false">IF($B9975='設定（最初に1回）'!$C$4,N(U9974)+1,N(U9974))</f>
        <v>134</v>
      </c>
    </row>
    <row r="9976" customFormat="false" ht="15" hidden="false" customHeight="false" outlineLevel="0" collapsed="false">
      <c r="B9976" s="53"/>
      <c r="I9976" s="53"/>
      <c r="U9976" s="31" t="n">
        <f aca="false">IF($B9976='設定（最初に1回）'!$C$4,N(U9975)+1,N(U9975))</f>
        <v>134</v>
      </c>
    </row>
    <row r="9977" customFormat="false" ht="15" hidden="false" customHeight="false" outlineLevel="0" collapsed="false">
      <c r="B9977" s="53"/>
      <c r="I9977" s="53"/>
      <c r="U9977" s="31" t="n">
        <f aca="false">IF($B9977='設定（最初に1回）'!$C$4,N(U9976)+1,N(U9976))</f>
        <v>134</v>
      </c>
    </row>
    <row r="9978" customFormat="false" ht="15" hidden="false" customHeight="false" outlineLevel="0" collapsed="false">
      <c r="B9978" s="53"/>
      <c r="I9978" s="53"/>
      <c r="U9978" s="31" t="n">
        <f aca="false">IF($B9978='設定（最初に1回）'!$C$4,N(U9977)+1,N(U9977))</f>
        <v>134</v>
      </c>
    </row>
    <row r="9979" customFormat="false" ht="15" hidden="false" customHeight="false" outlineLevel="0" collapsed="false">
      <c r="B9979" s="53"/>
      <c r="I9979" s="53"/>
      <c r="U9979" s="31" t="n">
        <f aca="false">IF($B9979='設定（最初に1回）'!$C$4,N(U9978)+1,N(U9978))</f>
        <v>134</v>
      </c>
    </row>
    <row r="9980" customFormat="false" ht="15" hidden="false" customHeight="false" outlineLevel="0" collapsed="false">
      <c r="B9980" s="53"/>
      <c r="I9980" s="53"/>
      <c r="U9980" s="31" t="n">
        <f aca="false">IF($B9980='設定（最初に1回）'!$C$4,N(U9979)+1,N(U9979))</f>
        <v>134</v>
      </c>
    </row>
    <row r="9981" customFormat="false" ht="15" hidden="false" customHeight="false" outlineLevel="0" collapsed="false">
      <c r="B9981" s="53"/>
      <c r="I9981" s="53"/>
      <c r="U9981" s="31" t="n">
        <f aca="false">IF($B9981='設定（最初に1回）'!$C$4,N(U9980)+1,N(U9980))</f>
        <v>134</v>
      </c>
    </row>
    <row r="9982" customFormat="false" ht="15" hidden="false" customHeight="false" outlineLevel="0" collapsed="false">
      <c r="B9982" s="53"/>
      <c r="I9982" s="53"/>
      <c r="U9982" s="31" t="n">
        <f aca="false">IF($B9982='設定（最初に1回）'!$C$4,N(U9981)+1,N(U9981))</f>
        <v>134</v>
      </c>
    </row>
    <row r="9983" customFormat="false" ht="15" hidden="false" customHeight="false" outlineLevel="0" collapsed="false">
      <c r="B9983" s="53"/>
      <c r="I9983" s="53"/>
      <c r="U9983" s="31" t="n">
        <f aca="false">IF($B9983='設定（最初に1回）'!$C$4,N(U9982)+1,N(U9982))</f>
        <v>134</v>
      </c>
    </row>
    <row r="9984" customFormat="false" ht="15" hidden="false" customHeight="false" outlineLevel="0" collapsed="false">
      <c r="B9984" s="53"/>
      <c r="I9984" s="53"/>
      <c r="U9984" s="31" t="n">
        <f aca="false">IF($B9984='設定（最初に1回）'!$C$4,N(U9983)+1,N(U9983))</f>
        <v>134</v>
      </c>
    </row>
    <row r="9985" customFormat="false" ht="15" hidden="false" customHeight="false" outlineLevel="0" collapsed="false">
      <c r="B9985" s="53"/>
      <c r="I9985" s="53"/>
      <c r="U9985" s="31" t="n">
        <f aca="false">IF($B9985='設定（最初に1回）'!$C$4,N(U9984)+1,N(U9984))</f>
        <v>134</v>
      </c>
    </row>
    <row r="9986" customFormat="false" ht="15" hidden="false" customHeight="false" outlineLevel="0" collapsed="false">
      <c r="B9986" s="53"/>
      <c r="I9986" s="53"/>
      <c r="U9986" s="31" t="n">
        <f aca="false">IF($B9986='設定（最初に1回）'!$C$4,N(U9985)+1,N(U9985))</f>
        <v>134</v>
      </c>
    </row>
    <row r="9987" customFormat="false" ht="15" hidden="false" customHeight="false" outlineLevel="0" collapsed="false">
      <c r="B9987" s="53"/>
      <c r="I9987" s="53"/>
      <c r="U9987" s="31" t="n">
        <f aca="false">IF($B9987='設定（最初に1回）'!$C$4,N(U9986)+1,N(U9986))</f>
        <v>134</v>
      </c>
    </row>
    <row r="9988" customFormat="false" ht="15" hidden="false" customHeight="false" outlineLevel="0" collapsed="false">
      <c r="B9988" s="53"/>
      <c r="I9988" s="53"/>
      <c r="U9988" s="31" t="n">
        <f aca="false">IF($B9988='設定（最初に1回）'!$C$4,N(U9987)+1,N(U9987))</f>
        <v>134</v>
      </c>
    </row>
    <row r="9989" customFormat="false" ht="15" hidden="false" customHeight="false" outlineLevel="0" collapsed="false">
      <c r="B9989" s="53"/>
      <c r="I9989" s="53"/>
      <c r="U9989" s="31" t="n">
        <f aca="false">IF($B9989='設定（最初に1回）'!$C$4,N(U9988)+1,N(U9988))</f>
        <v>134</v>
      </c>
    </row>
    <row r="9990" customFormat="false" ht="15" hidden="false" customHeight="false" outlineLevel="0" collapsed="false">
      <c r="B9990" s="53"/>
      <c r="I9990" s="53"/>
      <c r="U9990" s="31" t="n">
        <f aca="false">IF($B9990='設定（最初に1回）'!$C$4,N(U9989)+1,N(U9989))</f>
        <v>134</v>
      </c>
    </row>
    <row r="9991" customFormat="false" ht="15" hidden="false" customHeight="false" outlineLevel="0" collapsed="false">
      <c r="B9991" s="53"/>
      <c r="I9991" s="53"/>
      <c r="U9991" s="31" t="n">
        <f aca="false">IF($B9991='設定（最初に1回）'!$C$4,N(U9990)+1,N(U9990))</f>
        <v>134</v>
      </c>
    </row>
    <row r="9992" customFormat="false" ht="15" hidden="false" customHeight="false" outlineLevel="0" collapsed="false">
      <c r="B9992" s="53"/>
      <c r="I9992" s="53"/>
      <c r="U9992" s="31" t="n">
        <f aca="false">IF($B9992='設定（最初に1回）'!$C$4,N(U9991)+1,N(U9991))</f>
        <v>134</v>
      </c>
    </row>
    <row r="9993" customFormat="false" ht="15" hidden="false" customHeight="false" outlineLevel="0" collapsed="false">
      <c r="B9993" s="53"/>
      <c r="I9993" s="53"/>
      <c r="U9993" s="31" t="n">
        <f aca="false">IF($B9993='設定（最初に1回）'!$C$4,N(U9992)+1,N(U9992))</f>
        <v>134</v>
      </c>
    </row>
    <row r="9994" customFormat="false" ht="15" hidden="false" customHeight="false" outlineLevel="0" collapsed="false">
      <c r="B9994" s="53"/>
      <c r="I9994" s="53"/>
      <c r="U9994" s="31" t="n">
        <f aca="false">IF($B9994='設定（最初に1回）'!$C$4,N(U9993)+1,N(U9993))</f>
        <v>134</v>
      </c>
    </row>
    <row r="9995" customFormat="false" ht="15" hidden="false" customHeight="false" outlineLevel="0" collapsed="false">
      <c r="B9995" s="53"/>
      <c r="I9995" s="53"/>
      <c r="U9995" s="31" t="n">
        <f aca="false">IF($B9995='設定（最初に1回）'!$C$4,N(U9994)+1,N(U9994))</f>
        <v>134</v>
      </c>
    </row>
    <row r="9996" customFormat="false" ht="15" hidden="false" customHeight="false" outlineLevel="0" collapsed="false">
      <c r="B9996" s="53"/>
      <c r="I9996" s="53"/>
      <c r="U9996" s="31" t="n">
        <f aca="false">IF($B9996='設定（最初に1回）'!$C$4,N(U9995)+1,N(U9995))</f>
        <v>134</v>
      </c>
    </row>
    <row r="9997" customFormat="false" ht="15" hidden="false" customHeight="false" outlineLevel="0" collapsed="false">
      <c r="B9997" s="53"/>
      <c r="I9997" s="53"/>
      <c r="U9997" s="31" t="n">
        <f aca="false">IF($B9997='設定（最初に1回）'!$C$4,N(U9996)+1,N(U9996))</f>
        <v>134</v>
      </c>
    </row>
    <row r="9998" customFormat="false" ht="15" hidden="false" customHeight="false" outlineLevel="0" collapsed="false">
      <c r="B9998" s="53"/>
      <c r="I9998" s="53"/>
      <c r="U9998" s="31" t="n">
        <f aca="false">IF($B9998='設定（最初に1回）'!$C$4,N(U9997)+1,N(U9997))</f>
        <v>134</v>
      </c>
    </row>
    <row r="9999" customFormat="false" ht="15" hidden="false" customHeight="false" outlineLevel="0" collapsed="false">
      <c r="B9999" s="53"/>
      <c r="I9999" s="53"/>
      <c r="U9999" s="31" t="n">
        <f aca="false">IF($B9999='設定（最初に1回）'!$C$4,N(U9998)+1,N(U9998))</f>
        <v>134</v>
      </c>
    </row>
    <row r="10000" customFormat="false" ht="15" hidden="false" customHeight="false" outlineLevel="0" collapsed="false">
      <c r="B10000" s="53"/>
      <c r="I10000" s="53"/>
      <c r="U10000" s="31" t="n">
        <f aca="false">IF($B10000='設定（最初に1回）'!$C$4,N(U9999)+1,N(U9999))</f>
        <v>134</v>
      </c>
    </row>
    <row r="10001" customFormat="false" ht="15" hidden="false" customHeight="false" outlineLevel="0" collapsed="false">
      <c r="B10001" s="53"/>
      <c r="I10001" s="53"/>
      <c r="U10001" s="31" t="n">
        <f aca="false">IF($B10001='設定（最初に1回）'!$C$4,N(U10000)+1,N(U10000))</f>
        <v>134</v>
      </c>
    </row>
    <row r="10002" customFormat="false" ht="15" hidden="false" customHeight="false" outlineLevel="0" collapsed="false">
      <c r="B10002" s="53"/>
      <c r="I10002" s="53"/>
      <c r="U10002" s="31" t="n">
        <f aca="false">IF($B10002='設定（最初に1回）'!$C$4,N(U10001)+1,N(U10001))</f>
        <v>134</v>
      </c>
    </row>
    <row r="10003" customFormat="false" ht="15" hidden="false" customHeight="false" outlineLevel="0" collapsed="false">
      <c r="B10003" s="53"/>
      <c r="I10003" s="53"/>
      <c r="U10003" s="31" t="n">
        <f aca="false">IF($B10003='設定（最初に1回）'!$C$4,N(U10002)+1,N(U10002))</f>
        <v>134</v>
      </c>
    </row>
    <row r="10004" customFormat="false" ht="15" hidden="false" customHeight="false" outlineLevel="0" collapsed="false">
      <c r="B10004" s="53"/>
      <c r="I10004" s="53"/>
      <c r="U10004" s="31" t="n">
        <f aca="false">IF($B10004='設定（最初に1回）'!$C$4,N(U10003)+1,N(U10003))</f>
        <v>134</v>
      </c>
    </row>
    <row r="10005" customFormat="false" ht="15" hidden="false" customHeight="false" outlineLevel="0" collapsed="false">
      <c r="B10005" s="53"/>
      <c r="I10005" s="53"/>
      <c r="U10005" s="31" t="n">
        <f aca="false">IF($B10005='設定（最初に1回）'!$C$4,N(U10004)+1,N(U10004))</f>
        <v>134</v>
      </c>
    </row>
  </sheetData>
  <conditionalFormatting sqref="H2">
    <cfRule type="expression" priority="2" aboveAverage="0" equalAverage="0" bottom="0" percent="0" rank="0" text="" dxfId="3">
      <formula>COUNTIF($B$6:$B$10005,'設定（最初に1回）'!$C$4)=0</formula>
    </cfRule>
    <cfRule type="expression" priority="3" aboveAverage="0" equalAverage="0" bottom="0" percent="0" rank="0" text="" dxfId="4">
      <formul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8B44A"/>
    <pageSetUpPr fitToPage="true"/>
  </sheetPr>
  <dimension ref="B2:Z4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2" min="2" style="0" width="5"/>
    <col collapsed="false" customWidth="true" hidden="false" outlineLevel="0" max="3" min="3" style="0" width="30"/>
    <col collapsed="false" customWidth="true" hidden="false" outlineLevel="0" max="4" min="4" style="0" width="15"/>
    <col collapsed="false" customWidth="true" hidden="false" outlineLevel="0" max="5" min="5" style="0" width="11"/>
    <col collapsed="false" customWidth="true" hidden="true" outlineLevel="0" max="6" min="6" style="0" width="13"/>
    <col collapsed="false" customWidth="true" hidden="false" outlineLevel="0" max="7" min="7" style="0" width="12"/>
    <col collapsed="false" customWidth="true" hidden="true" outlineLevel="0" max="8" min="8" style="0" width="12"/>
    <col collapsed="false" customWidth="true" hidden="false" outlineLevel="0" max="9" min="9" style="0" width="12"/>
    <col collapsed="false" customWidth="true" hidden="false" outlineLevel="0" max="10" min="10" style="0" width="11"/>
    <col collapsed="false" customWidth="true" hidden="false" outlineLevel="0" max="11" min="11" style="0" width="13"/>
    <col collapsed="false" customWidth="true" hidden="false" outlineLevel="0" max="25" min="12" style="0" width="3.4"/>
    <col collapsed="false" customWidth="true" hidden="true" outlineLevel="0" max="26" min="26" style="0" width="9"/>
  </cols>
  <sheetData>
    <row r="2" customFormat="false" ht="18.55" hidden="false" customHeight="false" outlineLevel="0" collapsed="false">
      <c r="B2" s="1" t="s">
        <v>494</v>
      </c>
    </row>
    <row r="4" customFormat="false" ht="15" hidden="false" customHeight="false" outlineLevel="0" collapsed="false">
      <c r="B4" s="31" t="s">
        <v>495</v>
      </c>
      <c r="G4" s="56" t="s">
        <v>496</v>
      </c>
      <c r="H4" s="56"/>
      <c r="I4" s="56"/>
      <c r="J4" s="56"/>
      <c r="K4" s="56"/>
      <c r="L4" s="31" t="s">
        <v>497</v>
      </c>
    </row>
    <row r="5" customFormat="false" ht="45.75" hidden="false" customHeight="true" outlineLevel="0" collapsed="false">
      <c r="B5" s="57" t="n">
        <f aca="false">COUNTIF(②発注数を決める!$G$10:$G$409,"今日が期限")+COUNTIF(②発注数を決める!$G$10:$G$409,"要発注")</f>
        <v>45</v>
      </c>
      <c r="C5" s="57"/>
      <c r="D5" s="58" t="s">
        <v>498</v>
      </c>
      <c r="G5" s="59" t="n">
        <f aca="false">SUM(②発注数を決める!$K$10:$K$409)</f>
        <v>158719</v>
      </c>
      <c r="H5" s="59"/>
      <c r="I5" s="59"/>
      <c r="J5" s="59"/>
      <c r="K5" s="59"/>
      <c r="L5" s="60" t="s">
        <v>499</v>
      </c>
      <c r="M5" s="60"/>
      <c r="N5" s="60"/>
      <c r="O5" s="60"/>
      <c r="P5" s="60" t="s">
        <v>500</v>
      </c>
      <c r="Q5" s="60"/>
      <c r="R5" s="60"/>
      <c r="S5" s="60"/>
      <c r="T5" s="60" t="s">
        <v>501</v>
      </c>
      <c r="U5" s="60"/>
      <c r="V5" s="60"/>
      <c r="W5" s="60"/>
    </row>
    <row r="6" customFormat="false" ht="17.9" hidden="false" customHeight="false" outlineLevel="0" collapsed="false">
      <c r="L6" s="61" t="n">
        <f aca="false">IF(IFERROR(INDEX(定数マスタ!$I$6:$I$105,MATCH('設定（最初に1回）'!$C$4,定数マスタ!$B$6:$B$105,0)),0)=0,"収容未設定",(SUMIF(発注計算!$AD$6:$AD$405,"常温",発注計算!$AE$6:$AE$405)+SUMIF(発注計算!$AD$6:$AD$405,"常温",②発注数を決める!$J$10:$J$409))/IFERROR(INDEX(定数マスタ!$I$6:$I$105,MATCH('設定（最初に1回）'!$C$4,定数マスタ!$B$6:$B$105,0)),0))</f>
        <v>0.674583333333333</v>
      </c>
      <c r="M6" s="61"/>
      <c r="N6" s="61"/>
      <c r="O6" s="61"/>
      <c r="P6" s="61" t="n">
        <f aca="false">IF(IFERROR(INDEX(定数マスタ!$J$6:$J$105,MATCH('設定（最初に1回）'!$C$4,定数マスタ!$B$6:$B$105,0)),0)=0,"収容未設定",(SUMIF(発注計算!$AD$6:$AD$405,"冷蔵",発注計算!$AE$6:$AE$405)+SUMIF(発注計算!$AD$6:$AD$405,"冷蔵",②発注数を決める!$J$10:$J$409))/IFERROR(INDEX(定数マスタ!$J$6:$J$105,MATCH('設定（最初に1回）'!$C$4,定数マスタ!$B$6:$B$105,0)),0))</f>
        <v>0.718055555555556</v>
      </c>
      <c r="Q6" s="61"/>
      <c r="R6" s="61"/>
      <c r="S6" s="61"/>
      <c r="T6" s="61" t="n">
        <f aca="false">IF(IFERROR(INDEX(定数マスタ!$K$6:$K$105,MATCH('設定（最初に1回）'!$C$4,定数マスタ!$B$6:$B$105,0)),0)=0,"収容未設定",(SUMIF(発注計算!$AD$6:$AD$405,"冷凍",発注計算!$AE$6:$AE$405)+SUMIF(発注計算!$AD$6:$AD$405,"冷凍",②発注数を決める!$J$10:$J$409))/IFERROR(INDEX(定数マスタ!$K$6:$K$105,MATCH('設定（最初に1回）'!$C$4,定数マスタ!$B$6:$B$105,0)),0))</f>
        <v>0.915625</v>
      </c>
      <c r="U6" s="61"/>
      <c r="V6" s="61"/>
      <c r="W6" s="61"/>
    </row>
    <row r="7" customFormat="false" ht="15" hidden="false" customHeight="false" outlineLevel="0" collapsed="false">
      <c r="B7" s="3" t="str">
        <f aca="false">IF($B$5=0,"すべての商品が発注サイクルを越える在庫を持っています。","うち "&amp;COUNTIF(②発注数を決める!$G$10:$G$409,"今日が期限")&amp;"品目は今日発注しないとリードタイムに間に合いません。 "&amp;COUNTIF(②発注数を決める!$G$10:$G$409,"要発注")&amp;"品目は次の発注サイクル（"&amp;'設定（最初に1回）'!$C$13&amp;"日）内に在庫が切れます。")</f>
        <v>うち 36品目は今日発注しないとリードタイムに間に合いません。 9品目は次の発注サイクル（7日）内に在庫が切れます。</v>
      </c>
      <c r="L7" s="62" t="str">
        <f aca="false">IF(IFERROR(INDEX(定数マスタ!$I$6:$I$105,MATCH('設定（最初に1回）'!$C$4,定数マスタ!$B$6:$B$105,0)),0)=0,"定数マスタ⑤に設備を登録してください",(SUMIF(発注計算!$AD$6:$AD$405,"常温",発注計算!$AE$6:$AE$405)+SUMIF(発注計算!$AD$6:$AD$405,"常温",②発注数を決める!$J$10:$J$409))&amp;" / "&amp;IFERROR(INDEX(定数マスタ!$I$6:$I$105,MATCH('設定（最初に1回）'!$C$4,定数マスタ!$B$6:$B$105,0)),0)&amp;"ケース")</f>
        <v>1619 / 2400ケース</v>
      </c>
      <c r="M7" s="62"/>
      <c r="N7" s="62"/>
      <c r="O7" s="62"/>
      <c r="P7" s="62" t="str">
        <f aca="false">IF(IFERROR(INDEX(定数マスタ!$J$6:$J$105,MATCH('設定（最初に1回）'!$C$4,定数マスタ!$B$6:$B$105,0)),0)=0,"定数マスタ⑤に設備を登録してください",(SUMIF(発注計算!$AD$6:$AD$405,"冷蔵",発注計算!$AE$6:$AE$405)+SUMIF(発注計算!$AD$6:$AD$405,"冷蔵",②発注数を決める!$J$10:$J$409))&amp;" / "&amp;IFERROR(INDEX(定数マスタ!$J$6:$J$105,MATCH('設定（最初に1回）'!$C$4,定数マスタ!$B$6:$B$105,0)),0)&amp;"ケース")</f>
        <v>517 / 720ケース</v>
      </c>
      <c r="Q7" s="62"/>
      <c r="R7" s="62"/>
      <c r="S7" s="62"/>
      <c r="T7" s="62" t="str">
        <f aca="false">IF(IFERROR(INDEX(定数マスタ!$K$6:$K$105,MATCH('設定（最初に1回）'!$C$4,定数マスタ!$B$6:$B$105,0)),0)=0,"定数マスタ⑤に設備を登録してください",(SUMIF(発注計算!$AD$6:$AD$405,"冷凍",発注計算!$AE$6:$AE$405)+SUMIF(発注計算!$AD$6:$AD$405,"冷凍",②発注数を決める!$J$10:$J$409))&amp;" / "&amp;IFERROR(INDEX(定数マスタ!$K$6:$K$105,MATCH('設定（最初に1回）'!$C$4,定数マスタ!$B$6:$B$105,0)),0)&amp;"ケース")</f>
        <v>293 / 320ケース</v>
      </c>
      <c r="U7" s="62"/>
      <c r="V7" s="62"/>
      <c r="W7" s="62"/>
    </row>
    <row r="8" customFormat="false" ht="15" hidden="false" customHeight="false" outlineLevel="0" collapsed="false">
      <c r="B8" s="63" t="s">
        <v>502</v>
      </c>
      <c r="C8" s="63" t="s">
        <v>502</v>
      </c>
      <c r="D8" s="63" t="s">
        <v>502</v>
      </c>
      <c r="E8" s="63" t="s">
        <v>502</v>
      </c>
      <c r="F8" s="63" t="s">
        <v>502</v>
      </c>
      <c r="G8" s="63" t="s">
        <v>502</v>
      </c>
      <c r="H8" s="63" t="s">
        <v>502</v>
      </c>
      <c r="I8" s="63" t="s">
        <v>502</v>
      </c>
      <c r="J8" s="63" t="s">
        <v>503</v>
      </c>
      <c r="K8" s="63" t="s">
        <v>502</v>
      </c>
      <c r="L8" s="64" t="n">
        <v>1</v>
      </c>
      <c r="M8" s="64" t="n">
        <v>2</v>
      </c>
      <c r="N8" s="64" t="n">
        <v>3</v>
      </c>
      <c r="O8" s="64" t="n">
        <v>4</v>
      </c>
      <c r="P8" s="64" t="n">
        <v>5</v>
      </c>
      <c r="Q8" s="64" t="n">
        <v>6</v>
      </c>
      <c r="R8" s="64" t="n">
        <v>7</v>
      </c>
      <c r="S8" s="64" t="n">
        <v>8</v>
      </c>
      <c r="T8" s="64" t="n">
        <v>9</v>
      </c>
      <c r="U8" s="64" t="n">
        <v>10</v>
      </c>
      <c r="V8" s="64" t="n">
        <v>11</v>
      </c>
      <c r="W8" s="64" t="n">
        <v>12</v>
      </c>
      <c r="X8" s="64" t="n">
        <v>13</v>
      </c>
      <c r="Y8" s="64" t="n">
        <v>14</v>
      </c>
    </row>
    <row r="9" customFormat="false" ht="15" hidden="false" customHeight="false" outlineLevel="0" collapsed="false">
      <c r="B9" s="32" t="s">
        <v>504</v>
      </c>
      <c r="C9" s="18" t="s">
        <v>160</v>
      </c>
      <c r="D9" s="18" t="s">
        <v>505</v>
      </c>
      <c r="E9" s="18" t="s">
        <v>506</v>
      </c>
      <c r="F9" s="18" t="s">
        <v>507</v>
      </c>
      <c r="G9" s="18" t="s">
        <v>508</v>
      </c>
      <c r="H9" s="18" t="s">
        <v>509</v>
      </c>
      <c r="I9" s="18" t="s">
        <v>510</v>
      </c>
      <c r="J9" s="18" t="s">
        <v>511</v>
      </c>
      <c r="K9" s="18" t="s">
        <v>512</v>
      </c>
      <c r="L9" s="65" t="n">
        <f aca="false">IF('設定（最初に1回）'!$C$6="","",'設定（最初に1回）'!$C$6+0)</f>
        <v>46143</v>
      </c>
      <c r="M9" s="65" t="n">
        <f aca="false">IF('設定（最初に1回）'!$C$6="","",'設定（最初に1回）'!$C$6+1)</f>
        <v>46144</v>
      </c>
      <c r="N9" s="65" t="n">
        <f aca="false">IF('設定（最初に1回）'!$C$6="","",'設定（最初に1回）'!$C$6+2)</f>
        <v>46145</v>
      </c>
      <c r="O9" s="65" t="n">
        <f aca="false">IF('設定（最初に1回）'!$C$6="","",'設定（最初に1回）'!$C$6+3)</f>
        <v>46146</v>
      </c>
      <c r="P9" s="65" t="n">
        <f aca="false">IF('設定（最初に1回）'!$C$6="","",'設定（最初に1回）'!$C$6+4)</f>
        <v>46147</v>
      </c>
      <c r="Q9" s="65" t="n">
        <f aca="false">IF('設定（最初に1回）'!$C$6="","",'設定（最初に1回）'!$C$6+5)</f>
        <v>46148</v>
      </c>
      <c r="R9" s="65" t="n">
        <f aca="false">IF('設定（最初に1回）'!$C$6="","",'設定（最初に1回）'!$C$6+6)</f>
        <v>46149</v>
      </c>
      <c r="S9" s="65" t="n">
        <f aca="false">IF('設定（最初に1回）'!$C$6="","",'設定（最初に1回）'!$C$6+7)</f>
        <v>46150</v>
      </c>
      <c r="T9" s="65" t="n">
        <f aca="false">IF('設定（最初に1回）'!$C$6="","",'設定（最初に1回）'!$C$6+8)</f>
        <v>46151</v>
      </c>
      <c r="U9" s="65" t="n">
        <f aca="false">IF('設定（最初に1回）'!$C$6="","",'設定（最初に1回）'!$C$6+9)</f>
        <v>46152</v>
      </c>
      <c r="V9" s="65" t="n">
        <f aca="false">IF('設定（最初に1回）'!$C$6="","",'設定（最初に1回）'!$C$6+10)</f>
        <v>46153</v>
      </c>
      <c r="W9" s="65" t="n">
        <f aca="false">IF('設定（最初に1回）'!$C$6="","",'設定（最初に1回）'!$C$6+11)</f>
        <v>46154</v>
      </c>
      <c r="X9" s="65" t="n">
        <f aca="false">IF('設定（最初に1回）'!$C$6="","",'設定（最初に1回）'!$C$6+12)</f>
        <v>46155</v>
      </c>
      <c r="Y9" s="65" t="n">
        <f aca="false">IF('設定（最初に1回）'!$C$6="","",'設定（最初に1回）'!$C$6+13)</f>
        <v>46156</v>
      </c>
      <c r="Z9" s="31" t="s">
        <v>513</v>
      </c>
    </row>
    <row r="10" customFormat="false" ht="16.5" hidden="false" customHeight="true" outlineLevel="0" collapsed="false">
      <c r="B10" s="66" t="n">
        <v>1</v>
      </c>
      <c r="C10" s="66" t="str">
        <f aca="false">IF(発注計算!$C6="","",発注計算!$D6)</f>
        <v>プレミアムモルツ　２０Ｌ</v>
      </c>
      <c r="D10" s="66" t="str">
        <f aca="false">IF(発注計算!$C6="","",発注計算!$E6)</f>
        <v>アルコール</v>
      </c>
      <c r="E10" s="67" t="n">
        <f aca="false">IF(発注計算!$C6="","",発注計算!$T6)</f>
        <v>2.34615384615385</v>
      </c>
      <c r="F10" s="67" t="n">
        <f aca="false">IF(ISNUMBER($E10),$E10-N(発注計算!$I6),"")</f>
        <v>0.346153846153846</v>
      </c>
      <c r="G10" s="68" t="str">
        <f aca="false">IF(発注計算!$C6="","",IF(NOT(ISNUMBER($F10)),"データなし",IF($F10&lt;=0,"今日が期限",IF($F10&lt;=N(発注計算!$AG6),"要発注","余裕"))))</f>
        <v>要発注</v>
      </c>
      <c r="H10" s="67" t="n">
        <f aca="false">IF(OR(発注計算!$C6="",NOT(ISNUMBER(発注計算!$S6)),発注計算!$S6&lt;=0),"",(発注計算!$K6+N($J10)*N(発注計算!$G6))/発注計算!$S6)</f>
        <v>5.86538461538462</v>
      </c>
      <c r="I10" s="69" t="n">
        <f aca="false">IF(発注計算!$C6="","",発注計算!$Y6)</f>
        <v>19</v>
      </c>
      <c r="J10" s="70" t="n">
        <v>6</v>
      </c>
      <c r="K10" s="71" t="n">
        <f aca="false">IF($J10="","",N($J10)*N(発注計算!$H6))</f>
        <v>67800</v>
      </c>
      <c r="L10" s="72"/>
      <c r="M10" s="72"/>
      <c r="N10" s="72"/>
      <c r="O10" s="72"/>
      <c r="P10" s="72"/>
      <c r="Q10" s="72"/>
      <c r="R10" s="72"/>
      <c r="S10" s="72"/>
      <c r="T10" s="72"/>
      <c r="U10" s="72"/>
      <c r="V10" s="72"/>
      <c r="W10" s="72"/>
      <c r="X10" s="72"/>
      <c r="Y10" s="72"/>
      <c r="Z10" s="31" t="n">
        <f aca="false">IF(OR(N($J10)&lt;=0,AND(③発注書!$C$5&lt;&gt;"すべて",発注計算!$F6&lt;&gt;③発注書!$C$5)),N(Z9),N(Z9)+1)</f>
        <v>1</v>
      </c>
    </row>
    <row r="11" customFormat="false" ht="16.5" hidden="false" customHeight="true" outlineLevel="0" collapsed="false">
      <c r="B11" s="66" t="n">
        <v>2</v>
      </c>
      <c r="C11" s="66" t="str">
        <f aca="false">IF(発注計算!$C7="","",発注計算!$D7)</f>
        <v>ミオネット　ベビーボトル２００ｍ</v>
      </c>
      <c r="D11" s="66" t="str">
        <f aca="false">IF(発注計算!$C7="","",発注計算!$E7)</f>
        <v>アルコール</v>
      </c>
      <c r="E11" s="67" t="n">
        <f aca="false">IF(発注計算!$C7="","",発注計算!$T7)</f>
        <v>0</v>
      </c>
      <c r="F11" s="67" t="n">
        <f aca="false">IF(ISNUMBER($E11),$E11-N(発注計算!$I7),"")</f>
        <v>-3</v>
      </c>
      <c r="G11" s="68" t="str">
        <f aca="false">IF(発注計算!$C7="","",IF(NOT(ISNUMBER($F11)),"データなし",IF($F11&lt;=0,"今日が期限",IF($F11&lt;=N(発注計算!$AG7),"要発注","余裕"))))</f>
        <v>今日が期限</v>
      </c>
      <c r="H11" s="67" t="n">
        <f aca="false">IF(OR(発注計算!$C7="",NOT(ISNUMBER(発注計算!$S7)),発注計算!$S7&lt;=0),"",(発注計算!$K7+N($J11)*N(発注計算!$G7))/発注計算!$S7)</f>
        <v>2196</v>
      </c>
      <c r="I11" s="69" t="n">
        <f aca="false">IF(発注計算!$C7="","",発注計算!$Y7)</f>
        <v>1</v>
      </c>
      <c r="J11" s="70" t="n">
        <v>3</v>
      </c>
      <c r="K11" s="71" t="n">
        <f aca="false">IF($J11="","",N($J11)*N(発注計算!$H7))</f>
        <v>1761</v>
      </c>
      <c r="L11" s="72"/>
      <c r="M11" s="72"/>
      <c r="N11" s="72"/>
      <c r="O11" s="72"/>
      <c r="P11" s="72"/>
      <c r="Q11" s="72"/>
      <c r="R11" s="72"/>
      <c r="S11" s="72"/>
      <c r="T11" s="72"/>
      <c r="U11" s="72"/>
      <c r="V11" s="72"/>
      <c r="W11" s="72"/>
      <c r="X11" s="72"/>
      <c r="Y11" s="72"/>
      <c r="Z11" s="31" t="n">
        <f aca="false">IF(OR(N($J11)&lt;=0,AND(③発注書!$C$5&lt;&gt;"すべて",発注計算!$F7&lt;&gt;③発注書!$C$5)),N(Z10),N(Z10)+1)</f>
        <v>2</v>
      </c>
    </row>
    <row r="12" customFormat="false" ht="16.5" hidden="false" customHeight="true" outlineLevel="0" collapsed="false">
      <c r="B12" s="66" t="n">
        <v>3</v>
      </c>
      <c r="C12" s="66" t="str">
        <f aca="false">IF(発注計算!$C8="","",発注計算!$D8)</f>
        <v>フォルタン　リトラル　赤</v>
      </c>
      <c r="D12" s="66" t="str">
        <f aca="false">IF(発注計算!$C8="","",発注計算!$E8)</f>
        <v>アルコール</v>
      </c>
      <c r="E12" s="67" t="n">
        <f aca="false">IF(発注計算!$C8="","",発注計算!$T8)</f>
        <v>13.8636363636364</v>
      </c>
      <c r="F12" s="67" t="n">
        <f aca="false">IF(ISNUMBER($E12),$E12-N(発注計算!$I8),"")</f>
        <v>10.8636363636364</v>
      </c>
      <c r="G12" s="68" t="str">
        <f aca="false">IF(発注計算!$C8="","",IF(NOT(ISNUMBER($F12)),"データなし",IF($F12&lt;=0,"今日が期限",IF($F12&lt;=N(発注計算!$AG8),"要発注","余裕"))))</f>
        <v>余裕</v>
      </c>
      <c r="H12" s="67" t="n">
        <f aca="false">IF(OR(発注計算!$C8="",NOT(ISNUMBER(発注計算!$S8)),発注計算!$S8&lt;=0),"",(発注計算!$K8+N($J12)*N(発注計算!$G8))/発注計算!$S8)</f>
        <v>679.318181818182</v>
      </c>
      <c r="I12" s="69" t="n">
        <f aca="false">IF(発注計算!$C8="","",発注計算!$Y8)</f>
        <v>5</v>
      </c>
      <c r="J12" s="70" t="n">
        <v>10</v>
      </c>
      <c r="K12" s="71" t="n">
        <f aca="false">IF($J12="","",N($J12)*N(発注計算!$H8))</f>
        <v>3570</v>
      </c>
      <c r="L12" s="72"/>
      <c r="M12" s="72"/>
      <c r="N12" s="72"/>
      <c r="O12" s="72"/>
      <c r="P12" s="72"/>
      <c r="Q12" s="72"/>
      <c r="R12" s="72"/>
      <c r="S12" s="72"/>
      <c r="T12" s="72"/>
      <c r="U12" s="72"/>
      <c r="V12" s="72"/>
      <c r="W12" s="72"/>
      <c r="X12" s="72"/>
      <c r="Y12" s="72"/>
      <c r="Z12" s="31" t="n">
        <f aca="false">IF(OR(N($J12)&lt;=0,AND(③発注書!$C$5&lt;&gt;"すべて",発注計算!$F8&lt;&gt;③発注書!$C$5)),N(Z11),N(Z11)+1)</f>
        <v>3</v>
      </c>
    </row>
    <row r="13" customFormat="false" ht="16.5" hidden="false" customHeight="true" outlineLevel="0" collapsed="false">
      <c r="B13" s="66" t="n">
        <v>4</v>
      </c>
      <c r="C13" s="66" t="str">
        <f aca="false">IF(発注計算!$C9="","",発注計算!$D9)</f>
        <v>フォルタン　リトラル　白</v>
      </c>
      <c r="D13" s="66" t="str">
        <f aca="false">IF(発注計算!$C9="","",発注計算!$E9)</f>
        <v>アルコール</v>
      </c>
      <c r="E13" s="67" t="n">
        <f aca="false">IF(発注計算!$C9="","",発注計算!$T9)</f>
        <v>2.34615384615385</v>
      </c>
      <c r="F13" s="67" t="n">
        <f aca="false">IF(ISNUMBER($E13),$E13-N(発注計算!$I9),"")</f>
        <v>-0.653846153846154</v>
      </c>
      <c r="G13" s="68" t="str">
        <f aca="false">IF(発注計算!$C9="","",IF(NOT(ISNUMBER($F13)),"データなし",IF($F13&lt;=0,"今日が期限",IF($F13&lt;=N(発注計算!$AG9),"要発注","余裕"))))</f>
        <v>今日が期限</v>
      </c>
      <c r="H13" s="67" t="n">
        <f aca="false">IF(OR(発注計算!$C9="",NOT(ISNUMBER(発注計算!$S9)),発注計算!$S9&lt;=0),"",(発注計算!$K9+N($J13)*N(発注計算!$G9))/発注計算!$S9)</f>
        <v>2.34615384615385</v>
      </c>
      <c r="I13" s="69" t="n">
        <f aca="false">IF(発注計算!$C9="","",発注計算!$Y9)</f>
        <v>2</v>
      </c>
      <c r="J13" s="70"/>
      <c r="K13" s="71" t="str">
        <f aca="false">IF($J13="","",N($J13)*N(発注計算!$H9))</f>
        <v/>
      </c>
      <c r="L13" s="72"/>
      <c r="M13" s="72"/>
      <c r="N13" s="72"/>
      <c r="O13" s="72"/>
      <c r="P13" s="72"/>
      <c r="Q13" s="72"/>
      <c r="R13" s="72"/>
      <c r="S13" s="72"/>
      <c r="T13" s="72"/>
      <c r="U13" s="72"/>
      <c r="V13" s="72"/>
      <c r="W13" s="72"/>
      <c r="X13" s="72"/>
      <c r="Y13" s="72"/>
      <c r="Z13" s="31" t="n">
        <f aca="false">IF(OR(N($J13)&lt;=0,AND(③発注書!$C$5&lt;&gt;"すべて",発注計算!$F9&lt;&gt;③発注書!$C$5)),N(Z12),N(Z12)+1)</f>
        <v>3</v>
      </c>
    </row>
    <row r="14" customFormat="false" ht="16.5" hidden="false" customHeight="true" outlineLevel="0" collapsed="false">
      <c r="B14" s="66" t="n">
        <v>5</v>
      </c>
      <c r="C14" s="66" t="str">
        <f aca="false">IF(発注計算!$C10="","",発注計算!$D10)</f>
        <v>フレシネコルドンネグロ２００ｍｌ</v>
      </c>
      <c r="D14" s="66" t="str">
        <f aca="false">IF(発注計算!$C10="","",発注計算!$E10)</f>
        <v>アルコール</v>
      </c>
      <c r="E14" s="67" t="n">
        <f aca="false">IF(発注計算!$C10="","",発注計算!$T10)</f>
        <v>20.2326732673267</v>
      </c>
      <c r="F14" s="67" t="n">
        <f aca="false">IF(ISNUMBER($E14),$E14-N(発注計算!$I10),"")</f>
        <v>16.2326732673267</v>
      </c>
      <c r="G14" s="68" t="str">
        <f aca="false">IF(発注計算!$C10="","",IF(NOT(ISNUMBER($F14)),"データなし",IF($F14&lt;=0,"今日が期限",IF($F14&lt;=N(発注計算!$AG10),"要発注","余裕"))))</f>
        <v>余裕</v>
      </c>
      <c r="H14" s="67" t="n">
        <f aca="false">IF(OR(発注計算!$C10="",NOT(ISNUMBER(発注計算!$S10)),発注計算!$S10&lt;=0),"",(発注計算!$K10+N($J14)*N(発注計算!$G10))/発注計算!$S10)</f>
        <v>49.2227722772277</v>
      </c>
      <c r="I14" s="69" t="n">
        <f aca="false">IF(発注計算!$C10="","",発注計算!$Y10)</f>
        <v>0</v>
      </c>
      <c r="J14" s="70" t="n">
        <v>4</v>
      </c>
      <c r="K14" s="71" t="n">
        <f aca="false">IF($J14="","",N($J14)*N(発注計算!$H10))</f>
        <v>2340</v>
      </c>
      <c r="L14" s="72"/>
      <c r="M14" s="72"/>
      <c r="N14" s="72"/>
      <c r="O14" s="72"/>
      <c r="P14" s="72"/>
      <c r="Q14" s="72"/>
      <c r="R14" s="72"/>
      <c r="S14" s="72"/>
      <c r="T14" s="72"/>
      <c r="U14" s="72"/>
      <c r="V14" s="72"/>
      <c r="W14" s="72"/>
      <c r="X14" s="72"/>
      <c r="Y14" s="72"/>
      <c r="Z14" s="31" t="n">
        <f aca="false">IF(OR(N($J14)&lt;=0,AND(③発注書!$C$5&lt;&gt;"すべて",発注計算!$F10&lt;&gt;③発注書!$C$5)),N(Z13),N(Z13)+1)</f>
        <v>4</v>
      </c>
    </row>
    <row r="15" customFormat="false" ht="16.5" hidden="false" customHeight="true" outlineLevel="0" collapsed="false">
      <c r="B15" s="66" t="n">
        <v>6</v>
      </c>
      <c r="C15" s="66" t="str">
        <f aca="false">IF(発注計算!$C11="","",発注計算!$D11)</f>
        <v>サントリー角ハイボール</v>
      </c>
      <c r="D15" s="66" t="str">
        <f aca="false">IF(発注計算!$C11="","",発注計算!$E11)</f>
        <v>アルコール</v>
      </c>
      <c r="E15" s="67" t="n">
        <f aca="false">IF(発注計算!$C11="","",発注計算!$T11)</f>
        <v>10.6442953020134</v>
      </c>
      <c r="F15" s="67" t="n">
        <f aca="false">IF(ISNUMBER($E15),$E15-N(発注計算!$I11),"")</f>
        <v>7.64429530201342</v>
      </c>
      <c r="G15" s="68" t="str">
        <f aca="false">IF(発注計算!$C11="","",IF(NOT(ISNUMBER($F15)),"データなし",IF($F15&lt;=0,"今日が期限",IF($F15&lt;=N(発注計算!$AG11),"要発注","余裕"))))</f>
        <v>余裕</v>
      </c>
      <c r="H15" s="67" t="n">
        <f aca="false">IF(OR(発注計算!$C11="",NOT(ISNUMBER(発注計算!$S11)),発注計算!$S11&lt;=0),"",(発注計算!$K11+N($J15)*N(発注計算!$G11))/発注計算!$S11)</f>
        <v>10.6442953020134</v>
      </c>
      <c r="I15" s="69" t="n">
        <f aca="false">IF(発注計算!$C11="","",発注計算!$Y11)</f>
        <v>2</v>
      </c>
      <c r="J15" s="70"/>
      <c r="K15" s="71" t="str">
        <f aca="false">IF($J15="","",N($J15)*N(発注計算!$H11))</f>
        <v/>
      </c>
      <c r="L15" s="72"/>
      <c r="M15" s="72"/>
      <c r="N15" s="72"/>
      <c r="O15" s="72"/>
      <c r="P15" s="72"/>
      <c r="Q15" s="72"/>
      <c r="R15" s="72"/>
      <c r="S15" s="72"/>
      <c r="T15" s="72"/>
      <c r="U15" s="72"/>
      <c r="V15" s="72"/>
      <c r="W15" s="72"/>
      <c r="X15" s="72"/>
      <c r="Y15" s="72"/>
      <c r="Z15" s="31" t="n">
        <f aca="false">IF(OR(N($J15)&lt;=0,AND(③発注書!$C$5&lt;&gt;"すべて",発注計算!$F11&lt;&gt;③発注書!$C$5)),N(Z14),N(Z14)+1)</f>
        <v>4</v>
      </c>
    </row>
    <row r="16" customFormat="false" ht="16.5" hidden="false" customHeight="true" outlineLevel="0" collapsed="false">
      <c r="B16" s="66" t="n">
        <v>7</v>
      </c>
      <c r="C16" s="66" t="str">
        <f aca="false">IF(発注計算!$C12="","",発注計算!$D12)</f>
        <v>アイスティシロップ</v>
      </c>
      <c r="D16" s="66" t="str">
        <f aca="false">IF(発注計算!$C12="","",発注計算!$E12)</f>
        <v>コールド</v>
      </c>
      <c r="E16" s="67" t="n">
        <f aca="false">IF(発注計算!$C12="","",発注計算!$T12)</f>
        <v>1.27083333333333</v>
      </c>
      <c r="F16" s="67" t="n">
        <f aca="false">IF(ISNUMBER($E16),$E16-N(発注計算!$I12),"")</f>
        <v>-0.729166666666667</v>
      </c>
      <c r="G16" s="68" t="str">
        <f aca="false">IF(発注計算!$C12="","",IF(NOT(ISNUMBER($F16)),"データなし",IF($F16&lt;=0,"今日が期限",IF($F16&lt;=N(発注計算!$AG12),"要発注","余裕"))))</f>
        <v>今日が期限</v>
      </c>
      <c r="H16" s="67" t="n">
        <f aca="false">IF(OR(発注計算!$C12="",NOT(ISNUMBER(発注計算!$S12)),発注計算!$S12&lt;=0),"",(発注計算!$K12+N($J16)*N(発注計算!$G12))/発注計算!$S12)</f>
        <v>1.27083333333333</v>
      </c>
      <c r="I16" s="69" t="n">
        <f aca="false">IF(発注計算!$C12="","",発注計算!$Y12)</f>
        <v>12</v>
      </c>
      <c r="J16" s="70"/>
      <c r="K16" s="71" t="str">
        <f aca="false">IF($J16="","",N($J16)*N(発注計算!$H12))</f>
        <v/>
      </c>
      <c r="L16" s="72"/>
      <c r="M16" s="72"/>
      <c r="N16" s="72"/>
      <c r="O16" s="72"/>
      <c r="P16" s="72"/>
      <c r="Q16" s="72"/>
      <c r="R16" s="72"/>
      <c r="S16" s="72"/>
      <c r="T16" s="72"/>
      <c r="U16" s="72"/>
      <c r="V16" s="72"/>
      <c r="W16" s="72"/>
      <c r="X16" s="72"/>
      <c r="Y16" s="72"/>
      <c r="Z16" s="31" t="n">
        <f aca="false">IF(OR(N($J16)&lt;=0,AND(③発注書!$C$5&lt;&gt;"すべて",発注計算!$F12&lt;&gt;③発注書!$C$5)),N(Z15),N(Z15)+1)</f>
        <v>4</v>
      </c>
    </row>
    <row r="17" customFormat="false" ht="16.5" hidden="false" customHeight="true" outlineLevel="0" collapsed="false">
      <c r="B17" s="66" t="n">
        <v>8</v>
      </c>
      <c r="C17" s="66" t="str">
        <f aca="false">IF(発注計算!$C13="","",発注計算!$D13)</f>
        <v>烏龍茶１０倍シロップ</v>
      </c>
      <c r="D17" s="66" t="str">
        <f aca="false">IF(発注計算!$C13="","",発注計算!$E13)</f>
        <v>コールド</v>
      </c>
      <c r="E17" s="67" t="n">
        <f aca="false">IF(発注計算!$C13="","",発注計算!$T13)</f>
        <v>1.79411764705882</v>
      </c>
      <c r="F17" s="67" t="n">
        <f aca="false">IF(ISNUMBER($E17),$E17-N(発注計算!$I13),"")</f>
        <v>-3.20588235294118</v>
      </c>
      <c r="G17" s="68" t="str">
        <f aca="false">IF(発注計算!$C13="","",IF(NOT(ISNUMBER($F17)),"データなし",IF($F17&lt;=0,"今日が期限",IF($F17&lt;=N(発注計算!$AG13),"要発注","余裕"))))</f>
        <v>今日が期限</v>
      </c>
      <c r="H17" s="67" t="n">
        <f aca="false">IF(OR(発注計算!$C13="",NOT(ISNUMBER(発注計算!$S13)),発注計算!$S13&lt;=0),"",(発注計算!$K13+N($J17)*N(発注計算!$G13))/発注計算!$S13)</f>
        <v>8.97058823529412</v>
      </c>
      <c r="I17" s="69" t="n">
        <f aca="false">IF(発注計算!$C13="","",発注計算!$Y13)</f>
        <v>12</v>
      </c>
      <c r="J17" s="70" t="n">
        <v>8</v>
      </c>
      <c r="K17" s="71" t="n">
        <f aca="false">IF($J17="","",N($J17)*N(発注計算!$H13))</f>
        <v>35056</v>
      </c>
      <c r="L17" s="72"/>
      <c r="M17" s="72"/>
      <c r="N17" s="72"/>
      <c r="O17" s="72"/>
      <c r="P17" s="72"/>
      <c r="Q17" s="72"/>
      <c r="R17" s="72"/>
      <c r="S17" s="72"/>
      <c r="T17" s="72"/>
      <c r="U17" s="72"/>
      <c r="V17" s="72"/>
      <c r="W17" s="72"/>
      <c r="X17" s="72"/>
      <c r="Y17" s="72"/>
      <c r="Z17" s="31" t="n">
        <f aca="false">IF(OR(N($J17)&lt;=0,AND(③発注書!$C$5&lt;&gt;"すべて",発注計算!$F13&lt;&gt;③発注書!$C$5)),N(Z16),N(Z16)+1)</f>
        <v>5</v>
      </c>
    </row>
    <row r="18" customFormat="false" ht="16.5" hidden="false" customHeight="true" outlineLevel="0" collapsed="false">
      <c r="B18" s="66" t="n">
        <v>9</v>
      </c>
      <c r="C18" s="66" t="str">
        <f aca="false">IF(発注計算!$C14="","",発注計算!$D14)</f>
        <v>ミニッツメイドオレンジＦＫＡ</v>
      </c>
      <c r="D18" s="66" t="str">
        <f aca="false">IF(発注計算!$C14="","",発注計算!$E14)</f>
        <v>コールド</v>
      </c>
      <c r="E18" s="67" t="n">
        <f aca="false">IF(発注計算!$C14="","",発注計算!$T14)</f>
        <v>0</v>
      </c>
      <c r="F18" s="67" t="n">
        <f aca="false">IF(ISNUMBER($E18),$E18-N(発注計算!$I14),"")</f>
        <v>-3</v>
      </c>
      <c r="G18" s="68" t="str">
        <f aca="false">IF(発注計算!$C14="","",IF(NOT(ISNUMBER($F18)),"データなし",IF($F18&lt;=0,"今日が期限",IF($F18&lt;=N(発注計算!$AG14),"要発注","余裕"))))</f>
        <v>今日が期限</v>
      </c>
      <c r="H18" s="67" t="n">
        <f aca="false">IF(OR(発注計算!$C14="",NOT(ISNUMBER(発注計算!$S14)),発注計算!$S14&lt;=0),"",(発注計算!$K14+N($J18)*N(発注計算!$G14))/発注計算!$S14)</f>
        <v>0</v>
      </c>
      <c r="I18" s="69" t="n">
        <f aca="false">IF(発注計算!$C14="","",発注計算!$Y14)</f>
        <v>2</v>
      </c>
      <c r="J18" s="70"/>
      <c r="K18" s="71" t="str">
        <f aca="false">IF($J18="","",N($J18)*N(発注計算!$H14))</f>
        <v/>
      </c>
      <c r="L18" s="72"/>
      <c r="M18" s="72"/>
      <c r="N18" s="72"/>
      <c r="O18" s="72"/>
      <c r="P18" s="72"/>
      <c r="Q18" s="72"/>
      <c r="R18" s="72"/>
      <c r="S18" s="72"/>
      <c r="T18" s="72"/>
      <c r="U18" s="72"/>
      <c r="V18" s="72"/>
      <c r="W18" s="72"/>
      <c r="X18" s="72"/>
      <c r="Y18" s="72"/>
      <c r="Z18" s="31" t="n">
        <f aca="false">IF(OR(N($J18)&lt;=0,AND(③発注書!$C$5&lt;&gt;"すべて",発注計算!$F14&lt;&gt;③発注書!$C$5)),N(Z17),N(Z17)+1)</f>
        <v>5</v>
      </c>
    </row>
    <row r="19" customFormat="false" ht="16.5" hidden="false" customHeight="true" outlineLevel="0" collapsed="false">
      <c r="B19" s="66" t="n">
        <v>10</v>
      </c>
      <c r="C19" s="66" t="str">
        <f aca="false">IF(発注計算!$C15="","",発注計算!$D15)</f>
        <v>ミニッツメイドアップル</v>
      </c>
      <c r="D19" s="66" t="str">
        <f aca="false">IF(発注計算!$C15="","",発注計算!$E15)</f>
        <v>コールド</v>
      </c>
      <c r="E19" s="67" t="n">
        <f aca="false">IF(発注計算!$C15="","",発注計算!$T15)</f>
        <v>61</v>
      </c>
      <c r="F19" s="67" t="n">
        <f aca="false">IF(ISNUMBER($E19),$E19-N(発注計算!$I15),"")</f>
        <v>58</v>
      </c>
      <c r="G19" s="68" t="str">
        <f aca="false">IF(発注計算!$C15="","",IF(NOT(ISNUMBER($F19)),"データなし",IF($F19&lt;=0,"今日が期限",IF($F19&lt;=N(発注計算!$AG15),"要発注","余裕"))))</f>
        <v>余裕</v>
      </c>
      <c r="H19" s="67" t="n">
        <f aca="false">IF(OR(発注計算!$C15="",NOT(ISNUMBER(発注計算!$S15)),発注計算!$S15&lt;=0),"",(発注計算!$K15+N($J19)*N(発注計算!$G15))/発注計算!$S15)</f>
        <v>61</v>
      </c>
      <c r="I19" s="69" t="n">
        <f aca="false">IF(発注計算!$C15="","",発注計算!$Y15)</f>
        <v>0</v>
      </c>
      <c r="J19" s="70"/>
      <c r="K19" s="71" t="str">
        <f aca="false">IF($J19="","",N($J19)*N(発注計算!$H15))</f>
        <v/>
      </c>
      <c r="L19" s="72"/>
      <c r="M19" s="72"/>
      <c r="N19" s="72"/>
      <c r="O19" s="72"/>
      <c r="P19" s="72"/>
      <c r="Q19" s="72"/>
      <c r="R19" s="72"/>
      <c r="S19" s="72"/>
      <c r="T19" s="72"/>
      <c r="U19" s="72"/>
      <c r="V19" s="72"/>
      <c r="W19" s="72"/>
      <c r="X19" s="72"/>
      <c r="Y19" s="72"/>
      <c r="Z19" s="31" t="n">
        <f aca="false">IF(OR(N($J19)&lt;=0,AND(③発注書!$C$5&lt;&gt;"すべて",発注計算!$F15&lt;&gt;③発注書!$C$5)),N(Z18),N(Z18)+1)</f>
        <v>5</v>
      </c>
    </row>
    <row r="20" customFormat="false" ht="16.5" hidden="false" customHeight="true" outlineLevel="0" collapsed="false">
      <c r="B20" s="66" t="n">
        <v>11</v>
      </c>
      <c r="C20" s="66" t="str">
        <f aca="false">IF(発注計算!$C16="","",発注計算!$D16)</f>
        <v>ＰＸＴ爽健美茶１Ｇ</v>
      </c>
      <c r="D20" s="66" t="str">
        <f aca="false">IF(発注計算!$C16="","",発注計算!$E16)</f>
        <v>コールド</v>
      </c>
      <c r="E20" s="67" t="n">
        <f aca="false">IF(発注計算!$C16="","",発注計算!$T16)</f>
        <v>42.4095238095238</v>
      </c>
      <c r="F20" s="67" t="n">
        <f aca="false">IF(ISNUMBER($E20),$E20-N(発注計算!$I16),"")</f>
        <v>37.4095238095238</v>
      </c>
      <c r="G20" s="68" t="str">
        <f aca="false">IF(発注計算!$C16="","",IF(NOT(ISNUMBER($F20)),"データなし",IF($F20&lt;=0,"今日が期限",IF($F20&lt;=N(発注計算!$AG16),"要発注","余裕"))))</f>
        <v>余裕</v>
      </c>
      <c r="H20" s="67" t="n">
        <f aca="false">IF(OR(発注計算!$C16="",NOT(ISNUMBER(発注計算!$S16)),発注計算!$S16&lt;=0),"",(発注計算!$K16+N($J20)*N(発注計算!$G16))/発注計算!$S16)</f>
        <v>43.5714285714286</v>
      </c>
      <c r="I20" s="69" t="n">
        <f aca="false">IF(発注計算!$C16="","",発注計算!$Y16)</f>
        <v>0</v>
      </c>
      <c r="J20" s="70" t="n">
        <v>2</v>
      </c>
      <c r="K20" s="71" t="n">
        <f aca="false">IF($J20="","",N($J20)*N(発注計算!$H16))</f>
        <v>7512</v>
      </c>
      <c r="L20" s="72"/>
      <c r="M20" s="72"/>
      <c r="N20" s="72"/>
      <c r="O20" s="72"/>
      <c r="P20" s="72"/>
      <c r="Q20" s="72"/>
      <c r="R20" s="72"/>
      <c r="S20" s="72"/>
      <c r="T20" s="72"/>
      <c r="U20" s="72"/>
      <c r="V20" s="72"/>
      <c r="W20" s="72"/>
      <c r="X20" s="72"/>
      <c r="Y20" s="72"/>
      <c r="Z20" s="31" t="n">
        <f aca="false">IF(OR(N($J20)&lt;=0,AND(③発注書!$C$5&lt;&gt;"すべて",発注計算!$F16&lt;&gt;③発注書!$C$5)),N(Z19),N(Z19)+1)</f>
        <v>6</v>
      </c>
    </row>
    <row r="21" customFormat="false" ht="16.5" hidden="false" customHeight="true" outlineLevel="0" collapsed="false">
      <c r="B21" s="66" t="n">
        <v>12</v>
      </c>
      <c r="C21" s="66" t="str">
        <f aca="false">IF(発注計算!$C17="","",発注計算!$D17)</f>
        <v>フラットＢＩＢメロンＳ２．５Ｇ</v>
      </c>
      <c r="D21" s="66" t="str">
        <f aca="false">IF(発注計算!$C17="","",発注計算!$E17)</f>
        <v>コールド</v>
      </c>
      <c r="E21" s="67" t="n">
        <f aca="false">IF(発注計算!$C17="","",発注計算!$T17)</f>
        <v>120.547619047619</v>
      </c>
      <c r="F21" s="67" t="n">
        <f aca="false">IF(ISNUMBER($E21),$E21-N(発注計算!$I17),"")</f>
        <v>113.547619047619</v>
      </c>
      <c r="G21" s="68" t="str">
        <f aca="false">IF(発注計算!$C17="","",IF(NOT(ISNUMBER($F21)),"データなし",IF($F21&lt;=0,"今日が期限",IF($F21&lt;=N(発注計算!$AG17),"要発注","余裕"))))</f>
        <v>余裕</v>
      </c>
      <c r="H21" s="67" t="n">
        <f aca="false">IF(OR(発注計算!$C17="",NOT(ISNUMBER(発注計算!$S17)),発注計算!$S17&lt;=0),"",(発注計算!$K17+N($J21)*N(発注計算!$G17))/発注計算!$S17)</f>
        <v>120.547619047619</v>
      </c>
      <c r="I21" s="69" t="n">
        <f aca="false">IF(発注計算!$C17="","",発注計算!$Y17)</f>
        <v>0</v>
      </c>
      <c r="J21" s="70"/>
      <c r="K21" s="71" t="str">
        <f aca="false">IF($J21="","",N($J21)*N(発注計算!$H17))</f>
        <v/>
      </c>
      <c r="L21" s="72"/>
      <c r="M21" s="72"/>
      <c r="N21" s="72"/>
      <c r="O21" s="72"/>
      <c r="P21" s="72"/>
      <c r="Q21" s="72"/>
      <c r="R21" s="72"/>
      <c r="S21" s="72"/>
      <c r="T21" s="72"/>
      <c r="U21" s="72"/>
      <c r="V21" s="72"/>
      <c r="W21" s="72"/>
      <c r="X21" s="72"/>
      <c r="Y21" s="72"/>
      <c r="Z21" s="31" t="n">
        <f aca="false">IF(OR(N($J21)&lt;=0,AND(③発注書!$C$5&lt;&gt;"すべて",発注計算!$F17&lt;&gt;③発注書!$C$5)),N(Z20),N(Z20)+1)</f>
        <v>6</v>
      </c>
    </row>
    <row r="22" customFormat="false" ht="16.5" hidden="false" customHeight="true" outlineLevel="0" collapsed="false">
      <c r="B22" s="66" t="n">
        <v>13</v>
      </c>
      <c r="C22" s="66" t="str">
        <f aca="false">IF(発注計算!$C18="","",発注計算!$D18)</f>
        <v>フラットＢＩＢコカコーラ２．５Ｇ</v>
      </c>
      <c r="D22" s="66" t="str">
        <f aca="false">IF(発注計算!$C18="","",発注計算!$E18)</f>
        <v>コールド</v>
      </c>
      <c r="E22" s="67" t="n">
        <f aca="false">IF(発注計算!$C18="","",発注計算!$T18)</f>
        <v>76.6046511627907</v>
      </c>
      <c r="F22" s="67" t="n">
        <f aca="false">IF(ISNUMBER($E22),$E22-N(発注計算!$I18),"")</f>
        <v>72.6046511627907</v>
      </c>
      <c r="G22" s="68" t="str">
        <f aca="false">IF(発注計算!$C18="","",IF(NOT(ISNUMBER($F22)),"データなし",IF($F22&lt;=0,"今日が期限",IF($F22&lt;=N(発注計算!$AG18),"要発注","余裕"))))</f>
        <v>余裕</v>
      </c>
      <c r="H22" s="67" t="n">
        <f aca="false">IF(OR(発注計算!$C18="",NOT(ISNUMBER(発注計算!$S18)),発注計算!$S18&lt;=0),"",(発注計算!$K18+N($J22)*N(発注計算!$G18))/発注計算!$S18)</f>
        <v>76.6046511627907</v>
      </c>
      <c r="I22" s="69" t="n">
        <f aca="false">IF(発注計算!$C18="","",発注計算!$Y18)</f>
        <v>0</v>
      </c>
      <c r="J22" s="70"/>
      <c r="K22" s="71" t="str">
        <f aca="false">IF($J22="","",N($J22)*N(発注計算!$H18))</f>
        <v/>
      </c>
      <c r="L22" s="72"/>
      <c r="M22" s="72"/>
      <c r="N22" s="72"/>
      <c r="O22" s="72"/>
      <c r="P22" s="72"/>
      <c r="Q22" s="72"/>
      <c r="R22" s="72"/>
      <c r="S22" s="72"/>
      <c r="T22" s="72"/>
      <c r="U22" s="72"/>
      <c r="V22" s="72"/>
      <c r="W22" s="72"/>
      <c r="X22" s="72"/>
      <c r="Y22" s="72"/>
      <c r="Z22" s="31" t="n">
        <f aca="false">IF(OR(N($J22)&lt;=0,AND(③発注書!$C$5&lt;&gt;"すべて",発注計算!$F18&lt;&gt;③発注書!$C$5)),N(Z21),N(Z21)+1)</f>
        <v>6</v>
      </c>
    </row>
    <row r="23" customFormat="false" ht="16.5" hidden="false" customHeight="true" outlineLevel="0" collapsed="false">
      <c r="B23" s="66" t="n">
        <v>14</v>
      </c>
      <c r="C23" s="66" t="str">
        <f aca="false">IF(発注計算!$C19="","",発注計算!$D19)</f>
        <v>フラットＢＩＢコーラゼロ２．５Ｇ</v>
      </c>
      <c r="D23" s="66" t="str">
        <f aca="false">IF(発注計算!$C19="","",発注計算!$E19)</f>
        <v>コールド</v>
      </c>
      <c r="E23" s="67" t="n">
        <f aca="false">IF(発注計算!$C19="","",発注計算!$T19)</f>
        <v>123.967741935484</v>
      </c>
      <c r="F23" s="67" t="n">
        <f aca="false">IF(ISNUMBER($E23),$E23-N(発注計算!$I19),"")</f>
        <v>121.967741935484</v>
      </c>
      <c r="G23" s="68" t="str">
        <f aca="false">IF(発注計算!$C19="","",IF(NOT(ISNUMBER($F23)),"データなし",IF($F23&lt;=0,"今日が期限",IF($F23&lt;=N(発注計算!$AG19),"要発注","余裕"))))</f>
        <v>余裕</v>
      </c>
      <c r="H23" s="67" t="n">
        <f aca="false">IF(OR(発注計算!$C19="",NOT(ISNUMBER(発注計算!$S19)),発注計算!$S19&lt;=0),"",(発注計算!$K19+N($J23)*N(発注計算!$G19))/発注計算!$S19)</f>
        <v>133.806451612903</v>
      </c>
      <c r="I23" s="69" t="n">
        <f aca="false">IF(発注計算!$C19="","",発注計算!$Y19)</f>
        <v>0</v>
      </c>
      <c r="J23" s="70" t="n">
        <v>5</v>
      </c>
      <c r="K23" s="71" t="n">
        <f aca="false">IF($J23="","",N($J23)*N(発注計算!$H19))</f>
        <v>40680</v>
      </c>
      <c r="L23" s="72"/>
      <c r="M23" s="72"/>
      <c r="N23" s="72"/>
      <c r="O23" s="72"/>
      <c r="P23" s="72"/>
      <c r="Q23" s="72"/>
      <c r="R23" s="72"/>
      <c r="S23" s="72"/>
      <c r="T23" s="72"/>
      <c r="U23" s="72"/>
      <c r="V23" s="72"/>
      <c r="W23" s="72"/>
      <c r="X23" s="72"/>
      <c r="Y23" s="72"/>
      <c r="Z23" s="31" t="n">
        <f aca="false">IF(OR(N($J23)&lt;=0,AND(③発注書!$C$5&lt;&gt;"すべて",発注計算!$F19&lt;&gt;③発注書!$C$5)),N(Z22),N(Z22)+1)</f>
        <v>7</v>
      </c>
    </row>
    <row r="24" customFormat="false" ht="16.5" hidden="false" customHeight="true" outlineLevel="0" collapsed="false">
      <c r="B24" s="66" t="n">
        <v>15</v>
      </c>
      <c r="C24" s="66" t="str">
        <f aca="false">IF(発注計算!$C20="","",発注計算!$D20)</f>
        <v>フラットＢＩＢジンジャー２．５Ｇ</v>
      </c>
      <c r="D24" s="66" t="str">
        <f aca="false">IF(発注計算!$C20="","",発注計算!$E20)</f>
        <v>コールド</v>
      </c>
      <c r="E24" s="67" t="n">
        <f aca="false">IF(発注計算!$C20="","",発注計算!$T20)</f>
        <v>24.2063492063492</v>
      </c>
      <c r="F24" s="67" t="n">
        <f aca="false">IF(ISNUMBER($E24),$E24-N(発注計算!$I20),"")</f>
        <v>17.2063492063492</v>
      </c>
      <c r="G24" s="68" t="str">
        <f aca="false">IF(発注計算!$C20="","",IF(NOT(ISNUMBER($F24)),"データなし",IF($F24&lt;=0,"今日が期限",IF($F24&lt;=N(発注計算!$AG20),"要発注","余裕"))))</f>
        <v>余裕</v>
      </c>
      <c r="H24" s="67" t="n">
        <f aca="false">IF(OR(発注計算!$C20="",NOT(ISNUMBER(発注計算!$S20)),発注計算!$S20&lt;=0),"",(発注計算!$K20+N($J24)*N(発注計算!$G20))/発注計算!$S20)</f>
        <v>24.2063492063492</v>
      </c>
      <c r="I24" s="69" t="n">
        <f aca="false">IF(発注計算!$C20="","",発注計算!$Y20)</f>
        <v>0</v>
      </c>
      <c r="J24" s="70"/>
      <c r="K24" s="71" t="str">
        <f aca="false">IF($J24="","",N($J24)*N(発注計算!$H20))</f>
        <v/>
      </c>
      <c r="L24" s="72"/>
      <c r="M24" s="72"/>
      <c r="N24" s="72"/>
      <c r="O24" s="72"/>
      <c r="P24" s="72"/>
      <c r="Q24" s="72"/>
      <c r="R24" s="72"/>
      <c r="S24" s="72"/>
      <c r="T24" s="72"/>
      <c r="U24" s="72"/>
      <c r="V24" s="72"/>
      <c r="W24" s="72"/>
      <c r="X24" s="72"/>
      <c r="Y24" s="72"/>
      <c r="Z24" s="31" t="n">
        <f aca="false">IF(OR(N($J24)&lt;=0,AND(③発注書!$C$5&lt;&gt;"すべて",発注計算!$F20&lt;&gt;③発注書!$C$5)),N(Z23),N(Z23)+1)</f>
        <v>7</v>
      </c>
    </row>
    <row r="25" customFormat="false" ht="16.5" hidden="false" customHeight="true" outlineLevel="0" collapsed="false">
      <c r="B25" s="66" t="n">
        <v>16</v>
      </c>
      <c r="C25" s="66" t="str">
        <f aca="false">IF(発注計算!$C21="","",発注計算!$D21)</f>
        <v>フラットＢＩＢスプライト２．５Ｇ</v>
      </c>
      <c r="D25" s="66" t="str">
        <f aca="false">IF(発注計算!$C21="","",発注計算!$E21)</f>
        <v>コールド</v>
      </c>
      <c r="E25" s="67" t="n">
        <f aca="false">IF(発注計算!$C21="","",発注計算!$T21)</f>
        <v>0.66304347826087</v>
      </c>
      <c r="F25" s="67" t="n">
        <f aca="false">IF(ISNUMBER($E25),$E25-N(発注計算!$I21),"")</f>
        <v>-6.33695652173913</v>
      </c>
      <c r="G25" s="68" t="str">
        <f aca="false">IF(発注計算!$C21="","",IF(NOT(ISNUMBER($F25)),"データなし",IF($F25&lt;=0,"今日が期限",IF($F25&lt;=N(発注計算!$AG21),"要発注","余裕"))))</f>
        <v>今日が期限</v>
      </c>
      <c r="H25" s="67" t="n">
        <f aca="false">IF(OR(発注計算!$C21="",NOT(ISNUMBER(発注計算!$S21)),発注計算!$S21&lt;=0),"",(発注計算!$K21+N($J25)*N(発注計算!$G21))/発注計算!$S21)</f>
        <v>0.66304347826087</v>
      </c>
      <c r="I25" s="69" t="n">
        <f aca="false">IF(発注計算!$C21="","",発注計算!$Y21)</f>
        <v>21</v>
      </c>
      <c r="J25" s="70"/>
      <c r="K25" s="71" t="str">
        <f aca="false">IF($J25="","",N($J25)*N(発注計算!$H21))</f>
        <v/>
      </c>
      <c r="L25" s="72"/>
      <c r="M25" s="72"/>
      <c r="N25" s="72"/>
      <c r="O25" s="72"/>
      <c r="P25" s="72"/>
      <c r="Q25" s="72"/>
      <c r="R25" s="72"/>
      <c r="S25" s="72"/>
      <c r="T25" s="72"/>
      <c r="U25" s="72"/>
      <c r="V25" s="72"/>
      <c r="W25" s="72"/>
      <c r="X25" s="72"/>
      <c r="Y25" s="72"/>
      <c r="Z25" s="31" t="n">
        <f aca="false">IF(OR(N($J25)&lt;=0,AND(③発注書!$C$5&lt;&gt;"すべて",発注計算!$F21&lt;&gt;③発注書!$C$5)),N(Z24),N(Z24)+1)</f>
        <v>7</v>
      </c>
    </row>
    <row r="26" customFormat="false" ht="16.5" hidden="false" customHeight="true" outlineLevel="0" collapsed="false">
      <c r="B26" s="66" t="n">
        <v>17</v>
      </c>
      <c r="C26" s="66" t="str">
        <f aca="false">IF(発注計算!$C22="","",発注計算!$D22)</f>
        <v>フラットＢＩＢカルピス２．５Ｇ</v>
      </c>
      <c r="D26" s="66" t="str">
        <f aca="false">IF(発注計算!$C22="","",発注計算!$E22)</f>
        <v>コールド</v>
      </c>
      <c r="E26" s="67" t="n">
        <f aca="false">IF(発注計算!$C22="","",発注計算!$T22)</f>
        <v>3.2972972972973</v>
      </c>
      <c r="F26" s="67" t="n">
        <f aca="false">IF(ISNUMBER($E26),$E26-N(発注計算!$I22),"")</f>
        <v>-1.7027027027027</v>
      </c>
      <c r="G26" s="68" t="str">
        <f aca="false">IF(発注計算!$C22="","",IF(NOT(ISNUMBER($F26)),"データなし",IF($F26&lt;=0,"今日が期限",IF($F26&lt;=N(発注計算!$AG22),"要発注","余裕"))))</f>
        <v>今日が期限</v>
      </c>
      <c r="H26" s="67" t="n">
        <f aca="false">IF(OR(発注計算!$C22="",NOT(ISNUMBER(発注計算!$S22)),発注計算!$S22&lt;=0),"",(発注計算!$K22+N($J26)*N(発注計算!$G22))/発注計算!$S22)</f>
        <v>3.2972972972973</v>
      </c>
      <c r="I26" s="69" t="n">
        <f aca="false">IF(発注計算!$C22="","",発注計算!$Y22)</f>
        <v>6</v>
      </c>
      <c r="J26" s="70"/>
      <c r="K26" s="71" t="str">
        <f aca="false">IF($J26="","",N($J26)*N(発注計算!$H22))</f>
        <v/>
      </c>
      <c r="L26" s="72"/>
      <c r="M26" s="72"/>
      <c r="N26" s="72"/>
      <c r="O26" s="72"/>
      <c r="P26" s="72"/>
      <c r="Q26" s="72"/>
      <c r="R26" s="72"/>
      <c r="S26" s="72"/>
      <c r="T26" s="72"/>
      <c r="U26" s="72"/>
      <c r="V26" s="72"/>
      <c r="W26" s="72"/>
      <c r="X26" s="72"/>
      <c r="Y26" s="72"/>
      <c r="Z26" s="31" t="n">
        <f aca="false">IF(OR(N($J26)&lt;=0,AND(③発注書!$C$5&lt;&gt;"すべて",発注計算!$F22&lt;&gt;③発注書!$C$5)),N(Z25),N(Z25)+1)</f>
        <v>7</v>
      </c>
    </row>
    <row r="27" customFormat="false" ht="16.5" hidden="false" customHeight="true" outlineLevel="0" collapsed="false">
      <c r="B27" s="66" t="n">
        <v>18</v>
      </c>
      <c r="C27" s="66" t="str">
        <f aca="false">IF(発注計算!$C23="","",発注計算!$D23)</f>
        <v>（コスタ）新コーヒー豆</v>
      </c>
      <c r="D27" s="66" t="str">
        <f aca="false">IF(発注計算!$C23="","",発注計算!$E23)</f>
        <v>コーヒー</v>
      </c>
      <c r="E27" s="67" t="n">
        <f aca="false">IF(発注計算!$C23="","",発注計算!$T23)</f>
        <v>53.906976744186</v>
      </c>
      <c r="F27" s="67" t="n">
        <f aca="false">IF(ISNUMBER($E27),$E27-N(発注計算!$I23),"")</f>
        <v>46.906976744186</v>
      </c>
      <c r="G27" s="68" t="str">
        <f aca="false">IF(発注計算!$C23="","",IF(NOT(ISNUMBER($F27)),"データなし",IF($F27&lt;=0,"今日が期限",IF($F27&lt;=N(発注計算!$AG23),"要発注","余裕"))))</f>
        <v>余裕</v>
      </c>
      <c r="H27" s="67" t="n">
        <f aca="false">IF(OR(発注計算!$C23="",NOT(ISNUMBER(発注計算!$S23)),発注計算!$S23&lt;=0),"",(発注計算!$K23+N($J27)*N(発注計算!$G23))/発注計算!$S23)</f>
        <v>53.906976744186</v>
      </c>
      <c r="I27" s="69" t="n">
        <f aca="false">IF(発注計算!$C23="","",発注計算!$Y23)</f>
        <v>0</v>
      </c>
      <c r="J27" s="70"/>
      <c r="K27" s="71" t="str">
        <f aca="false">IF($J27="","",N($J27)*N(発注計算!$H23))</f>
        <v/>
      </c>
      <c r="L27" s="72"/>
      <c r="M27" s="72"/>
      <c r="N27" s="72"/>
      <c r="O27" s="72"/>
      <c r="P27" s="72"/>
      <c r="Q27" s="72"/>
      <c r="R27" s="72"/>
      <c r="S27" s="72"/>
      <c r="T27" s="72"/>
      <c r="U27" s="72"/>
      <c r="V27" s="72"/>
      <c r="W27" s="72"/>
      <c r="X27" s="72"/>
      <c r="Y27" s="72"/>
      <c r="Z27" s="31" t="n">
        <f aca="false">IF(OR(N($J27)&lt;=0,AND(③発注書!$C$5&lt;&gt;"すべて",発注計算!$F23&lt;&gt;③発注書!$C$5)),N(Z26),N(Z26)+1)</f>
        <v>7</v>
      </c>
    </row>
    <row r="28" customFormat="false" ht="16.5" hidden="false" customHeight="true" outlineLevel="0" collapsed="false">
      <c r="B28" s="66" t="n">
        <v>19</v>
      </c>
      <c r="C28" s="66" t="str">
        <f aca="false">IF(発注計算!$C24="","",発注計算!$D24)</f>
        <v>めいらく北海道特選３．６牛乳</v>
      </c>
      <c r="D28" s="66" t="str">
        <f aca="false">IF(発注計算!$C24="","",発注計算!$E24)</f>
        <v>コーヒー</v>
      </c>
      <c r="E28" s="67" t="n">
        <f aca="false">IF(発注計算!$C24="","",発注計算!$T24)</f>
        <v>7.57030129124821</v>
      </c>
      <c r="F28" s="67" t="n">
        <f aca="false">IF(ISNUMBER($E28),$E28-N(発注計算!$I24),"")</f>
        <v>2.57030129124821</v>
      </c>
      <c r="G28" s="68" t="str">
        <f aca="false">IF(発注計算!$C24="","",IF(NOT(ISNUMBER($F28)),"データなし",IF($F28&lt;=0,"今日が期限",IF($F28&lt;=N(発注計算!$AG24),"要発注","余裕"))))</f>
        <v>要発注</v>
      </c>
      <c r="H28" s="67" t="n">
        <f aca="false">IF(OR(発注計算!$C24="",NOT(ISNUMBER(発注計算!$S24)),発注計算!$S24&lt;=0),"",(発注計算!$K24+N($J28)*N(発注計算!$G24))/発注計算!$S24)</f>
        <v>7.57030129124821</v>
      </c>
      <c r="I28" s="69" t="n">
        <f aca="false">IF(発注計算!$C24="","",発注計算!$Y24)</f>
        <v>20</v>
      </c>
      <c r="J28" s="70"/>
      <c r="K28" s="71" t="str">
        <f aca="false">IF($J28="","",N($J28)*N(発注計算!$H24))</f>
        <v/>
      </c>
      <c r="L28" s="72"/>
      <c r="M28" s="72"/>
      <c r="N28" s="72"/>
      <c r="O28" s="72"/>
      <c r="P28" s="72"/>
      <c r="Q28" s="72"/>
      <c r="R28" s="72"/>
      <c r="S28" s="72"/>
      <c r="T28" s="72"/>
      <c r="U28" s="72"/>
      <c r="V28" s="72"/>
      <c r="W28" s="72"/>
      <c r="X28" s="72"/>
      <c r="Y28" s="72"/>
      <c r="Z28" s="31" t="n">
        <f aca="false">IF(OR(N($J28)&lt;=0,AND(③発注書!$C$5&lt;&gt;"すべて",発注計算!$F24&lt;&gt;③発注書!$C$5)),N(Z27),N(Z27)+1)</f>
        <v>7</v>
      </c>
    </row>
    <row r="29" customFormat="false" ht="16.5" hidden="false" customHeight="true" outlineLevel="0" collapsed="false">
      <c r="B29" s="66" t="n">
        <v>20</v>
      </c>
      <c r="C29" s="66" t="str">
        <f aca="false">IF(発注計算!$C25="","",発注計算!$D25)</f>
        <v>ミルクティーパウダー</v>
      </c>
      <c r="D29" s="66" t="str">
        <f aca="false">IF(発注計算!$C25="","",発注計算!$E25)</f>
        <v>ホット</v>
      </c>
      <c r="E29" s="67" t="n">
        <f aca="false">IF(発注計算!$C25="","",発注計算!$T25)</f>
        <v>60.1643835616438</v>
      </c>
      <c r="F29" s="67" t="n">
        <f aca="false">IF(ISNUMBER($E29),$E29-N(発注計算!$I25),"")</f>
        <v>56.1643835616438</v>
      </c>
      <c r="G29" s="68" t="str">
        <f aca="false">IF(発注計算!$C25="","",IF(NOT(ISNUMBER($F29)),"データなし",IF($F29&lt;=0,"今日が期限",IF($F29&lt;=N(発注計算!$AG25),"要発注","余裕"))))</f>
        <v>余裕</v>
      </c>
      <c r="H29" s="67" t="n">
        <f aca="false">IF(OR(発注計算!$C25="",NOT(ISNUMBER(発注計算!$S25)),発注計算!$S25&lt;=0),"",(発注計算!$K25+N($J29)*N(発注計算!$G25))/発注計算!$S25)</f>
        <v>60.1643835616438</v>
      </c>
      <c r="I29" s="69" t="n">
        <f aca="false">IF(発注計算!$C25="","",発注計算!$Y25)</f>
        <v>0</v>
      </c>
      <c r="J29" s="70"/>
      <c r="K29" s="71" t="str">
        <f aca="false">IF($J29="","",N($J29)*N(発注計算!$H25))</f>
        <v/>
      </c>
      <c r="L29" s="72"/>
      <c r="M29" s="72"/>
      <c r="N29" s="72"/>
      <c r="O29" s="72"/>
      <c r="P29" s="72"/>
      <c r="Q29" s="72"/>
      <c r="R29" s="72"/>
      <c r="S29" s="72"/>
      <c r="T29" s="72"/>
      <c r="U29" s="72"/>
      <c r="V29" s="72"/>
      <c r="W29" s="72"/>
      <c r="X29" s="72"/>
      <c r="Y29" s="72"/>
      <c r="Z29" s="31" t="n">
        <f aca="false">IF(OR(N($J29)&lt;=0,AND(③発注書!$C$5&lt;&gt;"すべて",発注計算!$F25&lt;&gt;③発注書!$C$5)),N(Z28),N(Z28)+1)</f>
        <v>7</v>
      </c>
    </row>
    <row r="30" customFormat="false" ht="16.5" hidden="false" customHeight="true" outlineLevel="0" collapsed="false">
      <c r="B30" s="66" t="n">
        <v>21</v>
      </c>
      <c r="C30" s="66" t="str">
        <f aca="false">IF(発注計算!$C26="","",発注計算!$D26)</f>
        <v>ココアカントリーＫオフパウダー</v>
      </c>
      <c r="D30" s="66" t="str">
        <f aca="false">IF(発注計算!$C26="","",発注計算!$E26)</f>
        <v>ホット</v>
      </c>
      <c r="E30" s="67" t="n">
        <f aca="false">IF(発注計算!$C26="","",発注計算!$T26)</f>
        <v>109.8</v>
      </c>
      <c r="F30" s="67" t="n">
        <f aca="false">IF(ISNUMBER($E30),$E30-N(発注計算!$I26),"")</f>
        <v>104.8</v>
      </c>
      <c r="G30" s="68" t="str">
        <f aca="false">IF(発注計算!$C26="","",IF(NOT(ISNUMBER($F30)),"データなし",IF($F30&lt;=0,"今日が期限",IF($F30&lt;=N(発注計算!$AG26),"要発注","余裕"))))</f>
        <v>余裕</v>
      </c>
      <c r="H30" s="67" t="n">
        <f aca="false">IF(OR(発注計算!$C26="",NOT(ISNUMBER(発注計算!$S26)),発注計算!$S26&lt;=0),"",(発注計算!$K26+N($J30)*N(発注計算!$G26))/発注計算!$S26)</f>
        <v>109.8</v>
      </c>
      <c r="I30" s="69" t="n">
        <f aca="false">IF(発注計算!$C26="","",発注計算!$Y26)</f>
        <v>0</v>
      </c>
      <c r="J30" s="70"/>
      <c r="K30" s="71" t="str">
        <f aca="false">IF($J30="","",N($J30)*N(発注計算!$H26))</f>
        <v/>
      </c>
      <c r="L30" s="72"/>
      <c r="M30" s="72"/>
      <c r="N30" s="72"/>
      <c r="O30" s="72"/>
      <c r="P30" s="72"/>
      <c r="Q30" s="72"/>
      <c r="R30" s="72"/>
      <c r="S30" s="72"/>
      <c r="T30" s="72"/>
      <c r="U30" s="72"/>
      <c r="V30" s="72"/>
      <c r="W30" s="72"/>
      <c r="X30" s="72"/>
      <c r="Y30" s="72"/>
      <c r="Z30" s="31" t="n">
        <f aca="false">IF(OR(N($J30)&lt;=0,AND(③発注書!$C$5&lt;&gt;"すべて",発注計算!$F26&lt;&gt;③発注書!$C$5)),N(Z29),N(Z29)+1)</f>
        <v>7</v>
      </c>
    </row>
    <row r="31" customFormat="false" ht="16.5" hidden="false" customHeight="true" outlineLevel="0" collapsed="false">
      <c r="B31" s="66" t="n">
        <v>22</v>
      </c>
      <c r="C31" s="66" t="str">
        <f aca="false">IF(発注計算!$C27="","",発注計算!$D27)</f>
        <v>ミレイユ抹茶オレ　パウダー</v>
      </c>
      <c r="D31" s="66" t="str">
        <f aca="false">IF(発注計算!$C27="","",発注計算!$E27)</f>
        <v>ホット</v>
      </c>
      <c r="E31" s="67" t="n">
        <f aca="false">IF(発注計算!$C27="","",発注計算!$T27)</f>
        <v>77.6363636363636</v>
      </c>
      <c r="F31" s="67" t="n">
        <f aca="false">IF(ISNUMBER($E31),$E31-N(発注計算!$I27),"")</f>
        <v>75.6363636363636</v>
      </c>
      <c r="G31" s="68" t="str">
        <f aca="false">IF(発注計算!$C27="","",IF(NOT(ISNUMBER($F31)),"データなし",IF($F31&lt;=0,"今日が期限",IF($F31&lt;=N(発注計算!$AG27),"要発注","余裕"))))</f>
        <v>余裕</v>
      </c>
      <c r="H31" s="67" t="n">
        <f aca="false">IF(OR(発注計算!$C27="",NOT(ISNUMBER(発注計算!$S27)),発注計算!$S27&lt;=0),"",(発注計算!$K27+N($J31)*N(発注計算!$G27))/発注計算!$S27)</f>
        <v>77.6363636363636</v>
      </c>
      <c r="I31" s="69" t="n">
        <f aca="false">IF(発注計算!$C27="","",発注計算!$Y27)</f>
        <v>0</v>
      </c>
      <c r="J31" s="70"/>
      <c r="K31" s="71" t="str">
        <f aca="false">IF($J31="","",N($J31)*N(発注計算!$H27))</f>
        <v/>
      </c>
      <c r="L31" s="72"/>
      <c r="M31" s="72"/>
      <c r="N31" s="72"/>
      <c r="O31" s="72"/>
      <c r="P31" s="72"/>
      <c r="Q31" s="72"/>
      <c r="R31" s="72"/>
      <c r="S31" s="72"/>
      <c r="T31" s="72"/>
      <c r="U31" s="72"/>
      <c r="V31" s="72"/>
      <c r="W31" s="72"/>
      <c r="X31" s="72"/>
      <c r="Y31" s="72"/>
      <c r="Z31" s="31" t="n">
        <f aca="false">IF(OR(N($J31)&lt;=0,AND(③発注書!$C$5&lt;&gt;"すべて",発注計算!$F27&lt;&gt;③発注書!$C$5)),N(Z30),N(Z30)+1)</f>
        <v>7</v>
      </c>
    </row>
    <row r="32" customFormat="false" ht="16.5" hidden="false" customHeight="true" outlineLevel="0" collapsed="false">
      <c r="B32" s="66" t="n">
        <v>23</v>
      </c>
      <c r="C32" s="66" t="str">
        <f aca="false">IF(発注計算!$C28="","",発注計算!$D28)</f>
        <v>台湾レモン　ナタデココ　入り</v>
      </c>
      <c r="D32" s="66" t="str">
        <f aca="false">IF(発注計算!$C28="","",発注計算!$E28)</f>
        <v>その他ドリンク</v>
      </c>
      <c r="E32" s="67" t="n">
        <f aca="false">IF(発注計算!$C28="","",発注計算!$T28)</f>
        <v>46.3453453453454</v>
      </c>
      <c r="F32" s="67" t="n">
        <f aca="false">IF(ISNUMBER($E32),$E32-N(発注計算!$I28),"")</f>
        <v>39.3453453453454</v>
      </c>
      <c r="G32" s="68" t="str">
        <f aca="false">IF(発注計算!$C28="","",IF(NOT(ISNUMBER($F32)),"データなし",IF($F32&lt;=0,"今日が期限",IF($F32&lt;=N(発注計算!$AG28),"要発注","余裕"))))</f>
        <v>余裕</v>
      </c>
      <c r="H32" s="67" t="n">
        <f aca="false">IF(OR(発注計算!$C28="",NOT(ISNUMBER(発注計算!$S28)),発注計算!$S28&lt;=0),"",(発注計算!$K28+N($J32)*N(発注計算!$G28))/発注計算!$S28)</f>
        <v>46.3453453453454</v>
      </c>
      <c r="I32" s="69" t="n">
        <f aca="false">IF(発注計算!$C28="","",発注計算!$Y28)</f>
        <v>0</v>
      </c>
      <c r="J32" s="70"/>
      <c r="K32" s="71" t="str">
        <f aca="false">IF($J32="","",N($J32)*N(発注計算!$H28))</f>
        <v/>
      </c>
      <c r="L32" s="72"/>
      <c r="M32" s="72"/>
      <c r="N32" s="72"/>
      <c r="O32" s="72"/>
      <c r="P32" s="72"/>
      <c r="Q32" s="72"/>
      <c r="R32" s="72"/>
      <c r="S32" s="72"/>
      <c r="T32" s="72"/>
      <c r="U32" s="72"/>
      <c r="V32" s="72"/>
      <c r="W32" s="72"/>
      <c r="X32" s="72"/>
      <c r="Y32" s="72"/>
      <c r="Z32" s="31" t="n">
        <f aca="false">IF(OR(N($J32)&lt;=0,AND(③発注書!$C$5&lt;&gt;"すべて",発注計算!$F28&lt;&gt;③発注書!$C$5)),N(Z31),N(Z31)+1)</f>
        <v>7</v>
      </c>
    </row>
    <row r="33" customFormat="false" ht="16.5" hidden="false" customHeight="true" outlineLevel="0" collapsed="false">
      <c r="B33" s="66" t="n">
        <v>24</v>
      </c>
      <c r="C33" s="66" t="str">
        <f aca="false">IF(発注計算!$C29="","",発注計算!$D29)</f>
        <v>黒糖ブラックタピオカ</v>
      </c>
      <c r="D33" s="66" t="str">
        <f aca="false">IF(発注計算!$C29="","",発注計算!$E29)</f>
        <v>その他ドリンク</v>
      </c>
      <c r="E33" s="67" t="n">
        <f aca="false">IF(発注計算!$C29="","",発注計算!$T29)</f>
        <v>5.3203007518797</v>
      </c>
      <c r="F33" s="67" t="n">
        <f aca="false">IF(ISNUMBER($E33),$E33-N(発注計算!$I29),"")</f>
        <v>-1.6796992481203</v>
      </c>
      <c r="G33" s="68" t="str">
        <f aca="false">IF(発注計算!$C29="","",IF(NOT(ISNUMBER($F33)),"データなし",IF($F33&lt;=0,"今日が期限",IF($F33&lt;=N(発注計算!$AG29),"要発注","余裕"))))</f>
        <v>今日が期限</v>
      </c>
      <c r="H33" s="67" t="n">
        <f aca="false">IF(OR(発注計算!$C29="",NOT(ISNUMBER(発注計算!$S29)),発注計算!$S29&lt;=0),"",(発注計算!$K29+N($J33)*N(発注計算!$G29))/発注計算!$S29)</f>
        <v>5.3203007518797</v>
      </c>
      <c r="I33" s="69" t="n">
        <f aca="false">IF(発注計算!$C29="","",発注計算!$Y29)</f>
        <v>1</v>
      </c>
      <c r="J33" s="70"/>
      <c r="K33" s="71" t="str">
        <f aca="false">IF($J33="","",N($J33)*N(発注計算!$H29))</f>
        <v/>
      </c>
      <c r="L33" s="72"/>
      <c r="M33" s="72"/>
      <c r="N33" s="72"/>
      <c r="O33" s="72"/>
      <c r="P33" s="72"/>
      <c r="Q33" s="72"/>
      <c r="R33" s="72"/>
      <c r="S33" s="72"/>
      <c r="T33" s="72"/>
      <c r="U33" s="72"/>
      <c r="V33" s="72"/>
      <c r="W33" s="72"/>
      <c r="X33" s="72"/>
      <c r="Y33" s="72"/>
      <c r="Z33" s="31" t="n">
        <f aca="false">IF(OR(N($J33)&lt;=0,AND(③発注書!$C$5&lt;&gt;"すべて",発注計算!$F29&lt;&gt;③発注書!$C$5)),N(Z32),N(Z32)+1)</f>
        <v>7</v>
      </c>
    </row>
    <row r="34" customFormat="false" ht="16.5" hidden="false" customHeight="true" outlineLevel="0" collapsed="false">
      <c r="B34" s="66" t="n">
        <v>25</v>
      </c>
      <c r="C34" s="66" t="str">
        <f aca="false">IF(発注計算!$C30="","",発注計算!$D30)</f>
        <v>とろけるフローズンゼリマスカット</v>
      </c>
      <c r="D34" s="66" t="str">
        <f aca="false">IF(発注計算!$C30="","",発注計算!$E30)</f>
        <v>その他ドリンク</v>
      </c>
      <c r="E34" s="67" t="n">
        <f aca="false">IF(発注計算!$C30="","",発注計算!$T30)</f>
        <v>61</v>
      </c>
      <c r="F34" s="67" t="n">
        <f aca="false">IF(ISNUMBER($E34),$E34-N(発注計算!$I30),"")</f>
        <v>58</v>
      </c>
      <c r="G34" s="68" t="str">
        <f aca="false">IF(発注計算!$C30="","",IF(NOT(ISNUMBER($F34)),"データなし",IF($F34&lt;=0,"今日が期限",IF($F34&lt;=N(発注計算!$AG30),"要発注","余裕"))))</f>
        <v>余裕</v>
      </c>
      <c r="H34" s="67" t="n">
        <f aca="false">IF(OR(発注計算!$C30="",NOT(ISNUMBER(発注計算!$S30)),発注計算!$S30&lt;=0),"",(発注計算!$K30+N($J34)*N(発注計算!$G30))/発注計算!$S30)</f>
        <v>61</v>
      </c>
      <c r="I34" s="69" t="n">
        <f aca="false">IF(発注計算!$C30="","",発注計算!$Y30)</f>
        <v>5</v>
      </c>
      <c r="J34" s="70"/>
      <c r="K34" s="71" t="str">
        <f aca="false">IF($J34="","",N($J34)*N(発注計算!$H30))</f>
        <v/>
      </c>
      <c r="L34" s="72"/>
      <c r="M34" s="72"/>
      <c r="N34" s="72"/>
      <c r="O34" s="72"/>
      <c r="P34" s="72"/>
      <c r="Q34" s="72"/>
      <c r="R34" s="72"/>
      <c r="S34" s="72"/>
      <c r="T34" s="72"/>
      <c r="U34" s="72"/>
      <c r="V34" s="72"/>
      <c r="W34" s="72"/>
      <c r="X34" s="72"/>
      <c r="Y34" s="72"/>
      <c r="Z34" s="31" t="n">
        <f aca="false">IF(OR(N($J34)&lt;=0,AND(③発注書!$C$5&lt;&gt;"すべて",発注計算!$F30&lt;&gt;③発注書!$C$5)),N(Z33),N(Z33)+1)</f>
        <v>7</v>
      </c>
    </row>
    <row r="35" customFormat="false" ht="16.5" hidden="false" customHeight="true" outlineLevel="0" collapsed="false">
      <c r="B35" s="66" t="n">
        <v>26</v>
      </c>
      <c r="C35" s="66" t="str">
        <f aca="false">IF(発注計算!$C31="","",発注計算!$D31)</f>
        <v>超ストロベリーフローズン</v>
      </c>
      <c r="D35" s="66" t="str">
        <f aca="false">IF(発注計算!$C31="","",発注計算!$E31)</f>
        <v>その他ドリンク</v>
      </c>
      <c r="E35" s="67" t="n">
        <f aca="false">IF(発注計算!$C31="","",発注計算!$T31)</f>
        <v>1.63978494623656</v>
      </c>
      <c r="F35" s="67" t="n">
        <f aca="false">IF(ISNUMBER($E35),$E35-N(発注計算!$I31),"")</f>
        <v>-2.36021505376344</v>
      </c>
      <c r="G35" s="68" t="str">
        <f aca="false">IF(発注計算!$C31="","",IF(NOT(ISNUMBER($F35)),"データなし",IF($F35&lt;=0,"今日が期限",IF($F35&lt;=N(発注計算!$AG31),"要発注","余裕"))))</f>
        <v>今日が期限</v>
      </c>
      <c r="H35" s="67" t="n">
        <f aca="false">IF(OR(発注計算!$C31="",NOT(ISNUMBER(発注計算!$S31)),発注計算!$S31&lt;=0),"",(発注計算!$K31+N($J35)*N(発注計算!$G31))/発注計算!$S31)</f>
        <v>1.63978494623656</v>
      </c>
      <c r="I35" s="69" t="n">
        <f aca="false">IF(発注計算!$C31="","",発注計算!$Y31)</f>
        <v>1</v>
      </c>
      <c r="J35" s="70"/>
      <c r="K35" s="71" t="str">
        <f aca="false">IF($J35="","",N($J35)*N(発注計算!$H31))</f>
        <v/>
      </c>
      <c r="L35" s="72"/>
      <c r="M35" s="72"/>
      <c r="N35" s="72"/>
      <c r="O35" s="72"/>
      <c r="P35" s="72"/>
      <c r="Q35" s="72"/>
      <c r="R35" s="72"/>
      <c r="S35" s="72"/>
      <c r="T35" s="72"/>
      <c r="U35" s="72"/>
      <c r="V35" s="72"/>
      <c r="W35" s="72"/>
      <c r="X35" s="72"/>
      <c r="Y35" s="72"/>
      <c r="Z35" s="31" t="n">
        <f aca="false">IF(OR(N($J35)&lt;=0,AND(③発注書!$C$5&lt;&gt;"すべて",発注計算!$F31&lt;&gt;③発注書!$C$5)),N(Z34),N(Z34)+1)</f>
        <v>7</v>
      </c>
    </row>
    <row r="36" customFormat="false" ht="16.5" hidden="false" customHeight="true" outlineLevel="0" collapsed="false">
      <c r="B36" s="66" t="n">
        <v>27</v>
      </c>
      <c r="C36" s="66" t="str">
        <f aca="false">IF(発注計算!$C32="","",発注計算!$D32)</f>
        <v>超マンゴー＆パッションフローズン</v>
      </c>
      <c r="D36" s="66" t="str">
        <f aca="false">IF(発注計算!$C32="","",発注計算!$E32)</f>
        <v>その他ドリンク</v>
      </c>
      <c r="E36" s="67" t="n">
        <f aca="false">IF(発注計算!$C32="","",発注計算!$T32)</f>
        <v>21.159375</v>
      </c>
      <c r="F36" s="67" t="n">
        <f aca="false">IF(ISNUMBER($E36),$E36-N(発注計算!$I32),"")</f>
        <v>19.159375</v>
      </c>
      <c r="G36" s="68" t="str">
        <f aca="false">IF(発注計算!$C32="","",IF(NOT(ISNUMBER($F36)),"データなし",IF($F36&lt;=0,"今日が期限",IF($F36&lt;=N(発注計算!$AG32),"要発注","余裕"))))</f>
        <v>余裕</v>
      </c>
      <c r="H36" s="67" t="n">
        <f aca="false">IF(OR(発注計算!$C32="",NOT(ISNUMBER(発注計算!$S32)),発注計算!$S32&lt;=0),"",(発注計算!$K32+N($J36)*N(発注計算!$G32))/発注計算!$S32)</f>
        <v>21.159375</v>
      </c>
      <c r="I36" s="69" t="n">
        <f aca="false">IF(発注計算!$C32="","",発注計算!$Y32)</f>
        <v>0</v>
      </c>
      <c r="J36" s="70"/>
      <c r="K36" s="71" t="str">
        <f aca="false">IF($J36="","",N($J36)*N(発注計算!$H32))</f>
        <v/>
      </c>
      <c r="L36" s="72"/>
      <c r="M36" s="72"/>
      <c r="N36" s="72"/>
      <c r="O36" s="72"/>
      <c r="P36" s="72"/>
      <c r="Q36" s="72"/>
      <c r="R36" s="72"/>
      <c r="S36" s="72"/>
      <c r="T36" s="72"/>
      <c r="U36" s="72"/>
      <c r="V36" s="72"/>
      <c r="W36" s="72"/>
      <c r="X36" s="72"/>
      <c r="Y36" s="72"/>
      <c r="Z36" s="31" t="n">
        <f aca="false">IF(OR(N($J36)&lt;=0,AND(③発注書!$C$5&lt;&gt;"すべて",発注計算!$F32&lt;&gt;③発注書!$C$5)),N(Z35),N(Z35)+1)</f>
        <v>7</v>
      </c>
    </row>
    <row r="37" customFormat="false" ht="16.5" hidden="false" customHeight="true" outlineLevel="0" collapsed="false">
      <c r="B37" s="66" t="n">
        <v>28</v>
      </c>
      <c r="C37" s="66" t="str">
        <f aca="false">IF(発注計算!$C33="","",発注計算!$D33)</f>
        <v>ＩＣＥＥ　ブルーラズベリー５Ｇ</v>
      </c>
      <c r="D37" s="66" t="str">
        <f aca="false">IF(発注計算!$C33="","",発注計算!$E33)</f>
        <v>その他ドリンク</v>
      </c>
      <c r="E37" s="67" t="n">
        <f aca="false">IF(発注計算!$C33="","",発注計算!$T33)</f>
        <v>5.38235294117647</v>
      </c>
      <c r="F37" s="67" t="n">
        <f aca="false">IF(ISNUMBER($E37),$E37-N(発注計算!$I33),"")</f>
        <v>2.38235294117647</v>
      </c>
      <c r="G37" s="68" t="str">
        <f aca="false">IF(発注計算!$C33="","",IF(NOT(ISNUMBER($F37)),"データなし",IF($F37&lt;=0,"今日が期限",IF($F37&lt;=N(発注計算!$AG33),"要発注","余裕"))))</f>
        <v>余裕</v>
      </c>
      <c r="H37" s="67" t="n">
        <f aca="false">IF(OR(発注計算!$C33="",NOT(ISNUMBER(発注計算!$S33)),発注計算!$S33&lt;=0),"",(発注計算!$K33+N($J37)*N(発注計算!$G33))/発注計算!$S33)</f>
        <v>5.38235294117647</v>
      </c>
      <c r="I37" s="69" t="n">
        <f aca="false">IF(発注計算!$C33="","",発注計算!$Y33)</f>
        <v>3</v>
      </c>
      <c r="J37" s="70"/>
      <c r="K37" s="71" t="str">
        <f aca="false">IF($J37="","",N($J37)*N(発注計算!$H33))</f>
        <v/>
      </c>
      <c r="L37" s="72"/>
      <c r="M37" s="72"/>
      <c r="N37" s="72"/>
      <c r="O37" s="72"/>
      <c r="P37" s="72"/>
      <c r="Q37" s="72"/>
      <c r="R37" s="72"/>
      <c r="S37" s="72"/>
      <c r="T37" s="72"/>
      <c r="U37" s="72"/>
      <c r="V37" s="72"/>
      <c r="W37" s="72"/>
      <c r="X37" s="72"/>
      <c r="Y37" s="72"/>
      <c r="Z37" s="31" t="n">
        <f aca="false">IF(OR(N($J37)&lt;=0,AND(③発注書!$C$5&lt;&gt;"すべて",発注計算!$F33&lt;&gt;③発注書!$C$5)),N(Z36),N(Z36)+1)</f>
        <v>7</v>
      </c>
    </row>
    <row r="38" customFormat="false" ht="16.5" hidden="false" customHeight="true" outlineLevel="0" collapsed="false">
      <c r="B38" s="66" t="n">
        <v>29</v>
      </c>
      <c r="C38" s="66" t="str">
        <f aca="false">IF(発注計算!$C34="","",発注計算!$D34)</f>
        <v>ＩＣＥＥ　レッドストロベリー５Ｇ</v>
      </c>
      <c r="D38" s="66" t="str">
        <f aca="false">IF(発注計算!$C34="","",発注計算!$E34)</f>
        <v>その他ドリンク</v>
      </c>
      <c r="E38" s="67" t="n">
        <f aca="false">IF(発注計算!$C34="","",発注計算!$T34)</f>
        <v>25.4166666666667</v>
      </c>
      <c r="F38" s="67" t="n">
        <f aca="false">IF(ISNUMBER($E38),$E38-N(発注計算!$I34),"")</f>
        <v>18.4166666666667</v>
      </c>
      <c r="G38" s="68" t="str">
        <f aca="false">IF(発注計算!$C34="","",IF(NOT(ISNUMBER($F38)),"データなし",IF($F38&lt;=0,"今日が期限",IF($F38&lt;=N(発注計算!$AG34),"要発注","余裕"))))</f>
        <v>余裕</v>
      </c>
      <c r="H38" s="67" t="n">
        <f aca="false">IF(OR(発注計算!$C34="",NOT(ISNUMBER(発注計算!$S34)),発注計算!$S34&lt;=0),"",(発注計算!$K34+N($J38)*N(発注計算!$G34))/発注計算!$S34)</f>
        <v>25.4166666666667</v>
      </c>
      <c r="I38" s="69" t="n">
        <f aca="false">IF(発注計算!$C34="","",発注計算!$Y34)</f>
        <v>0</v>
      </c>
      <c r="J38" s="70"/>
      <c r="K38" s="71" t="str">
        <f aca="false">IF($J38="","",N($J38)*N(発注計算!$H34))</f>
        <v/>
      </c>
      <c r="L38" s="72"/>
      <c r="M38" s="72"/>
      <c r="N38" s="72"/>
      <c r="O38" s="72"/>
      <c r="P38" s="72"/>
      <c r="Q38" s="72"/>
      <c r="R38" s="72"/>
      <c r="S38" s="72"/>
      <c r="T38" s="72"/>
      <c r="U38" s="72"/>
      <c r="V38" s="72"/>
      <c r="W38" s="72"/>
      <c r="X38" s="72"/>
      <c r="Y38" s="72"/>
      <c r="Z38" s="31" t="n">
        <f aca="false">IF(OR(N($J38)&lt;=0,AND(③発注書!$C$5&lt;&gt;"すべて",発注計算!$F34&lt;&gt;③発注書!$C$5)),N(Z37),N(Z37)+1)</f>
        <v>7</v>
      </c>
    </row>
    <row r="39" customFormat="false" ht="16.5" hidden="false" customHeight="true" outlineLevel="0" collapsed="false">
      <c r="B39" s="66" t="n">
        <v>30</v>
      </c>
      <c r="C39" s="66" t="str">
        <f aca="false">IF(発注計算!$C35="","",発注計算!$D35)</f>
        <v>ＩＣＥＥ　イエローピーチ５Ｇ</v>
      </c>
      <c r="D39" s="66" t="str">
        <f aca="false">IF(発注計算!$C35="","",発注計算!$E35)</f>
        <v>その他ドリンク</v>
      </c>
      <c r="E39" s="67" t="n">
        <f aca="false">IF(発注計算!$C35="","",発注計算!$T35)</f>
        <v>55.4545454545455</v>
      </c>
      <c r="F39" s="67" t="n">
        <f aca="false">IF(ISNUMBER($E39),$E39-N(発注計算!$I35),"")</f>
        <v>52.4545454545455</v>
      </c>
      <c r="G39" s="68" t="str">
        <f aca="false">IF(発注計算!$C35="","",IF(NOT(ISNUMBER($F39)),"データなし",IF($F39&lt;=0,"今日が期限",IF($F39&lt;=N(発注計算!$AG35),"要発注","余裕"))))</f>
        <v>余裕</v>
      </c>
      <c r="H39" s="67" t="n">
        <f aca="false">IF(OR(発注計算!$C35="",NOT(ISNUMBER(発注計算!$S35)),発注計算!$S35&lt;=0),"",(発注計算!$K35+N($J39)*N(発注計算!$G35))/発注計算!$S35)</f>
        <v>55.4545454545455</v>
      </c>
      <c r="I39" s="69" t="n">
        <f aca="false">IF(発注計算!$C35="","",発注計算!$Y35)</f>
        <v>0</v>
      </c>
      <c r="J39" s="70"/>
      <c r="K39" s="71" t="str">
        <f aca="false">IF($J39="","",N($J39)*N(発注計算!$H35))</f>
        <v/>
      </c>
      <c r="L39" s="72"/>
      <c r="M39" s="72"/>
      <c r="N39" s="72"/>
      <c r="O39" s="72"/>
      <c r="P39" s="72"/>
      <c r="Q39" s="72"/>
      <c r="R39" s="72"/>
      <c r="S39" s="72"/>
      <c r="T39" s="72"/>
      <c r="U39" s="72"/>
      <c r="V39" s="72"/>
      <c r="W39" s="72"/>
      <c r="X39" s="72"/>
      <c r="Y39" s="72"/>
      <c r="Z39" s="31" t="n">
        <f aca="false">IF(OR(N($J39)&lt;=0,AND(③発注書!$C$5&lt;&gt;"すべて",発注計算!$F35&lt;&gt;③発注書!$C$5)),N(Z38),N(Z38)+1)</f>
        <v>7</v>
      </c>
    </row>
    <row r="40" customFormat="false" ht="16.5" hidden="false" customHeight="true" outlineLevel="0" collapsed="false">
      <c r="B40" s="66" t="n">
        <v>31</v>
      </c>
      <c r="C40" s="66" t="str">
        <f aca="false">IF(発注計算!$C36="","",発注計算!$D36)</f>
        <v>ブルーキュラソーシロップ</v>
      </c>
      <c r="D40" s="66" t="str">
        <f aca="false">IF(発注計算!$C36="","",発注計算!$E36)</f>
        <v>その他ドリンク</v>
      </c>
      <c r="E40" s="67" t="n">
        <f aca="false">IF(発注計算!$C36="","",発注計算!$T36)</f>
        <v>27.1111111111111</v>
      </c>
      <c r="F40" s="67" t="n">
        <f aca="false">IF(ISNUMBER($E40),$E40-N(発注計算!$I36),"")</f>
        <v>25.1111111111111</v>
      </c>
      <c r="G40" s="68" t="str">
        <f aca="false">IF(発注計算!$C36="","",IF(NOT(ISNUMBER($F40)),"データなし",IF($F40&lt;=0,"今日が期限",IF($F40&lt;=N(発注計算!$AG36),"要発注","余裕"))))</f>
        <v>余裕</v>
      </c>
      <c r="H40" s="67" t="n">
        <f aca="false">IF(OR(発注計算!$C36="",NOT(ISNUMBER(発注計算!$S36)),発注計算!$S36&lt;=0),"",(発注計算!$K36+N($J40)*N(発注計算!$G36))/発注計算!$S36)</f>
        <v>27.1111111111111</v>
      </c>
      <c r="I40" s="69" t="n">
        <f aca="false">IF(発注計算!$C36="","",発注計算!$Y36)</f>
        <v>0</v>
      </c>
      <c r="J40" s="70"/>
      <c r="K40" s="71" t="str">
        <f aca="false">IF($J40="","",N($J40)*N(発注計算!$H36))</f>
        <v/>
      </c>
      <c r="L40" s="72"/>
      <c r="M40" s="72"/>
      <c r="N40" s="72"/>
      <c r="O40" s="72"/>
      <c r="P40" s="72"/>
      <c r="Q40" s="72"/>
      <c r="R40" s="72"/>
      <c r="S40" s="72"/>
      <c r="T40" s="72"/>
      <c r="U40" s="72"/>
      <c r="V40" s="72"/>
      <c r="W40" s="72"/>
      <c r="X40" s="72"/>
      <c r="Y40" s="72"/>
      <c r="Z40" s="31" t="n">
        <f aca="false">IF(OR(N($J40)&lt;=0,AND(③発注書!$C$5&lt;&gt;"すべて",発注計算!$F36&lt;&gt;③発注書!$C$5)),N(Z39),N(Z39)+1)</f>
        <v>7</v>
      </c>
    </row>
    <row r="41" customFormat="false" ht="16.5" hidden="false" customHeight="true" outlineLevel="0" collapsed="false">
      <c r="B41" s="66" t="n">
        <v>32</v>
      </c>
      <c r="C41" s="66" t="str">
        <f aca="false">IF(発注計算!$C37="","",発注計算!$D37)</f>
        <v>ミネラルウォータい・ろ・は・す</v>
      </c>
      <c r="D41" s="66" t="str">
        <f aca="false">IF(発注計算!$C37="","",発注計算!$E37)</f>
        <v>その他ドリンク</v>
      </c>
      <c r="E41" s="67" t="n">
        <f aca="false">IF(発注計算!$C37="","",発注計算!$T37)</f>
        <v>35.6253443526171</v>
      </c>
      <c r="F41" s="67" t="n">
        <f aca="false">IF(ISNUMBER($E41),$E41-N(発注計算!$I37),"")</f>
        <v>32.6253443526171</v>
      </c>
      <c r="G41" s="68" t="str">
        <f aca="false">IF(発注計算!$C37="","",IF(NOT(ISNUMBER($F41)),"データなし",IF($F41&lt;=0,"今日が期限",IF($F41&lt;=N(発注計算!$AG37),"要発注","余裕"))))</f>
        <v>余裕</v>
      </c>
      <c r="H41" s="67" t="n">
        <f aca="false">IF(OR(発注計算!$C37="",NOT(ISNUMBER(発注計算!$S37)),発注計算!$S37&lt;=0),"",(発注計算!$K37+N($J41)*N(発注計算!$G37))/発注計算!$S37)</f>
        <v>35.6253443526171</v>
      </c>
      <c r="I41" s="69" t="n">
        <f aca="false">IF(発注計算!$C37="","",発注計算!$Y37)</f>
        <v>0</v>
      </c>
      <c r="J41" s="70"/>
      <c r="K41" s="71" t="str">
        <f aca="false">IF($J41="","",N($J41)*N(発注計算!$H37))</f>
        <v/>
      </c>
      <c r="L41" s="72"/>
      <c r="M41" s="72"/>
      <c r="N41" s="72"/>
      <c r="O41" s="72"/>
      <c r="P41" s="72"/>
      <c r="Q41" s="72"/>
      <c r="R41" s="72"/>
      <c r="S41" s="72"/>
      <c r="T41" s="72"/>
      <c r="U41" s="72"/>
      <c r="V41" s="72"/>
      <c r="W41" s="72"/>
      <c r="X41" s="72"/>
      <c r="Y41" s="72"/>
      <c r="Z41" s="31" t="n">
        <f aca="false">IF(OR(N($J41)&lt;=0,AND(③発注書!$C$5&lt;&gt;"すべて",発注計算!$F37&lt;&gt;③発注書!$C$5)),N(Z40),N(Z40)+1)</f>
        <v>7</v>
      </c>
    </row>
    <row r="42" customFormat="false" ht="16.5" hidden="false" customHeight="true" outlineLevel="0" collapsed="false">
      <c r="B42" s="66" t="n">
        <v>33</v>
      </c>
      <c r="C42" s="66" t="str">
        <f aca="false">IF(発注計算!$C38="","",発注計算!$D38)</f>
        <v>キャラメルグレーズ５０ＬＢＳ</v>
      </c>
      <c r="D42" s="66" t="str">
        <f aca="false">IF(発注計算!$C38="","",発注計算!$E38)</f>
        <v>ポップコーン</v>
      </c>
      <c r="E42" s="67" t="n">
        <f aca="false">IF(発注計算!$C38="","",発注計算!$T38)</f>
        <v>59.6444444444444</v>
      </c>
      <c r="F42" s="67" t="n">
        <f aca="false">IF(ISNUMBER($E42),$E42-N(発注計算!$I38),"")</f>
        <v>56.6444444444444</v>
      </c>
      <c r="G42" s="68" t="str">
        <f aca="false">IF(発注計算!$C38="","",IF(NOT(ISNUMBER($F42)),"データなし",IF($F42&lt;=0,"今日が期限",IF($F42&lt;=N(発注計算!$AG38),"要発注","余裕"))))</f>
        <v>余裕</v>
      </c>
      <c r="H42" s="67" t="n">
        <f aca="false">IF(OR(発注計算!$C38="",NOT(ISNUMBER(発注計算!$S38)),発注計算!$S38&lt;=0),"",(発注計算!$K38+N($J42)*N(発注計算!$G38))/発注計算!$S38)</f>
        <v>59.6444444444444</v>
      </c>
      <c r="I42" s="69" t="n">
        <f aca="false">IF(発注計算!$C38="","",発注計算!$Y38)</f>
        <v>0</v>
      </c>
      <c r="J42" s="70"/>
      <c r="K42" s="71" t="str">
        <f aca="false">IF($J42="","",N($J42)*N(発注計算!$H38))</f>
        <v/>
      </c>
      <c r="L42" s="72"/>
      <c r="M42" s="72"/>
      <c r="N42" s="72"/>
      <c r="O42" s="72"/>
      <c r="P42" s="72"/>
      <c r="Q42" s="72"/>
      <c r="R42" s="72"/>
      <c r="S42" s="72"/>
      <c r="T42" s="72"/>
      <c r="U42" s="72"/>
      <c r="V42" s="72"/>
      <c r="W42" s="72"/>
      <c r="X42" s="72"/>
      <c r="Y42" s="72"/>
      <c r="Z42" s="31" t="n">
        <f aca="false">IF(OR(N($J42)&lt;=0,AND(③発注書!$C$5&lt;&gt;"すべて",発注計算!$F38&lt;&gt;③発注書!$C$5)),N(Z41),N(Z41)+1)</f>
        <v>7</v>
      </c>
    </row>
    <row r="43" customFormat="false" ht="16.5" hidden="false" customHeight="true" outlineLevel="0" collapsed="false">
      <c r="B43" s="66" t="n">
        <v>34</v>
      </c>
      <c r="C43" s="66" t="str">
        <f aca="false">IF(発注計算!$C39="","",発注計算!$D39)</f>
        <v>ポップコーンブレンドオイルＢＩＢ</v>
      </c>
      <c r="D43" s="66" t="str">
        <f aca="false">IF(発注計算!$C39="","",発注計算!$E39)</f>
        <v>ポップコーン</v>
      </c>
      <c r="E43" s="67" t="n">
        <f aca="false">IF(発注計算!$C39="","",発注計算!$T39)</f>
        <v>15.741935483871</v>
      </c>
      <c r="F43" s="67" t="n">
        <f aca="false">IF(ISNUMBER($E43),$E43-N(発注計算!$I39),"")</f>
        <v>12.741935483871</v>
      </c>
      <c r="G43" s="68" t="str">
        <f aca="false">IF(発注計算!$C39="","",IF(NOT(ISNUMBER($F43)),"データなし",IF($F43&lt;=0,"今日が期限",IF($F43&lt;=N(発注計算!$AG39),"要発注","余裕"))))</f>
        <v>余裕</v>
      </c>
      <c r="H43" s="67" t="n">
        <f aca="false">IF(OR(発注計算!$C39="",NOT(ISNUMBER(発注計算!$S39)),発注計算!$S39&lt;=0),"",(発注計算!$K39+N($J43)*N(発注計算!$G39))/発注計算!$S39)</f>
        <v>15.741935483871</v>
      </c>
      <c r="I43" s="69" t="n">
        <f aca="false">IF(発注計算!$C39="","",発注計算!$Y39)</f>
        <v>0</v>
      </c>
      <c r="J43" s="70"/>
      <c r="K43" s="71" t="str">
        <f aca="false">IF($J43="","",N($J43)*N(発注計算!$H39))</f>
        <v/>
      </c>
      <c r="L43" s="72"/>
      <c r="M43" s="72"/>
      <c r="N43" s="72"/>
      <c r="O43" s="72"/>
      <c r="P43" s="72"/>
      <c r="Q43" s="72"/>
      <c r="R43" s="72"/>
      <c r="S43" s="72"/>
      <c r="T43" s="72"/>
      <c r="U43" s="72"/>
      <c r="V43" s="72"/>
      <c r="W43" s="72"/>
      <c r="X43" s="72"/>
      <c r="Y43" s="72"/>
      <c r="Z43" s="31" t="n">
        <f aca="false">IF(OR(N($J43)&lt;=0,AND(③発注書!$C$5&lt;&gt;"すべて",発注計算!$F39&lt;&gt;③発注書!$C$5)),N(Z42),N(Z42)+1)</f>
        <v>7</v>
      </c>
    </row>
    <row r="44" customFormat="false" ht="16.5" hidden="false" customHeight="true" outlineLevel="0" collapsed="false">
      <c r="B44" s="66" t="n">
        <v>35</v>
      </c>
      <c r="C44" s="66" t="str">
        <f aca="false">IF(発注計算!$C40="","",発注計算!$D40)</f>
        <v>ＪＳＵバターフレーバーオイル</v>
      </c>
      <c r="D44" s="66" t="str">
        <f aca="false">IF(発注計算!$C40="","",発注計算!$E40)</f>
        <v>ポップコーン</v>
      </c>
      <c r="E44" s="67" t="n">
        <f aca="false">IF(発注計算!$C40="","",発注計算!$T40)</f>
        <v>73.7865384615385</v>
      </c>
      <c r="F44" s="67" t="n">
        <f aca="false">IF(ISNUMBER($E44),$E44-N(発注計算!$I40),"")</f>
        <v>66.7865384615385</v>
      </c>
      <c r="G44" s="68" t="str">
        <f aca="false">IF(発注計算!$C40="","",IF(NOT(ISNUMBER($F44)),"データなし",IF($F44&lt;=0,"今日が期限",IF($F44&lt;=N(発注計算!$AG40),"要発注","余裕"))))</f>
        <v>余裕</v>
      </c>
      <c r="H44" s="67" t="n">
        <f aca="false">IF(OR(発注計算!$C40="",NOT(ISNUMBER(発注計算!$S40)),発注計算!$S40&lt;=0),"",(発注計算!$K40+N($J44)*N(発注計算!$G40))/発注計算!$S40)</f>
        <v>73.7865384615385</v>
      </c>
      <c r="I44" s="69" t="n">
        <f aca="false">IF(発注計算!$C40="","",発注計算!$Y40)</f>
        <v>0</v>
      </c>
      <c r="J44" s="70"/>
      <c r="K44" s="71" t="str">
        <f aca="false">IF($J44="","",N($J44)*N(発注計算!$H40))</f>
        <v/>
      </c>
      <c r="L44" s="72"/>
      <c r="M44" s="72"/>
      <c r="N44" s="72"/>
      <c r="O44" s="72"/>
      <c r="P44" s="72"/>
      <c r="Q44" s="72"/>
      <c r="R44" s="72"/>
      <c r="S44" s="72"/>
      <c r="T44" s="72"/>
      <c r="U44" s="72"/>
      <c r="V44" s="72"/>
      <c r="W44" s="72"/>
      <c r="X44" s="72"/>
      <c r="Y44" s="72"/>
      <c r="Z44" s="31" t="n">
        <f aca="false">IF(OR(N($J44)&lt;=0,AND(③発注書!$C$5&lt;&gt;"すべて",発注計算!$F40&lt;&gt;③発注書!$C$5)),N(Z43),N(Z43)+1)</f>
        <v>7</v>
      </c>
    </row>
    <row r="45" customFormat="false" ht="16.5" hidden="false" customHeight="true" outlineLevel="0" collapsed="false">
      <c r="B45" s="66" t="n">
        <v>36</v>
      </c>
      <c r="C45" s="66" t="str">
        <f aca="false">IF(発注計算!$C41="","",発注計算!$D41)</f>
        <v>シネマイク　濃厚バター醤油味</v>
      </c>
      <c r="D45" s="66" t="str">
        <f aca="false">IF(発注計算!$C41="","",発注計算!$E41)</f>
        <v>ポップコーン</v>
      </c>
      <c r="E45" s="67" t="n">
        <f aca="false">IF(発注計算!$C41="","",発注計算!$T41)</f>
        <v>23.5438596491228</v>
      </c>
      <c r="F45" s="67" t="n">
        <f aca="false">IF(ISNUMBER($E45),$E45-N(発注計算!$I41),"")</f>
        <v>20.5438596491228</v>
      </c>
      <c r="G45" s="68" t="str">
        <f aca="false">IF(発注計算!$C41="","",IF(NOT(ISNUMBER($F45)),"データなし",IF($F45&lt;=0,"今日が期限",IF($F45&lt;=N(発注計算!$AG41),"要発注","余裕"))))</f>
        <v>余裕</v>
      </c>
      <c r="H45" s="67" t="n">
        <f aca="false">IF(OR(発注計算!$C41="",NOT(ISNUMBER(発注計算!$S41)),発注計算!$S41&lt;=0),"",(発注計算!$K41+N($J45)*N(発注計算!$G41))/発注計算!$S41)</f>
        <v>23.5438596491228</v>
      </c>
      <c r="I45" s="69" t="n">
        <f aca="false">IF(発注計算!$C41="","",発注計算!$Y41)</f>
        <v>0</v>
      </c>
      <c r="J45" s="70"/>
      <c r="K45" s="71" t="str">
        <f aca="false">IF($J45="","",N($J45)*N(発注計算!$H41))</f>
        <v/>
      </c>
      <c r="L45" s="72"/>
      <c r="M45" s="72"/>
      <c r="N45" s="72"/>
      <c r="O45" s="72"/>
      <c r="P45" s="72"/>
      <c r="Q45" s="72"/>
      <c r="R45" s="72"/>
      <c r="S45" s="72"/>
      <c r="T45" s="72"/>
      <c r="U45" s="72"/>
      <c r="V45" s="72"/>
      <c r="W45" s="72"/>
      <c r="X45" s="72"/>
      <c r="Y45" s="72"/>
      <c r="Z45" s="31" t="n">
        <f aca="false">IF(OR(N($J45)&lt;=0,AND(③発注書!$C$5&lt;&gt;"すべて",発注計算!$F41&lt;&gt;③発注書!$C$5)),N(Z44),N(Z44)+1)</f>
        <v>7</v>
      </c>
    </row>
    <row r="46" customFormat="false" ht="16.5" hidden="false" customHeight="true" outlineLevel="0" collapsed="false">
      <c r="B46" s="66" t="n">
        <v>37</v>
      </c>
      <c r="C46" s="66" t="str">
        <f aca="false">IF(発注計算!$C42="","",発注計算!$D42)</f>
        <v>シネマイク　トリュフバターシーズ</v>
      </c>
      <c r="D46" s="66" t="str">
        <f aca="false">IF(発注計算!$C42="","",発注計算!$E42)</f>
        <v>ポップコーン</v>
      </c>
      <c r="E46" s="67" t="n">
        <f aca="false">IF(発注計算!$C42="","",発注計算!$T42)</f>
        <v>58.0483870967742</v>
      </c>
      <c r="F46" s="67" t="n">
        <f aca="false">IF(ISNUMBER($E46),$E46-N(発注計算!$I42),"")</f>
        <v>56.0483870967742</v>
      </c>
      <c r="G46" s="68" t="str">
        <f aca="false">IF(発注計算!$C42="","",IF(NOT(ISNUMBER($F46)),"データなし",IF($F46&lt;=0,"今日が期限",IF($F46&lt;=N(発注計算!$AG42),"要発注","余裕"))))</f>
        <v>余裕</v>
      </c>
      <c r="H46" s="67" t="n">
        <f aca="false">IF(OR(発注計算!$C42="",NOT(ISNUMBER(発注計算!$S42)),発注計算!$S42&lt;=0),"",(発注計算!$K42+N($J46)*N(発注計算!$G42))/発注計算!$S42)</f>
        <v>58.0483870967742</v>
      </c>
      <c r="I46" s="69" t="n">
        <f aca="false">IF(発注計算!$C42="","",発注計算!$Y42)</f>
        <v>0</v>
      </c>
      <c r="J46" s="70"/>
      <c r="K46" s="71" t="str">
        <f aca="false">IF($J46="","",N($J46)*N(発注計算!$H42))</f>
        <v/>
      </c>
      <c r="L46" s="72"/>
      <c r="M46" s="72"/>
      <c r="N46" s="72"/>
      <c r="O46" s="72"/>
      <c r="P46" s="72"/>
      <c r="Q46" s="72"/>
      <c r="R46" s="72"/>
      <c r="S46" s="72"/>
      <c r="T46" s="72"/>
      <c r="U46" s="72"/>
      <c r="V46" s="72"/>
      <c r="W46" s="72"/>
      <c r="X46" s="72"/>
      <c r="Y46" s="72"/>
      <c r="Z46" s="31" t="n">
        <f aca="false">IF(OR(N($J46)&lt;=0,AND(③発注書!$C$5&lt;&gt;"すべて",発注計算!$F42&lt;&gt;③発注書!$C$5)),N(Z45),N(Z45)+1)</f>
        <v>7</v>
      </c>
    </row>
    <row r="47" customFormat="false" ht="16.5" hidden="false" customHeight="true" outlineLevel="0" collapsed="false">
      <c r="B47" s="66" t="n">
        <v>38</v>
      </c>
      <c r="C47" s="66" t="str">
        <f aca="false">IF(発注計算!$C43="","",発注計算!$D43)</f>
        <v>サッポロポテトバーベＱシーズニン</v>
      </c>
      <c r="D47" s="66" t="str">
        <f aca="false">IF(発注計算!$C43="","",発注計算!$E43)</f>
        <v>ポップコーン</v>
      </c>
      <c r="E47" s="67" t="n">
        <f aca="false">IF(発注計算!$C43="","",発注計算!$T43)</f>
        <v>-39.8367346938776</v>
      </c>
      <c r="F47" s="67" t="n">
        <f aca="false">IF(ISNUMBER($E47),$E47-N(発注計算!$I43),"")</f>
        <v>-41.8367346938776</v>
      </c>
      <c r="G47" s="68" t="str">
        <f aca="false">IF(発注計算!$C43="","",IF(NOT(ISNUMBER($F47)),"データなし",IF($F47&lt;=0,"今日が期限",IF($F47&lt;=N(発注計算!$AG43),"要発注","余裕"))))</f>
        <v>今日が期限</v>
      </c>
      <c r="H47" s="67" t="n">
        <f aca="false">IF(OR(発注計算!$C43="",NOT(ISNUMBER(発注計算!$S43)),発注計算!$S43&lt;=0),"",(発注計算!$K43+N($J47)*N(発注計算!$G43))/発注計算!$S43)</f>
        <v>-39.8367346938776</v>
      </c>
      <c r="I47" s="69" t="n">
        <f aca="false">IF(発注計算!$C43="","",発注計算!$Y43)</f>
        <v>44</v>
      </c>
      <c r="J47" s="70"/>
      <c r="K47" s="71" t="str">
        <f aca="false">IF($J47="","",N($J47)*N(発注計算!$H43))</f>
        <v/>
      </c>
      <c r="L47" s="72"/>
      <c r="M47" s="72"/>
      <c r="N47" s="72"/>
      <c r="O47" s="72"/>
      <c r="P47" s="72"/>
      <c r="Q47" s="72"/>
      <c r="R47" s="72"/>
      <c r="S47" s="72"/>
      <c r="T47" s="72"/>
      <c r="U47" s="72"/>
      <c r="V47" s="72"/>
      <c r="W47" s="72"/>
      <c r="X47" s="72"/>
      <c r="Y47" s="72"/>
      <c r="Z47" s="31" t="n">
        <f aca="false">IF(OR(N($J47)&lt;=0,AND(③発注書!$C$5&lt;&gt;"すべて",発注計算!$F43&lt;&gt;③発注書!$C$5)),N(Z46),N(Z46)+1)</f>
        <v>7</v>
      </c>
    </row>
    <row r="48" customFormat="false" ht="16.5" hidden="false" customHeight="true" outlineLevel="0" collapsed="false">
      <c r="B48" s="66" t="n">
        <v>39</v>
      </c>
      <c r="C48" s="66" t="str">
        <f aca="false">IF(発注計算!$C44="","",発注計算!$D44)</f>
        <v>ＴＨ　サッポロポテトバーベＱ味</v>
      </c>
      <c r="D48" s="66" t="str">
        <f aca="false">IF(発注計算!$C44="","",発注計算!$E44)</f>
        <v>ポップコーン</v>
      </c>
      <c r="E48" s="67" t="n">
        <f aca="false">IF(発注計算!$C44="","",発注計算!$T44)</f>
        <v>28.7712550607287</v>
      </c>
      <c r="F48" s="67" t="n">
        <f aca="false">IF(ISNUMBER($E48),$E48-N(発注計算!$I44),"")</f>
        <v>23.7712550607287</v>
      </c>
      <c r="G48" s="68" t="str">
        <f aca="false">IF(発注計算!$C44="","",IF(NOT(ISNUMBER($F48)),"データなし",IF($F48&lt;=0,"今日が期限",IF($F48&lt;=N(発注計算!$AG44),"要発注","余裕"))))</f>
        <v>余裕</v>
      </c>
      <c r="H48" s="67" t="n">
        <f aca="false">IF(OR(発注計算!$C44="",NOT(ISNUMBER(発注計算!$S44)),発注計算!$S44&lt;=0),"",(発注計算!$K44+N($J48)*N(発注計算!$G44))/発注計算!$S44)</f>
        <v>28.7712550607287</v>
      </c>
      <c r="I48" s="69" t="n">
        <f aca="false">IF(発注計算!$C44="","",発注計算!$Y44)</f>
        <v>0</v>
      </c>
      <c r="J48" s="70"/>
      <c r="K48" s="71" t="str">
        <f aca="false">IF($J48="","",N($J48)*N(発注計算!$H44))</f>
        <v/>
      </c>
      <c r="L48" s="72"/>
      <c r="M48" s="72"/>
      <c r="N48" s="72"/>
      <c r="O48" s="72"/>
      <c r="P48" s="72"/>
      <c r="Q48" s="72"/>
      <c r="R48" s="72"/>
      <c r="S48" s="72"/>
      <c r="T48" s="72"/>
      <c r="U48" s="72"/>
      <c r="V48" s="72"/>
      <c r="W48" s="72"/>
      <c r="X48" s="72"/>
      <c r="Y48" s="72"/>
      <c r="Z48" s="31" t="n">
        <f aca="false">IF(OR(N($J48)&lt;=0,AND(③発注書!$C$5&lt;&gt;"すべて",発注計算!$F44&lt;&gt;③発注書!$C$5)),N(Z47),N(Z47)+1)</f>
        <v>7</v>
      </c>
    </row>
    <row r="49" customFormat="false" ht="16.5" hidden="false" customHeight="true" outlineLevel="0" collapsed="false">
      <c r="B49" s="66" t="n">
        <v>40</v>
      </c>
      <c r="C49" s="66" t="str">
        <f aca="false">IF(発注計算!$C45="","",発注計算!$D45)</f>
        <v>Ｒｅｉｓｔポップコーン豆</v>
      </c>
      <c r="D49" s="66" t="str">
        <f aca="false">IF(発注計算!$C45="","",発注計算!$E45)</f>
        <v>ポップコーン</v>
      </c>
      <c r="E49" s="67" t="n">
        <f aca="false">IF(発注計算!$C45="","",発注計算!$T45)</f>
        <v>2.37662337662338</v>
      </c>
      <c r="F49" s="67" t="n">
        <f aca="false">IF(ISNUMBER($E49),$E49-N(発注計算!$I45),"")</f>
        <v>0.376623376623376</v>
      </c>
      <c r="G49" s="68" t="str">
        <f aca="false">IF(発注計算!$C45="","",IF(NOT(ISNUMBER($F49)),"データなし",IF($F49&lt;=0,"今日が期限",IF($F49&lt;=N(発注計算!$AG45),"要発注","余裕"))))</f>
        <v>要発注</v>
      </c>
      <c r="H49" s="67" t="n">
        <f aca="false">IF(OR(発注計算!$C45="",NOT(ISNUMBER(発注計算!$S45)),発注計算!$S45&lt;=0),"",(発注計算!$K45+N($J49)*N(発注計算!$G45))/発注計算!$S45)</f>
        <v>2.37662337662338</v>
      </c>
      <c r="I49" s="69" t="n">
        <f aca="false">IF(発注計算!$C45="","",発注計算!$Y45)</f>
        <v>42</v>
      </c>
      <c r="J49" s="70"/>
      <c r="K49" s="71" t="str">
        <f aca="false">IF($J49="","",N($J49)*N(発注計算!$H45))</f>
        <v/>
      </c>
      <c r="L49" s="72"/>
      <c r="M49" s="72"/>
      <c r="N49" s="72"/>
      <c r="O49" s="72"/>
      <c r="P49" s="72"/>
      <c r="Q49" s="72"/>
      <c r="R49" s="72"/>
      <c r="S49" s="72"/>
      <c r="T49" s="72"/>
      <c r="U49" s="72"/>
      <c r="V49" s="72"/>
      <c r="W49" s="72"/>
      <c r="X49" s="72"/>
      <c r="Y49" s="72"/>
      <c r="Z49" s="31" t="n">
        <f aca="false">IF(OR(N($J49)&lt;=0,AND(③発注書!$C$5&lt;&gt;"すべて",発注計算!$F45&lt;&gt;③発注書!$C$5)),N(Z48),N(Z48)+1)</f>
        <v>7</v>
      </c>
    </row>
    <row r="50" customFormat="false" ht="16.5" hidden="false" customHeight="true" outlineLevel="0" collapsed="false">
      <c r="B50" s="66" t="n">
        <v>41</v>
      </c>
      <c r="C50" s="66" t="str">
        <f aca="false">IF(発注計算!$C46="","",発注計算!$D46)</f>
        <v>シネマイク　塩キャラメル味シーズ</v>
      </c>
      <c r="D50" s="66" t="str">
        <f aca="false">IF(発注計算!$C46="","",発注計算!$E46)</f>
        <v>ポップコーン</v>
      </c>
      <c r="E50" s="67" t="n">
        <f aca="false">IF(発注計算!$C46="","",発注計算!$T46)</f>
        <v>-23.3456790123457</v>
      </c>
      <c r="F50" s="67" t="n">
        <f aca="false">IF(ISNUMBER($E50),$E50-N(発注計算!$I46),"")</f>
        <v>-30.3456790123457</v>
      </c>
      <c r="G50" s="68" t="str">
        <f aca="false">IF(発注計算!$C46="","",IF(NOT(ISNUMBER($F50)),"データなし",IF($F50&lt;=0,"今日が期限",IF($F50&lt;=N(発注計算!$AG46),"要発注","余裕"))))</f>
        <v>今日が期限</v>
      </c>
      <c r="H50" s="67" t="n">
        <f aca="false">IF(OR(発注計算!$C46="",NOT(ISNUMBER(発注計算!$S46)),発注計算!$S46&lt;=0),"",(発注計算!$K46+N($J50)*N(発注計算!$G46))/発注計算!$S46)</f>
        <v>-23.3456790123457</v>
      </c>
      <c r="I50" s="69" t="n">
        <f aca="false">IF(発注計算!$C46="","",発注計算!$Y46)</f>
        <v>56</v>
      </c>
      <c r="J50" s="70"/>
      <c r="K50" s="71" t="str">
        <f aca="false">IF($J50="","",N($J50)*N(発注計算!$H46))</f>
        <v/>
      </c>
      <c r="L50" s="72"/>
      <c r="M50" s="72"/>
      <c r="N50" s="72"/>
      <c r="O50" s="72"/>
      <c r="P50" s="72"/>
      <c r="Q50" s="72"/>
      <c r="R50" s="72"/>
      <c r="S50" s="72"/>
      <c r="T50" s="72"/>
      <c r="U50" s="72"/>
      <c r="V50" s="72"/>
      <c r="W50" s="72"/>
      <c r="X50" s="72"/>
      <c r="Y50" s="72"/>
      <c r="Z50" s="31" t="n">
        <f aca="false">IF(OR(N($J50)&lt;=0,AND(③発注書!$C$5&lt;&gt;"すべて",発注計算!$F46&lt;&gt;③発注書!$C$5)),N(Z49),N(Z49)+1)</f>
        <v>7</v>
      </c>
    </row>
    <row r="51" customFormat="false" ht="16.5" hidden="false" customHeight="true" outlineLevel="0" collapsed="false">
      <c r="B51" s="66" t="n">
        <v>42</v>
      </c>
      <c r="C51" s="66" t="str">
        <f aca="false">IF(発注計算!$C47="","",発注計算!$D47)</f>
        <v>シネマイク　ブラックＰ味シーズニ</v>
      </c>
      <c r="D51" s="66" t="str">
        <f aca="false">IF(発注計算!$C47="","",発注計算!$E47)</f>
        <v>ポップコーン</v>
      </c>
      <c r="E51" s="67" t="n">
        <f aca="false">IF(発注計算!$C47="","",発注計算!$T47)</f>
        <v>87.7804878048781</v>
      </c>
      <c r="F51" s="67" t="n">
        <f aca="false">IF(ISNUMBER($E51),$E51-N(発注計算!$I47),"")</f>
        <v>82.7804878048781</v>
      </c>
      <c r="G51" s="68" t="str">
        <f aca="false">IF(発注計算!$C47="","",IF(NOT(ISNUMBER($F51)),"データなし",IF($F51&lt;=0,"今日が期限",IF($F51&lt;=N(発注計算!$AG47),"要発注","余裕"))))</f>
        <v>余裕</v>
      </c>
      <c r="H51" s="67" t="n">
        <f aca="false">IF(OR(発注計算!$C47="",NOT(ISNUMBER(発注計算!$S47)),発注計算!$S47&lt;=0),"",(発注計算!$K47+N($J51)*N(発注計算!$G47))/発注計算!$S47)</f>
        <v>87.7804878048781</v>
      </c>
      <c r="I51" s="69" t="n">
        <f aca="false">IF(発注計算!$C47="","",発注計算!$Y47)</f>
        <v>0</v>
      </c>
      <c r="J51" s="70"/>
      <c r="K51" s="71" t="str">
        <f aca="false">IF($J51="","",N($J51)*N(発注計算!$H47))</f>
        <v/>
      </c>
      <c r="L51" s="72"/>
      <c r="M51" s="72"/>
      <c r="N51" s="72"/>
      <c r="O51" s="72"/>
      <c r="P51" s="72"/>
      <c r="Q51" s="72"/>
      <c r="R51" s="72"/>
      <c r="S51" s="72"/>
      <c r="T51" s="72"/>
      <c r="U51" s="72"/>
      <c r="V51" s="72"/>
      <c r="W51" s="72"/>
      <c r="X51" s="72"/>
      <c r="Y51" s="72"/>
      <c r="Z51" s="31" t="n">
        <f aca="false">IF(OR(N($J51)&lt;=0,AND(③発注書!$C$5&lt;&gt;"すべて",発注計算!$F47&lt;&gt;③発注書!$C$5)),N(Z50),N(Z50)+1)</f>
        <v>7</v>
      </c>
    </row>
    <row r="52" customFormat="false" ht="16.5" hidden="false" customHeight="true" outlineLevel="0" collapsed="false">
      <c r="B52" s="66" t="n">
        <v>43</v>
      </c>
      <c r="C52" s="66" t="str">
        <f aca="false">IF(発注計算!$C48="","",発注計算!$D48)</f>
        <v>ＴＨキャラメルポップコーンオイル</v>
      </c>
      <c r="D52" s="66" t="str">
        <f aca="false">IF(発注計算!$C48="","",発注計算!$E48)</f>
        <v>ポップコーン</v>
      </c>
      <c r="E52" s="67" t="n">
        <f aca="false">IF(発注計算!$C48="","",発注計算!$T48)</f>
        <v>-3.21052631578947</v>
      </c>
      <c r="F52" s="67" t="n">
        <f aca="false">IF(ISNUMBER($E52),$E52-N(発注計算!$I48),"")</f>
        <v>-5.21052631578947</v>
      </c>
      <c r="G52" s="68" t="str">
        <f aca="false">IF(発注計算!$C48="","",IF(NOT(ISNUMBER($F52)),"データなし",IF($F52&lt;=0,"今日が期限",IF($F52&lt;=N(発注計算!$AG48),"要発注","余裕"))))</f>
        <v>今日が期限</v>
      </c>
      <c r="H52" s="67" t="n">
        <f aca="false">IF(OR(発注計算!$C48="",NOT(ISNUMBER(発注計算!$S48)),発注計算!$S48&lt;=0),"",(発注計算!$K48+N($J52)*N(発注計算!$G48))/発注計算!$S48)</f>
        <v>-3.21052631578947</v>
      </c>
      <c r="I52" s="69" t="n">
        <f aca="false">IF(発注計算!$C48="","",発注計算!$Y48)</f>
        <v>72</v>
      </c>
      <c r="J52" s="70"/>
      <c r="K52" s="71" t="str">
        <f aca="false">IF($J52="","",N($J52)*N(発注計算!$H48))</f>
        <v/>
      </c>
      <c r="L52" s="72"/>
      <c r="M52" s="72"/>
      <c r="N52" s="72"/>
      <c r="O52" s="72"/>
      <c r="P52" s="72"/>
      <c r="Q52" s="72"/>
      <c r="R52" s="72"/>
      <c r="S52" s="72"/>
      <c r="T52" s="72"/>
      <c r="U52" s="72"/>
      <c r="V52" s="72"/>
      <c r="W52" s="72"/>
      <c r="X52" s="72"/>
      <c r="Y52" s="72"/>
      <c r="Z52" s="31" t="n">
        <f aca="false">IF(OR(N($J52)&lt;=0,AND(③発注書!$C$5&lt;&gt;"すべて",発注計算!$F48&lt;&gt;③発注書!$C$5)),N(Z51),N(Z51)+1)</f>
        <v>7</v>
      </c>
    </row>
    <row r="53" customFormat="false" ht="16.5" hidden="false" customHeight="true" outlineLevel="0" collapsed="false">
      <c r="B53" s="66" t="n">
        <v>44</v>
      </c>
      <c r="C53" s="66" t="str">
        <f aca="false">IF(発注計算!$C49="","",発注計算!$D49)</f>
        <v>味ぽんあじ　シーズニング</v>
      </c>
      <c r="D53" s="66" t="str">
        <f aca="false">IF(発注計算!$C49="","",発注計算!$E49)</f>
        <v>ポップコーン</v>
      </c>
      <c r="E53" s="67" t="n">
        <f aca="false">IF(発注計算!$C49="","",発注計算!$T49)</f>
        <v>10.484375</v>
      </c>
      <c r="F53" s="67" t="n">
        <f aca="false">IF(ISNUMBER($E53),$E53-N(発注計算!$I49),"")</f>
        <v>8.484375</v>
      </c>
      <c r="G53" s="68" t="str">
        <f aca="false">IF(発注計算!$C49="","",IF(NOT(ISNUMBER($F53)),"データなし",IF($F53&lt;=0,"今日が期限",IF($F53&lt;=N(発注計算!$AG49),"要発注","余裕"))))</f>
        <v>余裕</v>
      </c>
      <c r="H53" s="67" t="n">
        <f aca="false">IF(OR(発注計算!$C49="",NOT(ISNUMBER(発注計算!$S49)),発注計算!$S49&lt;=0),"",(発注計算!$K49+N($J53)*N(発注計算!$G49))/発注計算!$S49)</f>
        <v>10.484375</v>
      </c>
      <c r="I53" s="69" t="n">
        <f aca="false">IF(発注計算!$C49="","",発注計算!$Y49)</f>
        <v>4</v>
      </c>
      <c r="J53" s="70"/>
      <c r="K53" s="71" t="str">
        <f aca="false">IF($J53="","",N($J53)*N(発注計算!$H49))</f>
        <v/>
      </c>
      <c r="L53" s="72"/>
      <c r="M53" s="72"/>
      <c r="N53" s="72"/>
      <c r="O53" s="72"/>
      <c r="P53" s="72"/>
      <c r="Q53" s="72"/>
      <c r="R53" s="72"/>
      <c r="S53" s="72"/>
      <c r="T53" s="72"/>
      <c r="U53" s="72"/>
      <c r="V53" s="72"/>
      <c r="W53" s="72"/>
      <c r="X53" s="72"/>
      <c r="Y53" s="72"/>
      <c r="Z53" s="31" t="n">
        <f aca="false">IF(OR(N($J53)&lt;=0,AND(③発注書!$C$5&lt;&gt;"すべて",発注計算!$F49&lt;&gt;③発注書!$C$5)),N(Z52),N(Z52)+1)</f>
        <v>7</v>
      </c>
    </row>
    <row r="54" customFormat="false" ht="16.5" hidden="false" customHeight="true" outlineLevel="0" collapsed="false">
      <c r="B54" s="66" t="n">
        <v>45</v>
      </c>
      <c r="C54" s="66" t="str">
        <f aca="false">IF(発注計算!$C50="","",発注計算!$D50)</f>
        <v>チーズバーガー味シーズニング</v>
      </c>
      <c r="D54" s="66" t="str">
        <f aca="false">IF(発注計算!$C50="","",発注計算!$E50)</f>
        <v>ポップコーン</v>
      </c>
      <c r="E54" s="67" t="n">
        <f aca="false">IF(発注計算!$C50="","",発注計算!$T50)</f>
        <v>67.1</v>
      </c>
      <c r="F54" s="67" t="n">
        <f aca="false">IF(ISNUMBER($E54),$E54-N(発注計算!$I50),"")</f>
        <v>60.1</v>
      </c>
      <c r="G54" s="68" t="str">
        <f aca="false">IF(発注計算!$C50="","",IF(NOT(ISNUMBER($F54)),"データなし",IF($F54&lt;=0,"今日が期限",IF($F54&lt;=N(発注計算!$AG50),"要発注","余裕"))))</f>
        <v>余裕</v>
      </c>
      <c r="H54" s="67" t="n">
        <f aca="false">IF(OR(発注計算!$C50="",NOT(ISNUMBER(発注計算!$S50)),発注計算!$S50&lt;=0),"",(発注計算!$K50+N($J54)*N(発注計算!$G50))/発注計算!$S50)</f>
        <v>67.1</v>
      </c>
      <c r="I54" s="69" t="n">
        <f aca="false">IF(発注計算!$C50="","",発注計算!$Y50)</f>
        <v>0</v>
      </c>
      <c r="J54" s="70"/>
      <c r="K54" s="71" t="str">
        <f aca="false">IF($J54="","",N($J54)*N(発注計算!$H50))</f>
        <v/>
      </c>
      <c r="L54" s="72"/>
      <c r="M54" s="72"/>
      <c r="N54" s="72"/>
      <c r="O54" s="72"/>
      <c r="P54" s="72"/>
      <c r="Q54" s="72"/>
      <c r="R54" s="72"/>
      <c r="S54" s="72"/>
      <c r="T54" s="72"/>
      <c r="U54" s="72"/>
      <c r="V54" s="72"/>
      <c r="W54" s="72"/>
      <c r="X54" s="72"/>
      <c r="Y54" s="72"/>
      <c r="Z54" s="31" t="n">
        <f aca="false">IF(OR(N($J54)&lt;=0,AND(③発注書!$C$5&lt;&gt;"すべて",発注計算!$F50&lt;&gt;③発注書!$C$5)),N(Z53),N(Z53)+1)</f>
        <v>7</v>
      </c>
    </row>
    <row r="55" customFormat="false" ht="16.5" hidden="false" customHeight="true" outlineLevel="0" collapsed="false">
      <c r="B55" s="66" t="n">
        <v>46</v>
      </c>
      <c r="C55" s="66" t="str">
        <f aca="false">IF(発注計算!$C51="","",発注計算!$D51)</f>
        <v>一体型ホットドッグ（プレーン）</v>
      </c>
      <c r="D55" s="66" t="str">
        <f aca="false">IF(発注計算!$C51="","",発注計算!$E51)</f>
        <v>ホットドッグ</v>
      </c>
      <c r="E55" s="67" t="n">
        <f aca="false">IF(発注計算!$C51="","",発注計算!$T51)</f>
        <v>52.6237684729064</v>
      </c>
      <c r="F55" s="67" t="n">
        <f aca="false">IF(ISNUMBER($E55),$E55-N(発注計算!$I51),"")</f>
        <v>49.6237684729064</v>
      </c>
      <c r="G55" s="68" t="str">
        <f aca="false">IF(発注計算!$C51="","",IF(NOT(ISNUMBER($F55)),"データなし",IF($F55&lt;=0,"今日が期限",IF($F55&lt;=N(発注計算!$AG51),"要発注","余裕"))))</f>
        <v>余裕</v>
      </c>
      <c r="H55" s="67" t="n">
        <f aca="false">IF(OR(発注計算!$C51="",NOT(ISNUMBER(発注計算!$S51)),発注計算!$S51&lt;=0),"",(発注計算!$K51+N($J55)*N(発注計算!$G51))/発注計算!$S51)</f>
        <v>52.6237684729064</v>
      </c>
      <c r="I55" s="69" t="n">
        <f aca="false">IF(発注計算!$C51="","",発注計算!$Y51)</f>
        <v>0</v>
      </c>
      <c r="J55" s="70"/>
      <c r="K55" s="71" t="str">
        <f aca="false">IF($J55="","",N($J55)*N(発注計算!$H51))</f>
        <v/>
      </c>
      <c r="L55" s="72"/>
      <c r="M55" s="72"/>
      <c r="N55" s="72"/>
      <c r="O55" s="72"/>
      <c r="P55" s="72"/>
      <c r="Q55" s="72"/>
      <c r="R55" s="72"/>
      <c r="S55" s="72"/>
      <c r="T55" s="72"/>
      <c r="U55" s="72"/>
      <c r="V55" s="72"/>
      <c r="W55" s="72"/>
      <c r="X55" s="72"/>
      <c r="Y55" s="72"/>
      <c r="Z55" s="31" t="n">
        <f aca="false">IF(OR(N($J55)&lt;=0,AND(③発注書!$C$5&lt;&gt;"すべて",発注計算!$F51&lt;&gt;③発注書!$C$5)),N(Z54),N(Z54)+1)</f>
        <v>7</v>
      </c>
    </row>
    <row r="56" customFormat="false" ht="16.5" hidden="false" customHeight="true" outlineLevel="0" collapsed="false">
      <c r="B56" s="66" t="n">
        <v>47</v>
      </c>
      <c r="C56" s="66" t="str">
        <f aca="false">IF(発注計算!$C52="","",発注計算!$D52)</f>
        <v>プレミアムドッグ　ビーフシチュー</v>
      </c>
      <c r="D56" s="66" t="str">
        <f aca="false">IF(発注計算!$C52="","",発注計算!$E52)</f>
        <v>ホットドッグ</v>
      </c>
      <c r="E56" s="67" t="n">
        <f aca="false">IF(発注計算!$C52="","",発注計算!$T52)</f>
        <v>13.4874371859296</v>
      </c>
      <c r="F56" s="67" t="n">
        <f aca="false">IF(ISNUMBER($E56),$E56-N(発注計算!$I52),"")</f>
        <v>6.48743718592965</v>
      </c>
      <c r="G56" s="68" t="str">
        <f aca="false">IF(発注計算!$C52="","",IF(NOT(ISNUMBER($F56)),"データなし",IF($F56&lt;=0,"今日が期限",IF($F56&lt;=N(発注計算!$AG52),"要発注","余裕"))))</f>
        <v>余裕</v>
      </c>
      <c r="H56" s="67" t="n">
        <f aca="false">IF(OR(発注計算!$C52="",NOT(ISNUMBER(発注計算!$S52)),発注計算!$S52&lt;=0),"",(発注計算!$K52+N($J56)*N(発注計算!$G52))/発注計算!$S52)</f>
        <v>13.4874371859296</v>
      </c>
      <c r="I56" s="69" t="n">
        <f aca="false">IF(発注計算!$C52="","",発注計算!$Y52)</f>
        <v>5</v>
      </c>
      <c r="J56" s="70"/>
      <c r="K56" s="71" t="str">
        <f aca="false">IF($J56="","",N($J56)*N(発注計算!$H52))</f>
        <v/>
      </c>
      <c r="L56" s="72"/>
      <c r="M56" s="72"/>
      <c r="N56" s="72"/>
      <c r="O56" s="72"/>
      <c r="P56" s="72"/>
      <c r="Q56" s="72"/>
      <c r="R56" s="72"/>
      <c r="S56" s="72"/>
      <c r="T56" s="72"/>
      <c r="U56" s="72"/>
      <c r="V56" s="72"/>
      <c r="W56" s="72"/>
      <c r="X56" s="72"/>
      <c r="Y56" s="72"/>
      <c r="Z56" s="31" t="n">
        <f aca="false">IF(OR(N($J56)&lt;=0,AND(③発注書!$C$5&lt;&gt;"すべて",発注計算!$F52&lt;&gt;③発注書!$C$5)),N(Z55),N(Z55)+1)</f>
        <v>7</v>
      </c>
    </row>
    <row r="57" customFormat="false" ht="16.5" hidden="false" customHeight="true" outlineLevel="0" collapsed="false">
      <c r="B57" s="66" t="n">
        <v>48</v>
      </c>
      <c r="C57" s="66" t="str">
        <f aca="false">IF(発注計算!$C53="","",発注計算!$D53)</f>
        <v>ＴＨ　スパイシーハラペー　オリ</v>
      </c>
      <c r="D57" s="66" t="str">
        <f aca="false">IF(発注計算!$C53="","",発注計算!$E53)</f>
        <v>ホットドッグ</v>
      </c>
      <c r="E57" s="67" t="n">
        <f aca="false">IF(発注計算!$C53="","",発注計算!$T53)</f>
        <v>51.5440729483283</v>
      </c>
      <c r="F57" s="67" t="n">
        <f aca="false">IF(ISNUMBER($E57),$E57-N(発注計算!$I53),"")</f>
        <v>48.5440729483283</v>
      </c>
      <c r="G57" s="68" t="str">
        <f aca="false">IF(発注計算!$C53="","",IF(NOT(ISNUMBER($F57)),"データなし",IF($F57&lt;=0,"今日が期限",IF($F57&lt;=N(発注計算!$AG53),"要発注","余裕"))))</f>
        <v>余裕</v>
      </c>
      <c r="H57" s="67" t="n">
        <f aca="false">IF(OR(発注計算!$C53="",NOT(ISNUMBER(発注計算!$S53)),発注計算!$S53&lt;=0),"",(発注計算!$K53+N($J57)*N(発注計算!$G53))/発注計算!$S53)</f>
        <v>51.5440729483283</v>
      </c>
      <c r="I57" s="69" t="n">
        <f aca="false">IF(発注計算!$C53="","",発注計算!$Y53)</f>
        <v>0</v>
      </c>
      <c r="J57" s="70"/>
      <c r="K57" s="71" t="str">
        <f aca="false">IF($J57="","",N($J57)*N(発注計算!$H53))</f>
        <v/>
      </c>
      <c r="L57" s="72"/>
      <c r="M57" s="72"/>
      <c r="N57" s="72"/>
      <c r="O57" s="72"/>
      <c r="P57" s="72"/>
      <c r="Q57" s="72"/>
      <c r="R57" s="72"/>
      <c r="S57" s="72"/>
      <c r="T57" s="72"/>
      <c r="U57" s="72"/>
      <c r="V57" s="72"/>
      <c r="W57" s="72"/>
      <c r="X57" s="72"/>
      <c r="Y57" s="72"/>
      <c r="Z57" s="31" t="n">
        <f aca="false">IF(OR(N($J57)&lt;=0,AND(③発注書!$C$5&lt;&gt;"すべて",発注計算!$F53&lt;&gt;③発注書!$C$5)),N(Z56),N(Z56)+1)</f>
        <v>7</v>
      </c>
    </row>
    <row r="58" customFormat="false" ht="16.5" hidden="false" customHeight="true" outlineLevel="0" collapsed="false">
      <c r="B58" s="66" t="n">
        <v>49</v>
      </c>
      <c r="C58" s="66" t="str">
        <f aca="false">IF(発注計算!$C54="","",発注計算!$D54)</f>
        <v>プレミアムホットドッグガリポテ</v>
      </c>
      <c r="D58" s="66" t="str">
        <f aca="false">IF(発注計算!$C54="","",発注計算!$E54)</f>
        <v>ホットドッグ</v>
      </c>
      <c r="E58" s="67" t="n">
        <f aca="false">IF(発注計算!$C54="","",発注計算!$T54)</f>
        <v>1.50087873462214</v>
      </c>
      <c r="F58" s="67" t="n">
        <f aca="false">IF(ISNUMBER($E58),$E58-N(発注計算!$I54),"")</f>
        <v>-1.49912126537786</v>
      </c>
      <c r="G58" s="68" t="str">
        <f aca="false">IF(発注計算!$C54="","",IF(NOT(ISNUMBER($F58)),"データなし",IF($F58&lt;=0,"今日が期限",IF($F58&lt;=N(発注計算!$AG54),"要発注","余裕"))))</f>
        <v>今日が期限</v>
      </c>
      <c r="H58" s="67" t="n">
        <f aca="false">IF(OR(発注計算!$C54="",NOT(ISNUMBER(発注計算!$S54)),発注計算!$S54&lt;=0),"",(発注計算!$K54+N($J58)*N(発注計算!$G54))/発注計算!$S54)</f>
        <v>1.50087873462214</v>
      </c>
      <c r="I58" s="69" t="n">
        <f aca="false">IF(発注計算!$C54="","",発注計算!$Y54)</f>
        <v>1</v>
      </c>
      <c r="J58" s="70"/>
      <c r="K58" s="71" t="str">
        <f aca="false">IF($J58="","",N($J58)*N(発注計算!$H54))</f>
        <v/>
      </c>
      <c r="L58" s="72"/>
      <c r="M58" s="72"/>
      <c r="N58" s="72"/>
      <c r="O58" s="72"/>
      <c r="P58" s="72"/>
      <c r="Q58" s="72"/>
      <c r="R58" s="72"/>
      <c r="S58" s="72"/>
      <c r="T58" s="72"/>
      <c r="U58" s="72"/>
      <c r="V58" s="72"/>
      <c r="W58" s="72"/>
      <c r="X58" s="72"/>
      <c r="Y58" s="72"/>
      <c r="Z58" s="31" t="n">
        <f aca="false">IF(OR(N($J58)&lt;=0,AND(③発注書!$C$5&lt;&gt;"すべて",発注計算!$F54&lt;&gt;③発注書!$C$5)),N(Z57),N(Z57)+1)</f>
        <v>7</v>
      </c>
    </row>
    <row r="59" customFormat="false" ht="16.5" hidden="false" customHeight="true" outlineLevel="0" collapsed="false">
      <c r="B59" s="66" t="n">
        <v>50</v>
      </c>
      <c r="C59" s="66" t="str">
        <f aca="false">IF(発注計算!$C55="","",発注計算!$D55)</f>
        <v>シチリア岩塩＆クワトロハーブ</v>
      </c>
      <c r="D59" s="66" t="str">
        <f aca="false">IF(発注計算!$C55="","",発注計算!$E55)</f>
        <v>軽食系フード</v>
      </c>
      <c r="E59" s="67" t="n">
        <f aca="false">IF(発注計算!$C55="","",発注計算!$T55)</f>
        <v>61</v>
      </c>
      <c r="F59" s="67" t="n">
        <f aca="false">IF(ISNUMBER($E59),$E59-N(発注計算!$I55),"")</f>
        <v>56</v>
      </c>
      <c r="G59" s="68" t="str">
        <f aca="false">IF(発注計算!$C55="","",IF(NOT(ISNUMBER($F59)),"データなし",IF($F59&lt;=0,"今日が期限",IF($F59&lt;=N(発注計算!$AG55),"要発注","余裕"))))</f>
        <v>余裕</v>
      </c>
      <c r="H59" s="67" t="n">
        <f aca="false">IF(OR(発注計算!$C55="",NOT(ISNUMBER(発注計算!$S55)),発注計算!$S55&lt;=0),"",(発注計算!$K55+N($J59)*N(発注計算!$G55))/発注計算!$S55)</f>
        <v>61</v>
      </c>
      <c r="I59" s="69" t="n">
        <f aca="false">IF(発注計算!$C55="","",発注計算!$Y55)</f>
        <v>2</v>
      </c>
      <c r="J59" s="70"/>
      <c r="K59" s="71" t="str">
        <f aca="false">IF($J59="","",N($J59)*N(発注計算!$H55))</f>
        <v/>
      </c>
      <c r="L59" s="72"/>
      <c r="M59" s="72"/>
      <c r="N59" s="72"/>
      <c r="O59" s="72"/>
      <c r="P59" s="72"/>
      <c r="Q59" s="72"/>
      <c r="R59" s="72"/>
      <c r="S59" s="72"/>
      <c r="T59" s="72"/>
      <c r="U59" s="72"/>
      <c r="V59" s="72"/>
      <c r="W59" s="72"/>
      <c r="X59" s="72"/>
      <c r="Y59" s="72"/>
      <c r="Z59" s="31" t="n">
        <f aca="false">IF(OR(N($J59)&lt;=0,AND(③発注書!$C$5&lt;&gt;"すべて",発注計算!$F55&lt;&gt;③発注書!$C$5)),N(Z58),N(Z58)+1)</f>
        <v>7</v>
      </c>
    </row>
    <row r="60" customFormat="false" ht="16.5" hidden="false" customHeight="true" outlineLevel="0" collapsed="false">
      <c r="B60" s="66" t="n">
        <v>51</v>
      </c>
      <c r="C60" s="66" t="str">
        <f aca="false">IF(発注計算!$C56="","",発注計算!$D56)</f>
        <v>レンジポテト（個包装）</v>
      </c>
      <c r="D60" s="66" t="str">
        <f aca="false">IF(発注計算!$C56="","",発注計算!$E56)</f>
        <v>軽食系フード</v>
      </c>
      <c r="E60" s="67" t="n">
        <f aca="false">IF(発注計算!$C56="","",発注計算!$T56)</f>
        <v>91.5</v>
      </c>
      <c r="F60" s="67" t="n">
        <f aca="false">IF(ISNUMBER($E60),$E60-N(発注計算!$I56),"")</f>
        <v>84.5</v>
      </c>
      <c r="G60" s="68" t="str">
        <f aca="false">IF(発注計算!$C56="","",IF(NOT(ISNUMBER($F60)),"データなし",IF($F60&lt;=0,"今日が期限",IF($F60&lt;=N(発注計算!$AG56),"要発注","余裕"))))</f>
        <v>余裕</v>
      </c>
      <c r="H60" s="67" t="n">
        <f aca="false">IF(OR(発注計算!$C56="",NOT(ISNUMBER(発注計算!$S56)),発注計算!$S56&lt;=0),"",(発注計算!$K56+N($J60)*N(発注計算!$G56))/発注計算!$S56)</f>
        <v>91.5</v>
      </c>
      <c r="I60" s="69" t="n">
        <f aca="false">IF(発注計算!$C56="","",発注計算!$Y56)</f>
        <v>0</v>
      </c>
      <c r="J60" s="70"/>
      <c r="K60" s="71" t="str">
        <f aca="false">IF($J60="","",N($J60)*N(発注計算!$H56))</f>
        <v/>
      </c>
      <c r="L60" s="72"/>
      <c r="M60" s="72"/>
      <c r="N60" s="72"/>
      <c r="O60" s="72"/>
      <c r="P60" s="72"/>
      <c r="Q60" s="72"/>
      <c r="R60" s="72"/>
      <c r="S60" s="72"/>
      <c r="T60" s="72"/>
      <c r="U60" s="72"/>
      <c r="V60" s="72"/>
      <c r="W60" s="72"/>
      <c r="X60" s="72"/>
      <c r="Y60" s="72"/>
      <c r="Z60" s="31" t="n">
        <f aca="false">IF(OR(N($J60)&lt;=0,AND(③発注書!$C$5&lt;&gt;"すべて",発注計算!$F56&lt;&gt;③発注書!$C$5)),N(Z59),N(Z59)+1)</f>
        <v>7</v>
      </c>
    </row>
    <row r="61" customFormat="false" ht="16.5" hidden="false" customHeight="true" outlineLevel="0" collapsed="false">
      <c r="B61" s="66" t="n">
        <v>52</v>
      </c>
      <c r="C61" s="66" t="str">
        <f aca="false">IF(発注計算!$C57="","",発注計算!$D57)</f>
        <v>スパイシー！ポップチキン（個包装</v>
      </c>
      <c r="D61" s="66" t="str">
        <f aca="false">IF(発注計算!$C57="","",発注計算!$E57)</f>
        <v>軽食系フード</v>
      </c>
      <c r="E61" s="67" t="n">
        <f aca="false">IF(発注計算!$C57="","",発注計算!$T57)</f>
        <v>25.8582034149963</v>
      </c>
      <c r="F61" s="67" t="n">
        <f aca="false">IF(ISNUMBER($E61),$E61-N(発注計算!$I57),"")</f>
        <v>21.8582034149963</v>
      </c>
      <c r="G61" s="68" t="str">
        <f aca="false">IF(発注計算!$C57="","",IF(NOT(ISNUMBER($F61)),"データなし",IF($F61&lt;=0,"今日が期限",IF($F61&lt;=N(発注計算!$AG57),"要発注","余裕"))))</f>
        <v>余裕</v>
      </c>
      <c r="H61" s="67" t="n">
        <f aca="false">IF(OR(発注計算!$C57="",NOT(ISNUMBER(発注計算!$S57)),発注計算!$S57&lt;=0),"",(発注計算!$K57+N($J61)*N(発注計算!$G57))/発注計算!$S57)</f>
        <v>25.8582034149963</v>
      </c>
      <c r="I61" s="69" t="n">
        <f aca="false">IF(発注計算!$C57="","",発注計算!$Y57)</f>
        <v>0</v>
      </c>
      <c r="J61" s="70"/>
      <c r="K61" s="71" t="str">
        <f aca="false">IF($J61="","",N($J61)*N(発注計算!$H57))</f>
        <v/>
      </c>
      <c r="L61" s="72"/>
      <c r="M61" s="72"/>
      <c r="N61" s="72"/>
      <c r="O61" s="72"/>
      <c r="P61" s="72"/>
      <c r="Q61" s="72"/>
      <c r="R61" s="72"/>
      <c r="S61" s="72"/>
      <c r="T61" s="72"/>
      <c r="U61" s="72"/>
      <c r="V61" s="72"/>
      <c r="W61" s="72"/>
      <c r="X61" s="72"/>
      <c r="Y61" s="72"/>
      <c r="Z61" s="31" t="n">
        <f aca="false">IF(OR(N($J61)&lt;=0,AND(③発注書!$C$5&lt;&gt;"すべて",発注計算!$F57&lt;&gt;③発注書!$C$5)),N(Z60),N(Z60)+1)</f>
        <v>7</v>
      </c>
    </row>
    <row r="62" customFormat="false" ht="16.5" hidden="false" customHeight="true" outlineLevel="0" collapsed="false">
      <c r="B62" s="66" t="n">
        <v>53</v>
      </c>
      <c r="C62" s="66" t="str">
        <f aca="false">IF(発注計算!$C58="","",発注計算!$D58)</f>
        <v>チュリトス（プレーン）</v>
      </c>
      <c r="D62" s="66" t="str">
        <f aca="false">IF(発注計算!$C58="","",発注計算!$E58)</f>
        <v>調理系スイーツ</v>
      </c>
      <c r="E62" s="67" t="n">
        <f aca="false">IF(発注計算!$C58="","",発注計算!$T58)</f>
        <v>13.446080760095</v>
      </c>
      <c r="F62" s="67" t="n">
        <f aca="false">IF(ISNUMBER($E62),$E62-N(発注計算!$I58),"")</f>
        <v>10.446080760095</v>
      </c>
      <c r="G62" s="68" t="str">
        <f aca="false">IF(発注計算!$C58="","",IF(NOT(ISNUMBER($F62)),"データなし",IF($F62&lt;=0,"今日が期限",IF($F62&lt;=N(発注計算!$AG58),"要発注","余裕"))))</f>
        <v>余裕</v>
      </c>
      <c r="H62" s="67" t="n">
        <f aca="false">IF(OR(発注計算!$C58="",NOT(ISNUMBER(発注計算!$S58)),発注計算!$S58&lt;=0),"",(発注計算!$K58+N($J62)*N(発注計算!$G58))/発注計算!$S58)</f>
        <v>13.446080760095</v>
      </c>
      <c r="I62" s="69" t="n">
        <f aca="false">IF(発注計算!$C58="","",発注計算!$Y58)</f>
        <v>0</v>
      </c>
      <c r="J62" s="70"/>
      <c r="K62" s="71" t="str">
        <f aca="false">IF($J62="","",N($J62)*N(発注計算!$H58))</f>
        <v/>
      </c>
      <c r="L62" s="72"/>
      <c r="M62" s="72"/>
      <c r="N62" s="72"/>
      <c r="O62" s="72"/>
      <c r="P62" s="72"/>
      <c r="Q62" s="72"/>
      <c r="R62" s="72"/>
      <c r="S62" s="72"/>
      <c r="T62" s="72"/>
      <c r="U62" s="72"/>
      <c r="V62" s="72"/>
      <c r="W62" s="72"/>
      <c r="X62" s="72"/>
      <c r="Y62" s="72"/>
      <c r="Z62" s="31" t="n">
        <f aca="false">IF(OR(N($J62)&lt;=0,AND(③発注書!$C$5&lt;&gt;"すべて",発注計算!$F58&lt;&gt;③発注書!$C$5)),N(Z61),N(Z61)+1)</f>
        <v>7</v>
      </c>
    </row>
    <row r="63" customFormat="false" ht="16.5" hidden="false" customHeight="true" outlineLevel="0" collapsed="false">
      <c r="B63" s="66" t="n">
        <v>54</v>
      </c>
      <c r="C63" s="66" t="str">
        <f aca="false">IF(発注計算!$C59="","",発注計算!$D59)</f>
        <v>チョコレートクリームチュリトス</v>
      </c>
      <c r="D63" s="66" t="str">
        <f aca="false">IF(発注計算!$C59="","",発注計算!$E59)</f>
        <v>調理系スイーツ</v>
      </c>
      <c r="E63" s="67" t="n">
        <f aca="false">IF(発注計算!$C59="","",発注計算!$T59)</f>
        <v>49.2857142857143</v>
      </c>
      <c r="F63" s="67" t="n">
        <f aca="false">IF(ISNUMBER($E63),$E63-N(発注計算!$I59),"")</f>
        <v>46.2857142857143</v>
      </c>
      <c r="G63" s="68" t="str">
        <f aca="false">IF(発注計算!$C59="","",IF(NOT(ISNUMBER($F63)),"データなし",IF($F63&lt;=0,"今日が期限",IF($F63&lt;=N(発注計算!$AG59),"要発注","余裕"))))</f>
        <v>余裕</v>
      </c>
      <c r="H63" s="67" t="n">
        <f aca="false">IF(OR(発注計算!$C59="",NOT(ISNUMBER(発注計算!$S59)),発注計算!$S59&lt;=0),"",(発注計算!$K59+N($J63)*N(発注計算!$G59))/発注計算!$S59)</f>
        <v>49.2857142857143</v>
      </c>
      <c r="I63" s="69" t="n">
        <f aca="false">IF(発注計算!$C59="","",発注計算!$Y59)</f>
        <v>0</v>
      </c>
      <c r="J63" s="70"/>
      <c r="K63" s="71" t="str">
        <f aca="false">IF($J63="","",N($J63)*N(発注計算!$H59))</f>
        <v/>
      </c>
      <c r="L63" s="72"/>
      <c r="M63" s="72"/>
      <c r="N63" s="72"/>
      <c r="O63" s="72"/>
      <c r="P63" s="72"/>
      <c r="Q63" s="72"/>
      <c r="R63" s="72"/>
      <c r="S63" s="72"/>
      <c r="T63" s="72"/>
      <c r="U63" s="72"/>
      <c r="V63" s="72"/>
      <c r="W63" s="72"/>
      <c r="X63" s="72"/>
      <c r="Y63" s="72"/>
      <c r="Z63" s="31" t="n">
        <f aca="false">IF(OR(N($J63)&lt;=0,AND(③発注書!$C$5&lt;&gt;"すべて",発注計算!$F59&lt;&gt;③発注書!$C$5)),N(Z62),N(Z62)+1)</f>
        <v>7</v>
      </c>
    </row>
    <row r="64" customFormat="false" ht="16.5" hidden="false" customHeight="true" outlineLevel="0" collapsed="false">
      <c r="B64" s="66" t="n">
        <v>55</v>
      </c>
      <c r="C64" s="66" t="str">
        <f aca="false">IF(発注計算!$C60="","",発注計算!$D60)</f>
        <v>カラーシュガー　ホワイト</v>
      </c>
      <c r="D64" s="66" t="str">
        <f aca="false">IF(発注計算!$C60="","",発注計算!$E60)</f>
        <v>調理系スイーツ</v>
      </c>
      <c r="E64" s="67" t="n">
        <f aca="false">IF(発注計算!$C60="","",発注計算!$T60)</f>
        <v>36.6</v>
      </c>
      <c r="F64" s="67" t="n">
        <f aca="false">IF(ISNUMBER($E64),$E64-N(発注計算!$I60),"")</f>
        <v>33.6</v>
      </c>
      <c r="G64" s="68" t="str">
        <f aca="false">IF(発注計算!$C60="","",IF(NOT(ISNUMBER($F64)),"データなし",IF($F64&lt;=0,"今日が期限",IF($F64&lt;=N(発注計算!$AG60),"要発注","余裕"))))</f>
        <v>余裕</v>
      </c>
      <c r="H64" s="67" t="n">
        <f aca="false">IF(OR(発注計算!$C60="",NOT(ISNUMBER(発注計算!$S60)),発注計算!$S60&lt;=0),"",(発注計算!$K60+N($J64)*N(発注計算!$G60))/発注計算!$S60)</f>
        <v>36.6</v>
      </c>
      <c r="I64" s="69" t="n">
        <f aca="false">IF(発注計算!$C60="","",発注計算!$Y60)</f>
        <v>0</v>
      </c>
      <c r="J64" s="70"/>
      <c r="K64" s="71" t="str">
        <f aca="false">IF($J64="","",N($J64)*N(発注計算!$H60))</f>
        <v/>
      </c>
      <c r="L64" s="72"/>
      <c r="M64" s="72"/>
      <c r="N64" s="72"/>
      <c r="O64" s="72"/>
      <c r="P64" s="72"/>
      <c r="Q64" s="72"/>
      <c r="R64" s="72"/>
      <c r="S64" s="72"/>
      <c r="T64" s="72"/>
      <c r="U64" s="72"/>
      <c r="V64" s="72"/>
      <c r="W64" s="72"/>
      <c r="X64" s="72"/>
      <c r="Y64" s="72"/>
      <c r="Z64" s="31" t="n">
        <f aca="false">IF(OR(N($J64)&lt;=0,AND(③発注書!$C$5&lt;&gt;"すべて",発注計算!$F60&lt;&gt;③発注書!$C$5)),N(Z63),N(Z63)+1)</f>
        <v>7</v>
      </c>
    </row>
    <row r="65" customFormat="false" ht="16.5" hidden="false" customHeight="true" outlineLevel="0" collapsed="false">
      <c r="B65" s="66" t="n">
        <v>56</v>
      </c>
      <c r="C65" s="66" t="str">
        <f aca="false">IF(発注計算!$C61="","",発注計算!$D61)</f>
        <v>カラーシュガー　ピンク</v>
      </c>
      <c r="D65" s="66" t="str">
        <f aca="false">IF(発注計算!$C61="","",発注計算!$E61)</f>
        <v>調理系スイーツ</v>
      </c>
      <c r="E65" s="67" t="n">
        <f aca="false">IF(発注計算!$C61="","",発注計算!$T61)</f>
        <v>43.5714285714286</v>
      </c>
      <c r="F65" s="67" t="n">
        <f aca="false">IF(ISNUMBER($E65),$E65-N(発注計算!$I61),"")</f>
        <v>38.5714285714286</v>
      </c>
      <c r="G65" s="68" t="str">
        <f aca="false">IF(発注計算!$C61="","",IF(NOT(ISNUMBER($F65)),"データなし",IF($F65&lt;=0,"今日が期限",IF($F65&lt;=N(発注計算!$AG61),"要発注","余裕"))))</f>
        <v>余裕</v>
      </c>
      <c r="H65" s="67" t="n">
        <f aca="false">IF(OR(発注計算!$C61="",NOT(ISNUMBER(発注計算!$S61)),発注計算!$S61&lt;=0),"",(発注計算!$K61+N($J65)*N(発注計算!$G61))/発注計算!$S61)</f>
        <v>43.5714285714286</v>
      </c>
      <c r="I65" s="69" t="n">
        <f aca="false">IF(発注計算!$C61="","",発注計算!$Y61)</f>
        <v>0</v>
      </c>
      <c r="J65" s="70"/>
      <c r="K65" s="71" t="str">
        <f aca="false">IF($J65="","",N($J65)*N(発注計算!$H61))</f>
        <v/>
      </c>
      <c r="L65" s="72"/>
      <c r="M65" s="72"/>
      <c r="N65" s="72"/>
      <c r="O65" s="72"/>
      <c r="P65" s="72"/>
      <c r="Q65" s="72"/>
      <c r="R65" s="72"/>
      <c r="S65" s="72"/>
      <c r="T65" s="72"/>
      <c r="U65" s="72"/>
      <c r="V65" s="72"/>
      <c r="W65" s="72"/>
      <c r="X65" s="72"/>
      <c r="Y65" s="72"/>
      <c r="Z65" s="31" t="n">
        <f aca="false">IF(OR(N($J65)&lt;=0,AND(③発注書!$C$5&lt;&gt;"すべて",発注計算!$F61&lt;&gt;③発注書!$C$5)),N(Z64),N(Z64)+1)</f>
        <v>7</v>
      </c>
    </row>
    <row r="66" customFormat="false" ht="16.5" hidden="false" customHeight="true" outlineLevel="0" collapsed="false">
      <c r="B66" s="66" t="n">
        <v>57</v>
      </c>
      <c r="C66" s="66" t="str">
        <f aca="false">IF(発注計算!$C62="","",発注計算!$D62)</f>
        <v>カラーシュガー　パープル</v>
      </c>
      <c r="D66" s="66" t="str">
        <f aca="false">IF(発注計算!$C62="","",発注計算!$E62)</f>
        <v>調理系スイーツ</v>
      </c>
      <c r="E66" s="67" t="n">
        <f aca="false">IF(発注計算!$C62="","",発注計算!$T62)</f>
        <v>0</v>
      </c>
      <c r="F66" s="67" t="n">
        <f aca="false">IF(ISNUMBER($E66),$E66-N(発注計算!$I62),"")</f>
        <v>-7</v>
      </c>
      <c r="G66" s="68" t="str">
        <f aca="false">IF(発注計算!$C62="","",IF(NOT(ISNUMBER($F66)),"データなし",IF($F66&lt;=0,"今日が期限",IF($F66&lt;=N(発注計算!$AG62),"要発注","余裕"))))</f>
        <v>今日が期限</v>
      </c>
      <c r="H66" s="67" t="n">
        <f aca="false">IF(OR(発注計算!$C62="",NOT(ISNUMBER(発注計算!$S62)),発注計算!$S62&lt;=0),"",(発注計算!$K62+N($J66)*N(発注計算!$G62))/発注計算!$S62)</f>
        <v>0</v>
      </c>
      <c r="I66" s="69" t="n">
        <f aca="false">IF(発注計算!$C62="","",発注計算!$Y62)</f>
        <v>5</v>
      </c>
      <c r="J66" s="70"/>
      <c r="K66" s="71" t="str">
        <f aca="false">IF($J66="","",N($J66)*N(発注計算!$H62))</f>
        <v/>
      </c>
      <c r="L66" s="72"/>
      <c r="M66" s="72"/>
      <c r="N66" s="72"/>
      <c r="O66" s="72"/>
      <c r="P66" s="72"/>
      <c r="Q66" s="72"/>
      <c r="R66" s="72"/>
      <c r="S66" s="72"/>
      <c r="T66" s="72"/>
      <c r="U66" s="72"/>
      <c r="V66" s="72"/>
      <c r="W66" s="72"/>
      <c r="X66" s="72"/>
      <c r="Y66" s="72"/>
      <c r="Z66" s="31" t="n">
        <f aca="false">IF(OR(N($J66)&lt;=0,AND(③発注書!$C$5&lt;&gt;"すべて",発注計算!$F62&lt;&gt;③発注書!$C$5)),N(Z65),N(Z65)+1)</f>
        <v>7</v>
      </c>
    </row>
    <row r="67" customFormat="false" ht="16.5" hidden="false" customHeight="true" outlineLevel="0" collapsed="false">
      <c r="B67" s="66" t="n">
        <v>58</v>
      </c>
      <c r="C67" s="66" t="str">
        <f aca="false">IF(発注計算!$C63="","",発注計算!$D63)</f>
        <v>カラーシュガー　ブルー</v>
      </c>
      <c r="D67" s="66" t="str">
        <f aca="false">IF(発注計算!$C63="","",発注計算!$E63)</f>
        <v>調理系スイーツ</v>
      </c>
      <c r="E67" s="67" t="n">
        <f aca="false">IF(発注計算!$C63="","",発注計算!$T63)</f>
        <v>100.965517241379</v>
      </c>
      <c r="F67" s="67" t="n">
        <f aca="false">IF(ISNUMBER($E67),$E67-N(発注計算!$I63),"")</f>
        <v>93.9655172413793</v>
      </c>
      <c r="G67" s="68" t="str">
        <f aca="false">IF(発注計算!$C63="","",IF(NOT(ISNUMBER($F67)),"データなし",IF($F67&lt;=0,"今日が期限",IF($F67&lt;=N(発注計算!$AG63),"要発注","余裕"))))</f>
        <v>余裕</v>
      </c>
      <c r="H67" s="67" t="n">
        <f aca="false">IF(OR(発注計算!$C63="",NOT(ISNUMBER(発注計算!$S63)),発注計算!$S63&lt;=0),"",(発注計算!$K63+N($J67)*N(発注計算!$G63))/発注計算!$S63)</f>
        <v>100.965517241379</v>
      </c>
      <c r="I67" s="69" t="n">
        <f aca="false">IF(発注計算!$C63="","",発注計算!$Y63)</f>
        <v>0</v>
      </c>
      <c r="J67" s="70"/>
      <c r="K67" s="71" t="str">
        <f aca="false">IF($J67="","",N($J67)*N(発注計算!$H63))</f>
        <v/>
      </c>
      <c r="L67" s="72"/>
      <c r="M67" s="72"/>
      <c r="N67" s="72"/>
      <c r="O67" s="72"/>
      <c r="P67" s="72"/>
      <c r="Q67" s="72"/>
      <c r="R67" s="72"/>
      <c r="S67" s="72"/>
      <c r="T67" s="72"/>
      <c r="U67" s="72"/>
      <c r="V67" s="72"/>
      <c r="W67" s="72"/>
      <c r="X67" s="72"/>
      <c r="Y67" s="72"/>
      <c r="Z67" s="31" t="n">
        <f aca="false">IF(OR(N($J67)&lt;=0,AND(③発注書!$C$5&lt;&gt;"すべて",発注計算!$F63&lt;&gt;③発注書!$C$5)),N(Z66),N(Z66)+1)</f>
        <v>7</v>
      </c>
    </row>
    <row r="68" customFormat="false" ht="16.5" hidden="false" customHeight="true" outlineLevel="0" collapsed="false">
      <c r="B68" s="66" t="n">
        <v>59</v>
      </c>
      <c r="C68" s="66" t="str">
        <f aca="false">IF(発注計算!$C64="","",発注計算!$D64)</f>
        <v>カラーシュガー　グリーン</v>
      </c>
      <c r="D68" s="66" t="str">
        <f aca="false">IF(発注計算!$C64="","",発注計算!$E64)</f>
        <v>調理系スイーツ</v>
      </c>
      <c r="E68" s="67" t="n">
        <f aca="false">IF(発注計算!$C64="","",発注計算!$T64)</f>
        <v>43.2083333333333</v>
      </c>
      <c r="F68" s="67" t="n">
        <f aca="false">IF(ISNUMBER($E68),$E68-N(発注計算!$I64),"")</f>
        <v>36.2083333333333</v>
      </c>
      <c r="G68" s="68" t="str">
        <f aca="false">IF(発注計算!$C64="","",IF(NOT(ISNUMBER($F68)),"データなし",IF($F68&lt;=0,"今日が期限",IF($F68&lt;=N(発注計算!$AG64),"要発注","余裕"))))</f>
        <v>余裕</v>
      </c>
      <c r="H68" s="67" t="n">
        <f aca="false">IF(OR(発注計算!$C64="",NOT(ISNUMBER(発注計算!$S64)),発注計算!$S64&lt;=0),"",(発注計算!$K64+N($J68)*N(発注計算!$G64))/発注計算!$S64)</f>
        <v>43.2083333333333</v>
      </c>
      <c r="I68" s="69" t="n">
        <f aca="false">IF(発注計算!$C64="","",発注計算!$Y64)</f>
        <v>0</v>
      </c>
      <c r="J68" s="70"/>
      <c r="K68" s="71" t="str">
        <f aca="false">IF($J68="","",N($J68)*N(発注計算!$H64))</f>
        <v/>
      </c>
      <c r="L68" s="72"/>
      <c r="M68" s="72"/>
      <c r="N68" s="72"/>
      <c r="O68" s="72"/>
      <c r="P68" s="72"/>
      <c r="Q68" s="72"/>
      <c r="R68" s="72"/>
      <c r="S68" s="72"/>
      <c r="T68" s="72"/>
      <c r="U68" s="72"/>
      <c r="V68" s="72"/>
      <c r="W68" s="72"/>
      <c r="X68" s="72"/>
      <c r="Y68" s="72"/>
      <c r="Z68" s="31" t="n">
        <f aca="false">IF(OR(N($J68)&lt;=0,AND(③発注書!$C$5&lt;&gt;"すべて",発注計算!$F64&lt;&gt;③発注書!$C$5)),N(Z67),N(Z67)+1)</f>
        <v>7</v>
      </c>
    </row>
    <row r="69" customFormat="false" ht="16.5" hidden="false" customHeight="true" outlineLevel="0" collapsed="false">
      <c r="B69" s="66" t="n">
        <v>60</v>
      </c>
      <c r="C69" s="66" t="str">
        <f aca="false">IF(発注計算!$C65="","",発注計算!$D65)</f>
        <v>カラーシュガー　イエロー</v>
      </c>
      <c r="D69" s="66" t="str">
        <f aca="false">IF(発注計算!$C65="","",発注計算!$E65)</f>
        <v>調理系スイーツ</v>
      </c>
      <c r="E69" s="67" t="n">
        <f aca="false">IF(発注計算!$C65="","",発注計算!$T65)</f>
        <v>20.3333333333333</v>
      </c>
      <c r="F69" s="67" t="n">
        <f aca="false">IF(ISNUMBER($E69),$E69-N(発注計算!$I65),"")</f>
        <v>17.3333333333333</v>
      </c>
      <c r="G69" s="68" t="str">
        <f aca="false">IF(発注計算!$C65="","",IF(NOT(ISNUMBER($F69)),"データなし",IF($F69&lt;=0,"今日が期限",IF($F69&lt;=N(発注計算!$AG65),"要発注","余裕"))))</f>
        <v>余裕</v>
      </c>
      <c r="H69" s="67" t="n">
        <f aca="false">IF(OR(発注計算!$C65="",NOT(ISNUMBER(発注計算!$S65)),発注計算!$S65&lt;=0),"",(発注計算!$K65+N($J69)*N(発注計算!$G65))/発注計算!$S65)</f>
        <v>20.3333333333333</v>
      </c>
      <c r="I69" s="69" t="n">
        <f aca="false">IF(発注計算!$C65="","",発注計算!$Y65)</f>
        <v>0</v>
      </c>
      <c r="J69" s="70"/>
      <c r="K69" s="71" t="str">
        <f aca="false">IF($J69="","",N($J69)*N(発注計算!$H65))</f>
        <v/>
      </c>
      <c r="L69" s="72"/>
      <c r="M69" s="72"/>
      <c r="N69" s="72"/>
      <c r="O69" s="72"/>
      <c r="P69" s="72"/>
      <c r="Q69" s="72"/>
      <c r="R69" s="72"/>
      <c r="S69" s="72"/>
      <c r="T69" s="72"/>
      <c r="U69" s="72"/>
      <c r="V69" s="72"/>
      <c r="W69" s="72"/>
      <c r="X69" s="72"/>
      <c r="Y69" s="72"/>
      <c r="Z69" s="31" t="n">
        <f aca="false">IF(OR(N($J69)&lt;=0,AND(③発注書!$C$5&lt;&gt;"すべて",発注計算!$F65&lt;&gt;③発注書!$C$5)),N(Z68),N(Z68)+1)</f>
        <v>7</v>
      </c>
    </row>
    <row r="70" customFormat="false" ht="16.5" hidden="false" customHeight="true" outlineLevel="0" collapsed="false">
      <c r="B70" s="66" t="n">
        <v>61</v>
      </c>
      <c r="C70" s="66" t="str">
        <f aca="false">IF(発注計算!$C66="","",発注計算!$D66)</f>
        <v>カラーシュガー　オレンジ</v>
      </c>
      <c r="D70" s="66" t="str">
        <f aca="false">IF(発注計算!$C66="","",発注計算!$E66)</f>
        <v>調理系スイーツ</v>
      </c>
      <c r="E70" s="67" t="n">
        <f aca="false">IF(発注計算!$C66="","",発注計算!$T66)</f>
        <v>0</v>
      </c>
      <c r="F70" s="67" t="n">
        <f aca="false">IF(ISNUMBER($E70),$E70-N(発注計算!$I66),"")</f>
        <v>-5</v>
      </c>
      <c r="G70" s="68" t="str">
        <f aca="false">IF(発注計算!$C66="","",IF(NOT(ISNUMBER($F70)),"データなし",IF($F70&lt;=0,"今日が期限",IF($F70&lt;=N(発注計算!$AG66),"要発注","余裕"))))</f>
        <v>今日が期限</v>
      </c>
      <c r="H70" s="67" t="n">
        <f aca="false">IF(OR(発注計算!$C66="",NOT(ISNUMBER(発注計算!$S66)),発注計算!$S66&lt;=0),"",(発注計算!$K66+N($J70)*N(発注計算!$G66))/発注計算!$S66)</f>
        <v>0</v>
      </c>
      <c r="I70" s="69" t="n">
        <f aca="false">IF(発注計算!$C66="","",発注計算!$Y66)</f>
        <v>2</v>
      </c>
      <c r="J70" s="70"/>
      <c r="K70" s="71" t="str">
        <f aca="false">IF($J70="","",N($J70)*N(発注計算!$H66))</f>
        <v/>
      </c>
      <c r="L70" s="72"/>
      <c r="M70" s="72"/>
      <c r="N70" s="72"/>
      <c r="O70" s="72"/>
      <c r="P70" s="72"/>
      <c r="Q70" s="72"/>
      <c r="R70" s="72"/>
      <c r="S70" s="72"/>
      <c r="T70" s="72"/>
      <c r="U70" s="72"/>
      <c r="V70" s="72"/>
      <c r="W70" s="72"/>
      <c r="X70" s="72"/>
      <c r="Y70" s="72"/>
      <c r="Z70" s="31" t="n">
        <f aca="false">IF(OR(N($J70)&lt;=0,AND(③発注書!$C$5&lt;&gt;"すべて",発注計算!$F66&lt;&gt;③発注書!$C$5)),N(Z69),N(Z69)+1)</f>
        <v>7</v>
      </c>
    </row>
    <row r="71" customFormat="false" ht="16.5" hidden="false" customHeight="true" outlineLevel="0" collapsed="false">
      <c r="B71" s="66" t="n">
        <v>62</v>
      </c>
      <c r="C71" s="66" t="str">
        <f aca="false">IF(発注計算!$C67="","",発注計算!$D67)</f>
        <v>新シナモンシュガー</v>
      </c>
      <c r="D71" s="66" t="str">
        <f aca="false">IF(発注計算!$C67="","",発注計算!$E67)</f>
        <v>調理系スイーツ</v>
      </c>
      <c r="E71" s="67" t="n">
        <f aca="false">IF(発注計算!$C67="","",発注計算!$T67)</f>
        <v>59.3733333333333</v>
      </c>
      <c r="F71" s="67" t="n">
        <f aca="false">IF(ISNUMBER($E71),$E71-N(発注計算!$I67),"")</f>
        <v>52.3733333333333</v>
      </c>
      <c r="G71" s="68" t="str">
        <f aca="false">IF(発注計算!$C67="","",IF(NOT(ISNUMBER($F71)),"データなし",IF($F71&lt;=0,"今日が期限",IF($F71&lt;=N(発注計算!$AG67),"要発注","余裕"))))</f>
        <v>余裕</v>
      </c>
      <c r="H71" s="67" t="n">
        <f aca="false">IF(OR(発注計算!$C67="",NOT(ISNUMBER(発注計算!$S67)),発注計算!$S67&lt;=0),"",(発注計算!$K67+N($J71)*N(発注計算!$G67))/発注計算!$S67)</f>
        <v>59.3733333333333</v>
      </c>
      <c r="I71" s="69" t="n">
        <f aca="false">IF(発注計算!$C67="","",発注計算!$Y67)</f>
        <v>0</v>
      </c>
      <c r="J71" s="70"/>
      <c r="K71" s="71" t="str">
        <f aca="false">IF($J71="","",N($J71)*N(発注計算!$H67))</f>
        <v/>
      </c>
      <c r="L71" s="72"/>
      <c r="M71" s="72"/>
      <c r="N71" s="72"/>
      <c r="O71" s="72"/>
      <c r="P71" s="72"/>
      <c r="Q71" s="72"/>
      <c r="R71" s="72"/>
      <c r="S71" s="72"/>
      <c r="T71" s="72"/>
      <c r="U71" s="72"/>
      <c r="V71" s="72"/>
      <c r="W71" s="72"/>
      <c r="X71" s="72"/>
      <c r="Y71" s="72"/>
      <c r="Z71" s="31" t="n">
        <f aca="false">IF(OR(N($J71)&lt;=0,AND(③発注書!$C$5&lt;&gt;"すべて",発注計算!$F67&lt;&gt;③発注書!$C$5)),N(Z70),N(Z70)+1)</f>
        <v>7</v>
      </c>
    </row>
    <row r="72" customFormat="false" ht="16.5" hidden="false" customHeight="true" outlineLevel="0" collapsed="false">
      <c r="B72" s="66" t="n">
        <v>63</v>
      </c>
      <c r="C72" s="66" t="str">
        <f aca="false">IF(発注計算!$C68="","",発注計算!$D68)</f>
        <v>ココアシュガー２％</v>
      </c>
      <c r="D72" s="66" t="str">
        <f aca="false">IF(発注計算!$C68="","",発注計算!$E68)</f>
        <v>調理系スイーツ</v>
      </c>
      <c r="E72" s="67" t="n">
        <f aca="false">IF(発注計算!$C68="","",発注計算!$T68)</f>
        <v>26.9117647058824</v>
      </c>
      <c r="F72" s="67" t="n">
        <f aca="false">IF(ISNUMBER($E72),$E72-N(発注計算!$I68),"")</f>
        <v>24.9117647058824</v>
      </c>
      <c r="G72" s="68" t="str">
        <f aca="false">IF(発注計算!$C68="","",IF(NOT(ISNUMBER($F72)),"データなし",IF($F72&lt;=0,"今日が期限",IF($F72&lt;=N(発注計算!$AG68),"要発注","余裕"))))</f>
        <v>余裕</v>
      </c>
      <c r="H72" s="67" t="n">
        <f aca="false">IF(OR(発注計算!$C68="",NOT(ISNUMBER(発注計算!$S68)),発注計算!$S68&lt;=0),"",(発注計算!$K68+N($J72)*N(発注計算!$G68))/発注計算!$S68)</f>
        <v>26.9117647058824</v>
      </c>
      <c r="I72" s="69" t="n">
        <f aca="false">IF(発注計算!$C68="","",発注計算!$Y68)</f>
        <v>0</v>
      </c>
      <c r="J72" s="70"/>
      <c r="K72" s="71" t="str">
        <f aca="false">IF($J72="","",N($J72)*N(発注計算!$H68))</f>
        <v/>
      </c>
      <c r="L72" s="72"/>
      <c r="M72" s="72"/>
      <c r="N72" s="72"/>
      <c r="O72" s="72"/>
      <c r="P72" s="72"/>
      <c r="Q72" s="72"/>
      <c r="R72" s="72"/>
      <c r="S72" s="72"/>
      <c r="T72" s="72"/>
      <c r="U72" s="72"/>
      <c r="V72" s="72"/>
      <c r="W72" s="72"/>
      <c r="X72" s="72"/>
      <c r="Y72" s="72"/>
      <c r="Z72" s="31" t="n">
        <f aca="false">IF(OR(N($J72)&lt;=0,AND(③発注書!$C$5&lt;&gt;"すべて",発注計算!$F68&lt;&gt;③発注書!$C$5)),N(Z71),N(Z71)+1)</f>
        <v>7</v>
      </c>
    </row>
    <row r="73" customFormat="false" ht="16.5" hidden="false" customHeight="true" outlineLevel="0" collapsed="false">
      <c r="B73" s="66" t="n">
        <v>64</v>
      </c>
      <c r="C73" s="66" t="str">
        <f aca="false">IF(発注計算!$C69="","",発注計算!$D69)</f>
        <v>カラーシュガーレッドストロベリー</v>
      </c>
      <c r="D73" s="66" t="str">
        <f aca="false">IF(発注計算!$C69="","",発注計算!$E69)</f>
        <v>調理系スイーツ</v>
      </c>
      <c r="E73" s="67" t="n">
        <f aca="false">IF(発注計算!$C69="","",発注計算!$T69)</f>
        <v>38.125</v>
      </c>
      <c r="F73" s="67" t="n">
        <f aca="false">IF(ISNUMBER($E73),$E73-N(発注計算!$I69),"")</f>
        <v>35.125</v>
      </c>
      <c r="G73" s="68" t="str">
        <f aca="false">IF(発注計算!$C69="","",IF(NOT(ISNUMBER($F73)),"データなし",IF($F73&lt;=0,"今日が期限",IF($F73&lt;=N(発注計算!$AG69),"要発注","余裕"))))</f>
        <v>余裕</v>
      </c>
      <c r="H73" s="67" t="n">
        <f aca="false">IF(OR(発注計算!$C69="",NOT(ISNUMBER(発注計算!$S69)),発注計算!$S69&lt;=0),"",(発注計算!$K69+N($J73)*N(発注計算!$G69))/発注計算!$S69)</f>
        <v>38.125</v>
      </c>
      <c r="I73" s="69" t="n">
        <f aca="false">IF(発注計算!$C69="","",発注計算!$Y69)</f>
        <v>0</v>
      </c>
      <c r="J73" s="70"/>
      <c r="K73" s="71" t="str">
        <f aca="false">IF($J73="","",N($J73)*N(発注計算!$H69))</f>
        <v/>
      </c>
      <c r="L73" s="72"/>
      <c r="M73" s="72"/>
      <c r="N73" s="72"/>
      <c r="O73" s="72"/>
      <c r="P73" s="72"/>
      <c r="Q73" s="72"/>
      <c r="R73" s="72"/>
      <c r="S73" s="72"/>
      <c r="T73" s="72"/>
      <c r="U73" s="72"/>
      <c r="V73" s="72"/>
      <c r="W73" s="72"/>
      <c r="X73" s="72"/>
      <c r="Y73" s="72"/>
      <c r="Z73" s="31" t="n">
        <f aca="false">IF(OR(N($J73)&lt;=0,AND(③発注書!$C$5&lt;&gt;"すべて",発注計算!$F69&lt;&gt;③発注書!$C$5)),N(Z72),N(Z72)+1)</f>
        <v>7</v>
      </c>
    </row>
    <row r="74" customFormat="false" ht="16.5" hidden="false" customHeight="true" outlineLevel="0" collapsed="false">
      <c r="B74" s="66" t="n">
        <v>65</v>
      </c>
      <c r="C74" s="66" t="str">
        <f aca="false">IF(発注計算!$C70="","",発注計算!$D70)</f>
        <v>アイスクレープ　バナナ＆チョコ</v>
      </c>
      <c r="D74" s="66" t="str">
        <f aca="false">IF(発注計算!$C70="","",発注計算!$E70)</f>
        <v>その他フード</v>
      </c>
      <c r="E74" s="67" t="n">
        <f aca="false">IF(発注計算!$C70="","",発注計算!$T70)</f>
        <v>3.52892561983471</v>
      </c>
      <c r="F74" s="67" t="n">
        <f aca="false">IF(ISNUMBER($E74),$E74-N(発注計算!$I70),"")</f>
        <v>-1.47107438016529</v>
      </c>
      <c r="G74" s="68" t="str">
        <f aca="false">IF(発注計算!$C70="","",IF(NOT(ISNUMBER($F74)),"データなし",IF($F74&lt;=0,"今日が期限",IF($F74&lt;=N(発注計算!$AG70),"要発注","余裕"))))</f>
        <v>今日が期限</v>
      </c>
      <c r="H74" s="67" t="n">
        <f aca="false">IF(OR(発注計算!$C70="",NOT(ISNUMBER(発注計算!$S70)),発注計算!$S70&lt;=0),"",(発注計算!$K70+N($J74)*N(発注計算!$G70))/発注計算!$S70)</f>
        <v>3.52892561983471</v>
      </c>
      <c r="I74" s="69" t="n">
        <f aca="false">IF(発注計算!$C70="","",発注計算!$Y70)</f>
        <v>1</v>
      </c>
      <c r="J74" s="70"/>
      <c r="K74" s="71" t="str">
        <f aca="false">IF($J74="","",N($J74)*N(発注計算!$H70))</f>
        <v/>
      </c>
      <c r="L74" s="72"/>
      <c r="M74" s="72"/>
      <c r="N74" s="72"/>
      <c r="O74" s="72"/>
      <c r="P74" s="72"/>
      <c r="Q74" s="72"/>
      <c r="R74" s="72"/>
      <c r="S74" s="72"/>
      <c r="T74" s="72"/>
      <c r="U74" s="72"/>
      <c r="V74" s="72"/>
      <c r="W74" s="72"/>
      <c r="X74" s="72"/>
      <c r="Y74" s="72"/>
      <c r="Z74" s="31" t="n">
        <f aca="false">IF(OR(N($J74)&lt;=0,AND(③発注書!$C$5&lt;&gt;"すべて",発注計算!$F70&lt;&gt;③発注書!$C$5)),N(Z73),N(Z73)+1)</f>
        <v>7</v>
      </c>
    </row>
    <row r="75" customFormat="false" ht="16.5" hidden="false" customHeight="true" outlineLevel="0" collapsed="false">
      <c r="B75" s="66" t="n">
        <v>66</v>
      </c>
      <c r="C75" s="66" t="str">
        <f aca="false">IF(発注計算!$C71="","",発注計算!$D71)</f>
        <v>アイスクレープ　贅沢いちご</v>
      </c>
      <c r="D75" s="66" t="str">
        <f aca="false">IF(発注計算!$C71="","",発注計算!$E71)</f>
        <v>その他フード</v>
      </c>
      <c r="E75" s="67" t="n">
        <f aca="false">IF(発注計算!$C71="","",発注計算!$T71)</f>
        <v>46.0992366412214</v>
      </c>
      <c r="F75" s="67" t="n">
        <f aca="false">IF(ISNUMBER($E75),$E75-N(発注計算!$I71),"")</f>
        <v>43.0992366412214</v>
      </c>
      <c r="G75" s="68" t="str">
        <f aca="false">IF(発注計算!$C71="","",IF(NOT(ISNUMBER($F75)),"データなし",IF($F75&lt;=0,"今日が期限",IF($F75&lt;=N(発注計算!$AG71),"要発注","余裕"))))</f>
        <v>余裕</v>
      </c>
      <c r="H75" s="67" t="n">
        <f aca="false">IF(OR(発注計算!$C71="",NOT(ISNUMBER(発注計算!$S71)),発注計算!$S71&lt;=0),"",(発注計算!$K71+N($J75)*N(発注計算!$G71))/発注計算!$S71)</f>
        <v>46.0992366412214</v>
      </c>
      <c r="I75" s="69" t="n">
        <f aca="false">IF(発注計算!$C71="","",発注計算!$Y71)</f>
        <v>0</v>
      </c>
      <c r="J75" s="70"/>
      <c r="K75" s="71" t="str">
        <f aca="false">IF($J75="","",N($J75)*N(発注計算!$H71))</f>
        <v/>
      </c>
      <c r="L75" s="72"/>
      <c r="M75" s="72"/>
      <c r="N75" s="72"/>
      <c r="O75" s="72"/>
      <c r="P75" s="72"/>
      <c r="Q75" s="72"/>
      <c r="R75" s="72"/>
      <c r="S75" s="72"/>
      <c r="T75" s="72"/>
      <c r="U75" s="72"/>
      <c r="V75" s="72"/>
      <c r="W75" s="72"/>
      <c r="X75" s="72"/>
      <c r="Y75" s="72"/>
      <c r="Z75" s="31" t="n">
        <f aca="false">IF(OR(N($J75)&lt;=0,AND(③発注書!$C$5&lt;&gt;"すべて",発注計算!$F71&lt;&gt;③発注書!$C$5)),N(Z74),N(Z74)+1)</f>
        <v>7</v>
      </c>
    </row>
    <row r="76" customFormat="false" ht="16.5" hidden="false" customHeight="true" outlineLevel="0" collapsed="false">
      <c r="B76" s="66" t="n">
        <v>67</v>
      </c>
      <c r="C76" s="66" t="str">
        <f aca="false">IF(発注計算!$C72="","",発注計算!$D72)</f>
        <v>いり塩パウダー（１Ｋｇ）</v>
      </c>
      <c r="D76" s="66" t="str">
        <f aca="false">IF(発注計算!$C72="","",発注計算!$E72)</f>
        <v>フード調味料</v>
      </c>
      <c r="E76" s="67" t="n">
        <f aca="false">IF(発注計算!$C72="","",発注計算!$T72)</f>
        <v>53.1976744186047</v>
      </c>
      <c r="F76" s="67" t="n">
        <f aca="false">IF(ISNUMBER($E76),$E76-N(発注計算!$I72),"")</f>
        <v>46.1976744186047</v>
      </c>
      <c r="G76" s="68" t="str">
        <f aca="false">IF(発注計算!$C72="","",IF(NOT(ISNUMBER($F76)),"データなし",IF($F76&lt;=0,"今日が期限",IF($F76&lt;=N(発注計算!$AG72),"要発注","余裕"))))</f>
        <v>余裕</v>
      </c>
      <c r="H76" s="67" t="n">
        <f aca="false">IF(OR(発注計算!$C72="",NOT(ISNUMBER(発注計算!$S72)),発注計算!$S72&lt;=0),"",(発注計算!$K72+N($J76)*N(発注計算!$G72))/発注計算!$S72)</f>
        <v>53.1976744186047</v>
      </c>
      <c r="I76" s="69" t="n">
        <f aca="false">IF(発注計算!$C72="","",発注計算!$Y72)</f>
        <v>0</v>
      </c>
      <c r="J76" s="70"/>
      <c r="K76" s="71" t="str">
        <f aca="false">IF($J76="","",N($J76)*N(発注計算!$H72))</f>
        <v/>
      </c>
      <c r="L76" s="72"/>
      <c r="M76" s="72"/>
      <c r="N76" s="72"/>
      <c r="O76" s="72"/>
      <c r="P76" s="72"/>
      <c r="Q76" s="72"/>
      <c r="R76" s="72"/>
      <c r="S76" s="72"/>
      <c r="T76" s="72"/>
      <c r="U76" s="72"/>
      <c r="V76" s="72"/>
      <c r="W76" s="72"/>
      <c r="X76" s="72"/>
      <c r="Y76" s="72"/>
      <c r="Z76" s="31" t="n">
        <f aca="false">IF(OR(N($J76)&lt;=0,AND(③発注書!$C$5&lt;&gt;"すべて",発注計算!$F72&lt;&gt;③発注書!$C$5)),N(Z75),N(Z75)+1)</f>
        <v>7</v>
      </c>
    </row>
    <row r="77" customFormat="false" ht="16.5" hidden="false" customHeight="true" outlineLevel="0" collapsed="false">
      <c r="B77" s="66" t="n">
        <v>68</v>
      </c>
      <c r="C77" s="66" t="str">
        <f aca="false">IF(発注計算!$C73="","",発注計算!$D73)</f>
        <v>マスタードソース（ピース出荷）</v>
      </c>
      <c r="D77" s="66" t="str">
        <f aca="false">IF(発注計算!$C73="","",発注計算!$E73)</f>
        <v>フード調味料</v>
      </c>
      <c r="E77" s="67" t="n">
        <f aca="false">IF(発注計算!$C73="","",発注計算!$T73)</f>
        <v>20.3333333333333</v>
      </c>
      <c r="F77" s="67" t="n">
        <f aca="false">IF(ISNUMBER($E77),$E77-N(発注計算!$I73),"")</f>
        <v>17.3333333333333</v>
      </c>
      <c r="G77" s="68" t="str">
        <f aca="false">IF(発注計算!$C73="","",IF(NOT(ISNUMBER($F77)),"データなし",IF($F77&lt;=0,"今日が期限",IF($F77&lt;=N(発注計算!$AG73),"要発注","余裕"))))</f>
        <v>余裕</v>
      </c>
      <c r="H77" s="67" t="n">
        <f aca="false">IF(OR(発注計算!$C73="",NOT(ISNUMBER(発注計算!$S73)),発注計算!$S73&lt;=0),"",(発注計算!$K73+N($J77)*N(発注計算!$G73))/発注計算!$S73)</f>
        <v>20.3333333333333</v>
      </c>
      <c r="I77" s="69" t="n">
        <f aca="false">IF(発注計算!$C73="","",発注計算!$Y73)</f>
        <v>0</v>
      </c>
      <c r="J77" s="70"/>
      <c r="K77" s="71" t="str">
        <f aca="false">IF($J77="","",N($J77)*N(発注計算!$H73))</f>
        <v/>
      </c>
      <c r="L77" s="72"/>
      <c r="M77" s="72"/>
      <c r="N77" s="72"/>
      <c r="O77" s="72"/>
      <c r="P77" s="72"/>
      <c r="Q77" s="72"/>
      <c r="R77" s="72"/>
      <c r="S77" s="72"/>
      <c r="T77" s="72"/>
      <c r="U77" s="72"/>
      <c r="V77" s="72"/>
      <c r="W77" s="72"/>
      <c r="X77" s="72"/>
      <c r="Y77" s="72"/>
      <c r="Z77" s="31" t="n">
        <f aca="false">IF(OR(N($J77)&lt;=0,AND(③発注書!$C$5&lt;&gt;"すべて",発注計算!$F73&lt;&gt;③発注書!$C$5)),N(Z76),N(Z76)+1)</f>
        <v>7</v>
      </c>
    </row>
    <row r="78" customFormat="false" ht="16.5" hidden="false" customHeight="true" outlineLevel="0" collapsed="false">
      <c r="B78" s="66" t="n">
        <v>69</v>
      </c>
      <c r="C78" s="66" t="str">
        <f aca="false">IF(発注計算!$C74="","",発注計算!$D74)</f>
        <v>ケチャップソース３００Ｇ</v>
      </c>
      <c r="D78" s="66" t="str">
        <f aca="false">IF(発注計算!$C74="","",発注計算!$E74)</f>
        <v>フード調味料</v>
      </c>
      <c r="E78" s="67" t="n">
        <f aca="false">IF(発注計算!$C74="","",発注計算!$T74)</f>
        <v>16.0526315789474</v>
      </c>
      <c r="F78" s="67" t="n">
        <f aca="false">IF(ISNUMBER($E78),$E78-N(発注計算!$I74),"")</f>
        <v>14.0526315789474</v>
      </c>
      <c r="G78" s="68" t="str">
        <f aca="false">IF(発注計算!$C74="","",IF(NOT(ISNUMBER($F78)),"データなし",IF($F78&lt;=0,"今日が期限",IF($F78&lt;=N(発注計算!$AG74),"要発注","余裕"))))</f>
        <v>余裕</v>
      </c>
      <c r="H78" s="67" t="n">
        <f aca="false">IF(OR(発注計算!$C74="",NOT(ISNUMBER(発注計算!$S74)),発注計算!$S74&lt;=0),"",(発注計算!$K74+N($J78)*N(発注計算!$G74))/発注計算!$S74)</f>
        <v>16.0526315789474</v>
      </c>
      <c r="I78" s="69" t="n">
        <f aca="false">IF(発注計算!$C74="","",発注計算!$Y74)</f>
        <v>0</v>
      </c>
      <c r="J78" s="70"/>
      <c r="K78" s="71" t="str">
        <f aca="false">IF($J78="","",N($J78)*N(発注計算!$H74))</f>
        <v/>
      </c>
      <c r="L78" s="72"/>
      <c r="M78" s="72"/>
      <c r="N78" s="72"/>
      <c r="O78" s="72"/>
      <c r="P78" s="72"/>
      <c r="Q78" s="72"/>
      <c r="R78" s="72"/>
      <c r="S78" s="72"/>
      <c r="T78" s="72"/>
      <c r="U78" s="72"/>
      <c r="V78" s="72"/>
      <c r="W78" s="72"/>
      <c r="X78" s="72"/>
      <c r="Y78" s="72"/>
      <c r="Z78" s="31" t="n">
        <f aca="false">IF(OR(N($J78)&lt;=0,AND(③発注書!$C$5&lt;&gt;"すべて",発注計算!$F74&lt;&gt;③発注書!$C$5)),N(Z77),N(Z77)+1)</f>
        <v>7</v>
      </c>
    </row>
    <row r="79" customFormat="false" ht="16.5" hidden="false" customHeight="true" outlineLevel="0" collapsed="false">
      <c r="B79" s="66" t="n">
        <v>70</v>
      </c>
      <c r="C79" s="66" t="str">
        <f aca="false">IF(発注計算!$C75="","",発注計算!$D75)</f>
        <v>ＴＨ　４種のチーズソース</v>
      </c>
      <c r="D79" s="66" t="str">
        <f aca="false">IF(発注計算!$C75="","",発注計算!$E75)</f>
        <v>フード調味料</v>
      </c>
      <c r="E79" s="67" t="n">
        <f aca="false">IF(発注計算!$C75="","",発注計算!$T75)</f>
        <v>74.7741935483871</v>
      </c>
      <c r="F79" s="67" t="n">
        <f aca="false">IF(ISNUMBER($E79),$E79-N(発注計算!$I75),"")</f>
        <v>71.7741935483871</v>
      </c>
      <c r="G79" s="68" t="str">
        <f aca="false">IF(発注計算!$C75="","",IF(NOT(ISNUMBER($F79)),"データなし",IF($F79&lt;=0,"今日が期限",IF($F79&lt;=N(発注計算!$AG75),"要発注","余裕"))))</f>
        <v>余裕</v>
      </c>
      <c r="H79" s="67" t="n">
        <f aca="false">IF(OR(発注計算!$C75="",NOT(ISNUMBER(発注計算!$S75)),発注計算!$S75&lt;=0),"",(発注計算!$K75+N($J79)*N(発注計算!$G75))/発注計算!$S75)</f>
        <v>74.7741935483871</v>
      </c>
      <c r="I79" s="69" t="n">
        <f aca="false">IF(発注計算!$C75="","",発注計算!$Y75)</f>
        <v>0</v>
      </c>
      <c r="J79" s="70"/>
      <c r="K79" s="71" t="str">
        <f aca="false">IF($J79="","",N($J79)*N(発注計算!$H75))</f>
        <v/>
      </c>
      <c r="L79" s="72"/>
      <c r="M79" s="72"/>
      <c r="N79" s="72"/>
      <c r="O79" s="72"/>
      <c r="P79" s="72"/>
      <c r="Q79" s="72"/>
      <c r="R79" s="72"/>
      <c r="S79" s="72"/>
      <c r="T79" s="72"/>
      <c r="U79" s="72"/>
      <c r="V79" s="72"/>
      <c r="W79" s="72"/>
      <c r="X79" s="72"/>
      <c r="Y79" s="72"/>
      <c r="Z79" s="31" t="n">
        <f aca="false">IF(OR(N($J79)&lt;=0,AND(③発注書!$C$5&lt;&gt;"すべて",発注計算!$F75&lt;&gt;③発注書!$C$5)),N(Z78),N(Z78)+1)</f>
        <v>7</v>
      </c>
    </row>
    <row r="80" customFormat="false" ht="16.5" hidden="false" customHeight="true" outlineLevel="0" collapsed="false">
      <c r="B80" s="66" t="n">
        <v>71</v>
      </c>
      <c r="C80" s="66" t="str">
        <f aca="false">IF(発注計算!$C76="","",発注計算!$D76)</f>
        <v>ビーバー　ドリンクカップ　仕入</v>
      </c>
      <c r="D80" s="66" t="str">
        <f aca="false">IF(発注計算!$C76="","",発注計算!$E76)</f>
        <v>ＳＥＴ作品コンボ</v>
      </c>
      <c r="E80" s="67" t="n">
        <f aca="false">IF(発注計算!$C76="","",発注計算!$T76)</f>
        <v>20.3333333333333</v>
      </c>
      <c r="F80" s="67" t="n">
        <f aca="false">IF(ISNUMBER($E80),$E80-N(発注計算!$I76),"")</f>
        <v>17.3333333333333</v>
      </c>
      <c r="G80" s="68" t="str">
        <f aca="false">IF(発注計算!$C76="","",IF(NOT(ISNUMBER($F80)),"データなし",IF($F80&lt;=0,"今日が期限",IF($F80&lt;=N(発注計算!$AG76),"要発注","余裕"))))</f>
        <v>余裕</v>
      </c>
      <c r="H80" s="67" t="n">
        <f aca="false">IF(OR(発注計算!$C76="",NOT(ISNUMBER(発注計算!$S76)),発注計算!$S76&lt;=0),"",(発注計算!$K76+N($J80)*N(発注計算!$G76))/発注計算!$S76)</f>
        <v>20.3333333333333</v>
      </c>
      <c r="I80" s="69" t="n">
        <f aca="false">IF(発注計算!$C76="","",発注計算!$Y76)</f>
        <v>0</v>
      </c>
      <c r="J80" s="70"/>
      <c r="K80" s="71" t="str">
        <f aca="false">IF($J80="","",N($J80)*N(発注計算!$H76))</f>
        <v/>
      </c>
      <c r="L80" s="72"/>
      <c r="M80" s="72"/>
      <c r="N80" s="72"/>
      <c r="O80" s="72"/>
      <c r="P80" s="72"/>
      <c r="Q80" s="72"/>
      <c r="R80" s="72"/>
      <c r="S80" s="72"/>
      <c r="T80" s="72"/>
      <c r="U80" s="72"/>
      <c r="V80" s="72"/>
      <c r="W80" s="72"/>
      <c r="X80" s="72"/>
      <c r="Y80" s="72"/>
      <c r="Z80" s="31" t="n">
        <f aca="false">IF(OR(N($J80)&lt;=0,AND(③発注書!$C$5&lt;&gt;"すべて",発注計算!$F76&lt;&gt;③発注書!$C$5)),N(Z79),N(Z79)+1)</f>
        <v>7</v>
      </c>
    </row>
    <row r="81" customFormat="false" ht="16.5" hidden="false" customHeight="true" outlineLevel="0" collapsed="false">
      <c r="B81" s="66" t="n">
        <v>72</v>
      </c>
      <c r="C81" s="66" t="str">
        <f aca="false">IF(発注計算!$C77="","",発注計算!$D77)</f>
        <v>ビーバー　トッパー　仕入</v>
      </c>
      <c r="D81" s="66" t="str">
        <f aca="false">IF(発注計算!$C77="","",発注計算!$E77)</f>
        <v>ＳＥＴ作品コンボ</v>
      </c>
      <c r="E81" s="67" t="n">
        <f aca="false">IF(発注計算!$C77="","",発注計算!$T77)</f>
        <v>0</v>
      </c>
      <c r="F81" s="67" t="n">
        <f aca="false">IF(ISNUMBER($E81),$E81-N(発注計算!$I77),"")</f>
        <v>-3</v>
      </c>
      <c r="G81" s="68" t="str">
        <f aca="false">IF(発注計算!$C77="","",IF(NOT(ISNUMBER($F81)),"データなし",IF($F81&lt;=0,"今日が期限",IF($F81&lt;=N(発注計算!$AG77),"要発注","余裕"))))</f>
        <v>今日が期限</v>
      </c>
      <c r="H81" s="67" t="n">
        <f aca="false">IF(OR(発注計算!$C77="",NOT(ISNUMBER(発注計算!$S77)),発注計算!$S77&lt;=0),"",(発注計算!$K77+N($J81)*N(発注計算!$G77))/発注計算!$S77)</f>
        <v>0</v>
      </c>
      <c r="I81" s="69" t="n">
        <f aca="false">IF(発注計算!$C77="","",発注計算!$Y77)</f>
        <v>2</v>
      </c>
      <c r="J81" s="70"/>
      <c r="K81" s="71" t="str">
        <f aca="false">IF($J81="","",N($J81)*N(発注計算!$H77))</f>
        <v/>
      </c>
      <c r="L81" s="72"/>
      <c r="M81" s="72"/>
      <c r="N81" s="72"/>
      <c r="O81" s="72"/>
      <c r="P81" s="72"/>
      <c r="Q81" s="72"/>
      <c r="R81" s="72"/>
      <c r="S81" s="72"/>
      <c r="T81" s="72"/>
      <c r="U81" s="72"/>
      <c r="V81" s="72"/>
      <c r="W81" s="72"/>
      <c r="X81" s="72"/>
      <c r="Y81" s="72"/>
      <c r="Z81" s="31" t="n">
        <f aca="false">IF(OR(N($J81)&lt;=0,AND(③発注書!$C$5&lt;&gt;"すべて",発注計算!$F77&lt;&gt;③発注書!$C$5)),N(Z80),N(Z80)+1)</f>
        <v>7</v>
      </c>
    </row>
    <row r="82" customFormat="false" ht="16.5" hidden="false" customHeight="true" outlineLevel="0" collapsed="false">
      <c r="B82" s="66" t="n">
        <v>73</v>
      </c>
      <c r="C82" s="66" t="str">
        <f aca="false">IF(発注計算!$C78="","",発注計算!$D78)</f>
        <v>（コスタ）１２ｏｚプラカップ</v>
      </c>
      <c r="D82" s="66" t="str">
        <f aca="false">IF(発注計算!$C78="","",発注計算!$E78)</f>
        <v>コンセ包材</v>
      </c>
      <c r="E82" s="67" t="n">
        <f aca="false">IF(発注計算!$C78="","",発注計算!$T78)</f>
        <v>16.7099867237056</v>
      </c>
      <c r="F82" s="67" t="n">
        <f aca="false">IF(ISNUMBER($E82),$E82-N(発注計算!$I78),"")</f>
        <v>14.7099867237056</v>
      </c>
      <c r="G82" s="68" t="str">
        <f aca="false">IF(発注計算!$C78="","",IF(NOT(ISNUMBER($F82)),"データなし",IF($F82&lt;=0,"今日が期限",IF($F82&lt;=N(発注計算!$AG78),"要発注","余裕"))))</f>
        <v>余裕</v>
      </c>
      <c r="H82" s="67" t="n">
        <f aca="false">IF(OR(発注計算!$C78="",NOT(ISNUMBER(発注計算!$S78)),発注計算!$S78&lt;=0),"",(発注計算!$K78+N($J82)*N(発注計算!$G78))/発注計算!$S78)</f>
        <v>16.7099867237056</v>
      </c>
      <c r="I82" s="69" t="n">
        <f aca="false">IF(発注計算!$C78="","",発注計算!$Y78)</f>
        <v>0</v>
      </c>
      <c r="J82" s="70"/>
      <c r="K82" s="71" t="str">
        <f aca="false">IF($J82="","",N($J82)*N(発注計算!$H78))</f>
        <v/>
      </c>
      <c r="L82" s="72"/>
      <c r="M82" s="72"/>
      <c r="N82" s="72"/>
      <c r="O82" s="72"/>
      <c r="P82" s="72"/>
      <c r="Q82" s="72"/>
      <c r="R82" s="72"/>
      <c r="S82" s="72"/>
      <c r="T82" s="72"/>
      <c r="U82" s="72"/>
      <c r="V82" s="72"/>
      <c r="W82" s="72"/>
      <c r="X82" s="72"/>
      <c r="Y82" s="72"/>
      <c r="Z82" s="31" t="n">
        <f aca="false">IF(OR(N($J82)&lt;=0,AND(③発注書!$C$5&lt;&gt;"すべて",発注計算!$F78&lt;&gt;③発注書!$C$5)),N(Z81),N(Z81)+1)</f>
        <v>7</v>
      </c>
    </row>
    <row r="83" customFormat="false" ht="16.5" hidden="false" customHeight="true" outlineLevel="0" collapsed="false">
      <c r="B83" s="66" t="n">
        <v>74</v>
      </c>
      <c r="C83" s="66" t="str">
        <f aca="false">IF(発注計算!$C79="","",発注計算!$D79)</f>
        <v>（コスタ）１２ｏｚプラリッド</v>
      </c>
      <c r="D83" s="66" t="str">
        <f aca="false">IF(発注計算!$C79="","",発注計算!$E79)</f>
        <v>コンセ包材</v>
      </c>
      <c r="E83" s="67" t="n">
        <f aca="false">IF(発注計算!$C79="","",発注計算!$T79)</f>
        <v>142.289261083744</v>
      </c>
      <c r="F83" s="67" t="n">
        <f aca="false">IF(ISNUMBER($E83),$E83-N(発注計算!$I79),"")</f>
        <v>140.289261083744</v>
      </c>
      <c r="G83" s="68" t="str">
        <f aca="false">IF(発注計算!$C79="","",IF(NOT(ISNUMBER($F83)),"データなし",IF($F83&lt;=0,"今日が期限",IF($F83&lt;=N(発注計算!$AG79),"要発注","余裕"))))</f>
        <v>余裕</v>
      </c>
      <c r="H83" s="67" t="n">
        <f aca="false">IF(OR(発注計算!$C79="",NOT(ISNUMBER(発注計算!$S79)),発注計算!$S79&lt;=0),"",(発注計算!$K79+N($J83)*N(発注計算!$G79))/発注計算!$S79)</f>
        <v>142.289261083744</v>
      </c>
      <c r="I83" s="69" t="n">
        <f aca="false">IF(発注計算!$C79="","",発注計算!$Y79)</f>
        <v>0</v>
      </c>
      <c r="J83" s="70"/>
      <c r="K83" s="71" t="str">
        <f aca="false">IF($J83="","",N($J83)*N(発注計算!$H79))</f>
        <v/>
      </c>
      <c r="L83" s="72"/>
      <c r="M83" s="72"/>
      <c r="N83" s="72"/>
      <c r="O83" s="72"/>
      <c r="P83" s="72"/>
      <c r="Q83" s="72"/>
      <c r="R83" s="72"/>
      <c r="S83" s="72"/>
      <c r="T83" s="72"/>
      <c r="U83" s="72"/>
      <c r="V83" s="72"/>
      <c r="W83" s="72"/>
      <c r="X83" s="72"/>
      <c r="Y83" s="72"/>
      <c r="Z83" s="31" t="n">
        <f aca="false">IF(OR(N($J83)&lt;=0,AND(③発注書!$C$5&lt;&gt;"すべて",発注計算!$F79&lt;&gt;③発注書!$C$5)),N(Z82),N(Z82)+1)</f>
        <v>7</v>
      </c>
    </row>
    <row r="84" customFormat="false" ht="16.5" hidden="false" customHeight="true" outlineLevel="0" collapsed="false">
      <c r="B84" s="66" t="n">
        <v>75</v>
      </c>
      <c r="C84" s="66" t="str">
        <f aca="false">IF(発注計算!$C80="","",発注計算!$D80)</f>
        <v>（コスタ）新９ｏｚホットカップ</v>
      </c>
      <c r="D84" s="66" t="str">
        <f aca="false">IF(発注計算!$C80="","",発注計算!$E80)</f>
        <v>コンセ包材</v>
      </c>
      <c r="E84" s="67" t="n">
        <f aca="false">IF(発注計算!$C80="","",発注計算!$T80)</f>
        <v>23.7252846557022</v>
      </c>
      <c r="F84" s="67" t="n">
        <f aca="false">IF(ISNUMBER($E84),$E84-N(発注計算!$I80),"")</f>
        <v>19.7252846557022</v>
      </c>
      <c r="G84" s="68" t="str">
        <f aca="false">IF(発注計算!$C80="","",IF(NOT(ISNUMBER($F84)),"データなし",IF($F84&lt;=0,"今日が期限",IF($F84&lt;=N(発注計算!$AG80),"要発注","余裕"))))</f>
        <v>余裕</v>
      </c>
      <c r="H84" s="67" t="n">
        <f aca="false">IF(OR(発注計算!$C80="",NOT(ISNUMBER(発注計算!$S80)),発注計算!$S80&lt;=0),"",(発注計算!$K80+N($J84)*N(発注計算!$G80))/発注計算!$S80)</f>
        <v>23.7252846557022</v>
      </c>
      <c r="I84" s="69" t="n">
        <f aca="false">IF(発注計算!$C80="","",発注計算!$Y80)</f>
        <v>0</v>
      </c>
      <c r="J84" s="70"/>
      <c r="K84" s="71" t="str">
        <f aca="false">IF($J84="","",N($J84)*N(発注計算!$H80))</f>
        <v/>
      </c>
      <c r="L84" s="72"/>
      <c r="M84" s="72"/>
      <c r="N84" s="72"/>
      <c r="O84" s="72"/>
      <c r="P84" s="72"/>
      <c r="Q84" s="72"/>
      <c r="R84" s="72"/>
      <c r="S84" s="72"/>
      <c r="T84" s="72"/>
      <c r="U84" s="72"/>
      <c r="V84" s="72"/>
      <c r="W84" s="72"/>
      <c r="X84" s="72"/>
      <c r="Y84" s="72"/>
      <c r="Z84" s="31" t="n">
        <f aca="false">IF(OR(N($J84)&lt;=0,AND(③発注書!$C$5&lt;&gt;"すべて",発注計算!$F80&lt;&gt;③発注書!$C$5)),N(Z83),N(Z83)+1)</f>
        <v>7</v>
      </c>
    </row>
    <row r="85" customFormat="false" ht="16.5" hidden="false" customHeight="true" outlineLevel="0" collapsed="false">
      <c r="B85" s="66" t="n">
        <v>76</v>
      </c>
      <c r="C85" s="66" t="str">
        <f aca="false">IF(発注計算!$C81="","",発注計算!$D81)</f>
        <v>（コスタ）新９ｏｚホットリッド</v>
      </c>
      <c r="D85" s="66" t="str">
        <f aca="false">IF(発注計算!$C81="","",発注計算!$E81)</f>
        <v>コンセ包材</v>
      </c>
      <c r="E85" s="67" t="n">
        <f aca="false">IF(発注計算!$C81="","",発注計算!$T81)</f>
        <v>41.8297107370485</v>
      </c>
      <c r="F85" s="67" t="n">
        <f aca="false">IF(ISNUMBER($E85),$E85-N(発注計算!$I81),"")</f>
        <v>36.8297107370485</v>
      </c>
      <c r="G85" s="68" t="str">
        <f aca="false">IF(発注計算!$C81="","",IF(NOT(ISNUMBER($F85)),"データなし",IF($F85&lt;=0,"今日が期限",IF($F85&lt;=N(発注計算!$AG81),"要発注","余裕"))))</f>
        <v>余裕</v>
      </c>
      <c r="H85" s="67" t="n">
        <f aca="false">IF(OR(発注計算!$C81="",NOT(ISNUMBER(発注計算!$S81)),発注計算!$S81&lt;=0),"",(発注計算!$K81+N($J85)*N(発注計算!$G81))/発注計算!$S81)</f>
        <v>41.8297107370485</v>
      </c>
      <c r="I85" s="69" t="n">
        <f aca="false">IF(発注計算!$C81="","",発注計算!$Y81)</f>
        <v>0</v>
      </c>
      <c r="J85" s="70"/>
      <c r="K85" s="71" t="str">
        <f aca="false">IF($J85="","",N($J85)*N(発注計算!$H81))</f>
        <v/>
      </c>
      <c r="L85" s="72"/>
      <c r="M85" s="72"/>
      <c r="N85" s="72"/>
      <c r="O85" s="72"/>
      <c r="P85" s="72"/>
      <c r="Q85" s="72"/>
      <c r="R85" s="72"/>
      <c r="S85" s="72"/>
      <c r="T85" s="72"/>
      <c r="U85" s="72"/>
      <c r="V85" s="72"/>
      <c r="W85" s="72"/>
      <c r="X85" s="72"/>
      <c r="Y85" s="72"/>
      <c r="Z85" s="31" t="n">
        <f aca="false">IF(OR(N($J85)&lt;=0,AND(③発注書!$C$5&lt;&gt;"すべて",発注計算!$F81&lt;&gt;③発注書!$C$5)),N(Z84),N(Z84)+1)</f>
        <v>7</v>
      </c>
    </row>
    <row r="86" customFormat="false" ht="16.5" hidden="false" customHeight="true" outlineLevel="0" collapsed="false">
      <c r="B86" s="66" t="n">
        <v>77</v>
      </c>
      <c r="C86" s="66" t="str">
        <f aca="false">IF(発注計算!$C82="","",発注計算!$D82)</f>
        <v>バイオマスストロー　（裸）　緑</v>
      </c>
      <c r="D86" s="66" t="str">
        <f aca="false">IF(発注計算!$C82="","",発注計算!$E82)</f>
        <v>コンセ包材</v>
      </c>
      <c r="E86" s="67" t="n">
        <f aca="false">IF(発注計算!$C82="","",発注計算!$T82)</f>
        <v>0</v>
      </c>
      <c r="F86" s="67" t="n">
        <f aca="false">IF(ISNUMBER($E86),$E86-N(発注計算!$I82),"")</f>
        <v>-3</v>
      </c>
      <c r="G86" s="68" t="str">
        <f aca="false">IF(発注計算!$C82="","",IF(NOT(ISNUMBER($F86)),"データなし",IF($F86&lt;=0,"今日が期限",IF($F86&lt;=N(発注計算!$AG82),"要発注","余裕"))))</f>
        <v>今日が期限</v>
      </c>
      <c r="H86" s="67" t="n">
        <f aca="false">IF(OR(発注計算!$C82="",NOT(ISNUMBER(発注計算!$S82)),発注計算!$S82&lt;=0),"",(発注計算!$K82+N($J86)*N(発注計算!$G82))/発注計算!$S82)</f>
        <v>0</v>
      </c>
      <c r="I86" s="69" t="n">
        <f aca="false">IF(発注計算!$C82="","",発注計算!$Y82)</f>
        <v>5</v>
      </c>
      <c r="J86" s="70"/>
      <c r="K86" s="71" t="str">
        <f aca="false">IF($J86="","",N($J86)*N(発注計算!$H82))</f>
        <v/>
      </c>
      <c r="L86" s="72"/>
      <c r="M86" s="72"/>
      <c r="N86" s="72"/>
      <c r="O86" s="72"/>
      <c r="P86" s="72"/>
      <c r="Q86" s="72"/>
      <c r="R86" s="72"/>
      <c r="S86" s="72"/>
      <c r="T86" s="72"/>
      <c r="U86" s="72"/>
      <c r="V86" s="72"/>
      <c r="W86" s="72"/>
      <c r="X86" s="72"/>
      <c r="Y86" s="72"/>
      <c r="Z86" s="31" t="n">
        <f aca="false">IF(OR(N($J86)&lt;=0,AND(③発注書!$C$5&lt;&gt;"すべて",発注計算!$F82&lt;&gt;③発注書!$C$5)),N(Z85),N(Z85)+1)</f>
        <v>7</v>
      </c>
    </row>
    <row r="87" customFormat="false" ht="16.5" hidden="false" customHeight="true" outlineLevel="0" collapsed="false">
      <c r="B87" s="66" t="n">
        <v>78</v>
      </c>
      <c r="C87" s="66" t="str">
        <f aca="false">IF(発注計算!$C83="","",発注計算!$D83)</f>
        <v>バイオマスストロー　（裸）　赤</v>
      </c>
      <c r="D87" s="66" t="str">
        <f aca="false">IF(発注計算!$C83="","",発注計算!$E83)</f>
        <v>コンセ包材</v>
      </c>
      <c r="E87" s="67" t="n">
        <f aca="false">IF(発注計算!$C83="","",発注計算!$T83)</f>
        <v>0</v>
      </c>
      <c r="F87" s="67" t="n">
        <f aca="false">IF(ISNUMBER($E87),$E87-N(発注計算!$I83),"")</f>
        <v>-7</v>
      </c>
      <c r="G87" s="68" t="str">
        <f aca="false">IF(発注計算!$C83="","",IF(NOT(ISNUMBER($F87)),"データなし",IF($F87&lt;=0,"今日が期限",IF($F87&lt;=N(発注計算!$AG83),"要発注","余裕"))))</f>
        <v>今日が期限</v>
      </c>
      <c r="H87" s="67" t="n">
        <f aca="false">IF(OR(発注計算!$C83="",NOT(ISNUMBER(発注計算!$S83)),発注計算!$S83&lt;=0),"",(発注計算!$K83+N($J87)*N(発注計算!$G83))/発注計算!$S83)</f>
        <v>0</v>
      </c>
      <c r="I87" s="69" t="n">
        <f aca="false">IF(発注計算!$C83="","",発注計算!$Y83)</f>
        <v>1</v>
      </c>
      <c r="J87" s="70"/>
      <c r="K87" s="71" t="str">
        <f aca="false">IF($J87="","",N($J87)*N(発注計算!$H83))</f>
        <v/>
      </c>
      <c r="L87" s="72"/>
      <c r="M87" s="72"/>
      <c r="N87" s="72"/>
      <c r="O87" s="72"/>
      <c r="P87" s="72"/>
      <c r="Q87" s="72"/>
      <c r="R87" s="72"/>
      <c r="S87" s="72"/>
      <c r="T87" s="72"/>
      <c r="U87" s="72"/>
      <c r="V87" s="72"/>
      <c r="W87" s="72"/>
      <c r="X87" s="72"/>
      <c r="Y87" s="72"/>
      <c r="Z87" s="31" t="n">
        <f aca="false">IF(OR(N($J87)&lt;=0,AND(③発注書!$C$5&lt;&gt;"すべて",発注計算!$F83&lt;&gt;③発注書!$C$5)),N(Z86),N(Z86)+1)</f>
        <v>7</v>
      </c>
    </row>
    <row r="88" customFormat="false" ht="16.5" hidden="false" customHeight="true" outlineLevel="0" collapsed="false">
      <c r="B88" s="66" t="n">
        <v>79</v>
      </c>
      <c r="C88" s="66" t="str">
        <f aca="false">IF(発注計算!$C84="","",発注計算!$D84)</f>
        <v>バイオマスストロー（裸）タピオカ</v>
      </c>
      <c r="D88" s="66" t="str">
        <f aca="false">IF(発注計算!$C84="","",発注計算!$E84)</f>
        <v>コンセ包材</v>
      </c>
      <c r="E88" s="67" t="n">
        <f aca="false">IF(発注計算!$C84="","",発注計算!$T84)</f>
        <v>33.4551529169879</v>
      </c>
      <c r="F88" s="67" t="n">
        <f aca="false">IF(ISNUMBER($E88),$E88-N(発注計算!$I84),"")</f>
        <v>29.4551529169879</v>
      </c>
      <c r="G88" s="68" t="str">
        <f aca="false">IF(発注計算!$C84="","",IF(NOT(ISNUMBER($F88)),"データなし",IF($F88&lt;=0,"今日が期限",IF($F88&lt;=N(発注計算!$AG84),"要発注","余裕"))))</f>
        <v>余裕</v>
      </c>
      <c r="H88" s="67" t="n">
        <f aca="false">IF(OR(発注計算!$C84="",NOT(ISNUMBER(発注計算!$S84)),発注計算!$S84&lt;=0),"",(発注計算!$K84+N($J88)*N(発注計算!$G84))/発注計算!$S84)</f>
        <v>33.4551529169879</v>
      </c>
      <c r="I88" s="69" t="n">
        <f aca="false">IF(発注計算!$C84="","",発注計算!$Y84)</f>
        <v>0</v>
      </c>
      <c r="J88" s="70"/>
      <c r="K88" s="71" t="str">
        <f aca="false">IF($J88="","",N($J88)*N(発注計算!$H84))</f>
        <v/>
      </c>
      <c r="L88" s="72"/>
      <c r="M88" s="72"/>
      <c r="N88" s="72"/>
      <c r="O88" s="72"/>
      <c r="P88" s="72"/>
      <c r="Q88" s="72"/>
      <c r="R88" s="72"/>
      <c r="S88" s="72"/>
      <c r="T88" s="72"/>
      <c r="U88" s="72"/>
      <c r="V88" s="72"/>
      <c r="W88" s="72"/>
      <c r="X88" s="72"/>
      <c r="Y88" s="72"/>
      <c r="Z88" s="31" t="n">
        <f aca="false">IF(OR(N($J88)&lt;=0,AND(③発注書!$C$5&lt;&gt;"すべて",発注計算!$F84&lt;&gt;③発注書!$C$5)),N(Z87),N(Z87)+1)</f>
        <v>7</v>
      </c>
    </row>
    <row r="89" customFormat="false" ht="16.5" hidden="false" customHeight="true" outlineLevel="0" collapsed="false">
      <c r="B89" s="66" t="n">
        <v>80</v>
      </c>
      <c r="C89" s="66" t="str">
        <f aca="false">IF(発注計算!$C85="","",発注計算!$D85)</f>
        <v>ＴＨ（ＦＳ）新チュリトス袋</v>
      </c>
      <c r="D89" s="66" t="str">
        <f aca="false">IF(発注計算!$C85="","",発注計算!$E85)</f>
        <v>コンセ包材</v>
      </c>
      <c r="E89" s="67" t="n">
        <f aca="false">IF(発注計算!$C85="","",発注計算!$T85)</f>
        <v>62.1960784313726</v>
      </c>
      <c r="F89" s="67" t="n">
        <f aca="false">IF(ISNUMBER($E89),$E89-N(発注計算!$I85),"")</f>
        <v>58.1960784313726</v>
      </c>
      <c r="G89" s="68" t="str">
        <f aca="false">IF(発注計算!$C85="","",IF(NOT(ISNUMBER($F89)),"データなし",IF($F89&lt;=0,"今日が期限",IF($F89&lt;=N(発注計算!$AG85),"要発注","余裕"))))</f>
        <v>余裕</v>
      </c>
      <c r="H89" s="67" t="n">
        <f aca="false">IF(OR(発注計算!$C85="",NOT(ISNUMBER(発注計算!$S85)),発注計算!$S85&lt;=0),"",(発注計算!$K85+N($J89)*N(発注計算!$G85))/発注計算!$S85)</f>
        <v>62.1960784313726</v>
      </c>
      <c r="I89" s="69" t="n">
        <f aca="false">IF(発注計算!$C85="","",発注計算!$Y85)</f>
        <v>0</v>
      </c>
      <c r="J89" s="70"/>
      <c r="K89" s="71" t="str">
        <f aca="false">IF($J89="","",N($J89)*N(発注計算!$H85))</f>
        <v/>
      </c>
      <c r="L89" s="72"/>
      <c r="M89" s="72"/>
      <c r="N89" s="72"/>
      <c r="O89" s="72"/>
      <c r="P89" s="72"/>
      <c r="Q89" s="72"/>
      <c r="R89" s="72"/>
      <c r="S89" s="72"/>
      <c r="T89" s="72"/>
      <c r="U89" s="72"/>
      <c r="V89" s="72"/>
      <c r="W89" s="72"/>
      <c r="X89" s="72"/>
      <c r="Y89" s="72"/>
      <c r="Z89" s="31" t="n">
        <f aca="false">IF(OR(N($J89)&lt;=0,AND(③発注書!$C$5&lt;&gt;"すべて",発注計算!$F85&lt;&gt;③発注書!$C$5)),N(Z88),N(Z88)+1)</f>
        <v>7</v>
      </c>
    </row>
    <row r="90" customFormat="false" ht="16.5" hidden="false" customHeight="true" outlineLevel="0" collapsed="false">
      <c r="B90" s="66" t="n">
        <v>81</v>
      </c>
      <c r="C90" s="66" t="str">
        <f aca="false">IF(発注計算!$C86="","",発注計算!$D86)</f>
        <v>レッドカップＰＣカップＳ（ＦＳ）</v>
      </c>
      <c r="D90" s="66" t="str">
        <f aca="false">IF(発注計算!$C86="","",発注計算!$E86)</f>
        <v>コンセ包材</v>
      </c>
      <c r="E90" s="67" t="n">
        <f aca="false">IF(発注計算!$C86="","",発注計算!$T86)</f>
        <v>58.1011541072641</v>
      </c>
      <c r="F90" s="67" t="n">
        <f aca="false">IF(ISNUMBER($E90),$E90-N(発注計算!$I86),"")</f>
        <v>56.1011541072641</v>
      </c>
      <c r="G90" s="68" t="str">
        <f aca="false">IF(発注計算!$C86="","",IF(NOT(ISNUMBER($F90)),"データなし",IF($F90&lt;=0,"今日が期限",IF($F90&lt;=N(発注計算!$AG86),"要発注","余裕"))))</f>
        <v>余裕</v>
      </c>
      <c r="H90" s="67" t="n">
        <f aca="false">IF(OR(発注計算!$C86="",NOT(ISNUMBER(発注計算!$S86)),発注計算!$S86&lt;=0),"",(発注計算!$K86+N($J90)*N(発注計算!$G86))/発注計算!$S86)</f>
        <v>58.1011541072641</v>
      </c>
      <c r="I90" s="69" t="n">
        <f aca="false">IF(発注計算!$C86="","",発注計算!$Y86)</f>
        <v>0</v>
      </c>
      <c r="J90" s="70"/>
      <c r="K90" s="71" t="str">
        <f aca="false">IF($J90="","",N($J90)*N(発注計算!$H86))</f>
        <v/>
      </c>
      <c r="L90" s="72"/>
      <c r="M90" s="72"/>
      <c r="N90" s="72"/>
      <c r="O90" s="72"/>
      <c r="P90" s="72"/>
      <c r="Q90" s="72"/>
      <c r="R90" s="72"/>
      <c r="S90" s="72"/>
      <c r="T90" s="72"/>
      <c r="U90" s="72"/>
      <c r="V90" s="72"/>
      <c r="W90" s="72"/>
      <c r="X90" s="72"/>
      <c r="Y90" s="72"/>
      <c r="Z90" s="31" t="n">
        <f aca="false">IF(OR(N($J90)&lt;=0,AND(③発注書!$C$5&lt;&gt;"すべて",発注計算!$F86&lt;&gt;③発注書!$C$5)),N(Z89),N(Z89)+1)</f>
        <v>7</v>
      </c>
    </row>
    <row r="91" customFormat="false" ht="16.5" hidden="false" customHeight="true" outlineLevel="0" collapsed="false">
      <c r="B91" s="66" t="n">
        <v>82</v>
      </c>
      <c r="C91" s="66" t="str">
        <f aca="false">IF(発注計算!$C87="","",発注計算!$D87)</f>
        <v>レッドカップＰＣカップＭ（ＦＳ）</v>
      </c>
      <c r="D91" s="66" t="str">
        <f aca="false">IF(発注計算!$C87="","",発注計算!$E87)</f>
        <v>コンセ包材</v>
      </c>
      <c r="E91" s="67" t="n">
        <f aca="false">IF(発注計算!$C87="","",発注計算!$T87)</f>
        <v>7.09725278625683</v>
      </c>
      <c r="F91" s="67" t="n">
        <f aca="false">IF(ISNUMBER($E91),$E91-N(発注計算!$I87),"")</f>
        <v>2.09725278625683</v>
      </c>
      <c r="G91" s="68" t="str">
        <f aca="false">IF(発注計算!$C87="","",IF(NOT(ISNUMBER($F91)),"データなし",IF($F91&lt;=0,"今日が期限",IF($F91&lt;=N(発注計算!$AG87),"要発注","余裕"))))</f>
        <v>要発注</v>
      </c>
      <c r="H91" s="67" t="n">
        <f aca="false">IF(OR(発注計算!$C87="",NOT(ISNUMBER(発注計算!$S87)),発注計算!$S87&lt;=0),"",(発注計算!$K87+N($J91)*N(発注計算!$G87))/発注計算!$S87)</f>
        <v>7.09725278625683</v>
      </c>
      <c r="I91" s="69" t="n">
        <f aca="false">IF(発注計算!$C87="","",発注計算!$Y87)</f>
        <v>7</v>
      </c>
      <c r="J91" s="70"/>
      <c r="K91" s="71" t="str">
        <f aca="false">IF($J91="","",N($J91)*N(発注計算!$H87))</f>
        <v/>
      </c>
      <c r="L91" s="72"/>
      <c r="M91" s="72"/>
      <c r="N91" s="72"/>
      <c r="O91" s="72"/>
      <c r="P91" s="72"/>
      <c r="Q91" s="72"/>
      <c r="R91" s="72"/>
      <c r="S91" s="72"/>
      <c r="T91" s="72"/>
      <c r="U91" s="72"/>
      <c r="V91" s="72"/>
      <c r="W91" s="72"/>
      <c r="X91" s="72"/>
      <c r="Y91" s="72"/>
      <c r="Z91" s="31" t="n">
        <f aca="false">IF(OR(N($J91)&lt;=0,AND(③発注書!$C$5&lt;&gt;"すべて",発注計算!$F87&lt;&gt;③発注書!$C$5)),N(Z90),N(Z90)+1)</f>
        <v>7</v>
      </c>
    </row>
    <row r="92" customFormat="false" ht="16.5" hidden="false" customHeight="true" outlineLevel="0" collapsed="false">
      <c r="B92" s="66" t="n">
        <v>83</v>
      </c>
      <c r="C92" s="66" t="str">
        <f aca="false">IF(発注計算!$C88="","",発注計算!$D88)</f>
        <v>レッドカップＰＣカップＬ（ＦＳ）</v>
      </c>
      <c r="D92" s="66" t="str">
        <f aca="false">IF(発注計算!$C88="","",発注計算!$E88)</f>
        <v>コンセ包材</v>
      </c>
      <c r="E92" s="67" t="n">
        <f aca="false">IF(発注計算!$C88="","",発注計算!$T88)</f>
        <v>49.156679942071</v>
      </c>
      <c r="F92" s="67" t="n">
        <f aca="false">IF(ISNUMBER($E92),$E92-N(発注計算!$I88),"")</f>
        <v>42.156679942071</v>
      </c>
      <c r="G92" s="68" t="str">
        <f aca="false">IF(発注計算!$C88="","",IF(NOT(ISNUMBER($F92)),"データなし",IF($F92&lt;=0,"今日が期限",IF($F92&lt;=N(発注計算!$AG88),"要発注","余裕"))))</f>
        <v>余裕</v>
      </c>
      <c r="H92" s="67" t="n">
        <f aca="false">IF(OR(発注計算!$C88="",NOT(ISNUMBER(発注計算!$S88)),発注計算!$S88&lt;=0),"",(発注計算!$K88+N($J92)*N(発注計算!$G88))/発注計算!$S88)</f>
        <v>49.156679942071</v>
      </c>
      <c r="I92" s="69" t="n">
        <f aca="false">IF(発注計算!$C88="","",発注計算!$Y88)</f>
        <v>0</v>
      </c>
      <c r="J92" s="70"/>
      <c r="K92" s="71" t="str">
        <f aca="false">IF($J92="","",N($J92)*N(発注計算!$H88))</f>
        <v/>
      </c>
      <c r="L92" s="72"/>
      <c r="M92" s="72"/>
      <c r="N92" s="72"/>
      <c r="O92" s="72"/>
      <c r="P92" s="72"/>
      <c r="Q92" s="72"/>
      <c r="R92" s="72"/>
      <c r="S92" s="72"/>
      <c r="T92" s="72"/>
      <c r="U92" s="72"/>
      <c r="V92" s="72"/>
      <c r="W92" s="72"/>
      <c r="X92" s="72"/>
      <c r="Y92" s="72"/>
      <c r="Z92" s="31" t="n">
        <f aca="false">IF(OR(N($J92)&lt;=0,AND(③発注書!$C$5&lt;&gt;"すべて",発注計算!$F88&lt;&gt;③発注書!$C$5)),N(Z91),N(Z91)+1)</f>
        <v>7</v>
      </c>
    </row>
    <row r="93" customFormat="false" ht="16.5" hidden="false" customHeight="true" outlineLevel="0" collapsed="false">
      <c r="B93" s="66" t="n">
        <v>84</v>
      </c>
      <c r="C93" s="66" t="str">
        <f aca="false">IF(発注計算!$C89="","",発注計算!$D89)</f>
        <v>ワインカップ２２０ｃｃ</v>
      </c>
      <c r="D93" s="66" t="str">
        <f aca="false">IF(発注計算!$C89="","",発注計算!$E89)</f>
        <v>コンセ包材</v>
      </c>
      <c r="E93" s="67" t="n">
        <f aca="false">IF(発注計算!$C89="","",発注計算!$T89)</f>
        <v>5.77452667814114</v>
      </c>
      <c r="F93" s="67" t="n">
        <f aca="false">IF(ISNUMBER($E93),$E93-N(発注計算!$I89),"")</f>
        <v>0.774526678141136</v>
      </c>
      <c r="G93" s="68" t="str">
        <f aca="false">IF(発注計算!$C89="","",IF(NOT(ISNUMBER($F93)),"データなし",IF($F93&lt;=0,"今日が期限",IF($F93&lt;=N(発注計算!$AG89),"要発注","余裕"))))</f>
        <v>要発注</v>
      </c>
      <c r="H93" s="67" t="n">
        <f aca="false">IF(OR(発注計算!$C89="",NOT(ISNUMBER(発注計算!$S89)),発注計算!$S89&lt;=0),"",(発注計算!$K89+N($J93)*N(発注計算!$G89))/発注計算!$S89)</f>
        <v>5.77452667814114</v>
      </c>
      <c r="I93" s="69" t="n">
        <f aca="false">IF(発注計算!$C89="","",発注計算!$Y89)</f>
        <v>2</v>
      </c>
      <c r="J93" s="70"/>
      <c r="K93" s="71" t="str">
        <f aca="false">IF($J93="","",N($J93)*N(発注計算!$H89))</f>
        <v/>
      </c>
      <c r="L93" s="72"/>
      <c r="M93" s="72"/>
      <c r="N93" s="72"/>
      <c r="O93" s="72"/>
      <c r="P93" s="72"/>
      <c r="Q93" s="72"/>
      <c r="R93" s="72"/>
      <c r="S93" s="72"/>
      <c r="T93" s="72"/>
      <c r="U93" s="72"/>
      <c r="V93" s="72"/>
      <c r="W93" s="72"/>
      <c r="X93" s="72"/>
      <c r="Y93" s="72"/>
      <c r="Z93" s="31" t="n">
        <f aca="false">IF(OR(N($J93)&lt;=0,AND(③発注書!$C$5&lt;&gt;"すべて",発注計算!$F89&lt;&gt;③発注書!$C$5)),N(Z92),N(Z92)+1)</f>
        <v>7</v>
      </c>
    </row>
    <row r="94" customFormat="false" ht="16.5" hidden="false" customHeight="true" outlineLevel="0" collapsed="false">
      <c r="B94" s="66" t="n">
        <v>85</v>
      </c>
      <c r="C94" s="66" t="str">
        <f aca="false">IF(発注計算!$C90="","",発注計算!$D90)</f>
        <v>新ワインカップ用蓋</v>
      </c>
      <c r="D94" s="66" t="str">
        <f aca="false">IF(発注計算!$C90="","",発注計算!$E90)</f>
        <v>コンセ包材</v>
      </c>
      <c r="E94" s="67" t="n">
        <f aca="false">IF(発注計算!$C90="","",発注計算!$T90)</f>
        <v>45.2978436657682</v>
      </c>
      <c r="F94" s="67" t="n">
        <f aca="false">IF(ISNUMBER($E94),$E94-N(発注計算!$I90),"")</f>
        <v>43.2978436657682</v>
      </c>
      <c r="G94" s="68" t="str">
        <f aca="false">IF(発注計算!$C90="","",IF(NOT(ISNUMBER($F94)),"データなし",IF($F94&lt;=0,"今日が期限",IF($F94&lt;=N(発注計算!$AG90),"要発注","余裕"))))</f>
        <v>余裕</v>
      </c>
      <c r="H94" s="67" t="n">
        <f aca="false">IF(OR(発注計算!$C90="",NOT(ISNUMBER(発注計算!$S90)),発注計算!$S90&lt;=0),"",(発注計算!$K90+N($J94)*N(発注計算!$G90))/発注計算!$S90)</f>
        <v>45.2978436657682</v>
      </c>
      <c r="I94" s="69" t="n">
        <f aca="false">IF(発注計算!$C90="","",発注計算!$Y90)</f>
        <v>0</v>
      </c>
      <c r="J94" s="70"/>
      <c r="K94" s="71" t="str">
        <f aca="false">IF($J94="","",N($J94)*N(発注計算!$H90))</f>
        <v/>
      </c>
      <c r="L94" s="72"/>
      <c r="M94" s="72"/>
      <c r="N94" s="72"/>
      <c r="O94" s="72"/>
      <c r="P94" s="72"/>
      <c r="Q94" s="72"/>
      <c r="R94" s="72"/>
      <c r="S94" s="72"/>
      <c r="T94" s="72"/>
      <c r="U94" s="72"/>
      <c r="V94" s="72"/>
      <c r="W94" s="72"/>
      <c r="X94" s="72"/>
      <c r="Y94" s="72"/>
      <c r="Z94" s="31" t="n">
        <f aca="false">IF(OR(N($J94)&lt;=0,AND(③発注書!$C$5&lt;&gt;"すべて",発注計算!$F90&lt;&gt;③発注書!$C$5)),N(Z93),N(Z93)+1)</f>
        <v>7</v>
      </c>
    </row>
    <row r="95" customFormat="false" ht="16.5" hidden="false" customHeight="true" outlineLevel="0" collapsed="false">
      <c r="B95" s="66" t="n">
        <v>86</v>
      </c>
      <c r="C95" s="66" t="str">
        <f aca="false">IF(発注計算!$C91="","",発注計算!$D91)</f>
        <v>ホットＳカップ　ＳＭＰ―２６０</v>
      </c>
      <c r="D95" s="66" t="str">
        <f aca="false">IF(発注計算!$C91="","",発注計算!$E91)</f>
        <v>コンセ包材</v>
      </c>
      <c r="E95" s="67" t="n">
        <f aca="false">IF(発注計算!$C91="","",発注計算!$T91)</f>
        <v>77.5530985530986</v>
      </c>
      <c r="F95" s="67" t="n">
        <f aca="false">IF(ISNUMBER($E95),$E95-N(発注計算!$I91),"")</f>
        <v>74.5530985530986</v>
      </c>
      <c r="G95" s="68" t="str">
        <f aca="false">IF(発注計算!$C91="","",IF(NOT(ISNUMBER($F95)),"データなし",IF($F95&lt;=0,"今日が期限",IF($F95&lt;=N(発注計算!$AG91),"要発注","余裕"))))</f>
        <v>余裕</v>
      </c>
      <c r="H95" s="67" t="n">
        <f aca="false">IF(OR(発注計算!$C91="",NOT(ISNUMBER(発注計算!$S91)),発注計算!$S91&lt;=0),"",(発注計算!$K91+N($J95)*N(発注計算!$G91))/発注計算!$S91)</f>
        <v>77.5530985530986</v>
      </c>
      <c r="I95" s="69" t="n">
        <f aca="false">IF(発注計算!$C91="","",発注計算!$Y91)</f>
        <v>0</v>
      </c>
      <c r="J95" s="70"/>
      <c r="K95" s="71" t="str">
        <f aca="false">IF($J95="","",N($J95)*N(発注計算!$H91))</f>
        <v/>
      </c>
      <c r="L95" s="72"/>
      <c r="M95" s="72"/>
      <c r="N95" s="72"/>
      <c r="O95" s="72"/>
      <c r="P95" s="72"/>
      <c r="Q95" s="72"/>
      <c r="R95" s="72"/>
      <c r="S95" s="72"/>
      <c r="T95" s="72"/>
      <c r="U95" s="72"/>
      <c r="V95" s="72"/>
      <c r="W95" s="72"/>
      <c r="X95" s="72"/>
      <c r="Y95" s="72"/>
      <c r="Z95" s="31" t="n">
        <f aca="false">IF(OR(N($J95)&lt;=0,AND(③発注書!$C$5&lt;&gt;"すべて",発注計算!$F91&lt;&gt;③発注書!$C$5)),N(Z94),N(Z94)+1)</f>
        <v>7</v>
      </c>
    </row>
    <row r="96" customFormat="false" ht="16.5" hidden="false" customHeight="true" outlineLevel="0" collapsed="false">
      <c r="B96" s="66" t="n">
        <v>87</v>
      </c>
      <c r="C96" s="66" t="str">
        <f aca="false">IF(発注計算!$C92="","",発注計算!$D92)</f>
        <v>ＴＨ　ドームリッド　Ｌ－９６ＦＳ</v>
      </c>
      <c r="D96" s="66" t="str">
        <f aca="false">IF(発注計算!$C92="","",発注計算!$E92)</f>
        <v>コンセ包材</v>
      </c>
      <c r="E96" s="67" t="n">
        <f aca="false">IF(発注計算!$C92="","",発注計算!$T92)</f>
        <v>1.28211632542127</v>
      </c>
      <c r="F96" s="67" t="n">
        <f aca="false">IF(ISNUMBER($E96),$E96-N(発注計算!$I92),"")</f>
        <v>-5.71788367457873</v>
      </c>
      <c r="G96" s="68" t="str">
        <f aca="false">IF(発注計算!$C92="","",IF(NOT(ISNUMBER($F96)),"データなし",IF($F96&lt;=0,"今日が期限",IF($F96&lt;=N(発注計算!$AG92),"要発注","余裕"))))</f>
        <v>今日が期限</v>
      </c>
      <c r="H96" s="67" t="n">
        <f aca="false">IF(OR(発注計算!$C92="",NOT(ISNUMBER(発注計算!$S92)),発注計算!$S92&lt;=0),"",(発注計算!$K92+N($J96)*N(発注計算!$G92))/発注計算!$S92)</f>
        <v>1.28211632542127</v>
      </c>
      <c r="I96" s="69" t="n">
        <f aca="false">IF(発注計算!$C92="","",発注計算!$Y92)</f>
        <v>2</v>
      </c>
      <c r="J96" s="70"/>
      <c r="K96" s="71" t="str">
        <f aca="false">IF($J96="","",N($J96)*N(発注計算!$H92))</f>
        <v/>
      </c>
      <c r="L96" s="72"/>
      <c r="M96" s="72"/>
      <c r="N96" s="72"/>
      <c r="O96" s="72"/>
      <c r="P96" s="72"/>
      <c r="Q96" s="72"/>
      <c r="R96" s="72"/>
      <c r="S96" s="72"/>
      <c r="T96" s="72"/>
      <c r="U96" s="72"/>
      <c r="V96" s="72"/>
      <c r="W96" s="72"/>
      <c r="X96" s="72"/>
      <c r="Y96" s="72"/>
      <c r="Z96" s="31" t="n">
        <f aca="false">IF(OR(N($J96)&lt;=0,AND(③発注書!$C$5&lt;&gt;"すべて",発注計算!$F92&lt;&gt;③発注書!$C$5)),N(Z95),N(Z95)+1)</f>
        <v>7</v>
      </c>
    </row>
    <row r="97" customFormat="false" ht="16.5" hidden="false" customHeight="true" outlineLevel="0" collapsed="false">
      <c r="B97" s="66" t="n">
        <v>88</v>
      </c>
      <c r="C97" s="66" t="str">
        <f aca="false">IF(発注計算!$C93="","",発注計算!$D93)</f>
        <v>サッポロポテトバーベＱ　Ｐカップ</v>
      </c>
      <c r="D97" s="66" t="str">
        <f aca="false">IF(発注計算!$C93="","",発注計算!$E93)</f>
        <v>コンセ包材</v>
      </c>
      <c r="E97" s="67" t="n">
        <f aca="false">IF(発注計算!$C93="","",発注計算!$T93)</f>
        <v>1.78102189781022</v>
      </c>
      <c r="F97" s="67" t="n">
        <f aca="false">IF(ISNUMBER($E97),$E97-N(発注計算!$I93),"")</f>
        <v>-0.218978102189781</v>
      </c>
      <c r="G97" s="68" t="str">
        <f aca="false">IF(発注計算!$C93="","",IF(NOT(ISNUMBER($F97)),"データなし",IF($F97&lt;=0,"今日が期限",IF($F97&lt;=N(発注計算!$AG93),"要発注","余裕"))))</f>
        <v>今日が期限</v>
      </c>
      <c r="H97" s="67" t="n">
        <f aca="false">IF(OR(発注計算!$C93="",NOT(ISNUMBER(発注計算!$S93)),発注計算!$S93&lt;=0),"",(発注計算!$K93+N($J97)*N(発注計算!$G93))/発注計算!$S93)</f>
        <v>1.78102189781022</v>
      </c>
      <c r="I97" s="69" t="n">
        <f aca="false">IF(発注計算!$C93="","",発注計算!$Y93)</f>
        <v>1</v>
      </c>
      <c r="J97" s="70"/>
      <c r="K97" s="71" t="str">
        <f aca="false">IF($J97="","",N($J97)*N(発注計算!$H93))</f>
        <v/>
      </c>
      <c r="L97" s="72"/>
      <c r="M97" s="72"/>
      <c r="N97" s="72"/>
      <c r="O97" s="72"/>
      <c r="P97" s="72"/>
      <c r="Q97" s="72"/>
      <c r="R97" s="72"/>
      <c r="S97" s="72"/>
      <c r="T97" s="72"/>
      <c r="U97" s="72"/>
      <c r="V97" s="72"/>
      <c r="W97" s="72"/>
      <c r="X97" s="72"/>
      <c r="Y97" s="72"/>
      <c r="Z97" s="31" t="n">
        <f aca="false">IF(OR(N($J97)&lt;=0,AND(③発注書!$C$5&lt;&gt;"すべて",発注計算!$F93&lt;&gt;③発注書!$C$5)),N(Z96),N(Z96)+1)</f>
        <v>7</v>
      </c>
    </row>
    <row r="98" customFormat="false" ht="16.5" hidden="false" customHeight="true" outlineLevel="0" collapsed="false">
      <c r="B98" s="66" t="n">
        <v>89</v>
      </c>
      <c r="C98" s="66" t="str">
        <f aca="false">IF(発注計算!$C94="","",発注計算!$D94)</f>
        <v>ＴＨ（ＦＳ）新チュリトス袋２</v>
      </c>
      <c r="D98" s="66" t="str">
        <f aca="false">IF(発注計算!$C94="","",発注計算!$E94)</f>
        <v>コンセ包材</v>
      </c>
      <c r="E98" s="67" t="n">
        <f aca="false">IF(発注計算!$C94="","",発注計算!$T94)</f>
        <v>41.2334494773519</v>
      </c>
      <c r="F98" s="67" t="n">
        <f aca="false">IF(ISNUMBER($E98),$E98-N(発注計算!$I94),"")</f>
        <v>39.2334494773519</v>
      </c>
      <c r="G98" s="68" t="str">
        <f aca="false">IF(発注計算!$C94="","",IF(NOT(ISNUMBER($F98)),"データなし",IF($F98&lt;=0,"今日が期限",IF($F98&lt;=N(発注計算!$AG94),"要発注","余裕"))))</f>
        <v>余裕</v>
      </c>
      <c r="H98" s="67" t="n">
        <f aca="false">IF(OR(発注計算!$C94="",NOT(ISNUMBER(発注計算!$S94)),発注計算!$S94&lt;=0),"",(発注計算!$K94+N($J98)*N(発注計算!$G94))/発注計算!$S94)</f>
        <v>41.2334494773519</v>
      </c>
      <c r="I98" s="69" t="n">
        <f aca="false">IF(発注計算!$C94="","",発注計算!$Y94)</f>
        <v>0</v>
      </c>
      <c r="J98" s="70"/>
      <c r="K98" s="71" t="str">
        <f aca="false">IF($J98="","",N($J98)*N(発注計算!$H94))</f>
        <v/>
      </c>
      <c r="L98" s="72"/>
      <c r="M98" s="72"/>
      <c r="N98" s="72"/>
      <c r="O98" s="72"/>
      <c r="P98" s="72"/>
      <c r="Q98" s="72"/>
      <c r="R98" s="72"/>
      <c r="S98" s="72"/>
      <c r="T98" s="72"/>
      <c r="U98" s="72"/>
      <c r="V98" s="72"/>
      <c r="W98" s="72"/>
      <c r="X98" s="72"/>
      <c r="Y98" s="72"/>
      <c r="Z98" s="31" t="n">
        <f aca="false">IF(OR(N($J98)&lt;=0,AND(③発注書!$C$5&lt;&gt;"すべて",発注計算!$F94&lt;&gt;③発注書!$C$5)),N(Z97),N(Z97)+1)</f>
        <v>7</v>
      </c>
    </row>
    <row r="99" customFormat="false" ht="16.5" hidden="false" customHeight="true" outlineLevel="0" collapsed="false">
      <c r="B99" s="66" t="n">
        <v>90</v>
      </c>
      <c r="C99" s="66" t="str">
        <f aca="false">IF(発注計算!$C95="","",発注計算!$D95)</f>
        <v>ＩＣＥＥ　ドリンクカップ２１０Ｚ</v>
      </c>
      <c r="D99" s="66" t="str">
        <f aca="false">IF(発注計算!$C95="","",発注計算!$E95)</f>
        <v>コンセ包材</v>
      </c>
      <c r="E99" s="67" t="n">
        <f aca="false">IF(発注計算!$C95="","",発注計算!$T95)</f>
        <v>21.7210682492582</v>
      </c>
      <c r="F99" s="67" t="n">
        <f aca="false">IF(ISNUMBER($E99),$E99-N(発注計算!$I95),"")</f>
        <v>18.7210682492582</v>
      </c>
      <c r="G99" s="68" t="str">
        <f aca="false">IF(発注計算!$C95="","",IF(NOT(ISNUMBER($F99)),"データなし",IF($F99&lt;=0,"今日が期限",IF($F99&lt;=N(発注計算!$AG95),"要発注","余裕"))))</f>
        <v>余裕</v>
      </c>
      <c r="H99" s="67" t="n">
        <f aca="false">IF(OR(発注計算!$C95="",NOT(ISNUMBER(発注計算!$S95)),発注計算!$S95&lt;=0),"",(発注計算!$K95+N($J99)*N(発注計算!$G95))/発注計算!$S95)</f>
        <v>21.7210682492582</v>
      </c>
      <c r="I99" s="69" t="n">
        <f aca="false">IF(発注計算!$C95="","",発注計算!$Y95)</f>
        <v>0</v>
      </c>
      <c r="J99" s="70"/>
      <c r="K99" s="71" t="str">
        <f aca="false">IF($J99="","",N($J99)*N(発注計算!$H95))</f>
        <v/>
      </c>
      <c r="L99" s="72"/>
      <c r="M99" s="72"/>
      <c r="N99" s="72"/>
      <c r="O99" s="72"/>
      <c r="P99" s="72"/>
      <c r="Q99" s="72"/>
      <c r="R99" s="72"/>
      <c r="S99" s="72"/>
      <c r="T99" s="72"/>
      <c r="U99" s="72"/>
      <c r="V99" s="72"/>
      <c r="W99" s="72"/>
      <c r="X99" s="72"/>
      <c r="Y99" s="72"/>
      <c r="Z99" s="31" t="n">
        <f aca="false">IF(OR(N($J99)&lt;=0,AND(③発注書!$C$5&lt;&gt;"すべて",発注計算!$F95&lt;&gt;③発注書!$C$5)),N(Z98),N(Z98)+1)</f>
        <v>7</v>
      </c>
    </row>
    <row r="100" customFormat="false" ht="16.5" hidden="false" customHeight="true" outlineLevel="0" collapsed="false">
      <c r="B100" s="66" t="n">
        <v>91</v>
      </c>
      <c r="C100" s="66" t="str">
        <f aca="false">IF(発注計算!$C96="","",発注計算!$D96)</f>
        <v>ＩＣＥＥ　ドームリッド</v>
      </c>
      <c r="D100" s="66" t="str">
        <f aca="false">IF(発注計算!$C96="","",発注計算!$E96)</f>
        <v>コンセ包材</v>
      </c>
      <c r="E100" s="67" t="n">
        <f aca="false">IF(発注計算!$C96="","",発注計算!$T96)</f>
        <v>91.7294218783581</v>
      </c>
      <c r="F100" s="67" t="n">
        <f aca="false">IF(ISNUMBER($E100),$E100-N(発注計算!$I96),"")</f>
        <v>88.7294218783581</v>
      </c>
      <c r="G100" s="68" t="str">
        <f aca="false">IF(発注計算!$C96="","",IF(NOT(ISNUMBER($F100)),"データなし",IF($F100&lt;=0,"今日が期限",IF($F100&lt;=N(発注計算!$AG96),"要発注","余裕"))))</f>
        <v>余裕</v>
      </c>
      <c r="H100" s="67" t="n">
        <f aca="false">IF(OR(発注計算!$C96="",NOT(ISNUMBER(発注計算!$S96)),発注計算!$S96&lt;=0),"",(発注計算!$K96+N($J100)*N(発注計算!$G96))/発注計算!$S96)</f>
        <v>91.7294218783581</v>
      </c>
      <c r="I100" s="69" t="n">
        <f aca="false">IF(発注計算!$C96="","",発注計算!$Y96)</f>
        <v>0</v>
      </c>
      <c r="J100" s="70"/>
      <c r="K100" s="71" t="str">
        <f aca="false">IF($J100="","",N($J100)*N(発注計算!$H96))</f>
        <v/>
      </c>
      <c r="L100" s="72"/>
      <c r="M100" s="72"/>
      <c r="N100" s="72"/>
      <c r="O100" s="72"/>
      <c r="P100" s="72"/>
      <c r="Q100" s="72"/>
      <c r="R100" s="72"/>
      <c r="S100" s="72"/>
      <c r="T100" s="72"/>
      <c r="U100" s="72"/>
      <c r="V100" s="72"/>
      <c r="W100" s="72"/>
      <c r="X100" s="72"/>
      <c r="Y100" s="72"/>
      <c r="Z100" s="31" t="n">
        <f aca="false">IF(OR(N($J100)&lt;=0,AND(③発注書!$C$5&lt;&gt;"すべて",発注計算!$F96&lt;&gt;③発注書!$C$5)),N(Z99),N(Z99)+1)</f>
        <v>7</v>
      </c>
    </row>
    <row r="101" customFormat="false" ht="16.5" hidden="false" customHeight="true" outlineLevel="0" collapsed="false">
      <c r="B101" s="66" t="n">
        <v>92</v>
      </c>
      <c r="C101" s="66" t="str">
        <f aca="false">IF(発注計算!$C97="","",発注計算!$D97)</f>
        <v>ＩＣＥＥ　ストロー　裸・赤</v>
      </c>
      <c r="D101" s="66" t="str">
        <f aca="false">IF(発注計算!$C97="","",発注計算!$E97)</f>
        <v>コンセ包材</v>
      </c>
      <c r="E101" s="67" t="n">
        <f aca="false">IF(発注計算!$C97="","",発注計算!$T97)</f>
        <v>48.8082741131719</v>
      </c>
      <c r="F101" s="67" t="n">
        <f aca="false">IF(ISNUMBER($E101),$E101-N(発注計算!$I97),"")</f>
        <v>45.8082741131719</v>
      </c>
      <c r="G101" s="68" t="str">
        <f aca="false">IF(発注計算!$C97="","",IF(NOT(ISNUMBER($F101)),"データなし",IF($F101&lt;=0,"今日が期限",IF($F101&lt;=N(発注計算!$AG97),"要発注","余裕"))))</f>
        <v>余裕</v>
      </c>
      <c r="H101" s="67" t="n">
        <f aca="false">IF(OR(発注計算!$C97="",NOT(ISNUMBER(発注計算!$S97)),発注計算!$S97&lt;=0),"",(発注計算!$K97+N($J101)*N(発注計算!$G97))/発注計算!$S97)</f>
        <v>48.8082741131719</v>
      </c>
      <c r="I101" s="69" t="n">
        <f aca="false">IF(発注計算!$C97="","",発注計算!$Y97)</f>
        <v>0</v>
      </c>
      <c r="J101" s="70"/>
      <c r="K101" s="71" t="str">
        <f aca="false">IF($J101="","",N($J101)*N(発注計算!$H97))</f>
        <v/>
      </c>
      <c r="L101" s="72"/>
      <c r="M101" s="72"/>
      <c r="N101" s="72"/>
      <c r="O101" s="72"/>
      <c r="P101" s="72"/>
      <c r="Q101" s="72"/>
      <c r="R101" s="72"/>
      <c r="S101" s="72"/>
      <c r="T101" s="72"/>
      <c r="U101" s="72"/>
      <c r="V101" s="72"/>
      <c r="W101" s="72"/>
      <c r="X101" s="72"/>
      <c r="Y101" s="72"/>
      <c r="Z101" s="31" t="n">
        <f aca="false">IF(OR(N($J101)&lt;=0,AND(③発注書!$C$5&lt;&gt;"すべて",発注計算!$F97&lt;&gt;③発注書!$C$5)),N(Z100),N(Z100)+1)</f>
        <v>7</v>
      </c>
    </row>
    <row r="102" customFormat="false" ht="16.5" hidden="false" customHeight="true" outlineLevel="0" collapsed="false">
      <c r="B102" s="66" t="n">
        <v>93</v>
      </c>
      <c r="C102" s="66" t="str">
        <f aca="false">IF(発注計算!$C98="","",発注計算!$D98)</f>
        <v>新パーティーポップ袋</v>
      </c>
      <c r="D102" s="66" t="str">
        <f aca="false">IF(発注計算!$C98="","",発注計算!$E98)</f>
        <v>コンセ包材</v>
      </c>
      <c r="E102" s="67" t="n">
        <f aca="false">IF(発注計算!$C98="","",発注計算!$T98)</f>
        <v>2.06992627927147</v>
      </c>
      <c r="F102" s="67" t="n">
        <f aca="false">IF(ISNUMBER($E102),$E102-N(発注計算!$I98),"")</f>
        <v>-0.930073720728534</v>
      </c>
      <c r="G102" s="68" t="str">
        <f aca="false">IF(発注計算!$C98="","",IF(NOT(ISNUMBER($F102)),"データなし",IF($F102&lt;=0,"今日が期限",IF($F102&lt;=N(発注計算!$AG98),"要発注","余裕"))))</f>
        <v>今日が期限</v>
      </c>
      <c r="H102" s="67" t="n">
        <f aca="false">IF(OR(発注計算!$C98="",NOT(ISNUMBER(発注計算!$S98)),発注計算!$S98&lt;=0),"",(発注計算!$K98+N($J102)*N(発注計算!$G98))/発注計算!$S98)</f>
        <v>2.06992627927147</v>
      </c>
      <c r="I102" s="69" t="n">
        <f aca="false">IF(発注計算!$C98="","",発注計算!$Y98)</f>
        <v>5</v>
      </c>
      <c r="J102" s="70"/>
      <c r="K102" s="71" t="str">
        <f aca="false">IF($J102="","",N($J102)*N(発注計算!$H98))</f>
        <v/>
      </c>
      <c r="L102" s="72"/>
      <c r="M102" s="72"/>
      <c r="N102" s="72"/>
      <c r="O102" s="72"/>
      <c r="P102" s="72"/>
      <c r="Q102" s="72"/>
      <c r="R102" s="72"/>
      <c r="S102" s="72"/>
      <c r="T102" s="72"/>
      <c r="U102" s="72"/>
      <c r="V102" s="72"/>
      <c r="W102" s="72"/>
      <c r="X102" s="72"/>
      <c r="Y102" s="72"/>
      <c r="Z102" s="31" t="n">
        <f aca="false">IF(OR(N($J102)&lt;=0,AND(③発注書!$C$5&lt;&gt;"すべて",発注計算!$F98&lt;&gt;③発注書!$C$5)),N(Z101),N(Z101)+1)</f>
        <v>7</v>
      </c>
    </row>
    <row r="103" customFormat="false" ht="16.5" hidden="false" customHeight="true" outlineLevel="0" collapsed="false">
      <c r="B103" s="66" t="n">
        <v>94</v>
      </c>
      <c r="C103" s="66" t="str">
        <f aca="false">IF(発注計算!$C99="","",発注計算!$D99)</f>
        <v>パーティーポップＷ　袋</v>
      </c>
      <c r="D103" s="66" t="str">
        <f aca="false">IF(発注計算!$C99="","",発注計算!$E99)</f>
        <v>コンセ包材</v>
      </c>
      <c r="E103" s="67" t="n">
        <f aca="false">IF(発注計算!$C99="","",発注計算!$T99)</f>
        <v>7.3760999148453</v>
      </c>
      <c r="F103" s="67" t="n">
        <f aca="false">IF(ISNUMBER($E103),$E103-N(発注計算!$I99),"")</f>
        <v>5.3760999148453</v>
      </c>
      <c r="G103" s="68" t="str">
        <f aca="false">IF(発注計算!$C99="","",IF(NOT(ISNUMBER($F103)),"データなし",IF($F103&lt;=0,"今日が期限",IF($F103&lt;=N(発注計算!$AG99),"要発注","余裕"))))</f>
        <v>要発注</v>
      </c>
      <c r="H103" s="67" t="n">
        <f aca="false">IF(OR(発注計算!$C99="",NOT(ISNUMBER(発注計算!$S99)),発注計算!$S99&lt;=0),"",(発注計算!$K99+N($J103)*N(発注計算!$G99))/発注計算!$S99)</f>
        <v>7.3760999148453</v>
      </c>
      <c r="I103" s="69" t="n">
        <f aca="false">IF(発注計算!$C99="","",発注計算!$Y99)</f>
        <v>2</v>
      </c>
      <c r="J103" s="70"/>
      <c r="K103" s="71" t="str">
        <f aca="false">IF($J103="","",N($J103)*N(発注計算!$H99))</f>
        <v/>
      </c>
      <c r="L103" s="72"/>
      <c r="M103" s="72"/>
      <c r="N103" s="72"/>
      <c r="O103" s="72"/>
      <c r="P103" s="72"/>
      <c r="Q103" s="72"/>
      <c r="R103" s="72"/>
      <c r="S103" s="72"/>
      <c r="T103" s="72"/>
      <c r="U103" s="72"/>
      <c r="V103" s="72"/>
      <c r="W103" s="72"/>
      <c r="X103" s="72"/>
      <c r="Y103" s="72"/>
      <c r="Z103" s="31" t="n">
        <f aca="false">IF(OR(N($J103)&lt;=0,AND(③発注書!$C$5&lt;&gt;"すべて",発注計算!$F99&lt;&gt;③発注書!$C$5)),N(Z102),N(Z102)+1)</f>
        <v>7</v>
      </c>
    </row>
    <row r="104" customFormat="false" ht="16.5" hidden="false" customHeight="true" outlineLevel="0" collapsed="false">
      <c r="B104" s="66" t="n">
        <v>95</v>
      </c>
      <c r="C104" s="66" t="str">
        <f aca="false">IF(発注計算!$C100="","",発注計算!$D100)</f>
        <v>パーティーポップＷ　オイル容器</v>
      </c>
      <c r="D104" s="66" t="str">
        <f aca="false">IF(発注計算!$C100="","",発注計算!$E100)</f>
        <v>コンセ包材</v>
      </c>
      <c r="E104" s="67" t="n">
        <f aca="false">IF(発注計算!$C100="","",発注計算!$T100)</f>
        <v>54.344698261166</v>
      </c>
      <c r="F104" s="67" t="n">
        <f aca="false">IF(ISNUMBER($E104),$E104-N(発注計算!$I100),"")</f>
        <v>51.344698261166</v>
      </c>
      <c r="G104" s="68" t="str">
        <f aca="false">IF(発注計算!$C100="","",IF(NOT(ISNUMBER($F104)),"データなし",IF($F104&lt;=0,"今日が期限",IF($F104&lt;=N(発注計算!$AG100),"要発注","余裕"))))</f>
        <v>余裕</v>
      </c>
      <c r="H104" s="67" t="n">
        <f aca="false">IF(OR(発注計算!$C100="",NOT(ISNUMBER(発注計算!$S100)),発注計算!$S100&lt;=0),"",(発注計算!$K100+N($J104)*N(発注計算!$G100))/発注計算!$S100)</f>
        <v>54.344698261166</v>
      </c>
      <c r="I104" s="69" t="n">
        <f aca="false">IF(発注計算!$C100="","",発注計算!$Y100)</f>
        <v>0</v>
      </c>
      <c r="J104" s="70"/>
      <c r="K104" s="71" t="str">
        <f aca="false">IF($J104="","",N($J104)*N(発注計算!$H100))</f>
        <v/>
      </c>
      <c r="L104" s="72"/>
      <c r="M104" s="72"/>
      <c r="N104" s="72"/>
      <c r="O104" s="72"/>
      <c r="P104" s="72"/>
      <c r="Q104" s="72"/>
      <c r="R104" s="72"/>
      <c r="S104" s="72"/>
      <c r="T104" s="72"/>
      <c r="U104" s="72"/>
      <c r="V104" s="72"/>
      <c r="W104" s="72"/>
      <c r="X104" s="72"/>
      <c r="Y104" s="72"/>
      <c r="Z104" s="31" t="n">
        <f aca="false">IF(OR(N($J104)&lt;=0,AND(③発注書!$C$5&lt;&gt;"すべて",発注計算!$F100&lt;&gt;③発注書!$C$5)),N(Z103),N(Z103)+1)</f>
        <v>7</v>
      </c>
    </row>
    <row r="105" customFormat="false" ht="16.5" hidden="false" customHeight="true" outlineLevel="0" collapsed="false">
      <c r="B105" s="66" t="n">
        <v>96</v>
      </c>
      <c r="C105" s="66" t="str">
        <f aca="false">IF(発注計算!$C101="","",発注計算!$D101)</f>
        <v>プレゼント用ポップコーン袋</v>
      </c>
      <c r="D105" s="66" t="str">
        <f aca="false">IF(発注計算!$C101="","",発注計算!$E101)</f>
        <v>コンセ包材</v>
      </c>
      <c r="E105" s="67" t="n">
        <f aca="false">IF(発注計算!$C101="","",発注計算!$T101)</f>
        <v>5.75879159782865</v>
      </c>
      <c r="F105" s="67" t="n">
        <f aca="false">IF(ISNUMBER($E105),$E105-N(発注計算!$I101),"")</f>
        <v>-1.24120840217135</v>
      </c>
      <c r="G105" s="68" t="str">
        <f aca="false">IF(発注計算!$C101="","",IF(NOT(ISNUMBER($F105)),"データなし",IF($F105&lt;=0,"今日が期限",IF($F105&lt;=N(発注計算!$AG101),"要発注","余裕"))))</f>
        <v>今日が期限</v>
      </c>
      <c r="H105" s="67" t="n">
        <f aca="false">IF(OR(発注計算!$C101="",NOT(ISNUMBER(発注計算!$S101)),発注計算!$S101&lt;=0),"",(発注計算!$K101+N($J105)*N(発注計算!$G101))/発注計算!$S101)</f>
        <v>5.75879159782865</v>
      </c>
      <c r="I105" s="69" t="n">
        <f aca="false">IF(発注計算!$C101="","",発注計算!$Y101)</f>
        <v>1</v>
      </c>
      <c r="J105" s="70"/>
      <c r="K105" s="71" t="str">
        <f aca="false">IF($J105="","",N($J105)*N(発注計算!$H101))</f>
        <v/>
      </c>
      <c r="L105" s="72"/>
      <c r="M105" s="72"/>
      <c r="N105" s="72"/>
      <c r="O105" s="72"/>
      <c r="P105" s="72"/>
      <c r="Q105" s="72"/>
      <c r="R105" s="72"/>
      <c r="S105" s="72"/>
      <c r="T105" s="72"/>
      <c r="U105" s="72"/>
      <c r="V105" s="72"/>
      <c r="W105" s="72"/>
      <c r="X105" s="72"/>
      <c r="Y105" s="72"/>
      <c r="Z105" s="31" t="n">
        <f aca="false">IF(OR(N($J105)&lt;=0,AND(③発注書!$C$5&lt;&gt;"すべて",発注計算!$F101&lt;&gt;③発注書!$C$5)),N(Z104),N(Z104)+1)</f>
        <v>7</v>
      </c>
    </row>
    <row r="106" customFormat="false" ht="16.5" hidden="false" customHeight="true" outlineLevel="0" collapsed="false">
      <c r="B106" s="66" t="n">
        <v>97</v>
      </c>
      <c r="C106" s="66" t="str">
        <f aca="false">IF(発注計算!$C102="","",発注計算!$D102)</f>
        <v>ＩＣＥＥ　新ドリンクカップ２１０</v>
      </c>
      <c r="D106" s="66" t="str">
        <f aca="false">IF(発注計算!$C102="","",発注計算!$E102)</f>
        <v>コンセ包材</v>
      </c>
      <c r="E106" s="67" t="n">
        <f aca="false">IF(発注計算!$C102="","",発注計算!$T102)</f>
        <v>18.4492688749627</v>
      </c>
      <c r="F106" s="67" t="n">
        <f aca="false">IF(ISNUMBER($E106),$E106-N(発注計算!$I102),"")</f>
        <v>14.4492688749627</v>
      </c>
      <c r="G106" s="68" t="str">
        <f aca="false">IF(発注計算!$C102="","",IF(NOT(ISNUMBER($F106)),"データなし",IF($F106&lt;=0,"今日が期限",IF($F106&lt;=N(発注計算!$AG102),"要発注","余裕"))))</f>
        <v>余裕</v>
      </c>
      <c r="H106" s="67" t="n">
        <f aca="false">IF(OR(発注計算!$C102="",NOT(ISNUMBER(発注計算!$S102)),発注計算!$S102&lt;=0),"",(発注計算!$K102+N($J106)*N(発注計算!$G102))/発注計算!$S102)</f>
        <v>18.4492688749627</v>
      </c>
      <c r="I106" s="69" t="n">
        <f aca="false">IF(発注計算!$C102="","",発注計算!$Y102)</f>
        <v>0</v>
      </c>
      <c r="J106" s="70"/>
      <c r="K106" s="71" t="str">
        <f aca="false">IF($J106="","",N($J106)*N(発注計算!$H102))</f>
        <v/>
      </c>
      <c r="L106" s="72"/>
      <c r="M106" s="72"/>
      <c r="N106" s="72"/>
      <c r="O106" s="72"/>
      <c r="P106" s="72"/>
      <c r="Q106" s="72"/>
      <c r="R106" s="72"/>
      <c r="S106" s="72"/>
      <c r="T106" s="72"/>
      <c r="U106" s="72"/>
      <c r="V106" s="72"/>
      <c r="W106" s="72"/>
      <c r="X106" s="72"/>
      <c r="Y106" s="72"/>
      <c r="Z106" s="31" t="n">
        <f aca="false">IF(OR(N($J106)&lt;=0,AND(③発注書!$C$5&lt;&gt;"すべて",発注計算!$F102&lt;&gt;③発注書!$C$5)),N(Z105),N(Z105)+1)</f>
        <v>7</v>
      </c>
    </row>
    <row r="107" customFormat="false" ht="16.5" hidden="false" customHeight="true" outlineLevel="0" collapsed="false">
      <c r="B107" s="66" t="n">
        <v>98</v>
      </c>
      <c r="C107" s="66" t="str">
        <f aca="false">IF(発注計算!$C103="","",発注計算!$D103)</f>
        <v>新　シネマイク蓋</v>
      </c>
      <c r="D107" s="66" t="str">
        <f aca="false">IF(発注計算!$C103="","",発注計算!$E103)</f>
        <v>コンセ包材</v>
      </c>
      <c r="E107" s="67" t="n">
        <f aca="false">IF(発注計算!$C103="","",発注計算!$T103)</f>
        <v>33.2869806966009</v>
      </c>
      <c r="F107" s="67" t="n">
        <f aca="false">IF(ISNUMBER($E107),$E107-N(発注計算!$I103),"")</f>
        <v>28.2869806966009</v>
      </c>
      <c r="G107" s="68" t="str">
        <f aca="false">IF(発注計算!$C103="","",IF(NOT(ISNUMBER($F107)),"データなし",IF($F107&lt;=0,"今日が期限",IF($F107&lt;=N(発注計算!$AG103),"要発注","余裕"))))</f>
        <v>余裕</v>
      </c>
      <c r="H107" s="67" t="n">
        <f aca="false">IF(OR(発注計算!$C103="",NOT(ISNUMBER(発注計算!$S103)),発注計算!$S103&lt;=0),"",(発注計算!$K103+N($J107)*N(発注計算!$G103))/発注計算!$S103)</f>
        <v>33.2869806966009</v>
      </c>
      <c r="I107" s="69" t="n">
        <f aca="false">IF(発注計算!$C103="","",発注計算!$Y103)</f>
        <v>0</v>
      </c>
      <c r="J107" s="70"/>
      <c r="K107" s="71" t="str">
        <f aca="false">IF($J107="","",N($J107)*N(発注計算!$H103))</f>
        <v/>
      </c>
      <c r="L107" s="72"/>
      <c r="M107" s="72"/>
      <c r="N107" s="72"/>
      <c r="O107" s="72"/>
      <c r="P107" s="72"/>
      <c r="Q107" s="72"/>
      <c r="R107" s="72"/>
      <c r="S107" s="72"/>
      <c r="T107" s="72"/>
      <c r="U107" s="72"/>
      <c r="V107" s="72"/>
      <c r="W107" s="72"/>
      <c r="X107" s="72"/>
      <c r="Y107" s="72"/>
      <c r="Z107" s="31" t="n">
        <f aca="false">IF(OR(N($J107)&lt;=0,AND(③発注書!$C$5&lt;&gt;"すべて",発注計算!$F103&lt;&gt;③発注書!$C$5)),N(Z106),N(Z106)+1)</f>
        <v>7</v>
      </c>
    </row>
    <row r="108" customFormat="false" ht="16.5" hidden="false" customHeight="true" outlineLevel="0" collapsed="false">
      <c r="B108" s="66" t="n">
        <v>99</v>
      </c>
      <c r="C108" s="66" t="str">
        <f aca="false">IF(発注計算!$C104="","",発注計算!$D104)</f>
        <v>新ポップコーンＨ＆Ｈ仕切り</v>
      </c>
      <c r="D108" s="66" t="str">
        <f aca="false">IF(発注計算!$C104="","",発注計算!$E104)</f>
        <v>コンセ包材</v>
      </c>
      <c r="E108" s="67" t="n">
        <f aca="false">IF(発注計算!$C104="","",発注計算!$T104)</f>
        <v>24.2992033048097</v>
      </c>
      <c r="F108" s="67" t="n">
        <f aca="false">IF(ISNUMBER($E108),$E108-N(発注計算!$I104),"")</f>
        <v>17.2992033048097</v>
      </c>
      <c r="G108" s="68" t="str">
        <f aca="false">IF(発注計算!$C104="","",IF(NOT(ISNUMBER($F108)),"データなし",IF($F108&lt;=0,"今日が期限",IF($F108&lt;=N(発注計算!$AG104),"要発注","余裕"))))</f>
        <v>余裕</v>
      </c>
      <c r="H108" s="67" t="n">
        <f aca="false">IF(OR(発注計算!$C104="",NOT(ISNUMBER(発注計算!$S104)),発注計算!$S104&lt;=0),"",(発注計算!$K104+N($J108)*N(発注計算!$G104))/発注計算!$S104)</f>
        <v>24.2992033048097</v>
      </c>
      <c r="I108" s="69" t="n">
        <f aca="false">IF(発注計算!$C104="","",発注計算!$Y104)</f>
        <v>0</v>
      </c>
      <c r="J108" s="70"/>
      <c r="K108" s="71" t="str">
        <f aca="false">IF($J108="","",N($J108)*N(発注計算!$H104))</f>
        <v/>
      </c>
      <c r="L108" s="72"/>
      <c r="M108" s="72"/>
      <c r="N108" s="72"/>
      <c r="O108" s="72"/>
      <c r="P108" s="72"/>
      <c r="Q108" s="72"/>
      <c r="R108" s="72"/>
      <c r="S108" s="72"/>
      <c r="T108" s="72"/>
      <c r="U108" s="72"/>
      <c r="V108" s="72"/>
      <c r="W108" s="72"/>
      <c r="X108" s="72"/>
      <c r="Y108" s="72"/>
      <c r="Z108" s="31" t="n">
        <f aca="false">IF(OR(N($J108)&lt;=0,AND(③発注書!$C$5&lt;&gt;"すべて",発注計算!$F104&lt;&gt;③発注書!$C$5)),N(Z107),N(Z107)+1)</f>
        <v>7</v>
      </c>
    </row>
    <row r="109" customFormat="false" ht="16.5" hidden="false" customHeight="true" outlineLevel="0" collapsed="false">
      <c r="B109" s="66" t="n">
        <v>100</v>
      </c>
      <c r="C109" s="66" t="str">
        <f aca="false">IF(発注計算!$C105="","",発注計算!$D105)</f>
        <v>新シネマイクポップコーンカップ</v>
      </c>
      <c r="D109" s="66" t="str">
        <f aca="false">IF(発注計算!$C105="","",発注計算!$E105)</f>
        <v>コンセ包材</v>
      </c>
      <c r="E109" s="67" t="n">
        <f aca="false">IF(発注計算!$C105="","",発注計算!$T105)</f>
        <v>0</v>
      </c>
      <c r="F109" s="67" t="n">
        <f aca="false">IF(ISNUMBER($E109),$E109-N(発注計算!$I105),"")</f>
        <v>-3</v>
      </c>
      <c r="G109" s="68" t="str">
        <f aca="false">IF(発注計算!$C105="","",IF(NOT(ISNUMBER($F109)),"データなし",IF($F109&lt;=0,"今日が期限",IF($F109&lt;=N(発注計算!$AG105),"要発注","余裕"))))</f>
        <v>今日が期限</v>
      </c>
      <c r="H109" s="67" t="n">
        <f aca="false">IF(OR(発注計算!$C105="",NOT(ISNUMBER(発注計算!$S105)),発注計算!$S105&lt;=0),"",(発注計算!$K105+N($J109)*N(発注計算!$G105))/発注計算!$S105)</f>
        <v>0</v>
      </c>
      <c r="I109" s="69" t="n">
        <f aca="false">IF(発注計算!$C105="","",発注計算!$Y105)</f>
        <v>1</v>
      </c>
      <c r="J109" s="70"/>
      <c r="K109" s="71" t="str">
        <f aca="false">IF($J109="","",N($J109)*N(発注計算!$H105))</f>
        <v/>
      </c>
      <c r="L109" s="72"/>
      <c r="M109" s="72"/>
      <c r="N109" s="72"/>
      <c r="O109" s="72"/>
      <c r="P109" s="72"/>
      <c r="Q109" s="72"/>
      <c r="R109" s="72"/>
      <c r="S109" s="72"/>
      <c r="T109" s="72"/>
      <c r="U109" s="72"/>
      <c r="V109" s="72"/>
      <c r="W109" s="72"/>
      <c r="X109" s="72"/>
      <c r="Y109" s="72"/>
      <c r="Z109" s="31" t="n">
        <f aca="false">IF(OR(N($J109)&lt;=0,AND(③発注書!$C$5&lt;&gt;"すべて",発注計算!$F105&lt;&gt;③発注書!$C$5)),N(Z108),N(Z108)+1)</f>
        <v>7</v>
      </c>
    </row>
    <row r="110" customFormat="false" ht="16.5" hidden="false" customHeight="true" outlineLevel="0" collapsed="false">
      <c r="B110" s="66" t="n">
        <v>101</v>
      </c>
      <c r="C110" s="66" t="str">
        <f aca="false">IF(発注計算!$C106="","",発注計算!$D106)</f>
        <v>バイオマスタピオカストロー　赤裸</v>
      </c>
      <c r="D110" s="66" t="str">
        <f aca="false">IF(発注計算!$C106="","",発注計算!$E106)</f>
        <v>コンセ包材</v>
      </c>
      <c r="E110" s="67" t="n">
        <f aca="false">IF(発注計算!$C106="","",発注計算!$T106)</f>
        <v>36.6869196285623</v>
      </c>
      <c r="F110" s="67" t="n">
        <f aca="false">IF(ISNUMBER($E110),$E110-N(発注計算!$I106),"")</f>
        <v>29.6869196285623</v>
      </c>
      <c r="G110" s="68" t="str">
        <f aca="false">IF(発注計算!$C106="","",IF(NOT(ISNUMBER($F110)),"データなし",IF($F110&lt;=0,"今日が期限",IF($F110&lt;=N(発注計算!$AG106),"要発注","余裕"))))</f>
        <v>余裕</v>
      </c>
      <c r="H110" s="67" t="n">
        <f aca="false">IF(OR(発注計算!$C106="",NOT(ISNUMBER(発注計算!$S106)),発注計算!$S106&lt;=0),"",(発注計算!$K106+N($J110)*N(発注計算!$G106))/発注計算!$S106)</f>
        <v>36.6869196285623</v>
      </c>
      <c r="I110" s="69" t="n">
        <f aca="false">IF(発注計算!$C106="","",発注計算!$Y106)</f>
        <v>0</v>
      </c>
      <c r="J110" s="70"/>
      <c r="K110" s="71" t="str">
        <f aca="false">IF($J110="","",N($J110)*N(発注計算!$H106))</f>
        <v/>
      </c>
      <c r="L110" s="72"/>
      <c r="M110" s="72"/>
      <c r="N110" s="72"/>
      <c r="O110" s="72"/>
      <c r="P110" s="72"/>
      <c r="Q110" s="72"/>
      <c r="R110" s="72"/>
      <c r="S110" s="72"/>
      <c r="T110" s="72"/>
      <c r="U110" s="72"/>
      <c r="V110" s="72"/>
      <c r="W110" s="72"/>
      <c r="X110" s="72"/>
      <c r="Y110" s="72"/>
      <c r="Z110" s="31" t="n">
        <f aca="false">IF(OR(N($J110)&lt;=0,AND(③発注書!$C$5&lt;&gt;"すべて",発注計算!$F106&lt;&gt;③発注書!$C$5)),N(Z109),N(Z109)+1)</f>
        <v>7</v>
      </c>
    </row>
    <row r="111" customFormat="false" ht="16.5" hidden="false" customHeight="true" outlineLevel="0" collapsed="false">
      <c r="B111" s="66" t="n">
        <v>102</v>
      </c>
      <c r="C111" s="66" t="str">
        <f aca="false">IF(発注計算!$C107="","",発注計算!$D107)</f>
        <v>ＩＣＥＥＰｌｕｓカップＢＩＰ６０</v>
      </c>
      <c r="D111" s="66" t="str">
        <f aca="false">IF(発注計算!$C107="","",発注計算!$E107)</f>
        <v>コンセ包材</v>
      </c>
      <c r="E111" s="67" t="n">
        <f aca="false">IF(発注計算!$C107="","",発注計算!$T107)</f>
        <v>22.5996011522269</v>
      </c>
      <c r="F111" s="67" t="n">
        <f aca="false">IF(ISNUMBER($E111),$E111-N(発注計算!$I107),"")</f>
        <v>18.5996011522269</v>
      </c>
      <c r="G111" s="68" t="str">
        <f aca="false">IF(発注計算!$C107="","",IF(NOT(ISNUMBER($F111)),"データなし",IF($F111&lt;=0,"今日が期限",IF($F111&lt;=N(発注計算!$AG107),"要発注","余裕"))))</f>
        <v>余裕</v>
      </c>
      <c r="H111" s="67" t="n">
        <f aca="false">IF(OR(発注計算!$C107="",NOT(ISNUMBER(発注計算!$S107)),発注計算!$S107&lt;=0),"",(発注計算!$K107+N($J111)*N(発注計算!$G107))/発注計算!$S107)</f>
        <v>22.5996011522269</v>
      </c>
      <c r="I111" s="69" t="n">
        <f aca="false">IF(発注計算!$C107="","",発注計算!$Y107)</f>
        <v>0</v>
      </c>
      <c r="J111" s="70"/>
      <c r="K111" s="71" t="str">
        <f aca="false">IF($J111="","",N($J111)*N(発注計算!$H107))</f>
        <v/>
      </c>
      <c r="L111" s="72"/>
      <c r="M111" s="72"/>
      <c r="N111" s="72"/>
      <c r="O111" s="72"/>
      <c r="P111" s="72"/>
      <c r="Q111" s="72"/>
      <c r="R111" s="72"/>
      <c r="S111" s="72"/>
      <c r="T111" s="72"/>
      <c r="U111" s="72"/>
      <c r="V111" s="72"/>
      <c r="W111" s="72"/>
      <c r="X111" s="72"/>
      <c r="Y111" s="72"/>
      <c r="Z111" s="31" t="n">
        <f aca="false">IF(OR(N($J111)&lt;=0,AND(③発注書!$C$5&lt;&gt;"すべて",発注計算!$F107&lt;&gt;③発注書!$C$5)),N(Z110),N(Z110)+1)</f>
        <v>7</v>
      </c>
    </row>
    <row r="112" customFormat="false" ht="16.5" hidden="false" customHeight="true" outlineLevel="0" collapsed="false">
      <c r="B112" s="66" t="n">
        <v>103</v>
      </c>
      <c r="C112" s="66" t="str">
        <f aca="false">IF(発注計算!$C108="","",発注計算!$D108)</f>
        <v>ドリンクリッド共用５４５Ｆ</v>
      </c>
      <c r="D112" s="66" t="str">
        <f aca="false">IF(発注計算!$C108="","",発注計算!$E108)</f>
        <v>コンセ包材</v>
      </c>
      <c r="E112" s="67" t="n">
        <f aca="false">IF(発注計算!$C108="","",発注計算!$T108)</f>
        <v>9.66914603425403</v>
      </c>
      <c r="F112" s="67" t="n">
        <f aca="false">IF(ISNUMBER($E112),$E112-N(発注計算!$I108),"")</f>
        <v>2.66914603425403</v>
      </c>
      <c r="G112" s="68" t="str">
        <f aca="false">IF(発注計算!$C108="","",IF(NOT(ISNUMBER($F112)),"データなし",IF($F112&lt;=0,"今日が期限",IF($F112&lt;=N(発注計算!$AG108),"要発注","余裕"))))</f>
        <v>要発注</v>
      </c>
      <c r="H112" s="67" t="n">
        <f aca="false">IF(OR(発注計算!$C108="",NOT(ISNUMBER(発注計算!$S108)),発注計算!$S108&lt;=0),"",(発注計算!$K108+N($J112)*N(発注計算!$G108))/発注計算!$S108)</f>
        <v>9.66914603425403</v>
      </c>
      <c r="I112" s="69" t="n">
        <f aca="false">IF(発注計算!$C108="","",発注計算!$Y108)</f>
        <v>4</v>
      </c>
      <c r="J112" s="70"/>
      <c r="K112" s="71" t="str">
        <f aca="false">IF($J112="","",N($J112)*N(発注計算!$H108))</f>
        <v/>
      </c>
      <c r="L112" s="72"/>
      <c r="M112" s="72"/>
      <c r="N112" s="72"/>
      <c r="O112" s="72"/>
      <c r="P112" s="72"/>
      <c r="Q112" s="72"/>
      <c r="R112" s="72"/>
      <c r="S112" s="72"/>
      <c r="T112" s="72"/>
      <c r="U112" s="72"/>
      <c r="V112" s="72"/>
      <c r="W112" s="72"/>
      <c r="X112" s="72"/>
      <c r="Y112" s="72"/>
      <c r="Z112" s="31" t="n">
        <f aca="false">IF(OR(N($J112)&lt;=0,AND(③発注書!$C$5&lt;&gt;"すべて",発注計算!$F108&lt;&gt;③発注書!$C$5)),N(Z111),N(Z111)+1)</f>
        <v>7</v>
      </c>
    </row>
    <row r="113" customFormat="false" ht="16.5" hidden="false" customHeight="true" outlineLevel="0" collapsed="false">
      <c r="B113" s="66" t="n">
        <v>104</v>
      </c>
      <c r="C113" s="66" t="str">
        <f aca="false">IF(発注計算!$C109="","",発注計算!$D109)</f>
        <v>ホットリッド８．５ＯＺ２５０ＤＦ</v>
      </c>
      <c r="D113" s="66" t="str">
        <f aca="false">IF(発注計算!$C109="","",発注計算!$E109)</f>
        <v>コンセ包材</v>
      </c>
      <c r="E113" s="67" t="n">
        <f aca="false">IF(発注計算!$C109="","",発注計算!$T109)</f>
        <v>36.738475793375</v>
      </c>
      <c r="F113" s="67" t="n">
        <f aca="false">IF(ISNUMBER($E113),$E113-N(発注計算!$I109),"")</f>
        <v>34.738475793375</v>
      </c>
      <c r="G113" s="68" t="str">
        <f aca="false">IF(発注計算!$C109="","",IF(NOT(ISNUMBER($F113)),"データなし",IF($F113&lt;=0,"今日が期限",IF($F113&lt;=N(発注計算!$AG109),"要発注","余裕"))))</f>
        <v>余裕</v>
      </c>
      <c r="H113" s="67" t="n">
        <f aca="false">IF(OR(発注計算!$C109="",NOT(ISNUMBER(発注計算!$S109)),発注計算!$S109&lt;=0),"",(発注計算!$K109+N($J113)*N(発注計算!$G109))/発注計算!$S109)</f>
        <v>36.738475793375</v>
      </c>
      <c r="I113" s="69" t="n">
        <f aca="false">IF(発注計算!$C109="","",発注計算!$Y109)</f>
        <v>0</v>
      </c>
      <c r="J113" s="70"/>
      <c r="K113" s="71" t="str">
        <f aca="false">IF($J113="","",N($J113)*N(発注計算!$H109))</f>
        <v/>
      </c>
      <c r="L113" s="72"/>
      <c r="M113" s="72"/>
      <c r="N113" s="72"/>
      <c r="O113" s="72"/>
      <c r="P113" s="72"/>
      <c r="Q113" s="72"/>
      <c r="R113" s="72"/>
      <c r="S113" s="72"/>
      <c r="T113" s="72"/>
      <c r="U113" s="72"/>
      <c r="V113" s="72"/>
      <c r="W113" s="72"/>
      <c r="X113" s="72"/>
      <c r="Y113" s="72"/>
      <c r="Z113" s="31" t="n">
        <f aca="false">IF(OR(N($J113)&lt;=0,AND(③発注書!$C$5&lt;&gt;"すべて",発注計算!$F109&lt;&gt;③発注書!$C$5)),N(Z112),N(Z112)+1)</f>
        <v>7</v>
      </c>
    </row>
    <row r="114" customFormat="false" ht="16.5" hidden="false" customHeight="true" outlineLevel="0" collapsed="false">
      <c r="B114" s="66" t="n">
        <v>105</v>
      </c>
      <c r="C114" s="66" t="str">
        <f aca="false">IF(発注計算!$C110="","",発注計算!$D110)</f>
        <v>ホットリッド１１ＯＺ　３４０ＥＦ</v>
      </c>
      <c r="D114" s="66" t="str">
        <f aca="false">IF(発注計算!$C110="","",発注計算!$E110)</f>
        <v>コンセ包材</v>
      </c>
      <c r="E114" s="67" t="n">
        <f aca="false">IF(発注計算!$C110="","",発注計算!$T110)</f>
        <v>62.1641652770057</v>
      </c>
      <c r="F114" s="67" t="n">
        <f aca="false">IF(ISNUMBER($E114),$E114-N(発注計算!$I110),"")</f>
        <v>58.1641652770057</v>
      </c>
      <c r="G114" s="68" t="str">
        <f aca="false">IF(発注計算!$C110="","",IF(NOT(ISNUMBER($F114)),"データなし",IF($F114&lt;=0,"今日が期限",IF($F114&lt;=N(発注計算!$AG110),"要発注","余裕"))))</f>
        <v>余裕</v>
      </c>
      <c r="H114" s="67" t="n">
        <f aca="false">IF(OR(発注計算!$C110="",NOT(ISNUMBER(発注計算!$S110)),発注計算!$S110&lt;=0),"",(発注計算!$K110+N($J114)*N(発注計算!$G110))/発注計算!$S110)</f>
        <v>62.1641652770057</v>
      </c>
      <c r="I114" s="69" t="n">
        <f aca="false">IF(発注計算!$C110="","",発注計算!$Y110)</f>
        <v>0</v>
      </c>
      <c r="J114" s="70"/>
      <c r="K114" s="71" t="str">
        <f aca="false">IF($J114="","",N($J114)*N(発注計算!$H110))</f>
        <v/>
      </c>
      <c r="L114" s="72"/>
      <c r="M114" s="72"/>
      <c r="N114" s="72"/>
      <c r="O114" s="72"/>
      <c r="P114" s="72"/>
      <c r="Q114" s="72"/>
      <c r="R114" s="72"/>
      <c r="S114" s="72"/>
      <c r="T114" s="72"/>
      <c r="U114" s="72"/>
      <c r="V114" s="72"/>
      <c r="W114" s="72"/>
      <c r="X114" s="72"/>
      <c r="Y114" s="72"/>
      <c r="Z114" s="31" t="n">
        <f aca="false">IF(OR(N($J114)&lt;=0,AND(③発注書!$C$5&lt;&gt;"すべて",発注計算!$F110&lt;&gt;③発注書!$C$5)),N(Z113),N(Z113)+1)</f>
        <v>7</v>
      </c>
    </row>
    <row r="115" customFormat="false" ht="16.5" hidden="false" customHeight="true" outlineLevel="0" collapsed="false">
      <c r="B115" s="66" t="n">
        <v>106</v>
      </c>
      <c r="C115" s="66" t="str">
        <f aca="false">IF(発注計算!$C111="","",発注計算!$D111)</f>
        <v>ＦＳポップコーンＨ＆Ｈ仕切り</v>
      </c>
      <c r="D115" s="66" t="str">
        <f aca="false">IF(発注計算!$C111="","",発注計算!$E111)</f>
        <v>コンセ包材</v>
      </c>
      <c r="E115" s="67" t="str">
        <f aca="false">IF(発注計算!$C111="","",発注計算!$T111)</f>
        <v/>
      </c>
      <c r="F115" s="67" t="str">
        <f aca="false">IF(ISNUMBER($E115),$E115-N(発注計算!$I111),"")</f>
        <v/>
      </c>
      <c r="G115" s="68" t="str">
        <f aca="false">IF(発注計算!$C111="","",IF(NOT(ISNUMBER($F115)),"データなし",IF($F115&lt;=0,"今日が期限",IF($F115&lt;=N(発注計算!$AG111),"要発注","余裕"))))</f>
        <v>データなし</v>
      </c>
      <c r="H115" s="67" t="str">
        <f aca="false">IF(OR(発注計算!$C111="",NOT(ISNUMBER(発注計算!$S111)),発注計算!$S111&lt;=0),"",(発注計算!$K111+N($J115)*N(発注計算!$G111))/発注計算!$S111)</f>
        <v/>
      </c>
      <c r="I115" s="69" t="n">
        <f aca="false">IF(発注計算!$C111="","",発注計算!$Y111)</f>
        <v>0</v>
      </c>
      <c r="J115" s="70"/>
      <c r="K115" s="71" t="str">
        <f aca="false">IF($J115="","",N($J115)*N(発注計算!$H111))</f>
        <v/>
      </c>
      <c r="L115" s="72"/>
      <c r="M115" s="72"/>
      <c r="N115" s="72"/>
      <c r="O115" s="72"/>
      <c r="P115" s="72"/>
      <c r="Q115" s="72"/>
      <c r="R115" s="72"/>
      <c r="S115" s="72"/>
      <c r="T115" s="72"/>
      <c r="U115" s="72"/>
      <c r="V115" s="72"/>
      <c r="W115" s="72"/>
      <c r="X115" s="72"/>
      <c r="Y115" s="72"/>
      <c r="Z115" s="31" t="n">
        <f aca="false">IF(OR(N($J115)&lt;=0,AND(③発注書!$C$5&lt;&gt;"すべて",発注計算!$F111&lt;&gt;③発注書!$C$5)),N(Z114),N(Z114)+1)</f>
        <v>7</v>
      </c>
    </row>
    <row r="116" customFormat="false" ht="16.5" hidden="false" customHeight="true" outlineLevel="0" collapsed="false">
      <c r="B116" s="66" t="n">
        <v>107</v>
      </c>
      <c r="C116" s="66" t="str">
        <f aca="false">IF(発注計算!$C112="","",発注計算!$D112)</f>
        <v>ビールカップ２０ＯＺ（プレモル</v>
      </c>
      <c r="D116" s="66" t="str">
        <f aca="false">IF(発注計算!$C112="","",発注計算!$E112)</f>
        <v>コンセ包材</v>
      </c>
      <c r="E116" s="67" t="n">
        <f aca="false">IF(発注計算!$C112="","",発注計算!$T112)</f>
        <v>37.1347402597403</v>
      </c>
      <c r="F116" s="67" t="n">
        <f aca="false">IF(ISNUMBER($E116),$E116-N(発注計算!$I112),"")</f>
        <v>30.1347402597403</v>
      </c>
      <c r="G116" s="68" t="str">
        <f aca="false">IF(発注計算!$C112="","",IF(NOT(ISNUMBER($F116)),"データなし",IF($F116&lt;=0,"今日が期限",IF($F116&lt;=N(発注計算!$AG112),"要発注","余裕"))))</f>
        <v>余裕</v>
      </c>
      <c r="H116" s="67" t="n">
        <f aca="false">IF(OR(発注計算!$C112="",NOT(ISNUMBER(発注計算!$S112)),発注計算!$S112&lt;=0),"",(発注計算!$K112+N($J116)*N(発注計算!$G112))/発注計算!$S112)</f>
        <v>37.1347402597403</v>
      </c>
      <c r="I116" s="69" t="n">
        <f aca="false">IF(発注計算!$C112="","",発注計算!$Y112)</f>
        <v>0</v>
      </c>
      <c r="J116" s="70"/>
      <c r="K116" s="71" t="str">
        <f aca="false">IF($J116="","",N($J116)*N(発注計算!$H112))</f>
        <v/>
      </c>
      <c r="L116" s="72"/>
      <c r="M116" s="72"/>
      <c r="N116" s="72"/>
      <c r="O116" s="72"/>
      <c r="P116" s="72"/>
      <c r="Q116" s="72"/>
      <c r="R116" s="72"/>
      <c r="S116" s="72"/>
      <c r="T116" s="72"/>
      <c r="U116" s="72"/>
      <c r="V116" s="72"/>
      <c r="W116" s="72"/>
      <c r="X116" s="72"/>
      <c r="Y116" s="72"/>
      <c r="Z116" s="31" t="n">
        <f aca="false">IF(OR(N($J116)&lt;=0,AND(③発注書!$C$5&lt;&gt;"すべて",発注計算!$F112&lt;&gt;③発注書!$C$5)),N(Z115),N(Z115)+1)</f>
        <v>7</v>
      </c>
    </row>
    <row r="117" customFormat="false" ht="16.5" hidden="false" customHeight="true" outlineLevel="0" collapsed="false">
      <c r="B117" s="66" t="n">
        <v>108</v>
      </c>
      <c r="C117" s="66" t="str">
        <f aca="false">IF(発注計算!$C113="","",発注計算!$D113)</f>
        <v>新ＦドリンクカップＢＩＰ５１２Ｄ</v>
      </c>
      <c r="D117" s="66" t="str">
        <f aca="false">IF(発注計算!$C113="","",発注計算!$E113)</f>
        <v>コンセ包材</v>
      </c>
      <c r="E117" s="67" t="n">
        <f aca="false">IF(発注計算!$C113="","",発注計算!$T113)</f>
        <v>12.7669981860261</v>
      </c>
      <c r="F117" s="67" t="n">
        <f aca="false">IF(ISNUMBER($E117),$E117-N(発注計算!$I113),"")</f>
        <v>10.7669981860261</v>
      </c>
      <c r="G117" s="68" t="str">
        <f aca="false">IF(発注計算!$C113="","",IF(NOT(ISNUMBER($F117)),"データなし",IF($F117&lt;=0,"今日が期限",IF($F117&lt;=N(発注計算!$AG113),"要発注","余裕"))))</f>
        <v>余裕</v>
      </c>
      <c r="H117" s="67" t="n">
        <f aca="false">IF(OR(発注計算!$C113="",NOT(ISNUMBER(発注計算!$S113)),発注計算!$S113&lt;=0),"",(発注計算!$K113+N($J117)*N(発注計算!$G113))/発注計算!$S113)</f>
        <v>12.7669981860261</v>
      </c>
      <c r="I117" s="69" t="n">
        <f aca="false">IF(発注計算!$C113="","",発注計算!$Y113)</f>
        <v>5</v>
      </c>
      <c r="J117" s="70"/>
      <c r="K117" s="71" t="str">
        <f aca="false">IF($J117="","",N($J117)*N(発注計算!$H113))</f>
        <v/>
      </c>
      <c r="L117" s="72"/>
      <c r="M117" s="72"/>
      <c r="N117" s="72"/>
      <c r="O117" s="72"/>
      <c r="P117" s="72"/>
      <c r="Q117" s="72"/>
      <c r="R117" s="72"/>
      <c r="S117" s="72"/>
      <c r="T117" s="72"/>
      <c r="U117" s="72"/>
      <c r="V117" s="72"/>
      <c r="W117" s="72"/>
      <c r="X117" s="72"/>
      <c r="Y117" s="72"/>
      <c r="Z117" s="31" t="n">
        <f aca="false">IF(OR(N($J117)&lt;=0,AND(③発注書!$C$5&lt;&gt;"すべて",発注計算!$F113&lt;&gt;③発注書!$C$5)),N(Z116),N(Z116)+1)</f>
        <v>7</v>
      </c>
    </row>
    <row r="118" customFormat="false" ht="16.5" hidden="false" customHeight="true" outlineLevel="0" collapsed="false">
      <c r="B118" s="66" t="n">
        <v>109</v>
      </c>
      <c r="C118" s="66" t="str">
        <f aca="false">IF(発注計算!$C114="","",発注計算!$D114)</f>
        <v>バイオマスストレートストロ赤袋入</v>
      </c>
      <c r="D118" s="66" t="str">
        <f aca="false">IF(発注計算!$C114="","",発注計算!$E114)</f>
        <v>コンセ包材</v>
      </c>
      <c r="E118" s="67" t="n">
        <f aca="false">IF(発注計算!$C114="","",発注計算!$T114)</f>
        <v>49.7394073172701</v>
      </c>
      <c r="F118" s="67" t="n">
        <f aca="false">IF(ISNUMBER($E118),$E118-N(発注計算!$I114),"")</f>
        <v>44.7394073172701</v>
      </c>
      <c r="G118" s="68" t="str">
        <f aca="false">IF(発注計算!$C114="","",IF(NOT(ISNUMBER($F118)),"データなし",IF($F118&lt;=0,"今日が期限",IF($F118&lt;=N(発注計算!$AG114),"要発注","余裕"))))</f>
        <v>余裕</v>
      </c>
      <c r="H118" s="67" t="n">
        <f aca="false">IF(OR(発注計算!$C114="",NOT(ISNUMBER(発注計算!$S114)),発注計算!$S114&lt;=0),"",(発注計算!$K114+N($J118)*N(発注計算!$G114))/発注計算!$S114)</f>
        <v>49.7394073172701</v>
      </c>
      <c r="I118" s="69" t="n">
        <f aca="false">IF(発注計算!$C114="","",発注計算!$Y114)</f>
        <v>0</v>
      </c>
      <c r="J118" s="70"/>
      <c r="K118" s="71" t="str">
        <f aca="false">IF($J118="","",N($J118)*N(発注計算!$H114))</f>
        <v/>
      </c>
      <c r="L118" s="72"/>
      <c r="M118" s="72"/>
      <c r="N118" s="72"/>
      <c r="O118" s="72"/>
      <c r="P118" s="72"/>
      <c r="Q118" s="72"/>
      <c r="R118" s="72"/>
      <c r="S118" s="72"/>
      <c r="T118" s="72"/>
      <c r="U118" s="72"/>
      <c r="V118" s="72"/>
      <c r="W118" s="72"/>
      <c r="X118" s="72"/>
      <c r="Y118" s="72"/>
      <c r="Z118" s="31" t="n">
        <f aca="false">IF(OR(N($J118)&lt;=0,AND(③発注書!$C$5&lt;&gt;"すべて",発注計算!$F114&lt;&gt;③発注書!$C$5)),N(Z117),N(Z117)+1)</f>
        <v>7</v>
      </c>
    </row>
    <row r="119" customFormat="false" ht="16.5" hidden="false" customHeight="true" outlineLevel="0" collapsed="false">
      <c r="B119" s="66" t="n">
        <v>110</v>
      </c>
      <c r="C119" s="66" t="str">
        <f aca="false">IF(発注計算!$C115="","",発注計算!$D115)</f>
        <v>ＦＳドリンクカップ１６ＯＺ４８０</v>
      </c>
      <c r="D119" s="66" t="str">
        <f aca="false">IF(発注計算!$C115="","",発注計算!$E115)</f>
        <v>コンセ包材</v>
      </c>
      <c r="E119" s="67" t="n">
        <f aca="false">IF(発注計算!$C115="","",発注計算!$T115)</f>
        <v>0</v>
      </c>
      <c r="F119" s="67" t="n">
        <f aca="false">IF(ISNUMBER($E119),$E119-N(発注計算!$I115),"")</f>
        <v>-3</v>
      </c>
      <c r="G119" s="68" t="str">
        <f aca="false">IF(発注計算!$C115="","",IF(NOT(ISNUMBER($F119)),"データなし",IF($F119&lt;=0,"今日が期限",IF($F119&lt;=N(発注計算!$AG115),"要発注","余裕"))))</f>
        <v>今日が期限</v>
      </c>
      <c r="H119" s="67" t="n">
        <f aca="false">IF(OR(発注計算!$C115="",NOT(ISNUMBER(発注計算!$S115)),発注計算!$S115&lt;=0),"",(発注計算!$K115+N($J119)*N(発注計算!$G115))/発注計算!$S115)</f>
        <v>0</v>
      </c>
      <c r="I119" s="69" t="n">
        <f aca="false">IF(発注計算!$C115="","",発注計算!$Y115)</f>
        <v>5</v>
      </c>
      <c r="J119" s="70"/>
      <c r="K119" s="71" t="str">
        <f aca="false">IF($J119="","",N($J119)*N(発注計算!$H115))</f>
        <v/>
      </c>
      <c r="L119" s="72"/>
      <c r="M119" s="72"/>
      <c r="N119" s="72"/>
      <c r="O119" s="72"/>
      <c r="P119" s="72"/>
      <c r="Q119" s="72"/>
      <c r="R119" s="72"/>
      <c r="S119" s="72"/>
      <c r="T119" s="72"/>
      <c r="U119" s="72"/>
      <c r="V119" s="72"/>
      <c r="W119" s="72"/>
      <c r="X119" s="72"/>
      <c r="Y119" s="72"/>
      <c r="Z119" s="31" t="n">
        <f aca="false">IF(OR(N($J119)&lt;=0,AND(③発注書!$C$5&lt;&gt;"すべて",発注計算!$F115&lt;&gt;③発注書!$C$5)),N(Z118),N(Z118)+1)</f>
        <v>7</v>
      </c>
    </row>
    <row r="120" customFormat="false" ht="16.5" hidden="false" customHeight="true" outlineLevel="0" collapsed="false">
      <c r="B120" s="66" t="n">
        <v>111</v>
      </c>
      <c r="C120" s="66" t="str">
        <f aca="false">IF(発注計算!$C116="","",発注計算!$D116)</f>
        <v>ＦＳドリンクカップ２０ＯＺ６００</v>
      </c>
      <c r="D120" s="66" t="str">
        <f aca="false">IF(発注計算!$C116="","",発注計算!$E116)</f>
        <v>コンセ包材</v>
      </c>
      <c r="E120" s="67" t="n">
        <f aca="false">IF(発注計算!$C116="","",発注計算!$T116)</f>
        <v>16.4289225241106</v>
      </c>
      <c r="F120" s="67" t="n">
        <f aca="false">IF(ISNUMBER($E120),$E120-N(発注計算!$I116),"")</f>
        <v>9.42892252411058</v>
      </c>
      <c r="G120" s="68" t="str">
        <f aca="false">IF(発注計算!$C116="","",IF(NOT(ISNUMBER($F120)),"データなし",IF($F120&lt;=0,"今日が期限",IF($F120&lt;=N(発注計算!$AG116),"要発注","余裕"))))</f>
        <v>余裕</v>
      </c>
      <c r="H120" s="67" t="n">
        <f aca="false">IF(OR(発注計算!$C116="",NOT(ISNUMBER(発注計算!$S116)),発注計算!$S116&lt;=0),"",(発注計算!$K116+N($J120)*N(発注計算!$G116))/発注計算!$S116)</f>
        <v>16.4289225241106</v>
      </c>
      <c r="I120" s="69" t="n">
        <f aca="false">IF(発注計算!$C116="","",発注計算!$Y116)</f>
        <v>2</v>
      </c>
      <c r="J120" s="70"/>
      <c r="K120" s="71" t="str">
        <f aca="false">IF($J120="","",N($J120)*N(発注計算!$H116))</f>
        <v/>
      </c>
      <c r="L120" s="72"/>
      <c r="M120" s="72"/>
      <c r="N120" s="72"/>
      <c r="O120" s="72"/>
      <c r="P120" s="72"/>
      <c r="Q120" s="72"/>
      <c r="R120" s="72"/>
      <c r="S120" s="72"/>
      <c r="T120" s="72"/>
      <c r="U120" s="72"/>
      <c r="V120" s="72"/>
      <c r="W120" s="72"/>
      <c r="X120" s="72"/>
      <c r="Y120" s="72"/>
      <c r="Z120" s="31" t="n">
        <f aca="false">IF(OR(N($J120)&lt;=0,AND(③発注書!$C$5&lt;&gt;"すべて",発注計算!$F116&lt;&gt;③発注書!$C$5)),N(Z119),N(Z119)+1)</f>
        <v>7</v>
      </c>
    </row>
    <row r="121" customFormat="false" ht="16.5" hidden="false" customHeight="true" outlineLevel="0" collapsed="false">
      <c r="B121" s="66" t="n">
        <v>112</v>
      </c>
      <c r="C121" s="66" t="str">
        <f aca="false">IF(発注計算!$C117="","",発注計算!$D117)</f>
        <v>Ｈカップ１１ＯＺ３４０Ｅ１２５０</v>
      </c>
      <c r="D121" s="66" t="str">
        <f aca="false">IF(発注計算!$C117="","",発注計算!$E117)</f>
        <v>コンセ包材</v>
      </c>
      <c r="E121" s="67" t="n">
        <f aca="false">IF(発注計算!$C117="","",発注計算!$T117)</f>
        <v>2.45206362854686</v>
      </c>
      <c r="F121" s="67" t="n">
        <f aca="false">IF(ISNUMBER($E121),$E121-N(発注計算!$I117),"")</f>
        <v>-2.54793637145314</v>
      </c>
      <c r="G121" s="68" t="str">
        <f aca="false">IF(発注計算!$C117="","",IF(NOT(ISNUMBER($F121)),"データなし",IF($F121&lt;=0,"今日が期限",IF($F121&lt;=N(発注計算!$AG117),"要発注","余裕"))))</f>
        <v>今日が期限</v>
      </c>
      <c r="H121" s="67" t="n">
        <f aca="false">IF(OR(発注計算!$C117="",NOT(ISNUMBER(発注計算!$S117)),発注計算!$S117&lt;=0),"",(発注計算!$K117+N($J121)*N(発注計算!$G117))/発注計算!$S117)</f>
        <v>2.45206362854686</v>
      </c>
      <c r="I121" s="69" t="n">
        <f aca="false">IF(発注計算!$C117="","",発注計算!$Y117)</f>
        <v>1</v>
      </c>
      <c r="J121" s="70"/>
      <c r="K121" s="71" t="str">
        <f aca="false">IF($J121="","",N($J121)*N(発注計算!$H117))</f>
        <v/>
      </c>
      <c r="L121" s="72"/>
      <c r="M121" s="72"/>
      <c r="N121" s="72"/>
      <c r="O121" s="72"/>
      <c r="P121" s="72"/>
      <c r="Q121" s="72"/>
      <c r="R121" s="72"/>
      <c r="S121" s="72"/>
      <c r="T121" s="72"/>
      <c r="U121" s="72"/>
      <c r="V121" s="72"/>
      <c r="W121" s="72"/>
      <c r="X121" s="72"/>
      <c r="Y121" s="72"/>
      <c r="Z121" s="31" t="n">
        <f aca="false">IF(OR(N($J121)&lt;=0,AND(③発注書!$C$5&lt;&gt;"すべて",発注計算!$F117&lt;&gt;③発注書!$C$5)),N(Z120),N(Z120)+1)</f>
        <v>7</v>
      </c>
    </row>
    <row r="122" customFormat="false" ht="16.5" hidden="false" customHeight="true" outlineLevel="0" collapsed="false">
      <c r="B122" s="66" t="n">
        <v>113</v>
      </c>
      <c r="C122" s="66" t="str">
        <f aca="false">IF(発注計算!$C118="","",発注計算!$D118)</f>
        <v>ＴＨ　シネマイクポップコーン箱</v>
      </c>
      <c r="D122" s="66" t="str">
        <f aca="false">IF(発注計算!$C118="","",発注計算!$E118)</f>
        <v>コンセ包材</v>
      </c>
      <c r="E122" s="67" t="n">
        <f aca="false">IF(発注計算!$C118="","",発注計算!$T118)</f>
        <v>39.622743023892</v>
      </c>
      <c r="F122" s="67" t="n">
        <f aca="false">IF(ISNUMBER($E122),$E122-N(発注計算!$I118),"")</f>
        <v>36.622743023892</v>
      </c>
      <c r="G122" s="68" t="str">
        <f aca="false">IF(発注計算!$C118="","",IF(NOT(ISNUMBER($F122)),"データなし",IF($F122&lt;=0,"今日が期限",IF($F122&lt;=N(発注計算!$AG118),"要発注","余裕"))))</f>
        <v>余裕</v>
      </c>
      <c r="H122" s="67" t="n">
        <f aca="false">IF(OR(発注計算!$C118="",NOT(ISNUMBER(発注計算!$S118)),発注計算!$S118&lt;=0),"",(発注計算!$K118+N($J122)*N(発注計算!$G118))/発注計算!$S118)</f>
        <v>39.622743023892</v>
      </c>
      <c r="I122" s="69" t="n">
        <f aca="false">IF(発注計算!$C118="","",発注計算!$Y118)</f>
        <v>0</v>
      </c>
      <c r="J122" s="70"/>
      <c r="K122" s="71" t="str">
        <f aca="false">IF($J122="","",N($J122)*N(発注計算!$H118))</f>
        <v/>
      </c>
      <c r="L122" s="72"/>
      <c r="M122" s="72"/>
      <c r="N122" s="72"/>
      <c r="O122" s="72"/>
      <c r="P122" s="72"/>
      <c r="Q122" s="72"/>
      <c r="R122" s="72"/>
      <c r="S122" s="72"/>
      <c r="T122" s="72"/>
      <c r="U122" s="72"/>
      <c r="V122" s="72"/>
      <c r="W122" s="72"/>
      <c r="X122" s="72"/>
      <c r="Y122" s="72"/>
      <c r="Z122" s="31" t="n">
        <f aca="false">IF(OR(N($J122)&lt;=0,AND(③発注書!$C$5&lt;&gt;"すべて",発注計算!$F118&lt;&gt;③発注書!$C$5)),N(Z121),N(Z121)+1)</f>
        <v>7</v>
      </c>
    </row>
    <row r="123" customFormat="false" ht="16.5" hidden="false" customHeight="true" outlineLevel="0" collapsed="false">
      <c r="B123" s="66" t="n">
        <v>114</v>
      </c>
      <c r="C123" s="66" t="str">
        <f aca="false">IF(発注計算!$C119="","",発注計算!$D119)</f>
        <v>ＴＨ　シネマイクポップコーン蓋</v>
      </c>
      <c r="D123" s="66" t="str">
        <f aca="false">IF(発注計算!$C119="","",発注計算!$E119)</f>
        <v>コンセ包材</v>
      </c>
      <c r="E123" s="67" t="n">
        <f aca="false">IF(発注計算!$C119="","",発注計算!$T119)</f>
        <v>73.5006846188955</v>
      </c>
      <c r="F123" s="67" t="n">
        <f aca="false">IF(ISNUMBER($E123),$E123-N(発注計算!$I119),"")</f>
        <v>69.5006846188955</v>
      </c>
      <c r="G123" s="68" t="str">
        <f aca="false">IF(発注計算!$C119="","",IF(NOT(ISNUMBER($F123)),"データなし",IF($F123&lt;=0,"今日が期限",IF($F123&lt;=N(発注計算!$AG119),"要発注","余裕"))))</f>
        <v>余裕</v>
      </c>
      <c r="H123" s="67" t="n">
        <f aca="false">IF(OR(発注計算!$C119="",NOT(ISNUMBER(発注計算!$S119)),発注計算!$S119&lt;=0),"",(発注計算!$K119+N($J123)*N(発注計算!$G119))/発注計算!$S119)</f>
        <v>73.5006846188955</v>
      </c>
      <c r="I123" s="69" t="n">
        <f aca="false">IF(発注計算!$C119="","",発注計算!$Y119)</f>
        <v>0</v>
      </c>
      <c r="J123" s="70"/>
      <c r="K123" s="71" t="str">
        <f aca="false">IF($J123="","",N($J123)*N(発注計算!$H119))</f>
        <v/>
      </c>
      <c r="L123" s="72"/>
      <c r="M123" s="72"/>
      <c r="N123" s="72"/>
      <c r="O123" s="72"/>
      <c r="P123" s="72"/>
      <c r="Q123" s="72"/>
      <c r="R123" s="72"/>
      <c r="S123" s="72"/>
      <c r="T123" s="72"/>
      <c r="U123" s="72"/>
      <c r="V123" s="72"/>
      <c r="W123" s="72"/>
      <c r="X123" s="72"/>
      <c r="Y123" s="72"/>
      <c r="Z123" s="31" t="n">
        <f aca="false">IF(OR(N($J123)&lt;=0,AND(③発注書!$C$5&lt;&gt;"すべて",発注計算!$F119&lt;&gt;③発注書!$C$5)),N(Z122),N(Z122)+1)</f>
        <v>7</v>
      </c>
    </row>
    <row r="124" customFormat="false" ht="16.5" hidden="false" customHeight="true" outlineLevel="0" collapsed="false">
      <c r="B124" s="66" t="n">
        <v>115</v>
      </c>
      <c r="C124" s="66" t="str">
        <f aca="false">IF(発注計算!$C120="","",発注計算!$D120)</f>
        <v>ＴＨ（ＦＳ）スカッシュ</v>
      </c>
      <c r="D124" s="66" t="str">
        <f aca="false">IF(発注計算!$C120="","",発注計算!$E120)</f>
        <v>コンセ包材</v>
      </c>
      <c r="E124" s="67" t="n">
        <f aca="false">IF(発注計算!$C120="","",発注計算!$T120)</f>
        <v>65.450643776824</v>
      </c>
      <c r="F124" s="67" t="n">
        <f aca="false">IF(ISNUMBER($E124),$E124-N(発注計算!$I120),"")</f>
        <v>58.450643776824</v>
      </c>
      <c r="G124" s="68" t="str">
        <f aca="false">IF(発注計算!$C120="","",IF(NOT(ISNUMBER($F124)),"データなし",IF($F124&lt;=0,"今日が期限",IF($F124&lt;=N(発注計算!$AG120),"要発注","余裕"))))</f>
        <v>余裕</v>
      </c>
      <c r="H124" s="67" t="n">
        <f aca="false">IF(OR(発注計算!$C120="",NOT(ISNUMBER(発注計算!$S120)),発注計算!$S120&lt;=0),"",(発注計算!$K120+N($J124)*N(発注計算!$G120))/発注計算!$S120)</f>
        <v>65.450643776824</v>
      </c>
      <c r="I124" s="69" t="n">
        <f aca="false">IF(発注計算!$C120="","",発注計算!$Y120)</f>
        <v>0</v>
      </c>
      <c r="J124" s="70"/>
      <c r="K124" s="71" t="str">
        <f aca="false">IF($J124="","",N($J124)*N(発注計算!$H120))</f>
        <v/>
      </c>
      <c r="L124" s="72"/>
      <c r="M124" s="72"/>
      <c r="N124" s="72"/>
      <c r="O124" s="72"/>
      <c r="P124" s="72"/>
      <c r="Q124" s="72"/>
      <c r="R124" s="72"/>
      <c r="S124" s="72"/>
      <c r="T124" s="72"/>
      <c r="U124" s="72"/>
      <c r="V124" s="72"/>
      <c r="W124" s="72"/>
      <c r="X124" s="72"/>
      <c r="Y124" s="72"/>
      <c r="Z124" s="31" t="n">
        <f aca="false">IF(OR(N($J124)&lt;=0,AND(③発注書!$C$5&lt;&gt;"すべて",発注計算!$F120&lt;&gt;③発注書!$C$5)),N(Z123),N(Z123)+1)</f>
        <v>7</v>
      </c>
    </row>
    <row r="125" customFormat="false" ht="16.5" hidden="false" customHeight="true" outlineLevel="0" collapsed="false">
      <c r="B125" s="66" t="n">
        <v>116</v>
      </c>
      <c r="C125" s="66" t="str">
        <f aca="false">IF(発注計算!$C121="","",発注計算!$D121)</f>
        <v>ＴＨ（ＦＣ）スナックじゃが容器</v>
      </c>
      <c r="D125" s="66" t="str">
        <f aca="false">IF(発注計算!$C121="","",発注計算!$E121)</f>
        <v>コンセ包材</v>
      </c>
      <c r="E125" s="67" t="n">
        <f aca="false">IF(発注計算!$C121="","",発注計算!$T121)</f>
        <v>1.64176741508348</v>
      </c>
      <c r="F125" s="67" t="n">
        <f aca="false">IF(ISNUMBER($E125),$E125-N(発注計算!$I121),"")</f>
        <v>-1.35823258491652</v>
      </c>
      <c r="G125" s="68" t="str">
        <f aca="false">IF(発注計算!$C121="","",IF(NOT(ISNUMBER($F125)),"データなし",IF($F125&lt;=0,"今日が期限",IF($F125&lt;=N(発注計算!$AG121),"要発注","余裕"))))</f>
        <v>今日が期限</v>
      </c>
      <c r="H125" s="67" t="n">
        <f aca="false">IF(OR(発注計算!$C121="",NOT(ISNUMBER(発注計算!$S121)),発注計算!$S121&lt;=0),"",(発注計算!$K121+N($J125)*N(発注計算!$G121))/発注計算!$S121)</f>
        <v>1.64176741508348</v>
      </c>
      <c r="I125" s="69" t="n">
        <f aca="false">IF(発注計算!$C121="","",発注計算!$Y121)</f>
        <v>7</v>
      </c>
      <c r="J125" s="70"/>
      <c r="K125" s="71" t="str">
        <f aca="false">IF($J125="","",N($J125)*N(発注計算!$H121))</f>
        <v/>
      </c>
      <c r="L125" s="72"/>
      <c r="M125" s="72"/>
      <c r="N125" s="72"/>
      <c r="O125" s="72"/>
      <c r="P125" s="72"/>
      <c r="Q125" s="72"/>
      <c r="R125" s="72"/>
      <c r="S125" s="72"/>
      <c r="T125" s="72"/>
      <c r="U125" s="72"/>
      <c r="V125" s="72"/>
      <c r="W125" s="72"/>
      <c r="X125" s="72"/>
      <c r="Y125" s="72"/>
      <c r="Z125" s="31" t="n">
        <f aca="false">IF(OR(N($J125)&lt;=0,AND(③発注書!$C$5&lt;&gt;"すべて",発注計算!$F121&lt;&gt;③発注書!$C$5)),N(Z124),N(Z124)+1)</f>
        <v>7</v>
      </c>
    </row>
    <row r="126" customFormat="false" ht="16.5" hidden="false" customHeight="true" outlineLevel="0" collapsed="false">
      <c r="B126" s="66" t="n">
        <v>117</v>
      </c>
      <c r="C126" s="66" t="str">
        <f aca="false">IF(発注計算!$C122="","",発注計算!$D122)</f>
        <v>ＴＨ（ＦＣ）ちょびチキトレー</v>
      </c>
      <c r="D126" s="66" t="str">
        <f aca="false">IF(発注計算!$C122="","",発注計算!$E122)</f>
        <v>コンセ包材</v>
      </c>
      <c r="E126" s="67" t="n">
        <f aca="false">IF(発注計算!$C122="","",発注計算!$T122)</f>
        <v>-0.135883401221996</v>
      </c>
      <c r="F126" s="67" t="n">
        <f aca="false">IF(ISNUMBER($E126),$E126-N(発注計算!$I122),"")</f>
        <v>-2.135883401222</v>
      </c>
      <c r="G126" s="68" t="str">
        <f aca="false">IF(発注計算!$C122="","",IF(NOT(ISNUMBER($F126)),"データなし",IF($F126&lt;=0,"今日が期限",IF($F126&lt;=N(発注計算!$AG122),"要発注","余裕"))))</f>
        <v>今日が期限</v>
      </c>
      <c r="H126" s="67" t="n">
        <f aca="false">IF(OR(発注計算!$C122="",NOT(ISNUMBER(発注計算!$S122)),発注計算!$S122&lt;=0),"",(発注計算!$K122+N($J126)*N(発注計算!$G122))/発注計算!$S122)</f>
        <v>-0.135883401221996</v>
      </c>
      <c r="I126" s="69" t="n">
        <f aca="false">IF(発注計算!$C122="","",発注計算!$Y122)</f>
        <v>9</v>
      </c>
      <c r="J126" s="70"/>
      <c r="K126" s="71" t="str">
        <f aca="false">IF($J126="","",N($J126)*N(発注計算!$H122))</f>
        <v/>
      </c>
      <c r="L126" s="72"/>
      <c r="M126" s="72"/>
      <c r="N126" s="72"/>
      <c r="O126" s="72"/>
      <c r="P126" s="72"/>
      <c r="Q126" s="72"/>
      <c r="R126" s="72"/>
      <c r="S126" s="72"/>
      <c r="T126" s="72"/>
      <c r="U126" s="72"/>
      <c r="V126" s="72"/>
      <c r="W126" s="72"/>
      <c r="X126" s="72"/>
      <c r="Y126" s="72"/>
      <c r="Z126" s="31" t="n">
        <f aca="false">IF(OR(N($J126)&lt;=0,AND(③発注書!$C$5&lt;&gt;"すべて",発注計算!$F122&lt;&gt;③発注書!$C$5)),N(Z125),N(Z125)+1)</f>
        <v>7</v>
      </c>
    </row>
    <row r="127" customFormat="false" ht="16.5" hidden="false" customHeight="true" outlineLevel="0" collapsed="false">
      <c r="B127" s="66" t="n">
        <v>118</v>
      </c>
      <c r="C127" s="66" t="str">
        <f aca="false">IF(発注計算!$C123="","",発注計算!$D123)</f>
        <v>ＴＨ（ＦＳ）ホットドッグ　ＢＯＸ</v>
      </c>
      <c r="D127" s="66" t="str">
        <f aca="false">IF(発注計算!$C123="","",発注計算!$E123)</f>
        <v>コンセ包材</v>
      </c>
      <c r="E127" s="67" t="n">
        <f aca="false">IF(発注計算!$C123="","",発注計算!$T123)</f>
        <v>26.9276595744681</v>
      </c>
      <c r="F127" s="67" t="n">
        <f aca="false">IF(ISNUMBER($E127),$E127-N(発注計算!$I123),"")</f>
        <v>24.9276595744681</v>
      </c>
      <c r="G127" s="68" t="str">
        <f aca="false">IF(発注計算!$C123="","",IF(NOT(ISNUMBER($F127)),"データなし",IF($F127&lt;=0,"今日が期限",IF($F127&lt;=N(発注計算!$AG123),"要発注","余裕"))))</f>
        <v>余裕</v>
      </c>
      <c r="H127" s="67" t="n">
        <f aca="false">IF(OR(発注計算!$C123="",NOT(ISNUMBER(発注計算!$S123)),発注計算!$S123&lt;=0),"",(発注計算!$K123+N($J127)*N(発注計算!$G123))/発注計算!$S123)</f>
        <v>26.9276595744681</v>
      </c>
      <c r="I127" s="69" t="n">
        <f aca="false">IF(発注計算!$C123="","",発注計算!$Y123)</f>
        <v>0</v>
      </c>
      <c r="J127" s="70"/>
      <c r="K127" s="71" t="str">
        <f aca="false">IF($J127="","",N($J127)*N(発注計算!$H123))</f>
        <v/>
      </c>
      <c r="L127" s="72"/>
      <c r="M127" s="72"/>
      <c r="N127" s="72"/>
      <c r="O127" s="72"/>
      <c r="P127" s="72"/>
      <c r="Q127" s="72"/>
      <c r="R127" s="72"/>
      <c r="S127" s="72"/>
      <c r="T127" s="72"/>
      <c r="U127" s="72"/>
      <c r="V127" s="72"/>
      <c r="W127" s="72"/>
      <c r="X127" s="72"/>
      <c r="Y127" s="72"/>
      <c r="Z127" s="31" t="n">
        <f aca="false">IF(OR(N($J127)&lt;=0,AND(③発注書!$C$5&lt;&gt;"すべて",発注計算!$F123&lt;&gt;③発注書!$C$5)),N(Z126),N(Z126)+1)</f>
        <v>7</v>
      </c>
    </row>
    <row r="128" customFormat="false" ht="16.5" hidden="false" customHeight="true" outlineLevel="0" collapsed="false">
      <c r="B128" s="66" t="n">
        <v>119</v>
      </c>
      <c r="C128" s="66" t="str">
        <f aca="false">IF(発注計算!$C124="","",発注計算!$D124)</f>
        <v>ＴＨ（ＦＳ）Ｐポップコーン袋</v>
      </c>
      <c r="D128" s="66" t="str">
        <f aca="false">IF(発注計算!$C124="","",発注計算!$E124)</f>
        <v>コンセ包材</v>
      </c>
      <c r="E128" s="67" t="n">
        <f aca="false">IF(発注計算!$C124="","",発注計算!$T124)</f>
        <v>35.6100408639813</v>
      </c>
      <c r="F128" s="67" t="n">
        <f aca="false">IF(ISNUMBER($E128),$E128-N(発注計算!$I124),"")</f>
        <v>32.6100408639813</v>
      </c>
      <c r="G128" s="68" t="str">
        <f aca="false">IF(発注計算!$C124="","",IF(NOT(ISNUMBER($F128)),"データなし",IF($F128&lt;=0,"今日が期限",IF($F128&lt;=N(発注計算!$AG124),"要発注","余裕"))))</f>
        <v>余裕</v>
      </c>
      <c r="H128" s="67" t="n">
        <f aca="false">IF(OR(発注計算!$C124="",NOT(ISNUMBER(発注計算!$S124)),発注計算!$S124&lt;=0),"",(発注計算!$K124+N($J128)*N(発注計算!$G124))/発注計算!$S124)</f>
        <v>35.6100408639813</v>
      </c>
      <c r="I128" s="69" t="n">
        <f aca="false">IF(発注計算!$C124="","",発注計算!$Y124)</f>
        <v>0</v>
      </c>
      <c r="J128" s="70"/>
      <c r="K128" s="71" t="str">
        <f aca="false">IF($J128="","",N($J128)*N(発注計算!$H124))</f>
        <v/>
      </c>
      <c r="L128" s="72"/>
      <c r="M128" s="72"/>
      <c r="N128" s="72"/>
      <c r="O128" s="72"/>
      <c r="P128" s="72"/>
      <c r="Q128" s="72"/>
      <c r="R128" s="72"/>
      <c r="S128" s="72"/>
      <c r="T128" s="72"/>
      <c r="U128" s="72"/>
      <c r="V128" s="72"/>
      <c r="W128" s="72"/>
      <c r="X128" s="72"/>
      <c r="Y128" s="72"/>
      <c r="Z128" s="31" t="n">
        <f aca="false">IF(OR(N($J128)&lt;=0,AND(③発注書!$C$5&lt;&gt;"すべて",発注計算!$F124&lt;&gt;③発注書!$C$5)),N(Z127),N(Z127)+1)</f>
        <v>7</v>
      </c>
    </row>
    <row r="129" customFormat="false" ht="16.5" hidden="false" customHeight="true" outlineLevel="0" collapsed="false">
      <c r="B129" s="66" t="n">
        <v>120</v>
      </c>
      <c r="C129" s="66" t="str">
        <f aca="false">IF(発注計算!$C125="","",発注計算!$D125)</f>
        <v>ＴＨバイオマスフォーク１４０裸</v>
      </c>
      <c r="D129" s="66" t="str">
        <f aca="false">IF(発注計算!$C125="","",発注計算!$E125)</f>
        <v>コンセ包材</v>
      </c>
      <c r="E129" s="67" t="n">
        <f aca="false">IF(発注計算!$C125="","",発注計算!$T125)</f>
        <v>-0.0890944498539435</v>
      </c>
      <c r="F129" s="67" t="n">
        <f aca="false">IF(ISNUMBER($E129),$E129-N(発注計算!$I125),"")</f>
        <v>-3.08909444985394</v>
      </c>
      <c r="G129" s="68" t="str">
        <f aca="false">IF(発注計算!$C125="","",IF(NOT(ISNUMBER($F129)),"データなし",IF($F129&lt;=0,"今日が期限",IF($F129&lt;=N(発注計算!$AG125),"要発注","余裕"))))</f>
        <v>今日が期限</v>
      </c>
      <c r="H129" s="67" t="n">
        <f aca="false">IF(OR(発注計算!$C125="",NOT(ISNUMBER(発注計算!$S125)),発注計算!$S125&lt;=0),"",(発注計算!$K125+N($J129)*N(発注計算!$G125))/発注計算!$S125)</f>
        <v>-0.0890944498539435</v>
      </c>
      <c r="I129" s="69" t="n">
        <f aca="false">IF(発注計算!$C125="","",発注計算!$Y125)</f>
        <v>10</v>
      </c>
      <c r="J129" s="70"/>
      <c r="K129" s="71" t="str">
        <f aca="false">IF($J129="","",N($J129)*N(発注計算!$H125))</f>
        <v/>
      </c>
      <c r="L129" s="72"/>
      <c r="M129" s="72"/>
      <c r="N129" s="72"/>
      <c r="O129" s="72"/>
      <c r="P129" s="72"/>
      <c r="Q129" s="72"/>
      <c r="R129" s="72"/>
      <c r="S129" s="72"/>
      <c r="T129" s="72"/>
      <c r="U129" s="72"/>
      <c r="V129" s="72"/>
      <c r="W129" s="72"/>
      <c r="X129" s="72"/>
      <c r="Y129" s="72"/>
      <c r="Z129" s="31" t="n">
        <f aca="false">IF(OR(N($J129)&lt;=0,AND(③発注書!$C$5&lt;&gt;"すべて",発注計算!$F125&lt;&gt;③発注書!$C$5)),N(Z128),N(Z128)+1)</f>
        <v>7</v>
      </c>
    </row>
    <row r="130" customFormat="false" ht="16.5" hidden="false" customHeight="true" outlineLevel="0" collapsed="false">
      <c r="B130" s="66" t="n">
        <v>121</v>
      </c>
      <c r="C130" s="66" t="str">
        <f aca="false">IF(発注計算!$C126="","",発注計算!$D126)</f>
        <v>ＴＨ木製マドラー１６．５ｃｍ</v>
      </c>
      <c r="D130" s="66" t="str">
        <f aca="false">IF(発注計算!$C126="","",発注計算!$E126)</f>
        <v>コンセ包材</v>
      </c>
      <c r="E130" s="67" t="n">
        <f aca="false">IF(発注計算!$C126="","",発注計算!$T126)</f>
        <v>102.251293847039</v>
      </c>
      <c r="F130" s="67" t="n">
        <f aca="false">IF(ISNUMBER($E130),$E130-N(発注計算!$I126),"")</f>
        <v>100.251293847039</v>
      </c>
      <c r="G130" s="68" t="str">
        <f aca="false">IF(発注計算!$C126="","",IF(NOT(ISNUMBER($F130)),"データなし",IF($F130&lt;=0,"今日が期限",IF($F130&lt;=N(発注計算!$AG126),"要発注","余裕"))))</f>
        <v>余裕</v>
      </c>
      <c r="H130" s="67" t="n">
        <f aca="false">IF(OR(発注計算!$C126="",NOT(ISNUMBER(発注計算!$S126)),発注計算!$S126&lt;=0),"",(発注計算!$K126+N($J130)*N(発注計算!$G126))/発注計算!$S126)</f>
        <v>102.251293847039</v>
      </c>
      <c r="I130" s="69" t="n">
        <f aca="false">IF(発注計算!$C126="","",発注計算!$Y126)</f>
        <v>0</v>
      </c>
      <c r="J130" s="70"/>
      <c r="K130" s="71" t="str">
        <f aca="false">IF($J130="","",N($J130)*N(発注計算!$H126))</f>
        <v/>
      </c>
      <c r="L130" s="72"/>
      <c r="M130" s="72"/>
      <c r="N130" s="72"/>
      <c r="O130" s="72"/>
      <c r="P130" s="72"/>
      <c r="Q130" s="72"/>
      <c r="R130" s="72"/>
      <c r="S130" s="72"/>
      <c r="T130" s="72"/>
      <c r="U130" s="72"/>
      <c r="V130" s="72"/>
      <c r="W130" s="72"/>
      <c r="X130" s="72"/>
      <c r="Y130" s="72"/>
      <c r="Z130" s="31" t="n">
        <f aca="false">IF(OR(N($J130)&lt;=0,AND(③発注書!$C$5&lt;&gt;"すべて",発注計算!$F126&lt;&gt;③発注書!$C$5)),N(Z129),N(Z129)+1)</f>
        <v>7</v>
      </c>
    </row>
    <row r="131" customFormat="false" ht="16.5" hidden="false" customHeight="true" outlineLevel="0" collapsed="false">
      <c r="B131" s="66" t="n">
        <v>122</v>
      </c>
      <c r="C131" s="66" t="str">
        <f aca="false">IF(発注計算!$C127="","",発注計算!$D127)</f>
        <v>銀魂　ショッパー　仕入</v>
      </c>
      <c r="D131" s="66" t="str">
        <f aca="false">IF(発注計算!$C127="","",発注計算!$E127)</f>
        <v>ＳＥＴ作品コンボ</v>
      </c>
      <c r="E131" s="67" t="n">
        <f aca="false">IF(発注計算!$C127="","",発注計算!$T127)</f>
        <v>12.3452380952381</v>
      </c>
      <c r="F131" s="67" t="n">
        <f aca="false">IF(ISNUMBER($E131),$E131-N(発注計算!$I127),"")</f>
        <v>7.3452380952381</v>
      </c>
      <c r="G131" s="68" t="str">
        <f aca="false">IF(発注計算!$C127="","",IF(NOT(ISNUMBER($F131)),"データなし",IF($F131&lt;=0,"今日が期限",IF($F131&lt;=N(発注計算!$AG127),"要発注","余裕"))))</f>
        <v>余裕</v>
      </c>
      <c r="H131" s="67" t="n">
        <f aca="false">IF(OR(発注計算!$C127="",NOT(ISNUMBER(発注計算!$S127)),発注計算!$S127&lt;=0),"",(発注計算!$K127+N($J131)*N(発注計算!$G127))/発注計算!$S127)</f>
        <v>12.3452380952381</v>
      </c>
      <c r="I131" s="69" t="n">
        <f aca="false">IF(発注計算!$C127="","",発注計算!$Y127)</f>
        <v>2</v>
      </c>
      <c r="J131" s="70"/>
      <c r="K131" s="71" t="str">
        <f aca="false">IF($J131="","",N($J131)*N(発注計算!$H127))</f>
        <v/>
      </c>
      <c r="L131" s="72"/>
      <c r="M131" s="72"/>
      <c r="N131" s="72"/>
      <c r="O131" s="72"/>
      <c r="P131" s="72"/>
      <c r="Q131" s="72"/>
      <c r="R131" s="72"/>
      <c r="S131" s="72"/>
      <c r="T131" s="72"/>
      <c r="U131" s="72"/>
      <c r="V131" s="72"/>
      <c r="W131" s="72"/>
      <c r="X131" s="72"/>
      <c r="Y131" s="72"/>
      <c r="Z131" s="31" t="n">
        <f aca="false">IF(OR(N($J131)&lt;=0,AND(③発注書!$C$5&lt;&gt;"すべて",発注計算!$F127&lt;&gt;③発注書!$C$5)),N(Z130),N(Z130)+1)</f>
        <v>7</v>
      </c>
    </row>
    <row r="132" customFormat="false" ht="16.5" hidden="false" customHeight="true" outlineLevel="0" collapsed="false">
      <c r="B132" s="66" t="n">
        <v>123</v>
      </c>
      <c r="C132" s="66" t="str">
        <f aca="false">IF(発注計算!$C128="","",発注計算!$D128)</f>
        <v>コナン２０２６　Ｄカップ　仕入</v>
      </c>
      <c r="D132" s="66" t="str">
        <f aca="false">IF(発注計算!$C128="","",発注計算!$E128)</f>
        <v>ＳＥＴ作品コンボ</v>
      </c>
      <c r="E132" s="67" t="n">
        <f aca="false">IF(発注計算!$C128="","",発注計算!$T128)</f>
        <v>7.625</v>
      </c>
      <c r="F132" s="67" t="n">
        <f aca="false">IF(ISNUMBER($E132),$E132-N(発注計算!$I128),"")</f>
        <v>2.625</v>
      </c>
      <c r="G132" s="68" t="str">
        <f aca="false">IF(発注計算!$C128="","",IF(NOT(ISNUMBER($F132)),"データなし",IF($F132&lt;=0,"今日が期限",IF($F132&lt;=N(発注計算!$AG128),"要発注","余裕"))))</f>
        <v>要発注</v>
      </c>
      <c r="H132" s="67" t="n">
        <f aca="false">IF(OR(発注計算!$C128="",NOT(ISNUMBER(発注計算!$S128)),発注計算!$S128&lt;=0),"",(発注計算!$K128+N($J132)*N(発注計算!$G128))/発注計算!$S128)</f>
        <v>7.625</v>
      </c>
      <c r="I132" s="69" t="n">
        <f aca="false">IF(発注計算!$C128="","",発注計算!$Y128)</f>
        <v>5</v>
      </c>
      <c r="J132" s="70"/>
      <c r="K132" s="71" t="str">
        <f aca="false">IF($J132="","",N($J132)*N(発注計算!$H128))</f>
        <v/>
      </c>
      <c r="L132" s="72"/>
      <c r="M132" s="72"/>
      <c r="N132" s="72"/>
      <c r="O132" s="72"/>
      <c r="P132" s="72"/>
      <c r="Q132" s="72"/>
      <c r="R132" s="72"/>
      <c r="S132" s="72"/>
      <c r="T132" s="72"/>
      <c r="U132" s="72"/>
      <c r="V132" s="72"/>
      <c r="W132" s="72"/>
      <c r="X132" s="72"/>
      <c r="Y132" s="72"/>
      <c r="Z132" s="31" t="n">
        <f aca="false">IF(OR(N($J132)&lt;=0,AND(③発注書!$C$5&lt;&gt;"すべて",発注計算!$F128&lt;&gt;③発注書!$C$5)),N(Z131),N(Z131)+1)</f>
        <v>7</v>
      </c>
    </row>
    <row r="133" customFormat="false" ht="16.5" hidden="false" customHeight="true" outlineLevel="0" collapsed="false">
      <c r="B133" s="66" t="n">
        <v>124</v>
      </c>
      <c r="C133" s="66" t="str">
        <f aca="false">IF(発注計算!$C129="","",発注計算!$D129)</f>
        <v>銀魂　エリザベスＤホルダー　仕入</v>
      </c>
      <c r="D133" s="66" t="str">
        <f aca="false">IF(発注計算!$C129="","",発注計算!$E129)</f>
        <v>ＳＥＴ作品コンボ</v>
      </c>
      <c r="E133" s="67" t="n">
        <f aca="false">IF(発注計算!$C129="","",発注計算!$T129)</f>
        <v>0</v>
      </c>
      <c r="F133" s="67" t="n">
        <f aca="false">IF(ISNUMBER($E133),$E133-N(発注計算!$I129),"")</f>
        <v>-7</v>
      </c>
      <c r="G133" s="68" t="str">
        <f aca="false">IF(発注計算!$C129="","",IF(NOT(ISNUMBER($F133)),"データなし",IF($F133&lt;=0,"今日が期限",IF($F133&lt;=N(発注計算!$AG129),"要発注","余裕"))))</f>
        <v>今日が期限</v>
      </c>
      <c r="H133" s="67" t="n">
        <f aca="false">IF(OR(発注計算!$C129="",NOT(ISNUMBER(発注計算!$S129)),発注計算!$S129&lt;=0),"",(発注計算!$K129+N($J133)*N(発注計算!$G129))/発注計算!$S129)</f>
        <v>0</v>
      </c>
      <c r="I133" s="69" t="n">
        <f aca="false">IF(発注計算!$C129="","",発注計算!$Y129)</f>
        <v>5</v>
      </c>
      <c r="J133" s="70"/>
      <c r="K133" s="71" t="str">
        <f aca="false">IF($J133="","",N($J133)*N(発注計算!$H129))</f>
        <v/>
      </c>
      <c r="L133" s="72"/>
      <c r="M133" s="72"/>
      <c r="N133" s="72"/>
      <c r="O133" s="72"/>
      <c r="P133" s="72"/>
      <c r="Q133" s="72"/>
      <c r="R133" s="72"/>
      <c r="S133" s="72"/>
      <c r="T133" s="72"/>
      <c r="U133" s="72"/>
      <c r="V133" s="72"/>
      <c r="W133" s="72"/>
      <c r="X133" s="72"/>
      <c r="Y133" s="72"/>
      <c r="Z133" s="31" t="n">
        <f aca="false">IF(OR(N($J133)&lt;=0,AND(③発注書!$C$5&lt;&gt;"すべて",発注計算!$F129&lt;&gt;③発注書!$C$5)),N(Z132),N(Z132)+1)</f>
        <v>7</v>
      </c>
    </row>
    <row r="134" customFormat="false" ht="16.5" hidden="false" customHeight="true" outlineLevel="0" collapsed="false">
      <c r="B134" s="66" t="n">
        <v>125</v>
      </c>
      <c r="C134" s="66" t="str">
        <f aca="false">IF(発注計算!$C130="","",発注計算!$D130)</f>
        <v>コナン２０２６　Ｐボックス　仕入</v>
      </c>
      <c r="D134" s="66" t="str">
        <f aca="false">IF(発注計算!$C130="","",発注計算!$E130)</f>
        <v>ＳＥＴ作品コンボ</v>
      </c>
      <c r="E134" s="67" t="n">
        <f aca="false">IF(発注計算!$C130="","",発注計算!$T130)</f>
        <v>9.38461538461539</v>
      </c>
      <c r="F134" s="67" t="n">
        <f aca="false">IF(ISNUMBER($E134),$E134-N(発注計算!$I130),"")</f>
        <v>6.38461538461539</v>
      </c>
      <c r="G134" s="68" t="str">
        <f aca="false">IF(発注計算!$C130="","",IF(NOT(ISNUMBER($F134)),"データなし",IF($F134&lt;=0,"今日が期限",IF($F134&lt;=N(発注計算!$AG130),"要発注","余裕"))))</f>
        <v>要発注</v>
      </c>
      <c r="H134" s="67" t="n">
        <f aca="false">IF(OR(発注計算!$C130="",NOT(ISNUMBER(発注計算!$S130)),発注計算!$S130&lt;=0),"",(発注計算!$K130+N($J134)*N(発注計算!$G130))/発注計算!$S130)</f>
        <v>9.38461538461539</v>
      </c>
      <c r="I134" s="69" t="n">
        <f aca="false">IF(発注計算!$C130="","",発注計算!$Y130)</f>
        <v>1</v>
      </c>
      <c r="J134" s="70"/>
      <c r="K134" s="71" t="str">
        <f aca="false">IF($J134="","",N($J134)*N(発注計算!$H130))</f>
        <v/>
      </c>
      <c r="L134" s="72"/>
      <c r="M134" s="72"/>
      <c r="N134" s="72"/>
      <c r="O134" s="72"/>
      <c r="P134" s="72"/>
      <c r="Q134" s="72"/>
      <c r="R134" s="72"/>
      <c r="S134" s="72"/>
      <c r="T134" s="72"/>
      <c r="U134" s="72"/>
      <c r="V134" s="72"/>
      <c r="W134" s="72"/>
      <c r="X134" s="72"/>
      <c r="Y134" s="72"/>
      <c r="Z134" s="31" t="n">
        <f aca="false">IF(OR(N($J134)&lt;=0,AND(③発注書!$C$5&lt;&gt;"すべて",発注計算!$F130&lt;&gt;③発注書!$C$5)),N(Z133),N(Z133)+1)</f>
        <v>7</v>
      </c>
    </row>
    <row r="135" customFormat="false" ht="16.5" hidden="false" customHeight="true" outlineLevel="0" collapsed="false">
      <c r="B135" s="66" t="n">
        <v>126</v>
      </c>
      <c r="C135" s="66" t="str">
        <f aca="false">IF(発注計算!$C131="","",発注計算!$D131)</f>
        <v>ドラえもん　Ｐボックス　仕入</v>
      </c>
      <c r="D135" s="66" t="str">
        <f aca="false">IF(発注計算!$C131="","",発注計算!$E131)</f>
        <v>ＳＥＴ作品コンボ</v>
      </c>
      <c r="E135" s="67" t="n">
        <f aca="false">IF(発注計算!$C131="","",発注計算!$T131)</f>
        <v>61</v>
      </c>
      <c r="F135" s="67" t="n">
        <f aca="false">IF(ISNUMBER($E135),$E135-N(発注計算!$I131),"")</f>
        <v>57</v>
      </c>
      <c r="G135" s="68" t="str">
        <f aca="false">IF(発注計算!$C131="","",IF(NOT(ISNUMBER($F135)),"データなし",IF($F135&lt;=0,"今日が期限",IF($F135&lt;=N(発注計算!$AG131),"要発注","余裕"))))</f>
        <v>余裕</v>
      </c>
      <c r="H135" s="67" t="n">
        <f aca="false">IF(OR(発注計算!$C131="",NOT(ISNUMBER(発注計算!$S131)),発注計算!$S131&lt;=0),"",(発注計算!$K131+N($J135)*N(発注計算!$G131))/発注計算!$S131)</f>
        <v>61</v>
      </c>
      <c r="I135" s="69" t="n">
        <f aca="false">IF(発注計算!$C131="","",発注計算!$Y131)</f>
        <v>1</v>
      </c>
      <c r="J135" s="70"/>
      <c r="K135" s="71" t="str">
        <f aca="false">IF($J135="","",N($J135)*N(発注計算!$H131))</f>
        <v/>
      </c>
      <c r="L135" s="72"/>
      <c r="M135" s="72"/>
      <c r="N135" s="72"/>
      <c r="O135" s="72"/>
      <c r="P135" s="72"/>
      <c r="Q135" s="72"/>
      <c r="R135" s="72"/>
      <c r="S135" s="72"/>
      <c r="T135" s="72"/>
      <c r="U135" s="72"/>
      <c r="V135" s="72"/>
      <c r="W135" s="72"/>
      <c r="X135" s="72"/>
      <c r="Y135" s="72"/>
      <c r="Z135" s="31" t="n">
        <f aca="false">IF(OR(N($J135)&lt;=0,AND(③発注書!$C$5&lt;&gt;"すべて",発注計算!$F131&lt;&gt;③発注書!$C$5)),N(Z134),N(Z134)+1)</f>
        <v>7</v>
      </c>
    </row>
    <row r="136" customFormat="false" ht="16.5" hidden="false" customHeight="true" outlineLevel="0" collapsed="false">
      <c r="B136" s="66" t="n">
        <v>127</v>
      </c>
      <c r="C136" s="66" t="str">
        <f aca="false">IF(発注計算!$C132="","",発注計算!$D132)</f>
        <v>ウィキッド　悪い魔女　ＤＣ　仕入</v>
      </c>
      <c r="D136" s="66" t="str">
        <f aca="false">IF(発注計算!$C132="","",発注計算!$E132)</f>
        <v>ＳＥＴ作品コンボ</v>
      </c>
      <c r="E136" s="67" t="n">
        <f aca="false">IF(発注計算!$C132="","",発注計算!$T132)</f>
        <v>-57.6111111111111</v>
      </c>
      <c r="F136" s="67" t="n">
        <f aca="false">IF(ISNUMBER($E136),$E136-N(発注計算!$I132),"")</f>
        <v>-62.6111111111111</v>
      </c>
      <c r="G136" s="68" t="str">
        <f aca="false">IF(発注計算!$C132="","",IF(NOT(ISNUMBER($F136)),"データなし",IF($F136&lt;=0,"今日が期限",IF($F136&lt;=N(発注計算!$AG132),"要発注","余裕"))))</f>
        <v>今日が期限</v>
      </c>
      <c r="H136" s="67" t="n">
        <f aca="false">IF(OR(発注計算!$C132="",NOT(ISNUMBER(発注計算!$S132)),発注計算!$S132&lt;=0),"",(発注計算!$K132+N($J136)*N(発注計算!$G132))/発注計算!$S132)</f>
        <v>-57.6111111111111</v>
      </c>
      <c r="I136" s="69" t="n">
        <f aca="false">IF(発注計算!$C132="","",発注計算!$Y132)</f>
        <v>2</v>
      </c>
      <c r="J136" s="70"/>
      <c r="K136" s="71" t="str">
        <f aca="false">IF($J136="","",N($J136)*N(発注計算!$H132))</f>
        <v/>
      </c>
      <c r="L136" s="72"/>
      <c r="M136" s="72"/>
      <c r="N136" s="72"/>
      <c r="O136" s="72"/>
      <c r="P136" s="72"/>
      <c r="Q136" s="72"/>
      <c r="R136" s="72"/>
      <c r="S136" s="72"/>
      <c r="T136" s="72"/>
      <c r="U136" s="72"/>
      <c r="V136" s="72"/>
      <c r="W136" s="72"/>
      <c r="X136" s="72"/>
      <c r="Y136" s="72"/>
      <c r="Z136" s="31" t="n">
        <f aca="false">IF(OR(N($J136)&lt;=0,AND(③発注書!$C$5&lt;&gt;"すべて",発注計算!$F132&lt;&gt;③発注書!$C$5)),N(Z135),N(Z135)+1)</f>
        <v>7</v>
      </c>
    </row>
    <row r="137" customFormat="false" ht="16.5" hidden="false" customHeight="true" outlineLevel="0" collapsed="false">
      <c r="B137" s="66" t="n">
        <v>128</v>
      </c>
      <c r="C137" s="66" t="str">
        <f aca="false">IF(発注計算!$C133="","",発注計算!$D133)</f>
        <v>マリオ　Ｄカップ　マリオ　仕入</v>
      </c>
      <c r="D137" s="66" t="str">
        <f aca="false">IF(発注計算!$C133="","",発注計算!$E133)</f>
        <v>ＳＥＴ作品コンボ</v>
      </c>
      <c r="E137" s="67" t="n">
        <f aca="false">IF(発注計算!$C133="","",発注計算!$T133)</f>
        <v>73.1119133574007</v>
      </c>
      <c r="F137" s="67" t="n">
        <f aca="false">IF(ISNUMBER($E137),$E137-N(発注計算!$I133),"")</f>
        <v>70.1119133574007</v>
      </c>
      <c r="G137" s="68" t="str">
        <f aca="false">IF(発注計算!$C133="","",IF(NOT(ISNUMBER($F137)),"データなし",IF($F137&lt;=0,"今日が期限",IF($F137&lt;=N(発注計算!$AG133),"要発注","余裕"))))</f>
        <v>余裕</v>
      </c>
      <c r="H137" s="67" t="n">
        <f aca="false">IF(OR(発注計算!$C133="",NOT(ISNUMBER(発注計算!$S133)),発注計算!$S133&lt;=0),"",(発注計算!$K133+N($J137)*N(発注計算!$G133))/発注計算!$S133)</f>
        <v>73.1119133574007</v>
      </c>
      <c r="I137" s="69" t="n">
        <f aca="false">IF(発注計算!$C133="","",発注計算!$Y133)</f>
        <v>0</v>
      </c>
      <c r="J137" s="70"/>
      <c r="K137" s="71" t="str">
        <f aca="false">IF($J137="","",N($J137)*N(発注計算!$H133))</f>
        <v/>
      </c>
      <c r="L137" s="72"/>
      <c r="M137" s="72"/>
      <c r="N137" s="72"/>
      <c r="O137" s="72"/>
      <c r="P137" s="72"/>
      <c r="Q137" s="72"/>
      <c r="R137" s="72"/>
      <c r="S137" s="72"/>
      <c r="T137" s="72"/>
      <c r="U137" s="72"/>
      <c r="V137" s="72"/>
      <c r="W137" s="72"/>
      <c r="X137" s="72"/>
      <c r="Y137" s="72"/>
      <c r="Z137" s="31" t="n">
        <f aca="false">IF(OR(N($J137)&lt;=0,AND(③発注書!$C$5&lt;&gt;"すべて",発注計算!$F133&lt;&gt;③発注書!$C$5)),N(Z136),N(Z136)+1)</f>
        <v>7</v>
      </c>
    </row>
    <row r="138" customFormat="false" ht="16.5" hidden="false" customHeight="true" outlineLevel="0" collapsed="false">
      <c r="B138" s="66" t="n">
        <v>129</v>
      </c>
      <c r="C138" s="66" t="str">
        <f aca="false">IF(発注計算!$C134="","",発注計算!$D134)</f>
        <v>マリオ　Ｄカップ　ルイージ　仕入</v>
      </c>
      <c r="D138" s="66" t="str">
        <f aca="false">IF(発注計算!$C134="","",発注計算!$E134)</f>
        <v>ＳＥＴ作品コンボ</v>
      </c>
      <c r="E138" s="67" t="n">
        <f aca="false">IF(発注計算!$C134="","",発注計算!$T134)</f>
        <v>161.988888888889</v>
      </c>
      <c r="F138" s="67" t="n">
        <f aca="false">IF(ISNUMBER($E138),$E138-N(発注計算!$I134),"")</f>
        <v>158.988888888889</v>
      </c>
      <c r="G138" s="68" t="str">
        <f aca="false">IF(発注計算!$C134="","",IF(NOT(ISNUMBER($F138)),"データなし",IF($F138&lt;=0,"今日が期限",IF($F138&lt;=N(発注計算!$AG134),"要発注","余裕"))))</f>
        <v>余裕</v>
      </c>
      <c r="H138" s="67" t="n">
        <f aca="false">IF(OR(発注計算!$C134="",NOT(ISNUMBER(発注計算!$S134)),発注計算!$S134&lt;=0),"",(発注計算!$K134+N($J138)*N(発注計算!$G134))/発注計算!$S134)</f>
        <v>161.988888888889</v>
      </c>
      <c r="I138" s="69" t="n">
        <f aca="false">IF(発注計算!$C134="","",発注計算!$Y134)</f>
        <v>0</v>
      </c>
      <c r="J138" s="70"/>
      <c r="K138" s="71" t="str">
        <f aca="false">IF($J138="","",N($J138)*N(発注計算!$H134))</f>
        <v/>
      </c>
      <c r="L138" s="72"/>
      <c r="M138" s="72"/>
      <c r="N138" s="72"/>
      <c r="O138" s="72"/>
      <c r="P138" s="72"/>
      <c r="Q138" s="72"/>
      <c r="R138" s="72"/>
      <c r="S138" s="72"/>
      <c r="T138" s="72"/>
      <c r="U138" s="72"/>
      <c r="V138" s="72"/>
      <c r="W138" s="72"/>
      <c r="X138" s="72"/>
      <c r="Y138" s="72"/>
      <c r="Z138" s="31" t="n">
        <f aca="false">IF(OR(N($J138)&lt;=0,AND(③発注書!$C$5&lt;&gt;"すべて",発注計算!$F134&lt;&gt;③発注書!$C$5)),N(Z137),N(Z137)+1)</f>
        <v>7</v>
      </c>
    </row>
    <row r="139" customFormat="false" ht="16.5" hidden="false" customHeight="true" outlineLevel="0" collapsed="false">
      <c r="B139" s="66" t="n">
        <v>130</v>
      </c>
      <c r="C139" s="66" t="str">
        <f aca="false">IF(発注計算!$C135="","",発注計算!$D135)</f>
        <v>マリオ　Ｄカップ　ヨッシー　仕入</v>
      </c>
      <c r="D139" s="66" t="str">
        <f aca="false">IF(発注計算!$C135="","",発注計算!$E135)</f>
        <v>ＳＥＴ作品コンボ</v>
      </c>
      <c r="E139" s="67" t="n">
        <f aca="false">IF(発注計算!$C135="","",発注計算!$T135)</f>
        <v>-3.44876325088339</v>
      </c>
      <c r="F139" s="67" t="n">
        <f aca="false">IF(ISNUMBER($E139),$E139-N(発注計算!$I135),"")</f>
        <v>-6.44876325088339</v>
      </c>
      <c r="G139" s="68" t="str">
        <f aca="false">IF(発注計算!$C135="","",IF(NOT(ISNUMBER($F139)),"データなし",IF($F139&lt;=0,"今日が期限",IF($F139&lt;=N(発注計算!$AG135),"要発注","余裕"))))</f>
        <v>今日が期限</v>
      </c>
      <c r="H139" s="67" t="n">
        <f aca="false">IF(OR(発注計算!$C135="",NOT(ISNUMBER(発注計算!$S135)),発注計算!$S135&lt;=0),"",(発注計算!$K135+N($J139)*N(発注計算!$G135))/発注計算!$S135)</f>
        <v>-3.44876325088339</v>
      </c>
      <c r="I139" s="69" t="n">
        <f aca="false">IF(発注計算!$C135="","",発注計算!$Y135)</f>
        <v>5</v>
      </c>
      <c r="J139" s="70"/>
      <c r="K139" s="71" t="str">
        <f aca="false">IF($J139="","",N($J139)*N(発注計算!$H135))</f>
        <v/>
      </c>
      <c r="L139" s="72"/>
      <c r="M139" s="72"/>
      <c r="N139" s="72"/>
      <c r="O139" s="72"/>
      <c r="P139" s="72"/>
      <c r="Q139" s="72"/>
      <c r="R139" s="72"/>
      <c r="S139" s="72"/>
      <c r="T139" s="72"/>
      <c r="U139" s="72"/>
      <c r="V139" s="72"/>
      <c r="W139" s="72"/>
      <c r="X139" s="72"/>
      <c r="Y139" s="72"/>
      <c r="Z139" s="31" t="n">
        <f aca="false">IF(OR(N($J139)&lt;=0,AND(③発注書!$C$5&lt;&gt;"すべて",発注計算!$F135&lt;&gt;③発注書!$C$5)),N(Z138),N(Z138)+1)</f>
        <v>7</v>
      </c>
    </row>
    <row r="140" customFormat="false" ht="16.5" hidden="false" customHeight="true" outlineLevel="0" collapsed="false">
      <c r="B140" s="66" t="n">
        <v>131</v>
      </c>
      <c r="C140" s="66" t="str">
        <f aca="false">IF(発注計算!$C136="","",発注計算!$D136)</f>
        <v>マリオ　ヨッシーＰボックス　仕入</v>
      </c>
      <c r="D140" s="66" t="str">
        <f aca="false">IF(発注計算!$C136="","",発注計算!$E136)</f>
        <v>ＳＥＴ作品コンボ</v>
      </c>
      <c r="E140" s="67" t="n">
        <f aca="false">IF(発注計算!$C136="","",発注計算!$T136)</f>
        <v>0</v>
      </c>
      <c r="F140" s="67" t="n">
        <f aca="false">IF(ISNUMBER($E140),$E140-N(発注計算!$I136),"")</f>
        <v>-5</v>
      </c>
      <c r="G140" s="68" t="str">
        <f aca="false">IF(発注計算!$C136="","",IF(NOT(ISNUMBER($F140)),"データなし",IF($F140&lt;=0,"今日が期限",IF($F140&lt;=N(発注計算!$AG136),"要発注","余裕"))))</f>
        <v>今日が期限</v>
      </c>
      <c r="H140" s="67" t="n">
        <f aca="false">IF(OR(発注計算!$C136="",NOT(ISNUMBER(発注計算!$S136)),発注計算!$S136&lt;=0),"",(発注計算!$K136+N($J140)*N(発注計算!$G136))/発注計算!$S136)</f>
        <v>0</v>
      </c>
      <c r="I140" s="69" t="n">
        <f aca="false">IF(発注計算!$C136="","",発注計算!$Y136)</f>
        <v>1</v>
      </c>
      <c r="J140" s="70"/>
      <c r="K140" s="71" t="str">
        <f aca="false">IF($J140="","",N($J140)*N(発注計算!$H136))</f>
        <v/>
      </c>
      <c r="L140" s="72"/>
      <c r="M140" s="72"/>
      <c r="N140" s="72"/>
      <c r="O140" s="72"/>
      <c r="P140" s="72"/>
      <c r="Q140" s="72"/>
      <c r="R140" s="72"/>
      <c r="S140" s="72"/>
      <c r="T140" s="72"/>
      <c r="U140" s="72"/>
      <c r="V140" s="72"/>
      <c r="W140" s="72"/>
      <c r="X140" s="72"/>
      <c r="Y140" s="72"/>
      <c r="Z140" s="31" t="n">
        <f aca="false">IF(OR(N($J140)&lt;=0,AND(③発注書!$C$5&lt;&gt;"すべて",発注計算!$F136&lt;&gt;③発注書!$C$5)),N(Z139),N(Z139)+1)</f>
        <v>7</v>
      </c>
    </row>
    <row r="141" customFormat="false" ht="16.5" hidden="false" customHeight="true" outlineLevel="0" collapsed="false">
      <c r="B141" s="66" t="n">
        <v>132</v>
      </c>
      <c r="C141" s="66" t="str">
        <f aca="false">IF(発注計算!$C137="","",発注計算!$D137)</f>
        <v>プレミアムモルツ</v>
      </c>
      <c r="D141" s="66" t="str">
        <f aca="false">IF(発注計算!$C137="","",発注計算!$E137)</f>
        <v>アルコール</v>
      </c>
      <c r="E141" s="67" t="n">
        <f aca="false">IF(発注計算!$C137="","",発注計算!$T137)</f>
        <v>0</v>
      </c>
      <c r="F141" s="67" t="n">
        <f aca="false">IF(ISNUMBER($E141),$E141-N(発注計算!$I137),"")</f>
        <v>-5</v>
      </c>
      <c r="G141" s="68" t="str">
        <f aca="false">IF(発注計算!$C137="","",IF(NOT(ISNUMBER($F141)),"データなし",IF($F141&lt;=0,"今日が期限",IF($F141&lt;=N(発注計算!$AG137),"要発注","余裕"))))</f>
        <v>今日が期限</v>
      </c>
      <c r="H141" s="67" t="n">
        <f aca="false">IF(OR(発注計算!$C137="",NOT(ISNUMBER(発注計算!$S137)),発注計算!$S137&lt;=0),"",(発注計算!$K137+N($J141)*N(発注計算!$G137))/発注計算!$S137)</f>
        <v>0</v>
      </c>
      <c r="I141" s="69" t="n">
        <f aca="false">IF(発注計算!$C137="","",発注計算!$Y137)</f>
        <v>5</v>
      </c>
      <c r="J141" s="70"/>
      <c r="K141" s="71" t="str">
        <f aca="false">IF($J141="","",N($J141)*N(発注計算!$H137))</f>
        <v/>
      </c>
      <c r="L141" s="72"/>
      <c r="M141" s="72"/>
      <c r="N141" s="72"/>
      <c r="O141" s="72"/>
      <c r="P141" s="72"/>
      <c r="Q141" s="72"/>
      <c r="R141" s="72"/>
      <c r="S141" s="72"/>
      <c r="T141" s="72"/>
      <c r="U141" s="72"/>
      <c r="V141" s="72"/>
      <c r="W141" s="72"/>
      <c r="X141" s="72"/>
      <c r="Y141" s="72"/>
      <c r="Z141" s="31" t="n">
        <f aca="false">IF(OR(N($J141)&lt;=0,AND(③発注書!$C$5&lt;&gt;"すべて",発注計算!$F137&lt;&gt;③発注書!$C$5)),N(Z140),N(Z140)+1)</f>
        <v>7</v>
      </c>
    </row>
    <row r="142" customFormat="false" ht="16.5" hidden="false" customHeight="true" outlineLevel="0" collapsed="false">
      <c r="B142" s="66" t="n">
        <v>133</v>
      </c>
      <c r="C142" s="66" t="str">
        <f aca="false">IF(発注計算!$C138="","",発注計算!$D138)</f>
        <v>（新商品）夏季限定フローズン</v>
      </c>
      <c r="D142" s="66" t="str">
        <f aca="false">IF(発注計算!$C138="","",発注計算!$E138)</f>
        <v>アルコール</v>
      </c>
      <c r="E142" s="67" t="str">
        <f aca="false">IF(発注計算!$C138="","",発注計算!$T138)</f>
        <v/>
      </c>
      <c r="F142" s="67" t="str">
        <f aca="false">IF(ISNUMBER($E142),$E142-N(発注計算!$I138),"")</f>
        <v/>
      </c>
      <c r="G142" s="68" t="str">
        <f aca="false">IF(発注計算!$C138="","",IF(NOT(ISNUMBER($F142)),"データなし",IF($F142&lt;=0,"今日が期限",IF($F142&lt;=N(発注計算!$AG138),"要発注","余裕"))))</f>
        <v>データなし</v>
      </c>
      <c r="H142" s="67" t="str">
        <f aca="false">IF(OR(発注計算!$C138="",NOT(ISNUMBER(発注計算!$S138)),発注計算!$S138&lt;=0),"",(発注計算!$K138+N($J142)*N(発注計算!$G138))/発注計算!$S138)</f>
        <v/>
      </c>
      <c r="I142" s="69" t="n">
        <f aca="false">IF(発注計算!$C138="","",発注計算!$Y138)</f>
        <v>0</v>
      </c>
      <c r="J142" s="70"/>
      <c r="K142" s="71" t="str">
        <f aca="false">IF($J142="","",N($J142)*N(発注計算!$H138))</f>
        <v/>
      </c>
      <c r="L142" s="72"/>
      <c r="M142" s="72"/>
      <c r="N142" s="72"/>
      <c r="O142" s="72"/>
      <c r="P142" s="72"/>
      <c r="Q142" s="72"/>
      <c r="R142" s="72"/>
      <c r="S142" s="72"/>
      <c r="T142" s="72"/>
      <c r="U142" s="72"/>
      <c r="V142" s="72"/>
      <c r="W142" s="72"/>
      <c r="X142" s="72"/>
      <c r="Y142" s="72"/>
      <c r="Z142" s="31" t="n">
        <f aca="false">IF(OR(N($J142)&lt;=0,AND(③発注書!$C$5&lt;&gt;"すべて",発注計算!$F138&lt;&gt;③発注書!$C$5)),N(Z141),N(Z141)+1)</f>
        <v>7</v>
      </c>
    </row>
    <row r="143" customFormat="false" ht="16.5" hidden="false" customHeight="true" outlineLevel="0" collapsed="false">
      <c r="B143" s="66" t="n">
        <v>134</v>
      </c>
      <c r="C143" s="66" t="str">
        <f aca="false">IF(発注計算!$C139="","",発注計算!$D139)</f>
        <v>（新商品）コラボカップ</v>
      </c>
      <c r="D143" s="66" t="str">
        <f aca="false">IF(発注計算!$C139="","",発注計算!$E139)</f>
        <v>アルコール</v>
      </c>
      <c r="E143" s="67" t="str">
        <f aca="false">IF(発注計算!$C139="","",発注計算!$T139)</f>
        <v/>
      </c>
      <c r="F143" s="67" t="str">
        <f aca="false">IF(ISNUMBER($E143),$E143-N(発注計算!$I139),"")</f>
        <v/>
      </c>
      <c r="G143" s="68" t="str">
        <f aca="false">IF(発注計算!$C139="","",IF(NOT(ISNUMBER($F143)),"データなし",IF($F143&lt;=0,"今日が期限",IF($F143&lt;=N(発注計算!$AG139),"要発注","余裕"))))</f>
        <v>データなし</v>
      </c>
      <c r="H143" s="67" t="str">
        <f aca="false">IF(OR(発注計算!$C139="",NOT(ISNUMBER(発注計算!$S139)),発注計算!$S139&lt;=0),"",(発注計算!$K139+N($J143)*N(発注計算!$G139))/発注計算!$S139)</f>
        <v/>
      </c>
      <c r="I143" s="69" t="n">
        <f aca="false">IF(発注計算!$C139="","",発注計算!$Y139)</f>
        <v>0</v>
      </c>
      <c r="J143" s="70"/>
      <c r="K143" s="71" t="str">
        <f aca="false">IF($J143="","",N($J143)*N(発注計算!$H139))</f>
        <v/>
      </c>
      <c r="L143" s="72"/>
      <c r="M143" s="72"/>
      <c r="N143" s="72"/>
      <c r="O143" s="72"/>
      <c r="P143" s="72"/>
      <c r="Q143" s="72"/>
      <c r="R143" s="72"/>
      <c r="S143" s="72"/>
      <c r="T143" s="72"/>
      <c r="U143" s="72"/>
      <c r="V143" s="72"/>
      <c r="W143" s="72"/>
      <c r="X143" s="72"/>
      <c r="Y143" s="72"/>
      <c r="Z143" s="31" t="n">
        <f aca="false">IF(OR(N($J143)&lt;=0,AND(③発注書!$C$5&lt;&gt;"すべて",発注計算!$F139&lt;&gt;③発注書!$C$5)),N(Z142),N(Z142)+1)</f>
        <v>7</v>
      </c>
    </row>
    <row r="144" customFormat="false" ht="16.5" hidden="false" customHeight="true" outlineLevel="0" collapsed="false">
      <c r="B144" s="66" t="n">
        <v>135</v>
      </c>
      <c r="C144" s="66" t="str">
        <f aca="false">IF(発注計算!$C140="","",発注計算!$D140)</f>
        <v>（終売）季節限定ドリンク</v>
      </c>
      <c r="D144" s="66" t="str">
        <f aca="false">IF(発注計算!$C140="","",発注計算!$E140)</f>
        <v>アルコール</v>
      </c>
      <c r="E144" s="67" t="n">
        <f aca="false">IF(発注計算!$C140="","",発注計算!$T140)</f>
        <v>0</v>
      </c>
      <c r="F144" s="67" t="n">
        <f aca="false">IF(ISNUMBER($E144),$E144-N(発注計算!$I140),"")</f>
        <v>-3</v>
      </c>
      <c r="G144" s="68" t="str">
        <f aca="false">IF(発注計算!$C140="","",IF(NOT(ISNUMBER($F144)),"データなし",IF($F144&lt;=0,"今日が期限",IF($F144&lt;=N(発注計算!$AG140),"要発注","余裕"))))</f>
        <v>今日が期限</v>
      </c>
      <c r="H144" s="67" t="n">
        <f aca="false">IF(OR(発注計算!$C140="",NOT(ISNUMBER(発注計算!$S140)),発注計算!$S140&lt;=0),"",(発注計算!$K140+N($J144)*N(発注計算!$G140))/発注計算!$S140)</f>
        <v>0</v>
      </c>
      <c r="I144" s="69" t="n">
        <f aca="false">IF(発注計算!$C140="","",発注計算!$Y140)</f>
        <v>21</v>
      </c>
      <c r="J144" s="70"/>
      <c r="K144" s="71" t="str">
        <f aca="false">IF($J144="","",N($J144)*N(発注計算!$H140))</f>
        <v/>
      </c>
      <c r="L144" s="72"/>
      <c r="M144" s="72"/>
      <c r="N144" s="72"/>
      <c r="O144" s="72"/>
      <c r="P144" s="72"/>
      <c r="Q144" s="72"/>
      <c r="R144" s="72"/>
      <c r="S144" s="72"/>
      <c r="T144" s="72"/>
      <c r="U144" s="72"/>
      <c r="V144" s="72"/>
      <c r="W144" s="72"/>
      <c r="X144" s="72"/>
      <c r="Y144" s="72"/>
      <c r="Z144" s="31" t="n">
        <f aca="false">IF(OR(N($J144)&lt;=0,AND(③発注書!$C$5&lt;&gt;"すべて",発注計算!$F140&lt;&gt;③発注書!$C$5)),N(Z143),N(Z143)+1)</f>
        <v>7</v>
      </c>
    </row>
    <row r="145" customFormat="false" ht="16.5" hidden="false" customHeight="true" outlineLevel="0" collapsed="false">
      <c r="B145" s="66" t="n">
        <v>136</v>
      </c>
      <c r="C145" s="66" t="str">
        <f aca="false">IF(発注計算!$C141="","",発注計算!$D141)</f>
        <v>（終売）旧パッケージカップ</v>
      </c>
      <c r="D145" s="66" t="str">
        <f aca="false">IF(発注計算!$C141="","",発注計算!$E141)</f>
        <v>アルコール</v>
      </c>
      <c r="E145" s="67" t="n">
        <f aca="false">IF(発注計算!$C141="","",発注計算!$T141)</f>
        <v>0</v>
      </c>
      <c r="F145" s="67" t="n">
        <f aca="false">IF(ISNUMBER($E145),$E145-N(発注計算!$I141),"")</f>
        <v>-3</v>
      </c>
      <c r="G145" s="68" t="str">
        <f aca="false">IF(発注計算!$C141="","",IF(NOT(ISNUMBER($F145)),"データなし",IF($F145&lt;=0,"今日が期限",IF($F145&lt;=N(発注計算!$AG141),"要発注","余裕"))))</f>
        <v>今日が期限</v>
      </c>
      <c r="H145" s="67" t="n">
        <f aca="false">IF(OR(発注計算!$C141="",NOT(ISNUMBER(発注計算!$S141)),発注計算!$S141&lt;=0),"",(発注計算!$K141+N($J145)*N(発注計算!$G141))/発注計算!$S141)</f>
        <v>0</v>
      </c>
      <c r="I145" s="69" t="n">
        <f aca="false">IF(発注計算!$C141="","",発注計算!$Y141)</f>
        <v>21</v>
      </c>
      <c r="J145" s="70"/>
      <c r="K145" s="71" t="str">
        <f aca="false">IF($J145="","",N($J145)*N(発注計算!$H141))</f>
        <v/>
      </c>
      <c r="L145" s="72"/>
      <c r="M145" s="72"/>
      <c r="N145" s="72"/>
      <c r="O145" s="72"/>
      <c r="P145" s="72"/>
      <c r="Q145" s="72"/>
      <c r="R145" s="72"/>
      <c r="S145" s="72"/>
      <c r="T145" s="72"/>
      <c r="U145" s="72"/>
      <c r="V145" s="72"/>
      <c r="W145" s="72"/>
      <c r="X145" s="72"/>
      <c r="Y145" s="72"/>
      <c r="Z145" s="31" t="n">
        <f aca="false">IF(OR(N($J145)&lt;=0,AND(③発注書!$C$5&lt;&gt;"すべて",発注計算!$F141&lt;&gt;③発注書!$C$5)),N(Z144),N(Z144)+1)</f>
        <v>7</v>
      </c>
    </row>
    <row r="146" customFormat="false" ht="16.5" hidden="false" customHeight="true" outlineLevel="0" collapsed="false">
      <c r="B146" s="66" t="n">
        <v>137</v>
      </c>
      <c r="C146" s="66" t="str">
        <f aca="false">IF(発注計算!$C142="","",発注計算!$D142)</f>
        <v/>
      </c>
      <c r="D146" s="66" t="str">
        <f aca="false">IF(発注計算!$C142="","",発注計算!$E142)</f>
        <v/>
      </c>
      <c r="E146" s="67" t="str">
        <f aca="false">IF(発注計算!$C142="","",発注計算!$T142)</f>
        <v/>
      </c>
      <c r="F146" s="67" t="str">
        <f aca="false">IF(ISNUMBER($E146),$E146-N(発注計算!$I142),"")</f>
        <v/>
      </c>
      <c r="G146" s="68" t="str">
        <f aca="false">IF(発注計算!$C142="","",IF(NOT(ISNUMBER($F146)),"データなし",IF($F146&lt;=0,"今日が期限",IF($F146&lt;=N(発注計算!$AG142),"要発注","余裕"))))</f>
        <v/>
      </c>
      <c r="H146" s="67" t="str">
        <f aca="false">IF(OR(発注計算!$C142="",NOT(ISNUMBER(発注計算!$S142)),発注計算!$S142&lt;=0),"",(発注計算!$K142+N($J146)*N(発注計算!$G142))/発注計算!$S142)</f>
        <v/>
      </c>
      <c r="I146" s="69" t="str">
        <f aca="false">IF(発注計算!$C142="","",発注計算!$Y142)</f>
        <v/>
      </c>
      <c r="J146" s="70"/>
      <c r="K146" s="71" t="str">
        <f aca="false">IF($J146="","",N($J146)*N(発注計算!$H142))</f>
        <v/>
      </c>
      <c r="L146" s="72"/>
      <c r="M146" s="72"/>
      <c r="N146" s="72"/>
      <c r="O146" s="72"/>
      <c r="P146" s="72"/>
      <c r="Q146" s="72"/>
      <c r="R146" s="72"/>
      <c r="S146" s="72"/>
      <c r="T146" s="72"/>
      <c r="U146" s="72"/>
      <c r="V146" s="72"/>
      <c r="W146" s="72"/>
      <c r="X146" s="72"/>
      <c r="Y146" s="72"/>
      <c r="Z146" s="31" t="n">
        <f aca="false">IF(OR(N($J146)&lt;=0,AND(③発注書!$C$5&lt;&gt;"すべて",発注計算!$F142&lt;&gt;③発注書!$C$5)),N(Z145),N(Z145)+1)</f>
        <v>7</v>
      </c>
    </row>
    <row r="147" customFormat="false" ht="16.5" hidden="false" customHeight="true" outlineLevel="0" collapsed="false">
      <c r="B147" s="66" t="n">
        <v>138</v>
      </c>
      <c r="C147" s="66" t="str">
        <f aca="false">IF(発注計算!$C143="","",発注計算!$D143)</f>
        <v/>
      </c>
      <c r="D147" s="66" t="str">
        <f aca="false">IF(発注計算!$C143="","",発注計算!$E143)</f>
        <v/>
      </c>
      <c r="E147" s="67" t="str">
        <f aca="false">IF(発注計算!$C143="","",発注計算!$T143)</f>
        <v/>
      </c>
      <c r="F147" s="67" t="str">
        <f aca="false">IF(ISNUMBER($E147),$E147-N(発注計算!$I143),"")</f>
        <v/>
      </c>
      <c r="G147" s="68" t="str">
        <f aca="false">IF(発注計算!$C143="","",IF(NOT(ISNUMBER($F147)),"データなし",IF($F147&lt;=0,"今日が期限",IF($F147&lt;=N(発注計算!$AG143),"要発注","余裕"))))</f>
        <v/>
      </c>
      <c r="H147" s="67" t="str">
        <f aca="false">IF(OR(発注計算!$C143="",NOT(ISNUMBER(発注計算!$S143)),発注計算!$S143&lt;=0),"",(発注計算!$K143+N($J147)*N(発注計算!$G143))/発注計算!$S143)</f>
        <v/>
      </c>
      <c r="I147" s="69" t="str">
        <f aca="false">IF(発注計算!$C143="","",発注計算!$Y143)</f>
        <v/>
      </c>
      <c r="J147" s="70"/>
      <c r="K147" s="71" t="str">
        <f aca="false">IF($J147="","",N($J147)*N(発注計算!$H143))</f>
        <v/>
      </c>
      <c r="L147" s="72"/>
      <c r="M147" s="72"/>
      <c r="N147" s="72"/>
      <c r="O147" s="72"/>
      <c r="P147" s="72"/>
      <c r="Q147" s="72"/>
      <c r="R147" s="72"/>
      <c r="S147" s="72"/>
      <c r="T147" s="72"/>
      <c r="U147" s="72"/>
      <c r="V147" s="72"/>
      <c r="W147" s="72"/>
      <c r="X147" s="72"/>
      <c r="Y147" s="72"/>
      <c r="Z147" s="31" t="n">
        <f aca="false">IF(OR(N($J147)&lt;=0,AND(③発注書!$C$5&lt;&gt;"すべて",発注計算!$F143&lt;&gt;③発注書!$C$5)),N(Z146),N(Z146)+1)</f>
        <v>7</v>
      </c>
    </row>
    <row r="148" customFormat="false" ht="16.5" hidden="false" customHeight="true" outlineLevel="0" collapsed="false">
      <c r="B148" s="66" t="n">
        <v>139</v>
      </c>
      <c r="C148" s="66" t="str">
        <f aca="false">IF(発注計算!$C144="","",発注計算!$D144)</f>
        <v/>
      </c>
      <c r="D148" s="66" t="str">
        <f aca="false">IF(発注計算!$C144="","",発注計算!$E144)</f>
        <v/>
      </c>
      <c r="E148" s="67" t="str">
        <f aca="false">IF(発注計算!$C144="","",発注計算!$T144)</f>
        <v/>
      </c>
      <c r="F148" s="67" t="str">
        <f aca="false">IF(ISNUMBER($E148),$E148-N(発注計算!$I144),"")</f>
        <v/>
      </c>
      <c r="G148" s="68" t="str">
        <f aca="false">IF(発注計算!$C144="","",IF(NOT(ISNUMBER($F148)),"データなし",IF($F148&lt;=0,"今日が期限",IF($F148&lt;=N(発注計算!$AG144),"要発注","余裕"))))</f>
        <v/>
      </c>
      <c r="H148" s="67" t="str">
        <f aca="false">IF(OR(発注計算!$C144="",NOT(ISNUMBER(発注計算!$S144)),発注計算!$S144&lt;=0),"",(発注計算!$K144+N($J148)*N(発注計算!$G144))/発注計算!$S144)</f>
        <v/>
      </c>
      <c r="I148" s="69" t="str">
        <f aca="false">IF(発注計算!$C144="","",発注計算!$Y144)</f>
        <v/>
      </c>
      <c r="J148" s="70"/>
      <c r="K148" s="71" t="str">
        <f aca="false">IF($J148="","",N($J148)*N(発注計算!$H144))</f>
        <v/>
      </c>
      <c r="L148" s="72"/>
      <c r="M148" s="72"/>
      <c r="N148" s="72"/>
      <c r="O148" s="72"/>
      <c r="P148" s="72"/>
      <c r="Q148" s="72"/>
      <c r="R148" s="72"/>
      <c r="S148" s="72"/>
      <c r="T148" s="72"/>
      <c r="U148" s="72"/>
      <c r="V148" s="72"/>
      <c r="W148" s="72"/>
      <c r="X148" s="72"/>
      <c r="Y148" s="72"/>
      <c r="Z148" s="31" t="n">
        <f aca="false">IF(OR(N($J148)&lt;=0,AND(③発注書!$C$5&lt;&gt;"すべて",発注計算!$F144&lt;&gt;③発注書!$C$5)),N(Z147),N(Z147)+1)</f>
        <v>7</v>
      </c>
    </row>
    <row r="149" customFormat="false" ht="16.5" hidden="false" customHeight="true" outlineLevel="0" collapsed="false">
      <c r="B149" s="66" t="n">
        <v>140</v>
      </c>
      <c r="C149" s="66" t="str">
        <f aca="false">IF(発注計算!$C145="","",発注計算!$D145)</f>
        <v/>
      </c>
      <c r="D149" s="66" t="str">
        <f aca="false">IF(発注計算!$C145="","",発注計算!$E145)</f>
        <v/>
      </c>
      <c r="E149" s="67" t="str">
        <f aca="false">IF(発注計算!$C145="","",発注計算!$T145)</f>
        <v/>
      </c>
      <c r="F149" s="67" t="str">
        <f aca="false">IF(ISNUMBER($E149),$E149-N(発注計算!$I145),"")</f>
        <v/>
      </c>
      <c r="G149" s="68" t="str">
        <f aca="false">IF(発注計算!$C145="","",IF(NOT(ISNUMBER($F149)),"データなし",IF($F149&lt;=0,"今日が期限",IF($F149&lt;=N(発注計算!$AG145),"要発注","余裕"))))</f>
        <v/>
      </c>
      <c r="H149" s="67" t="str">
        <f aca="false">IF(OR(発注計算!$C145="",NOT(ISNUMBER(発注計算!$S145)),発注計算!$S145&lt;=0),"",(発注計算!$K145+N($J149)*N(発注計算!$G145))/発注計算!$S145)</f>
        <v/>
      </c>
      <c r="I149" s="69" t="str">
        <f aca="false">IF(発注計算!$C145="","",発注計算!$Y145)</f>
        <v/>
      </c>
      <c r="J149" s="70"/>
      <c r="K149" s="71" t="str">
        <f aca="false">IF($J149="","",N($J149)*N(発注計算!$H145))</f>
        <v/>
      </c>
      <c r="L149" s="72"/>
      <c r="M149" s="72"/>
      <c r="N149" s="72"/>
      <c r="O149" s="72"/>
      <c r="P149" s="72"/>
      <c r="Q149" s="72"/>
      <c r="R149" s="72"/>
      <c r="S149" s="72"/>
      <c r="T149" s="72"/>
      <c r="U149" s="72"/>
      <c r="V149" s="72"/>
      <c r="W149" s="72"/>
      <c r="X149" s="72"/>
      <c r="Y149" s="72"/>
      <c r="Z149" s="31" t="n">
        <f aca="false">IF(OR(N($J149)&lt;=0,AND(③発注書!$C$5&lt;&gt;"すべて",発注計算!$F145&lt;&gt;③発注書!$C$5)),N(Z148),N(Z148)+1)</f>
        <v>7</v>
      </c>
    </row>
    <row r="150" customFormat="false" ht="16.5" hidden="false" customHeight="true" outlineLevel="0" collapsed="false">
      <c r="B150" s="66" t="n">
        <v>141</v>
      </c>
      <c r="C150" s="66" t="str">
        <f aca="false">IF(発注計算!$C146="","",発注計算!$D146)</f>
        <v/>
      </c>
      <c r="D150" s="66" t="str">
        <f aca="false">IF(発注計算!$C146="","",発注計算!$E146)</f>
        <v/>
      </c>
      <c r="E150" s="67" t="str">
        <f aca="false">IF(発注計算!$C146="","",発注計算!$T146)</f>
        <v/>
      </c>
      <c r="F150" s="67" t="str">
        <f aca="false">IF(ISNUMBER($E150),$E150-N(発注計算!$I146),"")</f>
        <v/>
      </c>
      <c r="G150" s="68" t="str">
        <f aca="false">IF(発注計算!$C146="","",IF(NOT(ISNUMBER($F150)),"データなし",IF($F150&lt;=0,"今日が期限",IF($F150&lt;=N(発注計算!$AG146),"要発注","余裕"))))</f>
        <v/>
      </c>
      <c r="H150" s="67" t="str">
        <f aca="false">IF(OR(発注計算!$C146="",NOT(ISNUMBER(発注計算!$S146)),発注計算!$S146&lt;=0),"",(発注計算!$K146+N($J150)*N(発注計算!$G146))/発注計算!$S146)</f>
        <v/>
      </c>
      <c r="I150" s="69" t="str">
        <f aca="false">IF(発注計算!$C146="","",発注計算!$Y146)</f>
        <v/>
      </c>
      <c r="J150" s="70"/>
      <c r="K150" s="71" t="str">
        <f aca="false">IF($J150="","",N($J150)*N(発注計算!$H146))</f>
        <v/>
      </c>
      <c r="L150" s="72"/>
      <c r="M150" s="72"/>
      <c r="N150" s="72"/>
      <c r="O150" s="72"/>
      <c r="P150" s="72"/>
      <c r="Q150" s="72"/>
      <c r="R150" s="72"/>
      <c r="S150" s="72"/>
      <c r="T150" s="72"/>
      <c r="U150" s="72"/>
      <c r="V150" s="72"/>
      <c r="W150" s="72"/>
      <c r="X150" s="72"/>
      <c r="Y150" s="72"/>
      <c r="Z150" s="31" t="n">
        <f aca="false">IF(OR(N($J150)&lt;=0,AND(③発注書!$C$5&lt;&gt;"すべて",発注計算!$F146&lt;&gt;③発注書!$C$5)),N(Z149),N(Z149)+1)</f>
        <v>7</v>
      </c>
    </row>
    <row r="151" customFormat="false" ht="16.5" hidden="false" customHeight="true" outlineLevel="0" collapsed="false">
      <c r="B151" s="66" t="n">
        <v>142</v>
      </c>
      <c r="C151" s="66" t="str">
        <f aca="false">IF(発注計算!$C147="","",発注計算!$D147)</f>
        <v/>
      </c>
      <c r="D151" s="66" t="str">
        <f aca="false">IF(発注計算!$C147="","",発注計算!$E147)</f>
        <v/>
      </c>
      <c r="E151" s="67" t="str">
        <f aca="false">IF(発注計算!$C147="","",発注計算!$T147)</f>
        <v/>
      </c>
      <c r="F151" s="67" t="str">
        <f aca="false">IF(ISNUMBER($E151),$E151-N(発注計算!$I147),"")</f>
        <v/>
      </c>
      <c r="G151" s="68" t="str">
        <f aca="false">IF(発注計算!$C147="","",IF(NOT(ISNUMBER($F151)),"データなし",IF($F151&lt;=0,"今日が期限",IF($F151&lt;=N(発注計算!$AG147),"要発注","余裕"))))</f>
        <v/>
      </c>
      <c r="H151" s="67" t="str">
        <f aca="false">IF(OR(発注計算!$C147="",NOT(ISNUMBER(発注計算!$S147)),発注計算!$S147&lt;=0),"",(発注計算!$K147+N($J151)*N(発注計算!$G147))/発注計算!$S147)</f>
        <v/>
      </c>
      <c r="I151" s="69" t="str">
        <f aca="false">IF(発注計算!$C147="","",発注計算!$Y147)</f>
        <v/>
      </c>
      <c r="J151" s="70"/>
      <c r="K151" s="71" t="str">
        <f aca="false">IF($J151="","",N($J151)*N(発注計算!$H147))</f>
        <v/>
      </c>
      <c r="L151" s="72"/>
      <c r="M151" s="72"/>
      <c r="N151" s="72"/>
      <c r="O151" s="72"/>
      <c r="P151" s="72"/>
      <c r="Q151" s="72"/>
      <c r="R151" s="72"/>
      <c r="S151" s="72"/>
      <c r="T151" s="72"/>
      <c r="U151" s="72"/>
      <c r="V151" s="72"/>
      <c r="W151" s="72"/>
      <c r="X151" s="72"/>
      <c r="Y151" s="72"/>
      <c r="Z151" s="31" t="n">
        <f aca="false">IF(OR(N($J151)&lt;=0,AND(③発注書!$C$5&lt;&gt;"すべて",発注計算!$F147&lt;&gt;③発注書!$C$5)),N(Z150),N(Z150)+1)</f>
        <v>7</v>
      </c>
    </row>
    <row r="152" customFormat="false" ht="16.5" hidden="false" customHeight="true" outlineLevel="0" collapsed="false">
      <c r="B152" s="66" t="n">
        <v>143</v>
      </c>
      <c r="C152" s="66" t="str">
        <f aca="false">IF(発注計算!$C148="","",発注計算!$D148)</f>
        <v/>
      </c>
      <c r="D152" s="66" t="str">
        <f aca="false">IF(発注計算!$C148="","",発注計算!$E148)</f>
        <v/>
      </c>
      <c r="E152" s="67" t="str">
        <f aca="false">IF(発注計算!$C148="","",発注計算!$T148)</f>
        <v/>
      </c>
      <c r="F152" s="67" t="str">
        <f aca="false">IF(ISNUMBER($E152),$E152-N(発注計算!$I148),"")</f>
        <v/>
      </c>
      <c r="G152" s="68" t="str">
        <f aca="false">IF(発注計算!$C148="","",IF(NOT(ISNUMBER($F152)),"データなし",IF($F152&lt;=0,"今日が期限",IF($F152&lt;=N(発注計算!$AG148),"要発注","余裕"))))</f>
        <v/>
      </c>
      <c r="H152" s="67" t="str">
        <f aca="false">IF(OR(発注計算!$C148="",NOT(ISNUMBER(発注計算!$S148)),発注計算!$S148&lt;=0),"",(発注計算!$K148+N($J152)*N(発注計算!$G148))/発注計算!$S148)</f>
        <v/>
      </c>
      <c r="I152" s="69" t="str">
        <f aca="false">IF(発注計算!$C148="","",発注計算!$Y148)</f>
        <v/>
      </c>
      <c r="J152" s="70"/>
      <c r="K152" s="71" t="str">
        <f aca="false">IF($J152="","",N($J152)*N(発注計算!$H148))</f>
        <v/>
      </c>
      <c r="L152" s="72"/>
      <c r="M152" s="72"/>
      <c r="N152" s="72"/>
      <c r="O152" s="72"/>
      <c r="P152" s="72"/>
      <c r="Q152" s="72"/>
      <c r="R152" s="72"/>
      <c r="S152" s="72"/>
      <c r="T152" s="72"/>
      <c r="U152" s="72"/>
      <c r="V152" s="72"/>
      <c r="W152" s="72"/>
      <c r="X152" s="72"/>
      <c r="Y152" s="72"/>
      <c r="Z152" s="31" t="n">
        <f aca="false">IF(OR(N($J152)&lt;=0,AND(③発注書!$C$5&lt;&gt;"すべて",発注計算!$F148&lt;&gt;③発注書!$C$5)),N(Z151),N(Z151)+1)</f>
        <v>7</v>
      </c>
    </row>
    <row r="153" customFormat="false" ht="16.5" hidden="false" customHeight="true" outlineLevel="0" collapsed="false">
      <c r="B153" s="66" t="n">
        <v>144</v>
      </c>
      <c r="C153" s="66" t="str">
        <f aca="false">IF(発注計算!$C149="","",発注計算!$D149)</f>
        <v/>
      </c>
      <c r="D153" s="66" t="str">
        <f aca="false">IF(発注計算!$C149="","",発注計算!$E149)</f>
        <v/>
      </c>
      <c r="E153" s="67" t="str">
        <f aca="false">IF(発注計算!$C149="","",発注計算!$T149)</f>
        <v/>
      </c>
      <c r="F153" s="67" t="str">
        <f aca="false">IF(ISNUMBER($E153),$E153-N(発注計算!$I149),"")</f>
        <v/>
      </c>
      <c r="G153" s="68" t="str">
        <f aca="false">IF(発注計算!$C149="","",IF(NOT(ISNUMBER($F153)),"データなし",IF($F153&lt;=0,"今日が期限",IF($F153&lt;=N(発注計算!$AG149),"要発注","余裕"))))</f>
        <v/>
      </c>
      <c r="H153" s="67" t="str">
        <f aca="false">IF(OR(発注計算!$C149="",NOT(ISNUMBER(発注計算!$S149)),発注計算!$S149&lt;=0),"",(発注計算!$K149+N($J153)*N(発注計算!$G149))/発注計算!$S149)</f>
        <v/>
      </c>
      <c r="I153" s="69" t="str">
        <f aca="false">IF(発注計算!$C149="","",発注計算!$Y149)</f>
        <v/>
      </c>
      <c r="J153" s="70"/>
      <c r="K153" s="71" t="str">
        <f aca="false">IF($J153="","",N($J153)*N(発注計算!$H149))</f>
        <v/>
      </c>
      <c r="L153" s="72"/>
      <c r="M153" s="72"/>
      <c r="N153" s="72"/>
      <c r="O153" s="72"/>
      <c r="P153" s="72"/>
      <c r="Q153" s="72"/>
      <c r="R153" s="72"/>
      <c r="S153" s="72"/>
      <c r="T153" s="72"/>
      <c r="U153" s="72"/>
      <c r="V153" s="72"/>
      <c r="W153" s="72"/>
      <c r="X153" s="72"/>
      <c r="Y153" s="72"/>
      <c r="Z153" s="31" t="n">
        <f aca="false">IF(OR(N($J153)&lt;=0,AND(③発注書!$C$5&lt;&gt;"すべて",発注計算!$F149&lt;&gt;③発注書!$C$5)),N(Z152),N(Z152)+1)</f>
        <v>7</v>
      </c>
    </row>
    <row r="154" customFormat="false" ht="16.5" hidden="false" customHeight="true" outlineLevel="0" collapsed="false">
      <c r="B154" s="66" t="n">
        <v>145</v>
      </c>
      <c r="C154" s="66" t="str">
        <f aca="false">IF(発注計算!$C150="","",発注計算!$D150)</f>
        <v/>
      </c>
      <c r="D154" s="66" t="str">
        <f aca="false">IF(発注計算!$C150="","",発注計算!$E150)</f>
        <v/>
      </c>
      <c r="E154" s="67" t="str">
        <f aca="false">IF(発注計算!$C150="","",発注計算!$T150)</f>
        <v/>
      </c>
      <c r="F154" s="67" t="str">
        <f aca="false">IF(ISNUMBER($E154),$E154-N(発注計算!$I150),"")</f>
        <v/>
      </c>
      <c r="G154" s="68" t="str">
        <f aca="false">IF(発注計算!$C150="","",IF(NOT(ISNUMBER($F154)),"データなし",IF($F154&lt;=0,"今日が期限",IF($F154&lt;=N(発注計算!$AG150),"要発注","余裕"))))</f>
        <v/>
      </c>
      <c r="H154" s="67" t="str">
        <f aca="false">IF(OR(発注計算!$C150="",NOT(ISNUMBER(発注計算!$S150)),発注計算!$S150&lt;=0),"",(発注計算!$K150+N($J154)*N(発注計算!$G150))/発注計算!$S150)</f>
        <v/>
      </c>
      <c r="I154" s="69" t="str">
        <f aca="false">IF(発注計算!$C150="","",発注計算!$Y150)</f>
        <v/>
      </c>
      <c r="J154" s="70"/>
      <c r="K154" s="71" t="str">
        <f aca="false">IF($J154="","",N($J154)*N(発注計算!$H150))</f>
        <v/>
      </c>
      <c r="L154" s="72"/>
      <c r="M154" s="72"/>
      <c r="N154" s="72"/>
      <c r="O154" s="72"/>
      <c r="P154" s="72"/>
      <c r="Q154" s="72"/>
      <c r="R154" s="72"/>
      <c r="S154" s="72"/>
      <c r="T154" s="72"/>
      <c r="U154" s="72"/>
      <c r="V154" s="72"/>
      <c r="W154" s="72"/>
      <c r="X154" s="72"/>
      <c r="Y154" s="72"/>
      <c r="Z154" s="31" t="n">
        <f aca="false">IF(OR(N($J154)&lt;=0,AND(③発注書!$C$5&lt;&gt;"すべて",発注計算!$F150&lt;&gt;③発注書!$C$5)),N(Z153),N(Z153)+1)</f>
        <v>7</v>
      </c>
    </row>
    <row r="155" customFormat="false" ht="16.5" hidden="false" customHeight="true" outlineLevel="0" collapsed="false">
      <c r="B155" s="66" t="n">
        <v>146</v>
      </c>
      <c r="C155" s="66" t="str">
        <f aca="false">IF(発注計算!$C151="","",発注計算!$D151)</f>
        <v/>
      </c>
      <c r="D155" s="66" t="str">
        <f aca="false">IF(発注計算!$C151="","",発注計算!$E151)</f>
        <v/>
      </c>
      <c r="E155" s="67" t="str">
        <f aca="false">IF(発注計算!$C151="","",発注計算!$T151)</f>
        <v/>
      </c>
      <c r="F155" s="67" t="str">
        <f aca="false">IF(ISNUMBER($E155),$E155-N(発注計算!$I151),"")</f>
        <v/>
      </c>
      <c r="G155" s="68" t="str">
        <f aca="false">IF(発注計算!$C151="","",IF(NOT(ISNUMBER($F155)),"データなし",IF($F155&lt;=0,"今日が期限",IF($F155&lt;=N(発注計算!$AG151),"要発注","余裕"))))</f>
        <v/>
      </c>
      <c r="H155" s="67" t="str">
        <f aca="false">IF(OR(発注計算!$C151="",NOT(ISNUMBER(発注計算!$S151)),発注計算!$S151&lt;=0),"",(発注計算!$K151+N($J155)*N(発注計算!$G151))/発注計算!$S151)</f>
        <v/>
      </c>
      <c r="I155" s="69" t="str">
        <f aca="false">IF(発注計算!$C151="","",発注計算!$Y151)</f>
        <v/>
      </c>
      <c r="J155" s="70"/>
      <c r="K155" s="71" t="str">
        <f aca="false">IF($J155="","",N($J155)*N(発注計算!$H151))</f>
        <v/>
      </c>
      <c r="L155" s="72"/>
      <c r="M155" s="72"/>
      <c r="N155" s="72"/>
      <c r="O155" s="72"/>
      <c r="P155" s="72"/>
      <c r="Q155" s="72"/>
      <c r="R155" s="72"/>
      <c r="S155" s="72"/>
      <c r="T155" s="72"/>
      <c r="U155" s="72"/>
      <c r="V155" s="72"/>
      <c r="W155" s="72"/>
      <c r="X155" s="72"/>
      <c r="Y155" s="72"/>
      <c r="Z155" s="31" t="n">
        <f aca="false">IF(OR(N($J155)&lt;=0,AND(③発注書!$C$5&lt;&gt;"すべて",発注計算!$F151&lt;&gt;③発注書!$C$5)),N(Z154),N(Z154)+1)</f>
        <v>7</v>
      </c>
    </row>
    <row r="156" customFormat="false" ht="16.5" hidden="false" customHeight="true" outlineLevel="0" collapsed="false">
      <c r="B156" s="66" t="n">
        <v>147</v>
      </c>
      <c r="C156" s="66" t="str">
        <f aca="false">IF(発注計算!$C152="","",発注計算!$D152)</f>
        <v/>
      </c>
      <c r="D156" s="66" t="str">
        <f aca="false">IF(発注計算!$C152="","",発注計算!$E152)</f>
        <v/>
      </c>
      <c r="E156" s="67" t="str">
        <f aca="false">IF(発注計算!$C152="","",発注計算!$T152)</f>
        <v/>
      </c>
      <c r="F156" s="67" t="str">
        <f aca="false">IF(ISNUMBER($E156),$E156-N(発注計算!$I152),"")</f>
        <v/>
      </c>
      <c r="G156" s="68" t="str">
        <f aca="false">IF(発注計算!$C152="","",IF(NOT(ISNUMBER($F156)),"データなし",IF($F156&lt;=0,"今日が期限",IF($F156&lt;=N(発注計算!$AG152),"要発注","余裕"))))</f>
        <v/>
      </c>
      <c r="H156" s="67" t="str">
        <f aca="false">IF(OR(発注計算!$C152="",NOT(ISNUMBER(発注計算!$S152)),発注計算!$S152&lt;=0),"",(発注計算!$K152+N($J156)*N(発注計算!$G152))/発注計算!$S152)</f>
        <v/>
      </c>
      <c r="I156" s="69" t="str">
        <f aca="false">IF(発注計算!$C152="","",発注計算!$Y152)</f>
        <v/>
      </c>
      <c r="J156" s="70"/>
      <c r="K156" s="71" t="str">
        <f aca="false">IF($J156="","",N($J156)*N(発注計算!$H152))</f>
        <v/>
      </c>
      <c r="L156" s="72"/>
      <c r="M156" s="72"/>
      <c r="N156" s="72"/>
      <c r="O156" s="72"/>
      <c r="P156" s="72"/>
      <c r="Q156" s="72"/>
      <c r="R156" s="72"/>
      <c r="S156" s="72"/>
      <c r="T156" s="72"/>
      <c r="U156" s="72"/>
      <c r="V156" s="72"/>
      <c r="W156" s="72"/>
      <c r="X156" s="72"/>
      <c r="Y156" s="72"/>
      <c r="Z156" s="31" t="n">
        <f aca="false">IF(OR(N($J156)&lt;=0,AND(③発注書!$C$5&lt;&gt;"すべて",発注計算!$F152&lt;&gt;③発注書!$C$5)),N(Z155),N(Z155)+1)</f>
        <v>7</v>
      </c>
    </row>
    <row r="157" customFormat="false" ht="16.5" hidden="false" customHeight="true" outlineLevel="0" collapsed="false">
      <c r="B157" s="66" t="n">
        <v>148</v>
      </c>
      <c r="C157" s="66" t="str">
        <f aca="false">IF(発注計算!$C153="","",発注計算!$D153)</f>
        <v/>
      </c>
      <c r="D157" s="66" t="str">
        <f aca="false">IF(発注計算!$C153="","",発注計算!$E153)</f>
        <v/>
      </c>
      <c r="E157" s="67" t="str">
        <f aca="false">IF(発注計算!$C153="","",発注計算!$T153)</f>
        <v/>
      </c>
      <c r="F157" s="67" t="str">
        <f aca="false">IF(ISNUMBER($E157),$E157-N(発注計算!$I153),"")</f>
        <v/>
      </c>
      <c r="G157" s="68" t="str">
        <f aca="false">IF(発注計算!$C153="","",IF(NOT(ISNUMBER($F157)),"データなし",IF($F157&lt;=0,"今日が期限",IF($F157&lt;=N(発注計算!$AG153),"要発注","余裕"))))</f>
        <v/>
      </c>
      <c r="H157" s="67" t="str">
        <f aca="false">IF(OR(発注計算!$C153="",NOT(ISNUMBER(発注計算!$S153)),発注計算!$S153&lt;=0),"",(発注計算!$K153+N($J157)*N(発注計算!$G153))/発注計算!$S153)</f>
        <v/>
      </c>
      <c r="I157" s="69" t="str">
        <f aca="false">IF(発注計算!$C153="","",発注計算!$Y153)</f>
        <v/>
      </c>
      <c r="J157" s="70"/>
      <c r="K157" s="71" t="str">
        <f aca="false">IF($J157="","",N($J157)*N(発注計算!$H153))</f>
        <v/>
      </c>
      <c r="L157" s="72"/>
      <c r="M157" s="72"/>
      <c r="N157" s="72"/>
      <c r="O157" s="72"/>
      <c r="P157" s="72"/>
      <c r="Q157" s="72"/>
      <c r="R157" s="72"/>
      <c r="S157" s="72"/>
      <c r="T157" s="72"/>
      <c r="U157" s="72"/>
      <c r="V157" s="72"/>
      <c r="W157" s="72"/>
      <c r="X157" s="72"/>
      <c r="Y157" s="72"/>
      <c r="Z157" s="31" t="n">
        <f aca="false">IF(OR(N($J157)&lt;=0,AND(③発注書!$C$5&lt;&gt;"すべて",発注計算!$F153&lt;&gt;③発注書!$C$5)),N(Z156),N(Z156)+1)</f>
        <v>7</v>
      </c>
    </row>
    <row r="158" customFormat="false" ht="16.5" hidden="false" customHeight="true" outlineLevel="0" collapsed="false">
      <c r="B158" s="66" t="n">
        <v>149</v>
      </c>
      <c r="C158" s="66" t="str">
        <f aca="false">IF(発注計算!$C154="","",発注計算!$D154)</f>
        <v/>
      </c>
      <c r="D158" s="66" t="str">
        <f aca="false">IF(発注計算!$C154="","",発注計算!$E154)</f>
        <v/>
      </c>
      <c r="E158" s="67" t="str">
        <f aca="false">IF(発注計算!$C154="","",発注計算!$T154)</f>
        <v/>
      </c>
      <c r="F158" s="67" t="str">
        <f aca="false">IF(ISNUMBER($E158),$E158-N(発注計算!$I154),"")</f>
        <v/>
      </c>
      <c r="G158" s="68" t="str">
        <f aca="false">IF(発注計算!$C154="","",IF(NOT(ISNUMBER($F158)),"データなし",IF($F158&lt;=0,"今日が期限",IF($F158&lt;=N(発注計算!$AG154),"要発注","余裕"))))</f>
        <v/>
      </c>
      <c r="H158" s="67" t="str">
        <f aca="false">IF(OR(発注計算!$C154="",NOT(ISNUMBER(発注計算!$S154)),発注計算!$S154&lt;=0),"",(発注計算!$K154+N($J158)*N(発注計算!$G154))/発注計算!$S154)</f>
        <v/>
      </c>
      <c r="I158" s="69" t="str">
        <f aca="false">IF(発注計算!$C154="","",発注計算!$Y154)</f>
        <v/>
      </c>
      <c r="J158" s="70"/>
      <c r="K158" s="71" t="str">
        <f aca="false">IF($J158="","",N($J158)*N(発注計算!$H154))</f>
        <v/>
      </c>
      <c r="L158" s="72"/>
      <c r="M158" s="72"/>
      <c r="N158" s="72"/>
      <c r="O158" s="72"/>
      <c r="P158" s="72"/>
      <c r="Q158" s="72"/>
      <c r="R158" s="72"/>
      <c r="S158" s="72"/>
      <c r="T158" s="72"/>
      <c r="U158" s="72"/>
      <c r="V158" s="72"/>
      <c r="W158" s="72"/>
      <c r="X158" s="72"/>
      <c r="Y158" s="72"/>
      <c r="Z158" s="31" t="n">
        <f aca="false">IF(OR(N($J158)&lt;=0,AND(③発注書!$C$5&lt;&gt;"すべて",発注計算!$F154&lt;&gt;③発注書!$C$5)),N(Z157),N(Z157)+1)</f>
        <v>7</v>
      </c>
    </row>
    <row r="159" customFormat="false" ht="16.5" hidden="false" customHeight="true" outlineLevel="0" collapsed="false">
      <c r="B159" s="66" t="n">
        <v>150</v>
      </c>
      <c r="C159" s="66" t="str">
        <f aca="false">IF(発注計算!$C155="","",発注計算!$D155)</f>
        <v/>
      </c>
      <c r="D159" s="66" t="str">
        <f aca="false">IF(発注計算!$C155="","",発注計算!$E155)</f>
        <v/>
      </c>
      <c r="E159" s="67" t="str">
        <f aca="false">IF(発注計算!$C155="","",発注計算!$T155)</f>
        <v/>
      </c>
      <c r="F159" s="67" t="str">
        <f aca="false">IF(ISNUMBER($E159),$E159-N(発注計算!$I155),"")</f>
        <v/>
      </c>
      <c r="G159" s="68" t="str">
        <f aca="false">IF(発注計算!$C155="","",IF(NOT(ISNUMBER($F159)),"データなし",IF($F159&lt;=0,"今日が期限",IF($F159&lt;=N(発注計算!$AG155),"要発注","余裕"))))</f>
        <v/>
      </c>
      <c r="H159" s="67" t="str">
        <f aca="false">IF(OR(発注計算!$C155="",NOT(ISNUMBER(発注計算!$S155)),発注計算!$S155&lt;=0),"",(発注計算!$K155+N($J159)*N(発注計算!$G155))/発注計算!$S155)</f>
        <v/>
      </c>
      <c r="I159" s="69" t="str">
        <f aca="false">IF(発注計算!$C155="","",発注計算!$Y155)</f>
        <v/>
      </c>
      <c r="J159" s="70"/>
      <c r="K159" s="71" t="str">
        <f aca="false">IF($J159="","",N($J159)*N(発注計算!$H155))</f>
        <v/>
      </c>
      <c r="L159" s="72"/>
      <c r="M159" s="72"/>
      <c r="N159" s="72"/>
      <c r="O159" s="72"/>
      <c r="P159" s="72"/>
      <c r="Q159" s="72"/>
      <c r="R159" s="72"/>
      <c r="S159" s="72"/>
      <c r="T159" s="72"/>
      <c r="U159" s="72"/>
      <c r="V159" s="72"/>
      <c r="W159" s="72"/>
      <c r="X159" s="72"/>
      <c r="Y159" s="72"/>
      <c r="Z159" s="31" t="n">
        <f aca="false">IF(OR(N($J159)&lt;=0,AND(③発注書!$C$5&lt;&gt;"すべて",発注計算!$F155&lt;&gt;③発注書!$C$5)),N(Z158),N(Z158)+1)</f>
        <v>7</v>
      </c>
    </row>
    <row r="160" customFormat="false" ht="16.5" hidden="false" customHeight="true" outlineLevel="0" collapsed="false">
      <c r="B160" s="66" t="n">
        <v>151</v>
      </c>
      <c r="C160" s="66" t="str">
        <f aca="false">IF(発注計算!$C156="","",発注計算!$D156)</f>
        <v/>
      </c>
      <c r="D160" s="66" t="str">
        <f aca="false">IF(発注計算!$C156="","",発注計算!$E156)</f>
        <v/>
      </c>
      <c r="E160" s="67" t="str">
        <f aca="false">IF(発注計算!$C156="","",発注計算!$T156)</f>
        <v/>
      </c>
      <c r="F160" s="67" t="str">
        <f aca="false">IF(ISNUMBER($E160),$E160-N(発注計算!$I156),"")</f>
        <v/>
      </c>
      <c r="G160" s="68" t="str">
        <f aca="false">IF(発注計算!$C156="","",IF(NOT(ISNUMBER($F160)),"データなし",IF($F160&lt;=0,"今日が期限",IF($F160&lt;=N(発注計算!$AG156),"要発注","余裕"))))</f>
        <v/>
      </c>
      <c r="H160" s="67" t="str">
        <f aca="false">IF(OR(発注計算!$C156="",NOT(ISNUMBER(発注計算!$S156)),発注計算!$S156&lt;=0),"",(発注計算!$K156+N($J160)*N(発注計算!$G156))/発注計算!$S156)</f>
        <v/>
      </c>
      <c r="I160" s="69" t="str">
        <f aca="false">IF(発注計算!$C156="","",発注計算!$Y156)</f>
        <v/>
      </c>
      <c r="J160" s="70"/>
      <c r="K160" s="71" t="str">
        <f aca="false">IF($J160="","",N($J160)*N(発注計算!$H156))</f>
        <v/>
      </c>
      <c r="L160" s="72"/>
      <c r="M160" s="72"/>
      <c r="N160" s="72"/>
      <c r="O160" s="72"/>
      <c r="P160" s="72"/>
      <c r="Q160" s="72"/>
      <c r="R160" s="72"/>
      <c r="S160" s="72"/>
      <c r="T160" s="72"/>
      <c r="U160" s="72"/>
      <c r="V160" s="72"/>
      <c r="W160" s="72"/>
      <c r="X160" s="72"/>
      <c r="Y160" s="72"/>
      <c r="Z160" s="31" t="n">
        <f aca="false">IF(OR(N($J160)&lt;=0,AND(③発注書!$C$5&lt;&gt;"すべて",発注計算!$F156&lt;&gt;③発注書!$C$5)),N(Z159),N(Z159)+1)</f>
        <v>7</v>
      </c>
    </row>
    <row r="161" customFormat="false" ht="16.5" hidden="false" customHeight="true" outlineLevel="0" collapsed="false">
      <c r="B161" s="66" t="n">
        <v>152</v>
      </c>
      <c r="C161" s="66" t="str">
        <f aca="false">IF(発注計算!$C157="","",発注計算!$D157)</f>
        <v/>
      </c>
      <c r="D161" s="66" t="str">
        <f aca="false">IF(発注計算!$C157="","",発注計算!$E157)</f>
        <v/>
      </c>
      <c r="E161" s="67" t="str">
        <f aca="false">IF(発注計算!$C157="","",発注計算!$T157)</f>
        <v/>
      </c>
      <c r="F161" s="67" t="str">
        <f aca="false">IF(ISNUMBER($E161),$E161-N(発注計算!$I157),"")</f>
        <v/>
      </c>
      <c r="G161" s="68" t="str">
        <f aca="false">IF(発注計算!$C157="","",IF(NOT(ISNUMBER($F161)),"データなし",IF($F161&lt;=0,"今日が期限",IF($F161&lt;=N(発注計算!$AG157),"要発注","余裕"))))</f>
        <v/>
      </c>
      <c r="H161" s="67" t="str">
        <f aca="false">IF(OR(発注計算!$C157="",NOT(ISNUMBER(発注計算!$S157)),発注計算!$S157&lt;=0),"",(発注計算!$K157+N($J161)*N(発注計算!$G157))/発注計算!$S157)</f>
        <v/>
      </c>
      <c r="I161" s="69" t="str">
        <f aca="false">IF(発注計算!$C157="","",発注計算!$Y157)</f>
        <v/>
      </c>
      <c r="J161" s="70"/>
      <c r="K161" s="71" t="str">
        <f aca="false">IF($J161="","",N($J161)*N(発注計算!$H157))</f>
        <v/>
      </c>
      <c r="L161" s="72"/>
      <c r="M161" s="72"/>
      <c r="N161" s="72"/>
      <c r="O161" s="72"/>
      <c r="P161" s="72"/>
      <c r="Q161" s="72"/>
      <c r="R161" s="72"/>
      <c r="S161" s="72"/>
      <c r="T161" s="72"/>
      <c r="U161" s="72"/>
      <c r="V161" s="72"/>
      <c r="W161" s="72"/>
      <c r="X161" s="72"/>
      <c r="Y161" s="72"/>
      <c r="Z161" s="31" t="n">
        <f aca="false">IF(OR(N($J161)&lt;=0,AND(③発注書!$C$5&lt;&gt;"すべて",発注計算!$F157&lt;&gt;③発注書!$C$5)),N(Z160),N(Z160)+1)</f>
        <v>7</v>
      </c>
    </row>
    <row r="162" customFormat="false" ht="16.5" hidden="false" customHeight="true" outlineLevel="0" collapsed="false">
      <c r="B162" s="66" t="n">
        <v>153</v>
      </c>
      <c r="C162" s="66" t="str">
        <f aca="false">IF(発注計算!$C158="","",発注計算!$D158)</f>
        <v/>
      </c>
      <c r="D162" s="66" t="str">
        <f aca="false">IF(発注計算!$C158="","",発注計算!$E158)</f>
        <v/>
      </c>
      <c r="E162" s="67" t="str">
        <f aca="false">IF(発注計算!$C158="","",発注計算!$T158)</f>
        <v/>
      </c>
      <c r="F162" s="67" t="str">
        <f aca="false">IF(ISNUMBER($E162),$E162-N(発注計算!$I158),"")</f>
        <v/>
      </c>
      <c r="G162" s="68" t="str">
        <f aca="false">IF(発注計算!$C158="","",IF(NOT(ISNUMBER($F162)),"データなし",IF($F162&lt;=0,"今日が期限",IF($F162&lt;=N(発注計算!$AG158),"要発注","余裕"))))</f>
        <v/>
      </c>
      <c r="H162" s="67" t="str">
        <f aca="false">IF(OR(発注計算!$C158="",NOT(ISNUMBER(発注計算!$S158)),発注計算!$S158&lt;=0),"",(発注計算!$K158+N($J162)*N(発注計算!$G158))/発注計算!$S158)</f>
        <v/>
      </c>
      <c r="I162" s="69" t="str">
        <f aca="false">IF(発注計算!$C158="","",発注計算!$Y158)</f>
        <v/>
      </c>
      <c r="J162" s="70"/>
      <c r="K162" s="71" t="str">
        <f aca="false">IF($J162="","",N($J162)*N(発注計算!$H158))</f>
        <v/>
      </c>
      <c r="L162" s="72"/>
      <c r="M162" s="72"/>
      <c r="N162" s="72"/>
      <c r="O162" s="72"/>
      <c r="P162" s="72"/>
      <c r="Q162" s="72"/>
      <c r="R162" s="72"/>
      <c r="S162" s="72"/>
      <c r="T162" s="72"/>
      <c r="U162" s="72"/>
      <c r="V162" s="72"/>
      <c r="W162" s="72"/>
      <c r="X162" s="72"/>
      <c r="Y162" s="72"/>
      <c r="Z162" s="31" t="n">
        <f aca="false">IF(OR(N($J162)&lt;=0,AND(③発注書!$C$5&lt;&gt;"すべて",発注計算!$F158&lt;&gt;③発注書!$C$5)),N(Z161),N(Z161)+1)</f>
        <v>7</v>
      </c>
    </row>
    <row r="163" customFormat="false" ht="16.5" hidden="false" customHeight="true" outlineLevel="0" collapsed="false">
      <c r="B163" s="66" t="n">
        <v>154</v>
      </c>
      <c r="C163" s="66" t="str">
        <f aca="false">IF(発注計算!$C159="","",発注計算!$D159)</f>
        <v/>
      </c>
      <c r="D163" s="66" t="str">
        <f aca="false">IF(発注計算!$C159="","",発注計算!$E159)</f>
        <v/>
      </c>
      <c r="E163" s="67" t="str">
        <f aca="false">IF(発注計算!$C159="","",発注計算!$T159)</f>
        <v/>
      </c>
      <c r="F163" s="67" t="str">
        <f aca="false">IF(ISNUMBER($E163),$E163-N(発注計算!$I159),"")</f>
        <v/>
      </c>
      <c r="G163" s="68" t="str">
        <f aca="false">IF(発注計算!$C159="","",IF(NOT(ISNUMBER($F163)),"データなし",IF($F163&lt;=0,"今日が期限",IF($F163&lt;=N(発注計算!$AG159),"要発注","余裕"))))</f>
        <v/>
      </c>
      <c r="H163" s="67" t="str">
        <f aca="false">IF(OR(発注計算!$C159="",NOT(ISNUMBER(発注計算!$S159)),発注計算!$S159&lt;=0),"",(発注計算!$K159+N($J163)*N(発注計算!$G159))/発注計算!$S159)</f>
        <v/>
      </c>
      <c r="I163" s="69" t="str">
        <f aca="false">IF(発注計算!$C159="","",発注計算!$Y159)</f>
        <v/>
      </c>
      <c r="J163" s="70"/>
      <c r="K163" s="71" t="str">
        <f aca="false">IF($J163="","",N($J163)*N(発注計算!$H159))</f>
        <v/>
      </c>
      <c r="L163" s="72"/>
      <c r="M163" s="72"/>
      <c r="N163" s="72"/>
      <c r="O163" s="72"/>
      <c r="P163" s="72"/>
      <c r="Q163" s="72"/>
      <c r="R163" s="72"/>
      <c r="S163" s="72"/>
      <c r="T163" s="72"/>
      <c r="U163" s="72"/>
      <c r="V163" s="72"/>
      <c r="W163" s="72"/>
      <c r="X163" s="72"/>
      <c r="Y163" s="72"/>
      <c r="Z163" s="31" t="n">
        <f aca="false">IF(OR(N($J163)&lt;=0,AND(③発注書!$C$5&lt;&gt;"すべて",発注計算!$F159&lt;&gt;③発注書!$C$5)),N(Z162),N(Z162)+1)</f>
        <v>7</v>
      </c>
    </row>
    <row r="164" customFormat="false" ht="16.5" hidden="false" customHeight="true" outlineLevel="0" collapsed="false">
      <c r="B164" s="66" t="n">
        <v>155</v>
      </c>
      <c r="C164" s="66" t="str">
        <f aca="false">IF(発注計算!$C160="","",発注計算!$D160)</f>
        <v/>
      </c>
      <c r="D164" s="66" t="str">
        <f aca="false">IF(発注計算!$C160="","",発注計算!$E160)</f>
        <v/>
      </c>
      <c r="E164" s="67" t="str">
        <f aca="false">IF(発注計算!$C160="","",発注計算!$T160)</f>
        <v/>
      </c>
      <c r="F164" s="67" t="str">
        <f aca="false">IF(ISNUMBER($E164),$E164-N(発注計算!$I160),"")</f>
        <v/>
      </c>
      <c r="G164" s="68" t="str">
        <f aca="false">IF(発注計算!$C160="","",IF(NOT(ISNUMBER($F164)),"データなし",IF($F164&lt;=0,"今日が期限",IF($F164&lt;=N(発注計算!$AG160),"要発注","余裕"))))</f>
        <v/>
      </c>
      <c r="H164" s="67" t="str">
        <f aca="false">IF(OR(発注計算!$C160="",NOT(ISNUMBER(発注計算!$S160)),発注計算!$S160&lt;=0),"",(発注計算!$K160+N($J164)*N(発注計算!$G160))/発注計算!$S160)</f>
        <v/>
      </c>
      <c r="I164" s="69" t="str">
        <f aca="false">IF(発注計算!$C160="","",発注計算!$Y160)</f>
        <v/>
      </c>
      <c r="J164" s="70"/>
      <c r="K164" s="71" t="str">
        <f aca="false">IF($J164="","",N($J164)*N(発注計算!$H160))</f>
        <v/>
      </c>
      <c r="L164" s="72"/>
      <c r="M164" s="72"/>
      <c r="N164" s="72"/>
      <c r="O164" s="72"/>
      <c r="P164" s="72"/>
      <c r="Q164" s="72"/>
      <c r="R164" s="72"/>
      <c r="S164" s="72"/>
      <c r="T164" s="72"/>
      <c r="U164" s="72"/>
      <c r="V164" s="72"/>
      <c r="W164" s="72"/>
      <c r="X164" s="72"/>
      <c r="Y164" s="72"/>
      <c r="Z164" s="31" t="n">
        <f aca="false">IF(OR(N($J164)&lt;=0,AND(③発注書!$C$5&lt;&gt;"すべて",発注計算!$F160&lt;&gt;③発注書!$C$5)),N(Z163),N(Z163)+1)</f>
        <v>7</v>
      </c>
    </row>
    <row r="165" customFormat="false" ht="16.5" hidden="false" customHeight="true" outlineLevel="0" collapsed="false">
      <c r="B165" s="66" t="n">
        <v>156</v>
      </c>
      <c r="C165" s="66" t="str">
        <f aca="false">IF(発注計算!$C161="","",発注計算!$D161)</f>
        <v/>
      </c>
      <c r="D165" s="66" t="str">
        <f aca="false">IF(発注計算!$C161="","",発注計算!$E161)</f>
        <v/>
      </c>
      <c r="E165" s="67" t="str">
        <f aca="false">IF(発注計算!$C161="","",発注計算!$T161)</f>
        <v/>
      </c>
      <c r="F165" s="67" t="str">
        <f aca="false">IF(ISNUMBER($E165),$E165-N(発注計算!$I161),"")</f>
        <v/>
      </c>
      <c r="G165" s="68" t="str">
        <f aca="false">IF(発注計算!$C161="","",IF(NOT(ISNUMBER($F165)),"データなし",IF($F165&lt;=0,"今日が期限",IF($F165&lt;=N(発注計算!$AG161),"要発注","余裕"))))</f>
        <v/>
      </c>
      <c r="H165" s="67" t="str">
        <f aca="false">IF(OR(発注計算!$C161="",NOT(ISNUMBER(発注計算!$S161)),発注計算!$S161&lt;=0),"",(発注計算!$K161+N($J165)*N(発注計算!$G161))/発注計算!$S161)</f>
        <v/>
      </c>
      <c r="I165" s="69" t="str">
        <f aca="false">IF(発注計算!$C161="","",発注計算!$Y161)</f>
        <v/>
      </c>
      <c r="J165" s="70"/>
      <c r="K165" s="71" t="str">
        <f aca="false">IF($J165="","",N($J165)*N(発注計算!$H161))</f>
        <v/>
      </c>
      <c r="L165" s="72"/>
      <c r="M165" s="72"/>
      <c r="N165" s="72"/>
      <c r="O165" s="72"/>
      <c r="P165" s="72"/>
      <c r="Q165" s="72"/>
      <c r="R165" s="72"/>
      <c r="S165" s="72"/>
      <c r="T165" s="72"/>
      <c r="U165" s="72"/>
      <c r="V165" s="72"/>
      <c r="W165" s="72"/>
      <c r="X165" s="72"/>
      <c r="Y165" s="72"/>
      <c r="Z165" s="31" t="n">
        <f aca="false">IF(OR(N($J165)&lt;=0,AND(③発注書!$C$5&lt;&gt;"すべて",発注計算!$F161&lt;&gt;③発注書!$C$5)),N(Z164),N(Z164)+1)</f>
        <v>7</v>
      </c>
    </row>
    <row r="166" customFormat="false" ht="16.5" hidden="false" customHeight="true" outlineLevel="0" collapsed="false">
      <c r="B166" s="66" t="n">
        <v>157</v>
      </c>
      <c r="C166" s="66" t="str">
        <f aca="false">IF(発注計算!$C162="","",発注計算!$D162)</f>
        <v/>
      </c>
      <c r="D166" s="66" t="str">
        <f aca="false">IF(発注計算!$C162="","",発注計算!$E162)</f>
        <v/>
      </c>
      <c r="E166" s="67" t="str">
        <f aca="false">IF(発注計算!$C162="","",発注計算!$T162)</f>
        <v/>
      </c>
      <c r="F166" s="67" t="str">
        <f aca="false">IF(ISNUMBER($E166),$E166-N(発注計算!$I162),"")</f>
        <v/>
      </c>
      <c r="G166" s="68" t="str">
        <f aca="false">IF(発注計算!$C162="","",IF(NOT(ISNUMBER($F166)),"データなし",IF($F166&lt;=0,"今日が期限",IF($F166&lt;=N(発注計算!$AG162),"要発注","余裕"))))</f>
        <v/>
      </c>
      <c r="H166" s="67" t="str">
        <f aca="false">IF(OR(発注計算!$C162="",NOT(ISNUMBER(発注計算!$S162)),発注計算!$S162&lt;=0),"",(発注計算!$K162+N($J166)*N(発注計算!$G162))/発注計算!$S162)</f>
        <v/>
      </c>
      <c r="I166" s="69" t="str">
        <f aca="false">IF(発注計算!$C162="","",発注計算!$Y162)</f>
        <v/>
      </c>
      <c r="J166" s="70"/>
      <c r="K166" s="71" t="str">
        <f aca="false">IF($J166="","",N($J166)*N(発注計算!$H162))</f>
        <v/>
      </c>
      <c r="L166" s="72"/>
      <c r="M166" s="72"/>
      <c r="N166" s="72"/>
      <c r="O166" s="72"/>
      <c r="P166" s="72"/>
      <c r="Q166" s="72"/>
      <c r="R166" s="72"/>
      <c r="S166" s="72"/>
      <c r="T166" s="72"/>
      <c r="U166" s="72"/>
      <c r="V166" s="72"/>
      <c r="W166" s="72"/>
      <c r="X166" s="72"/>
      <c r="Y166" s="72"/>
      <c r="Z166" s="31" t="n">
        <f aca="false">IF(OR(N($J166)&lt;=0,AND(③発注書!$C$5&lt;&gt;"すべて",発注計算!$F162&lt;&gt;③発注書!$C$5)),N(Z165),N(Z165)+1)</f>
        <v>7</v>
      </c>
    </row>
    <row r="167" customFormat="false" ht="16.5" hidden="false" customHeight="true" outlineLevel="0" collapsed="false">
      <c r="B167" s="66" t="n">
        <v>158</v>
      </c>
      <c r="C167" s="66" t="str">
        <f aca="false">IF(発注計算!$C163="","",発注計算!$D163)</f>
        <v/>
      </c>
      <c r="D167" s="66" t="str">
        <f aca="false">IF(発注計算!$C163="","",発注計算!$E163)</f>
        <v/>
      </c>
      <c r="E167" s="67" t="str">
        <f aca="false">IF(発注計算!$C163="","",発注計算!$T163)</f>
        <v/>
      </c>
      <c r="F167" s="67" t="str">
        <f aca="false">IF(ISNUMBER($E167),$E167-N(発注計算!$I163),"")</f>
        <v/>
      </c>
      <c r="G167" s="68" t="str">
        <f aca="false">IF(発注計算!$C163="","",IF(NOT(ISNUMBER($F167)),"データなし",IF($F167&lt;=0,"今日が期限",IF($F167&lt;=N(発注計算!$AG163),"要発注","余裕"))))</f>
        <v/>
      </c>
      <c r="H167" s="67" t="str">
        <f aca="false">IF(OR(発注計算!$C163="",NOT(ISNUMBER(発注計算!$S163)),発注計算!$S163&lt;=0),"",(発注計算!$K163+N($J167)*N(発注計算!$G163))/発注計算!$S163)</f>
        <v/>
      </c>
      <c r="I167" s="69" t="str">
        <f aca="false">IF(発注計算!$C163="","",発注計算!$Y163)</f>
        <v/>
      </c>
      <c r="J167" s="70"/>
      <c r="K167" s="71" t="str">
        <f aca="false">IF($J167="","",N($J167)*N(発注計算!$H163))</f>
        <v/>
      </c>
      <c r="L167" s="72"/>
      <c r="M167" s="72"/>
      <c r="N167" s="72"/>
      <c r="O167" s="72"/>
      <c r="P167" s="72"/>
      <c r="Q167" s="72"/>
      <c r="R167" s="72"/>
      <c r="S167" s="72"/>
      <c r="T167" s="72"/>
      <c r="U167" s="72"/>
      <c r="V167" s="72"/>
      <c r="W167" s="72"/>
      <c r="X167" s="72"/>
      <c r="Y167" s="72"/>
      <c r="Z167" s="31" t="n">
        <f aca="false">IF(OR(N($J167)&lt;=0,AND(③発注書!$C$5&lt;&gt;"すべて",発注計算!$F163&lt;&gt;③発注書!$C$5)),N(Z166),N(Z166)+1)</f>
        <v>7</v>
      </c>
    </row>
    <row r="168" customFormat="false" ht="16.5" hidden="false" customHeight="true" outlineLevel="0" collapsed="false">
      <c r="B168" s="66" t="n">
        <v>159</v>
      </c>
      <c r="C168" s="66" t="str">
        <f aca="false">IF(発注計算!$C164="","",発注計算!$D164)</f>
        <v/>
      </c>
      <c r="D168" s="66" t="str">
        <f aca="false">IF(発注計算!$C164="","",発注計算!$E164)</f>
        <v/>
      </c>
      <c r="E168" s="67" t="str">
        <f aca="false">IF(発注計算!$C164="","",発注計算!$T164)</f>
        <v/>
      </c>
      <c r="F168" s="67" t="str">
        <f aca="false">IF(ISNUMBER($E168),$E168-N(発注計算!$I164),"")</f>
        <v/>
      </c>
      <c r="G168" s="68" t="str">
        <f aca="false">IF(発注計算!$C164="","",IF(NOT(ISNUMBER($F168)),"データなし",IF($F168&lt;=0,"今日が期限",IF($F168&lt;=N(発注計算!$AG164),"要発注","余裕"))))</f>
        <v/>
      </c>
      <c r="H168" s="67" t="str">
        <f aca="false">IF(OR(発注計算!$C164="",NOT(ISNUMBER(発注計算!$S164)),発注計算!$S164&lt;=0),"",(発注計算!$K164+N($J168)*N(発注計算!$G164))/発注計算!$S164)</f>
        <v/>
      </c>
      <c r="I168" s="69" t="str">
        <f aca="false">IF(発注計算!$C164="","",発注計算!$Y164)</f>
        <v/>
      </c>
      <c r="J168" s="70"/>
      <c r="K168" s="71" t="str">
        <f aca="false">IF($J168="","",N($J168)*N(発注計算!$H164))</f>
        <v/>
      </c>
      <c r="L168" s="72"/>
      <c r="M168" s="72"/>
      <c r="N168" s="72"/>
      <c r="O168" s="72"/>
      <c r="P168" s="72"/>
      <c r="Q168" s="72"/>
      <c r="R168" s="72"/>
      <c r="S168" s="72"/>
      <c r="T168" s="72"/>
      <c r="U168" s="72"/>
      <c r="V168" s="72"/>
      <c r="W168" s="72"/>
      <c r="X168" s="72"/>
      <c r="Y168" s="72"/>
      <c r="Z168" s="31" t="n">
        <f aca="false">IF(OR(N($J168)&lt;=0,AND(③発注書!$C$5&lt;&gt;"すべて",発注計算!$F164&lt;&gt;③発注書!$C$5)),N(Z167),N(Z167)+1)</f>
        <v>7</v>
      </c>
    </row>
    <row r="169" customFormat="false" ht="16.5" hidden="false" customHeight="true" outlineLevel="0" collapsed="false">
      <c r="B169" s="66" t="n">
        <v>160</v>
      </c>
      <c r="C169" s="66" t="str">
        <f aca="false">IF(発注計算!$C165="","",発注計算!$D165)</f>
        <v/>
      </c>
      <c r="D169" s="66" t="str">
        <f aca="false">IF(発注計算!$C165="","",発注計算!$E165)</f>
        <v/>
      </c>
      <c r="E169" s="67" t="str">
        <f aca="false">IF(発注計算!$C165="","",発注計算!$T165)</f>
        <v/>
      </c>
      <c r="F169" s="67" t="str">
        <f aca="false">IF(ISNUMBER($E169),$E169-N(発注計算!$I165),"")</f>
        <v/>
      </c>
      <c r="G169" s="68" t="str">
        <f aca="false">IF(発注計算!$C165="","",IF(NOT(ISNUMBER($F169)),"データなし",IF($F169&lt;=0,"今日が期限",IF($F169&lt;=N(発注計算!$AG165),"要発注","余裕"))))</f>
        <v/>
      </c>
      <c r="H169" s="67" t="str">
        <f aca="false">IF(OR(発注計算!$C165="",NOT(ISNUMBER(発注計算!$S165)),発注計算!$S165&lt;=0),"",(発注計算!$K165+N($J169)*N(発注計算!$G165))/発注計算!$S165)</f>
        <v/>
      </c>
      <c r="I169" s="69" t="str">
        <f aca="false">IF(発注計算!$C165="","",発注計算!$Y165)</f>
        <v/>
      </c>
      <c r="J169" s="70"/>
      <c r="K169" s="71" t="str">
        <f aca="false">IF($J169="","",N($J169)*N(発注計算!$H165))</f>
        <v/>
      </c>
      <c r="L169" s="72"/>
      <c r="M169" s="72"/>
      <c r="N169" s="72"/>
      <c r="O169" s="72"/>
      <c r="P169" s="72"/>
      <c r="Q169" s="72"/>
      <c r="R169" s="72"/>
      <c r="S169" s="72"/>
      <c r="T169" s="72"/>
      <c r="U169" s="72"/>
      <c r="V169" s="72"/>
      <c r="W169" s="72"/>
      <c r="X169" s="72"/>
      <c r="Y169" s="72"/>
      <c r="Z169" s="31" t="n">
        <f aca="false">IF(OR(N($J169)&lt;=0,AND(③発注書!$C$5&lt;&gt;"すべて",発注計算!$F165&lt;&gt;③発注書!$C$5)),N(Z168),N(Z168)+1)</f>
        <v>7</v>
      </c>
    </row>
    <row r="170" customFormat="false" ht="16.5" hidden="false" customHeight="true" outlineLevel="0" collapsed="false">
      <c r="B170" s="66" t="n">
        <v>161</v>
      </c>
      <c r="C170" s="66" t="str">
        <f aca="false">IF(発注計算!$C166="","",発注計算!$D166)</f>
        <v/>
      </c>
      <c r="D170" s="66" t="str">
        <f aca="false">IF(発注計算!$C166="","",発注計算!$E166)</f>
        <v/>
      </c>
      <c r="E170" s="67" t="str">
        <f aca="false">IF(発注計算!$C166="","",発注計算!$T166)</f>
        <v/>
      </c>
      <c r="F170" s="67" t="str">
        <f aca="false">IF(ISNUMBER($E170),$E170-N(発注計算!$I166),"")</f>
        <v/>
      </c>
      <c r="G170" s="68" t="str">
        <f aca="false">IF(発注計算!$C166="","",IF(NOT(ISNUMBER($F170)),"データなし",IF($F170&lt;=0,"今日が期限",IF($F170&lt;=N(発注計算!$AG166),"要発注","余裕"))))</f>
        <v/>
      </c>
      <c r="H170" s="67" t="str">
        <f aca="false">IF(OR(発注計算!$C166="",NOT(ISNUMBER(発注計算!$S166)),発注計算!$S166&lt;=0),"",(発注計算!$K166+N($J170)*N(発注計算!$G166))/発注計算!$S166)</f>
        <v/>
      </c>
      <c r="I170" s="69" t="str">
        <f aca="false">IF(発注計算!$C166="","",発注計算!$Y166)</f>
        <v/>
      </c>
      <c r="J170" s="70"/>
      <c r="K170" s="71" t="str">
        <f aca="false">IF($J170="","",N($J170)*N(発注計算!$H166))</f>
        <v/>
      </c>
      <c r="L170" s="72"/>
      <c r="M170" s="72"/>
      <c r="N170" s="72"/>
      <c r="O170" s="72"/>
      <c r="P170" s="72"/>
      <c r="Q170" s="72"/>
      <c r="R170" s="72"/>
      <c r="S170" s="72"/>
      <c r="T170" s="72"/>
      <c r="U170" s="72"/>
      <c r="V170" s="72"/>
      <c r="W170" s="72"/>
      <c r="X170" s="72"/>
      <c r="Y170" s="72"/>
      <c r="Z170" s="31" t="n">
        <f aca="false">IF(OR(N($J170)&lt;=0,AND(③発注書!$C$5&lt;&gt;"すべて",発注計算!$F166&lt;&gt;③発注書!$C$5)),N(Z169),N(Z169)+1)</f>
        <v>7</v>
      </c>
    </row>
    <row r="171" customFormat="false" ht="16.5" hidden="false" customHeight="true" outlineLevel="0" collapsed="false">
      <c r="B171" s="66" t="n">
        <v>162</v>
      </c>
      <c r="C171" s="66" t="str">
        <f aca="false">IF(発注計算!$C167="","",発注計算!$D167)</f>
        <v/>
      </c>
      <c r="D171" s="66" t="str">
        <f aca="false">IF(発注計算!$C167="","",発注計算!$E167)</f>
        <v/>
      </c>
      <c r="E171" s="67" t="str">
        <f aca="false">IF(発注計算!$C167="","",発注計算!$T167)</f>
        <v/>
      </c>
      <c r="F171" s="67" t="str">
        <f aca="false">IF(ISNUMBER($E171),$E171-N(発注計算!$I167),"")</f>
        <v/>
      </c>
      <c r="G171" s="68" t="str">
        <f aca="false">IF(発注計算!$C167="","",IF(NOT(ISNUMBER($F171)),"データなし",IF($F171&lt;=0,"今日が期限",IF($F171&lt;=N(発注計算!$AG167),"要発注","余裕"))))</f>
        <v/>
      </c>
      <c r="H171" s="67" t="str">
        <f aca="false">IF(OR(発注計算!$C167="",NOT(ISNUMBER(発注計算!$S167)),発注計算!$S167&lt;=0),"",(発注計算!$K167+N($J171)*N(発注計算!$G167))/発注計算!$S167)</f>
        <v/>
      </c>
      <c r="I171" s="69" t="str">
        <f aca="false">IF(発注計算!$C167="","",発注計算!$Y167)</f>
        <v/>
      </c>
      <c r="J171" s="70"/>
      <c r="K171" s="71" t="str">
        <f aca="false">IF($J171="","",N($J171)*N(発注計算!$H167))</f>
        <v/>
      </c>
      <c r="L171" s="72"/>
      <c r="M171" s="72"/>
      <c r="N171" s="72"/>
      <c r="O171" s="72"/>
      <c r="P171" s="72"/>
      <c r="Q171" s="72"/>
      <c r="R171" s="72"/>
      <c r="S171" s="72"/>
      <c r="T171" s="72"/>
      <c r="U171" s="72"/>
      <c r="V171" s="72"/>
      <c r="W171" s="72"/>
      <c r="X171" s="72"/>
      <c r="Y171" s="72"/>
      <c r="Z171" s="31" t="n">
        <f aca="false">IF(OR(N($J171)&lt;=0,AND(③発注書!$C$5&lt;&gt;"すべて",発注計算!$F167&lt;&gt;③発注書!$C$5)),N(Z170),N(Z170)+1)</f>
        <v>7</v>
      </c>
    </row>
    <row r="172" customFormat="false" ht="16.5" hidden="false" customHeight="true" outlineLevel="0" collapsed="false">
      <c r="B172" s="66" t="n">
        <v>163</v>
      </c>
      <c r="C172" s="66" t="str">
        <f aca="false">IF(発注計算!$C168="","",発注計算!$D168)</f>
        <v/>
      </c>
      <c r="D172" s="66" t="str">
        <f aca="false">IF(発注計算!$C168="","",発注計算!$E168)</f>
        <v/>
      </c>
      <c r="E172" s="67" t="str">
        <f aca="false">IF(発注計算!$C168="","",発注計算!$T168)</f>
        <v/>
      </c>
      <c r="F172" s="67" t="str">
        <f aca="false">IF(ISNUMBER($E172),$E172-N(発注計算!$I168),"")</f>
        <v/>
      </c>
      <c r="G172" s="68" t="str">
        <f aca="false">IF(発注計算!$C168="","",IF(NOT(ISNUMBER($F172)),"データなし",IF($F172&lt;=0,"今日が期限",IF($F172&lt;=N(発注計算!$AG168),"要発注","余裕"))))</f>
        <v/>
      </c>
      <c r="H172" s="67" t="str">
        <f aca="false">IF(OR(発注計算!$C168="",NOT(ISNUMBER(発注計算!$S168)),発注計算!$S168&lt;=0),"",(発注計算!$K168+N($J172)*N(発注計算!$G168))/発注計算!$S168)</f>
        <v/>
      </c>
      <c r="I172" s="69" t="str">
        <f aca="false">IF(発注計算!$C168="","",発注計算!$Y168)</f>
        <v/>
      </c>
      <c r="J172" s="70"/>
      <c r="K172" s="71" t="str">
        <f aca="false">IF($J172="","",N($J172)*N(発注計算!$H168))</f>
        <v/>
      </c>
      <c r="L172" s="72"/>
      <c r="M172" s="72"/>
      <c r="N172" s="72"/>
      <c r="O172" s="72"/>
      <c r="P172" s="72"/>
      <c r="Q172" s="72"/>
      <c r="R172" s="72"/>
      <c r="S172" s="72"/>
      <c r="T172" s="72"/>
      <c r="U172" s="72"/>
      <c r="V172" s="72"/>
      <c r="W172" s="72"/>
      <c r="X172" s="72"/>
      <c r="Y172" s="72"/>
      <c r="Z172" s="31" t="n">
        <f aca="false">IF(OR(N($J172)&lt;=0,AND(③発注書!$C$5&lt;&gt;"すべて",発注計算!$F168&lt;&gt;③発注書!$C$5)),N(Z171),N(Z171)+1)</f>
        <v>7</v>
      </c>
    </row>
    <row r="173" customFormat="false" ht="16.5" hidden="false" customHeight="true" outlineLevel="0" collapsed="false">
      <c r="B173" s="66" t="n">
        <v>164</v>
      </c>
      <c r="C173" s="66" t="str">
        <f aca="false">IF(発注計算!$C169="","",発注計算!$D169)</f>
        <v/>
      </c>
      <c r="D173" s="66" t="str">
        <f aca="false">IF(発注計算!$C169="","",発注計算!$E169)</f>
        <v/>
      </c>
      <c r="E173" s="67" t="str">
        <f aca="false">IF(発注計算!$C169="","",発注計算!$T169)</f>
        <v/>
      </c>
      <c r="F173" s="67" t="str">
        <f aca="false">IF(ISNUMBER($E173),$E173-N(発注計算!$I169),"")</f>
        <v/>
      </c>
      <c r="G173" s="68" t="str">
        <f aca="false">IF(発注計算!$C169="","",IF(NOT(ISNUMBER($F173)),"データなし",IF($F173&lt;=0,"今日が期限",IF($F173&lt;=N(発注計算!$AG169),"要発注","余裕"))))</f>
        <v/>
      </c>
      <c r="H173" s="67" t="str">
        <f aca="false">IF(OR(発注計算!$C169="",NOT(ISNUMBER(発注計算!$S169)),発注計算!$S169&lt;=0),"",(発注計算!$K169+N($J173)*N(発注計算!$G169))/発注計算!$S169)</f>
        <v/>
      </c>
      <c r="I173" s="69" t="str">
        <f aca="false">IF(発注計算!$C169="","",発注計算!$Y169)</f>
        <v/>
      </c>
      <c r="J173" s="70"/>
      <c r="K173" s="71" t="str">
        <f aca="false">IF($J173="","",N($J173)*N(発注計算!$H169))</f>
        <v/>
      </c>
      <c r="L173" s="72"/>
      <c r="M173" s="72"/>
      <c r="N173" s="72"/>
      <c r="O173" s="72"/>
      <c r="P173" s="72"/>
      <c r="Q173" s="72"/>
      <c r="R173" s="72"/>
      <c r="S173" s="72"/>
      <c r="T173" s="72"/>
      <c r="U173" s="72"/>
      <c r="V173" s="72"/>
      <c r="W173" s="72"/>
      <c r="X173" s="72"/>
      <c r="Y173" s="72"/>
      <c r="Z173" s="31" t="n">
        <f aca="false">IF(OR(N($J173)&lt;=0,AND(③発注書!$C$5&lt;&gt;"すべて",発注計算!$F169&lt;&gt;③発注書!$C$5)),N(Z172),N(Z172)+1)</f>
        <v>7</v>
      </c>
    </row>
    <row r="174" customFormat="false" ht="16.5" hidden="false" customHeight="true" outlineLevel="0" collapsed="false">
      <c r="B174" s="66" t="n">
        <v>165</v>
      </c>
      <c r="C174" s="66" t="str">
        <f aca="false">IF(発注計算!$C170="","",発注計算!$D170)</f>
        <v/>
      </c>
      <c r="D174" s="66" t="str">
        <f aca="false">IF(発注計算!$C170="","",発注計算!$E170)</f>
        <v/>
      </c>
      <c r="E174" s="67" t="str">
        <f aca="false">IF(発注計算!$C170="","",発注計算!$T170)</f>
        <v/>
      </c>
      <c r="F174" s="67" t="str">
        <f aca="false">IF(ISNUMBER($E174),$E174-N(発注計算!$I170),"")</f>
        <v/>
      </c>
      <c r="G174" s="68" t="str">
        <f aca="false">IF(発注計算!$C170="","",IF(NOT(ISNUMBER($F174)),"データなし",IF($F174&lt;=0,"今日が期限",IF($F174&lt;=N(発注計算!$AG170),"要発注","余裕"))))</f>
        <v/>
      </c>
      <c r="H174" s="67" t="str">
        <f aca="false">IF(OR(発注計算!$C170="",NOT(ISNUMBER(発注計算!$S170)),発注計算!$S170&lt;=0),"",(発注計算!$K170+N($J174)*N(発注計算!$G170))/発注計算!$S170)</f>
        <v/>
      </c>
      <c r="I174" s="69" t="str">
        <f aca="false">IF(発注計算!$C170="","",発注計算!$Y170)</f>
        <v/>
      </c>
      <c r="J174" s="70"/>
      <c r="K174" s="71" t="str">
        <f aca="false">IF($J174="","",N($J174)*N(発注計算!$H170))</f>
        <v/>
      </c>
      <c r="L174" s="72"/>
      <c r="M174" s="72"/>
      <c r="N174" s="72"/>
      <c r="O174" s="72"/>
      <c r="P174" s="72"/>
      <c r="Q174" s="72"/>
      <c r="R174" s="72"/>
      <c r="S174" s="72"/>
      <c r="T174" s="72"/>
      <c r="U174" s="72"/>
      <c r="V174" s="72"/>
      <c r="W174" s="72"/>
      <c r="X174" s="72"/>
      <c r="Y174" s="72"/>
      <c r="Z174" s="31" t="n">
        <f aca="false">IF(OR(N($J174)&lt;=0,AND(③発注書!$C$5&lt;&gt;"すべて",発注計算!$F170&lt;&gt;③発注書!$C$5)),N(Z173),N(Z173)+1)</f>
        <v>7</v>
      </c>
    </row>
    <row r="175" customFormat="false" ht="16.5" hidden="false" customHeight="true" outlineLevel="0" collapsed="false">
      <c r="B175" s="66" t="n">
        <v>166</v>
      </c>
      <c r="C175" s="66" t="str">
        <f aca="false">IF(発注計算!$C171="","",発注計算!$D171)</f>
        <v/>
      </c>
      <c r="D175" s="66" t="str">
        <f aca="false">IF(発注計算!$C171="","",発注計算!$E171)</f>
        <v/>
      </c>
      <c r="E175" s="67" t="str">
        <f aca="false">IF(発注計算!$C171="","",発注計算!$T171)</f>
        <v/>
      </c>
      <c r="F175" s="67" t="str">
        <f aca="false">IF(ISNUMBER($E175),$E175-N(発注計算!$I171),"")</f>
        <v/>
      </c>
      <c r="G175" s="68" t="str">
        <f aca="false">IF(発注計算!$C171="","",IF(NOT(ISNUMBER($F175)),"データなし",IF($F175&lt;=0,"今日が期限",IF($F175&lt;=N(発注計算!$AG171),"要発注","余裕"))))</f>
        <v/>
      </c>
      <c r="H175" s="67" t="str">
        <f aca="false">IF(OR(発注計算!$C171="",NOT(ISNUMBER(発注計算!$S171)),発注計算!$S171&lt;=0),"",(発注計算!$K171+N($J175)*N(発注計算!$G171))/発注計算!$S171)</f>
        <v/>
      </c>
      <c r="I175" s="69" t="str">
        <f aca="false">IF(発注計算!$C171="","",発注計算!$Y171)</f>
        <v/>
      </c>
      <c r="J175" s="70"/>
      <c r="K175" s="71" t="str">
        <f aca="false">IF($J175="","",N($J175)*N(発注計算!$H171))</f>
        <v/>
      </c>
      <c r="L175" s="72"/>
      <c r="M175" s="72"/>
      <c r="N175" s="72"/>
      <c r="O175" s="72"/>
      <c r="P175" s="72"/>
      <c r="Q175" s="72"/>
      <c r="R175" s="72"/>
      <c r="S175" s="72"/>
      <c r="T175" s="72"/>
      <c r="U175" s="72"/>
      <c r="V175" s="72"/>
      <c r="W175" s="72"/>
      <c r="X175" s="72"/>
      <c r="Y175" s="72"/>
      <c r="Z175" s="31" t="n">
        <f aca="false">IF(OR(N($J175)&lt;=0,AND(③発注書!$C$5&lt;&gt;"すべて",発注計算!$F171&lt;&gt;③発注書!$C$5)),N(Z174),N(Z174)+1)</f>
        <v>7</v>
      </c>
    </row>
    <row r="176" customFormat="false" ht="16.5" hidden="false" customHeight="true" outlineLevel="0" collapsed="false">
      <c r="B176" s="66" t="n">
        <v>167</v>
      </c>
      <c r="C176" s="66" t="str">
        <f aca="false">IF(発注計算!$C172="","",発注計算!$D172)</f>
        <v/>
      </c>
      <c r="D176" s="66" t="str">
        <f aca="false">IF(発注計算!$C172="","",発注計算!$E172)</f>
        <v/>
      </c>
      <c r="E176" s="67" t="str">
        <f aca="false">IF(発注計算!$C172="","",発注計算!$T172)</f>
        <v/>
      </c>
      <c r="F176" s="67" t="str">
        <f aca="false">IF(ISNUMBER($E176),$E176-N(発注計算!$I172),"")</f>
        <v/>
      </c>
      <c r="G176" s="68" t="str">
        <f aca="false">IF(発注計算!$C172="","",IF(NOT(ISNUMBER($F176)),"データなし",IF($F176&lt;=0,"今日が期限",IF($F176&lt;=N(発注計算!$AG172),"要発注","余裕"))))</f>
        <v/>
      </c>
      <c r="H176" s="67" t="str">
        <f aca="false">IF(OR(発注計算!$C172="",NOT(ISNUMBER(発注計算!$S172)),発注計算!$S172&lt;=0),"",(発注計算!$K172+N($J176)*N(発注計算!$G172))/発注計算!$S172)</f>
        <v/>
      </c>
      <c r="I176" s="69" t="str">
        <f aca="false">IF(発注計算!$C172="","",発注計算!$Y172)</f>
        <v/>
      </c>
      <c r="J176" s="70"/>
      <c r="K176" s="71" t="str">
        <f aca="false">IF($J176="","",N($J176)*N(発注計算!$H172))</f>
        <v/>
      </c>
      <c r="L176" s="72"/>
      <c r="M176" s="72"/>
      <c r="N176" s="72"/>
      <c r="O176" s="72"/>
      <c r="P176" s="72"/>
      <c r="Q176" s="72"/>
      <c r="R176" s="72"/>
      <c r="S176" s="72"/>
      <c r="T176" s="72"/>
      <c r="U176" s="72"/>
      <c r="V176" s="72"/>
      <c r="W176" s="72"/>
      <c r="X176" s="72"/>
      <c r="Y176" s="72"/>
      <c r="Z176" s="31" t="n">
        <f aca="false">IF(OR(N($J176)&lt;=0,AND(③発注書!$C$5&lt;&gt;"すべて",発注計算!$F172&lt;&gt;③発注書!$C$5)),N(Z175),N(Z175)+1)</f>
        <v>7</v>
      </c>
    </row>
    <row r="177" customFormat="false" ht="16.5" hidden="false" customHeight="true" outlineLevel="0" collapsed="false">
      <c r="B177" s="66" t="n">
        <v>168</v>
      </c>
      <c r="C177" s="66" t="str">
        <f aca="false">IF(発注計算!$C173="","",発注計算!$D173)</f>
        <v/>
      </c>
      <c r="D177" s="66" t="str">
        <f aca="false">IF(発注計算!$C173="","",発注計算!$E173)</f>
        <v/>
      </c>
      <c r="E177" s="67" t="str">
        <f aca="false">IF(発注計算!$C173="","",発注計算!$T173)</f>
        <v/>
      </c>
      <c r="F177" s="67" t="str">
        <f aca="false">IF(ISNUMBER($E177),$E177-N(発注計算!$I173),"")</f>
        <v/>
      </c>
      <c r="G177" s="68" t="str">
        <f aca="false">IF(発注計算!$C173="","",IF(NOT(ISNUMBER($F177)),"データなし",IF($F177&lt;=0,"今日が期限",IF($F177&lt;=N(発注計算!$AG173),"要発注","余裕"))))</f>
        <v/>
      </c>
      <c r="H177" s="67" t="str">
        <f aca="false">IF(OR(発注計算!$C173="",NOT(ISNUMBER(発注計算!$S173)),発注計算!$S173&lt;=0),"",(発注計算!$K173+N($J177)*N(発注計算!$G173))/発注計算!$S173)</f>
        <v/>
      </c>
      <c r="I177" s="69" t="str">
        <f aca="false">IF(発注計算!$C173="","",発注計算!$Y173)</f>
        <v/>
      </c>
      <c r="J177" s="70"/>
      <c r="K177" s="71" t="str">
        <f aca="false">IF($J177="","",N($J177)*N(発注計算!$H173))</f>
        <v/>
      </c>
      <c r="L177" s="72"/>
      <c r="M177" s="72"/>
      <c r="N177" s="72"/>
      <c r="O177" s="72"/>
      <c r="P177" s="72"/>
      <c r="Q177" s="72"/>
      <c r="R177" s="72"/>
      <c r="S177" s="72"/>
      <c r="T177" s="72"/>
      <c r="U177" s="72"/>
      <c r="V177" s="72"/>
      <c r="W177" s="72"/>
      <c r="X177" s="72"/>
      <c r="Y177" s="72"/>
      <c r="Z177" s="31" t="n">
        <f aca="false">IF(OR(N($J177)&lt;=0,AND(③発注書!$C$5&lt;&gt;"すべて",発注計算!$F173&lt;&gt;③発注書!$C$5)),N(Z176),N(Z176)+1)</f>
        <v>7</v>
      </c>
    </row>
    <row r="178" customFormat="false" ht="16.5" hidden="false" customHeight="true" outlineLevel="0" collapsed="false">
      <c r="B178" s="66" t="n">
        <v>169</v>
      </c>
      <c r="C178" s="66" t="str">
        <f aca="false">IF(発注計算!$C174="","",発注計算!$D174)</f>
        <v/>
      </c>
      <c r="D178" s="66" t="str">
        <f aca="false">IF(発注計算!$C174="","",発注計算!$E174)</f>
        <v/>
      </c>
      <c r="E178" s="67" t="str">
        <f aca="false">IF(発注計算!$C174="","",発注計算!$T174)</f>
        <v/>
      </c>
      <c r="F178" s="67" t="str">
        <f aca="false">IF(ISNUMBER($E178),$E178-N(発注計算!$I174),"")</f>
        <v/>
      </c>
      <c r="G178" s="68" t="str">
        <f aca="false">IF(発注計算!$C174="","",IF(NOT(ISNUMBER($F178)),"データなし",IF($F178&lt;=0,"今日が期限",IF($F178&lt;=N(発注計算!$AG174),"要発注","余裕"))))</f>
        <v/>
      </c>
      <c r="H178" s="67" t="str">
        <f aca="false">IF(OR(発注計算!$C174="",NOT(ISNUMBER(発注計算!$S174)),発注計算!$S174&lt;=0),"",(発注計算!$K174+N($J178)*N(発注計算!$G174))/発注計算!$S174)</f>
        <v/>
      </c>
      <c r="I178" s="69" t="str">
        <f aca="false">IF(発注計算!$C174="","",発注計算!$Y174)</f>
        <v/>
      </c>
      <c r="J178" s="70"/>
      <c r="K178" s="71" t="str">
        <f aca="false">IF($J178="","",N($J178)*N(発注計算!$H174))</f>
        <v/>
      </c>
      <c r="L178" s="72"/>
      <c r="M178" s="72"/>
      <c r="N178" s="72"/>
      <c r="O178" s="72"/>
      <c r="P178" s="72"/>
      <c r="Q178" s="72"/>
      <c r="R178" s="72"/>
      <c r="S178" s="72"/>
      <c r="T178" s="72"/>
      <c r="U178" s="72"/>
      <c r="V178" s="72"/>
      <c r="W178" s="72"/>
      <c r="X178" s="72"/>
      <c r="Y178" s="72"/>
      <c r="Z178" s="31" t="n">
        <f aca="false">IF(OR(N($J178)&lt;=0,AND(③発注書!$C$5&lt;&gt;"すべて",発注計算!$F174&lt;&gt;③発注書!$C$5)),N(Z177),N(Z177)+1)</f>
        <v>7</v>
      </c>
    </row>
    <row r="179" customFormat="false" ht="16.5" hidden="false" customHeight="true" outlineLevel="0" collapsed="false">
      <c r="B179" s="66" t="n">
        <v>170</v>
      </c>
      <c r="C179" s="66" t="str">
        <f aca="false">IF(発注計算!$C175="","",発注計算!$D175)</f>
        <v/>
      </c>
      <c r="D179" s="66" t="str">
        <f aca="false">IF(発注計算!$C175="","",発注計算!$E175)</f>
        <v/>
      </c>
      <c r="E179" s="67" t="str">
        <f aca="false">IF(発注計算!$C175="","",発注計算!$T175)</f>
        <v/>
      </c>
      <c r="F179" s="67" t="str">
        <f aca="false">IF(ISNUMBER($E179),$E179-N(発注計算!$I175),"")</f>
        <v/>
      </c>
      <c r="G179" s="68" t="str">
        <f aca="false">IF(発注計算!$C175="","",IF(NOT(ISNUMBER($F179)),"データなし",IF($F179&lt;=0,"今日が期限",IF($F179&lt;=N(発注計算!$AG175),"要発注","余裕"))))</f>
        <v/>
      </c>
      <c r="H179" s="67" t="str">
        <f aca="false">IF(OR(発注計算!$C175="",NOT(ISNUMBER(発注計算!$S175)),発注計算!$S175&lt;=0),"",(発注計算!$K175+N($J179)*N(発注計算!$G175))/発注計算!$S175)</f>
        <v/>
      </c>
      <c r="I179" s="69" t="str">
        <f aca="false">IF(発注計算!$C175="","",発注計算!$Y175)</f>
        <v/>
      </c>
      <c r="J179" s="70"/>
      <c r="K179" s="71" t="str">
        <f aca="false">IF($J179="","",N($J179)*N(発注計算!$H175))</f>
        <v/>
      </c>
      <c r="L179" s="72"/>
      <c r="M179" s="72"/>
      <c r="N179" s="72"/>
      <c r="O179" s="72"/>
      <c r="P179" s="72"/>
      <c r="Q179" s="72"/>
      <c r="R179" s="72"/>
      <c r="S179" s="72"/>
      <c r="T179" s="72"/>
      <c r="U179" s="72"/>
      <c r="V179" s="72"/>
      <c r="W179" s="72"/>
      <c r="X179" s="72"/>
      <c r="Y179" s="72"/>
      <c r="Z179" s="31" t="n">
        <f aca="false">IF(OR(N($J179)&lt;=0,AND(③発注書!$C$5&lt;&gt;"すべて",発注計算!$F175&lt;&gt;③発注書!$C$5)),N(Z178),N(Z178)+1)</f>
        <v>7</v>
      </c>
    </row>
    <row r="180" customFormat="false" ht="16.5" hidden="false" customHeight="true" outlineLevel="0" collapsed="false">
      <c r="B180" s="66" t="n">
        <v>171</v>
      </c>
      <c r="C180" s="66" t="str">
        <f aca="false">IF(発注計算!$C176="","",発注計算!$D176)</f>
        <v/>
      </c>
      <c r="D180" s="66" t="str">
        <f aca="false">IF(発注計算!$C176="","",発注計算!$E176)</f>
        <v/>
      </c>
      <c r="E180" s="67" t="str">
        <f aca="false">IF(発注計算!$C176="","",発注計算!$T176)</f>
        <v/>
      </c>
      <c r="F180" s="67" t="str">
        <f aca="false">IF(ISNUMBER($E180),$E180-N(発注計算!$I176),"")</f>
        <v/>
      </c>
      <c r="G180" s="68" t="str">
        <f aca="false">IF(発注計算!$C176="","",IF(NOT(ISNUMBER($F180)),"データなし",IF($F180&lt;=0,"今日が期限",IF($F180&lt;=N(発注計算!$AG176),"要発注","余裕"))))</f>
        <v/>
      </c>
      <c r="H180" s="67" t="str">
        <f aca="false">IF(OR(発注計算!$C176="",NOT(ISNUMBER(発注計算!$S176)),発注計算!$S176&lt;=0),"",(発注計算!$K176+N($J180)*N(発注計算!$G176))/発注計算!$S176)</f>
        <v/>
      </c>
      <c r="I180" s="69" t="str">
        <f aca="false">IF(発注計算!$C176="","",発注計算!$Y176)</f>
        <v/>
      </c>
      <c r="J180" s="70"/>
      <c r="K180" s="71" t="str">
        <f aca="false">IF($J180="","",N($J180)*N(発注計算!$H176))</f>
        <v/>
      </c>
      <c r="L180" s="72"/>
      <c r="M180" s="72"/>
      <c r="N180" s="72"/>
      <c r="O180" s="72"/>
      <c r="P180" s="72"/>
      <c r="Q180" s="72"/>
      <c r="R180" s="72"/>
      <c r="S180" s="72"/>
      <c r="T180" s="72"/>
      <c r="U180" s="72"/>
      <c r="V180" s="72"/>
      <c r="W180" s="72"/>
      <c r="X180" s="72"/>
      <c r="Y180" s="72"/>
      <c r="Z180" s="31" t="n">
        <f aca="false">IF(OR(N($J180)&lt;=0,AND(③発注書!$C$5&lt;&gt;"すべて",発注計算!$F176&lt;&gt;③発注書!$C$5)),N(Z179),N(Z179)+1)</f>
        <v>7</v>
      </c>
    </row>
    <row r="181" customFormat="false" ht="16.5" hidden="false" customHeight="true" outlineLevel="0" collapsed="false">
      <c r="B181" s="66" t="n">
        <v>172</v>
      </c>
      <c r="C181" s="66" t="str">
        <f aca="false">IF(発注計算!$C177="","",発注計算!$D177)</f>
        <v/>
      </c>
      <c r="D181" s="66" t="str">
        <f aca="false">IF(発注計算!$C177="","",発注計算!$E177)</f>
        <v/>
      </c>
      <c r="E181" s="67" t="str">
        <f aca="false">IF(発注計算!$C177="","",発注計算!$T177)</f>
        <v/>
      </c>
      <c r="F181" s="67" t="str">
        <f aca="false">IF(ISNUMBER($E181),$E181-N(発注計算!$I177),"")</f>
        <v/>
      </c>
      <c r="G181" s="68" t="str">
        <f aca="false">IF(発注計算!$C177="","",IF(NOT(ISNUMBER($F181)),"データなし",IF($F181&lt;=0,"今日が期限",IF($F181&lt;=N(発注計算!$AG177),"要発注","余裕"))))</f>
        <v/>
      </c>
      <c r="H181" s="67" t="str">
        <f aca="false">IF(OR(発注計算!$C177="",NOT(ISNUMBER(発注計算!$S177)),発注計算!$S177&lt;=0),"",(発注計算!$K177+N($J181)*N(発注計算!$G177))/発注計算!$S177)</f>
        <v/>
      </c>
      <c r="I181" s="69" t="str">
        <f aca="false">IF(発注計算!$C177="","",発注計算!$Y177)</f>
        <v/>
      </c>
      <c r="J181" s="70"/>
      <c r="K181" s="71" t="str">
        <f aca="false">IF($J181="","",N($J181)*N(発注計算!$H177))</f>
        <v/>
      </c>
      <c r="L181" s="72"/>
      <c r="M181" s="72"/>
      <c r="N181" s="72"/>
      <c r="O181" s="72"/>
      <c r="P181" s="72"/>
      <c r="Q181" s="72"/>
      <c r="R181" s="72"/>
      <c r="S181" s="72"/>
      <c r="T181" s="72"/>
      <c r="U181" s="72"/>
      <c r="V181" s="72"/>
      <c r="W181" s="72"/>
      <c r="X181" s="72"/>
      <c r="Y181" s="72"/>
      <c r="Z181" s="31" t="n">
        <f aca="false">IF(OR(N($J181)&lt;=0,AND(③発注書!$C$5&lt;&gt;"すべて",発注計算!$F177&lt;&gt;③発注書!$C$5)),N(Z180),N(Z180)+1)</f>
        <v>7</v>
      </c>
    </row>
    <row r="182" customFormat="false" ht="16.5" hidden="false" customHeight="true" outlineLevel="0" collapsed="false">
      <c r="B182" s="66" t="n">
        <v>173</v>
      </c>
      <c r="C182" s="66" t="str">
        <f aca="false">IF(発注計算!$C178="","",発注計算!$D178)</f>
        <v/>
      </c>
      <c r="D182" s="66" t="str">
        <f aca="false">IF(発注計算!$C178="","",発注計算!$E178)</f>
        <v/>
      </c>
      <c r="E182" s="67" t="str">
        <f aca="false">IF(発注計算!$C178="","",発注計算!$T178)</f>
        <v/>
      </c>
      <c r="F182" s="67" t="str">
        <f aca="false">IF(ISNUMBER($E182),$E182-N(発注計算!$I178),"")</f>
        <v/>
      </c>
      <c r="G182" s="68" t="str">
        <f aca="false">IF(発注計算!$C178="","",IF(NOT(ISNUMBER($F182)),"データなし",IF($F182&lt;=0,"今日が期限",IF($F182&lt;=N(発注計算!$AG178),"要発注","余裕"))))</f>
        <v/>
      </c>
      <c r="H182" s="67" t="str">
        <f aca="false">IF(OR(発注計算!$C178="",NOT(ISNUMBER(発注計算!$S178)),発注計算!$S178&lt;=0),"",(発注計算!$K178+N($J182)*N(発注計算!$G178))/発注計算!$S178)</f>
        <v/>
      </c>
      <c r="I182" s="69" t="str">
        <f aca="false">IF(発注計算!$C178="","",発注計算!$Y178)</f>
        <v/>
      </c>
      <c r="J182" s="70"/>
      <c r="K182" s="71" t="str">
        <f aca="false">IF($J182="","",N($J182)*N(発注計算!$H178))</f>
        <v/>
      </c>
      <c r="L182" s="72"/>
      <c r="M182" s="72"/>
      <c r="N182" s="72"/>
      <c r="O182" s="72"/>
      <c r="P182" s="72"/>
      <c r="Q182" s="72"/>
      <c r="R182" s="72"/>
      <c r="S182" s="72"/>
      <c r="T182" s="72"/>
      <c r="U182" s="72"/>
      <c r="V182" s="72"/>
      <c r="W182" s="72"/>
      <c r="X182" s="72"/>
      <c r="Y182" s="72"/>
      <c r="Z182" s="31" t="n">
        <f aca="false">IF(OR(N($J182)&lt;=0,AND(③発注書!$C$5&lt;&gt;"すべて",発注計算!$F178&lt;&gt;③発注書!$C$5)),N(Z181),N(Z181)+1)</f>
        <v>7</v>
      </c>
    </row>
    <row r="183" customFormat="false" ht="16.5" hidden="false" customHeight="true" outlineLevel="0" collapsed="false">
      <c r="B183" s="66" t="n">
        <v>174</v>
      </c>
      <c r="C183" s="66" t="str">
        <f aca="false">IF(発注計算!$C179="","",発注計算!$D179)</f>
        <v/>
      </c>
      <c r="D183" s="66" t="str">
        <f aca="false">IF(発注計算!$C179="","",発注計算!$E179)</f>
        <v/>
      </c>
      <c r="E183" s="67" t="str">
        <f aca="false">IF(発注計算!$C179="","",発注計算!$T179)</f>
        <v/>
      </c>
      <c r="F183" s="67" t="str">
        <f aca="false">IF(ISNUMBER($E183),$E183-N(発注計算!$I179),"")</f>
        <v/>
      </c>
      <c r="G183" s="68" t="str">
        <f aca="false">IF(発注計算!$C179="","",IF(NOT(ISNUMBER($F183)),"データなし",IF($F183&lt;=0,"今日が期限",IF($F183&lt;=N(発注計算!$AG179),"要発注","余裕"))))</f>
        <v/>
      </c>
      <c r="H183" s="67" t="str">
        <f aca="false">IF(OR(発注計算!$C179="",NOT(ISNUMBER(発注計算!$S179)),発注計算!$S179&lt;=0),"",(発注計算!$K179+N($J183)*N(発注計算!$G179))/発注計算!$S179)</f>
        <v/>
      </c>
      <c r="I183" s="69" t="str">
        <f aca="false">IF(発注計算!$C179="","",発注計算!$Y179)</f>
        <v/>
      </c>
      <c r="J183" s="70"/>
      <c r="K183" s="71" t="str">
        <f aca="false">IF($J183="","",N($J183)*N(発注計算!$H179))</f>
        <v/>
      </c>
      <c r="L183" s="72"/>
      <c r="M183" s="72"/>
      <c r="N183" s="72"/>
      <c r="O183" s="72"/>
      <c r="P183" s="72"/>
      <c r="Q183" s="72"/>
      <c r="R183" s="72"/>
      <c r="S183" s="72"/>
      <c r="T183" s="72"/>
      <c r="U183" s="72"/>
      <c r="V183" s="72"/>
      <c r="W183" s="72"/>
      <c r="X183" s="72"/>
      <c r="Y183" s="72"/>
      <c r="Z183" s="31" t="n">
        <f aca="false">IF(OR(N($J183)&lt;=0,AND(③発注書!$C$5&lt;&gt;"すべて",発注計算!$F179&lt;&gt;③発注書!$C$5)),N(Z182),N(Z182)+1)</f>
        <v>7</v>
      </c>
    </row>
    <row r="184" customFormat="false" ht="16.5" hidden="false" customHeight="true" outlineLevel="0" collapsed="false">
      <c r="B184" s="66" t="n">
        <v>175</v>
      </c>
      <c r="C184" s="66" t="str">
        <f aca="false">IF(発注計算!$C180="","",発注計算!$D180)</f>
        <v/>
      </c>
      <c r="D184" s="66" t="str">
        <f aca="false">IF(発注計算!$C180="","",発注計算!$E180)</f>
        <v/>
      </c>
      <c r="E184" s="67" t="str">
        <f aca="false">IF(発注計算!$C180="","",発注計算!$T180)</f>
        <v/>
      </c>
      <c r="F184" s="67" t="str">
        <f aca="false">IF(ISNUMBER($E184),$E184-N(発注計算!$I180),"")</f>
        <v/>
      </c>
      <c r="G184" s="68" t="str">
        <f aca="false">IF(発注計算!$C180="","",IF(NOT(ISNUMBER($F184)),"データなし",IF($F184&lt;=0,"今日が期限",IF($F184&lt;=N(発注計算!$AG180),"要発注","余裕"))))</f>
        <v/>
      </c>
      <c r="H184" s="67" t="str">
        <f aca="false">IF(OR(発注計算!$C180="",NOT(ISNUMBER(発注計算!$S180)),発注計算!$S180&lt;=0),"",(発注計算!$K180+N($J184)*N(発注計算!$G180))/発注計算!$S180)</f>
        <v/>
      </c>
      <c r="I184" s="69" t="str">
        <f aca="false">IF(発注計算!$C180="","",発注計算!$Y180)</f>
        <v/>
      </c>
      <c r="J184" s="70"/>
      <c r="K184" s="71" t="str">
        <f aca="false">IF($J184="","",N($J184)*N(発注計算!$H180))</f>
        <v/>
      </c>
      <c r="L184" s="72"/>
      <c r="M184" s="72"/>
      <c r="N184" s="72"/>
      <c r="O184" s="72"/>
      <c r="P184" s="72"/>
      <c r="Q184" s="72"/>
      <c r="R184" s="72"/>
      <c r="S184" s="72"/>
      <c r="T184" s="72"/>
      <c r="U184" s="72"/>
      <c r="V184" s="72"/>
      <c r="W184" s="72"/>
      <c r="X184" s="72"/>
      <c r="Y184" s="72"/>
      <c r="Z184" s="31" t="n">
        <f aca="false">IF(OR(N($J184)&lt;=0,AND(③発注書!$C$5&lt;&gt;"すべて",発注計算!$F180&lt;&gt;③発注書!$C$5)),N(Z183),N(Z183)+1)</f>
        <v>7</v>
      </c>
    </row>
    <row r="185" customFormat="false" ht="16.5" hidden="false" customHeight="true" outlineLevel="0" collapsed="false">
      <c r="B185" s="66" t="n">
        <v>176</v>
      </c>
      <c r="C185" s="66" t="str">
        <f aca="false">IF(発注計算!$C181="","",発注計算!$D181)</f>
        <v/>
      </c>
      <c r="D185" s="66" t="str">
        <f aca="false">IF(発注計算!$C181="","",発注計算!$E181)</f>
        <v/>
      </c>
      <c r="E185" s="67" t="str">
        <f aca="false">IF(発注計算!$C181="","",発注計算!$T181)</f>
        <v/>
      </c>
      <c r="F185" s="67" t="str">
        <f aca="false">IF(ISNUMBER($E185),$E185-N(発注計算!$I181),"")</f>
        <v/>
      </c>
      <c r="G185" s="68" t="str">
        <f aca="false">IF(発注計算!$C181="","",IF(NOT(ISNUMBER($F185)),"データなし",IF($F185&lt;=0,"今日が期限",IF($F185&lt;=N(発注計算!$AG181),"要発注","余裕"))))</f>
        <v/>
      </c>
      <c r="H185" s="67" t="str">
        <f aca="false">IF(OR(発注計算!$C181="",NOT(ISNUMBER(発注計算!$S181)),発注計算!$S181&lt;=0),"",(発注計算!$K181+N($J185)*N(発注計算!$G181))/発注計算!$S181)</f>
        <v/>
      </c>
      <c r="I185" s="69" t="str">
        <f aca="false">IF(発注計算!$C181="","",発注計算!$Y181)</f>
        <v/>
      </c>
      <c r="J185" s="70"/>
      <c r="K185" s="71" t="str">
        <f aca="false">IF($J185="","",N($J185)*N(発注計算!$H181))</f>
        <v/>
      </c>
      <c r="L185" s="72"/>
      <c r="M185" s="72"/>
      <c r="N185" s="72"/>
      <c r="O185" s="72"/>
      <c r="P185" s="72"/>
      <c r="Q185" s="72"/>
      <c r="R185" s="72"/>
      <c r="S185" s="72"/>
      <c r="T185" s="72"/>
      <c r="U185" s="72"/>
      <c r="V185" s="72"/>
      <c r="W185" s="72"/>
      <c r="X185" s="72"/>
      <c r="Y185" s="72"/>
      <c r="Z185" s="31" t="n">
        <f aca="false">IF(OR(N($J185)&lt;=0,AND(③発注書!$C$5&lt;&gt;"すべて",発注計算!$F181&lt;&gt;③発注書!$C$5)),N(Z184),N(Z184)+1)</f>
        <v>7</v>
      </c>
    </row>
    <row r="186" customFormat="false" ht="16.5" hidden="false" customHeight="true" outlineLevel="0" collapsed="false">
      <c r="B186" s="66" t="n">
        <v>177</v>
      </c>
      <c r="C186" s="66" t="str">
        <f aca="false">IF(発注計算!$C182="","",発注計算!$D182)</f>
        <v/>
      </c>
      <c r="D186" s="66" t="str">
        <f aca="false">IF(発注計算!$C182="","",発注計算!$E182)</f>
        <v/>
      </c>
      <c r="E186" s="67" t="str">
        <f aca="false">IF(発注計算!$C182="","",発注計算!$T182)</f>
        <v/>
      </c>
      <c r="F186" s="67" t="str">
        <f aca="false">IF(ISNUMBER($E186),$E186-N(発注計算!$I182),"")</f>
        <v/>
      </c>
      <c r="G186" s="68" t="str">
        <f aca="false">IF(発注計算!$C182="","",IF(NOT(ISNUMBER($F186)),"データなし",IF($F186&lt;=0,"今日が期限",IF($F186&lt;=N(発注計算!$AG182),"要発注","余裕"))))</f>
        <v/>
      </c>
      <c r="H186" s="67" t="str">
        <f aca="false">IF(OR(発注計算!$C182="",NOT(ISNUMBER(発注計算!$S182)),発注計算!$S182&lt;=0),"",(発注計算!$K182+N($J186)*N(発注計算!$G182))/発注計算!$S182)</f>
        <v/>
      </c>
      <c r="I186" s="69" t="str">
        <f aca="false">IF(発注計算!$C182="","",発注計算!$Y182)</f>
        <v/>
      </c>
      <c r="J186" s="70"/>
      <c r="K186" s="71" t="str">
        <f aca="false">IF($J186="","",N($J186)*N(発注計算!$H182))</f>
        <v/>
      </c>
      <c r="L186" s="72"/>
      <c r="M186" s="72"/>
      <c r="N186" s="72"/>
      <c r="O186" s="72"/>
      <c r="P186" s="72"/>
      <c r="Q186" s="72"/>
      <c r="R186" s="72"/>
      <c r="S186" s="72"/>
      <c r="T186" s="72"/>
      <c r="U186" s="72"/>
      <c r="V186" s="72"/>
      <c r="W186" s="72"/>
      <c r="X186" s="72"/>
      <c r="Y186" s="72"/>
      <c r="Z186" s="31" t="n">
        <f aca="false">IF(OR(N($J186)&lt;=0,AND(③発注書!$C$5&lt;&gt;"すべて",発注計算!$F182&lt;&gt;③発注書!$C$5)),N(Z185),N(Z185)+1)</f>
        <v>7</v>
      </c>
    </row>
    <row r="187" customFormat="false" ht="16.5" hidden="false" customHeight="true" outlineLevel="0" collapsed="false">
      <c r="B187" s="66" t="n">
        <v>178</v>
      </c>
      <c r="C187" s="66" t="str">
        <f aca="false">IF(発注計算!$C183="","",発注計算!$D183)</f>
        <v/>
      </c>
      <c r="D187" s="66" t="str">
        <f aca="false">IF(発注計算!$C183="","",発注計算!$E183)</f>
        <v/>
      </c>
      <c r="E187" s="67" t="str">
        <f aca="false">IF(発注計算!$C183="","",発注計算!$T183)</f>
        <v/>
      </c>
      <c r="F187" s="67" t="str">
        <f aca="false">IF(ISNUMBER($E187),$E187-N(発注計算!$I183),"")</f>
        <v/>
      </c>
      <c r="G187" s="68" t="str">
        <f aca="false">IF(発注計算!$C183="","",IF(NOT(ISNUMBER($F187)),"データなし",IF($F187&lt;=0,"今日が期限",IF($F187&lt;=N(発注計算!$AG183),"要発注","余裕"))))</f>
        <v/>
      </c>
      <c r="H187" s="67" t="str">
        <f aca="false">IF(OR(発注計算!$C183="",NOT(ISNUMBER(発注計算!$S183)),発注計算!$S183&lt;=0),"",(発注計算!$K183+N($J187)*N(発注計算!$G183))/発注計算!$S183)</f>
        <v/>
      </c>
      <c r="I187" s="69" t="str">
        <f aca="false">IF(発注計算!$C183="","",発注計算!$Y183)</f>
        <v/>
      </c>
      <c r="J187" s="70"/>
      <c r="K187" s="71" t="str">
        <f aca="false">IF($J187="","",N($J187)*N(発注計算!$H183))</f>
        <v/>
      </c>
      <c r="L187" s="72"/>
      <c r="M187" s="72"/>
      <c r="N187" s="72"/>
      <c r="O187" s="72"/>
      <c r="P187" s="72"/>
      <c r="Q187" s="72"/>
      <c r="R187" s="72"/>
      <c r="S187" s="72"/>
      <c r="T187" s="72"/>
      <c r="U187" s="72"/>
      <c r="V187" s="72"/>
      <c r="W187" s="72"/>
      <c r="X187" s="72"/>
      <c r="Y187" s="72"/>
      <c r="Z187" s="31" t="n">
        <f aca="false">IF(OR(N($J187)&lt;=0,AND(③発注書!$C$5&lt;&gt;"すべて",発注計算!$F183&lt;&gt;③発注書!$C$5)),N(Z186),N(Z186)+1)</f>
        <v>7</v>
      </c>
    </row>
    <row r="188" customFormat="false" ht="16.5" hidden="false" customHeight="true" outlineLevel="0" collapsed="false">
      <c r="B188" s="66" t="n">
        <v>179</v>
      </c>
      <c r="C188" s="66" t="str">
        <f aca="false">IF(発注計算!$C184="","",発注計算!$D184)</f>
        <v/>
      </c>
      <c r="D188" s="66" t="str">
        <f aca="false">IF(発注計算!$C184="","",発注計算!$E184)</f>
        <v/>
      </c>
      <c r="E188" s="67" t="str">
        <f aca="false">IF(発注計算!$C184="","",発注計算!$T184)</f>
        <v/>
      </c>
      <c r="F188" s="67" t="str">
        <f aca="false">IF(ISNUMBER($E188),$E188-N(発注計算!$I184),"")</f>
        <v/>
      </c>
      <c r="G188" s="68" t="str">
        <f aca="false">IF(発注計算!$C184="","",IF(NOT(ISNUMBER($F188)),"データなし",IF($F188&lt;=0,"今日が期限",IF($F188&lt;=N(発注計算!$AG184),"要発注","余裕"))))</f>
        <v/>
      </c>
      <c r="H188" s="67" t="str">
        <f aca="false">IF(OR(発注計算!$C184="",NOT(ISNUMBER(発注計算!$S184)),発注計算!$S184&lt;=0),"",(発注計算!$K184+N($J188)*N(発注計算!$G184))/発注計算!$S184)</f>
        <v/>
      </c>
      <c r="I188" s="69" t="str">
        <f aca="false">IF(発注計算!$C184="","",発注計算!$Y184)</f>
        <v/>
      </c>
      <c r="J188" s="70"/>
      <c r="K188" s="71" t="str">
        <f aca="false">IF($J188="","",N($J188)*N(発注計算!$H184))</f>
        <v/>
      </c>
      <c r="L188" s="72"/>
      <c r="M188" s="72"/>
      <c r="N188" s="72"/>
      <c r="O188" s="72"/>
      <c r="P188" s="72"/>
      <c r="Q188" s="72"/>
      <c r="R188" s="72"/>
      <c r="S188" s="72"/>
      <c r="T188" s="72"/>
      <c r="U188" s="72"/>
      <c r="V188" s="72"/>
      <c r="W188" s="72"/>
      <c r="X188" s="72"/>
      <c r="Y188" s="72"/>
      <c r="Z188" s="31" t="n">
        <f aca="false">IF(OR(N($J188)&lt;=0,AND(③発注書!$C$5&lt;&gt;"すべて",発注計算!$F184&lt;&gt;③発注書!$C$5)),N(Z187),N(Z187)+1)</f>
        <v>7</v>
      </c>
    </row>
    <row r="189" customFormat="false" ht="16.5" hidden="false" customHeight="true" outlineLevel="0" collapsed="false">
      <c r="B189" s="66" t="n">
        <v>180</v>
      </c>
      <c r="C189" s="66" t="str">
        <f aca="false">IF(発注計算!$C185="","",発注計算!$D185)</f>
        <v/>
      </c>
      <c r="D189" s="66" t="str">
        <f aca="false">IF(発注計算!$C185="","",発注計算!$E185)</f>
        <v/>
      </c>
      <c r="E189" s="67" t="str">
        <f aca="false">IF(発注計算!$C185="","",発注計算!$T185)</f>
        <v/>
      </c>
      <c r="F189" s="67" t="str">
        <f aca="false">IF(ISNUMBER($E189),$E189-N(発注計算!$I185),"")</f>
        <v/>
      </c>
      <c r="G189" s="68" t="str">
        <f aca="false">IF(発注計算!$C185="","",IF(NOT(ISNUMBER($F189)),"データなし",IF($F189&lt;=0,"今日が期限",IF($F189&lt;=N(発注計算!$AG185),"要発注","余裕"))))</f>
        <v/>
      </c>
      <c r="H189" s="67" t="str">
        <f aca="false">IF(OR(発注計算!$C185="",NOT(ISNUMBER(発注計算!$S185)),発注計算!$S185&lt;=0),"",(発注計算!$K185+N($J189)*N(発注計算!$G185))/発注計算!$S185)</f>
        <v/>
      </c>
      <c r="I189" s="69" t="str">
        <f aca="false">IF(発注計算!$C185="","",発注計算!$Y185)</f>
        <v/>
      </c>
      <c r="J189" s="70"/>
      <c r="K189" s="71" t="str">
        <f aca="false">IF($J189="","",N($J189)*N(発注計算!$H185))</f>
        <v/>
      </c>
      <c r="L189" s="72"/>
      <c r="M189" s="72"/>
      <c r="N189" s="72"/>
      <c r="O189" s="72"/>
      <c r="P189" s="72"/>
      <c r="Q189" s="72"/>
      <c r="R189" s="72"/>
      <c r="S189" s="72"/>
      <c r="T189" s="72"/>
      <c r="U189" s="72"/>
      <c r="V189" s="72"/>
      <c r="W189" s="72"/>
      <c r="X189" s="72"/>
      <c r="Y189" s="72"/>
      <c r="Z189" s="31" t="n">
        <f aca="false">IF(OR(N($J189)&lt;=0,AND(③発注書!$C$5&lt;&gt;"すべて",発注計算!$F185&lt;&gt;③発注書!$C$5)),N(Z188),N(Z188)+1)</f>
        <v>7</v>
      </c>
    </row>
    <row r="190" customFormat="false" ht="16.5" hidden="false" customHeight="true" outlineLevel="0" collapsed="false">
      <c r="B190" s="66" t="n">
        <v>181</v>
      </c>
      <c r="C190" s="66" t="str">
        <f aca="false">IF(発注計算!$C186="","",発注計算!$D186)</f>
        <v/>
      </c>
      <c r="D190" s="66" t="str">
        <f aca="false">IF(発注計算!$C186="","",発注計算!$E186)</f>
        <v/>
      </c>
      <c r="E190" s="67" t="str">
        <f aca="false">IF(発注計算!$C186="","",発注計算!$T186)</f>
        <v/>
      </c>
      <c r="F190" s="67" t="str">
        <f aca="false">IF(ISNUMBER($E190),$E190-N(発注計算!$I186),"")</f>
        <v/>
      </c>
      <c r="G190" s="68" t="str">
        <f aca="false">IF(発注計算!$C186="","",IF(NOT(ISNUMBER($F190)),"データなし",IF($F190&lt;=0,"今日が期限",IF($F190&lt;=N(発注計算!$AG186),"要発注","余裕"))))</f>
        <v/>
      </c>
      <c r="H190" s="67" t="str">
        <f aca="false">IF(OR(発注計算!$C186="",NOT(ISNUMBER(発注計算!$S186)),発注計算!$S186&lt;=0),"",(発注計算!$K186+N($J190)*N(発注計算!$G186))/発注計算!$S186)</f>
        <v/>
      </c>
      <c r="I190" s="69" t="str">
        <f aca="false">IF(発注計算!$C186="","",発注計算!$Y186)</f>
        <v/>
      </c>
      <c r="J190" s="70"/>
      <c r="K190" s="71" t="str">
        <f aca="false">IF($J190="","",N($J190)*N(発注計算!$H186))</f>
        <v/>
      </c>
      <c r="L190" s="72"/>
      <c r="M190" s="72"/>
      <c r="N190" s="72"/>
      <c r="O190" s="72"/>
      <c r="P190" s="72"/>
      <c r="Q190" s="72"/>
      <c r="R190" s="72"/>
      <c r="S190" s="72"/>
      <c r="T190" s="72"/>
      <c r="U190" s="72"/>
      <c r="V190" s="72"/>
      <c r="W190" s="72"/>
      <c r="X190" s="72"/>
      <c r="Y190" s="72"/>
      <c r="Z190" s="31" t="n">
        <f aca="false">IF(OR(N($J190)&lt;=0,AND(③発注書!$C$5&lt;&gt;"すべて",発注計算!$F186&lt;&gt;③発注書!$C$5)),N(Z189),N(Z189)+1)</f>
        <v>7</v>
      </c>
    </row>
    <row r="191" customFormat="false" ht="16.5" hidden="false" customHeight="true" outlineLevel="0" collapsed="false">
      <c r="B191" s="66" t="n">
        <v>182</v>
      </c>
      <c r="C191" s="66" t="str">
        <f aca="false">IF(発注計算!$C187="","",発注計算!$D187)</f>
        <v/>
      </c>
      <c r="D191" s="66" t="str">
        <f aca="false">IF(発注計算!$C187="","",発注計算!$E187)</f>
        <v/>
      </c>
      <c r="E191" s="67" t="str">
        <f aca="false">IF(発注計算!$C187="","",発注計算!$T187)</f>
        <v/>
      </c>
      <c r="F191" s="67" t="str">
        <f aca="false">IF(ISNUMBER($E191),$E191-N(発注計算!$I187),"")</f>
        <v/>
      </c>
      <c r="G191" s="68" t="str">
        <f aca="false">IF(発注計算!$C187="","",IF(NOT(ISNUMBER($F191)),"データなし",IF($F191&lt;=0,"今日が期限",IF($F191&lt;=N(発注計算!$AG187),"要発注","余裕"))))</f>
        <v/>
      </c>
      <c r="H191" s="67" t="str">
        <f aca="false">IF(OR(発注計算!$C187="",NOT(ISNUMBER(発注計算!$S187)),発注計算!$S187&lt;=0),"",(発注計算!$K187+N($J191)*N(発注計算!$G187))/発注計算!$S187)</f>
        <v/>
      </c>
      <c r="I191" s="69" t="str">
        <f aca="false">IF(発注計算!$C187="","",発注計算!$Y187)</f>
        <v/>
      </c>
      <c r="J191" s="70"/>
      <c r="K191" s="71" t="str">
        <f aca="false">IF($J191="","",N($J191)*N(発注計算!$H187))</f>
        <v/>
      </c>
      <c r="L191" s="72"/>
      <c r="M191" s="72"/>
      <c r="N191" s="72"/>
      <c r="O191" s="72"/>
      <c r="P191" s="72"/>
      <c r="Q191" s="72"/>
      <c r="R191" s="72"/>
      <c r="S191" s="72"/>
      <c r="T191" s="72"/>
      <c r="U191" s="72"/>
      <c r="V191" s="72"/>
      <c r="W191" s="72"/>
      <c r="X191" s="72"/>
      <c r="Y191" s="72"/>
      <c r="Z191" s="31" t="n">
        <f aca="false">IF(OR(N($J191)&lt;=0,AND(③発注書!$C$5&lt;&gt;"すべて",発注計算!$F187&lt;&gt;③発注書!$C$5)),N(Z190),N(Z190)+1)</f>
        <v>7</v>
      </c>
    </row>
    <row r="192" customFormat="false" ht="16.5" hidden="false" customHeight="true" outlineLevel="0" collapsed="false">
      <c r="B192" s="66" t="n">
        <v>183</v>
      </c>
      <c r="C192" s="66" t="str">
        <f aca="false">IF(発注計算!$C188="","",発注計算!$D188)</f>
        <v/>
      </c>
      <c r="D192" s="66" t="str">
        <f aca="false">IF(発注計算!$C188="","",発注計算!$E188)</f>
        <v/>
      </c>
      <c r="E192" s="67" t="str">
        <f aca="false">IF(発注計算!$C188="","",発注計算!$T188)</f>
        <v/>
      </c>
      <c r="F192" s="67" t="str">
        <f aca="false">IF(ISNUMBER($E192),$E192-N(発注計算!$I188),"")</f>
        <v/>
      </c>
      <c r="G192" s="68" t="str">
        <f aca="false">IF(発注計算!$C188="","",IF(NOT(ISNUMBER($F192)),"データなし",IF($F192&lt;=0,"今日が期限",IF($F192&lt;=N(発注計算!$AG188),"要発注","余裕"))))</f>
        <v/>
      </c>
      <c r="H192" s="67" t="str">
        <f aca="false">IF(OR(発注計算!$C188="",NOT(ISNUMBER(発注計算!$S188)),発注計算!$S188&lt;=0),"",(発注計算!$K188+N($J192)*N(発注計算!$G188))/発注計算!$S188)</f>
        <v/>
      </c>
      <c r="I192" s="69" t="str">
        <f aca="false">IF(発注計算!$C188="","",発注計算!$Y188)</f>
        <v/>
      </c>
      <c r="J192" s="70"/>
      <c r="K192" s="71" t="str">
        <f aca="false">IF($J192="","",N($J192)*N(発注計算!$H188))</f>
        <v/>
      </c>
      <c r="L192" s="72"/>
      <c r="M192" s="72"/>
      <c r="N192" s="72"/>
      <c r="O192" s="72"/>
      <c r="P192" s="72"/>
      <c r="Q192" s="72"/>
      <c r="R192" s="72"/>
      <c r="S192" s="72"/>
      <c r="T192" s="72"/>
      <c r="U192" s="72"/>
      <c r="V192" s="72"/>
      <c r="W192" s="72"/>
      <c r="X192" s="72"/>
      <c r="Y192" s="72"/>
      <c r="Z192" s="31" t="n">
        <f aca="false">IF(OR(N($J192)&lt;=0,AND(③発注書!$C$5&lt;&gt;"すべて",発注計算!$F188&lt;&gt;③発注書!$C$5)),N(Z191),N(Z191)+1)</f>
        <v>7</v>
      </c>
    </row>
    <row r="193" customFormat="false" ht="16.5" hidden="false" customHeight="true" outlineLevel="0" collapsed="false">
      <c r="B193" s="66" t="n">
        <v>184</v>
      </c>
      <c r="C193" s="66" t="str">
        <f aca="false">IF(発注計算!$C189="","",発注計算!$D189)</f>
        <v/>
      </c>
      <c r="D193" s="66" t="str">
        <f aca="false">IF(発注計算!$C189="","",発注計算!$E189)</f>
        <v/>
      </c>
      <c r="E193" s="67" t="str">
        <f aca="false">IF(発注計算!$C189="","",発注計算!$T189)</f>
        <v/>
      </c>
      <c r="F193" s="67" t="str">
        <f aca="false">IF(ISNUMBER($E193),$E193-N(発注計算!$I189),"")</f>
        <v/>
      </c>
      <c r="G193" s="68" t="str">
        <f aca="false">IF(発注計算!$C189="","",IF(NOT(ISNUMBER($F193)),"データなし",IF($F193&lt;=0,"今日が期限",IF($F193&lt;=N(発注計算!$AG189),"要発注","余裕"))))</f>
        <v/>
      </c>
      <c r="H193" s="67" t="str">
        <f aca="false">IF(OR(発注計算!$C189="",NOT(ISNUMBER(発注計算!$S189)),発注計算!$S189&lt;=0),"",(発注計算!$K189+N($J193)*N(発注計算!$G189))/発注計算!$S189)</f>
        <v/>
      </c>
      <c r="I193" s="69" t="str">
        <f aca="false">IF(発注計算!$C189="","",発注計算!$Y189)</f>
        <v/>
      </c>
      <c r="J193" s="70"/>
      <c r="K193" s="71" t="str">
        <f aca="false">IF($J193="","",N($J193)*N(発注計算!$H189))</f>
        <v/>
      </c>
      <c r="L193" s="72"/>
      <c r="M193" s="72"/>
      <c r="N193" s="72"/>
      <c r="O193" s="72"/>
      <c r="P193" s="72"/>
      <c r="Q193" s="72"/>
      <c r="R193" s="72"/>
      <c r="S193" s="72"/>
      <c r="T193" s="72"/>
      <c r="U193" s="72"/>
      <c r="V193" s="72"/>
      <c r="W193" s="72"/>
      <c r="X193" s="72"/>
      <c r="Y193" s="72"/>
      <c r="Z193" s="31" t="n">
        <f aca="false">IF(OR(N($J193)&lt;=0,AND(③発注書!$C$5&lt;&gt;"すべて",発注計算!$F189&lt;&gt;③発注書!$C$5)),N(Z192),N(Z192)+1)</f>
        <v>7</v>
      </c>
    </row>
    <row r="194" customFormat="false" ht="16.5" hidden="false" customHeight="true" outlineLevel="0" collapsed="false">
      <c r="B194" s="66" t="n">
        <v>185</v>
      </c>
      <c r="C194" s="66" t="str">
        <f aca="false">IF(発注計算!$C190="","",発注計算!$D190)</f>
        <v/>
      </c>
      <c r="D194" s="66" t="str">
        <f aca="false">IF(発注計算!$C190="","",発注計算!$E190)</f>
        <v/>
      </c>
      <c r="E194" s="67" t="str">
        <f aca="false">IF(発注計算!$C190="","",発注計算!$T190)</f>
        <v/>
      </c>
      <c r="F194" s="67" t="str">
        <f aca="false">IF(ISNUMBER($E194),$E194-N(発注計算!$I190),"")</f>
        <v/>
      </c>
      <c r="G194" s="68" t="str">
        <f aca="false">IF(発注計算!$C190="","",IF(NOT(ISNUMBER($F194)),"データなし",IF($F194&lt;=0,"今日が期限",IF($F194&lt;=N(発注計算!$AG190),"要発注","余裕"))))</f>
        <v/>
      </c>
      <c r="H194" s="67" t="str">
        <f aca="false">IF(OR(発注計算!$C190="",NOT(ISNUMBER(発注計算!$S190)),発注計算!$S190&lt;=0),"",(発注計算!$K190+N($J194)*N(発注計算!$G190))/発注計算!$S190)</f>
        <v/>
      </c>
      <c r="I194" s="69" t="str">
        <f aca="false">IF(発注計算!$C190="","",発注計算!$Y190)</f>
        <v/>
      </c>
      <c r="J194" s="70"/>
      <c r="K194" s="71" t="str">
        <f aca="false">IF($J194="","",N($J194)*N(発注計算!$H190))</f>
        <v/>
      </c>
      <c r="L194" s="72"/>
      <c r="M194" s="72"/>
      <c r="N194" s="72"/>
      <c r="O194" s="72"/>
      <c r="P194" s="72"/>
      <c r="Q194" s="72"/>
      <c r="R194" s="72"/>
      <c r="S194" s="72"/>
      <c r="T194" s="72"/>
      <c r="U194" s="72"/>
      <c r="V194" s="72"/>
      <c r="W194" s="72"/>
      <c r="X194" s="72"/>
      <c r="Y194" s="72"/>
      <c r="Z194" s="31" t="n">
        <f aca="false">IF(OR(N($J194)&lt;=0,AND(③発注書!$C$5&lt;&gt;"すべて",発注計算!$F190&lt;&gt;③発注書!$C$5)),N(Z193),N(Z193)+1)</f>
        <v>7</v>
      </c>
    </row>
    <row r="195" customFormat="false" ht="16.5" hidden="false" customHeight="true" outlineLevel="0" collapsed="false">
      <c r="B195" s="66" t="n">
        <v>186</v>
      </c>
      <c r="C195" s="66" t="str">
        <f aca="false">IF(発注計算!$C191="","",発注計算!$D191)</f>
        <v/>
      </c>
      <c r="D195" s="66" t="str">
        <f aca="false">IF(発注計算!$C191="","",発注計算!$E191)</f>
        <v/>
      </c>
      <c r="E195" s="67" t="str">
        <f aca="false">IF(発注計算!$C191="","",発注計算!$T191)</f>
        <v/>
      </c>
      <c r="F195" s="67" t="str">
        <f aca="false">IF(ISNUMBER($E195),$E195-N(発注計算!$I191),"")</f>
        <v/>
      </c>
      <c r="G195" s="68" t="str">
        <f aca="false">IF(発注計算!$C191="","",IF(NOT(ISNUMBER($F195)),"データなし",IF($F195&lt;=0,"今日が期限",IF($F195&lt;=N(発注計算!$AG191),"要発注","余裕"))))</f>
        <v/>
      </c>
      <c r="H195" s="67" t="str">
        <f aca="false">IF(OR(発注計算!$C191="",NOT(ISNUMBER(発注計算!$S191)),発注計算!$S191&lt;=0),"",(発注計算!$K191+N($J195)*N(発注計算!$G191))/発注計算!$S191)</f>
        <v/>
      </c>
      <c r="I195" s="69" t="str">
        <f aca="false">IF(発注計算!$C191="","",発注計算!$Y191)</f>
        <v/>
      </c>
      <c r="J195" s="70"/>
      <c r="K195" s="71" t="str">
        <f aca="false">IF($J195="","",N($J195)*N(発注計算!$H191))</f>
        <v/>
      </c>
      <c r="L195" s="72"/>
      <c r="M195" s="72"/>
      <c r="N195" s="72"/>
      <c r="O195" s="72"/>
      <c r="P195" s="72"/>
      <c r="Q195" s="72"/>
      <c r="R195" s="72"/>
      <c r="S195" s="72"/>
      <c r="T195" s="72"/>
      <c r="U195" s="72"/>
      <c r="V195" s="72"/>
      <c r="W195" s="72"/>
      <c r="X195" s="72"/>
      <c r="Y195" s="72"/>
      <c r="Z195" s="31" t="n">
        <f aca="false">IF(OR(N($J195)&lt;=0,AND(③発注書!$C$5&lt;&gt;"すべて",発注計算!$F191&lt;&gt;③発注書!$C$5)),N(Z194),N(Z194)+1)</f>
        <v>7</v>
      </c>
    </row>
    <row r="196" customFormat="false" ht="16.5" hidden="false" customHeight="true" outlineLevel="0" collapsed="false">
      <c r="B196" s="66" t="n">
        <v>187</v>
      </c>
      <c r="C196" s="66" t="str">
        <f aca="false">IF(発注計算!$C192="","",発注計算!$D192)</f>
        <v/>
      </c>
      <c r="D196" s="66" t="str">
        <f aca="false">IF(発注計算!$C192="","",発注計算!$E192)</f>
        <v/>
      </c>
      <c r="E196" s="67" t="str">
        <f aca="false">IF(発注計算!$C192="","",発注計算!$T192)</f>
        <v/>
      </c>
      <c r="F196" s="67" t="str">
        <f aca="false">IF(ISNUMBER($E196),$E196-N(発注計算!$I192),"")</f>
        <v/>
      </c>
      <c r="G196" s="68" t="str">
        <f aca="false">IF(発注計算!$C192="","",IF(NOT(ISNUMBER($F196)),"データなし",IF($F196&lt;=0,"今日が期限",IF($F196&lt;=N(発注計算!$AG192),"要発注","余裕"))))</f>
        <v/>
      </c>
      <c r="H196" s="67" t="str">
        <f aca="false">IF(OR(発注計算!$C192="",NOT(ISNUMBER(発注計算!$S192)),発注計算!$S192&lt;=0),"",(発注計算!$K192+N($J196)*N(発注計算!$G192))/発注計算!$S192)</f>
        <v/>
      </c>
      <c r="I196" s="69" t="str">
        <f aca="false">IF(発注計算!$C192="","",発注計算!$Y192)</f>
        <v/>
      </c>
      <c r="J196" s="70"/>
      <c r="K196" s="71" t="str">
        <f aca="false">IF($J196="","",N($J196)*N(発注計算!$H192))</f>
        <v/>
      </c>
      <c r="L196" s="72"/>
      <c r="M196" s="72"/>
      <c r="N196" s="72"/>
      <c r="O196" s="72"/>
      <c r="P196" s="72"/>
      <c r="Q196" s="72"/>
      <c r="R196" s="72"/>
      <c r="S196" s="72"/>
      <c r="T196" s="72"/>
      <c r="U196" s="72"/>
      <c r="V196" s="72"/>
      <c r="W196" s="72"/>
      <c r="X196" s="72"/>
      <c r="Y196" s="72"/>
      <c r="Z196" s="31" t="n">
        <f aca="false">IF(OR(N($J196)&lt;=0,AND(③発注書!$C$5&lt;&gt;"すべて",発注計算!$F192&lt;&gt;③発注書!$C$5)),N(Z195),N(Z195)+1)</f>
        <v>7</v>
      </c>
    </row>
    <row r="197" customFormat="false" ht="16.5" hidden="false" customHeight="true" outlineLevel="0" collapsed="false">
      <c r="B197" s="66" t="n">
        <v>188</v>
      </c>
      <c r="C197" s="66" t="str">
        <f aca="false">IF(発注計算!$C193="","",発注計算!$D193)</f>
        <v/>
      </c>
      <c r="D197" s="66" t="str">
        <f aca="false">IF(発注計算!$C193="","",発注計算!$E193)</f>
        <v/>
      </c>
      <c r="E197" s="67" t="str">
        <f aca="false">IF(発注計算!$C193="","",発注計算!$T193)</f>
        <v/>
      </c>
      <c r="F197" s="67" t="str">
        <f aca="false">IF(ISNUMBER($E197),$E197-N(発注計算!$I193),"")</f>
        <v/>
      </c>
      <c r="G197" s="68" t="str">
        <f aca="false">IF(発注計算!$C193="","",IF(NOT(ISNUMBER($F197)),"データなし",IF($F197&lt;=0,"今日が期限",IF($F197&lt;=N(発注計算!$AG193),"要発注","余裕"))))</f>
        <v/>
      </c>
      <c r="H197" s="67" t="str">
        <f aca="false">IF(OR(発注計算!$C193="",NOT(ISNUMBER(発注計算!$S193)),発注計算!$S193&lt;=0),"",(発注計算!$K193+N($J197)*N(発注計算!$G193))/発注計算!$S193)</f>
        <v/>
      </c>
      <c r="I197" s="69" t="str">
        <f aca="false">IF(発注計算!$C193="","",発注計算!$Y193)</f>
        <v/>
      </c>
      <c r="J197" s="70"/>
      <c r="K197" s="71" t="str">
        <f aca="false">IF($J197="","",N($J197)*N(発注計算!$H193))</f>
        <v/>
      </c>
      <c r="L197" s="72"/>
      <c r="M197" s="72"/>
      <c r="N197" s="72"/>
      <c r="O197" s="72"/>
      <c r="P197" s="72"/>
      <c r="Q197" s="72"/>
      <c r="R197" s="72"/>
      <c r="S197" s="72"/>
      <c r="T197" s="72"/>
      <c r="U197" s="72"/>
      <c r="V197" s="72"/>
      <c r="W197" s="72"/>
      <c r="X197" s="72"/>
      <c r="Y197" s="72"/>
      <c r="Z197" s="31" t="n">
        <f aca="false">IF(OR(N($J197)&lt;=0,AND(③発注書!$C$5&lt;&gt;"すべて",発注計算!$F193&lt;&gt;③発注書!$C$5)),N(Z196),N(Z196)+1)</f>
        <v>7</v>
      </c>
    </row>
    <row r="198" customFormat="false" ht="16.5" hidden="false" customHeight="true" outlineLevel="0" collapsed="false">
      <c r="B198" s="66" t="n">
        <v>189</v>
      </c>
      <c r="C198" s="66" t="str">
        <f aca="false">IF(発注計算!$C194="","",発注計算!$D194)</f>
        <v/>
      </c>
      <c r="D198" s="66" t="str">
        <f aca="false">IF(発注計算!$C194="","",発注計算!$E194)</f>
        <v/>
      </c>
      <c r="E198" s="67" t="str">
        <f aca="false">IF(発注計算!$C194="","",発注計算!$T194)</f>
        <v/>
      </c>
      <c r="F198" s="67" t="str">
        <f aca="false">IF(ISNUMBER($E198),$E198-N(発注計算!$I194),"")</f>
        <v/>
      </c>
      <c r="G198" s="68" t="str">
        <f aca="false">IF(発注計算!$C194="","",IF(NOT(ISNUMBER($F198)),"データなし",IF($F198&lt;=0,"今日が期限",IF($F198&lt;=N(発注計算!$AG194),"要発注","余裕"))))</f>
        <v/>
      </c>
      <c r="H198" s="67" t="str">
        <f aca="false">IF(OR(発注計算!$C194="",NOT(ISNUMBER(発注計算!$S194)),発注計算!$S194&lt;=0),"",(発注計算!$K194+N($J198)*N(発注計算!$G194))/発注計算!$S194)</f>
        <v/>
      </c>
      <c r="I198" s="69" t="str">
        <f aca="false">IF(発注計算!$C194="","",発注計算!$Y194)</f>
        <v/>
      </c>
      <c r="J198" s="70"/>
      <c r="K198" s="71" t="str">
        <f aca="false">IF($J198="","",N($J198)*N(発注計算!$H194))</f>
        <v/>
      </c>
      <c r="L198" s="72"/>
      <c r="M198" s="72"/>
      <c r="N198" s="72"/>
      <c r="O198" s="72"/>
      <c r="P198" s="72"/>
      <c r="Q198" s="72"/>
      <c r="R198" s="72"/>
      <c r="S198" s="72"/>
      <c r="T198" s="72"/>
      <c r="U198" s="72"/>
      <c r="V198" s="72"/>
      <c r="W198" s="72"/>
      <c r="X198" s="72"/>
      <c r="Y198" s="72"/>
      <c r="Z198" s="31" t="n">
        <f aca="false">IF(OR(N($J198)&lt;=0,AND(③発注書!$C$5&lt;&gt;"すべて",発注計算!$F194&lt;&gt;③発注書!$C$5)),N(Z197),N(Z197)+1)</f>
        <v>7</v>
      </c>
    </row>
    <row r="199" customFormat="false" ht="16.5" hidden="false" customHeight="true" outlineLevel="0" collapsed="false">
      <c r="B199" s="66" t="n">
        <v>190</v>
      </c>
      <c r="C199" s="66" t="str">
        <f aca="false">IF(発注計算!$C195="","",発注計算!$D195)</f>
        <v/>
      </c>
      <c r="D199" s="66" t="str">
        <f aca="false">IF(発注計算!$C195="","",発注計算!$E195)</f>
        <v/>
      </c>
      <c r="E199" s="67" t="str">
        <f aca="false">IF(発注計算!$C195="","",発注計算!$T195)</f>
        <v/>
      </c>
      <c r="F199" s="67" t="str">
        <f aca="false">IF(ISNUMBER($E199),$E199-N(発注計算!$I195),"")</f>
        <v/>
      </c>
      <c r="G199" s="68" t="str">
        <f aca="false">IF(発注計算!$C195="","",IF(NOT(ISNUMBER($F199)),"データなし",IF($F199&lt;=0,"今日が期限",IF($F199&lt;=N(発注計算!$AG195),"要発注","余裕"))))</f>
        <v/>
      </c>
      <c r="H199" s="67" t="str">
        <f aca="false">IF(OR(発注計算!$C195="",NOT(ISNUMBER(発注計算!$S195)),発注計算!$S195&lt;=0),"",(発注計算!$K195+N($J199)*N(発注計算!$G195))/発注計算!$S195)</f>
        <v/>
      </c>
      <c r="I199" s="69" t="str">
        <f aca="false">IF(発注計算!$C195="","",発注計算!$Y195)</f>
        <v/>
      </c>
      <c r="J199" s="70"/>
      <c r="K199" s="71" t="str">
        <f aca="false">IF($J199="","",N($J199)*N(発注計算!$H195))</f>
        <v/>
      </c>
      <c r="L199" s="72"/>
      <c r="M199" s="72"/>
      <c r="N199" s="72"/>
      <c r="O199" s="72"/>
      <c r="P199" s="72"/>
      <c r="Q199" s="72"/>
      <c r="R199" s="72"/>
      <c r="S199" s="72"/>
      <c r="T199" s="72"/>
      <c r="U199" s="72"/>
      <c r="V199" s="72"/>
      <c r="W199" s="72"/>
      <c r="X199" s="72"/>
      <c r="Y199" s="72"/>
      <c r="Z199" s="31" t="n">
        <f aca="false">IF(OR(N($J199)&lt;=0,AND(③発注書!$C$5&lt;&gt;"すべて",発注計算!$F195&lt;&gt;③発注書!$C$5)),N(Z198),N(Z198)+1)</f>
        <v>7</v>
      </c>
    </row>
    <row r="200" customFormat="false" ht="16.5" hidden="false" customHeight="true" outlineLevel="0" collapsed="false">
      <c r="B200" s="66" t="n">
        <v>191</v>
      </c>
      <c r="C200" s="66" t="str">
        <f aca="false">IF(発注計算!$C196="","",発注計算!$D196)</f>
        <v/>
      </c>
      <c r="D200" s="66" t="str">
        <f aca="false">IF(発注計算!$C196="","",発注計算!$E196)</f>
        <v/>
      </c>
      <c r="E200" s="67" t="str">
        <f aca="false">IF(発注計算!$C196="","",発注計算!$T196)</f>
        <v/>
      </c>
      <c r="F200" s="67" t="str">
        <f aca="false">IF(ISNUMBER($E200),$E200-N(発注計算!$I196),"")</f>
        <v/>
      </c>
      <c r="G200" s="68" t="str">
        <f aca="false">IF(発注計算!$C196="","",IF(NOT(ISNUMBER($F200)),"データなし",IF($F200&lt;=0,"今日が期限",IF($F200&lt;=N(発注計算!$AG196),"要発注","余裕"))))</f>
        <v/>
      </c>
      <c r="H200" s="67" t="str">
        <f aca="false">IF(OR(発注計算!$C196="",NOT(ISNUMBER(発注計算!$S196)),発注計算!$S196&lt;=0),"",(発注計算!$K196+N($J200)*N(発注計算!$G196))/発注計算!$S196)</f>
        <v/>
      </c>
      <c r="I200" s="69" t="str">
        <f aca="false">IF(発注計算!$C196="","",発注計算!$Y196)</f>
        <v/>
      </c>
      <c r="J200" s="70"/>
      <c r="K200" s="71" t="str">
        <f aca="false">IF($J200="","",N($J200)*N(発注計算!$H196))</f>
        <v/>
      </c>
      <c r="L200" s="72"/>
      <c r="M200" s="72"/>
      <c r="N200" s="72"/>
      <c r="O200" s="72"/>
      <c r="P200" s="72"/>
      <c r="Q200" s="72"/>
      <c r="R200" s="72"/>
      <c r="S200" s="72"/>
      <c r="T200" s="72"/>
      <c r="U200" s="72"/>
      <c r="V200" s="72"/>
      <c r="W200" s="72"/>
      <c r="X200" s="72"/>
      <c r="Y200" s="72"/>
      <c r="Z200" s="31" t="n">
        <f aca="false">IF(OR(N($J200)&lt;=0,AND(③発注書!$C$5&lt;&gt;"すべて",発注計算!$F196&lt;&gt;③発注書!$C$5)),N(Z199),N(Z199)+1)</f>
        <v>7</v>
      </c>
    </row>
    <row r="201" customFormat="false" ht="16.5" hidden="false" customHeight="true" outlineLevel="0" collapsed="false">
      <c r="B201" s="66" t="n">
        <v>192</v>
      </c>
      <c r="C201" s="66" t="str">
        <f aca="false">IF(発注計算!$C197="","",発注計算!$D197)</f>
        <v/>
      </c>
      <c r="D201" s="66" t="str">
        <f aca="false">IF(発注計算!$C197="","",発注計算!$E197)</f>
        <v/>
      </c>
      <c r="E201" s="67" t="str">
        <f aca="false">IF(発注計算!$C197="","",発注計算!$T197)</f>
        <v/>
      </c>
      <c r="F201" s="67" t="str">
        <f aca="false">IF(ISNUMBER($E201),$E201-N(発注計算!$I197),"")</f>
        <v/>
      </c>
      <c r="G201" s="68" t="str">
        <f aca="false">IF(発注計算!$C197="","",IF(NOT(ISNUMBER($F201)),"データなし",IF($F201&lt;=0,"今日が期限",IF($F201&lt;=N(発注計算!$AG197),"要発注","余裕"))))</f>
        <v/>
      </c>
      <c r="H201" s="67" t="str">
        <f aca="false">IF(OR(発注計算!$C197="",NOT(ISNUMBER(発注計算!$S197)),発注計算!$S197&lt;=0),"",(発注計算!$K197+N($J201)*N(発注計算!$G197))/発注計算!$S197)</f>
        <v/>
      </c>
      <c r="I201" s="69" t="str">
        <f aca="false">IF(発注計算!$C197="","",発注計算!$Y197)</f>
        <v/>
      </c>
      <c r="J201" s="70"/>
      <c r="K201" s="71" t="str">
        <f aca="false">IF($J201="","",N($J201)*N(発注計算!$H197))</f>
        <v/>
      </c>
      <c r="L201" s="72"/>
      <c r="M201" s="72"/>
      <c r="N201" s="72"/>
      <c r="O201" s="72"/>
      <c r="P201" s="72"/>
      <c r="Q201" s="72"/>
      <c r="R201" s="72"/>
      <c r="S201" s="72"/>
      <c r="T201" s="72"/>
      <c r="U201" s="72"/>
      <c r="V201" s="72"/>
      <c r="W201" s="72"/>
      <c r="X201" s="72"/>
      <c r="Y201" s="72"/>
      <c r="Z201" s="31" t="n">
        <f aca="false">IF(OR(N($J201)&lt;=0,AND(③発注書!$C$5&lt;&gt;"すべて",発注計算!$F197&lt;&gt;③発注書!$C$5)),N(Z200),N(Z200)+1)</f>
        <v>7</v>
      </c>
    </row>
    <row r="202" customFormat="false" ht="16.5" hidden="false" customHeight="true" outlineLevel="0" collapsed="false">
      <c r="B202" s="66" t="n">
        <v>193</v>
      </c>
      <c r="C202" s="66" t="str">
        <f aca="false">IF(発注計算!$C198="","",発注計算!$D198)</f>
        <v/>
      </c>
      <c r="D202" s="66" t="str">
        <f aca="false">IF(発注計算!$C198="","",発注計算!$E198)</f>
        <v/>
      </c>
      <c r="E202" s="67" t="str">
        <f aca="false">IF(発注計算!$C198="","",発注計算!$T198)</f>
        <v/>
      </c>
      <c r="F202" s="67" t="str">
        <f aca="false">IF(ISNUMBER($E202),$E202-N(発注計算!$I198),"")</f>
        <v/>
      </c>
      <c r="G202" s="68" t="str">
        <f aca="false">IF(発注計算!$C198="","",IF(NOT(ISNUMBER($F202)),"データなし",IF($F202&lt;=0,"今日が期限",IF($F202&lt;=N(発注計算!$AG198),"要発注","余裕"))))</f>
        <v/>
      </c>
      <c r="H202" s="67" t="str">
        <f aca="false">IF(OR(発注計算!$C198="",NOT(ISNUMBER(発注計算!$S198)),発注計算!$S198&lt;=0),"",(発注計算!$K198+N($J202)*N(発注計算!$G198))/発注計算!$S198)</f>
        <v/>
      </c>
      <c r="I202" s="69" t="str">
        <f aca="false">IF(発注計算!$C198="","",発注計算!$Y198)</f>
        <v/>
      </c>
      <c r="J202" s="70"/>
      <c r="K202" s="71" t="str">
        <f aca="false">IF($J202="","",N($J202)*N(発注計算!$H198))</f>
        <v/>
      </c>
      <c r="L202" s="72"/>
      <c r="M202" s="72"/>
      <c r="N202" s="72"/>
      <c r="O202" s="72"/>
      <c r="P202" s="72"/>
      <c r="Q202" s="72"/>
      <c r="R202" s="72"/>
      <c r="S202" s="72"/>
      <c r="T202" s="72"/>
      <c r="U202" s="72"/>
      <c r="V202" s="72"/>
      <c r="W202" s="72"/>
      <c r="X202" s="72"/>
      <c r="Y202" s="72"/>
      <c r="Z202" s="31" t="n">
        <f aca="false">IF(OR(N($J202)&lt;=0,AND(③発注書!$C$5&lt;&gt;"すべて",発注計算!$F198&lt;&gt;③発注書!$C$5)),N(Z201),N(Z201)+1)</f>
        <v>7</v>
      </c>
    </row>
    <row r="203" customFormat="false" ht="16.5" hidden="false" customHeight="true" outlineLevel="0" collapsed="false">
      <c r="B203" s="66" t="n">
        <v>194</v>
      </c>
      <c r="C203" s="66" t="str">
        <f aca="false">IF(発注計算!$C199="","",発注計算!$D199)</f>
        <v/>
      </c>
      <c r="D203" s="66" t="str">
        <f aca="false">IF(発注計算!$C199="","",発注計算!$E199)</f>
        <v/>
      </c>
      <c r="E203" s="67" t="str">
        <f aca="false">IF(発注計算!$C199="","",発注計算!$T199)</f>
        <v/>
      </c>
      <c r="F203" s="67" t="str">
        <f aca="false">IF(ISNUMBER($E203),$E203-N(発注計算!$I199),"")</f>
        <v/>
      </c>
      <c r="G203" s="68" t="str">
        <f aca="false">IF(発注計算!$C199="","",IF(NOT(ISNUMBER($F203)),"データなし",IF($F203&lt;=0,"今日が期限",IF($F203&lt;=N(発注計算!$AG199),"要発注","余裕"))))</f>
        <v/>
      </c>
      <c r="H203" s="67" t="str">
        <f aca="false">IF(OR(発注計算!$C199="",NOT(ISNUMBER(発注計算!$S199)),発注計算!$S199&lt;=0),"",(発注計算!$K199+N($J203)*N(発注計算!$G199))/発注計算!$S199)</f>
        <v/>
      </c>
      <c r="I203" s="69" t="str">
        <f aca="false">IF(発注計算!$C199="","",発注計算!$Y199)</f>
        <v/>
      </c>
      <c r="J203" s="70"/>
      <c r="K203" s="71" t="str">
        <f aca="false">IF($J203="","",N($J203)*N(発注計算!$H199))</f>
        <v/>
      </c>
      <c r="L203" s="72"/>
      <c r="M203" s="72"/>
      <c r="N203" s="72"/>
      <c r="O203" s="72"/>
      <c r="P203" s="72"/>
      <c r="Q203" s="72"/>
      <c r="R203" s="72"/>
      <c r="S203" s="72"/>
      <c r="T203" s="72"/>
      <c r="U203" s="72"/>
      <c r="V203" s="72"/>
      <c r="W203" s="72"/>
      <c r="X203" s="72"/>
      <c r="Y203" s="72"/>
      <c r="Z203" s="31" t="n">
        <f aca="false">IF(OR(N($J203)&lt;=0,AND(③発注書!$C$5&lt;&gt;"すべて",発注計算!$F199&lt;&gt;③発注書!$C$5)),N(Z202),N(Z202)+1)</f>
        <v>7</v>
      </c>
    </row>
    <row r="204" customFormat="false" ht="16.5" hidden="false" customHeight="true" outlineLevel="0" collapsed="false">
      <c r="B204" s="66" t="n">
        <v>195</v>
      </c>
      <c r="C204" s="66" t="str">
        <f aca="false">IF(発注計算!$C200="","",発注計算!$D200)</f>
        <v/>
      </c>
      <c r="D204" s="66" t="str">
        <f aca="false">IF(発注計算!$C200="","",発注計算!$E200)</f>
        <v/>
      </c>
      <c r="E204" s="67" t="str">
        <f aca="false">IF(発注計算!$C200="","",発注計算!$T200)</f>
        <v/>
      </c>
      <c r="F204" s="67" t="str">
        <f aca="false">IF(ISNUMBER($E204),$E204-N(発注計算!$I200),"")</f>
        <v/>
      </c>
      <c r="G204" s="68" t="str">
        <f aca="false">IF(発注計算!$C200="","",IF(NOT(ISNUMBER($F204)),"データなし",IF($F204&lt;=0,"今日が期限",IF($F204&lt;=N(発注計算!$AG200),"要発注","余裕"))))</f>
        <v/>
      </c>
      <c r="H204" s="67" t="str">
        <f aca="false">IF(OR(発注計算!$C200="",NOT(ISNUMBER(発注計算!$S200)),発注計算!$S200&lt;=0),"",(発注計算!$K200+N($J204)*N(発注計算!$G200))/発注計算!$S200)</f>
        <v/>
      </c>
      <c r="I204" s="69" t="str">
        <f aca="false">IF(発注計算!$C200="","",発注計算!$Y200)</f>
        <v/>
      </c>
      <c r="J204" s="70"/>
      <c r="K204" s="71" t="str">
        <f aca="false">IF($J204="","",N($J204)*N(発注計算!$H200))</f>
        <v/>
      </c>
      <c r="L204" s="72"/>
      <c r="M204" s="72"/>
      <c r="N204" s="72"/>
      <c r="O204" s="72"/>
      <c r="P204" s="72"/>
      <c r="Q204" s="72"/>
      <c r="R204" s="72"/>
      <c r="S204" s="72"/>
      <c r="T204" s="72"/>
      <c r="U204" s="72"/>
      <c r="V204" s="72"/>
      <c r="W204" s="72"/>
      <c r="X204" s="72"/>
      <c r="Y204" s="72"/>
      <c r="Z204" s="31" t="n">
        <f aca="false">IF(OR(N($J204)&lt;=0,AND(③発注書!$C$5&lt;&gt;"すべて",発注計算!$F200&lt;&gt;③発注書!$C$5)),N(Z203),N(Z203)+1)</f>
        <v>7</v>
      </c>
    </row>
    <row r="205" customFormat="false" ht="16.5" hidden="false" customHeight="true" outlineLevel="0" collapsed="false">
      <c r="B205" s="66" t="n">
        <v>196</v>
      </c>
      <c r="C205" s="66" t="str">
        <f aca="false">IF(発注計算!$C201="","",発注計算!$D201)</f>
        <v/>
      </c>
      <c r="D205" s="66" t="str">
        <f aca="false">IF(発注計算!$C201="","",発注計算!$E201)</f>
        <v/>
      </c>
      <c r="E205" s="67" t="str">
        <f aca="false">IF(発注計算!$C201="","",発注計算!$T201)</f>
        <v/>
      </c>
      <c r="F205" s="67" t="str">
        <f aca="false">IF(ISNUMBER($E205),$E205-N(発注計算!$I201),"")</f>
        <v/>
      </c>
      <c r="G205" s="68" t="str">
        <f aca="false">IF(発注計算!$C201="","",IF(NOT(ISNUMBER($F205)),"データなし",IF($F205&lt;=0,"今日が期限",IF($F205&lt;=N(発注計算!$AG201),"要発注","余裕"))))</f>
        <v/>
      </c>
      <c r="H205" s="67" t="str">
        <f aca="false">IF(OR(発注計算!$C201="",NOT(ISNUMBER(発注計算!$S201)),発注計算!$S201&lt;=0),"",(発注計算!$K201+N($J205)*N(発注計算!$G201))/発注計算!$S201)</f>
        <v/>
      </c>
      <c r="I205" s="69" t="str">
        <f aca="false">IF(発注計算!$C201="","",発注計算!$Y201)</f>
        <v/>
      </c>
      <c r="J205" s="70"/>
      <c r="K205" s="71" t="str">
        <f aca="false">IF($J205="","",N($J205)*N(発注計算!$H201))</f>
        <v/>
      </c>
      <c r="L205" s="72"/>
      <c r="M205" s="72"/>
      <c r="N205" s="72"/>
      <c r="O205" s="72"/>
      <c r="P205" s="72"/>
      <c r="Q205" s="72"/>
      <c r="R205" s="72"/>
      <c r="S205" s="72"/>
      <c r="T205" s="72"/>
      <c r="U205" s="72"/>
      <c r="V205" s="72"/>
      <c r="W205" s="72"/>
      <c r="X205" s="72"/>
      <c r="Y205" s="72"/>
      <c r="Z205" s="31" t="n">
        <f aca="false">IF(OR(N($J205)&lt;=0,AND(③発注書!$C$5&lt;&gt;"すべて",発注計算!$F201&lt;&gt;③発注書!$C$5)),N(Z204),N(Z204)+1)</f>
        <v>7</v>
      </c>
    </row>
    <row r="206" customFormat="false" ht="16.5" hidden="false" customHeight="true" outlineLevel="0" collapsed="false">
      <c r="B206" s="66" t="n">
        <v>197</v>
      </c>
      <c r="C206" s="66" t="str">
        <f aca="false">IF(発注計算!$C202="","",発注計算!$D202)</f>
        <v/>
      </c>
      <c r="D206" s="66" t="str">
        <f aca="false">IF(発注計算!$C202="","",発注計算!$E202)</f>
        <v/>
      </c>
      <c r="E206" s="67" t="str">
        <f aca="false">IF(発注計算!$C202="","",発注計算!$T202)</f>
        <v/>
      </c>
      <c r="F206" s="67" t="str">
        <f aca="false">IF(ISNUMBER($E206),$E206-N(発注計算!$I202),"")</f>
        <v/>
      </c>
      <c r="G206" s="68" t="str">
        <f aca="false">IF(発注計算!$C202="","",IF(NOT(ISNUMBER($F206)),"データなし",IF($F206&lt;=0,"今日が期限",IF($F206&lt;=N(発注計算!$AG202),"要発注","余裕"))))</f>
        <v/>
      </c>
      <c r="H206" s="67" t="str">
        <f aca="false">IF(OR(発注計算!$C202="",NOT(ISNUMBER(発注計算!$S202)),発注計算!$S202&lt;=0),"",(発注計算!$K202+N($J206)*N(発注計算!$G202))/発注計算!$S202)</f>
        <v/>
      </c>
      <c r="I206" s="69" t="str">
        <f aca="false">IF(発注計算!$C202="","",発注計算!$Y202)</f>
        <v/>
      </c>
      <c r="J206" s="70"/>
      <c r="K206" s="71" t="str">
        <f aca="false">IF($J206="","",N($J206)*N(発注計算!$H202))</f>
        <v/>
      </c>
      <c r="L206" s="72"/>
      <c r="M206" s="72"/>
      <c r="N206" s="72"/>
      <c r="O206" s="72"/>
      <c r="P206" s="72"/>
      <c r="Q206" s="72"/>
      <c r="R206" s="72"/>
      <c r="S206" s="72"/>
      <c r="T206" s="72"/>
      <c r="U206" s="72"/>
      <c r="V206" s="72"/>
      <c r="W206" s="72"/>
      <c r="X206" s="72"/>
      <c r="Y206" s="72"/>
      <c r="Z206" s="31" t="n">
        <f aca="false">IF(OR(N($J206)&lt;=0,AND(③発注書!$C$5&lt;&gt;"すべて",発注計算!$F202&lt;&gt;③発注書!$C$5)),N(Z205),N(Z205)+1)</f>
        <v>7</v>
      </c>
    </row>
    <row r="207" customFormat="false" ht="16.5" hidden="false" customHeight="true" outlineLevel="0" collapsed="false">
      <c r="B207" s="66" t="n">
        <v>198</v>
      </c>
      <c r="C207" s="66" t="str">
        <f aca="false">IF(発注計算!$C203="","",発注計算!$D203)</f>
        <v/>
      </c>
      <c r="D207" s="66" t="str">
        <f aca="false">IF(発注計算!$C203="","",発注計算!$E203)</f>
        <v/>
      </c>
      <c r="E207" s="67" t="str">
        <f aca="false">IF(発注計算!$C203="","",発注計算!$T203)</f>
        <v/>
      </c>
      <c r="F207" s="67" t="str">
        <f aca="false">IF(ISNUMBER($E207),$E207-N(発注計算!$I203),"")</f>
        <v/>
      </c>
      <c r="G207" s="68" t="str">
        <f aca="false">IF(発注計算!$C203="","",IF(NOT(ISNUMBER($F207)),"データなし",IF($F207&lt;=0,"今日が期限",IF($F207&lt;=N(発注計算!$AG203),"要発注","余裕"))))</f>
        <v/>
      </c>
      <c r="H207" s="67" t="str">
        <f aca="false">IF(OR(発注計算!$C203="",NOT(ISNUMBER(発注計算!$S203)),発注計算!$S203&lt;=0),"",(発注計算!$K203+N($J207)*N(発注計算!$G203))/発注計算!$S203)</f>
        <v/>
      </c>
      <c r="I207" s="69" t="str">
        <f aca="false">IF(発注計算!$C203="","",発注計算!$Y203)</f>
        <v/>
      </c>
      <c r="J207" s="70"/>
      <c r="K207" s="71" t="str">
        <f aca="false">IF($J207="","",N($J207)*N(発注計算!$H203))</f>
        <v/>
      </c>
      <c r="L207" s="72"/>
      <c r="M207" s="72"/>
      <c r="N207" s="72"/>
      <c r="O207" s="72"/>
      <c r="P207" s="72"/>
      <c r="Q207" s="72"/>
      <c r="R207" s="72"/>
      <c r="S207" s="72"/>
      <c r="T207" s="72"/>
      <c r="U207" s="72"/>
      <c r="V207" s="72"/>
      <c r="W207" s="72"/>
      <c r="X207" s="72"/>
      <c r="Y207" s="72"/>
      <c r="Z207" s="31" t="n">
        <f aca="false">IF(OR(N($J207)&lt;=0,AND(③発注書!$C$5&lt;&gt;"すべて",発注計算!$F203&lt;&gt;③発注書!$C$5)),N(Z206),N(Z206)+1)</f>
        <v>7</v>
      </c>
    </row>
    <row r="208" customFormat="false" ht="16.5" hidden="false" customHeight="true" outlineLevel="0" collapsed="false">
      <c r="B208" s="66" t="n">
        <v>199</v>
      </c>
      <c r="C208" s="66" t="str">
        <f aca="false">IF(発注計算!$C204="","",発注計算!$D204)</f>
        <v/>
      </c>
      <c r="D208" s="66" t="str">
        <f aca="false">IF(発注計算!$C204="","",発注計算!$E204)</f>
        <v/>
      </c>
      <c r="E208" s="67" t="str">
        <f aca="false">IF(発注計算!$C204="","",発注計算!$T204)</f>
        <v/>
      </c>
      <c r="F208" s="67" t="str">
        <f aca="false">IF(ISNUMBER($E208),$E208-N(発注計算!$I204),"")</f>
        <v/>
      </c>
      <c r="G208" s="68" t="str">
        <f aca="false">IF(発注計算!$C204="","",IF(NOT(ISNUMBER($F208)),"データなし",IF($F208&lt;=0,"今日が期限",IF($F208&lt;=N(発注計算!$AG204),"要発注","余裕"))))</f>
        <v/>
      </c>
      <c r="H208" s="67" t="str">
        <f aca="false">IF(OR(発注計算!$C204="",NOT(ISNUMBER(発注計算!$S204)),発注計算!$S204&lt;=0),"",(発注計算!$K204+N($J208)*N(発注計算!$G204))/発注計算!$S204)</f>
        <v/>
      </c>
      <c r="I208" s="69" t="str">
        <f aca="false">IF(発注計算!$C204="","",発注計算!$Y204)</f>
        <v/>
      </c>
      <c r="J208" s="70"/>
      <c r="K208" s="71" t="str">
        <f aca="false">IF($J208="","",N($J208)*N(発注計算!$H204))</f>
        <v/>
      </c>
      <c r="L208" s="72"/>
      <c r="M208" s="72"/>
      <c r="N208" s="72"/>
      <c r="O208" s="72"/>
      <c r="P208" s="72"/>
      <c r="Q208" s="72"/>
      <c r="R208" s="72"/>
      <c r="S208" s="72"/>
      <c r="T208" s="72"/>
      <c r="U208" s="72"/>
      <c r="V208" s="72"/>
      <c r="W208" s="72"/>
      <c r="X208" s="72"/>
      <c r="Y208" s="72"/>
      <c r="Z208" s="31" t="n">
        <f aca="false">IF(OR(N($J208)&lt;=0,AND(③発注書!$C$5&lt;&gt;"すべて",発注計算!$F204&lt;&gt;③発注書!$C$5)),N(Z207),N(Z207)+1)</f>
        <v>7</v>
      </c>
    </row>
    <row r="209" customFormat="false" ht="16.5" hidden="false" customHeight="true" outlineLevel="0" collapsed="false">
      <c r="B209" s="66" t="n">
        <v>200</v>
      </c>
      <c r="C209" s="66" t="str">
        <f aca="false">IF(発注計算!$C205="","",発注計算!$D205)</f>
        <v/>
      </c>
      <c r="D209" s="66" t="str">
        <f aca="false">IF(発注計算!$C205="","",発注計算!$E205)</f>
        <v/>
      </c>
      <c r="E209" s="67" t="str">
        <f aca="false">IF(発注計算!$C205="","",発注計算!$T205)</f>
        <v/>
      </c>
      <c r="F209" s="67" t="str">
        <f aca="false">IF(ISNUMBER($E209),$E209-N(発注計算!$I205),"")</f>
        <v/>
      </c>
      <c r="G209" s="68" t="str">
        <f aca="false">IF(発注計算!$C205="","",IF(NOT(ISNUMBER($F209)),"データなし",IF($F209&lt;=0,"今日が期限",IF($F209&lt;=N(発注計算!$AG205),"要発注","余裕"))))</f>
        <v/>
      </c>
      <c r="H209" s="67" t="str">
        <f aca="false">IF(OR(発注計算!$C205="",NOT(ISNUMBER(発注計算!$S205)),発注計算!$S205&lt;=0),"",(発注計算!$K205+N($J209)*N(発注計算!$G205))/発注計算!$S205)</f>
        <v/>
      </c>
      <c r="I209" s="69" t="str">
        <f aca="false">IF(発注計算!$C205="","",発注計算!$Y205)</f>
        <v/>
      </c>
      <c r="J209" s="70"/>
      <c r="K209" s="71" t="str">
        <f aca="false">IF($J209="","",N($J209)*N(発注計算!$H205))</f>
        <v/>
      </c>
      <c r="L209" s="72"/>
      <c r="M209" s="72"/>
      <c r="N209" s="72"/>
      <c r="O209" s="72"/>
      <c r="P209" s="72"/>
      <c r="Q209" s="72"/>
      <c r="R209" s="72"/>
      <c r="S209" s="72"/>
      <c r="T209" s="72"/>
      <c r="U209" s="72"/>
      <c r="V209" s="72"/>
      <c r="W209" s="72"/>
      <c r="X209" s="72"/>
      <c r="Y209" s="72"/>
      <c r="Z209" s="31" t="n">
        <f aca="false">IF(OR(N($J209)&lt;=0,AND(③発注書!$C$5&lt;&gt;"すべて",発注計算!$F205&lt;&gt;③発注書!$C$5)),N(Z208),N(Z208)+1)</f>
        <v>7</v>
      </c>
    </row>
    <row r="210" customFormat="false" ht="16.5" hidden="false" customHeight="true" outlineLevel="0" collapsed="false">
      <c r="B210" s="66" t="n">
        <v>201</v>
      </c>
      <c r="C210" s="66" t="str">
        <f aca="false">IF(発注計算!$C206="","",発注計算!$D206)</f>
        <v/>
      </c>
      <c r="D210" s="66" t="str">
        <f aca="false">IF(発注計算!$C206="","",発注計算!$E206)</f>
        <v/>
      </c>
      <c r="E210" s="67" t="str">
        <f aca="false">IF(発注計算!$C206="","",発注計算!$T206)</f>
        <v/>
      </c>
      <c r="F210" s="67" t="str">
        <f aca="false">IF(ISNUMBER($E210),$E210-N(発注計算!$I206),"")</f>
        <v/>
      </c>
      <c r="G210" s="68" t="str">
        <f aca="false">IF(発注計算!$C206="","",IF(NOT(ISNUMBER($F210)),"データなし",IF($F210&lt;=0,"今日が期限",IF($F210&lt;=N(発注計算!$AG206),"要発注","余裕"))))</f>
        <v/>
      </c>
      <c r="H210" s="67" t="str">
        <f aca="false">IF(OR(発注計算!$C206="",NOT(ISNUMBER(発注計算!$S206)),発注計算!$S206&lt;=0),"",(発注計算!$K206+N($J210)*N(発注計算!$G206))/発注計算!$S206)</f>
        <v/>
      </c>
      <c r="I210" s="69" t="str">
        <f aca="false">IF(発注計算!$C206="","",発注計算!$Y206)</f>
        <v/>
      </c>
      <c r="J210" s="70"/>
      <c r="K210" s="71" t="str">
        <f aca="false">IF($J210="","",N($J210)*N(発注計算!$H206))</f>
        <v/>
      </c>
      <c r="L210" s="72"/>
      <c r="M210" s="72"/>
      <c r="N210" s="72"/>
      <c r="O210" s="72"/>
      <c r="P210" s="72"/>
      <c r="Q210" s="72"/>
      <c r="R210" s="72"/>
      <c r="S210" s="72"/>
      <c r="T210" s="72"/>
      <c r="U210" s="72"/>
      <c r="V210" s="72"/>
      <c r="W210" s="72"/>
      <c r="X210" s="72"/>
      <c r="Y210" s="72"/>
      <c r="Z210" s="31" t="n">
        <f aca="false">IF(OR(N($J210)&lt;=0,AND(③発注書!$C$5&lt;&gt;"すべて",発注計算!$F206&lt;&gt;③発注書!$C$5)),N(Z209),N(Z209)+1)</f>
        <v>7</v>
      </c>
    </row>
    <row r="211" customFormat="false" ht="16.5" hidden="false" customHeight="true" outlineLevel="0" collapsed="false">
      <c r="B211" s="66" t="n">
        <v>202</v>
      </c>
      <c r="C211" s="66" t="str">
        <f aca="false">IF(発注計算!$C207="","",発注計算!$D207)</f>
        <v/>
      </c>
      <c r="D211" s="66" t="str">
        <f aca="false">IF(発注計算!$C207="","",発注計算!$E207)</f>
        <v/>
      </c>
      <c r="E211" s="67" t="str">
        <f aca="false">IF(発注計算!$C207="","",発注計算!$T207)</f>
        <v/>
      </c>
      <c r="F211" s="67" t="str">
        <f aca="false">IF(ISNUMBER($E211),$E211-N(発注計算!$I207),"")</f>
        <v/>
      </c>
      <c r="G211" s="68" t="str">
        <f aca="false">IF(発注計算!$C207="","",IF(NOT(ISNUMBER($F211)),"データなし",IF($F211&lt;=0,"今日が期限",IF($F211&lt;=N(発注計算!$AG207),"要発注","余裕"))))</f>
        <v/>
      </c>
      <c r="H211" s="67" t="str">
        <f aca="false">IF(OR(発注計算!$C207="",NOT(ISNUMBER(発注計算!$S207)),発注計算!$S207&lt;=0),"",(発注計算!$K207+N($J211)*N(発注計算!$G207))/発注計算!$S207)</f>
        <v/>
      </c>
      <c r="I211" s="69" t="str">
        <f aca="false">IF(発注計算!$C207="","",発注計算!$Y207)</f>
        <v/>
      </c>
      <c r="J211" s="70"/>
      <c r="K211" s="71" t="str">
        <f aca="false">IF($J211="","",N($J211)*N(発注計算!$H207))</f>
        <v/>
      </c>
      <c r="L211" s="72"/>
      <c r="M211" s="72"/>
      <c r="N211" s="72"/>
      <c r="O211" s="72"/>
      <c r="P211" s="72"/>
      <c r="Q211" s="72"/>
      <c r="R211" s="72"/>
      <c r="S211" s="72"/>
      <c r="T211" s="72"/>
      <c r="U211" s="72"/>
      <c r="V211" s="72"/>
      <c r="W211" s="72"/>
      <c r="X211" s="72"/>
      <c r="Y211" s="72"/>
      <c r="Z211" s="31" t="n">
        <f aca="false">IF(OR(N($J211)&lt;=0,AND(③発注書!$C$5&lt;&gt;"すべて",発注計算!$F207&lt;&gt;③発注書!$C$5)),N(Z210),N(Z210)+1)</f>
        <v>7</v>
      </c>
    </row>
    <row r="212" customFormat="false" ht="16.5" hidden="false" customHeight="true" outlineLevel="0" collapsed="false">
      <c r="B212" s="66" t="n">
        <v>203</v>
      </c>
      <c r="C212" s="66" t="str">
        <f aca="false">IF(発注計算!$C208="","",発注計算!$D208)</f>
        <v/>
      </c>
      <c r="D212" s="66" t="str">
        <f aca="false">IF(発注計算!$C208="","",発注計算!$E208)</f>
        <v/>
      </c>
      <c r="E212" s="67" t="str">
        <f aca="false">IF(発注計算!$C208="","",発注計算!$T208)</f>
        <v/>
      </c>
      <c r="F212" s="67" t="str">
        <f aca="false">IF(ISNUMBER($E212),$E212-N(発注計算!$I208),"")</f>
        <v/>
      </c>
      <c r="G212" s="68" t="str">
        <f aca="false">IF(発注計算!$C208="","",IF(NOT(ISNUMBER($F212)),"データなし",IF($F212&lt;=0,"今日が期限",IF($F212&lt;=N(発注計算!$AG208),"要発注","余裕"))))</f>
        <v/>
      </c>
      <c r="H212" s="67" t="str">
        <f aca="false">IF(OR(発注計算!$C208="",NOT(ISNUMBER(発注計算!$S208)),発注計算!$S208&lt;=0),"",(発注計算!$K208+N($J212)*N(発注計算!$G208))/発注計算!$S208)</f>
        <v/>
      </c>
      <c r="I212" s="69" t="str">
        <f aca="false">IF(発注計算!$C208="","",発注計算!$Y208)</f>
        <v/>
      </c>
      <c r="J212" s="70"/>
      <c r="K212" s="71" t="str">
        <f aca="false">IF($J212="","",N($J212)*N(発注計算!$H208))</f>
        <v/>
      </c>
      <c r="L212" s="72"/>
      <c r="M212" s="72"/>
      <c r="N212" s="72"/>
      <c r="O212" s="72"/>
      <c r="P212" s="72"/>
      <c r="Q212" s="72"/>
      <c r="R212" s="72"/>
      <c r="S212" s="72"/>
      <c r="T212" s="72"/>
      <c r="U212" s="72"/>
      <c r="V212" s="72"/>
      <c r="W212" s="72"/>
      <c r="X212" s="72"/>
      <c r="Y212" s="72"/>
      <c r="Z212" s="31" t="n">
        <f aca="false">IF(OR(N($J212)&lt;=0,AND(③発注書!$C$5&lt;&gt;"すべて",発注計算!$F208&lt;&gt;③発注書!$C$5)),N(Z211),N(Z211)+1)</f>
        <v>7</v>
      </c>
    </row>
    <row r="213" customFormat="false" ht="16.5" hidden="false" customHeight="true" outlineLevel="0" collapsed="false">
      <c r="B213" s="66" t="n">
        <v>204</v>
      </c>
      <c r="C213" s="66" t="str">
        <f aca="false">IF(発注計算!$C209="","",発注計算!$D209)</f>
        <v/>
      </c>
      <c r="D213" s="66" t="str">
        <f aca="false">IF(発注計算!$C209="","",発注計算!$E209)</f>
        <v/>
      </c>
      <c r="E213" s="67" t="str">
        <f aca="false">IF(発注計算!$C209="","",発注計算!$T209)</f>
        <v/>
      </c>
      <c r="F213" s="67" t="str">
        <f aca="false">IF(ISNUMBER($E213),$E213-N(発注計算!$I209),"")</f>
        <v/>
      </c>
      <c r="G213" s="68" t="str">
        <f aca="false">IF(発注計算!$C209="","",IF(NOT(ISNUMBER($F213)),"データなし",IF($F213&lt;=0,"今日が期限",IF($F213&lt;=N(発注計算!$AG209),"要発注","余裕"))))</f>
        <v/>
      </c>
      <c r="H213" s="67" t="str">
        <f aca="false">IF(OR(発注計算!$C209="",NOT(ISNUMBER(発注計算!$S209)),発注計算!$S209&lt;=0),"",(発注計算!$K209+N($J213)*N(発注計算!$G209))/発注計算!$S209)</f>
        <v/>
      </c>
      <c r="I213" s="69" t="str">
        <f aca="false">IF(発注計算!$C209="","",発注計算!$Y209)</f>
        <v/>
      </c>
      <c r="J213" s="70"/>
      <c r="K213" s="71" t="str">
        <f aca="false">IF($J213="","",N($J213)*N(発注計算!$H209))</f>
        <v/>
      </c>
      <c r="L213" s="72"/>
      <c r="M213" s="72"/>
      <c r="N213" s="72"/>
      <c r="O213" s="72"/>
      <c r="P213" s="72"/>
      <c r="Q213" s="72"/>
      <c r="R213" s="72"/>
      <c r="S213" s="72"/>
      <c r="T213" s="72"/>
      <c r="U213" s="72"/>
      <c r="V213" s="72"/>
      <c r="W213" s="72"/>
      <c r="X213" s="72"/>
      <c r="Y213" s="72"/>
      <c r="Z213" s="31" t="n">
        <f aca="false">IF(OR(N($J213)&lt;=0,AND(③発注書!$C$5&lt;&gt;"すべて",発注計算!$F209&lt;&gt;③発注書!$C$5)),N(Z212),N(Z212)+1)</f>
        <v>7</v>
      </c>
    </row>
    <row r="214" customFormat="false" ht="16.5" hidden="false" customHeight="true" outlineLevel="0" collapsed="false">
      <c r="B214" s="66" t="n">
        <v>205</v>
      </c>
      <c r="C214" s="66" t="str">
        <f aca="false">IF(発注計算!$C210="","",発注計算!$D210)</f>
        <v/>
      </c>
      <c r="D214" s="66" t="str">
        <f aca="false">IF(発注計算!$C210="","",発注計算!$E210)</f>
        <v/>
      </c>
      <c r="E214" s="67" t="str">
        <f aca="false">IF(発注計算!$C210="","",発注計算!$T210)</f>
        <v/>
      </c>
      <c r="F214" s="67" t="str">
        <f aca="false">IF(ISNUMBER($E214),$E214-N(発注計算!$I210),"")</f>
        <v/>
      </c>
      <c r="G214" s="68" t="str">
        <f aca="false">IF(発注計算!$C210="","",IF(NOT(ISNUMBER($F214)),"データなし",IF($F214&lt;=0,"今日が期限",IF($F214&lt;=N(発注計算!$AG210),"要発注","余裕"))))</f>
        <v/>
      </c>
      <c r="H214" s="67" t="str">
        <f aca="false">IF(OR(発注計算!$C210="",NOT(ISNUMBER(発注計算!$S210)),発注計算!$S210&lt;=0),"",(発注計算!$K210+N($J214)*N(発注計算!$G210))/発注計算!$S210)</f>
        <v/>
      </c>
      <c r="I214" s="69" t="str">
        <f aca="false">IF(発注計算!$C210="","",発注計算!$Y210)</f>
        <v/>
      </c>
      <c r="J214" s="70"/>
      <c r="K214" s="71" t="str">
        <f aca="false">IF($J214="","",N($J214)*N(発注計算!$H210))</f>
        <v/>
      </c>
      <c r="L214" s="72"/>
      <c r="M214" s="72"/>
      <c r="N214" s="72"/>
      <c r="O214" s="72"/>
      <c r="P214" s="72"/>
      <c r="Q214" s="72"/>
      <c r="R214" s="72"/>
      <c r="S214" s="72"/>
      <c r="T214" s="72"/>
      <c r="U214" s="72"/>
      <c r="V214" s="72"/>
      <c r="W214" s="72"/>
      <c r="X214" s="72"/>
      <c r="Y214" s="72"/>
      <c r="Z214" s="31" t="n">
        <f aca="false">IF(OR(N($J214)&lt;=0,AND(③発注書!$C$5&lt;&gt;"すべて",発注計算!$F210&lt;&gt;③発注書!$C$5)),N(Z213),N(Z213)+1)</f>
        <v>7</v>
      </c>
    </row>
    <row r="215" customFormat="false" ht="16.5" hidden="false" customHeight="true" outlineLevel="0" collapsed="false">
      <c r="B215" s="66" t="n">
        <v>206</v>
      </c>
      <c r="C215" s="66" t="str">
        <f aca="false">IF(発注計算!$C211="","",発注計算!$D211)</f>
        <v/>
      </c>
      <c r="D215" s="66" t="str">
        <f aca="false">IF(発注計算!$C211="","",発注計算!$E211)</f>
        <v/>
      </c>
      <c r="E215" s="67" t="str">
        <f aca="false">IF(発注計算!$C211="","",発注計算!$T211)</f>
        <v/>
      </c>
      <c r="F215" s="67" t="str">
        <f aca="false">IF(ISNUMBER($E215),$E215-N(発注計算!$I211),"")</f>
        <v/>
      </c>
      <c r="G215" s="68" t="str">
        <f aca="false">IF(発注計算!$C211="","",IF(NOT(ISNUMBER($F215)),"データなし",IF($F215&lt;=0,"今日が期限",IF($F215&lt;=N(発注計算!$AG211),"要発注","余裕"))))</f>
        <v/>
      </c>
      <c r="H215" s="67" t="str">
        <f aca="false">IF(OR(発注計算!$C211="",NOT(ISNUMBER(発注計算!$S211)),発注計算!$S211&lt;=0),"",(発注計算!$K211+N($J215)*N(発注計算!$G211))/発注計算!$S211)</f>
        <v/>
      </c>
      <c r="I215" s="69" t="str">
        <f aca="false">IF(発注計算!$C211="","",発注計算!$Y211)</f>
        <v/>
      </c>
      <c r="J215" s="70"/>
      <c r="K215" s="71" t="str">
        <f aca="false">IF($J215="","",N($J215)*N(発注計算!$H211))</f>
        <v/>
      </c>
      <c r="L215" s="72"/>
      <c r="M215" s="72"/>
      <c r="N215" s="72"/>
      <c r="O215" s="72"/>
      <c r="P215" s="72"/>
      <c r="Q215" s="72"/>
      <c r="R215" s="72"/>
      <c r="S215" s="72"/>
      <c r="T215" s="72"/>
      <c r="U215" s="72"/>
      <c r="V215" s="72"/>
      <c r="W215" s="72"/>
      <c r="X215" s="72"/>
      <c r="Y215" s="72"/>
      <c r="Z215" s="31" t="n">
        <f aca="false">IF(OR(N($J215)&lt;=0,AND(③発注書!$C$5&lt;&gt;"すべて",発注計算!$F211&lt;&gt;③発注書!$C$5)),N(Z214),N(Z214)+1)</f>
        <v>7</v>
      </c>
    </row>
    <row r="216" customFormat="false" ht="16.5" hidden="false" customHeight="true" outlineLevel="0" collapsed="false">
      <c r="B216" s="66" t="n">
        <v>207</v>
      </c>
      <c r="C216" s="66" t="str">
        <f aca="false">IF(発注計算!$C212="","",発注計算!$D212)</f>
        <v/>
      </c>
      <c r="D216" s="66" t="str">
        <f aca="false">IF(発注計算!$C212="","",発注計算!$E212)</f>
        <v/>
      </c>
      <c r="E216" s="67" t="str">
        <f aca="false">IF(発注計算!$C212="","",発注計算!$T212)</f>
        <v/>
      </c>
      <c r="F216" s="67" t="str">
        <f aca="false">IF(ISNUMBER($E216),$E216-N(発注計算!$I212),"")</f>
        <v/>
      </c>
      <c r="G216" s="68" t="str">
        <f aca="false">IF(発注計算!$C212="","",IF(NOT(ISNUMBER($F216)),"データなし",IF($F216&lt;=0,"今日が期限",IF($F216&lt;=N(発注計算!$AG212),"要発注","余裕"))))</f>
        <v/>
      </c>
      <c r="H216" s="67" t="str">
        <f aca="false">IF(OR(発注計算!$C212="",NOT(ISNUMBER(発注計算!$S212)),発注計算!$S212&lt;=0),"",(発注計算!$K212+N($J216)*N(発注計算!$G212))/発注計算!$S212)</f>
        <v/>
      </c>
      <c r="I216" s="69" t="str">
        <f aca="false">IF(発注計算!$C212="","",発注計算!$Y212)</f>
        <v/>
      </c>
      <c r="J216" s="70"/>
      <c r="K216" s="71" t="str">
        <f aca="false">IF($J216="","",N($J216)*N(発注計算!$H212))</f>
        <v/>
      </c>
      <c r="L216" s="72"/>
      <c r="M216" s="72"/>
      <c r="N216" s="72"/>
      <c r="O216" s="72"/>
      <c r="P216" s="72"/>
      <c r="Q216" s="72"/>
      <c r="R216" s="72"/>
      <c r="S216" s="72"/>
      <c r="T216" s="72"/>
      <c r="U216" s="72"/>
      <c r="V216" s="72"/>
      <c r="W216" s="72"/>
      <c r="X216" s="72"/>
      <c r="Y216" s="72"/>
      <c r="Z216" s="31" t="n">
        <f aca="false">IF(OR(N($J216)&lt;=0,AND(③発注書!$C$5&lt;&gt;"すべて",発注計算!$F212&lt;&gt;③発注書!$C$5)),N(Z215),N(Z215)+1)</f>
        <v>7</v>
      </c>
    </row>
    <row r="217" customFormat="false" ht="16.5" hidden="false" customHeight="true" outlineLevel="0" collapsed="false">
      <c r="B217" s="66" t="n">
        <v>208</v>
      </c>
      <c r="C217" s="66" t="str">
        <f aca="false">IF(発注計算!$C213="","",発注計算!$D213)</f>
        <v/>
      </c>
      <c r="D217" s="66" t="str">
        <f aca="false">IF(発注計算!$C213="","",発注計算!$E213)</f>
        <v/>
      </c>
      <c r="E217" s="67" t="str">
        <f aca="false">IF(発注計算!$C213="","",発注計算!$T213)</f>
        <v/>
      </c>
      <c r="F217" s="67" t="str">
        <f aca="false">IF(ISNUMBER($E217),$E217-N(発注計算!$I213),"")</f>
        <v/>
      </c>
      <c r="G217" s="68" t="str">
        <f aca="false">IF(発注計算!$C213="","",IF(NOT(ISNUMBER($F217)),"データなし",IF($F217&lt;=0,"今日が期限",IF($F217&lt;=N(発注計算!$AG213),"要発注","余裕"))))</f>
        <v/>
      </c>
      <c r="H217" s="67" t="str">
        <f aca="false">IF(OR(発注計算!$C213="",NOT(ISNUMBER(発注計算!$S213)),発注計算!$S213&lt;=0),"",(発注計算!$K213+N($J217)*N(発注計算!$G213))/発注計算!$S213)</f>
        <v/>
      </c>
      <c r="I217" s="69" t="str">
        <f aca="false">IF(発注計算!$C213="","",発注計算!$Y213)</f>
        <v/>
      </c>
      <c r="J217" s="70"/>
      <c r="K217" s="71" t="str">
        <f aca="false">IF($J217="","",N($J217)*N(発注計算!$H213))</f>
        <v/>
      </c>
      <c r="L217" s="72"/>
      <c r="M217" s="72"/>
      <c r="N217" s="72"/>
      <c r="O217" s="72"/>
      <c r="P217" s="72"/>
      <c r="Q217" s="72"/>
      <c r="R217" s="72"/>
      <c r="S217" s="72"/>
      <c r="T217" s="72"/>
      <c r="U217" s="72"/>
      <c r="V217" s="72"/>
      <c r="W217" s="72"/>
      <c r="X217" s="72"/>
      <c r="Y217" s="72"/>
      <c r="Z217" s="31" t="n">
        <f aca="false">IF(OR(N($J217)&lt;=0,AND(③発注書!$C$5&lt;&gt;"すべて",発注計算!$F213&lt;&gt;③発注書!$C$5)),N(Z216),N(Z216)+1)</f>
        <v>7</v>
      </c>
    </row>
    <row r="218" customFormat="false" ht="16.5" hidden="false" customHeight="true" outlineLevel="0" collapsed="false">
      <c r="B218" s="66" t="n">
        <v>209</v>
      </c>
      <c r="C218" s="66" t="str">
        <f aca="false">IF(発注計算!$C214="","",発注計算!$D214)</f>
        <v/>
      </c>
      <c r="D218" s="66" t="str">
        <f aca="false">IF(発注計算!$C214="","",発注計算!$E214)</f>
        <v/>
      </c>
      <c r="E218" s="67" t="str">
        <f aca="false">IF(発注計算!$C214="","",発注計算!$T214)</f>
        <v/>
      </c>
      <c r="F218" s="67" t="str">
        <f aca="false">IF(ISNUMBER($E218),$E218-N(発注計算!$I214),"")</f>
        <v/>
      </c>
      <c r="G218" s="68" t="str">
        <f aca="false">IF(発注計算!$C214="","",IF(NOT(ISNUMBER($F218)),"データなし",IF($F218&lt;=0,"今日が期限",IF($F218&lt;=N(発注計算!$AG214),"要発注","余裕"))))</f>
        <v/>
      </c>
      <c r="H218" s="67" t="str">
        <f aca="false">IF(OR(発注計算!$C214="",NOT(ISNUMBER(発注計算!$S214)),発注計算!$S214&lt;=0),"",(発注計算!$K214+N($J218)*N(発注計算!$G214))/発注計算!$S214)</f>
        <v/>
      </c>
      <c r="I218" s="69" t="str">
        <f aca="false">IF(発注計算!$C214="","",発注計算!$Y214)</f>
        <v/>
      </c>
      <c r="J218" s="70"/>
      <c r="K218" s="71" t="str">
        <f aca="false">IF($J218="","",N($J218)*N(発注計算!$H214))</f>
        <v/>
      </c>
      <c r="L218" s="72"/>
      <c r="M218" s="72"/>
      <c r="N218" s="72"/>
      <c r="O218" s="72"/>
      <c r="P218" s="72"/>
      <c r="Q218" s="72"/>
      <c r="R218" s="72"/>
      <c r="S218" s="72"/>
      <c r="T218" s="72"/>
      <c r="U218" s="72"/>
      <c r="V218" s="72"/>
      <c r="W218" s="72"/>
      <c r="X218" s="72"/>
      <c r="Y218" s="72"/>
      <c r="Z218" s="31" t="n">
        <f aca="false">IF(OR(N($J218)&lt;=0,AND(③発注書!$C$5&lt;&gt;"すべて",発注計算!$F214&lt;&gt;③発注書!$C$5)),N(Z217),N(Z217)+1)</f>
        <v>7</v>
      </c>
    </row>
    <row r="219" customFormat="false" ht="16.5" hidden="false" customHeight="true" outlineLevel="0" collapsed="false">
      <c r="B219" s="66" t="n">
        <v>210</v>
      </c>
      <c r="C219" s="66" t="str">
        <f aca="false">IF(発注計算!$C215="","",発注計算!$D215)</f>
        <v/>
      </c>
      <c r="D219" s="66" t="str">
        <f aca="false">IF(発注計算!$C215="","",発注計算!$E215)</f>
        <v/>
      </c>
      <c r="E219" s="67" t="str">
        <f aca="false">IF(発注計算!$C215="","",発注計算!$T215)</f>
        <v/>
      </c>
      <c r="F219" s="67" t="str">
        <f aca="false">IF(ISNUMBER($E219),$E219-N(発注計算!$I215),"")</f>
        <v/>
      </c>
      <c r="G219" s="68" t="str">
        <f aca="false">IF(発注計算!$C215="","",IF(NOT(ISNUMBER($F219)),"データなし",IF($F219&lt;=0,"今日が期限",IF($F219&lt;=N(発注計算!$AG215),"要発注","余裕"))))</f>
        <v/>
      </c>
      <c r="H219" s="67" t="str">
        <f aca="false">IF(OR(発注計算!$C215="",NOT(ISNUMBER(発注計算!$S215)),発注計算!$S215&lt;=0),"",(発注計算!$K215+N($J219)*N(発注計算!$G215))/発注計算!$S215)</f>
        <v/>
      </c>
      <c r="I219" s="69" t="str">
        <f aca="false">IF(発注計算!$C215="","",発注計算!$Y215)</f>
        <v/>
      </c>
      <c r="J219" s="70"/>
      <c r="K219" s="71" t="str">
        <f aca="false">IF($J219="","",N($J219)*N(発注計算!$H215))</f>
        <v/>
      </c>
      <c r="L219" s="72"/>
      <c r="M219" s="72"/>
      <c r="N219" s="72"/>
      <c r="O219" s="72"/>
      <c r="P219" s="72"/>
      <c r="Q219" s="72"/>
      <c r="R219" s="72"/>
      <c r="S219" s="72"/>
      <c r="T219" s="72"/>
      <c r="U219" s="72"/>
      <c r="V219" s="72"/>
      <c r="W219" s="72"/>
      <c r="X219" s="72"/>
      <c r="Y219" s="72"/>
      <c r="Z219" s="31" t="n">
        <f aca="false">IF(OR(N($J219)&lt;=0,AND(③発注書!$C$5&lt;&gt;"すべて",発注計算!$F215&lt;&gt;③発注書!$C$5)),N(Z218),N(Z218)+1)</f>
        <v>7</v>
      </c>
    </row>
    <row r="220" customFormat="false" ht="16.5" hidden="false" customHeight="true" outlineLevel="0" collapsed="false">
      <c r="B220" s="66" t="n">
        <v>211</v>
      </c>
      <c r="C220" s="66" t="str">
        <f aca="false">IF(発注計算!$C216="","",発注計算!$D216)</f>
        <v/>
      </c>
      <c r="D220" s="66" t="str">
        <f aca="false">IF(発注計算!$C216="","",発注計算!$E216)</f>
        <v/>
      </c>
      <c r="E220" s="67" t="str">
        <f aca="false">IF(発注計算!$C216="","",発注計算!$T216)</f>
        <v/>
      </c>
      <c r="F220" s="67" t="str">
        <f aca="false">IF(ISNUMBER($E220),$E220-N(発注計算!$I216),"")</f>
        <v/>
      </c>
      <c r="G220" s="68" t="str">
        <f aca="false">IF(発注計算!$C216="","",IF(NOT(ISNUMBER($F220)),"データなし",IF($F220&lt;=0,"今日が期限",IF($F220&lt;=N(発注計算!$AG216),"要発注","余裕"))))</f>
        <v/>
      </c>
      <c r="H220" s="67" t="str">
        <f aca="false">IF(OR(発注計算!$C216="",NOT(ISNUMBER(発注計算!$S216)),発注計算!$S216&lt;=0),"",(発注計算!$K216+N($J220)*N(発注計算!$G216))/発注計算!$S216)</f>
        <v/>
      </c>
      <c r="I220" s="69" t="str">
        <f aca="false">IF(発注計算!$C216="","",発注計算!$Y216)</f>
        <v/>
      </c>
      <c r="J220" s="70"/>
      <c r="K220" s="71" t="str">
        <f aca="false">IF($J220="","",N($J220)*N(発注計算!$H216))</f>
        <v/>
      </c>
      <c r="L220" s="72"/>
      <c r="M220" s="72"/>
      <c r="N220" s="72"/>
      <c r="O220" s="72"/>
      <c r="P220" s="72"/>
      <c r="Q220" s="72"/>
      <c r="R220" s="72"/>
      <c r="S220" s="72"/>
      <c r="T220" s="72"/>
      <c r="U220" s="72"/>
      <c r="V220" s="72"/>
      <c r="W220" s="72"/>
      <c r="X220" s="72"/>
      <c r="Y220" s="72"/>
      <c r="Z220" s="31" t="n">
        <f aca="false">IF(OR(N($J220)&lt;=0,AND(③発注書!$C$5&lt;&gt;"すべて",発注計算!$F216&lt;&gt;③発注書!$C$5)),N(Z219),N(Z219)+1)</f>
        <v>7</v>
      </c>
    </row>
    <row r="221" customFormat="false" ht="16.5" hidden="false" customHeight="true" outlineLevel="0" collapsed="false">
      <c r="B221" s="66" t="n">
        <v>212</v>
      </c>
      <c r="C221" s="66" t="str">
        <f aca="false">IF(発注計算!$C217="","",発注計算!$D217)</f>
        <v/>
      </c>
      <c r="D221" s="66" t="str">
        <f aca="false">IF(発注計算!$C217="","",発注計算!$E217)</f>
        <v/>
      </c>
      <c r="E221" s="67" t="str">
        <f aca="false">IF(発注計算!$C217="","",発注計算!$T217)</f>
        <v/>
      </c>
      <c r="F221" s="67" t="str">
        <f aca="false">IF(ISNUMBER($E221),$E221-N(発注計算!$I217),"")</f>
        <v/>
      </c>
      <c r="G221" s="68" t="str">
        <f aca="false">IF(発注計算!$C217="","",IF(NOT(ISNUMBER($F221)),"データなし",IF($F221&lt;=0,"今日が期限",IF($F221&lt;=N(発注計算!$AG217),"要発注","余裕"))))</f>
        <v/>
      </c>
      <c r="H221" s="67" t="str">
        <f aca="false">IF(OR(発注計算!$C217="",NOT(ISNUMBER(発注計算!$S217)),発注計算!$S217&lt;=0),"",(発注計算!$K217+N($J221)*N(発注計算!$G217))/発注計算!$S217)</f>
        <v/>
      </c>
      <c r="I221" s="69" t="str">
        <f aca="false">IF(発注計算!$C217="","",発注計算!$Y217)</f>
        <v/>
      </c>
      <c r="J221" s="70"/>
      <c r="K221" s="71" t="str">
        <f aca="false">IF($J221="","",N($J221)*N(発注計算!$H217))</f>
        <v/>
      </c>
      <c r="L221" s="72"/>
      <c r="M221" s="72"/>
      <c r="N221" s="72"/>
      <c r="O221" s="72"/>
      <c r="P221" s="72"/>
      <c r="Q221" s="72"/>
      <c r="R221" s="72"/>
      <c r="S221" s="72"/>
      <c r="T221" s="72"/>
      <c r="U221" s="72"/>
      <c r="V221" s="72"/>
      <c r="W221" s="72"/>
      <c r="X221" s="72"/>
      <c r="Y221" s="72"/>
      <c r="Z221" s="31" t="n">
        <f aca="false">IF(OR(N($J221)&lt;=0,AND(③発注書!$C$5&lt;&gt;"すべて",発注計算!$F217&lt;&gt;③発注書!$C$5)),N(Z220),N(Z220)+1)</f>
        <v>7</v>
      </c>
    </row>
    <row r="222" customFormat="false" ht="16.5" hidden="false" customHeight="true" outlineLevel="0" collapsed="false">
      <c r="B222" s="66" t="n">
        <v>213</v>
      </c>
      <c r="C222" s="66" t="str">
        <f aca="false">IF(発注計算!$C218="","",発注計算!$D218)</f>
        <v/>
      </c>
      <c r="D222" s="66" t="str">
        <f aca="false">IF(発注計算!$C218="","",発注計算!$E218)</f>
        <v/>
      </c>
      <c r="E222" s="67" t="str">
        <f aca="false">IF(発注計算!$C218="","",発注計算!$T218)</f>
        <v/>
      </c>
      <c r="F222" s="67" t="str">
        <f aca="false">IF(ISNUMBER($E222),$E222-N(発注計算!$I218),"")</f>
        <v/>
      </c>
      <c r="G222" s="68" t="str">
        <f aca="false">IF(発注計算!$C218="","",IF(NOT(ISNUMBER($F222)),"データなし",IF($F222&lt;=0,"今日が期限",IF($F222&lt;=N(発注計算!$AG218),"要発注","余裕"))))</f>
        <v/>
      </c>
      <c r="H222" s="67" t="str">
        <f aca="false">IF(OR(発注計算!$C218="",NOT(ISNUMBER(発注計算!$S218)),発注計算!$S218&lt;=0),"",(発注計算!$K218+N($J222)*N(発注計算!$G218))/発注計算!$S218)</f>
        <v/>
      </c>
      <c r="I222" s="69" t="str">
        <f aca="false">IF(発注計算!$C218="","",発注計算!$Y218)</f>
        <v/>
      </c>
      <c r="J222" s="70"/>
      <c r="K222" s="71" t="str">
        <f aca="false">IF($J222="","",N($J222)*N(発注計算!$H218))</f>
        <v/>
      </c>
      <c r="L222" s="72"/>
      <c r="M222" s="72"/>
      <c r="N222" s="72"/>
      <c r="O222" s="72"/>
      <c r="P222" s="72"/>
      <c r="Q222" s="72"/>
      <c r="R222" s="72"/>
      <c r="S222" s="72"/>
      <c r="T222" s="72"/>
      <c r="U222" s="72"/>
      <c r="V222" s="72"/>
      <c r="W222" s="72"/>
      <c r="X222" s="72"/>
      <c r="Y222" s="72"/>
      <c r="Z222" s="31" t="n">
        <f aca="false">IF(OR(N($J222)&lt;=0,AND(③発注書!$C$5&lt;&gt;"すべて",発注計算!$F218&lt;&gt;③発注書!$C$5)),N(Z221),N(Z221)+1)</f>
        <v>7</v>
      </c>
    </row>
    <row r="223" customFormat="false" ht="16.5" hidden="false" customHeight="true" outlineLevel="0" collapsed="false">
      <c r="B223" s="66" t="n">
        <v>214</v>
      </c>
      <c r="C223" s="66" t="str">
        <f aca="false">IF(発注計算!$C219="","",発注計算!$D219)</f>
        <v/>
      </c>
      <c r="D223" s="66" t="str">
        <f aca="false">IF(発注計算!$C219="","",発注計算!$E219)</f>
        <v/>
      </c>
      <c r="E223" s="67" t="str">
        <f aca="false">IF(発注計算!$C219="","",発注計算!$T219)</f>
        <v/>
      </c>
      <c r="F223" s="67" t="str">
        <f aca="false">IF(ISNUMBER($E223),$E223-N(発注計算!$I219),"")</f>
        <v/>
      </c>
      <c r="G223" s="68" t="str">
        <f aca="false">IF(発注計算!$C219="","",IF(NOT(ISNUMBER($F223)),"データなし",IF($F223&lt;=0,"今日が期限",IF($F223&lt;=N(発注計算!$AG219),"要発注","余裕"))))</f>
        <v/>
      </c>
      <c r="H223" s="67" t="str">
        <f aca="false">IF(OR(発注計算!$C219="",NOT(ISNUMBER(発注計算!$S219)),発注計算!$S219&lt;=0),"",(発注計算!$K219+N($J223)*N(発注計算!$G219))/発注計算!$S219)</f>
        <v/>
      </c>
      <c r="I223" s="69" t="str">
        <f aca="false">IF(発注計算!$C219="","",発注計算!$Y219)</f>
        <v/>
      </c>
      <c r="J223" s="70"/>
      <c r="K223" s="71" t="str">
        <f aca="false">IF($J223="","",N($J223)*N(発注計算!$H219))</f>
        <v/>
      </c>
      <c r="L223" s="72"/>
      <c r="M223" s="72"/>
      <c r="N223" s="72"/>
      <c r="O223" s="72"/>
      <c r="P223" s="72"/>
      <c r="Q223" s="72"/>
      <c r="R223" s="72"/>
      <c r="S223" s="72"/>
      <c r="T223" s="72"/>
      <c r="U223" s="72"/>
      <c r="V223" s="72"/>
      <c r="W223" s="72"/>
      <c r="X223" s="72"/>
      <c r="Y223" s="72"/>
      <c r="Z223" s="31" t="n">
        <f aca="false">IF(OR(N($J223)&lt;=0,AND(③発注書!$C$5&lt;&gt;"すべて",発注計算!$F219&lt;&gt;③発注書!$C$5)),N(Z222),N(Z222)+1)</f>
        <v>7</v>
      </c>
    </row>
    <row r="224" customFormat="false" ht="16.5" hidden="false" customHeight="true" outlineLevel="0" collapsed="false">
      <c r="B224" s="66" t="n">
        <v>215</v>
      </c>
      <c r="C224" s="66" t="str">
        <f aca="false">IF(発注計算!$C220="","",発注計算!$D220)</f>
        <v/>
      </c>
      <c r="D224" s="66" t="str">
        <f aca="false">IF(発注計算!$C220="","",発注計算!$E220)</f>
        <v/>
      </c>
      <c r="E224" s="67" t="str">
        <f aca="false">IF(発注計算!$C220="","",発注計算!$T220)</f>
        <v/>
      </c>
      <c r="F224" s="67" t="str">
        <f aca="false">IF(ISNUMBER($E224),$E224-N(発注計算!$I220),"")</f>
        <v/>
      </c>
      <c r="G224" s="68" t="str">
        <f aca="false">IF(発注計算!$C220="","",IF(NOT(ISNUMBER($F224)),"データなし",IF($F224&lt;=0,"今日が期限",IF($F224&lt;=N(発注計算!$AG220),"要発注","余裕"))))</f>
        <v/>
      </c>
      <c r="H224" s="67" t="str">
        <f aca="false">IF(OR(発注計算!$C220="",NOT(ISNUMBER(発注計算!$S220)),発注計算!$S220&lt;=0),"",(発注計算!$K220+N($J224)*N(発注計算!$G220))/発注計算!$S220)</f>
        <v/>
      </c>
      <c r="I224" s="69" t="str">
        <f aca="false">IF(発注計算!$C220="","",発注計算!$Y220)</f>
        <v/>
      </c>
      <c r="J224" s="70"/>
      <c r="K224" s="71" t="str">
        <f aca="false">IF($J224="","",N($J224)*N(発注計算!$H220))</f>
        <v/>
      </c>
      <c r="L224" s="72"/>
      <c r="M224" s="72"/>
      <c r="N224" s="72"/>
      <c r="O224" s="72"/>
      <c r="P224" s="72"/>
      <c r="Q224" s="72"/>
      <c r="R224" s="72"/>
      <c r="S224" s="72"/>
      <c r="T224" s="72"/>
      <c r="U224" s="72"/>
      <c r="V224" s="72"/>
      <c r="W224" s="72"/>
      <c r="X224" s="72"/>
      <c r="Y224" s="72"/>
      <c r="Z224" s="31" t="n">
        <f aca="false">IF(OR(N($J224)&lt;=0,AND(③発注書!$C$5&lt;&gt;"すべて",発注計算!$F220&lt;&gt;③発注書!$C$5)),N(Z223),N(Z223)+1)</f>
        <v>7</v>
      </c>
    </row>
    <row r="225" customFormat="false" ht="16.5" hidden="false" customHeight="true" outlineLevel="0" collapsed="false">
      <c r="B225" s="66" t="n">
        <v>216</v>
      </c>
      <c r="C225" s="66" t="str">
        <f aca="false">IF(発注計算!$C221="","",発注計算!$D221)</f>
        <v/>
      </c>
      <c r="D225" s="66" t="str">
        <f aca="false">IF(発注計算!$C221="","",発注計算!$E221)</f>
        <v/>
      </c>
      <c r="E225" s="67" t="str">
        <f aca="false">IF(発注計算!$C221="","",発注計算!$T221)</f>
        <v/>
      </c>
      <c r="F225" s="67" t="str">
        <f aca="false">IF(ISNUMBER($E225),$E225-N(発注計算!$I221),"")</f>
        <v/>
      </c>
      <c r="G225" s="68" t="str">
        <f aca="false">IF(発注計算!$C221="","",IF(NOT(ISNUMBER($F225)),"データなし",IF($F225&lt;=0,"今日が期限",IF($F225&lt;=N(発注計算!$AG221),"要発注","余裕"))))</f>
        <v/>
      </c>
      <c r="H225" s="67" t="str">
        <f aca="false">IF(OR(発注計算!$C221="",NOT(ISNUMBER(発注計算!$S221)),発注計算!$S221&lt;=0),"",(発注計算!$K221+N($J225)*N(発注計算!$G221))/発注計算!$S221)</f>
        <v/>
      </c>
      <c r="I225" s="69" t="str">
        <f aca="false">IF(発注計算!$C221="","",発注計算!$Y221)</f>
        <v/>
      </c>
      <c r="J225" s="70"/>
      <c r="K225" s="71" t="str">
        <f aca="false">IF($J225="","",N($J225)*N(発注計算!$H221))</f>
        <v/>
      </c>
      <c r="L225" s="72"/>
      <c r="M225" s="72"/>
      <c r="N225" s="72"/>
      <c r="O225" s="72"/>
      <c r="P225" s="72"/>
      <c r="Q225" s="72"/>
      <c r="R225" s="72"/>
      <c r="S225" s="72"/>
      <c r="T225" s="72"/>
      <c r="U225" s="72"/>
      <c r="V225" s="72"/>
      <c r="W225" s="72"/>
      <c r="X225" s="72"/>
      <c r="Y225" s="72"/>
      <c r="Z225" s="31" t="n">
        <f aca="false">IF(OR(N($J225)&lt;=0,AND(③発注書!$C$5&lt;&gt;"すべて",発注計算!$F221&lt;&gt;③発注書!$C$5)),N(Z224),N(Z224)+1)</f>
        <v>7</v>
      </c>
    </row>
    <row r="226" customFormat="false" ht="16.5" hidden="false" customHeight="true" outlineLevel="0" collapsed="false">
      <c r="B226" s="66" t="n">
        <v>217</v>
      </c>
      <c r="C226" s="66" t="str">
        <f aca="false">IF(発注計算!$C222="","",発注計算!$D222)</f>
        <v/>
      </c>
      <c r="D226" s="66" t="str">
        <f aca="false">IF(発注計算!$C222="","",発注計算!$E222)</f>
        <v/>
      </c>
      <c r="E226" s="67" t="str">
        <f aca="false">IF(発注計算!$C222="","",発注計算!$T222)</f>
        <v/>
      </c>
      <c r="F226" s="67" t="str">
        <f aca="false">IF(ISNUMBER($E226),$E226-N(発注計算!$I222),"")</f>
        <v/>
      </c>
      <c r="G226" s="68" t="str">
        <f aca="false">IF(発注計算!$C222="","",IF(NOT(ISNUMBER($F226)),"データなし",IF($F226&lt;=0,"今日が期限",IF($F226&lt;=N(発注計算!$AG222),"要発注","余裕"))))</f>
        <v/>
      </c>
      <c r="H226" s="67" t="str">
        <f aca="false">IF(OR(発注計算!$C222="",NOT(ISNUMBER(発注計算!$S222)),発注計算!$S222&lt;=0),"",(発注計算!$K222+N($J226)*N(発注計算!$G222))/発注計算!$S222)</f>
        <v/>
      </c>
      <c r="I226" s="69" t="str">
        <f aca="false">IF(発注計算!$C222="","",発注計算!$Y222)</f>
        <v/>
      </c>
      <c r="J226" s="70"/>
      <c r="K226" s="71" t="str">
        <f aca="false">IF($J226="","",N($J226)*N(発注計算!$H222))</f>
        <v/>
      </c>
      <c r="L226" s="72"/>
      <c r="M226" s="72"/>
      <c r="N226" s="72"/>
      <c r="O226" s="72"/>
      <c r="P226" s="72"/>
      <c r="Q226" s="72"/>
      <c r="R226" s="72"/>
      <c r="S226" s="72"/>
      <c r="T226" s="72"/>
      <c r="U226" s="72"/>
      <c r="V226" s="72"/>
      <c r="W226" s="72"/>
      <c r="X226" s="72"/>
      <c r="Y226" s="72"/>
      <c r="Z226" s="31" t="n">
        <f aca="false">IF(OR(N($J226)&lt;=0,AND(③発注書!$C$5&lt;&gt;"すべて",発注計算!$F222&lt;&gt;③発注書!$C$5)),N(Z225),N(Z225)+1)</f>
        <v>7</v>
      </c>
    </row>
    <row r="227" customFormat="false" ht="16.5" hidden="false" customHeight="true" outlineLevel="0" collapsed="false">
      <c r="B227" s="66" t="n">
        <v>218</v>
      </c>
      <c r="C227" s="66" t="str">
        <f aca="false">IF(発注計算!$C223="","",発注計算!$D223)</f>
        <v/>
      </c>
      <c r="D227" s="66" t="str">
        <f aca="false">IF(発注計算!$C223="","",発注計算!$E223)</f>
        <v/>
      </c>
      <c r="E227" s="67" t="str">
        <f aca="false">IF(発注計算!$C223="","",発注計算!$T223)</f>
        <v/>
      </c>
      <c r="F227" s="67" t="str">
        <f aca="false">IF(ISNUMBER($E227),$E227-N(発注計算!$I223),"")</f>
        <v/>
      </c>
      <c r="G227" s="68" t="str">
        <f aca="false">IF(発注計算!$C223="","",IF(NOT(ISNUMBER($F227)),"データなし",IF($F227&lt;=0,"今日が期限",IF($F227&lt;=N(発注計算!$AG223),"要発注","余裕"))))</f>
        <v/>
      </c>
      <c r="H227" s="67" t="str">
        <f aca="false">IF(OR(発注計算!$C223="",NOT(ISNUMBER(発注計算!$S223)),発注計算!$S223&lt;=0),"",(発注計算!$K223+N($J227)*N(発注計算!$G223))/発注計算!$S223)</f>
        <v/>
      </c>
      <c r="I227" s="69" t="str">
        <f aca="false">IF(発注計算!$C223="","",発注計算!$Y223)</f>
        <v/>
      </c>
      <c r="J227" s="70"/>
      <c r="K227" s="71" t="str">
        <f aca="false">IF($J227="","",N($J227)*N(発注計算!$H223))</f>
        <v/>
      </c>
      <c r="L227" s="72"/>
      <c r="M227" s="72"/>
      <c r="N227" s="72"/>
      <c r="O227" s="72"/>
      <c r="P227" s="72"/>
      <c r="Q227" s="72"/>
      <c r="R227" s="72"/>
      <c r="S227" s="72"/>
      <c r="T227" s="72"/>
      <c r="U227" s="72"/>
      <c r="V227" s="72"/>
      <c r="W227" s="72"/>
      <c r="X227" s="72"/>
      <c r="Y227" s="72"/>
      <c r="Z227" s="31" t="n">
        <f aca="false">IF(OR(N($J227)&lt;=0,AND(③発注書!$C$5&lt;&gt;"すべて",発注計算!$F223&lt;&gt;③発注書!$C$5)),N(Z226),N(Z226)+1)</f>
        <v>7</v>
      </c>
    </row>
    <row r="228" customFormat="false" ht="16.5" hidden="false" customHeight="true" outlineLevel="0" collapsed="false">
      <c r="B228" s="66" t="n">
        <v>219</v>
      </c>
      <c r="C228" s="66" t="str">
        <f aca="false">IF(発注計算!$C224="","",発注計算!$D224)</f>
        <v/>
      </c>
      <c r="D228" s="66" t="str">
        <f aca="false">IF(発注計算!$C224="","",発注計算!$E224)</f>
        <v/>
      </c>
      <c r="E228" s="67" t="str">
        <f aca="false">IF(発注計算!$C224="","",発注計算!$T224)</f>
        <v/>
      </c>
      <c r="F228" s="67" t="str">
        <f aca="false">IF(ISNUMBER($E228),$E228-N(発注計算!$I224),"")</f>
        <v/>
      </c>
      <c r="G228" s="68" t="str">
        <f aca="false">IF(発注計算!$C224="","",IF(NOT(ISNUMBER($F228)),"データなし",IF($F228&lt;=0,"今日が期限",IF($F228&lt;=N(発注計算!$AG224),"要発注","余裕"))))</f>
        <v/>
      </c>
      <c r="H228" s="67" t="str">
        <f aca="false">IF(OR(発注計算!$C224="",NOT(ISNUMBER(発注計算!$S224)),発注計算!$S224&lt;=0),"",(発注計算!$K224+N($J228)*N(発注計算!$G224))/発注計算!$S224)</f>
        <v/>
      </c>
      <c r="I228" s="69" t="str">
        <f aca="false">IF(発注計算!$C224="","",発注計算!$Y224)</f>
        <v/>
      </c>
      <c r="J228" s="70"/>
      <c r="K228" s="71" t="str">
        <f aca="false">IF($J228="","",N($J228)*N(発注計算!$H224))</f>
        <v/>
      </c>
      <c r="L228" s="72"/>
      <c r="M228" s="72"/>
      <c r="N228" s="72"/>
      <c r="O228" s="72"/>
      <c r="P228" s="72"/>
      <c r="Q228" s="72"/>
      <c r="R228" s="72"/>
      <c r="S228" s="72"/>
      <c r="T228" s="72"/>
      <c r="U228" s="72"/>
      <c r="V228" s="72"/>
      <c r="W228" s="72"/>
      <c r="X228" s="72"/>
      <c r="Y228" s="72"/>
      <c r="Z228" s="31" t="n">
        <f aca="false">IF(OR(N($J228)&lt;=0,AND(③発注書!$C$5&lt;&gt;"すべて",発注計算!$F224&lt;&gt;③発注書!$C$5)),N(Z227),N(Z227)+1)</f>
        <v>7</v>
      </c>
    </row>
    <row r="229" customFormat="false" ht="16.5" hidden="false" customHeight="true" outlineLevel="0" collapsed="false">
      <c r="B229" s="66" t="n">
        <v>220</v>
      </c>
      <c r="C229" s="66" t="str">
        <f aca="false">IF(発注計算!$C225="","",発注計算!$D225)</f>
        <v/>
      </c>
      <c r="D229" s="66" t="str">
        <f aca="false">IF(発注計算!$C225="","",発注計算!$E225)</f>
        <v/>
      </c>
      <c r="E229" s="67" t="str">
        <f aca="false">IF(発注計算!$C225="","",発注計算!$T225)</f>
        <v/>
      </c>
      <c r="F229" s="67" t="str">
        <f aca="false">IF(ISNUMBER($E229),$E229-N(発注計算!$I225),"")</f>
        <v/>
      </c>
      <c r="G229" s="68" t="str">
        <f aca="false">IF(発注計算!$C225="","",IF(NOT(ISNUMBER($F229)),"データなし",IF($F229&lt;=0,"今日が期限",IF($F229&lt;=N(発注計算!$AG225),"要発注","余裕"))))</f>
        <v/>
      </c>
      <c r="H229" s="67" t="str">
        <f aca="false">IF(OR(発注計算!$C225="",NOT(ISNUMBER(発注計算!$S225)),発注計算!$S225&lt;=0),"",(発注計算!$K225+N($J229)*N(発注計算!$G225))/発注計算!$S225)</f>
        <v/>
      </c>
      <c r="I229" s="69" t="str">
        <f aca="false">IF(発注計算!$C225="","",発注計算!$Y225)</f>
        <v/>
      </c>
      <c r="J229" s="70"/>
      <c r="K229" s="71" t="str">
        <f aca="false">IF($J229="","",N($J229)*N(発注計算!$H225))</f>
        <v/>
      </c>
      <c r="L229" s="72"/>
      <c r="M229" s="72"/>
      <c r="N229" s="72"/>
      <c r="O229" s="72"/>
      <c r="P229" s="72"/>
      <c r="Q229" s="72"/>
      <c r="R229" s="72"/>
      <c r="S229" s="72"/>
      <c r="T229" s="72"/>
      <c r="U229" s="72"/>
      <c r="V229" s="72"/>
      <c r="W229" s="72"/>
      <c r="X229" s="72"/>
      <c r="Y229" s="72"/>
      <c r="Z229" s="31" t="n">
        <f aca="false">IF(OR(N($J229)&lt;=0,AND(③発注書!$C$5&lt;&gt;"すべて",発注計算!$F225&lt;&gt;③発注書!$C$5)),N(Z228),N(Z228)+1)</f>
        <v>7</v>
      </c>
    </row>
    <row r="230" customFormat="false" ht="16.5" hidden="false" customHeight="true" outlineLevel="0" collapsed="false">
      <c r="B230" s="66" t="n">
        <v>221</v>
      </c>
      <c r="C230" s="66" t="str">
        <f aca="false">IF(発注計算!$C226="","",発注計算!$D226)</f>
        <v/>
      </c>
      <c r="D230" s="66" t="str">
        <f aca="false">IF(発注計算!$C226="","",発注計算!$E226)</f>
        <v/>
      </c>
      <c r="E230" s="67" t="str">
        <f aca="false">IF(発注計算!$C226="","",発注計算!$T226)</f>
        <v/>
      </c>
      <c r="F230" s="67" t="str">
        <f aca="false">IF(ISNUMBER($E230),$E230-N(発注計算!$I226),"")</f>
        <v/>
      </c>
      <c r="G230" s="68" t="str">
        <f aca="false">IF(発注計算!$C226="","",IF(NOT(ISNUMBER($F230)),"データなし",IF($F230&lt;=0,"今日が期限",IF($F230&lt;=N(発注計算!$AG226),"要発注","余裕"))))</f>
        <v/>
      </c>
      <c r="H230" s="67" t="str">
        <f aca="false">IF(OR(発注計算!$C226="",NOT(ISNUMBER(発注計算!$S226)),発注計算!$S226&lt;=0),"",(発注計算!$K226+N($J230)*N(発注計算!$G226))/発注計算!$S226)</f>
        <v/>
      </c>
      <c r="I230" s="69" t="str">
        <f aca="false">IF(発注計算!$C226="","",発注計算!$Y226)</f>
        <v/>
      </c>
      <c r="J230" s="70"/>
      <c r="K230" s="71" t="str">
        <f aca="false">IF($J230="","",N($J230)*N(発注計算!$H226))</f>
        <v/>
      </c>
      <c r="L230" s="72"/>
      <c r="M230" s="72"/>
      <c r="N230" s="72"/>
      <c r="O230" s="72"/>
      <c r="P230" s="72"/>
      <c r="Q230" s="72"/>
      <c r="R230" s="72"/>
      <c r="S230" s="72"/>
      <c r="T230" s="72"/>
      <c r="U230" s="72"/>
      <c r="V230" s="72"/>
      <c r="W230" s="72"/>
      <c r="X230" s="72"/>
      <c r="Y230" s="72"/>
      <c r="Z230" s="31" t="n">
        <f aca="false">IF(OR(N($J230)&lt;=0,AND(③発注書!$C$5&lt;&gt;"すべて",発注計算!$F226&lt;&gt;③発注書!$C$5)),N(Z229),N(Z229)+1)</f>
        <v>7</v>
      </c>
    </row>
    <row r="231" customFormat="false" ht="16.5" hidden="false" customHeight="true" outlineLevel="0" collapsed="false">
      <c r="B231" s="66" t="n">
        <v>222</v>
      </c>
      <c r="C231" s="66" t="str">
        <f aca="false">IF(発注計算!$C227="","",発注計算!$D227)</f>
        <v/>
      </c>
      <c r="D231" s="66" t="str">
        <f aca="false">IF(発注計算!$C227="","",発注計算!$E227)</f>
        <v/>
      </c>
      <c r="E231" s="67" t="str">
        <f aca="false">IF(発注計算!$C227="","",発注計算!$T227)</f>
        <v/>
      </c>
      <c r="F231" s="67" t="str">
        <f aca="false">IF(ISNUMBER($E231),$E231-N(発注計算!$I227),"")</f>
        <v/>
      </c>
      <c r="G231" s="68" t="str">
        <f aca="false">IF(発注計算!$C227="","",IF(NOT(ISNUMBER($F231)),"データなし",IF($F231&lt;=0,"今日が期限",IF($F231&lt;=N(発注計算!$AG227),"要発注","余裕"))))</f>
        <v/>
      </c>
      <c r="H231" s="67" t="str">
        <f aca="false">IF(OR(発注計算!$C227="",NOT(ISNUMBER(発注計算!$S227)),発注計算!$S227&lt;=0),"",(発注計算!$K227+N($J231)*N(発注計算!$G227))/発注計算!$S227)</f>
        <v/>
      </c>
      <c r="I231" s="69" t="str">
        <f aca="false">IF(発注計算!$C227="","",発注計算!$Y227)</f>
        <v/>
      </c>
      <c r="J231" s="70"/>
      <c r="K231" s="71" t="str">
        <f aca="false">IF($J231="","",N($J231)*N(発注計算!$H227))</f>
        <v/>
      </c>
      <c r="L231" s="72"/>
      <c r="M231" s="72"/>
      <c r="N231" s="72"/>
      <c r="O231" s="72"/>
      <c r="P231" s="72"/>
      <c r="Q231" s="72"/>
      <c r="R231" s="72"/>
      <c r="S231" s="72"/>
      <c r="T231" s="72"/>
      <c r="U231" s="72"/>
      <c r="V231" s="72"/>
      <c r="W231" s="72"/>
      <c r="X231" s="72"/>
      <c r="Y231" s="72"/>
      <c r="Z231" s="31" t="n">
        <f aca="false">IF(OR(N($J231)&lt;=0,AND(③発注書!$C$5&lt;&gt;"すべて",発注計算!$F227&lt;&gt;③発注書!$C$5)),N(Z230),N(Z230)+1)</f>
        <v>7</v>
      </c>
    </row>
    <row r="232" customFormat="false" ht="16.5" hidden="false" customHeight="true" outlineLevel="0" collapsed="false">
      <c r="B232" s="66" t="n">
        <v>223</v>
      </c>
      <c r="C232" s="66" t="str">
        <f aca="false">IF(発注計算!$C228="","",発注計算!$D228)</f>
        <v/>
      </c>
      <c r="D232" s="66" t="str">
        <f aca="false">IF(発注計算!$C228="","",発注計算!$E228)</f>
        <v/>
      </c>
      <c r="E232" s="67" t="str">
        <f aca="false">IF(発注計算!$C228="","",発注計算!$T228)</f>
        <v/>
      </c>
      <c r="F232" s="67" t="str">
        <f aca="false">IF(ISNUMBER($E232),$E232-N(発注計算!$I228),"")</f>
        <v/>
      </c>
      <c r="G232" s="68" t="str">
        <f aca="false">IF(発注計算!$C228="","",IF(NOT(ISNUMBER($F232)),"データなし",IF($F232&lt;=0,"今日が期限",IF($F232&lt;=N(発注計算!$AG228),"要発注","余裕"))))</f>
        <v/>
      </c>
      <c r="H232" s="67" t="str">
        <f aca="false">IF(OR(発注計算!$C228="",NOT(ISNUMBER(発注計算!$S228)),発注計算!$S228&lt;=0),"",(発注計算!$K228+N($J232)*N(発注計算!$G228))/発注計算!$S228)</f>
        <v/>
      </c>
      <c r="I232" s="69" t="str">
        <f aca="false">IF(発注計算!$C228="","",発注計算!$Y228)</f>
        <v/>
      </c>
      <c r="J232" s="70"/>
      <c r="K232" s="71" t="str">
        <f aca="false">IF($J232="","",N($J232)*N(発注計算!$H228))</f>
        <v/>
      </c>
      <c r="L232" s="72"/>
      <c r="M232" s="72"/>
      <c r="N232" s="72"/>
      <c r="O232" s="72"/>
      <c r="P232" s="72"/>
      <c r="Q232" s="72"/>
      <c r="R232" s="72"/>
      <c r="S232" s="72"/>
      <c r="T232" s="72"/>
      <c r="U232" s="72"/>
      <c r="V232" s="72"/>
      <c r="W232" s="72"/>
      <c r="X232" s="72"/>
      <c r="Y232" s="72"/>
      <c r="Z232" s="31" t="n">
        <f aca="false">IF(OR(N($J232)&lt;=0,AND(③発注書!$C$5&lt;&gt;"すべて",発注計算!$F228&lt;&gt;③発注書!$C$5)),N(Z231),N(Z231)+1)</f>
        <v>7</v>
      </c>
    </row>
    <row r="233" customFormat="false" ht="16.5" hidden="false" customHeight="true" outlineLevel="0" collapsed="false">
      <c r="B233" s="66" t="n">
        <v>224</v>
      </c>
      <c r="C233" s="66" t="str">
        <f aca="false">IF(発注計算!$C229="","",発注計算!$D229)</f>
        <v/>
      </c>
      <c r="D233" s="66" t="str">
        <f aca="false">IF(発注計算!$C229="","",発注計算!$E229)</f>
        <v/>
      </c>
      <c r="E233" s="67" t="str">
        <f aca="false">IF(発注計算!$C229="","",発注計算!$T229)</f>
        <v/>
      </c>
      <c r="F233" s="67" t="str">
        <f aca="false">IF(ISNUMBER($E233),$E233-N(発注計算!$I229),"")</f>
        <v/>
      </c>
      <c r="G233" s="68" t="str">
        <f aca="false">IF(発注計算!$C229="","",IF(NOT(ISNUMBER($F233)),"データなし",IF($F233&lt;=0,"今日が期限",IF($F233&lt;=N(発注計算!$AG229),"要発注","余裕"))))</f>
        <v/>
      </c>
      <c r="H233" s="67" t="str">
        <f aca="false">IF(OR(発注計算!$C229="",NOT(ISNUMBER(発注計算!$S229)),発注計算!$S229&lt;=0),"",(発注計算!$K229+N($J233)*N(発注計算!$G229))/発注計算!$S229)</f>
        <v/>
      </c>
      <c r="I233" s="69" t="str">
        <f aca="false">IF(発注計算!$C229="","",発注計算!$Y229)</f>
        <v/>
      </c>
      <c r="J233" s="70"/>
      <c r="K233" s="71" t="str">
        <f aca="false">IF($J233="","",N($J233)*N(発注計算!$H229))</f>
        <v/>
      </c>
      <c r="L233" s="72"/>
      <c r="M233" s="72"/>
      <c r="N233" s="72"/>
      <c r="O233" s="72"/>
      <c r="P233" s="72"/>
      <c r="Q233" s="72"/>
      <c r="R233" s="72"/>
      <c r="S233" s="72"/>
      <c r="T233" s="72"/>
      <c r="U233" s="72"/>
      <c r="V233" s="72"/>
      <c r="W233" s="72"/>
      <c r="X233" s="72"/>
      <c r="Y233" s="72"/>
      <c r="Z233" s="31" t="n">
        <f aca="false">IF(OR(N($J233)&lt;=0,AND(③発注書!$C$5&lt;&gt;"すべて",発注計算!$F229&lt;&gt;③発注書!$C$5)),N(Z232),N(Z232)+1)</f>
        <v>7</v>
      </c>
    </row>
    <row r="234" customFormat="false" ht="16.5" hidden="false" customHeight="true" outlineLevel="0" collapsed="false">
      <c r="B234" s="66" t="n">
        <v>225</v>
      </c>
      <c r="C234" s="66" t="str">
        <f aca="false">IF(発注計算!$C230="","",発注計算!$D230)</f>
        <v/>
      </c>
      <c r="D234" s="66" t="str">
        <f aca="false">IF(発注計算!$C230="","",発注計算!$E230)</f>
        <v/>
      </c>
      <c r="E234" s="67" t="str">
        <f aca="false">IF(発注計算!$C230="","",発注計算!$T230)</f>
        <v/>
      </c>
      <c r="F234" s="67" t="str">
        <f aca="false">IF(ISNUMBER($E234),$E234-N(発注計算!$I230),"")</f>
        <v/>
      </c>
      <c r="G234" s="68" t="str">
        <f aca="false">IF(発注計算!$C230="","",IF(NOT(ISNUMBER($F234)),"データなし",IF($F234&lt;=0,"今日が期限",IF($F234&lt;=N(発注計算!$AG230),"要発注","余裕"))))</f>
        <v/>
      </c>
      <c r="H234" s="67" t="str">
        <f aca="false">IF(OR(発注計算!$C230="",NOT(ISNUMBER(発注計算!$S230)),発注計算!$S230&lt;=0),"",(発注計算!$K230+N($J234)*N(発注計算!$G230))/発注計算!$S230)</f>
        <v/>
      </c>
      <c r="I234" s="69" t="str">
        <f aca="false">IF(発注計算!$C230="","",発注計算!$Y230)</f>
        <v/>
      </c>
      <c r="J234" s="70"/>
      <c r="K234" s="71" t="str">
        <f aca="false">IF($J234="","",N($J234)*N(発注計算!$H230))</f>
        <v/>
      </c>
      <c r="L234" s="72"/>
      <c r="M234" s="72"/>
      <c r="N234" s="72"/>
      <c r="O234" s="72"/>
      <c r="P234" s="72"/>
      <c r="Q234" s="72"/>
      <c r="R234" s="72"/>
      <c r="S234" s="72"/>
      <c r="T234" s="72"/>
      <c r="U234" s="72"/>
      <c r="V234" s="72"/>
      <c r="W234" s="72"/>
      <c r="X234" s="72"/>
      <c r="Y234" s="72"/>
      <c r="Z234" s="31" t="n">
        <f aca="false">IF(OR(N($J234)&lt;=0,AND(③発注書!$C$5&lt;&gt;"すべて",発注計算!$F230&lt;&gt;③発注書!$C$5)),N(Z233),N(Z233)+1)</f>
        <v>7</v>
      </c>
    </row>
    <row r="235" customFormat="false" ht="16.5" hidden="false" customHeight="true" outlineLevel="0" collapsed="false">
      <c r="B235" s="66" t="n">
        <v>226</v>
      </c>
      <c r="C235" s="66" t="str">
        <f aca="false">IF(発注計算!$C231="","",発注計算!$D231)</f>
        <v/>
      </c>
      <c r="D235" s="66" t="str">
        <f aca="false">IF(発注計算!$C231="","",発注計算!$E231)</f>
        <v/>
      </c>
      <c r="E235" s="67" t="str">
        <f aca="false">IF(発注計算!$C231="","",発注計算!$T231)</f>
        <v/>
      </c>
      <c r="F235" s="67" t="str">
        <f aca="false">IF(ISNUMBER($E235),$E235-N(発注計算!$I231),"")</f>
        <v/>
      </c>
      <c r="G235" s="68" t="str">
        <f aca="false">IF(発注計算!$C231="","",IF(NOT(ISNUMBER($F235)),"データなし",IF($F235&lt;=0,"今日が期限",IF($F235&lt;=N(発注計算!$AG231),"要発注","余裕"))))</f>
        <v/>
      </c>
      <c r="H235" s="67" t="str">
        <f aca="false">IF(OR(発注計算!$C231="",NOT(ISNUMBER(発注計算!$S231)),発注計算!$S231&lt;=0),"",(発注計算!$K231+N($J235)*N(発注計算!$G231))/発注計算!$S231)</f>
        <v/>
      </c>
      <c r="I235" s="69" t="str">
        <f aca="false">IF(発注計算!$C231="","",発注計算!$Y231)</f>
        <v/>
      </c>
      <c r="J235" s="70"/>
      <c r="K235" s="71" t="str">
        <f aca="false">IF($J235="","",N($J235)*N(発注計算!$H231))</f>
        <v/>
      </c>
      <c r="L235" s="72"/>
      <c r="M235" s="72"/>
      <c r="N235" s="72"/>
      <c r="O235" s="72"/>
      <c r="P235" s="72"/>
      <c r="Q235" s="72"/>
      <c r="R235" s="72"/>
      <c r="S235" s="72"/>
      <c r="T235" s="72"/>
      <c r="U235" s="72"/>
      <c r="V235" s="72"/>
      <c r="W235" s="72"/>
      <c r="X235" s="72"/>
      <c r="Y235" s="72"/>
      <c r="Z235" s="31" t="n">
        <f aca="false">IF(OR(N($J235)&lt;=0,AND(③発注書!$C$5&lt;&gt;"すべて",発注計算!$F231&lt;&gt;③発注書!$C$5)),N(Z234),N(Z234)+1)</f>
        <v>7</v>
      </c>
    </row>
    <row r="236" customFormat="false" ht="16.5" hidden="false" customHeight="true" outlineLevel="0" collapsed="false">
      <c r="B236" s="66" t="n">
        <v>227</v>
      </c>
      <c r="C236" s="66" t="str">
        <f aca="false">IF(発注計算!$C232="","",発注計算!$D232)</f>
        <v/>
      </c>
      <c r="D236" s="66" t="str">
        <f aca="false">IF(発注計算!$C232="","",発注計算!$E232)</f>
        <v/>
      </c>
      <c r="E236" s="67" t="str">
        <f aca="false">IF(発注計算!$C232="","",発注計算!$T232)</f>
        <v/>
      </c>
      <c r="F236" s="67" t="str">
        <f aca="false">IF(ISNUMBER($E236),$E236-N(発注計算!$I232),"")</f>
        <v/>
      </c>
      <c r="G236" s="68" t="str">
        <f aca="false">IF(発注計算!$C232="","",IF(NOT(ISNUMBER($F236)),"データなし",IF($F236&lt;=0,"今日が期限",IF($F236&lt;=N(発注計算!$AG232),"要発注","余裕"))))</f>
        <v/>
      </c>
      <c r="H236" s="67" t="str">
        <f aca="false">IF(OR(発注計算!$C232="",NOT(ISNUMBER(発注計算!$S232)),発注計算!$S232&lt;=0),"",(発注計算!$K232+N($J236)*N(発注計算!$G232))/発注計算!$S232)</f>
        <v/>
      </c>
      <c r="I236" s="69" t="str">
        <f aca="false">IF(発注計算!$C232="","",発注計算!$Y232)</f>
        <v/>
      </c>
      <c r="J236" s="70"/>
      <c r="K236" s="71" t="str">
        <f aca="false">IF($J236="","",N($J236)*N(発注計算!$H232))</f>
        <v/>
      </c>
      <c r="L236" s="72"/>
      <c r="M236" s="72"/>
      <c r="N236" s="72"/>
      <c r="O236" s="72"/>
      <c r="P236" s="72"/>
      <c r="Q236" s="72"/>
      <c r="R236" s="72"/>
      <c r="S236" s="72"/>
      <c r="T236" s="72"/>
      <c r="U236" s="72"/>
      <c r="V236" s="72"/>
      <c r="W236" s="72"/>
      <c r="X236" s="72"/>
      <c r="Y236" s="72"/>
      <c r="Z236" s="31" t="n">
        <f aca="false">IF(OR(N($J236)&lt;=0,AND(③発注書!$C$5&lt;&gt;"すべて",発注計算!$F232&lt;&gt;③発注書!$C$5)),N(Z235),N(Z235)+1)</f>
        <v>7</v>
      </c>
    </row>
    <row r="237" customFormat="false" ht="16.5" hidden="false" customHeight="true" outlineLevel="0" collapsed="false">
      <c r="B237" s="66" t="n">
        <v>228</v>
      </c>
      <c r="C237" s="66" t="str">
        <f aca="false">IF(発注計算!$C233="","",発注計算!$D233)</f>
        <v/>
      </c>
      <c r="D237" s="66" t="str">
        <f aca="false">IF(発注計算!$C233="","",発注計算!$E233)</f>
        <v/>
      </c>
      <c r="E237" s="67" t="str">
        <f aca="false">IF(発注計算!$C233="","",発注計算!$T233)</f>
        <v/>
      </c>
      <c r="F237" s="67" t="str">
        <f aca="false">IF(ISNUMBER($E237),$E237-N(発注計算!$I233),"")</f>
        <v/>
      </c>
      <c r="G237" s="68" t="str">
        <f aca="false">IF(発注計算!$C233="","",IF(NOT(ISNUMBER($F237)),"データなし",IF($F237&lt;=0,"今日が期限",IF($F237&lt;=N(発注計算!$AG233),"要発注","余裕"))))</f>
        <v/>
      </c>
      <c r="H237" s="67" t="str">
        <f aca="false">IF(OR(発注計算!$C233="",NOT(ISNUMBER(発注計算!$S233)),発注計算!$S233&lt;=0),"",(発注計算!$K233+N($J237)*N(発注計算!$G233))/発注計算!$S233)</f>
        <v/>
      </c>
      <c r="I237" s="69" t="str">
        <f aca="false">IF(発注計算!$C233="","",発注計算!$Y233)</f>
        <v/>
      </c>
      <c r="J237" s="70"/>
      <c r="K237" s="71" t="str">
        <f aca="false">IF($J237="","",N($J237)*N(発注計算!$H233))</f>
        <v/>
      </c>
      <c r="L237" s="72"/>
      <c r="M237" s="72"/>
      <c r="N237" s="72"/>
      <c r="O237" s="72"/>
      <c r="P237" s="72"/>
      <c r="Q237" s="72"/>
      <c r="R237" s="72"/>
      <c r="S237" s="72"/>
      <c r="T237" s="72"/>
      <c r="U237" s="72"/>
      <c r="V237" s="72"/>
      <c r="W237" s="72"/>
      <c r="X237" s="72"/>
      <c r="Y237" s="72"/>
      <c r="Z237" s="31" t="n">
        <f aca="false">IF(OR(N($J237)&lt;=0,AND(③発注書!$C$5&lt;&gt;"すべて",発注計算!$F233&lt;&gt;③発注書!$C$5)),N(Z236),N(Z236)+1)</f>
        <v>7</v>
      </c>
    </row>
    <row r="238" customFormat="false" ht="16.5" hidden="false" customHeight="true" outlineLevel="0" collapsed="false">
      <c r="B238" s="66" t="n">
        <v>229</v>
      </c>
      <c r="C238" s="66" t="str">
        <f aca="false">IF(発注計算!$C234="","",発注計算!$D234)</f>
        <v/>
      </c>
      <c r="D238" s="66" t="str">
        <f aca="false">IF(発注計算!$C234="","",発注計算!$E234)</f>
        <v/>
      </c>
      <c r="E238" s="67" t="str">
        <f aca="false">IF(発注計算!$C234="","",発注計算!$T234)</f>
        <v/>
      </c>
      <c r="F238" s="67" t="str">
        <f aca="false">IF(ISNUMBER($E238),$E238-N(発注計算!$I234),"")</f>
        <v/>
      </c>
      <c r="G238" s="68" t="str">
        <f aca="false">IF(発注計算!$C234="","",IF(NOT(ISNUMBER($F238)),"データなし",IF($F238&lt;=0,"今日が期限",IF($F238&lt;=N(発注計算!$AG234),"要発注","余裕"))))</f>
        <v/>
      </c>
      <c r="H238" s="67" t="str">
        <f aca="false">IF(OR(発注計算!$C234="",NOT(ISNUMBER(発注計算!$S234)),発注計算!$S234&lt;=0),"",(発注計算!$K234+N($J238)*N(発注計算!$G234))/発注計算!$S234)</f>
        <v/>
      </c>
      <c r="I238" s="69" t="str">
        <f aca="false">IF(発注計算!$C234="","",発注計算!$Y234)</f>
        <v/>
      </c>
      <c r="J238" s="70"/>
      <c r="K238" s="71" t="str">
        <f aca="false">IF($J238="","",N($J238)*N(発注計算!$H234))</f>
        <v/>
      </c>
      <c r="L238" s="72"/>
      <c r="M238" s="72"/>
      <c r="N238" s="72"/>
      <c r="O238" s="72"/>
      <c r="P238" s="72"/>
      <c r="Q238" s="72"/>
      <c r="R238" s="72"/>
      <c r="S238" s="72"/>
      <c r="T238" s="72"/>
      <c r="U238" s="72"/>
      <c r="V238" s="72"/>
      <c r="W238" s="72"/>
      <c r="X238" s="72"/>
      <c r="Y238" s="72"/>
      <c r="Z238" s="31" t="n">
        <f aca="false">IF(OR(N($J238)&lt;=0,AND(③発注書!$C$5&lt;&gt;"すべて",発注計算!$F234&lt;&gt;③発注書!$C$5)),N(Z237),N(Z237)+1)</f>
        <v>7</v>
      </c>
    </row>
    <row r="239" customFormat="false" ht="16.5" hidden="false" customHeight="true" outlineLevel="0" collapsed="false">
      <c r="B239" s="66" t="n">
        <v>230</v>
      </c>
      <c r="C239" s="66" t="str">
        <f aca="false">IF(発注計算!$C235="","",発注計算!$D235)</f>
        <v/>
      </c>
      <c r="D239" s="66" t="str">
        <f aca="false">IF(発注計算!$C235="","",発注計算!$E235)</f>
        <v/>
      </c>
      <c r="E239" s="67" t="str">
        <f aca="false">IF(発注計算!$C235="","",発注計算!$T235)</f>
        <v/>
      </c>
      <c r="F239" s="67" t="str">
        <f aca="false">IF(ISNUMBER($E239),$E239-N(発注計算!$I235),"")</f>
        <v/>
      </c>
      <c r="G239" s="68" t="str">
        <f aca="false">IF(発注計算!$C235="","",IF(NOT(ISNUMBER($F239)),"データなし",IF($F239&lt;=0,"今日が期限",IF($F239&lt;=N(発注計算!$AG235),"要発注","余裕"))))</f>
        <v/>
      </c>
      <c r="H239" s="67" t="str">
        <f aca="false">IF(OR(発注計算!$C235="",NOT(ISNUMBER(発注計算!$S235)),発注計算!$S235&lt;=0),"",(発注計算!$K235+N($J239)*N(発注計算!$G235))/発注計算!$S235)</f>
        <v/>
      </c>
      <c r="I239" s="69" t="str">
        <f aca="false">IF(発注計算!$C235="","",発注計算!$Y235)</f>
        <v/>
      </c>
      <c r="J239" s="70"/>
      <c r="K239" s="71" t="str">
        <f aca="false">IF($J239="","",N($J239)*N(発注計算!$H235))</f>
        <v/>
      </c>
      <c r="L239" s="72"/>
      <c r="M239" s="72"/>
      <c r="N239" s="72"/>
      <c r="O239" s="72"/>
      <c r="P239" s="72"/>
      <c r="Q239" s="72"/>
      <c r="R239" s="72"/>
      <c r="S239" s="72"/>
      <c r="T239" s="72"/>
      <c r="U239" s="72"/>
      <c r="V239" s="72"/>
      <c r="W239" s="72"/>
      <c r="X239" s="72"/>
      <c r="Y239" s="72"/>
      <c r="Z239" s="31" t="n">
        <f aca="false">IF(OR(N($J239)&lt;=0,AND(③発注書!$C$5&lt;&gt;"すべて",発注計算!$F235&lt;&gt;③発注書!$C$5)),N(Z238),N(Z238)+1)</f>
        <v>7</v>
      </c>
    </row>
    <row r="240" customFormat="false" ht="16.5" hidden="false" customHeight="true" outlineLevel="0" collapsed="false">
      <c r="B240" s="66" t="n">
        <v>231</v>
      </c>
      <c r="C240" s="66" t="str">
        <f aca="false">IF(発注計算!$C236="","",発注計算!$D236)</f>
        <v/>
      </c>
      <c r="D240" s="66" t="str">
        <f aca="false">IF(発注計算!$C236="","",発注計算!$E236)</f>
        <v/>
      </c>
      <c r="E240" s="67" t="str">
        <f aca="false">IF(発注計算!$C236="","",発注計算!$T236)</f>
        <v/>
      </c>
      <c r="F240" s="67" t="str">
        <f aca="false">IF(ISNUMBER($E240),$E240-N(発注計算!$I236),"")</f>
        <v/>
      </c>
      <c r="G240" s="68" t="str">
        <f aca="false">IF(発注計算!$C236="","",IF(NOT(ISNUMBER($F240)),"データなし",IF($F240&lt;=0,"今日が期限",IF($F240&lt;=N(発注計算!$AG236),"要発注","余裕"))))</f>
        <v/>
      </c>
      <c r="H240" s="67" t="str">
        <f aca="false">IF(OR(発注計算!$C236="",NOT(ISNUMBER(発注計算!$S236)),発注計算!$S236&lt;=0),"",(発注計算!$K236+N($J240)*N(発注計算!$G236))/発注計算!$S236)</f>
        <v/>
      </c>
      <c r="I240" s="69" t="str">
        <f aca="false">IF(発注計算!$C236="","",発注計算!$Y236)</f>
        <v/>
      </c>
      <c r="J240" s="70"/>
      <c r="K240" s="71" t="str">
        <f aca="false">IF($J240="","",N($J240)*N(発注計算!$H236))</f>
        <v/>
      </c>
      <c r="L240" s="72"/>
      <c r="M240" s="72"/>
      <c r="N240" s="72"/>
      <c r="O240" s="72"/>
      <c r="P240" s="72"/>
      <c r="Q240" s="72"/>
      <c r="R240" s="72"/>
      <c r="S240" s="72"/>
      <c r="T240" s="72"/>
      <c r="U240" s="72"/>
      <c r="V240" s="72"/>
      <c r="W240" s="72"/>
      <c r="X240" s="72"/>
      <c r="Y240" s="72"/>
      <c r="Z240" s="31" t="n">
        <f aca="false">IF(OR(N($J240)&lt;=0,AND(③発注書!$C$5&lt;&gt;"すべて",発注計算!$F236&lt;&gt;③発注書!$C$5)),N(Z239),N(Z239)+1)</f>
        <v>7</v>
      </c>
    </row>
    <row r="241" customFormat="false" ht="16.5" hidden="false" customHeight="true" outlineLevel="0" collapsed="false">
      <c r="B241" s="66" t="n">
        <v>232</v>
      </c>
      <c r="C241" s="66" t="str">
        <f aca="false">IF(発注計算!$C237="","",発注計算!$D237)</f>
        <v/>
      </c>
      <c r="D241" s="66" t="str">
        <f aca="false">IF(発注計算!$C237="","",発注計算!$E237)</f>
        <v/>
      </c>
      <c r="E241" s="67" t="str">
        <f aca="false">IF(発注計算!$C237="","",発注計算!$T237)</f>
        <v/>
      </c>
      <c r="F241" s="67" t="str">
        <f aca="false">IF(ISNUMBER($E241),$E241-N(発注計算!$I237),"")</f>
        <v/>
      </c>
      <c r="G241" s="68" t="str">
        <f aca="false">IF(発注計算!$C237="","",IF(NOT(ISNUMBER($F241)),"データなし",IF($F241&lt;=0,"今日が期限",IF($F241&lt;=N(発注計算!$AG237),"要発注","余裕"))))</f>
        <v/>
      </c>
      <c r="H241" s="67" t="str">
        <f aca="false">IF(OR(発注計算!$C237="",NOT(ISNUMBER(発注計算!$S237)),発注計算!$S237&lt;=0),"",(発注計算!$K237+N($J241)*N(発注計算!$G237))/発注計算!$S237)</f>
        <v/>
      </c>
      <c r="I241" s="69" t="str">
        <f aca="false">IF(発注計算!$C237="","",発注計算!$Y237)</f>
        <v/>
      </c>
      <c r="J241" s="70"/>
      <c r="K241" s="71" t="str">
        <f aca="false">IF($J241="","",N($J241)*N(発注計算!$H237))</f>
        <v/>
      </c>
      <c r="L241" s="72"/>
      <c r="M241" s="72"/>
      <c r="N241" s="72"/>
      <c r="O241" s="72"/>
      <c r="P241" s="72"/>
      <c r="Q241" s="72"/>
      <c r="R241" s="72"/>
      <c r="S241" s="72"/>
      <c r="T241" s="72"/>
      <c r="U241" s="72"/>
      <c r="V241" s="72"/>
      <c r="W241" s="72"/>
      <c r="X241" s="72"/>
      <c r="Y241" s="72"/>
      <c r="Z241" s="31" t="n">
        <f aca="false">IF(OR(N($J241)&lt;=0,AND(③発注書!$C$5&lt;&gt;"すべて",発注計算!$F237&lt;&gt;③発注書!$C$5)),N(Z240),N(Z240)+1)</f>
        <v>7</v>
      </c>
    </row>
    <row r="242" customFormat="false" ht="16.5" hidden="false" customHeight="true" outlineLevel="0" collapsed="false">
      <c r="B242" s="66" t="n">
        <v>233</v>
      </c>
      <c r="C242" s="66" t="str">
        <f aca="false">IF(発注計算!$C238="","",発注計算!$D238)</f>
        <v/>
      </c>
      <c r="D242" s="66" t="str">
        <f aca="false">IF(発注計算!$C238="","",発注計算!$E238)</f>
        <v/>
      </c>
      <c r="E242" s="67" t="str">
        <f aca="false">IF(発注計算!$C238="","",発注計算!$T238)</f>
        <v/>
      </c>
      <c r="F242" s="67" t="str">
        <f aca="false">IF(ISNUMBER($E242),$E242-N(発注計算!$I238),"")</f>
        <v/>
      </c>
      <c r="G242" s="68" t="str">
        <f aca="false">IF(発注計算!$C238="","",IF(NOT(ISNUMBER($F242)),"データなし",IF($F242&lt;=0,"今日が期限",IF($F242&lt;=N(発注計算!$AG238),"要発注","余裕"))))</f>
        <v/>
      </c>
      <c r="H242" s="67" t="str">
        <f aca="false">IF(OR(発注計算!$C238="",NOT(ISNUMBER(発注計算!$S238)),発注計算!$S238&lt;=0),"",(発注計算!$K238+N($J242)*N(発注計算!$G238))/発注計算!$S238)</f>
        <v/>
      </c>
      <c r="I242" s="69" t="str">
        <f aca="false">IF(発注計算!$C238="","",発注計算!$Y238)</f>
        <v/>
      </c>
      <c r="J242" s="70"/>
      <c r="K242" s="71" t="str">
        <f aca="false">IF($J242="","",N($J242)*N(発注計算!$H238))</f>
        <v/>
      </c>
      <c r="L242" s="72"/>
      <c r="M242" s="72"/>
      <c r="N242" s="72"/>
      <c r="O242" s="72"/>
      <c r="P242" s="72"/>
      <c r="Q242" s="72"/>
      <c r="R242" s="72"/>
      <c r="S242" s="72"/>
      <c r="T242" s="72"/>
      <c r="U242" s="72"/>
      <c r="V242" s="72"/>
      <c r="W242" s="72"/>
      <c r="X242" s="72"/>
      <c r="Y242" s="72"/>
      <c r="Z242" s="31" t="n">
        <f aca="false">IF(OR(N($J242)&lt;=0,AND(③発注書!$C$5&lt;&gt;"すべて",発注計算!$F238&lt;&gt;③発注書!$C$5)),N(Z241),N(Z241)+1)</f>
        <v>7</v>
      </c>
    </row>
    <row r="243" customFormat="false" ht="16.5" hidden="false" customHeight="true" outlineLevel="0" collapsed="false">
      <c r="B243" s="66" t="n">
        <v>234</v>
      </c>
      <c r="C243" s="66" t="str">
        <f aca="false">IF(発注計算!$C239="","",発注計算!$D239)</f>
        <v/>
      </c>
      <c r="D243" s="66" t="str">
        <f aca="false">IF(発注計算!$C239="","",発注計算!$E239)</f>
        <v/>
      </c>
      <c r="E243" s="67" t="str">
        <f aca="false">IF(発注計算!$C239="","",発注計算!$T239)</f>
        <v/>
      </c>
      <c r="F243" s="67" t="str">
        <f aca="false">IF(ISNUMBER($E243),$E243-N(発注計算!$I239),"")</f>
        <v/>
      </c>
      <c r="G243" s="68" t="str">
        <f aca="false">IF(発注計算!$C239="","",IF(NOT(ISNUMBER($F243)),"データなし",IF($F243&lt;=0,"今日が期限",IF($F243&lt;=N(発注計算!$AG239),"要発注","余裕"))))</f>
        <v/>
      </c>
      <c r="H243" s="67" t="str">
        <f aca="false">IF(OR(発注計算!$C239="",NOT(ISNUMBER(発注計算!$S239)),発注計算!$S239&lt;=0),"",(発注計算!$K239+N($J243)*N(発注計算!$G239))/発注計算!$S239)</f>
        <v/>
      </c>
      <c r="I243" s="69" t="str">
        <f aca="false">IF(発注計算!$C239="","",発注計算!$Y239)</f>
        <v/>
      </c>
      <c r="J243" s="70"/>
      <c r="K243" s="71" t="str">
        <f aca="false">IF($J243="","",N($J243)*N(発注計算!$H239))</f>
        <v/>
      </c>
      <c r="L243" s="72"/>
      <c r="M243" s="72"/>
      <c r="N243" s="72"/>
      <c r="O243" s="72"/>
      <c r="P243" s="72"/>
      <c r="Q243" s="72"/>
      <c r="R243" s="72"/>
      <c r="S243" s="72"/>
      <c r="T243" s="72"/>
      <c r="U243" s="72"/>
      <c r="V243" s="72"/>
      <c r="W243" s="72"/>
      <c r="X243" s="72"/>
      <c r="Y243" s="72"/>
      <c r="Z243" s="31" t="n">
        <f aca="false">IF(OR(N($J243)&lt;=0,AND(③発注書!$C$5&lt;&gt;"すべて",発注計算!$F239&lt;&gt;③発注書!$C$5)),N(Z242),N(Z242)+1)</f>
        <v>7</v>
      </c>
    </row>
    <row r="244" customFormat="false" ht="16.5" hidden="false" customHeight="true" outlineLevel="0" collapsed="false">
      <c r="B244" s="66" t="n">
        <v>235</v>
      </c>
      <c r="C244" s="66" t="str">
        <f aca="false">IF(発注計算!$C240="","",発注計算!$D240)</f>
        <v/>
      </c>
      <c r="D244" s="66" t="str">
        <f aca="false">IF(発注計算!$C240="","",発注計算!$E240)</f>
        <v/>
      </c>
      <c r="E244" s="67" t="str">
        <f aca="false">IF(発注計算!$C240="","",発注計算!$T240)</f>
        <v/>
      </c>
      <c r="F244" s="67" t="str">
        <f aca="false">IF(ISNUMBER($E244),$E244-N(発注計算!$I240),"")</f>
        <v/>
      </c>
      <c r="G244" s="68" t="str">
        <f aca="false">IF(発注計算!$C240="","",IF(NOT(ISNUMBER($F244)),"データなし",IF($F244&lt;=0,"今日が期限",IF($F244&lt;=N(発注計算!$AG240),"要発注","余裕"))))</f>
        <v/>
      </c>
      <c r="H244" s="67" t="str">
        <f aca="false">IF(OR(発注計算!$C240="",NOT(ISNUMBER(発注計算!$S240)),発注計算!$S240&lt;=0),"",(発注計算!$K240+N($J244)*N(発注計算!$G240))/発注計算!$S240)</f>
        <v/>
      </c>
      <c r="I244" s="69" t="str">
        <f aca="false">IF(発注計算!$C240="","",発注計算!$Y240)</f>
        <v/>
      </c>
      <c r="J244" s="70"/>
      <c r="K244" s="71" t="str">
        <f aca="false">IF($J244="","",N($J244)*N(発注計算!$H240))</f>
        <v/>
      </c>
      <c r="L244" s="72"/>
      <c r="M244" s="72"/>
      <c r="N244" s="72"/>
      <c r="O244" s="72"/>
      <c r="P244" s="72"/>
      <c r="Q244" s="72"/>
      <c r="R244" s="72"/>
      <c r="S244" s="72"/>
      <c r="T244" s="72"/>
      <c r="U244" s="72"/>
      <c r="V244" s="72"/>
      <c r="W244" s="72"/>
      <c r="X244" s="72"/>
      <c r="Y244" s="72"/>
      <c r="Z244" s="31" t="n">
        <f aca="false">IF(OR(N($J244)&lt;=0,AND(③発注書!$C$5&lt;&gt;"すべて",発注計算!$F240&lt;&gt;③発注書!$C$5)),N(Z243),N(Z243)+1)</f>
        <v>7</v>
      </c>
    </row>
    <row r="245" customFormat="false" ht="16.5" hidden="false" customHeight="true" outlineLevel="0" collapsed="false">
      <c r="B245" s="66" t="n">
        <v>236</v>
      </c>
      <c r="C245" s="66" t="str">
        <f aca="false">IF(発注計算!$C241="","",発注計算!$D241)</f>
        <v/>
      </c>
      <c r="D245" s="66" t="str">
        <f aca="false">IF(発注計算!$C241="","",発注計算!$E241)</f>
        <v/>
      </c>
      <c r="E245" s="67" t="str">
        <f aca="false">IF(発注計算!$C241="","",発注計算!$T241)</f>
        <v/>
      </c>
      <c r="F245" s="67" t="str">
        <f aca="false">IF(ISNUMBER($E245),$E245-N(発注計算!$I241),"")</f>
        <v/>
      </c>
      <c r="G245" s="68" t="str">
        <f aca="false">IF(発注計算!$C241="","",IF(NOT(ISNUMBER($F245)),"データなし",IF($F245&lt;=0,"今日が期限",IF($F245&lt;=N(発注計算!$AG241),"要発注","余裕"))))</f>
        <v/>
      </c>
      <c r="H245" s="67" t="str">
        <f aca="false">IF(OR(発注計算!$C241="",NOT(ISNUMBER(発注計算!$S241)),発注計算!$S241&lt;=0),"",(発注計算!$K241+N($J245)*N(発注計算!$G241))/発注計算!$S241)</f>
        <v/>
      </c>
      <c r="I245" s="69" t="str">
        <f aca="false">IF(発注計算!$C241="","",発注計算!$Y241)</f>
        <v/>
      </c>
      <c r="J245" s="70"/>
      <c r="K245" s="71" t="str">
        <f aca="false">IF($J245="","",N($J245)*N(発注計算!$H241))</f>
        <v/>
      </c>
      <c r="L245" s="72"/>
      <c r="M245" s="72"/>
      <c r="N245" s="72"/>
      <c r="O245" s="72"/>
      <c r="P245" s="72"/>
      <c r="Q245" s="72"/>
      <c r="R245" s="72"/>
      <c r="S245" s="72"/>
      <c r="T245" s="72"/>
      <c r="U245" s="72"/>
      <c r="V245" s="72"/>
      <c r="W245" s="72"/>
      <c r="X245" s="72"/>
      <c r="Y245" s="72"/>
      <c r="Z245" s="31" t="n">
        <f aca="false">IF(OR(N($J245)&lt;=0,AND(③発注書!$C$5&lt;&gt;"すべて",発注計算!$F241&lt;&gt;③発注書!$C$5)),N(Z244),N(Z244)+1)</f>
        <v>7</v>
      </c>
    </row>
    <row r="246" customFormat="false" ht="16.5" hidden="false" customHeight="true" outlineLevel="0" collapsed="false">
      <c r="B246" s="66" t="n">
        <v>237</v>
      </c>
      <c r="C246" s="66" t="str">
        <f aca="false">IF(発注計算!$C242="","",発注計算!$D242)</f>
        <v/>
      </c>
      <c r="D246" s="66" t="str">
        <f aca="false">IF(発注計算!$C242="","",発注計算!$E242)</f>
        <v/>
      </c>
      <c r="E246" s="67" t="str">
        <f aca="false">IF(発注計算!$C242="","",発注計算!$T242)</f>
        <v/>
      </c>
      <c r="F246" s="67" t="str">
        <f aca="false">IF(ISNUMBER($E246),$E246-N(発注計算!$I242),"")</f>
        <v/>
      </c>
      <c r="G246" s="68" t="str">
        <f aca="false">IF(発注計算!$C242="","",IF(NOT(ISNUMBER($F246)),"データなし",IF($F246&lt;=0,"今日が期限",IF($F246&lt;=N(発注計算!$AG242),"要発注","余裕"))))</f>
        <v/>
      </c>
      <c r="H246" s="67" t="str">
        <f aca="false">IF(OR(発注計算!$C242="",NOT(ISNUMBER(発注計算!$S242)),発注計算!$S242&lt;=0),"",(発注計算!$K242+N($J246)*N(発注計算!$G242))/発注計算!$S242)</f>
        <v/>
      </c>
      <c r="I246" s="69" t="str">
        <f aca="false">IF(発注計算!$C242="","",発注計算!$Y242)</f>
        <v/>
      </c>
      <c r="J246" s="70"/>
      <c r="K246" s="71" t="str">
        <f aca="false">IF($J246="","",N($J246)*N(発注計算!$H242))</f>
        <v/>
      </c>
      <c r="L246" s="72"/>
      <c r="M246" s="72"/>
      <c r="N246" s="72"/>
      <c r="O246" s="72"/>
      <c r="P246" s="72"/>
      <c r="Q246" s="72"/>
      <c r="R246" s="72"/>
      <c r="S246" s="72"/>
      <c r="T246" s="72"/>
      <c r="U246" s="72"/>
      <c r="V246" s="72"/>
      <c r="W246" s="72"/>
      <c r="X246" s="72"/>
      <c r="Y246" s="72"/>
      <c r="Z246" s="31" t="n">
        <f aca="false">IF(OR(N($J246)&lt;=0,AND(③発注書!$C$5&lt;&gt;"すべて",発注計算!$F242&lt;&gt;③発注書!$C$5)),N(Z245),N(Z245)+1)</f>
        <v>7</v>
      </c>
    </row>
    <row r="247" customFormat="false" ht="16.5" hidden="false" customHeight="true" outlineLevel="0" collapsed="false">
      <c r="B247" s="66" t="n">
        <v>238</v>
      </c>
      <c r="C247" s="66" t="str">
        <f aca="false">IF(発注計算!$C243="","",発注計算!$D243)</f>
        <v/>
      </c>
      <c r="D247" s="66" t="str">
        <f aca="false">IF(発注計算!$C243="","",発注計算!$E243)</f>
        <v/>
      </c>
      <c r="E247" s="67" t="str">
        <f aca="false">IF(発注計算!$C243="","",発注計算!$T243)</f>
        <v/>
      </c>
      <c r="F247" s="67" t="str">
        <f aca="false">IF(ISNUMBER($E247),$E247-N(発注計算!$I243),"")</f>
        <v/>
      </c>
      <c r="G247" s="68" t="str">
        <f aca="false">IF(発注計算!$C243="","",IF(NOT(ISNUMBER($F247)),"データなし",IF($F247&lt;=0,"今日が期限",IF($F247&lt;=N(発注計算!$AG243),"要発注","余裕"))))</f>
        <v/>
      </c>
      <c r="H247" s="67" t="str">
        <f aca="false">IF(OR(発注計算!$C243="",NOT(ISNUMBER(発注計算!$S243)),発注計算!$S243&lt;=0),"",(発注計算!$K243+N($J247)*N(発注計算!$G243))/発注計算!$S243)</f>
        <v/>
      </c>
      <c r="I247" s="69" t="str">
        <f aca="false">IF(発注計算!$C243="","",発注計算!$Y243)</f>
        <v/>
      </c>
      <c r="J247" s="70"/>
      <c r="K247" s="71" t="str">
        <f aca="false">IF($J247="","",N($J247)*N(発注計算!$H243))</f>
        <v/>
      </c>
      <c r="L247" s="72"/>
      <c r="M247" s="72"/>
      <c r="N247" s="72"/>
      <c r="O247" s="72"/>
      <c r="P247" s="72"/>
      <c r="Q247" s="72"/>
      <c r="R247" s="72"/>
      <c r="S247" s="72"/>
      <c r="T247" s="72"/>
      <c r="U247" s="72"/>
      <c r="V247" s="72"/>
      <c r="W247" s="72"/>
      <c r="X247" s="72"/>
      <c r="Y247" s="72"/>
      <c r="Z247" s="31" t="n">
        <f aca="false">IF(OR(N($J247)&lt;=0,AND(③発注書!$C$5&lt;&gt;"すべて",発注計算!$F243&lt;&gt;③発注書!$C$5)),N(Z246),N(Z246)+1)</f>
        <v>7</v>
      </c>
    </row>
    <row r="248" customFormat="false" ht="16.5" hidden="false" customHeight="true" outlineLevel="0" collapsed="false">
      <c r="B248" s="66" t="n">
        <v>239</v>
      </c>
      <c r="C248" s="66" t="str">
        <f aca="false">IF(発注計算!$C244="","",発注計算!$D244)</f>
        <v/>
      </c>
      <c r="D248" s="66" t="str">
        <f aca="false">IF(発注計算!$C244="","",発注計算!$E244)</f>
        <v/>
      </c>
      <c r="E248" s="67" t="str">
        <f aca="false">IF(発注計算!$C244="","",発注計算!$T244)</f>
        <v/>
      </c>
      <c r="F248" s="67" t="str">
        <f aca="false">IF(ISNUMBER($E248),$E248-N(発注計算!$I244),"")</f>
        <v/>
      </c>
      <c r="G248" s="68" t="str">
        <f aca="false">IF(発注計算!$C244="","",IF(NOT(ISNUMBER($F248)),"データなし",IF($F248&lt;=0,"今日が期限",IF($F248&lt;=N(発注計算!$AG244),"要発注","余裕"))))</f>
        <v/>
      </c>
      <c r="H248" s="67" t="str">
        <f aca="false">IF(OR(発注計算!$C244="",NOT(ISNUMBER(発注計算!$S244)),発注計算!$S244&lt;=0),"",(発注計算!$K244+N($J248)*N(発注計算!$G244))/発注計算!$S244)</f>
        <v/>
      </c>
      <c r="I248" s="69" t="str">
        <f aca="false">IF(発注計算!$C244="","",発注計算!$Y244)</f>
        <v/>
      </c>
      <c r="J248" s="70"/>
      <c r="K248" s="71" t="str">
        <f aca="false">IF($J248="","",N($J248)*N(発注計算!$H244))</f>
        <v/>
      </c>
      <c r="L248" s="72"/>
      <c r="M248" s="72"/>
      <c r="N248" s="72"/>
      <c r="O248" s="72"/>
      <c r="P248" s="72"/>
      <c r="Q248" s="72"/>
      <c r="R248" s="72"/>
      <c r="S248" s="72"/>
      <c r="T248" s="72"/>
      <c r="U248" s="72"/>
      <c r="V248" s="72"/>
      <c r="W248" s="72"/>
      <c r="X248" s="72"/>
      <c r="Y248" s="72"/>
      <c r="Z248" s="31" t="n">
        <f aca="false">IF(OR(N($J248)&lt;=0,AND(③発注書!$C$5&lt;&gt;"すべて",発注計算!$F244&lt;&gt;③発注書!$C$5)),N(Z247),N(Z247)+1)</f>
        <v>7</v>
      </c>
    </row>
    <row r="249" customFormat="false" ht="16.5" hidden="false" customHeight="true" outlineLevel="0" collapsed="false">
      <c r="B249" s="66" t="n">
        <v>240</v>
      </c>
      <c r="C249" s="66" t="str">
        <f aca="false">IF(発注計算!$C245="","",発注計算!$D245)</f>
        <v/>
      </c>
      <c r="D249" s="66" t="str">
        <f aca="false">IF(発注計算!$C245="","",発注計算!$E245)</f>
        <v/>
      </c>
      <c r="E249" s="67" t="str">
        <f aca="false">IF(発注計算!$C245="","",発注計算!$T245)</f>
        <v/>
      </c>
      <c r="F249" s="67" t="str">
        <f aca="false">IF(ISNUMBER($E249),$E249-N(発注計算!$I245),"")</f>
        <v/>
      </c>
      <c r="G249" s="68" t="str">
        <f aca="false">IF(発注計算!$C245="","",IF(NOT(ISNUMBER($F249)),"データなし",IF($F249&lt;=0,"今日が期限",IF($F249&lt;=N(発注計算!$AG245),"要発注","余裕"))))</f>
        <v/>
      </c>
      <c r="H249" s="67" t="str">
        <f aca="false">IF(OR(発注計算!$C245="",NOT(ISNUMBER(発注計算!$S245)),発注計算!$S245&lt;=0),"",(発注計算!$K245+N($J249)*N(発注計算!$G245))/発注計算!$S245)</f>
        <v/>
      </c>
      <c r="I249" s="69" t="str">
        <f aca="false">IF(発注計算!$C245="","",発注計算!$Y245)</f>
        <v/>
      </c>
      <c r="J249" s="70"/>
      <c r="K249" s="71" t="str">
        <f aca="false">IF($J249="","",N($J249)*N(発注計算!$H245))</f>
        <v/>
      </c>
      <c r="L249" s="72"/>
      <c r="M249" s="72"/>
      <c r="N249" s="72"/>
      <c r="O249" s="72"/>
      <c r="P249" s="72"/>
      <c r="Q249" s="72"/>
      <c r="R249" s="72"/>
      <c r="S249" s="72"/>
      <c r="T249" s="72"/>
      <c r="U249" s="72"/>
      <c r="V249" s="72"/>
      <c r="W249" s="72"/>
      <c r="X249" s="72"/>
      <c r="Y249" s="72"/>
      <c r="Z249" s="31" t="n">
        <f aca="false">IF(OR(N($J249)&lt;=0,AND(③発注書!$C$5&lt;&gt;"すべて",発注計算!$F245&lt;&gt;③発注書!$C$5)),N(Z248),N(Z248)+1)</f>
        <v>7</v>
      </c>
    </row>
    <row r="250" customFormat="false" ht="16.5" hidden="false" customHeight="true" outlineLevel="0" collapsed="false">
      <c r="B250" s="66" t="n">
        <v>241</v>
      </c>
      <c r="C250" s="66" t="str">
        <f aca="false">IF(発注計算!$C246="","",発注計算!$D246)</f>
        <v/>
      </c>
      <c r="D250" s="66" t="str">
        <f aca="false">IF(発注計算!$C246="","",発注計算!$E246)</f>
        <v/>
      </c>
      <c r="E250" s="67" t="str">
        <f aca="false">IF(発注計算!$C246="","",発注計算!$T246)</f>
        <v/>
      </c>
      <c r="F250" s="67" t="str">
        <f aca="false">IF(ISNUMBER($E250),$E250-N(発注計算!$I246),"")</f>
        <v/>
      </c>
      <c r="G250" s="68" t="str">
        <f aca="false">IF(発注計算!$C246="","",IF(NOT(ISNUMBER($F250)),"データなし",IF($F250&lt;=0,"今日が期限",IF($F250&lt;=N(発注計算!$AG246),"要発注","余裕"))))</f>
        <v/>
      </c>
      <c r="H250" s="67" t="str">
        <f aca="false">IF(OR(発注計算!$C246="",NOT(ISNUMBER(発注計算!$S246)),発注計算!$S246&lt;=0),"",(発注計算!$K246+N($J250)*N(発注計算!$G246))/発注計算!$S246)</f>
        <v/>
      </c>
      <c r="I250" s="69" t="str">
        <f aca="false">IF(発注計算!$C246="","",発注計算!$Y246)</f>
        <v/>
      </c>
      <c r="J250" s="70"/>
      <c r="K250" s="71" t="str">
        <f aca="false">IF($J250="","",N($J250)*N(発注計算!$H246))</f>
        <v/>
      </c>
      <c r="L250" s="72"/>
      <c r="M250" s="72"/>
      <c r="N250" s="72"/>
      <c r="O250" s="72"/>
      <c r="P250" s="72"/>
      <c r="Q250" s="72"/>
      <c r="R250" s="72"/>
      <c r="S250" s="72"/>
      <c r="T250" s="72"/>
      <c r="U250" s="72"/>
      <c r="V250" s="72"/>
      <c r="W250" s="72"/>
      <c r="X250" s="72"/>
      <c r="Y250" s="72"/>
      <c r="Z250" s="31" t="n">
        <f aca="false">IF(OR(N($J250)&lt;=0,AND(③発注書!$C$5&lt;&gt;"すべて",発注計算!$F246&lt;&gt;③発注書!$C$5)),N(Z249),N(Z249)+1)</f>
        <v>7</v>
      </c>
    </row>
    <row r="251" customFormat="false" ht="16.5" hidden="false" customHeight="true" outlineLevel="0" collapsed="false">
      <c r="B251" s="66" t="n">
        <v>242</v>
      </c>
      <c r="C251" s="66" t="str">
        <f aca="false">IF(発注計算!$C247="","",発注計算!$D247)</f>
        <v/>
      </c>
      <c r="D251" s="66" t="str">
        <f aca="false">IF(発注計算!$C247="","",発注計算!$E247)</f>
        <v/>
      </c>
      <c r="E251" s="67" t="str">
        <f aca="false">IF(発注計算!$C247="","",発注計算!$T247)</f>
        <v/>
      </c>
      <c r="F251" s="67" t="str">
        <f aca="false">IF(ISNUMBER($E251),$E251-N(発注計算!$I247),"")</f>
        <v/>
      </c>
      <c r="G251" s="68" t="str">
        <f aca="false">IF(発注計算!$C247="","",IF(NOT(ISNUMBER($F251)),"データなし",IF($F251&lt;=0,"今日が期限",IF($F251&lt;=N(発注計算!$AG247),"要発注","余裕"))))</f>
        <v/>
      </c>
      <c r="H251" s="67" t="str">
        <f aca="false">IF(OR(発注計算!$C247="",NOT(ISNUMBER(発注計算!$S247)),発注計算!$S247&lt;=0),"",(発注計算!$K247+N($J251)*N(発注計算!$G247))/発注計算!$S247)</f>
        <v/>
      </c>
      <c r="I251" s="69" t="str">
        <f aca="false">IF(発注計算!$C247="","",発注計算!$Y247)</f>
        <v/>
      </c>
      <c r="J251" s="70"/>
      <c r="K251" s="71" t="str">
        <f aca="false">IF($J251="","",N($J251)*N(発注計算!$H247))</f>
        <v/>
      </c>
      <c r="L251" s="72"/>
      <c r="M251" s="72"/>
      <c r="N251" s="72"/>
      <c r="O251" s="72"/>
      <c r="P251" s="72"/>
      <c r="Q251" s="72"/>
      <c r="R251" s="72"/>
      <c r="S251" s="72"/>
      <c r="T251" s="72"/>
      <c r="U251" s="72"/>
      <c r="V251" s="72"/>
      <c r="W251" s="72"/>
      <c r="X251" s="72"/>
      <c r="Y251" s="72"/>
      <c r="Z251" s="31" t="n">
        <f aca="false">IF(OR(N($J251)&lt;=0,AND(③発注書!$C$5&lt;&gt;"すべて",発注計算!$F247&lt;&gt;③発注書!$C$5)),N(Z250),N(Z250)+1)</f>
        <v>7</v>
      </c>
    </row>
    <row r="252" customFormat="false" ht="16.5" hidden="false" customHeight="true" outlineLevel="0" collapsed="false">
      <c r="B252" s="66" t="n">
        <v>243</v>
      </c>
      <c r="C252" s="66" t="str">
        <f aca="false">IF(発注計算!$C248="","",発注計算!$D248)</f>
        <v/>
      </c>
      <c r="D252" s="66" t="str">
        <f aca="false">IF(発注計算!$C248="","",発注計算!$E248)</f>
        <v/>
      </c>
      <c r="E252" s="67" t="str">
        <f aca="false">IF(発注計算!$C248="","",発注計算!$T248)</f>
        <v/>
      </c>
      <c r="F252" s="67" t="str">
        <f aca="false">IF(ISNUMBER($E252),$E252-N(発注計算!$I248),"")</f>
        <v/>
      </c>
      <c r="G252" s="68" t="str">
        <f aca="false">IF(発注計算!$C248="","",IF(NOT(ISNUMBER($F252)),"データなし",IF($F252&lt;=0,"今日が期限",IF($F252&lt;=N(発注計算!$AG248),"要発注","余裕"))))</f>
        <v/>
      </c>
      <c r="H252" s="67" t="str">
        <f aca="false">IF(OR(発注計算!$C248="",NOT(ISNUMBER(発注計算!$S248)),発注計算!$S248&lt;=0),"",(発注計算!$K248+N($J252)*N(発注計算!$G248))/発注計算!$S248)</f>
        <v/>
      </c>
      <c r="I252" s="69" t="str">
        <f aca="false">IF(発注計算!$C248="","",発注計算!$Y248)</f>
        <v/>
      </c>
      <c r="J252" s="70"/>
      <c r="K252" s="71" t="str">
        <f aca="false">IF($J252="","",N($J252)*N(発注計算!$H248))</f>
        <v/>
      </c>
      <c r="L252" s="72"/>
      <c r="M252" s="72"/>
      <c r="N252" s="72"/>
      <c r="O252" s="72"/>
      <c r="P252" s="72"/>
      <c r="Q252" s="72"/>
      <c r="R252" s="72"/>
      <c r="S252" s="72"/>
      <c r="T252" s="72"/>
      <c r="U252" s="72"/>
      <c r="V252" s="72"/>
      <c r="W252" s="72"/>
      <c r="X252" s="72"/>
      <c r="Y252" s="72"/>
      <c r="Z252" s="31" t="n">
        <f aca="false">IF(OR(N($J252)&lt;=0,AND(③発注書!$C$5&lt;&gt;"すべて",発注計算!$F248&lt;&gt;③発注書!$C$5)),N(Z251),N(Z251)+1)</f>
        <v>7</v>
      </c>
    </row>
    <row r="253" customFormat="false" ht="16.5" hidden="false" customHeight="true" outlineLevel="0" collapsed="false">
      <c r="B253" s="66" t="n">
        <v>244</v>
      </c>
      <c r="C253" s="66" t="str">
        <f aca="false">IF(発注計算!$C249="","",発注計算!$D249)</f>
        <v/>
      </c>
      <c r="D253" s="66" t="str">
        <f aca="false">IF(発注計算!$C249="","",発注計算!$E249)</f>
        <v/>
      </c>
      <c r="E253" s="67" t="str">
        <f aca="false">IF(発注計算!$C249="","",発注計算!$T249)</f>
        <v/>
      </c>
      <c r="F253" s="67" t="str">
        <f aca="false">IF(ISNUMBER($E253),$E253-N(発注計算!$I249),"")</f>
        <v/>
      </c>
      <c r="G253" s="68" t="str">
        <f aca="false">IF(発注計算!$C249="","",IF(NOT(ISNUMBER($F253)),"データなし",IF($F253&lt;=0,"今日が期限",IF($F253&lt;=N(発注計算!$AG249),"要発注","余裕"))))</f>
        <v/>
      </c>
      <c r="H253" s="67" t="str">
        <f aca="false">IF(OR(発注計算!$C249="",NOT(ISNUMBER(発注計算!$S249)),発注計算!$S249&lt;=0),"",(発注計算!$K249+N($J253)*N(発注計算!$G249))/発注計算!$S249)</f>
        <v/>
      </c>
      <c r="I253" s="69" t="str">
        <f aca="false">IF(発注計算!$C249="","",発注計算!$Y249)</f>
        <v/>
      </c>
      <c r="J253" s="70"/>
      <c r="K253" s="71" t="str">
        <f aca="false">IF($J253="","",N($J253)*N(発注計算!$H249))</f>
        <v/>
      </c>
      <c r="L253" s="72"/>
      <c r="M253" s="72"/>
      <c r="N253" s="72"/>
      <c r="O253" s="72"/>
      <c r="P253" s="72"/>
      <c r="Q253" s="72"/>
      <c r="R253" s="72"/>
      <c r="S253" s="72"/>
      <c r="T253" s="72"/>
      <c r="U253" s="72"/>
      <c r="V253" s="72"/>
      <c r="W253" s="72"/>
      <c r="X253" s="72"/>
      <c r="Y253" s="72"/>
      <c r="Z253" s="31" t="n">
        <f aca="false">IF(OR(N($J253)&lt;=0,AND(③発注書!$C$5&lt;&gt;"すべて",発注計算!$F249&lt;&gt;③発注書!$C$5)),N(Z252),N(Z252)+1)</f>
        <v>7</v>
      </c>
    </row>
    <row r="254" customFormat="false" ht="16.5" hidden="false" customHeight="true" outlineLevel="0" collapsed="false">
      <c r="B254" s="66" t="n">
        <v>245</v>
      </c>
      <c r="C254" s="66" t="str">
        <f aca="false">IF(発注計算!$C250="","",発注計算!$D250)</f>
        <v/>
      </c>
      <c r="D254" s="66" t="str">
        <f aca="false">IF(発注計算!$C250="","",発注計算!$E250)</f>
        <v/>
      </c>
      <c r="E254" s="67" t="str">
        <f aca="false">IF(発注計算!$C250="","",発注計算!$T250)</f>
        <v/>
      </c>
      <c r="F254" s="67" t="str">
        <f aca="false">IF(ISNUMBER($E254),$E254-N(発注計算!$I250),"")</f>
        <v/>
      </c>
      <c r="G254" s="68" t="str">
        <f aca="false">IF(発注計算!$C250="","",IF(NOT(ISNUMBER($F254)),"データなし",IF($F254&lt;=0,"今日が期限",IF($F254&lt;=N(発注計算!$AG250),"要発注","余裕"))))</f>
        <v/>
      </c>
      <c r="H254" s="67" t="str">
        <f aca="false">IF(OR(発注計算!$C250="",NOT(ISNUMBER(発注計算!$S250)),発注計算!$S250&lt;=0),"",(発注計算!$K250+N($J254)*N(発注計算!$G250))/発注計算!$S250)</f>
        <v/>
      </c>
      <c r="I254" s="69" t="str">
        <f aca="false">IF(発注計算!$C250="","",発注計算!$Y250)</f>
        <v/>
      </c>
      <c r="J254" s="70"/>
      <c r="K254" s="71" t="str">
        <f aca="false">IF($J254="","",N($J254)*N(発注計算!$H250))</f>
        <v/>
      </c>
      <c r="L254" s="72"/>
      <c r="M254" s="72"/>
      <c r="N254" s="72"/>
      <c r="O254" s="72"/>
      <c r="P254" s="72"/>
      <c r="Q254" s="72"/>
      <c r="R254" s="72"/>
      <c r="S254" s="72"/>
      <c r="T254" s="72"/>
      <c r="U254" s="72"/>
      <c r="V254" s="72"/>
      <c r="W254" s="72"/>
      <c r="X254" s="72"/>
      <c r="Y254" s="72"/>
      <c r="Z254" s="31" t="n">
        <f aca="false">IF(OR(N($J254)&lt;=0,AND(③発注書!$C$5&lt;&gt;"すべて",発注計算!$F250&lt;&gt;③発注書!$C$5)),N(Z253),N(Z253)+1)</f>
        <v>7</v>
      </c>
    </row>
    <row r="255" customFormat="false" ht="16.5" hidden="false" customHeight="true" outlineLevel="0" collapsed="false">
      <c r="B255" s="66" t="n">
        <v>246</v>
      </c>
      <c r="C255" s="66" t="str">
        <f aca="false">IF(発注計算!$C251="","",発注計算!$D251)</f>
        <v/>
      </c>
      <c r="D255" s="66" t="str">
        <f aca="false">IF(発注計算!$C251="","",発注計算!$E251)</f>
        <v/>
      </c>
      <c r="E255" s="67" t="str">
        <f aca="false">IF(発注計算!$C251="","",発注計算!$T251)</f>
        <v/>
      </c>
      <c r="F255" s="67" t="str">
        <f aca="false">IF(ISNUMBER($E255),$E255-N(発注計算!$I251),"")</f>
        <v/>
      </c>
      <c r="G255" s="68" t="str">
        <f aca="false">IF(発注計算!$C251="","",IF(NOT(ISNUMBER($F255)),"データなし",IF($F255&lt;=0,"今日が期限",IF($F255&lt;=N(発注計算!$AG251),"要発注","余裕"))))</f>
        <v/>
      </c>
      <c r="H255" s="67" t="str">
        <f aca="false">IF(OR(発注計算!$C251="",NOT(ISNUMBER(発注計算!$S251)),発注計算!$S251&lt;=0),"",(発注計算!$K251+N($J255)*N(発注計算!$G251))/発注計算!$S251)</f>
        <v/>
      </c>
      <c r="I255" s="69" t="str">
        <f aca="false">IF(発注計算!$C251="","",発注計算!$Y251)</f>
        <v/>
      </c>
      <c r="J255" s="70"/>
      <c r="K255" s="71" t="str">
        <f aca="false">IF($J255="","",N($J255)*N(発注計算!$H251))</f>
        <v/>
      </c>
      <c r="L255" s="72"/>
      <c r="M255" s="72"/>
      <c r="N255" s="72"/>
      <c r="O255" s="72"/>
      <c r="P255" s="72"/>
      <c r="Q255" s="72"/>
      <c r="R255" s="72"/>
      <c r="S255" s="72"/>
      <c r="T255" s="72"/>
      <c r="U255" s="72"/>
      <c r="V255" s="72"/>
      <c r="W255" s="72"/>
      <c r="X255" s="72"/>
      <c r="Y255" s="72"/>
      <c r="Z255" s="31" t="n">
        <f aca="false">IF(OR(N($J255)&lt;=0,AND(③発注書!$C$5&lt;&gt;"すべて",発注計算!$F251&lt;&gt;③発注書!$C$5)),N(Z254),N(Z254)+1)</f>
        <v>7</v>
      </c>
    </row>
    <row r="256" customFormat="false" ht="16.5" hidden="false" customHeight="true" outlineLevel="0" collapsed="false">
      <c r="B256" s="66" t="n">
        <v>247</v>
      </c>
      <c r="C256" s="66" t="str">
        <f aca="false">IF(発注計算!$C252="","",発注計算!$D252)</f>
        <v/>
      </c>
      <c r="D256" s="66" t="str">
        <f aca="false">IF(発注計算!$C252="","",発注計算!$E252)</f>
        <v/>
      </c>
      <c r="E256" s="67" t="str">
        <f aca="false">IF(発注計算!$C252="","",発注計算!$T252)</f>
        <v/>
      </c>
      <c r="F256" s="67" t="str">
        <f aca="false">IF(ISNUMBER($E256),$E256-N(発注計算!$I252),"")</f>
        <v/>
      </c>
      <c r="G256" s="68" t="str">
        <f aca="false">IF(発注計算!$C252="","",IF(NOT(ISNUMBER($F256)),"データなし",IF($F256&lt;=0,"今日が期限",IF($F256&lt;=N(発注計算!$AG252),"要発注","余裕"))))</f>
        <v/>
      </c>
      <c r="H256" s="67" t="str">
        <f aca="false">IF(OR(発注計算!$C252="",NOT(ISNUMBER(発注計算!$S252)),発注計算!$S252&lt;=0),"",(発注計算!$K252+N($J256)*N(発注計算!$G252))/発注計算!$S252)</f>
        <v/>
      </c>
      <c r="I256" s="69" t="str">
        <f aca="false">IF(発注計算!$C252="","",発注計算!$Y252)</f>
        <v/>
      </c>
      <c r="J256" s="70"/>
      <c r="K256" s="71" t="str">
        <f aca="false">IF($J256="","",N($J256)*N(発注計算!$H252))</f>
        <v/>
      </c>
      <c r="L256" s="72"/>
      <c r="M256" s="72"/>
      <c r="N256" s="72"/>
      <c r="O256" s="72"/>
      <c r="P256" s="72"/>
      <c r="Q256" s="72"/>
      <c r="R256" s="72"/>
      <c r="S256" s="72"/>
      <c r="T256" s="72"/>
      <c r="U256" s="72"/>
      <c r="V256" s="72"/>
      <c r="W256" s="72"/>
      <c r="X256" s="72"/>
      <c r="Y256" s="72"/>
      <c r="Z256" s="31" t="n">
        <f aca="false">IF(OR(N($J256)&lt;=0,AND(③発注書!$C$5&lt;&gt;"すべて",発注計算!$F252&lt;&gt;③発注書!$C$5)),N(Z255),N(Z255)+1)</f>
        <v>7</v>
      </c>
    </row>
    <row r="257" customFormat="false" ht="16.5" hidden="false" customHeight="true" outlineLevel="0" collapsed="false">
      <c r="B257" s="66" t="n">
        <v>248</v>
      </c>
      <c r="C257" s="66" t="str">
        <f aca="false">IF(発注計算!$C253="","",発注計算!$D253)</f>
        <v/>
      </c>
      <c r="D257" s="66" t="str">
        <f aca="false">IF(発注計算!$C253="","",発注計算!$E253)</f>
        <v/>
      </c>
      <c r="E257" s="67" t="str">
        <f aca="false">IF(発注計算!$C253="","",発注計算!$T253)</f>
        <v/>
      </c>
      <c r="F257" s="67" t="str">
        <f aca="false">IF(ISNUMBER($E257),$E257-N(発注計算!$I253),"")</f>
        <v/>
      </c>
      <c r="G257" s="68" t="str">
        <f aca="false">IF(発注計算!$C253="","",IF(NOT(ISNUMBER($F257)),"データなし",IF($F257&lt;=0,"今日が期限",IF($F257&lt;=N(発注計算!$AG253),"要発注","余裕"))))</f>
        <v/>
      </c>
      <c r="H257" s="67" t="str">
        <f aca="false">IF(OR(発注計算!$C253="",NOT(ISNUMBER(発注計算!$S253)),発注計算!$S253&lt;=0),"",(発注計算!$K253+N($J257)*N(発注計算!$G253))/発注計算!$S253)</f>
        <v/>
      </c>
      <c r="I257" s="69" t="str">
        <f aca="false">IF(発注計算!$C253="","",発注計算!$Y253)</f>
        <v/>
      </c>
      <c r="J257" s="70"/>
      <c r="K257" s="71" t="str">
        <f aca="false">IF($J257="","",N($J257)*N(発注計算!$H253))</f>
        <v/>
      </c>
      <c r="L257" s="72"/>
      <c r="M257" s="72"/>
      <c r="N257" s="72"/>
      <c r="O257" s="72"/>
      <c r="P257" s="72"/>
      <c r="Q257" s="72"/>
      <c r="R257" s="72"/>
      <c r="S257" s="72"/>
      <c r="T257" s="72"/>
      <c r="U257" s="72"/>
      <c r="V257" s="72"/>
      <c r="W257" s="72"/>
      <c r="X257" s="72"/>
      <c r="Y257" s="72"/>
      <c r="Z257" s="31" t="n">
        <f aca="false">IF(OR(N($J257)&lt;=0,AND(③発注書!$C$5&lt;&gt;"すべて",発注計算!$F253&lt;&gt;③発注書!$C$5)),N(Z256),N(Z256)+1)</f>
        <v>7</v>
      </c>
    </row>
    <row r="258" customFormat="false" ht="16.5" hidden="false" customHeight="true" outlineLevel="0" collapsed="false">
      <c r="B258" s="66" t="n">
        <v>249</v>
      </c>
      <c r="C258" s="66" t="str">
        <f aca="false">IF(発注計算!$C254="","",発注計算!$D254)</f>
        <v/>
      </c>
      <c r="D258" s="66" t="str">
        <f aca="false">IF(発注計算!$C254="","",発注計算!$E254)</f>
        <v/>
      </c>
      <c r="E258" s="67" t="str">
        <f aca="false">IF(発注計算!$C254="","",発注計算!$T254)</f>
        <v/>
      </c>
      <c r="F258" s="67" t="str">
        <f aca="false">IF(ISNUMBER($E258),$E258-N(発注計算!$I254),"")</f>
        <v/>
      </c>
      <c r="G258" s="68" t="str">
        <f aca="false">IF(発注計算!$C254="","",IF(NOT(ISNUMBER($F258)),"データなし",IF($F258&lt;=0,"今日が期限",IF($F258&lt;=N(発注計算!$AG254),"要発注","余裕"))))</f>
        <v/>
      </c>
      <c r="H258" s="67" t="str">
        <f aca="false">IF(OR(発注計算!$C254="",NOT(ISNUMBER(発注計算!$S254)),発注計算!$S254&lt;=0),"",(発注計算!$K254+N($J258)*N(発注計算!$G254))/発注計算!$S254)</f>
        <v/>
      </c>
      <c r="I258" s="69" t="str">
        <f aca="false">IF(発注計算!$C254="","",発注計算!$Y254)</f>
        <v/>
      </c>
      <c r="J258" s="70"/>
      <c r="K258" s="71" t="str">
        <f aca="false">IF($J258="","",N($J258)*N(発注計算!$H254))</f>
        <v/>
      </c>
      <c r="L258" s="72"/>
      <c r="M258" s="72"/>
      <c r="N258" s="72"/>
      <c r="O258" s="72"/>
      <c r="P258" s="72"/>
      <c r="Q258" s="72"/>
      <c r="R258" s="72"/>
      <c r="S258" s="72"/>
      <c r="T258" s="72"/>
      <c r="U258" s="72"/>
      <c r="V258" s="72"/>
      <c r="W258" s="72"/>
      <c r="X258" s="72"/>
      <c r="Y258" s="72"/>
      <c r="Z258" s="31" t="n">
        <f aca="false">IF(OR(N($J258)&lt;=0,AND(③発注書!$C$5&lt;&gt;"すべて",発注計算!$F254&lt;&gt;③発注書!$C$5)),N(Z257),N(Z257)+1)</f>
        <v>7</v>
      </c>
    </row>
    <row r="259" customFormat="false" ht="16.5" hidden="false" customHeight="true" outlineLevel="0" collapsed="false">
      <c r="B259" s="66" t="n">
        <v>250</v>
      </c>
      <c r="C259" s="66" t="str">
        <f aca="false">IF(発注計算!$C255="","",発注計算!$D255)</f>
        <v/>
      </c>
      <c r="D259" s="66" t="str">
        <f aca="false">IF(発注計算!$C255="","",発注計算!$E255)</f>
        <v/>
      </c>
      <c r="E259" s="67" t="str">
        <f aca="false">IF(発注計算!$C255="","",発注計算!$T255)</f>
        <v/>
      </c>
      <c r="F259" s="67" t="str">
        <f aca="false">IF(ISNUMBER($E259),$E259-N(発注計算!$I255),"")</f>
        <v/>
      </c>
      <c r="G259" s="68" t="str">
        <f aca="false">IF(発注計算!$C255="","",IF(NOT(ISNUMBER($F259)),"データなし",IF($F259&lt;=0,"今日が期限",IF($F259&lt;=N(発注計算!$AG255),"要発注","余裕"))))</f>
        <v/>
      </c>
      <c r="H259" s="67" t="str">
        <f aca="false">IF(OR(発注計算!$C255="",NOT(ISNUMBER(発注計算!$S255)),発注計算!$S255&lt;=0),"",(発注計算!$K255+N($J259)*N(発注計算!$G255))/発注計算!$S255)</f>
        <v/>
      </c>
      <c r="I259" s="69" t="str">
        <f aca="false">IF(発注計算!$C255="","",発注計算!$Y255)</f>
        <v/>
      </c>
      <c r="J259" s="70"/>
      <c r="K259" s="71" t="str">
        <f aca="false">IF($J259="","",N($J259)*N(発注計算!$H255))</f>
        <v/>
      </c>
      <c r="L259" s="72"/>
      <c r="M259" s="72"/>
      <c r="N259" s="72"/>
      <c r="O259" s="72"/>
      <c r="P259" s="72"/>
      <c r="Q259" s="72"/>
      <c r="R259" s="72"/>
      <c r="S259" s="72"/>
      <c r="T259" s="72"/>
      <c r="U259" s="72"/>
      <c r="V259" s="72"/>
      <c r="W259" s="72"/>
      <c r="X259" s="72"/>
      <c r="Y259" s="72"/>
      <c r="Z259" s="31" t="n">
        <f aca="false">IF(OR(N($J259)&lt;=0,AND(③発注書!$C$5&lt;&gt;"すべて",発注計算!$F255&lt;&gt;③発注書!$C$5)),N(Z258),N(Z258)+1)</f>
        <v>7</v>
      </c>
    </row>
    <row r="260" customFormat="false" ht="16.5" hidden="false" customHeight="true" outlineLevel="0" collapsed="false">
      <c r="B260" s="66" t="n">
        <v>251</v>
      </c>
      <c r="C260" s="66" t="str">
        <f aca="false">IF(発注計算!$C256="","",発注計算!$D256)</f>
        <v/>
      </c>
      <c r="D260" s="66" t="str">
        <f aca="false">IF(発注計算!$C256="","",発注計算!$E256)</f>
        <v/>
      </c>
      <c r="E260" s="67" t="str">
        <f aca="false">IF(発注計算!$C256="","",発注計算!$T256)</f>
        <v/>
      </c>
      <c r="F260" s="67" t="str">
        <f aca="false">IF(ISNUMBER($E260),$E260-N(発注計算!$I256),"")</f>
        <v/>
      </c>
      <c r="G260" s="68" t="str">
        <f aca="false">IF(発注計算!$C256="","",IF(NOT(ISNUMBER($F260)),"データなし",IF($F260&lt;=0,"今日が期限",IF($F260&lt;=N(発注計算!$AG256),"要発注","余裕"))))</f>
        <v/>
      </c>
      <c r="H260" s="67" t="str">
        <f aca="false">IF(OR(発注計算!$C256="",NOT(ISNUMBER(発注計算!$S256)),発注計算!$S256&lt;=0),"",(発注計算!$K256+N($J260)*N(発注計算!$G256))/発注計算!$S256)</f>
        <v/>
      </c>
      <c r="I260" s="69" t="str">
        <f aca="false">IF(発注計算!$C256="","",発注計算!$Y256)</f>
        <v/>
      </c>
      <c r="J260" s="70"/>
      <c r="K260" s="71" t="str">
        <f aca="false">IF($J260="","",N($J260)*N(発注計算!$H256))</f>
        <v/>
      </c>
      <c r="L260" s="72"/>
      <c r="M260" s="72"/>
      <c r="N260" s="72"/>
      <c r="O260" s="72"/>
      <c r="P260" s="72"/>
      <c r="Q260" s="72"/>
      <c r="R260" s="72"/>
      <c r="S260" s="72"/>
      <c r="T260" s="72"/>
      <c r="U260" s="72"/>
      <c r="V260" s="72"/>
      <c r="W260" s="72"/>
      <c r="X260" s="72"/>
      <c r="Y260" s="72"/>
      <c r="Z260" s="31" t="n">
        <f aca="false">IF(OR(N($J260)&lt;=0,AND(③発注書!$C$5&lt;&gt;"すべて",発注計算!$F256&lt;&gt;③発注書!$C$5)),N(Z259),N(Z259)+1)</f>
        <v>7</v>
      </c>
    </row>
    <row r="261" customFormat="false" ht="16.5" hidden="false" customHeight="true" outlineLevel="0" collapsed="false">
      <c r="B261" s="66" t="n">
        <v>252</v>
      </c>
      <c r="C261" s="66" t="str">
        <f aca="false">IF(発注計算!$C257="","",発注計算!$D257)</f>
        <v/>
      </c>
      <c r="D261" s="66" t="str">
        <f aca="false">IF(発注計算!$C257="","",発注計算!$E257)</f>
        <v/>
      </c>
      <c r="E261" s="67" t="str">
        <f aca="false">IF(発注計算!$C257="","",発注計算!$T257)</f>
        <v/>
      </c>
      <c r="F261" s="67" t="str">
        <f aca="false">IF(ISNUMBER($E261),$E261-N(発注計算!$I257),"")</f>
        <v/>
      </c>
      <c r="G261" s="68" t="str">
        <f aca="false">IF(発注計算!$C257="","",IF(NOT(ISNUMBER($F261)),"データなし",IF($F261&lt;=0,"今日が期限",IF($F261&lt;=N(発注計算!$AG257),"要発注","余裕"))))</f>
        <v/>
      </c>
      <c r="H261" s="67" t="str">
        <f aca="false">IF(OR(発注計算!$C257="",NOT(ISNUMBER(発注計算!$S257)),発注計算!$S257&lt;=0),"",(発注計算!$K257+N($J261)*N(発注計算!$G257))/発注計算!$S257)</f>
        <v/>
      </c>
      <c r="I261" s="69" t="str">
        <f aca="false">IF(発注計算!$C257="","",発注計算!$Y257)</f>
        <v/>
      </c>
      <c r="J261" s="70"/>
      <c r="K261" s="71" t="str">
        <f aca="false">IF($J261="","",N($J261)*N(発注計算!$H257))</f>
        <v/>
      </c>
      <c r="L261" s="72"/>
      <c r="M261" s="72"/>
      <c r="N261" s="72"/>
      <c r="O261" s="72"/>
      <c r="P261" s="72"/>
      <c r="Q261" s="72"/>
      <c r="R261" s="72"/>
      <c r="S261" s="72"/>
      <c r="T261" s="72"/>
      <c r="U261" s="72"/>
      <c r="V261" s="72"/>
      <c r="W261" s="72"/>
      <c r="X261" s="72"/>
      <c r="Y261" s="72"/>
      <c r="Z261" s="31" t="n">
        <f aca="false">IF(OR(N($J261)&lt;=0,AND(③発注書!$C$5&lt;&gt;"すべて",発注計算!$F257&lt;&gt;③発注書!$C$5)),N(Z260),N(Z260)+1)</f>
        <v>7</v>
      </c>
    </row>
    <row r="262" customFormat="false" ht="16.5" hidden="false" customHeight="true" outlineLevel="0" collapsed="false">
      <c r="B262" s="66" t="n">
        <v>253</v>
      </c>
      <c r="C262" s="66" t="str">
        <f aca="false">IF(発注計算!$C258="","",発注計算!$D258)</f>
        <v/>
      </c>
      <c r="D262" s="66" t="str">
        <f aca="false">IF(発注計算!$C258="","",発注計算!$E258)</f>
        <v/>
      </c>
      <c r="E262" s="67" t="str">
        <f aca="false">IF(発注計算!$C258="","",発注計算!$T258)</f>
        <v/>
      </c>
      <c r="F262" s="67" t="str">
        <f aca="false">IF(ISNUMBER($E262),$E262-N(発注計算!$I258),"")</f>
        <v/>
      </c>
      <c r="G262" s="68" t="str">
        <f aca="false">IF(発注計算!$C258="","",IF(NOT(ISNUMBER($F262)),"データなし",IF($F262&lt;=0,"今日が期限",IF($F262&lt;=N(発注計算!$AG258),"要発注","余裕"))))</f>
        <v/>
      </c>
      <c r="H262" s="67" t="str">
        <f aca="false">IF(OR(発注計算!$C258="",NOT(ISNUMBER(発注計算!$S258)),発注計算!$S258&lt;=0),"",(発注計算!$K258+N($J262)*N(発注計算!$G258))/発注計算!$S258)</f>
        <v/>
      </c>
      <c r="I262" s="69" t="str">
        <f aca="false">IF(発注計算!$C258="","",発注計算!$Y258)</f>
        <v/>
      </c>
      <c r="J262" s="70"/>
      <c r="K262" s="71" t="str">
        <f aca="false">IF($J262="","",N($J262)*N(発注計算!$H258))</f>
        <v/>
      </c>
      <c r="L262" s="72"/>
      <c r="M262" s="72"/>
      <c r="N262" s="72"/>
      <c r="O262" s="72"/>
      <c r="P262" s="72"/>
      <c r="Q262" s="72"/>
      <c r="R262" s="72"/>
      <c r="S262" s="72"/>
      <c r="T262" s="72"/>
      <c r="U262" s="72"/>
      <c r="V262" s="72"/>
      <c r="W262" s="72"/>
      <c r="X262" s="72"/>
      <c r="Y262" s="72"/>
      <c r="Z262" s="31" t="n">
        <f aca="false">IF(OR(N($J262)&lt;=0,AND(③発注書!$C$5&lt;&gt;"すべて",発注計算!$F258&lt;&gt;③発注書!$C$5)),N(Z261),N(Z261)+1)</f>
        <v>7</v>
      </c>
    </row>
    <row r="263" customFormat="false" ht="16.5" hidden="false" customHeight="true" outlineLevel="0" collapsed="false">
      <c r="B263" s="66" t="n">
        <v>254</v>
      </c>
      <c r="C263" s="66" t="str">
        <f aca="false">IF(発注計算!$C259="","",発注計算!$D259)</f>
        <v/>
      </c>
      <c r="D263" s="66" t="str">
        <f aca="false">IF(発注計算!$C259="","",発注計算!$E259)</f>
        <v/>
      </c>
      <c r="E263" s="67" t="str">
        <f aca="false">IF(発注計算!$C259="","",発注計算!$T259)</f>
        <v/>
      </c>
      <c r="F263" s="67" t="str">
        <f aca="false">IF(ISNUMBER($E263),$E263-N(発注計算!$I259),"")</f>
        <v/>
      </c>
      <c r="G263" s="68" t="str">
        <f aca="false">IF(発注計算!$C259="","",IF(NOT(ISNUMBER($F263)),"データなし",IF($F263&lt;=0,"今日が期限",IF($F263&lt;=N(発注計算!$AG259),"要発注","余裕"))))</f>
        <v/>
      </c>
      <c r="H263" s="67" t="str">
        <f aca="false">IF(OR(発注計算!$C259="",NOT(ISNUMBER(発注計算!$S259)),発注計算!$S259&lt;=0),"",(発注計算!$K259+N($J263)*N(発注計算!$G259))/発注計算!$S259)</f>
        <v/>
      </c>
      <c r="I263" s="69" t="str">
        <f aca="false">IF(発注計算!$C259="","",発注計算!$Y259)</f>
        <v/>
      </c>
      <c r="J263" s="70"/>
      <c r="K263" s="71" t="str">
        <f aca="false">IF($J263="","",N($J263)*N(発注計算!$H259))</f>
        <v/>
      </c>
      <c r="L263" s="72"/>
      <c r="M263" s="72"/>
      <c r="N263" s="72"/>
      <c r="O263" s="72"/>
      <c r="P263" s="72"/>
      <c r="Q263" s="72"/>
      <c r="R263" s="72"/>
      <c r="S263" s="72"/>
      <c r="T263" s="72"/>
      <c r="U263" s="72"/>
      <c r="V263" s="72"/>
      <c r="W263" s="72"/>
      <c r="X263" s="72"/>
      <c r="Y263" s="72"/>
      <c r="Z263" s="31" t="n">
        <f aca="false">IF(OR(N($J263)&lt;=0,AND(③発注書!$C$5&lt;&gt;"すべて",発注計算!$F259&lt;&gt;③発注書!$C$5)),N(Z262),N(Z262)+1)</f>
        <v>7</v>
      </c>
    </row>
    <row r="264" customFormat="false" ht="16.5" hidden="false" customHeight="true" outlineLevel="0" collapsed="false">
      <c r="B264" s="66" t="n">
        <v>255</v>
      </c>
      <c r="C264" s="66" t="str">
        <f aca="false">IF(発注計算!$C260="","",発注計算!$D260)</f>
        <v/>
      </c>
      <c r="D264" s="66" t="str">
        <f aca="false">IF(発注計算!$C260="","",発注計算!$E260)</f>
        <v/>
      </c>
      <c r="E264" s="67" t="str">
        <f aca="false">IF(発注計算!$C260="","",発注計算!$T260)</f>
        <v/>
      </c>
      <c r="F264" s="67" t="str">
        <f aca="false">IF(ISNUMBER($E264),$E264-N(発注計算!$I260),"")</f>
        <v/>
      </c>
      <c r="G264" s="68" t="str">
        <f aca="false">IF(発注計算!$C260="","",IF(NOT(ISNUMBER($F264)),"データなし",IF($F264&lt;=0,"今日が期限",IF($F264&lt;=N(発注計算!$AG260),"要発注","余裕"))))</f>
        <v/>
      </c>
      <c r="H264" s="67" t="str">
        <f aca="false">IF(OR(発注計算!$C260="",NOT(ISNUMBER(発注計算!$S260)),発注計算!$S260&lt;=0),"",(発注計算!$K260+N($J264)*N(発注計算!$G260))/発注計算!$S260)</f>
        <v/>
      </c>
      <c r="I264" s="69" t="str">
        <f aca="false">IF(発注計算!$C260="","",発注計算!$Y260)</f>
        <v/>
      </c>
      <c r="J264" s="70"/>
      <c r="K264" s="71" t="str">
        <f aca="false">IF($J264="","",N($J264)*N(発注計算!$H260))</f>
        <v/>
      </c>
      <c r="L264" s="72"/>
      <c r="M264" s="72"/>
      <c r="N264" s="72"/>
      <c r="O264" s="72"/>
      <c r="P264" s="72"/>
      <c r="Q264" s="72"/>
      <c r="R264" s="72"/>
      <c r="S264" s="72"/>
      <c r="T264" s="72"/>
      <c r="U264" s="72"/>
      <c r="V264" s="72"/>
      <c r="W264" s="72"/>
      <c r="X264" s="72"/>
      <c r="Y264" s="72"/>
      <c r="Z264" s="31" t="n">
        <f aca="false">IF(OR(N($J264)&lt;=0,AND(③発注書!$C$5&lt;&gt;"すべて",発注計算!$F260&lt;&gt;③発注書!$C$5)),N(Z263),N(Z263)+1)</f>
        <v>7</v>
      </c>
    </row>
    <row r="265" customFormat="false" ht="16.5" hidden="false" customHeight="true" outlineLevel="0" collapsed="false">
      <c r="B265" s="66" t="n">
        <v>256</v>
      </c>
      <c r="C265" s="66" t="str">
        <f aca="false">IF(発注計算!$C261="","",発注計算!$D261)</f>
        <v/>
      </c>
      <c r="D265" s="66" t="str">
        <f aca="false">IF(発注計算!$C261="","",発注計算!$E261)</f>
        <v/>
      </c>
      <c r="E265" s="67" t="str">
        <f aca="false">IF(発注計算!$C261="","",発注計算!$T261)</f>
        <v/>
      </c>
      <c r="F265" s="67" t="str">
        <f aca="false">IF(ISNUMBER($E265),$E265-N(発注計算!$I261),"")</f>
        <v/>
      </c>
      <c r="G265" s="68" t="str">
        <f aca="false">IF(発注計算!$C261="","",IF(NOT(ISNUMBER($F265)),"データなし",IF($F265&lt;=0,"今日が期限",IF($F265&lt;=N(発注計算!$AG261),"要発注","余裕"))))</f>
        <v/>
      </c>
      <c r="H265" s="67" t="str">
        <f aca="false">IF(OR(発注計算!$C261="",NOT(ISNUMBER(発注計算!$S261)),発注計算!$S261&lt;=0),"",(発注計算!$K261+N($J265)*N(発注計算!$G261))/発注計算!$S261)</f>
        <v/>
      </c>
      <c r="I265" s="69" t="str">
        <f aca="false">IF(発注計算!$C261="","",発注計算!$Y261)</f>
        <v/>
      </c>
      <c r="J265" s="70"/>
      <c r="K265" s="71" t="str">
        <f aca="false">IF($J265="","",N($J265)*N(発注計算!$H261))</f>
        <v/>
      </c>
      <c r="L265" s="72"/>
      <c r="M265" s="72"/>
      <c r="N265" s="72"/>
      <c r="O265" s="72"/>
      <c r="P265" s="72"/>
      <c r="Q265" s="72"/>
      <c r="R265" s="72"/>
      <c r="S265" s="72"/>
      <c r="T265" s="72"/>
      <c r="U265" s="72"/>
      <c r="V265" s="72"/>
      <c r="W265" s="72"/>
      <c r="X265" s="72"/>
      <c r="Y265" s="72"/>
      <c r="Z265" s="31" t="n">
        <f aca="false">IF(OR(N($J265)&lt;=0,AND(③発注書!$C$5&lt;&gt;"すべて",発注計算!$F261&lt;&gt;③発注書!$C$5)),N(Z264),N(Z264)+1)</f>
        <v>7</v>
      </c>
    </row>
    <row r="266" customFormat="false" ht="16.5" hidden="false" customHeight="true" outlineLevel="0" collapsed="false">
      <c r="B266" s="66" t="n">
        <v>257</v>
      </c>
      <c r="C266" s="66" t="str">
        <f aca="false">IF(発注計算!$C262="","",発注計算!$D262)</f>
        <v/>
      </c>
      <c r="D266" s="66" t="str">
        <f aca="false">IF(発注計算!$C262="","",発注計算!$E262)</f>
        <v/>
      </c>
      <c r="E266" s="67" t="str">
        <f aca="false">IF(発注計算!$C262="","",発注計算!$T262)</f>
        <v/>
      </c>
      <c r="F266" s="67" t="str">
        <f aca="false">IF(ISNUMBER($E266),$E266-N(発注計算!$I262),"")</f>
        <v/>
      </c>
      <c r="G266" s="68" t="str">
        <f aca="false">IF(発注計算!$C262="","",IF(NOT(ISNUMBER($F266)),"データなし",IF($F266&lt;=0,"今日が期限",IF($F266&lt;=N(発注計算!$AG262),"要発注","余裕"))))</f>
        <v/>
      </c>
      <c r="H266" s="67" t="str">
        <f aca="false">IF(OR(発注計算!$C262="",NOT(ISNUMBER(発注計算!$S262)),発注計算!$S262&lt;=0),"",(発注計算!$K262+N($J266)*N(発注計算!$G262))/発注計算!$S262)</f>
        <v/>
      </c>
      <c r="I266" s="69" t="str">
        <f aca="false">IF(発注計算!$C262="","",発注計算!$Y262)</f>
        <v/>
      </c>
      <c r="J266" s="70"/>
      <c r="K266" s="71" t="str">
        <f aca="false">IF($J266="","",N($J266)*N(発注計算!$H262))</f>
        <v/>
      </c>
      <c r="L266" s="72"/>
      <c r="M266" s="72"/>
      <c r="N266" s="72"/>
      <c r="O266" s="72"/>
      <c r="P266" s="72"/>
      <c r="Q266" s="72"/>
      <c r="R266" s="72"/>
      <c r="S266" s="72"/>
      <c r="T266" s="72"/>
      <c r="U266" s="72"/>
      <c r="V266" s="72"/>
      <c r="W266" s="72"/>
      <c r="X266" s="72"/>
      <c r="Y266" s="72"/>
      <c r="Z266" s="31" t="n">
        <f aca="false">IF(OR(N($J266)&lt;=0,AND(③発注書!$C$5&lt;&gt;"すべて",発注計算!$F262&lt;&gt;③発注書!$C$5)),N(Z265),N(Z265)+1)</f>
        <v>7</v>
      </c>
    </row>
    <row r="267" customFormat="false" ht="16.5" hidden="false" customHeight="true" outlineLevel="0" collapsed="false">
      <c r="B267" s="66" t="n">
        <v>258</v>
      </c>
      <c r="C267" s="66" t="str">
        <f aca="false">IF(発注計算!$C263="","",発注計算!$D263)</f>
        <v/>
      </c>
      <c r="D267" s="66" t="str">
        <f aca="false">IF(発注計算!$C263="","",発注計算!$E263)</f>
        <v/>
      </c>
      <c r="E267" s="67" t="str">
        <f aca="false">IF(発注計算!$C263="","",発注計算!$T263)</f>
        <v/>
      </c>
      <c r="F267" s="67" t="str">
        <f aca="false">IF(ISNUMBER($E267),$E267-N(発注計算!$I263),"")</f>
        <v/>
      </c>
      <c r="G267" s="68" t="str">
        <f aca="false">IF(発注計算!$C263="","",IF(NOT(ISNUMBER($F267)),"データなし",IF($F267&lt;=0,"今日が期限",IF($F267&lt;=N(発注計算!$AG263),"要発注","余裕"))))</f>
        <v/>
      </c>
      <c r="H267" s="67" t="str">
        <f aca="false">IF(OR(発注計算!$C263="",NOT(ISNUMBER(発注計算!$S263)),発注計算!$S263&lt;=0),"",(発注計算!$K263+N($J267)*N(発注計算!$G263))/発注計算!$S263)</f>
        <v/>
      </c>
      <c r="I267" s="69" t="str">
        <f aca="false">IF(発注計算!$C263="","",発注計算!$Y263)</f>
        <v/>
      </c>
      <c r="J267" s="70"/>
      <c r="K267" s="71" t="str">
        <f aca="false">IF($J267="","",N($J267)*N(発注計算!$H263))</f>
        <v/>
      </c>
      <c r="L267" s="72"/>
      <c r="M267" s="72"/>
      <c r="N267" s="72"/>
      <c r="O267" s="72"/>
      <c r="P267" s="72"/>
      <c r="Q267" s="72"/>
      <c r="R267" s="72"/>
      <c r="S267" s="72"/>
      <c r="T267" s="72"/>
      <c r="U267" s="72"/>
      <c r="V267" s="72"/>
      <c r="W267" s="72"/>
      <c r="X267" s="72"/>
      <c r="Y267" s="72"/>
      <c r="Z267" s="31" t="n">
        <f aca="false">IF(OR(N($J267)&lt;=0,AND(③発注書!$C$5&lt;&gt;"すべて",発注計算!$F263&lt;&gt;③発注書!$C$5)),N(Z266),N(Z266)+1)</f>
        <v>7</v>
      </c>
    </row>
    <row r="268" customFormat="false" ht="16.5" hidden="false" customHeight="true" outlineLevel="0" collapsed="false">
      <c r="B268" s="66" t="n">
        <v>259</v>
      </c>
      <c r="C268" s="66" t="str">
        <f aca="false">IF(発注計算!$C264="","",発注計算!$D264)</f>
        <v/>
      </c>
      <c r="D268" s="66" t="str">
        <f aca="false">IF(発注計算!$C264="","",発注計算!$E264)</f>
        <v/>
      </c>
      <c r="E268" s="67" t="str">
        <f aca="false">IF(発注計算!$C264="","",発注計算!$T264)</f>
        <v/>
      </c>
      <c r="F268" s="67" t="str">
        <f aca="false">IF(ISNUMBER($E268),$E268-N(発注計算!$I264),"")</f>
        <v/>
      </c>
      <c r="G268" s="68" t="str">
        <f aca="false">IF(発注計算!$C264="","",IF(NOT(ISNUMBER($F268)),"データなし",IF($F268&lt;=0,"今日が期限",IF($F268&lt;=N(発注計算!$AG264),"要発注","余裕"))))</f>
        <v/>
      </c>
      <c r="H268" s="67" t="str">
        <f aca="false">IF(OR(発注計算!$C264="",NOT(ISNUMBER(発注計算!$S264)),発注計算!$S264&lt;=0),"",(発注計算!$K264+N($J268)*N(発注計算!$G264))/発注計算!$S264)</f>
        <v/>
      </c>
      <c r="I268" s="69" t="str">
        <f aca="false">IF(発注計算!$C264="","",発注計算!$Y264)</f>
        <v/>
      </c>
      <c r="J268" s="70"/>
      <c r="K268" s="71" t="str">
        <f aca="false">IF($J268="","",N($J268)*N(発注計算!$H264))</f>
        <v/>
      </c>
      <c r="L268" s="72"/>
      <c r="M268" s="72"/>
      <c r="N268" s="72"/>
      <c r="O268" s="72"/>
      <c r="P268" s="72"/>
      <c r="Q268" s="72"/>
      <c r="R268" s="72"/>
      <c r="S268" s="72"/>
      <c r="T268" s="72"/>
      <c r="U268" s="72"/>
      <c r="V268" s="72"/>
      <c r="W268" s="72"/>
      <c r="X268" s="72"/>
      <c r="Y268" s="72"/>
      <c r="Z268" s="31" t="n">
        <f aca="false">IF(OR(N($J268)&lt;=0,AND(③発注書!$C$5&lt;&gt;"すべて",発注計算!$F264&lt;&gt;③発注書!$C$5)),N(Z267),N(Z267)+1)</f>
        <v>7</v>
      </c>
    </row>
    <row r="269" customFormat="false" ht="16.5" hidden="false" customHeight="true" outlineLevel="0" collapsed="false">
      <c r="B269" s="66" t="n">
        <v>260</v>
      </c>
      <c r="C269" s="66" t="str">
        <f aca="false">IF(発注計算!$C265="","",発注計算!$D265)</f>
        <v/>
      </c>
      <c r="D269" s="66" t="str">
        <f aca="false">IF(発注計算!$C265="","",発注計算!$E265)</f>
        <v/>
      </c>
      <c r="E269" s="67" t="str">
        <f aca="false">IF(発注計算!$C265="","",発注計算!$T265)</f>
        <v/>
      </c>
      <c r="F269" s="67" t="str">
        <f aca="false">IF(ISNUMBER($E269),$E269-N(発注計算!$I265),"")</f>
        <v/>
      </c>
      <c r="G269" s="68" t="str">
        <f aca="false">IF(発注計算!$C265="","",IF(NOT(ISNUMBER($F269)),"データなし",IF($F269&lt;=0,"今日が期限",IF($F269&lt;=N(発注計算!$AG265),"要発注","余裕"))))</f>
        <v/>
      </c>
      <c r="H269" s="67" t="str">
        <f aca="false">IF(OR(発注計算!$C265="",NOT(ISNUMBER(発注計算!$S265)),発注計算!$S265&lt;=0),"",(発注計算!$K265+N($J269)*N(発注計算!$G265))/発注計算!$S265)</f>
        <v/>
      </c>
      <c r="I269" s="69" t="str">
        <f aca="false">IF(発注計算!$C265="","",発注計算!$Y265)</f>
        <v/>
      </c>
      <c r="J269" s="70"/>
      <c r="K269" s="71" t="str">
        <f aca="false">IF($J269="","",N($J269)*N(発注計算!$H265))</f>
        <v/>
      </c>
      <c r="L269" s="72"/>
      <c r="M269" s="72"/>
      <c r="N269" s="72"/>
      <c r="O269" s="72"/>
      <c r="P269" s="72"/>
      <c r="Q269" s="72"/>
      <c r="R269" s="72"/>
      <c r="S269" s="72"/>
      <c r="T269" s="72"/>
      <c r="U269" s="72"/>
      <c r="V269" s="72"/>
      <c r="W269" s="72"/>
      <c r="X269" s="72"/>
      <c r="Y269" s="72"/>
      <c r="Z269" s="31" t="n">
        <f aca="false">IF(OR(N($J269)&lt;=0,AND(③発注書!$C$5&lt;&gt;"すべて",発注計算!$F265&lt;&gt;③発注書!$C$5)),N(Z268),N(Z268)+1)</f>
        <v>7</v>
      </c>
    </row>
    <row r="270" customFormat="false" ht="16.5" hidden="false" customHeight="true" outlineLevel="0" collapsed="false">
      <c r="B270" s="66" t="n">
        <v>261</v>
      </c>
      <c r="C270" s="66" t="str">
        <f aca="false">IF(発注計算!$C266="","",発注計算!$D266)</f>
        <v/>
      </c>
      <c r="D270" s="66" t="str">
        <f aca="false">IF(発注計算!$C266="","",発注計算!$E266)</f>
        <v/>
      </c>
      <c r="E270" s="67" t="str">
        <f aca="false">IF(発注計算!$C266="","",発注計算!$T266)</f>
        <v/>
      </c>
      <c r="F270" s="67" t="str">
        <f aca="false">IF(ISNUMBER($E270),$E270-N(発注計算!$I266),"")</f>
        <v/>
      </c>
      <c r="G270" s="68" t="str">
        <f aca="false">IF(発注計算!$C266="","",IF(NOT(ISNUMBER($F270)),"データなし",IF($F270&lt;=0,"今日が期限",IF($F270&lt;=N(発注計算!$AG266),"要発注","余裕"))))</f>
        <v/>
      </c>
      <c r="H270" s="67" t="str">
        <f aca="false">IF(OR(発注計算!$C266="",NOT(ISNUMBER(発注計算!$S266)),発注計算!$S266&lt;=0),"",(発注計算!$K266+N($J270)*N(発注計算!$G266))/発注計算!$S266)</f>
        <v/>
      </c>
      <c r="I270" s="69" t="str">
        <f aca="false">IF(発注計算!$C266="","",発注計算!$Y266)</f>
        <v/>
      </c>
      <c r="J270" s="70"/>
      <c r="K270" s="71" t="str">
        <f aca="false">IF($J270="","",N($J270)*N(発注計算!$H266))</f>
        <v/>
      </c>
      <c r="L270" s="72"/>
      <c r="M270" s="72"/>
      <c r="N270" s="72"/>
      <c r="O270" s="72"/>
      <c r="P270" s="72"/>
      <c r="Q270" s="72"/>
      <c r="R270" s="72"/>
      <c r="S270" s="72"/>
      <c r="T270" s="72"/>
      <c r="U270" s="72"/>
      <c r="V270" s="72"/>
      <c r="W270" s="72"/>
      <c r="X270" s="72"/>
      <c r="Y270" s="72"/>
      <c r="Z270" s="31" t="n">
        <f aca="false">IF(OR(N($J270)&lt;=0,AND(③発注書!$C$5&lt;&gt;"すべて",発注計算!$F266&lt;&gt;③発注書!$C$5)),N(Z269),N(Z269)+1)</f>
        <v>7</v>
      </c>
    </row>
    <row r="271" customFormat="false" ht="16.5" hidden="false" customHeight="true" outlineLevel="0" collapsed="false">
      <c r="B271" s="66" t="n">
        <v>262</v>
      </c>
      <c r="C271" s="66" t="str">
        <f aca="false">IF(発注計算!$C267="","",発注計算!$D267)</f>
        <v/>
      </c>
      <c r="D271" s="66" t="str">
        <f aca="false">IF(発注計算!$C267="","",発注計算!$E267)</f>
        <v/>
      </c>
      <c r="E271" s="67" t="str">
        <f aca="false">IF(発注計算!$C267="","",発注計算!$T267)</f>
        <v/>
      </c>
      <c r="F271" s="67" t="str">
        <f aca="false">IF(ISNUMBER($E271),$E271-N(発注計算!$I267),"")</f>
        <v/>
      </c>
      <c r="G271" s="68" t="str">
        <f aca="false">IF(発注計算!$C267="","",IF(NOT(ISNUMBER($F271)),"データなし",IF($F271&lt;=0,"今日が期限",IF($F271&lt;=N(発注計算!$AG267),"要発注","余裕"))))</f>
        <v/>
      </c>
      <c r="H271" s="67" t="str">
        <f aca="false">IF(OR(発注計算!$C267="",NOT(ISNUMBER(発注計算!$S267)),発注計算!$S267&lt;=0),"",(発注計算!$K267+N($J271)*N(発注計算!$G267))/発注計算!$S267)</f>
        <v/>
      </c>
      <c r="I271" s="69" t="str">
        <f aca="false">IF(発注計算!$C267="","",発注計算!$Y267)</f>
        <v/>
      </c>
      <c r="J271" s="70"/>
      <c r="K271" s="71" t="str">
        <f aca="false">IF($J271="","",N($J271)*N(発注計算!$H267))</f>
        <v/>
      </c>
      <c r="L271" s="72"/>
      <c r="M271" s="72"/>
      <c r="N271" s="72"/>
      <c r="O271" s="72"/>
      <c r="P271" s="72"/>
      <c r="Q271" s="72"/>
      <c r="R271" s="72"/>
      <c r="S271" s="72"/>
      <c r="T271" s="72"/>
      <c r="U271" s="72"/>
      <c r="V271" s="72"/>
      <c r="W271" s="72"/>
      <c r="X271" s="72"/>
      <c r="Y271" s="72"/>
      <c r="Z271" s="31" t="n">
        <f aca="false">IF(OR(N($J271)&lt;=0,AND(③発注書!$C$5&lt;&gt;"すべて",発注計算!$F267&lt;&gt;③発注書!$C$5)),N(Z270),N(Z270)+1)</f>
        <v>7</v>
      </c>
    </row>
    <row r="272" customFormat="false" ht="16.5" hidden="false" customHeight="true" outlineLevel="0" collapsed="false">
      <c r="B272" s="66" t="n">
        <v>263</v>
      </c>
      <c r="C272" s="66" t="str">
        <f aca="false">IF(発注計算!$C268="","",発注計算!$D268)</f>
        <v/>
      </c>
      <c r="D272" s="66" t="str">
        <f aca="false">IF(発注計算!$C268="","",発注計算!$E268)</f>
        <v/>
      </c>
      <c r="E272" s="67" t="str">
        <f aca="false">IF(発注計算!$C268="","",発注計算!$T268)</f>
        <v/>
      </c>
      <c r="F272" s="67" t="str">
        <f aca="false">IF(ISNUMBER($E272),$E272-N(発注計算!$I268),"")</f>
        <v/>
      </c>
      <c r="G272" s="68" t="str">
        <f aca="false">IF(発注計算!$C268="","",IF(NOT(ISNUMBER($F272)),"データなし",IF($F272&lt;=0,"今日が期限",IF($F272&lt;=N(発注計算!$AG268),"要発注","余裕"))))</f>
        <v/>
      </c>
      <c r="H272" s="67" t="str">
        <f aca="false">IF(OR(発注計算!$C268="",NOT(ISNUMBER(発注計算!$S268)),発注計算!$S268&lt;=0),"",(発注計算!$K268+N($J272)*N(発注計算!$G268))/発注計算!$S268)</f>
        <v/>
      </c>
      <c r="I272" s="69" t="str">
        <f aca="false">IF(発注計算!$C268="","",発注計算!$Y268)</f>
        <v/>
      </c>
      <c r="J272" s="70"/>
      <c r="K272" s="71" t="str">
        <f aca="false">IF($J272="","",N($J272)*N(発注計算!$H268))</f>
        <v/>
      </c>
      <c r="L272" s="72"/>
      <c r="M272" s="72"/>
      <c r="N272" s="72"/>
      <c r="O272" s="72"/>
      <c r="P272" s="72"/>
      <c r="Q272" s="72"/>
      <c r="R272" s="72"/>
      <c r="S272" s="72"/>
      <c r="T272" s="72"/>
      <c r="U272" s="72"/>
      <c r="V272" s="72"/>
      <c r="W272" s="72"/>
      <c r="X272" s="72"/>
      <c r="Y272" s="72"/>
      <c r="Z272" s="31" t="n">
        <f aca="false">IF(OR(N($J272)&lt;=0,AND(③発注書!$C$5&lt;&gt;"すべて",発注計算!$F268&lt;&gt;③発注書!$C$5)),N(Z271),N(Z271)+1)</f>
        <v>7</v>
      </c>
    </row>
    <row r="273" customFormat="false" ht="16.5" hidden="false" customHeight="true" outlineLevel="0" collapsed="false">
      <c r="B273" s="66" t="n">
        <v>264</v>
      </c>
      <c r="C273" s="66" t="str">
        <f aca="false">IF(発注計算!$C269="","",発注計算!$D269)</f>
        <v/>
      </c>
      <c r="D273" s="66" t="str">
        <f aca="false">IF(発注計算!$C269="","",発注計算!$E269)</f>
        <v/>
      </c>
      <c r="E273" s="67" t="str">
        <f aca="false">IF(発注計算!$C269="","",発注計算!$T269)</f>
        <v/>
      </c>
      <c r="F273" s="67" t="str">
        <f aca="false">IF(ISNUMBER($E273),$E273-N(発注計算!$I269),"")</f>
        <v/>
      </c>
      <c r="G273" s="68" t="str">
        <f aca="false">IF(発注計算!$C269="","",IF(NOT(ISNUMBER($F273)),"データなし",IF($F273&lt;=0,"今日が期限",IF($F273&lt;=N(発注計算!$AG269),"要発注","余裕"))))</f>
        <v/>
      </c>
      <c r="H273" s="67" t="str">
        <f aca="false">IF(OR(発注計算!$C269="",NOT(ISNUMBER(発注計算!$S269)),発注計算!$S269&lt;=0),"",(発注計算!$K269+N($J273)*N(発注計算!$G269))/発注計算!$S269)</f>
        <v/>
      </c>
      <c r="I273" s="69" t="str">
        <f aca="false">IF(発注計算!$C269="","",発注計算!$Y269)</f>
        <v/>
      </c>
      <c r="J273" s="70"/>
      <c r="K273" s="71" t="str">
        <f aca="false">IF($J273="","",N($J273)*N(発注計算!$H269))</f>
        <v/>
      </c>
      <c r="L273" s="72"/>
      <c r="M273" s="72"/>
      <c r="N273" s="72"/>
      <c r="O273" s="72"/>
      <c r="P273" s="72"/>
      <c r="Q273" s="72"/>
      <c r="R273" s="72"/>
      <c r="S273" s="72"/>
      <c r="T273" s="72"/>
      <c r="U273" s="72"/>
      <c r="V273" s="72"/>
      <c r="W273" s="72"/>
      <c r="X273" s="72"/>
      <c r="Y273" s="72"/>
      <c r="Z273" s="31" t="n">
        <f aca="false">IF(OR(N($J273)&lt;=0,AND(③発注書!$C$5&lt;&gt;"すべて",発注計算!$F269&lt;&gt;③発注書!$C$5)),N(Z272),N(Z272)+1)</f>
        <v>7</v>
      </c>
    </row>
    <row r="274" customFormat="false" ht="16.5" hidden="false" customHeight="true" outlineLevel="0" collapsed="false">
      <c r="B274" s="66" t="n">
        <v>265</v>
      </c>
      <c r="C274" s="66" t="str">
        <f aca="false">IF(発注計算!$C270="","",発注計算!$D270)</f>
        <v/>
      </c>
      <c r="D274" s="66" t="str">
        <f aca="false">IF(発注計算!$C270="","",発注計算!$E270)</f>
        <v/>
      </c>
      <c r="E274" s="67" t="str">
        <f aca="false">IF(発注計算!$C270="","",発注計算!$T270)</f>
        <v/>
      </c>
      <c r="F274" s="67" t="str">
        <f aca="false">IF(ISNUMBER($E274),$E274-N(発注計算!$I270),"")</f>
        <v/>
      </c>
      <c r="G274" s="68" t="str">
        <f aca="false">IF(発注計算!$C270="","",IF(NOT(ISNUMBER($F274)),"データなし",IF($F274&lt;=0,"今日が期限",IF($F274&lt;=N(発注計算!$AG270),"要発注","余裕"))))</f>
        <v/>
      </c>
      <c r="H274" s="67" t="str">
        <f aca="false">IF(OR(発注計算!$C270="",NOT(ISNUMBER(発注計算!$S270)),発注計算!$S270&lt;=0),"",(発注計算!$K270+N($J274)*N(発注計算!$G270))/発注計算!$S270)</f>
        <v/>
      </c>
      <c r="I274" s="69" t="str">
        <f aca="false">IF(発注計算!$C270="","",発注計算!$Y270)</f>
        <v/>
      </c>
      <c r="J274" s="70"/>
      <c r="K274" s="71" t="str">
        <f aca="false">IF($J274="","",N($J274)*N(発注計算!$H270))</f>
        <v/>
      </c>
      <c r="L274" s="72"/>
      <c r="M274" s="72"/>
      <c r="N274" s="72"/>
      <c r="O274" s="72"/>
      <c r="P274" s="72"/>
      <c r="Q274" s="72"/>
      <c r="R274" s="72"/>
      <c r="S274" s="72"/>
      <c r="T274" s="72"/>
      <c r="U274" s="72"/>
      <c r="V274" s="72"/>
      <c r="W274" s="72"/>
      <c r="X274" s="72"/>
      <c r="Y274" s="72"/>
      <c r="Z274" s="31" t="n">
        <f aca="false">IF(OR(N($J274)&lt;=0,AND(③発注書!$C$5&lt;&gt;"すべて",発注計算!$F270&lt;&gt;③発注書!$C$5)),N(Z273),N(Z273)+1)</f>
        <v>7</v>
      </c>
    </row>
    <row r="275" customFormat="false" ht="16.5" hidden="false" customHeight="true" outlineLevel="0" collapsed="false">
      <c r="B275" s="66" t="n">
        <v>266</v>
      </c>
      <c r="C275" s="66" t="str">
        <f aca="false">IF(発注計算!$C271="","",発注計算!$D271)</f>
        <v/>
      </c>
      <c r="D275" s="66" t="str">
        <f aca="false">IF(発注計算!$C271="","",発注計算!$E271)</f>
        <v/>
      </c>
      <c r="E275" s="67" t="str">
        <f aca="false">IF(発注計算!$C271="","",発注計算!$T271)</f>
        <v/>
      </c>
      <c r="F275" s="67" t="str">
        <f aca="false">IF(ISNUMBER($E275),$E275-N(発注計算!$I271),"")</f>
        <v/>
      </c>
      <c r="G275" s="68" t="str">
        <f aca="false">IF(発注計算!$C271="","",IF(NOT(ISNUMBER($F275)),"データなし",IF($F275&lt;=0,"今日が期限",IF($F275&lt;=N(発注計算!$AG271),"要発注","余裕"))))</f>
        <v/>
      </c>
      <c r="H275" s="67" t="str">
        <f aca="false">IF(OR(発注計算!$C271="",NOT(ISNUMBER(発注計算!$S271)),発注計算!$S271&lt;=0),"",(発注計算!$K271+N($J275)*N(発注計算!$G271))/発注計算!$S271)</f>
        <v/>
      </c>
      <c r="I275" s="69" t="str">
        <f aca="false">IF(発注計算!$C271="","",発注計算!$Y271)</f>
        <v/>
      </c>
      <c r="J275" s="70"/>
      <c r="K275" s="71" t="str">
        <f aca="false">IF($J275="","",N($J275)*N(発注計算!$H271))</f>
        <v/>
      </c>
      <c r="L275" s="72"/>
      <c r="M275" s="72"/>
      <c r="N275" s="72"/>
      <c r="O275" s="72"/>
      <c r="P275" s="72"/>
      <c r="Q275" s="72"/>
      <c r="R275" s="72"/>
      <c r="S275" s="72"/>
      <c r="T275" s="72"/>
      <c r="U275" s="72"/>
      <c r="V275" s="72"/>
      <c r="W275" s="72"/>
      <c r="X275" s="72"/>
      <c r="Y275" s="72"/>
      <c r="Z275" s="31" t="n">
        <f aca="false">IF(OR(N($J275)&lt;=0,AND(③発注書!$C$5&lt;&gt;"すべて",発注計算!$F271&lt;&gt;③発注書!$C$5)),N(Z274),N(Z274)+1)</f>
        <v>7</v>
      </c>
    </row>
    <row r="276" customFormat="false" ht="16.5" hidden="false" customHeight="true" outlineLevel="0" collapsed="false">
      <c r="B276" s="66" t="n">
        <v>267</v>
      </c>
      <c r="C276" s="66" t="str">
        <f aca="false">IF(発注計算!$C272="","",発注計算!$D272)</f>
        <v/>
      </c>
      <c r="D276" s="66" t="str">
        <f aca="false">IF(発注計算!$C272="","",発注計算!$E272)</f>
        <v/>
      </c>
      <c r="E276" s="67" t="str">
        <f aca="false">IF(発注計算!$C272="","",発注計算!$T272)</f>
        <v/>
      </c>
      <c r="F276" s="67" t="str">
        <f aca="false">IF(ISNUMBER($E276),$E276-N(発注計算!$I272),"")</f>
        <v/>
      </c>
      <c r="G276" s="68" t="str">
        <f aca="false">IF(発注計算!$C272="","",IF(NOT(ISNUMBER($F276)),"データなし",IF($F276&lt;=0,"今日が期限",IF($F276&lt;=N(発注計算!$AG272),"要発注","余裕"))))</f>
        <v/>
      </c>
      <c r="H276" s="67" t="str">
        <f aca="false">IF(OR(発注計算!$C272="",NOT(ISNUMBER(発注計算!$S272)),発注計算!$S272&lt;=0),"",(発注計算!$K272+N($J276)*N(発注計算!$G272))/発注計算!$S272)</f>
        <v/>
      </c>
      <c r="I276" s="69" t="str">
        <f aca="false">IF(発注計算!$C272="","",発注計算!$Y272)</f>
        <v/>
      </c>
      <c r="J276" s="70"/>
      <c r="K276" s="71" t="str">
        <f aca="false">IF($J276="","",N($J276)*N(発注計算!$H272))</f>
        <v/>
      </c>
      <c r="L276" s="72"/>
      <c r="M276" s="72"/>
      <c r="N276" s="72"/>
      <c r="O276" s="72"/>
      <c r="P276" s="72"/>
      <c r="Q276" s="72"/>
      <c r="R276" s="72"/>
      <c r="S276" s="72"/>
      <c r="T276" s="72"/>
      <c r="U276" s="72"/>
      <c r="V276" s="72"/>
      <c r="W276" s="72"/>
      <c r="X276" s="72"/>
      <c r="Y276" s="72"/>
      <c r="Z276" s="31" t="n">
        <f aca="false">IF(OR(N($J276)&lt;=0,AND(③発注書!$C$5&lt;&gt;"すべて",発注計算!$F272&lt;&gt;③発注書!$C$5)),N(Z275),N(Z275)+1)</f>
        <v>7</v>
      </c>
    </row>
    <row r="277" customFormat="false" ht="16.5" hidden="false" customHeight="true" outlineLevel="0" collapsed="false">
      <c r="B277" s="66" t="n">
        <v>268</v>
      </c>
      <c r="C277" s="66" t="str">
        <f aca="false">IF(発注計算!$C273="","",発注計算!$D273)</f>
        <v/>
      </c>
      <c r="D277" s="66" t="str">
        <f aca="false">IF(発注計算!$C273="","",発注計算!$E273)</f>
        <v/>
      </c>
      <c r="E277" s="67" t="str">
        <f aca="false">IF(発注計算!$C273="","",発注計算!$T273)</f>
        <v/>
      </c>
      <c r="F277" s="67" t="str">
        <f aca="false">IF(ISNUMBER($E277),$E277-N(発注計算!$I273),"")</f>
        <v/>
      </c>
      <c r="G277" s="68" t="str">
        <f aca="false">IF(発注計算!$C273="","",IF(NOT(ISNUMBER($F277)),"データなし",IF($F277&lt;=0,"今日が期限",IF($F277&lt;=N(発注計算!$AG273),"要発注","余裕"))))</f>
        <v/>
      </c>
      <c r="H277" s="67" t="str">
        <f aca="false">IF(OR(発注計算!$C273="",NOT(ISNUMBER(発注計算!$S273)),発注計算!$S273&lt;=0),"",(発注計算!$K273+N($J277)*N(発注計算!$G273))/発注計算!$S273)</f>
        <v/>
      </c>
      <c r="I277" s="69" t="str">
        <f aca="false">IF(発注計算!$C273="","",発注計算!$Y273)</f>
        <v/>
      </c>
      <c r="J277" s="70"/>
      <c r="K277" s="71" t="str">
        <f aca="false">IF($J277="","",N($J277)*N(発注計算!$H273))</f>
        <v/>
      </c>
      <c r="L277" s="72"/>
      <c r="M277" s="72"/>
      <c r="N277" s="72"/>
      <c r="O277" s="72"/>
      <c r="P277" s="72"/>
      <c r="Q277" s="72"/>
      <c r="R277" s="72"/>
      <c r="S277" s="72"/>
      <c r="T277" s="72"/>
      <c r="U277" s="72"/>
      <c r="V277" s="72"/>
      <c r="W277" s="72"/>
      <c r="X277" s="72"/>
      <c r="Y277" s="72"/>
      <c r="Z277" s="31" t="n">
        <f aca="false">IF(OR(N($J277)&lt;=0,AND(③発注書!$C$5&lt;&gt;"すべて",発注計算!$F273&lt;&gt;③発注書!$C$5)),N(Z276),N(Z276)+1)</f>
        <v>7</v>
      </c>
    </row>
    <row r="278" customFormat="false" ht="16.5" hidden="false" customHeight="true" outlineLevel="0" collapsed="false">
      <c r="B278" s="66" t="n">
        <v>269</v>
      </c>
      <c r="C278" s="66" t="str">
        <f aca="false">IF(発注計算!$C274="","",発注計算!$D274)</f>
        <v/>
      </c>
      <c r="D278" s="66" t="str">
        <f aca="false">IF(発注計算!$C274="","",発注計算!$E274)</f>
        <v/>
      </c>
      <c r="E278" s="67" t="str">
        <f aca="false">IF(発注計算!$C274="","",発注計算!$T274)</f>
        <v/>
      </c>
      <c r="F278" s="67" t="str">
        <f aca="false">IF(ISNUMBER($E278),$E278-N(発注計算!$I274),"")</f>
        <v/>
      </c>
      <c r="G278" s="68" t="str">
        <f aca="false">IF(発注計算!$C274="","",IF(NOT(ISNUMBER($F278)),"データなし",IF($F278&lt;=0,"今日が期限",IF($F278&lt;=N(発注計算!$AG274),"要発注","余裕"))))</f>
        <v/>
      </c>
      <c r="H278" s="67" t="str">
        <f aca="false">IF(OR(発注計算!$C274="",NOT(ISNUMBER(発注計算!$S274)),発注計算!$S274&lt;=0),"",(発注計算!$K274+N($J278)*N(発注計算!$G274))/発注計算!$S274)</f>
        <v/>
      </c>
      <c r="I278" s="69" t="str">
        <f aca="false">IF(発注計算!$C274="","",発注計算!$Y274)</f>
        <v/>
      </c>
      <c r="J278" s="70"/>
      <c r="K278" s="71" t="str">
        <f aca="false">IF($J278="","",N($J278)*N(発注計算!$H274))</f>
        <v/>
      </c>
      <c r="L278" s="72"/>
      <c r="M278" s="72"/>
      <c r="N278" s="72"/>
      <c r="O278" s="72"/>
      <c r="P278" s="72"/>
      <c r="Q278" s="72"/>
      <c r="R278" s="72"/>
      <c r="S278" s="72"/>
      <c r="T278" s="72"/>
      <c r="U278" s="72"/>
      <c r="V278" s="72"/>
      <c r="W278" s="72"/>
      <c r="X278" s="72"/>
      <c r="Y278" s="72"/>
      <c r="Z278" s="31" t="n">
        <f aca="false">IF(OR(N($J278)&lt;=0,AND(③発注書!$C$5&lt;&gt;"すべて",発注計算!$F274&lt;&gt;③発注書!$C$5)),N(Z277),N(Z277)+1)</f>
        <v>7</v>
      </c>
    </row>
    <row r="279" customFormat="false" ht="16.5" hidden="false" customHeight="true" outlineLevel="0" collapsed="false">
      <c r="B279" s="66" t="n">
        <v>270</v>
      </c>
      <c r="C279" s="66" t="str">
        <f aca="false">IF(発注計算!$C275="","",発注計算!$D275)</f>
        <v/>
      </c>
      <c r="D279" s="66" t="str">
        <f aca="false">IF(発注計算!$C275="","",発注計算!$E275)</f>
        <v/>
      </c>
      <c r="E279" s="67" t="str">
        <f aca="false">IF(発注計算!$C275="","",発注計算!$T275)</f>
        <v/>
      </c>
      <c r="F279" s="67" t="str">
        <f aca="false">IF(ISNUMBER($E279),$E279-N(発注計算!$I275),"")</f>
        <v/>
      </c>
      <c r="G279" s="68" t="str">
        <f aca="false">IF(発注計算!$C275="","",IF(NOT(ISNUMBER($F279)),"データなし",IF($F279&lt;=0,"今日が期限",IF($F279&lt;=N(発注計算!$AG275),"要発注","余裕"))))</f>
        <v/>
      </c>
      <c r="H279" s="67" t="str">
        <f aca="false">IF(OR(発注計算!$C275="",NOT(ISNUMBER(発注計算!$S275)),発注計算!$S275&lt;=0),"",(発注計算!$K275+N($J279)*N(発注計算!$G275))/発注計算!$S275)</f>
        <v/>
      </c>
      <c r="I279" s="69" t="str">
        <f aca="false">IF(発注計算!$C275="","",発注計算!$Y275)</f>
        <v/>
      </c>
      <c r="J279" s="70"/>
      <c r="K279" s="71" t="str">
        <f aca="false">IF($J279="","",N($J279)*N(発注計算!$H275))</f>
        <v/>
      </c>
      <c r="L279" s="72"/>
      <c r="M279" s="72"/>
      <c r="N279" s="72"/>
      <c r="O279" s="72"/>
      <c r="P279" s="72"/>
      <c r="Q279" s="72"/>
      <c r="R279" s="72"/>
      <c r="S279" s="72"/>
      <c r="T279" s="72"/>
      <c r="U279" s="72"/>
      <c r="V279" s="72"/>
      <c r="W279" s="72"/>
      <c r="X279" s="72"/>
      <c r="Y279" s="72"/>
      <c r="Z279" s="31" t="n">
        <f aca="false">IF(OR(N($J279)&lt;=0,AND(③発注書!$C$5&lt;&gt;"すべて",発注計算!$F275&lt;&gt;③発注書!$C$5)),N(Z278),N(Z278)+1)</f>
        <v>7</v>
      </c>
    </row>
    <row r="280" customFormat="false" ht="16.5" hidden="false" customHeight="true" outlineLevel="0" collapsed="false">
      <c r="B280" s="66" t="n">
        <v>271</v>
      </c>
      <c r="C280" s="66" t="str">
        <f aca="false">IF(発注計算!$C276="","",発注計算!$D276)</f>
        <v/>
      </c>
      <c r="D280" s="66" t="str">
        <f aca="false">IF(発注計算!$C276="","",発注計算!$E276)</f>
        <v/>
      </c>
      <c r="E280" s="67" t="str">
        <f aca="false">IF(発注計算!$C276="","",発注計算!$T276)</f>
        <v/>
      </c>
      <c r="F280" s="67" t="str">
        <f aca="false">IF(ISNUMBER($E280),$E280-N(発注計算!$I276),"")</f>
        <v/>
      </c>
      <c r="G280" s="68" t="str">
        <f aca="false">IF(発注計算!$C276="","",IF(NOT(ISNUMBER($F280)),"データなし",IF($F280&lt;=0,"今日が期限",IF($F280&lt;=N(発注計算!$AG276),"要発注","余裕"))))</f>
        <v/>
      </c>
      <c r="H280" s="67" t="str">
        <f aca="false">IF(OR(発注計算!$C276="",NOT(ISNUMBER(発注計算!$S276)),発注計算!$S276&lt;=0),"",(発注計算!$K276+N($J280)*N(発注計算!$G276))/発注計算!$S276)</f>
        <v/>
      </c>
      <c r="I280" s="69" t="str">
        <f aca="false">IF(発注計算!$C276="","",発注計算!$Y276)</f>
        <v/>
      </c>
      <c r="J280" s="70"/>
      <c r="K280" s="71" t="str">
        <f aca="false">IF($J280="","",N($J280)*N(発注計算!$H276))</f>
        <v/>
      </c>
      <c r="L280" s="72"/>
      <c r="M280" s="72"/>
      <c r="N280" s="72"/>
      <c r="O280" s="72"/>
      <c r="P280" s="72"/>
      <c r="Q280" s="72"/>
      <c r="R280" s="72"/>
      <c r="S280" s="72"/>
      <c r="T280" s="72"/>
      <c r="U280" s="72"/>
      <c r="V280" s="72"/>
      <c r="W280" s="72"/>
      <c r="X280" s="72"/>
      <c r="Y280" s="72"/>
      <c r="Z280" s="31" t="n">
        <f aca="false">IF(OR(N($J280)&lt;=0,AND(③発注書!$C$5&lt;&gt;"すべて",発注計算!$F276&lt;&gt;③発注書!$C$5)),N(Z279),N(Z279)+1)</f>
        <v>7</v>
      </c>
    </row>
    <row r="281" customFormat="false" ht="16.5" hidden="false" customHeight="true" outlineLevel="0" collapsed="false">
      <c r="B281" s="66" t="n">
        <v>272</v>
      </c>
      <c r="C281" s="66" t="str">
        <f aca="false">IF(発注計算!$C277="","",発注計算!$D277)</f>
        <v/>
      </c>
      <c r="D281" s="66" t="str">
        <f aca="false">IF(発注計算!$C277="","",発注計算!$E277)</f>
        <v/>
      </c>
      <c r="E281" s="67" t="str">
        <f aca="false">IF(発注計算!$C277="","",発注計算!$T277)</f>
        <v/>
      </c>
      <c r="F281" s="67" t="str">
        <f aca="false">IF(ISNUMBER($E281),$E281-N(発注計算!$I277),"")</f>
        <v/>
      </c>
      <c r="G281" s="68" t="str">
        <f aca="false">IF(発注計算!$C277="","",IF(NOT(ISNUMBER($F281)),"データなし",IF($F281&lt;=0,"今日が期限",IF($F281&lt;=N(発注計算!$AG277),"要発注","余裕"))))</f>
        <v/>
      </c>
      <c r="H281" s="67" t="str">
        <f aca="false">IF(OR(発注計算!$C277="",NOT(ISNUMBER(発注計算!$S277)),発注計算!$S277&lt;=0),"",(発注計算!$K277+N($J281)*N(発注計算!$G277))/発注計算!$S277)</f>
        <v/>
      </c>
      <c r="I281" s="69" t="str">
        <f aca="false">IF(発注計算!$C277="","",発注計算!$Y277)</f>
        <v/>
      </c>
      <c r="J281" s="70"/>
      <c r="K281" s="71" t="str">
        <f aca="false">IF($J281="","",N($J281)*N(発注計算!$H277))</f>
        <v/>
      </c>
      <c r="L281" s="72"/>
      <c r="M281" s="72"/>
      <c r="N281" s="72"/>
      <c r="O281" s="72"/>
      <c r="P281" s="72"/>
      <c r="Q281" s="72"/>
      <c r="R281" s="72"/>
      <c r="S281" s="72"/>
      <c r="T281" s="72"/>
      <c r="U281" s="72"/>
      <c r="V281" s="72"/>
      <c r="W281" s="72"/>
      <c r="X281" s="72"/>
      <c r="Y281" s="72"/>
      <c r="Z281" s="31" t="n">
        <f aca="false">IF(OR(N($J281)&lt;=0,AND(③発注書!$C$5&lt;&gt;"すべて",発注計算!$F277&lt;&gt;③発注書!$C$5)),N(Z280),N(Z280)+1)</f>
        <v>7</v>
      </c>
    </row>
    <row r="282" customFormat="false" ht="16.5" hidden="false" customHeight="true" outlineLevel="0" collapsed="false">
      <c r="B282" s="66" t="n">
        <v>273</v>
      </c>
      <c r="C282" s="66" t="str">
        <f aca="false">IF(発注計算!$C278="","",発注計算!$D278)</f>
        <v/>
      </c>
      <c r="D282" s="66" t="str">
        <f aca="false">IF(発注計算!$C278="","",発注計算!$E278)</f>
        <v/>
      </c>
      <c r="E282" s="67" t="str">
        <f aca="false">IF(発注計算!$C278="","",発注計算!$T278)</f>
        <v/>
      </c>
      <c r="F282" s="67" t="str">
        <f aca="false">IF(ISNUMBER($E282),$E282-N(発注計算!$I278),"")</f>
        <v/>
      </c>
      <c r="G282" s="68" t="str">
        <f aca="false">IF(発注計算!$C278="","",IF(NOT(ISNUMBER($F282)),"データなし",IF($F282&lt;=0,"今日が期限",IF($F282&lt;=N(発注計算!$AG278),"要発注","余裕"))))</f>
        <v/>
      </c>
      <c r="H282" s="67" t="str">
        <f aca="false">IF(OR(発注計算!$C278="",NOT(ISNUMBER(発注計算!$S278)),発注計算!$S278&lt;=0),"",(発注計算!$K278+N($J282)*N(発注計算!$G278))/発注計算!$S278)</f>
        <v/>
      </c>
      <c r="I282" s="69" t="str">
        <f aca="false">IF(発注計算!$C278="","",発注計算!$Y278)</f>
        <v/>
      </c>
      <c r="J282" s="70"/>
      <c r="K282" s="71" t="str">
        <f aca="false">IF($J282="","",N($J282)*N(発注計算!$H278))</f>
        <v/>
      </c>
      <c r="L282" s="72"/>
      <c r="M282" s="72"/>
      <c r="N282" s="72"/>
      <c r="O282" s="72"/>
      <c r="P282" s="72"/>
      <c r="Q282" s="72"/>
      <c r="R282" s="72"/>
      <c r="S282" s="72"/>
      <c r="T282" s="72"/>
      <c r="U282" s="72"/>
      <c r="V282" s="72"/>
      <c r="W282" s="72"/>
      <c r="X282" s="72"/>
      <c r="Y282" s="72"/>
      <c r="Z282" s="31" t="n">
        <f aca="false">IF(OR(N($J282)&lt;=0,AND(③発注書!$C$5&lt;&gt;"すべて",発注計算!$F278&lt;&gt;③発注書!$C$5)),N(Z281),N(Z281)+1)</f>
        <v>7</v>
      </c>
    </row>
    <row r="283" customFormat="false" ht="16.5" hidden="false" customHeight="true" outlineLevel="0" collapsed="false">
      <c r="B283" s="66" t="n">
        <v>274</v>
      </c>
      <c r="C283" s="66" t="str">
        <f aca="false">IF(発注計算!$C279="","",発注計算!$D279)</f>
        <v/>
      </c>
      <c r="D283" s="66" t="str">
        <f aca="false">IF(発注計算!$C279="","",発注計算!$E279)</f>
        <v/>
      </c>
      <c r="E283" s="67" t="str">
        <f aca="false">IF(発注計算!$C279="","",発注計算!$T279)</f>
        <v/>
      </c>
      <c r="F283" s="67" t="str">
        <f aca="false">IF(ISNUMBER($E283),$E283-N(発注計算!$I279),"")</f>
        <v/>
      </c>
      <c r="G283" s="68" t="str">
        <f aca="false">IF(発注計算!$C279="","",IF(NOT(ISNUMBER($F283)),"データなし",IF($F283&lt;=0,"今日が期限",IF($F283&lt;=N(発注計算!$AG279),"要発注","余裕"))))</f>
        <v/>
      </c>
      <c r="H283" s="67" t="str">
        <f aca="false">IF(OR(発注計算!$C279="",NOT(ISNUMBER(発注計算!$S279)),発注計算!$S279&lt;=0),"",(発注計算!$K279+N($J283)*N(発注計算!$G279))/発注計算!$S279)</f>
        <v/>
      </c>
      <c r="I283" s="69" t="str">
        <f aca="false">IF(発注計算!$C279="","",発注計算!$Y279)</f>
        <v/>
      </c>
      <c r="J283" s="70"/>
      <c r="K283" s="71" t="str">
        <f aca="false">IF($J283="","",N($J283)*N(発注計算!$H279))</f>
        <v/>
      </c>
      <c r="L283" s="72"/>
      <c r="M283" s="72"/>
      <c r="N283" s="72"/>
      <c r="O283" s="72"/>
      <c r="P283" s="72"/>
      <c r="Q283" s="72"/>
      <c r="R283" s="72"/>
      <c r="S283" s="72"/>
      <c r="T283" s="72"/>
      <c r="U283" s="72"/>
      <c r="V283" s="72"/>
      <c r="W283" s="72"/>
      <c r="X283" s="72"/>
      <c r="Y283" s="72"/>
      <c r="Z283" s="31" t="n">
        <f aca="false">IF(OR(N($J283)&lt;=0,AND(③発注書!$C$5&lt;&gt;"すべて",発注計算!$F279&lt;&gt;③発注書!$C$5)),N(Z282),N(Z282)+1)</f>
        <v>7</v>
      </c>
    </row>
    <row r="284" customFormat="false" ht="16.5" hidden="false" customHeight="true" outlineLevel="0" collapsed="false">
      <c r="B284" s="66" t="n">
        <v>275</v>
      </c>
      <c r="C284" s="66" t="str">
        <f aca="false">IF(発注計算!$C280="","",発注計算!$D280)</f>
        <v/>
      </c>
      <c r="D284" s="66" t="str">
        <f aca="false">IF(発注計算!$C280="","",発注計算!$E280)</f>
        <v/>
      </c>
      <c r="E284" s="67" t="str">
        <f aca="false">IF(発注計算!$C280="","",発注計算!$T280)</f>
        <v/>
      </c>
      <c r="F284" s="67" t="str">
        <f aca="false">IF(ISNUMBER($E284),$E284-N(発注計算!$I280),"")</f>
        <v/>
      </c>
      <c r="G284" s="68" t="str">
        <f aca="false">IF(発注計算!$C280="","",IF(NOT(ISNUMBER($F284)),"データなし",IF($F284&lt;=0,"今日が期限",IF($F284&lt;=N(発注計算!$AG280),"要発注","余裕"))))</f>
        <v/>
      </c>
      <c r="H284" s="67" t="str">
        <f aca="false">IF(OR(発注計算!$C280="",NOT(ISNUMBER(発注計算!$S280)),発注計算!$S280&lt;=0),"",(発注計算!$K280+N($J284)*N(発注計算!$G280))/発注計算!$S280)</f>
        <v/>
      </c>
      <c r="I284" s="69" t="str">
        <f aca="false">IF(発注計算!$C280="","",発注計算!$Y280)</f>
        <v/>
      </c>
      <c r="J284" s="70"/>
      <c r="K284" s="71" t="str">
        <f aca="false">IF($J284="","",N($J284)*N(発注計算!$H280))</f>
        <v/>
      </c>
      <c r="L284" s="72"/>
      <c r="M284" s="72"/>
      <c r="N284" s="72"/>
      <c r="O284" s="72"/>
      <c r="P284" s="72"/>
      <c r="Q284" s="72"/>
      <c r="R284" s="72"/>
      <c r="S284" s="72"/>
      <c r="T284" s="72"/>
      <c r="U284" s="72"/>
      <c r="V284" s="72"/>
      <c r="W284" s="72"/>
      <c r="X284" s="72"/>
      <c r="Y284" s="72"/>
      <c r="Z284" s="31" t="n">
        <f aca="false">IF(OR(N($J284)&lt;=0,AND(③発注書!$C$5&lt;&gt;"すべて",発注計算!$F280&lt;&gt;③発注書!$C$5)),N(Z283),N(Z283)+1)</f>
        <v>7</v>
      </c>
    </row>
    <row r="285" customFormat="false" ht="16.5" hidden="false" customHeight="true" outlineLevel="0" collapsed="false">
      <c r="B285" s="66" t="n">
        <v>276</v>
      </c>
      <c r="C285" s="66" t="str">
        <f aca="false">IF(発注計算!$C281="","",発注計算!$D281)</f>
        <v/>
      </c>
      <c r="D285" s="66" t="str">
        <f aca="false">IF(発注計算!$C281="","",発注計算!$E281)</f>
        <v/>
      </c>
      <c r="E285" s="67" t="str">
        <f aca="false">IF(発注計算!$C281="","",発注計算!$T281)</f>
        <v/>
      </c>
      <c r="F285" s="67" t="str">
        <f aca="false">IF(ISNUMBER($E285),$E285-N(発注計算!$I281),"")</f>
        <v/>
      </c>
      <c r="G285" s="68" t="str">
        <f aca="false">IF(発注計算!$C281="","",IF(NOT(ISNUMBER($F285)),"データなし",IF($F285&lt;=0,"今日が期限",IF($F285&lt;=N(発注計算!$AG281),"要発注","余裕"))))</f>
        <v/>
      </c>
      <c r="H285" s="67" t="str">
        <f aca="false">IF(OR(発注計算!$C281="",NOT(ISNUMBER(発注計算!$S281)),発注計算!$S281&lt;=0),"",(発注計算!$K281+N($J285)*N(発注計算!$G281))/発注計算!$S281)</f>
        <v/>
      </c>
      <c r="I285" s="69" t="str">
        <f aca="false">IF(発注計算!$C281="","",発注計算!$Y281)</f>
        <v/>
      </c>
      <c r="J285" s="70"/>
      <c r="K285" s="71" t="str">
        <f aca="false">IF($J285="","",N($J285)*N(発注計算!$H281))</f>
        <v/>
      </c>
      <c r="L285" s="72"/>
      <c r="M285" s="72"/>
      <c r="N285" s="72"/>
      <c r="O285" s="72"/>
      <c r="P285" s="72"/>
      <c r="Q285" s="72"/>
      <c r="R285" s="72"/>
      <c r="S285" s="72"/>
      <c r="T285" s="72"/>
      <c r="U285" s="72"/>
      <c r="V285" s="72"/>
      <c r="W285" s="72"/>
      <c r="X285" s="72"/>
      <c r="Y285" s="72"/>
      <c r="Z285" s="31" t="n">
        <f aca="false">IF(OR(N($J285)&lt;=0,AND(③発注書!$C$5&lt;&gt;"すべて",発注計算!$F281&lt;&gt;③発注書!$C$5)),N(Z284),N(Z284)+1)</f>
        <v>7</v>
      </c>
    </row>
    <row r="286" customFormat="false" ht="16.5" hidden="false" customHeight="true" outlineLevel="0" collapsed="false">
      <c r="B286" s="66" t="n">
        <v>277</v>
      </c>
      <c r="C286" s="66" t="str">
        <f aca="false">IF(発注計算!$C282="","",発注計算!$D282)</f>
        <v/>
      </c>
      <c r="D286" s="66" t="str">
        <f aca="false">IF(発注計算!$C282="","",発注計算!$E282)</f>
        <v/>
      </c>
      <c r="E286" s="67" t="str">
        <f aca="false">IF(発注計算!$C282="","",発注計算!$T282)</f>
        <v/>
      </c>
      <c r="F286" s="67" t="str">
        <f aca="false">IF(ISNUMBER($E286),$E286-N(発注計算!$I282),"")</f>
        <v/>
      </c>
      <c r="G286" s="68" t="str">
        <f aca="false">IF(発注計算!$C282="","",IF(NOT(ISNUMBER($F286)),"データなし",IF($F286&lt;=0,"今日が期限",IF($F286&lt;=N(発注計算!$AG282),"要発注","余裕"))))</f>
        <v/>
      </c>
      <c r="H286" s="67" t="str">
        <f aca="false">IF(OR(発注計算!$C282="",NOT(ISNUMBER(発注計算!$S282)),発注計算!$S282&lt;=0),"",(発注計算!$K282+N($J286)*N(発注計算!$G282))/発注計算!$S282)</f>
        <v/>
      </c>
      <c r="I286" s="69" t="str">
        <f aca="false">IF(発注計算!$C282="","",発注計算!$Y282)</f>
        <v/>
      </c>
      <c r="J286" s="70"/>
      <c r="K286" s="71" t="str">
        <f aca="false">IF($J286="","",N($J286)*N(発注計算!$H282))</f>
        <v/>
      </c>
      <c r="L286" s="72"/>
      <c r="M286" s="72"/>
      <c r="N286" s="72"/>
      <c r="O286" s="72"/>
      <c r="P286" s="72"/>
      <c r="Q286" s="72"/>
      <c r="R286" s="72"/>
      <c r="S286" s="72"/>
      <c r="T286" s="72"/>
      <c r="U286" s="72"/>
      <c r="V286" s="72"/>
      <c r="W286" s="72"/>
      <c r="X286" s="72"/>
      <c r="Y286" s="72"/>
      <c r="Z286" s="31" t="n">
        <f aca="false">IF(OR(N($J286)&lt;=0,AND(③発注書!$C$5&lt;&gt;"すべて",発注計算!$F282&lt;&gt;③発注書!$C$5)),N(Z285),N(Z285)+1)</f>
        <v>7</v>
      </c>
    </row>
    <row r="287" customFormat="false" ht="16.5" hidden="false" customHeight="true" outlineLevel="0" collapsed="false">
      <c r="B287" s="66" t="n">
        <v>278</v>
      </c>
      <c r="C287" s="66" t="str">
        <f aca="false">IF(発注計算!$C283="","",発注計算!$D283)</f>
        <v/>
      </c>
      <c r="D287" s="66" t="str">
        <f aca="false">IF(発注計算!$C283="","",発注計算!$E283)</f>
        <v/>
      </c>
      <c r="E287" s="67" t="str">
        <f aca="false">IF(発注計算!$C283="","",発注計算!$T283)</f>
        <v/>
      </c>
      <c r="F287" s="67" t="str">
        <f aca="false">IF(ISNUMBER($E287),$E287-N(発注計算!$I283),"")</f>
        <v/>
      </c>
      <c r="G287" s="68" t="str">
        <f aca="false">IF(発注計算!$C283="","",IF(NOT(ISNUMBER($F287)),"データなし",IF($F287&lt;=0,"今日が期限",IF($F287&lt;=N(発注計算!$AG283),"要発注","余裕"))))</f>
        <v/>
      </c>
      <c r="H287" s="67" t="str">
        <f aca="false">IF(OR(発注計算!$C283="",NOT(ISNUMBER(発注計算!$S283)),発注計算!$S283&lt;=0),"",(発注計算!$K283+N($J287)*N(発注計算!$G283))/発注計算!$S283)</f>
        <v/>
      </c>
      <c r="I287" s="69" t="str">
        <f aca="false">IF(発注計算!$C283="","",発注計算!$Y283)</f>
        <v/>
      </c>
      <c r="J287" s="70"/>
      <c r="K287" s="71" t="str">
        <f aca="false">IF($J287="","",N($J287)*N(発注計算!$H283))</f>
        <v/>
      </c>
      <c r="L287" s="72"/>
      <c r="M287" s="72"/>
      <c r="N287" s="72"/>
      <c r="O287" s="72"/>
      <c r="P287" s="72"/>
      <c r="Q287" s="72"/>
      <c r="R287" s="72"/>
      <c r="S287" s="72"/>
      <c r="T287" s="72"/>
      <c r="U287" s="72"/>
      <c r="V287" s="72"/>
      <c r="W287" s="72"/>
      <c r="X287" s="72"/>
      <c r="Y287" s="72"/>
      <c r="Z287" s="31" t="n">
        <f aca="false">IF(OR(N($J287)&lt;=0,AND(③発注書!$C$5&lt;&gt;"すべて",発注計算!$F283&lt;&gt;③発注書!$C$5)),N(Z286),N(Z286)+1)</f>
        <v>7</v>
      </c>
    </row>
    <row r="288" customFormat="false" ht="16.5" hidden="false" customHeight="true" outlineLevel="0" collapsed="false">
      <c r="B288" s="66" t="n">
        <v>279</v>
      </c>
      <c r="C288" s="66" t="str">
        <f aca="false">IF(発注計算!$C284="","",発注計算!$D284)</f>
        <v/>
      </c>
      <c r="D288" s="66" t="str">
        <f aca="false">IF(発注計算!$C284="","",発注計算!$E284)</f>
        <v/>
      </c>
      <c r="E288" s="67" t="str">
        <f aca="false">IF(発注計算!$C284="","",発注計算!$T284)</f>
        <v/>
      </c>
      <c r="F288" s="67" t="str">
        <f aca="false">IF(ISNUMBER($E288),$E288-N(発注計算!$I284),"")</f>
        <v/>
      </c>
      <c r="G288" s="68" t="str">
        <f aca="false">IF(発注計算!$C284="","",IF(NOT(ISNUMBER($F288)),"データなし",IF($F288&lt;=0,"今日が期限",IF($F288&lt;=N(発注計算!$AG284),"要発注","余裕"))))</f>
        <v/>
      </c>
      <c r="H288" s="67" t="str">
        <f aca="false">IF(OR(発注計算!$C284="",NOT(ISNUMBER(発注計算!$S284)),発注計算!$S284&lt;=0),"",(発注計算!$K284+N($J288)*N(発注計算!$G284))/発注計算!$S284)</f>
        <v/>
      </c>
      <c r="I288" s="69" t="str">
        <f aca="false">IF(発注計算!$C284="","",発注計算!$Y284)</f>
        <v/>
      </c>
      <c r="J288" s="70"/>
      <c r="K288" s="71" t="str">
        <f aca="false">IF($J288="","",N($J288)*N(発注計算!$H284))</f>
        <v/>
      </c>
      <c r="L288" s="72"/>
      <c r="M288" s="72"/>
      <c r="N288" s="72"/>
      <c r="O288" s="72"/>
      <c r="P288" s="72"/>
      <c r="Q288" s="72"/>
      <c r="R288" s="72"/>
      <c r="S288" s="72"/>
      <c r="T288" s="72"/>
      <c r="U288" s="72"/>
      <c r="V288" s="72"/>
      <c r="W288" s="72"/>
      <c r="X288" s="72"/>
      <c r="Y288" s="72"/>
      <c r="Z288" s="31" t="n">
        <f aca="false">IF(OR(N($J288)&lt;=0,AND(③発注書!$C$5&lt;&gt;"すべて",発注計算!$F284&lt;&gt;③発注書!$C$5)),N(Z287),N(Z287)+1)</f>
        <v>7</v>
      </c>
    </row>
    <row r="289" customFormat="false" ht="16.5" hidden="false" customHeight="true" outlineLevel="0" collapsed="false">
      <c r="B289" s="66" t="n">
        <v>280</v>
      </c>
      <c r="C289" s="66" t="str">
        <f aca="false">IF(発注計算!$C285="","",発注計算!$D285)</f>
        <v/>
      </c>
      <c r="D289" s="66" t="str">
        <f aca="false">IF(発注計算!$C285="","",発注計算!$E285)</f>
        <v/>
      </c>
      <c r="E289" s="67" t="str">
        <f aca="false">IF(発注計算!$C285="","",発注計算!$T285)</f>
        <v/>
      </c>
      <c r="F289" s="67" t="str">
        <f aca="false">IF(ISNUMBER($E289),$E289-N(発注計算!$I285),"")</f>
        <v/>
      </c>
      <c r="G289" s="68" t="str">
        <f aca="false">IF(発注計算!$C285="","",IF(NOT(ISNUMBER($F289)),"データなし",IF($F289&lt;=0,"今日が期限",IF($F289&lt;=N(発注計算!$AG285),"要発注","余裕"))))</f>
        <v/>
      </c>
      <c r="H289" s="67" t="str">
        <f aca="false">IF(OR(発注計算!$C285="",NOT(ISNUMBER(発注計算!$S285)),発注計算!$S285&lt;=0),"",(発注計算!$K285+N($J289)*N(発注計算!$G285))/発注計算!$S285)</f>
        <v/>
      </c>
      <c r="I289" s="69" t="str">
        <f aca="false">IF(発注計算!$C285="","",発注計算!$Y285)</f>
        <v/>
      </c>
      <c r="J289" s="70"/>
      <c r="K289" s="71" t="str">
        <f aca="false">IF($J289="","",N($J289)*N(発注計算!$H285))</f>
        <v/>
      </c>
      <c r="L289" s="72"/>
      <c r="M289" s="72"/>
      <c r="N289" s="72"/>
      <c r="O289" s="72"/>
      <c r="P289" s="72"/>
      <c r="Q289" s="72"/>
      <c r="R289" s="72"/>
      <c r="S289" s="72"/>
      <c r="T289" s="72"/>
      <c r="U289" s="72"/>
      <c r="V289" s="72"/>
      <c r="W289" s="72"/>
      <c r="X289" s="72"/>
      <c r="Y289" s="72"/>
      <c r="Z289" s="31" t="n">
        <f aca="false">IF(OR(N($J289)&lt;=0,AND(③発注書!$C$5&lt;&gt;"すべて",発注計算!$F285&lt;&gt;③発注書!$C$5)),N(Z288),N(Z288)+1)</f>
        <v>7</v>
      </c>
    </row>
    <row r="290" customFormat="false" ht="16.5" hidden="false" customHeight="true" outlineLevel="0" collapsed="false">
      <c r="B290" s="66" t="n">
        <v>281</v>
      </c>
      <c r="C290" s="66" t="str">
        <f aca="false">IF(発注計算!$C286="","",発注計算!$D286)</f>
        <v/>
      </c>
      <c r="D290" s="66" t="str">
        <f aca="false">IF(発注計算!$C286="","",発注計算!$E286)</f>
        <v/>
      </c>
      <c r="E290" s="67" t="str">
        <f aca="false">IF(発注計算!$C286="","",発注計算!$T286)</f>
        <v/>
      </c>
      <c r="F290" s="67" t="str">
        <f aca="false">IF(ISNUMBER($E290),$E290-N(発注計算!$I286),"")</f>
        <v/>
      </c>
      <c r="G290" s="68" t="str">
        <f aca="false">IF(発注計算!$C286="","",IF(NOT(ISNUMBER($F290)),"データなし",IF($F290&lt;=0,"今日が期限",IF($F290&lt;=N(発注計算!$AG286),"要発注","余裕"))))</f>
        <v/>
      </c>
      <c r="H290" s="67" t="str">
        <f aca="false">IF(OR(発注計算!$C286="",NOT(ISNUMBER(発注計算!$S286)),発注計算!$S286&lt;=0),"",(発注計算!$K286+N($J290)*N(発注計算!$G286))/発注計算!$S286)</f>
        <v/>
      </c>
      <c r="I290" s="69" t="str">
        <f aca="false">IF(発注計算!$C286="","",発注計算!$Y286)</f>
        <v/>
      </c>
      <c r="J290" s="70"/>
      <c r="K290" s="71" t="str">
        <f aca="false">IF($J290="","",N($J290)*N(発注計算!$H286))</f>
        <v/>
      </c>
      <c r="L290" s="72"/>
      <c r="M290" s="72"/>
      <c r="N290" s="72"/>
      <c r="O290" s="72"/>
      <c r="P290" s="72"/>
      <c r="Q290" s="72"/>
      <c r="R290" s="72"/>
      <c r="S290" s="72"/>
      <c r="T290" s="72"/>
      <c r="U290" s="72"/>
      <c r="V290" s="72"/>
      <c r="W290" s="72"/>
      <c r="X290" s="72"/>
      <c r="Y290" s="72"/>
      <c r="Z290" s="31" t="n">
        <f aca="false">IF(OR(N($J290)&lt;=0,AND(③発注書!$C$5&lt;&gt;"すべて",発注計算!$F286&lt;&gt;③発注書!$C$5)),N(Z289),N(Z289)+1)</f>
        <v>7</v>
      </c>
    </row>
    <row r="291" customFormat="false" ht="16.5" hidden="false" customHeight="true" outlineLevel="0" collapsed="false">
      <c r="B291" s="66" t="n">
        <v>282</v>
      </c>
      <c r="C291" s="66" t="str">
        <f aca="false">IF(発注計算!$C287="","",発注計算!$D287)</f>
        <v/>
      </c>
      <c r="D291" s="66" t="str">
        <f aca="false">IF(発注計算!$C287="","",発注計算!$E287)</f>
        <v/>
      </c>
      <c r="E291" s="67" t="str">
        <f aca="false">IF(発注計算!$C287="","",発注計算!$T287)</f>
        <v/>
      </c>
      <c r="F291" s="67" t="str">
        <f aca="false">IF(ISNUMBER($E291),$E291-N(発注計算!$I287),"")</f>
        <v/>
      </c>
      <c r="G291" s="68" t="str">
        <f aca="false">IF(発注計算!$C287="","",IF(NOT(ISNUMBER($F291)),"データなし",IF($F291&lt;=0,"今日が期限",IF($F291&lt;=N(発注計算!$AG287),"要発注","余裕"))))</f>
        <v/>
      </c>
      <c r="H291" s="67" t="str">
        <f aca="false">IF(OR(発注計算!$C287="",NOT(ISNUMBER(発注計算!$S287)),発注計算!$S287&lt;=0),"",(発注計算!$K287+N($J291)*N(発注計算!$G287))/発注計算!$S287)</f>
        <v/>
      </c>
      <c r="I291" s="69" t="str">
        <f aca="false">IF(発注計算!$C287="","",発注計算!$Y287)</f>
        <v/>
      </c>
      <c r="J291" s="70"/>
      <c r="K291" s="71" t="str">
        <f aca="false">IF($J291="","",N($J291)*N(発注計算!$H287))</f>
        <v/>
      </c>
      <c r="L291" s="72"/>
      <c r="M291" s="72"/>
      <c r="N291" s="72"/>
      <c r="O291" s="72"/>
      <c r="P291" s="72"/>
      <c r="Q291" s="72"/>
      <c r="R291" s="72"/>
      <c r="S291" s="72"/>
      <c r="T291" s="72"/>
      <c r="U291" s="72"/>
      <c r="V291" s="72"/>
      <c r="W291" s="72"/>
      <c r="X291" s="72"/>
      <c r="Y291" s="72"/>
      <c r="Z291" s="31" t="n">
        <f aca="false">IF(OR(N($J291)&lt;=0,AND(③発注書!$C$5&lt;&gt;"すべて",発注計算!$F287&lt;&gt;③発注書!$C$5)),N(Z290),N(Z290)+1)</f>
        <v>7</v>
      </c>
    </row>
    <row r="292" customFormat="false" ht="16.5" hidden="false" customHeight="true" outlineLevel="0" collapsed="false">
      <c r="B292" s="66" t="n">
        <v>283</v>
      </c>
      <c r="C292" s="66" t="str">
        <f aca="false">IF(発注計算!$C288="","",発注計算!$D288)</f>
        <v/>
      </c>
      <c r="D292" s="66" t="str">
        <f aca="false">IF(発注計算!$C288="","",発注計算!$E288)</f>
        <v/>
      </c>
      <c r="E292" s="67" t="str">
        <f aca="false">IF(発注計算!$C288="","",発注計算!$T288)</f>
        <v/>
      </c>
      <c r="F292" s="67" t="str">
        <f aca="false">IF(ISNUMBER($E292),$E292-N(発注計算!$I288),"")</f>
        <v/>
      </c>
      <c r="G292" s="68" t="str">
        <f aca="false">IF(発注計算!$C288="","",IF(NOT(ISNUMBER($F292)),"データなし",IF($F292&lt;=0,"今日が期限",IF($F292&lt;=N(発注計算!$AG288),"要発注","余裕"))))</f>
        <v/>
      </c>
      <c r="H292" s="67" t="str">
        <f aca="false">IF(OR(発注計算!$C288="",NOT(ISNUMBER(発注計算!$S288)),発注計算!$S288&lt;=0),"",(発注計算!$K288+N($J292)*N(発注計算!$G288))/発注計算!$S288)</f>
        <v/>
      </c>
      <c r="I292" s="69" t="str">
        <f aca="false">IF(発注計算!$C288="","",発注計算!$Y288)</f>
        <v/>
      </c>
      <c r="J292" s="70"/>
      <c r="K292" s="71" t="str">
        <f aca="false">IF($J292="","",N($J292)*N(発注計算!$H288))</f>
        <v/>
      </c>
      <c r="L292" s="72"/>
      <c r="M292" s="72"/>
      <c r="N292" s="72"/>
      <c r="O292" s="72"/>
      <c r="P292" s="72"/>
      <c r="Q292" s="72"/>
      <c r="R292" s="72"/>
      <c r="S292" s="72"/>
      <c r="T292" s="72"/>
      <c r="U292" s="72"/>
      <c r="V292" s="72"/>
      <c r="W292" s="72"/>
      <c r="X292" s="72"/>
      <c r="Y292" s="72"/>
      <c r="Z292" s="31" t="n">
        <f aca="false">IF(OR(N($J292)&lt;=0,AND(③発注書!$C$5&lt;&gt;"すべて",発注計算!$F288&lt;&gt;③発注書!$C$5)),N(Z291),N(Z291)+1)</f>
        <v>7</v>
      </c>
    </row>
    <row r="293" customFormat="false" ht="16.5" hidden="false" customHeight="true" outlineLevel="0" collapsed="false">
      <c r="B293" s="66" t="n">
        <v>284</v>
      </c>
      <c r="C293" s="66" t="str">
        <f aca="false">IF(発注計算!$C289="","",発注計算!$D289)</f>
        <v/>
      </c>
      <c r="D293" s="66" t="str">
        <f aca="false">IF(発注計算!$C289="","",発注計算!$E289)</f>
        <v/>
      </c>
      <c r="E293" s="67" t="str">
        <f aca="false">IF(発注計算!$C289="","",発注計算!$T289)</f>
        <v/>
      </c>
      <c r="F293" s="67" t="str">
        <f aca="false">IF(ISNUMBER($E293),$E293-N(発注計算!$I289),"")</f>
        <v/>
      </c>
      <c r="G293" s="68" t="str">
        <f aca="false">IF(発注計算!$C289="","",IF(NOT(ISNUMBER($F293)),"データなし",IF($F293&lt;=0,"今日が期限",IF($F293&lt;=N(発注計算!$AG289),"要発注","余裕"))))</f>
        <v/>
      </c>
      <c r="H293" s="67" t="str">
        <f aca="false">IF(OR(発注計算!$C289="",NOT(ISNUMBER(発注計算!$S289)),発注計算!$S289&lt;=0),"",(発注計算!$K289+N($J293)*N(発注計算!$G289))/発注計算!$S289)</f>
        <v/>
      </c>
      <c r="I293" s="69" t="str">
        <f aca="false">IF(発注計算!$C289="","",発注計算!$Y289)</f>
        <v/>
      </c>
      <c r="J293" s="70"/>
      <c r="K293" s="71" t="str">
        <f aca="false">IF($J293="","",N($J293)*N(発注計算!$H289))</f>
        <v/>
      </c>
      <c r="L293" s="72"/>
      <c r="M293" s="72"/>
      <c r="N293" s="72"/>
      <c r="O293" s="72"/>
      <c r="P293" s="72"/>
      <c r="Q293" s="72"/>
      <c r="R293" s="72"/>
      <c r="S293" s="72"/>
      <c r="T293" s="72"/>
      <c r="U293" s="72"/>
      <c r="V293" s="72"/>
      <c r="W293" s="72"/>
      <c r="X293" s="72"/>
      <c r="Y293" s="72"/>
      <c r="Z293" s="31" t="n">
        <f aca="false">IF(OR(N($J293)&lt;=0,AND(③発注書!$C$5&lt;&gt;"すべて",発注計算!$F289&lt;&gt;③発注書!$C$5)),N(Z292),N(Z292)+1)</f>
        <v>7</v>
      </c>
    </row>
    <row r="294" customFormat="false" ht="16.5" hidden="false" customHeight="true" outlineLevel="0" collapsed="false">
      <c r="B294" s="66" t="n">
        <v>285</v>
      </c>
      <c r="C294" s="66" t="str">
        <f aca="false">IF(発注計算!$C290="","",発注計算!$D290)</f>
        <v/>
      </c>
      <c r="D294" s="66" t="str">
        <f aca="false">IF(発注計算!$C290="","",発注計算!$E290)</f>
        <v/>
      </c>
      <c r="E294" s="67" t="str">
        <f aca="false">IF(発注計算!$C290="","",発注計算!$T290)</f>
        <v/>
      </c>
      <c r="F294" s="67" t="str">
        <f aca="false">IF(ISNUMBER($E294),$E294-N(発注計算!$I290),"")</f>
        <v/>
      </c>
      <c r="G294" s="68" t="str">
        <f aca="false">IF(発注計算!$C290="","",IF(NOT(ISNUMBER($F294)),"データなし",IF($F294&lt;=0,"今日が期限",IF($F294&lt;=N(発注計算!$AG290),"要発注","余裕"))))</f>
        <v/>
      </c>
      <c r="H294" s="67" t="str">
        <f aca="false">IF(OR(発注計算!$C290="",NOT(ISNUMBER(発注計算!$S290)),発注計算!$S290&lt;=0),"",(発注計算!$K290+N($J294)*N(発注計算!$G290))/発注計算!$S290)</f>
        <v/>
      </c>
      <c r="I294" s="69" t="str">
        <f aca="false">IF(発注計算!$C290="","",発注計算!$Y290)</f>
        <v/>
      </c>
      <c r="J294" s="70"/>
      <c r="K294" s="71" t="str">
        <f aca="false">IF($J294="","",N($J294)*N(発注計算!$H290))</f>
        <v/>
      </c>
      <c r="L294" s="72"/>
      <c r="M294" s="72"/>
      <c r="N294" s="72"/>
      <c r="O294" s="72"/>
      <c r="P294" s="72"/>
      <c r="Q294" s="72"/>
      <c r="R294" s="72"/>
      <c r="S294" s="72"/>
      <c r="T294" s="72"/>
      <c r="U294" s="72"/>
      <c r="V294" s="72"/>
      <c r="W294" s="72"/>
      <c r="X294" s="72"/>
      <c r="Y294" s="72"/>
      <c r="Z294" s="31" t="n">
        <f aca="false">IF(OR(N($J294)&lt;=0,AND(③発注書!$C$5&lt;&gt;"すべて",発注計算!$F290&lt;&gt;③発注書!$C$5)),N(Z293),N(Z293)+1)</f>
        <v>7</v>
      </c>
    </row>
    <row r="295" customFormat="false" ht="16.5" hidden="false" customHeight="true" outlineLevel="0" collapsed="false">
      <c r="B295" s="66" t="n">
        <v>286</v>
      </c>
      <c r="C295" s="66" t="str">
        <f aca="false">IF(発注計算!$C291="","",発注計算!$D291)</f>
        <v/>
      </c>
      <c r="D295" s="66" t="str">
        <f aca="false">IF(発注計算!$C291="","",発注計算!$E291)</f>
        <v/>
      </c>
      <c r="E295" s="67" t="str">
        <f aca="false">IF(発注計算!$C291="","",発注計算!$T291)</f>
        <v/>
      </c>
      <c r="F295" s="67" t="str">
        <f aca="false">IF(ISNUMBER($E295),$E295-N(発注計算!$I291),"")</f>
        <v/>
      </c>
      <c r="G295" s="68" t="str">
        <f aca="false">IF(発注計算!$C291="","",IF(NOT(ISNUMBER($F295)),"データなし",IF($F295&lt;=0,"今日が期限",IF($F295&lt;=N(発注計算!$AG291),"要発注","余裕"))))</f>
        <v/>
      </c>
      <c r="H295" s="67" t="str">
        <f aca="false">IF(OR(発注計算!$C291="",NOT(ISNUMBER(発注計算!$S291)),発注計算!$S291&lt;=0),"",(発注計算!$K291+N($J295)*N(発注計算!$G291))/発注計算!$S291)</f>
        <v/>
      </c>
      <c r="I295" s="69" t="str">
        <f aca="false">IF(発注計算!$C291="","",発注計算!$Y291)</f>
        <v/>
      </c>
      <c r="J295" s="70"/>
      <c r="K295" s="71" t="str">
        <f aca="false">IF($J295="","",N($J295)*N(発注計算!$H291))</f>
        <v/>
      </c>
      <c r="L295" s="72"/>
      <c r="M295" s="72"/>
      <c r="N295" s="72"/>
      <c r="O295" s="72"/>
      <c r="P295" s="72"/>
      <c r="Q295" s="72"/>
      <c r="R295" s="72"/>
      <c r="S295" s="72"/>
      <c r="T295" s="72"/>
      <c r="U295" s="72"/>
      <c r="V295" s="72"/>
      <c r="W295" s="72"/>
      <c r="X295" s="72"/>
      <c r="Y295" s="72"/>
      <c r="Z295" s="31" t="n">
        <f aca="false">IF(OR(N($J295)&lt;=0,AND(③発注書!$C$5&lt;&gt;"すべて",発注計算!$F291&lt;&gt;③発注書!$C$5)),N(Z294),N(Z294)+1)</f>
        <v>7</v>
      </c>
    </row>
    <row r="296" customFormat="false" ht="16.5" hidden="false" customHeight="true" outlineLevel="0" collapsed="false">
      <c r="B296" s="66" t="n">
        <v>287</v>
      </c>
      <c r="C296" s="66" t="str">
        <f aca="false">IF(発注計算!$C292="","",発注計算!$D292)</f>
        <v/>
      </c>
      <c r="D296" s="66" t="str">
        <f aca="false">IF(発注計算!$C292="","",発注計算!$E292)</f>
        <v/>
      </c>
      <c r="E296" s="67" t="str">
        <f aca="false">IF(発注計算!$C292="","",発注計算!$T292)</f>
        <v/>
      </c>
      <c r="F296" s="67" t="str">
        <f aca="false">IF(ISNUMBER($E296),$E296-N(発注計算!$I292),"")</f>
        <v/>
      </c>
      <c r="G296" s="68" t="str">
        <f aca="false">IF(発注計算!$C292="","",IF(NOT(ISNUMBER($F296)),"データなし",IF($F296&lt;=0,"今日が期限",IF($F296&lt;=N(発注計算!$AG292),"要発注","余裕"))))</f>
        <v/>
      </c>
      <c r="H296" s="67" t="str">
        <f aca="false">IF(OR(発注計算!$C292="",NOT(ISNUMBER(発注計算!$S292)),発注計算!$S292&lt;=0),"",(発注計算!$K292+N($J296)*N(発注計算!$G292))/発注計算!$S292)</f>
        <v/>
      </c>
      <c r="I296" s="69" t="str">
        <f aca="false">IF(発注計算!$C292="","",発注計算!$Y292)</f>
        <v/>
      </c>
      <c r="J296" s="70"/>
      <c r="K296" s="71" t="str">
        <f aca="false">IF($J296="","",N($J296)*N(発注計算!$H292))</f>
        <v/>
      </c>
      <c r="L296" s="72"/>
      <c r="M296" s="72"/>
      <c r="N296" s="72"/>
      <c r="O296" s="72"/>
      <c r="P296" s="72"/>
      <c r="Q296" s="72"/>
      <c r="R296" s="72"/>
      <c r="S296" s="72"/>
      <c r="T296" s="72"/>
      <c r="U296" s="72"/>
      <c r="V296" s="72"/>
      <c r="W296" s="72"/>
      <c r="X296" s="72"/>
      <c r="Y296" s="72"/>
      <c r="Z296" s="31" t="n">
        <f aca="false">IF(OR(N($J296)&lt;=0,AND(③発注書!$C$5&lt;&gt;"すべて",発注計算!$F292&lt;&gt;③発注書!$C$5)),N(Z295),N(Z295)+1)</f>
        <v>7</v>
      </c>
    </row>
    <row r="297" customFormat="false" ht="16.5" hidden="false" customHeight="true" outlineLevel="0" collapsed="false">
      <c r="B297" s="66" t="n">
        <v>288</v>
      </c>
      <c r="C297" s="66" t="str">
        <f aca="false">IF(発注計算!$C293="","",発注計算!$D293)</f>
        <v/>
      </c>
      <c r="D297" s="66" t="str">
        <f aca="false">IF(発注計算!$C293="","",発注計算!$E293)</f>
        <v/>
      </c>
      <c r="E297" s="67" t="str">
        <f aca="false">IF(発注計算!$C293="","",発注計算!$T293)</f>
        <v/>
      </c>
      <c r="F297" s="67" t="str">
        <f aca="false">IF(ISNUMBER($E297),$E297-N(発注計算!$I293),"")</f>
        <v/>
      </c>
      <c r="G297" s="68" t="str">
        <f aca="false">IF(発注計算!$C293="","",IF(NOT(ISNUMBER($F297)),"データなし",IF($F297&lt;=0,"今日が期限",IF($F297&lt;=N(発注計算!$AG293),"要発注","余裕"))))</f>
        <v/>
      </c>
      <c r="H297" s="67" t="str">
        <f aca="false">IF(OR(発注計算!$C293="",NOT(ISNUMBER(発注計算!$S293)),発注計算!$S293&lt;=0),"",(発注計算!$K293+N($J297)*N(発注計算!$G293))/発注計算!$S293)</f>
        <v/>
      </c>
      <c r="I297" s="69" t="str">
        <f aca="false">IF(発注計算!$C293="","",発注計算!$Y293)</f>
        <v/>
      </c>
      <c r="J297" s="70"/>
      <c r="K297" s="71" t="str">
        <f aca="false">IF($J297="","",N($J297)*N(発注計算!$H293))</f>
        <v/>
      </c>
      <c r="L297" s="72"/>
      <c r="M297" s="72"/>
      <c r="N297" s="72"/>
      <c r="O297" s="72"/>
      <c r="P297" s="72"/>
      <c r="Q297" s="72"/>
      <c r="R297" s="72"/>
      <c r="S297" s="72"/>
      <c r="T297" s="72"/>
      <c r="U297" s="72"/>
      <c r="V297" s="72"/>
      <c r="W297" s="72"/>
      <c r="X297" s="72"/>
      <c r="Y297" s="72"/>
      <c r="Z297" s="31" t="n">
        <f aca="false">IF(OR(N($J297)&lt;=0,AND(③発注書!$C$5&lt;&gt;"すべて",発注計算!$F293&lt;&gt;③発注書!$C$5)),N(Z296),N(Z296)+1)</f>
        <v>7</v>
      </c>
    </row>
    <row r="298" customFormat="false" ht="16.5" hidden="false" customHeight="true" outlineLevel="0" collapsed="false">
      <c r="B298" s="66" t="n">
        <v>289</v>
      </c>
      <c r="C298" s="66" t="str">
        <f aca="false">IF(発注計算!$C294="","",発注計算!$D294)</f>
        <v/>
      </c>
      <c r="D298" s="66" t="str">
        <f aca="false">IF(発注計算!$C294="","",発注計算!$E294)</f>
        <v/>
      </c>
      <c r="E298" s="67" t="str">
        <f aca="false">IF(発注計算!$C294="","",発注計算!$T294)</f>
        <v/>
      </c>
      <c r="F298" s="67" t="str">
        <f aca="false">IF(ISNUMBER($E298),$E298-N(発注計算!$I294),"")</f>
        <v/>
      </c>
      <c r="G298" s="68" t="str">
        <f aca="false">IF(発注計算!$C294="","",IF(NOT(ISNUMBER($F298)),"データなし",IF($F298&lt;=0,"今日が期限",IF($F298&lt;=N(発注計算!$AG294),"要発注","余裕"))))</f>
        <v/>
      </c>
      <c r="H298" s="67" t="str">
        <f aca="false">IF(OR(発注計算!$C294="",NOT(ISNUMBER(発注計算!$S294)),発注計算!$S294&lt;=0),"",(発注計算!$K294+N($J298)*N(発注計算!$G294))/発注計算!$S294)</f>
        <v/>
      </c>
      <c r="I298" s="69" t="str">
        <f aca="false">IF(発注計算!$C294="","",発注計算!$Y294)</f>
        <v/>
      </c>
      <c r="J298" s="70"/>
      <c r="K298" s="71" t="str">
        <f aca="false">IF($J298="","",N($J298)*N(発注計算!$H294))</f>
        <v/>
      </c>
      <c r="L298" s="72"/>
      <c r="M298" s="72"/>
      <c r="N298" s="72"/>
      <c r="O298" s="72"/>
      <c r="P298" s="72"/>
      <c r="Q298" s="72"/>
      <c r="R298" s="72"/>
      <c r="S298" s="72"/>
      <c r="T298" s="72"/>
      <c r="U298" s="72"/>
      <c r="V298" s="72"/>
      <c r="W298" s="72"/>
      <c r="X298" s="72"/>
      <c r="Y298" s="72"/>
      <c r="Z298" s="31" t="n">
        <f aca="false">IF(OR(N($J298)&lt;=0,AND(③発注書!$C$5&lt;&gt;"すべて",発注計算!$F294&lt;&gt;③発注書!$C$5)),N(Z297),N(Z297)+1)</f>
        <v>7</v>
      </c>
    </row>
    <row r="299" customFormat="false" ht="16.5" hidden="false" customHeight="true" outlineLevel="0" collapsed="false">
      <c r="B299" s="66" t="n">
        <v>290</v>
      </c>
      <c r="C299" s="66" t="str">
        <f aca="false">IF(発注計算!$C295="","",発注計算!$D295)</f>
        <v/>
      </c>
      <c r="D299" s="66" t="str">
        <f aca="false">IF(発注計算!$C295="","",発注計算!$E295)</f>
        <v/>
      </c>
      <c r="E299" s="67" t="str">
        <f aca="false">IF(発注計算!$C295="","",発注計算!$T295)</f>
        <v/>
      </c>
      <c r="F299" s="67" t="str">
        <f aca="false">IF(ISNUMBER($E299),$E299-N(発注計算!$I295),"")</f>
        <v/>
      </c>
      <c r="G299" s="68" t="str">
        <f aca="false">IF(発注計算!$C295="","",IF(NOT(ISNUMBER($F299)),"データなし",IF($F299&lt;=0,"今日が期限",IF($F299&lt;=N(発注計算!$AG295),"要発注","余裕"))))</f>
        <v/>
      </c>
      <c r="H299" s="67" t="str">
        <f aca="false">IF(OR(発注計算!$C295="",NOT(ISNUMBER(発注計算!$S295)),発注計算!$S295&lt;=0),"",(発注計算!$K295+N($J299)*N(発注計算!$G295))/発注計算!$S295)</f>
        <v/>
      </c>
      <c r="I299" s="69" t="str">
        <f aca="false">IF(発注計算!$C295="","",発注計算!$Y295)</f>
        <v/>
      </c>
      <c r="J299" s="70"/>
      <c r="K299" s="71" t="str">
        <f aca="false">IF($J299="","",N($J299)*N(発注計算!$H295))</f>
        <v/>
      </c>
      <c r="L299" s="72"/>
      <c r="M299" s="72"/>
      <c r="N299" s="72"/>
      <c r="O299" s="72"/>
      <c r="P299" s="72"/>
      <c r="Q299" s="72"/>
      <c r="R299" s="72"/>
      <c r="S299" s="72"/>
      <c r="T299" s="72"/>
      <c r="U299" s="72"/>
      <c r="V299" s="72"/>
      <c r="W299" s="72"/>
      <c r="X299" s="72"/>
      <c r="Y299" s="72"/>
      <c r="Z299" s="31" t="n">
        <f aca="false">IF(OR(N($J299)&lt;=0,AND(③発注書!$C$5&lt;&gt;"すべて",発注計算!$F295&lt;&gt;③発注書!$C$5)),N(Z298),N(Z298)+1)</f>
        <v>7</v>
      </c>
    </row>
    <row r="300" customFormat="false" ht="16.5" hidden="false" customHeight="true" outlineLevel="0" collapsed="false">
      <c r="B300" s="66" t="n">
        <v>291</v>
      </c>
      <c r="C300" s="66" t="str">
        <f aca="false">IF(発注計算!$C296="","",発注計算!$D296)</f>
        <v/>
      </c>
      <c r="D300" s="66" t="str">
        <f aca="false">IF(発注計算!$C296="","",発注計算!$E296)</f>
        <v/>
      </c>
      <c r="E300" s="67" t="str">
        <f aca="false">IF(発注計算!$C296="","",発注計算!$T296)</f>
        <v/>
      </c>
      <c r="F300" s="67" t="str">
        <f aca="false">IF(ISNUMBER($E300),$E300-N(発注計算!$I296),"")</f>
        <v/>
      </c>
      <c r="G300" s="68" t="str">
        <f aca="false">IF(発注計算!$C296="","",IF(NOT(ISNUMBER($F300)),"データなし",IF($F300&lt;=0,"今日が期限",IF($F300&lt;=N(発注計算!$AG296),"要発注","余裕"))))</f>
        <v/>
      </c>
      <c r="H300" s="67" t="str">
        <f aca="false">IF(OR(発注計算!$C296="",NOT(ISNUMBER(発注計算!$S296)),発注計算!$S296&lt;=0),"",(発注計算!$K296+N($J300)*N(発注計算!$G296))/発注計算!$S296)</f>
        <v/>
      </c>
      <c r="I300" s="69" t="str">
        <f aca="false">IF(発注計算!$C296="","",発注計算!$Y296)</f>
        <v/>
      </c>
      <c r="J300" s="70"/>
      <c r="K300" s="71" t="str">
        <f aca="false">IF($J300="","",N($J300)*N(発注計算!$H296))</f>
        <v/>
      </c>
      <c r="L300" s="72"/>
      <c r="M300" s="72"/>
      <c r="N300" s="72"/>
      <c r="O300" s="72"/>
      <c r="P300" s="72"/>
      <c r="Q300" s="72"/>
      <c r="R300" s="72"/>
      <c r="S300" s="72"/>
      <c r="T300" s="72"/>
      <c r="U300" s="72"/>
      <c r="V300" s="72"/>
      <c r="W300" s="72"/>
      <c r="X300" s="72"/>
      <c r="Y300" s="72"/>
      <c r="Z300" s="31" t="n">
        <f aca="false">IF(OR(N($J300)&lt;=0,AND(③発注書!$C$5&lt;&gt;"すべて",発注計算!$F296&lt;&gt;③発注書!$C$5)),N(Z299),N(Z299)+1)</f>
        <v>7</v>
      </c>
    </row>
    <row r="301" customFormat="false" ht="16.5" hidden="false" customHeight="true" outlineLevel="0" collapsed="false">
      <c r="B301" s="66" t="n">
        <v>292</v>
      </c>
      <c r="C301" s="66" t="str">
        <f aca="false">IF(発注計算!$C297="","",発注計算!$D297)</f>
        <v/>
      </c>
      <c r="D301" s="66" t="str">
        <f aca="false">IF(発注計算!$C297="","",発注計算!$E297)</f>
        <v/>
      </c>
      <c r="E301" s="67" t="str">
        <f aca="false">IF(発注計算!$C297="","",発注計算!$T297)</f>
        <v/>
      </c>
      <c r="F301" s="67" t="str">
        <f aca="false">IF(ISNUMBER($E301),$E301-N(発注計算!$I297),"")</f>
        <v/>
      </c>
      <c r="G301" s="68" t="str">
        <f aca="false">IF(発注計算!$C297="","",IF(NOT(ISNUMBER($F301)),"データなし",IF($F301&lt;=0,"今日が期限",IF($F301&lt;=N(発注計算!$AG297),"要発注","余裕"))))</f>
        <v/>
      </c>
      <c r="H301" s="67" t="str">
        <f aca="false">IF(OR(発注計算!$C297="",NOT(ISNUMBER(発注計算!$S297)),発注計算!$S297&lt;=0),"",(発注計算!$K297+N($J301)*N(発注計算!$G297))/発注計算!$S297)</f>
        <v/>
      </c>
      <c r="I301" s="69" t="str">
        <f aca="false">IF(発注計算!$C297="","",発注計算!$Y297)</f>
        <v/>
      </c>
      <c r="J301" s="70"/>
      <c r="K301" s="71" t="str">
        <f aca="false">IF($J301="","",N($J301)*N(発注計算!$H297))</f>
        <v/>
      </c>
      <c r="L301" s="72"/>
      <c r="M301" s="72"/>
      <c r="N301" s="72"/>
      <c r="O301" s="72"/>
      <c r="P301" s="72"/>
      <c r="Q301" s="72"/>
      <c r="R301" s="72"/>
      <c r="S301" s="72"/>
      <c r="T301" s="72"/>
      <c r="U301" s="72"/>
      <c r="V301" s="72"/>
      <c r="W301" s="72"/>
      <c r="X301" s="72"/>
      <c r="Y301" s="72"/>
      <c r="Z301" s="31" t="n">
        <f aca="false">IF(OR(N($J301)&lt;=0,AND(③発注書!$C$5&lt;&gt;"すべて",発注計算!$F297&lt;&gt;③発注書!$C$5)),N(Z300),N(Z300)+1)</f>
        <v>7</v>
      </c>
    </row>
    <row r="302" customFormat="false" ht="16.5" hidden="false" customHeight="true" outlineLevel="0" collapsed="false">
      <c r="B302" s="66" t="n">
        <v>293</v>
      </c>
      <c r="C302" s="66" t="str">
        <f aca="false">IF(発注計算!$C298="","",発注計算!$D298)</f>
        <v/>
      </c>
      <c r="D302" s="66" t="str">
        <f aca="false">IF(発注計算!$C298="","",発注計算!$E298)</f>
        <v/>
      </c>
      <c r="E302" s="67" t="str">
        <f aca="false">IF(発注計算!$C298="","",発注計算!$T298)</f>
        <v/>
      </c>
      <c r="F302" s="67" t="str">
        <f aca="false">IF(ISNUMBER($E302),$E302-N(発注計算!$I298),"")</f>
        <v/>
      </c>
      <c r="G302" s="68" t="str">
        <f aca="false">IF(発注計算!$C298="","",IF(NOT(ISNUMBER($F302)),"データなし",IF($F302&lt;=0,"今日が期限",IF($F302&lt;=N(発注計算!$AG298),"要発注","余裕"))))</f>
        <v/>
      </c>
      <c r="H302" s="67" t="str">
        <f aca="false">IF(OR(発注計算!$C298="",NOT(ISNUMBER(発注計算!$S298)),発注計算!$S298&lt;=0),"",(発注計算!$K298+N($J302)*N(発注計算!$G298))/発注計算!$S298)</f>
        <v/>
      </c>
      <c r="I302" s="69" t="str">
        <f aca="false">IF(発注計算!$C298="","",発注計算!$Y298)</f>
        <v/>
      </c>
      <c r="J302" s="70"/>
      <c r="K302" s="71" t="str">
        <f aca="false">IF($J302="","",N($J302)*N(発注計算!$H298))</f>
        <v/>
      </c>
      <c r="L302" s="72"/>
      <c r="M302" s="72"/>
      <c r="N302" s="72"/>
      <c r="O302" s="72"/>
      <c r="P302" s="72"/>
      <c r="Q302" s="72"/>
      <c r="R302" s="72"/>
      <c r="S302" s="72"/>
      <c r="T302" s="72"/>
      <c r="U302" s="72"/>
      <c r="V302" s="72"/>
      <c r="W302" s="72"/>
      <c r="X302" s="72"/>
      <c r="Y302" s="72"/>
      <c r="Z302" s="31" t="n">
        <f aca="false">IF(OR(N($J302)&lt;=0,AND(③発注書!$C$5&lt;&gt;"すべて",発注計算!$F298&lt;&gt;③発注書!$C$5)),N(Z301),N(Z301)+1)</f>
        <v>7</v>
      </c>
    </row>
    <row r="303" customFormat="false" ht="16.5" hidden="false" customHeight="true" outlineLevel="0" collapsed="false">
      <c r="B303" s="66" t="n">
        <v>294</v>
      </c>
      <c r="C303" s="66" t="str">
        <f aca="false">IF(発注計算!$C299="","",発注計算!$D299)</f>
        <v/>
      </c>
      <c r="D303" s="66" t="str">
        <f aca="false">IF(発注計算!$C299="","",発注計算!$E299)</f>
        <v/>
      </c>
      <c r="E303" s="67" t="str">
        <f aca="false">IF(発注計算!$C299="","",発注計算!$T299)</f>
        <v/>
      </c>
      <c r="F303" s="67" t="str">
        <f aca="false">IF(ISNUMBER($E303),$E303-N(発注計算!$I299),"")</f>
        <v/>
      </c>
      <c r="G303" s="68" t="str">
        <f aca="false">IF(発注計算!$C299="","",IF(NOT(ISNUMBER($F303)),"データなし",IF($F303&lt;=0,"今日が期限",IF($F303&lt;=N(発注計算!$AG299),"要発注","余裕"))))</f>
        <v/>
      </c>
      <c r="H303" s="67" t="str">
        <f aca="false">IF(OR(発注計算!$C299="",NOT(ISNUMBER(発注計算!$S299)),発注計算!$S299&lt;=0),"",(発注計算!$K299+N($J303)*N(発注計算!$G299))/発注計算!$S299)</f>
        <v/>
      </c>
      <c r="I303" s="69" t="str">
        <f aca="false">IF(発注計算!$C299="","",発注計算!$Y299)</f>
        <v/>
      </c>
      <c r="J303" s="70"/>
      <c r="K303" s="71" t="str">
        <f aca="false">IF($J303="","",N($J303)*N(発注計算!$H299))</f>
        <v/>
      </c>
      <c r="L303" s="72"/>
      <c r="M303" s="72"/>
      <c r="N303" s="72"/>
      <c r="O303" s="72"/>
      <c r="P303" s="72"/>
      <c r="Q303" s="72"/>
      <c r="R303" s="72"/>
      <c r="S303" s="72"/>
      <c r="T303" s="72"/>
      <c r="U303" s="72"/>
      <c r="V303" s="72"/>
      <c r="W303" s="72"/>
      <c r="X303" s="72"/>
      <c r="Y303" s="72"/>
      <c r="Z303" s="31" t="n">
        <f aca="false">IF(OR(N($J303)&lt;=0,AND(③発注書!$C$5&lt;&gt;"すべて",発注計算!$F299&lt;&gt;③発注書!$C$5)),N(Z302),N(Z302)+1)</f>
        <v>7</v>
      </c>
    </row>
    <row r="304" customFormat="false" ht="16.5" hidden="false" customHeight="true" outlineLevel="0" collapsed="false">
      <c r="B304" s="66" t="n">
        <v>295</v>
      </c>
      <c r="C304" s="66" t="str">
        <f aca="false">IF(発注計算!$C300="","",発注計算!$D300)</f>
        <v/>
      </c>
      <c r="D304" s="66" t="str">
        <f aca="false">IF(発注計算!$C300="","",発注計算!$E300)</f>
        <v/>
      </c>
      <c r="E304" s="67" t="str">
        <f aca="false">IF(発注計算!$C300="","",発注計算!$T300)</f>
        <v/>
      </c>
      <c r="F304" s="67" t="str">
        <f aca="false">IF(ISNUMBER($E304),$E304-N(発注計算!$I300),"")</f>
        <v/>
      </c>
      <c r="G304" s="68" t="str">
        <f aca="false">IF(発注計算!$C300="","",IF(NOT(ISNUMBER($F304)),"データなし",IF($F304&lt;=0,"今日が期限",IF($F304&lt;=N(発注計算!$AG300),"要発注","余裕"))))</f>
        <v/>
      </c>
      <c r="H304" s="67" t="str">
        <f aca="false">IF(OR(発注計算!$C300="",NOT(ISNUMBER(発注計算!$S300)),発注計算!$S300&lt;=0),"",(発注計算!$K300+N($J304)*N(発注計算!$G300))/発注計算!$S300)</f>
        <v/>
      </c>
      <c r="I304" s="69" t="str">
        <f aca="false">IF(発注計算!$C300="","",発注計算!$Y300)</f>
        <v/>
      </c>
      <c r="J304" s="70"/>
      <c r="K304" s="71" t="str">
        <f aca="false">IF($J304="","",N($J304)*N(発注計算!$H300))</f>
        <v/>
      </c>
      <c r="L304" s="72"/>
      <c r="M304" s="72"/>
      <c r="N304" s="72"/>
      <c r="O304" s="72"/>
      <c r="P304" s="72"/>
      <c r="Q304" s="72"/>
      <c r="R304" s="72"/>
      <c r="S304" s="72"/>
      <c r="T304" s="72"/>
      <c r="U304" s="72"/>
      <c r="V304" s="72"/>
      <c r="W304" s="72"/>
      <c r="X304" s="72"/>
      <c r="Y304" s="72"/>
      <c r="Z304" s="31" t="n">
        <f aca="false">IF(OR(N($J304)&lt;=0,AND(③発注書!$C$5&lt;&gt;"すべて",発注計算!$F300&lt;&gt;③発注書!$C$5)),N(Z303),N(Z303)+1)</f>
        <v>7</v>
      </c>
    </row>
    <row r="305" customFormat="false" ht="16.5" hidden="false" customHeight="true" outlineLevel="0" collapsed="false">
      <c r="B305" s="66" t="n">
        <v>296</v>
      </c>
      <c r="C305" s="66" t="str">
        <f aca="false">IF(発注計算!$C301="","",発注計算!$D301)</f>
        <v/>
      </c>
      <c r="D305" s="66" t="str">
        <f aca="false">IF(発注計算!$C301="","",発注計算!$E301)</f>
        <v/>
      </c>
      <c r="E305" s="67" t="str">
        <f aca="false">IF(発注計算!$C301="","",発注計算!$T301)</f>
        <v/>
      </c>
      <c r="F305" s="67" t="str">
        <f aca="false">IF(ISNUMBER($E305),$E305-N(発注計算!$I301),"")</f>
        <v/>
      </c>
      <c r="G305" s="68" t="str">
        <f aca="false">IF(発注計算!$C301="","",IF(NOT(ISNUMBER($F305)),"データなし",IF($F305&lt;=0,"今日が期限",IF($F305&lt;=N(発注計算!$AG301),"要発注","余裕"))))</f>
        <v/>
      </c>
      <c r="H305" s="67" t="str">
        <f aca="false">IF(OR(発注計算!$C301="",NOT(ISNUMBER(発注計算!$S301)),発注計算!$S301&lt;=0),"",(発注計算!$K301+N($J305)*N(発注計算!$G301))/発注計算!$S301)</f>
        <v/>
      </c>
      <c r="I305" s="69" t="str">
        <f aca="false">IF(発注計算!$C301="","",発注計算!$Y301)</f>
        <v/>
      </c>
      <c r="J305" s="70"/>
      <c r="K305" s="71" t="str">
        <f aca="false">IF($J305="","",N($J305)*N(発注計算!$H301))</f>
        <v/>
      </c>
      <c r="L305" s="72"/>
      <c r="M305" s="72"/>
      <c r="N305" s="72"/>
      <c r="O305" s="72"/>
      <c r="P305" s="72"/>
      <c r="Q305" s="72"/>
      <c r="R305" s="72"/>
      <c r="S305" s="72"/>
      <c r="T305" s="72"/>
      <c r="U305" s="72"/>
      <c r="V305" s="72"/>
      <c r="W305" s="72"/>
      <c r="X305" s="72"/>
      <c r="Y305" s="72"/>
      <c r="Z305" s="31" t="n">
        <f aca="false">IF(OR(N($J305)&lt;=0,AND(③発注書!$C$5&lt;&gt;"すべて",発注計算!$F301&lt;&gt;③発注書!$C$5)),N(Z304),N(Z304)+1)</f>
        <v>7</v>
      </c>
    </row>
    <row r="306" customFormat="false" ht="16.5" hidden="false" customHeight="true" outlineLevel="0" collapsed="false">
      <c r="B306" s="66" t="n">
        <v>297</v>
      </c>
      <c r="C306" s="66" t="str">
        <f aca="false">IF(発注計算!$C302="","",発注計算!$D302)</f>
        <v/>
      </c>
      <c r="D306" s="66" t="str">
        <f aca="false">IF(発注計算!$C302="","",発注計算!$E302)</f>
        <v/>
      </c>
      <c r="E306" s="67" t="str">
        <f aca="false">IF(発注計算!$C302="","",発注計算!$T302)</f>
        <v/>
      </c>
      <c r="F306" s="67" t="str">
        <f aca="false">IF(ISNUMBER($E306),$E306-N(発注計算!$I302),"")</f>
        <v/>
      </c>
      <c r="G306" s="68" t="str">
        <f aca="false">IF(発注計算!$C302="","",IF(NOT(ISNUMBER($F306)),"データなし",IF($F306&lt;=0,"今日が期限",IF($F306&lt;=N(発注計算!$AG302),"要発注","余裕"))))</f>
        <v/>
      </c>
      <c r="H306" s="67" t="str">
        <f aca="false">IF(OR(発注計算!$C302="",NOT(ISNUMBER(発注計算!$S302)),発注計算!$S302&lt;=0),"",(発注計算!$K302+N($J306)*N(発注計算!$G302))/発注計算!$S302)</f>
        <v/>
      </c>
      <c r="I306" s="69" t="str">
        <f aca="false">IF(発注計算!$C302="","",発注計算!$Y302)</f>
        <v/>
      </c>
      <c r="J306" s="70"/>
      <c r="K306" s="71" t="str">
        <f aca="false">IF($J306="","",N($J306)*N(発注計算!$H302))</f>
        <v/>
      </c>
      <c r="L306" s="72"/>
      <c r="M306" s="72"/>
      <c r="N306" s="72"/>
      <c r="O306" s="72"/>
      <c r="P306" s="72"/>
      <c r="Q306" s="72"/>
      <c r="R306" s="72"/>
      <c r="S306" s="72"/>
      <c r="T306" s="72"/>
      <c r="U306" s="72"/>
      <c r="V306" s="72"/>
      <c r="W306" s="72"/>
      <c r="X306" s="72"/>
      <c r="Y306" s="72"/>
      <c r="Z306" s="31" t="n">
        <f aca="false">IF(OR(N($J306)&lt;=0,AND(③発注書!$C$5&lt;&gt;"すべて",発注計算!$F302&lt;&gt;③発注書!$C$5)),N(Z305),N(Z305)+1)</f>
        <v>7</v>
      </c>
    </row>
    <row r="307" customFormat="false" ht="16.5" hidden="false" customHeight="true" outlineLevel="0" collapsed="false">
      <c r="B307" s="66" t="n">
        <v>298</v>
      </c>
      <c r="C307" s="66" t="str">
        <f aca="false">IF(発注計算!$C303="","",発注計算!$D303)</f>
        <v/>
      </c>
      <c r="D307" s="66" t="str">
        <f aca="false">IF(発注計算!$C303="","",発注計算!$E303)</f>
        <v/>
      </c>
      <c r="E307" s="67" t="str">
        <f aca="false">IF(発注計算!$C303="","",発注計算!$T303)</f>
        <v/>
      </c>
      <c r="F307" s="67" t="str">
        <f aca="false">IF(ISNUMBER($E307),$E307-N(発注計算!$I303),"")</f>
        <v/>
      </c>
      <c r="G307" s="68" t="str">
        <f aca="false">IF(発注計算!$C303="","",IF(NOT(ISNUMBER($F307)),"データなし",IF($F307&lt;=0,"今日が期限",IF($F307&lt;=N(発注計算!$AG303),"要発注","余裕"))))</f>
        <v/>
      </c>
      <c r="H307" s="67" t="str">
        <f aca="false">IF(OR(発注計算!$C303="",NOT(ISNUMBER(発注計算!$S303)),発注計算!$S303&lt;=0),"",(発注計算!$K303+N($J307)*N(発注計算!$G303))/発注計算!$S303)</f>
        <v/>
      </c>
      <c r="I307" s="69" t="str">
        <f aca="false">IF(発注計算!$C303="","",発注計算!$Y303)</f>
        <v/>
      </c>
      <c r="J307" s="70"/>
      <c r="K307" s="71" t="str">
        <f aca="false">IF($J307="","",N($J307)*N(発注計算!$H303))</f>
        <v/>
      </c>
      <c r="L307" s="72"/>
      <c r="M307" s="72"/>
      <c r="N307" s="72"/>
      <c r="O307" s="72"/>
      <c r="P307" s="72"/>
      <c r="Q307" s="72"/>
      <c r="R307" s="72"/>
      <c r="S307" s="72"/>
      <c r="T307" s="72"/>
      <c r="U307" s="72"/>
      <c r="V307" s="72"/>
      <c r="W307" s="72"/>
      <c r="X307" s="72"/>
      <c r="Y307" s="72"/>
      <c r="Z307" s="31" t="n">
        <f aca="false">IF(OR(N($J307)&lt;=0,AND(③発注書!$C$5&lt;&gt;"すべて",発注計算!$F303&lt;&gt;③発注書!$C$5)),N(Z306),N(Z306)+1)</f>
        <v>7</v>
      </c>
    </row>
    <row r="308" customFormat="false" ht="16.5" hidden="false" customHeight="true" outlineLevel="0" collapsed="false">
      <c r="B308" s="66" t="n">
        <v>299</v>
      </c>
      <c r="C308" s="66" t="str">
        <f aca="false">IF(発注計算!$C304="","",発注計算!$D304)</f>
        <v/>
      </c>
      <c r="D308" s="66" t="str">
        <f aca="false">IF(発注計算!$C304="","",発注計算!$E304)</f>
        <v/>
      </c>
      <c r="E308" s="67" t="str">
        <f aca="false">IF(発注計算!$C304="","",発注計算!$T304)</f>
        <v/>
      </c>
      <c r="F308" s="67" t="str">
        <f aca="false">IF(ISNUMBER($E308),$E308-N(発注計算!$I304),"")</f>
        <v/>
      </c>
      <c r="G308" s="68" t="str">
        <f aca="false">IF(発注計算!$C304="","",IF(NOT(ISNUMBER($F308)),"データなし",IF($F308&lt;=0,"今日が期限",IF($F308&lt;=N(発注計算!$AG304),"要発注","余裕"))))</f>
        <v/>
      </c>
      <c r="H308" s="67" t="str">
        <f aca="false">IF(OR(発注計算!$C304="",NOT(ISNUMBER(発注計算!$S304)),発注計算!$S304&lt;=0),"",(発注計算!$K304+N($J308)*N(発注計算!$G304))/発注計算!$S304)</f>
        <v/>
      </c>
      <c r="I308" s="69" t="str">
        <f aca="false">IF(発注計算!$C304="","",発注計算!$Y304)</f>
        <v/>
      </c>
      <c r="J308" s="70"/>
      <c r="K308" s="71" t="str">
        <f aca="false">IF($J308="","",N($J308)*N(発注計算!$H304))</f>
        <v/>
      </c>
      <c r="L308" s="72"/>
      <c r="M308" s="72"/>
      <c r="N308" s="72"/>
      <c r="O308" s="72"/>
      <c r="P308" s="72"/>
      <c r="Q308" s="72"/>
      <c r="R308" s="72"/>
      <c r="S308" s="72"/>
      <c r="T308" s="72"/>
      <c r="U308" s="72"/>
      <c r="V308" s="72"/>
      <c r="W308" s="72"/>
      <c r="X308" s="72"/>
      <c r="Y308" s="72"/>
      <c r="Z308" s="31" t="n">
        <f aca="false">IF(OR(N($J308)&lt;=0,AND(③発注書!$C$5&lt;&gt;"すべて",発注計算!$F304&lt;&gt;③発注書!$C$5)),N(Z307),N(Z307)+1)</f>
        <v>7</v>
      </c>
    </row>
    <row r="309" customFormat="false" ht="16.5" hidden="false" customHeight="true" outlineLevel="0" collapsed="false">
      <c r="B309" s="66" t="n">
        <v>300</v>
      </c>
      <c r="C309" s="66" t="str">
        <f aca="false">IF(発注計算!$C305="","",発注計算!$D305)</f>
        <v/>
      </c>
      <c r="D309" s="66" t="str">
        <f aca="false">IF(発注計算!$C305="","",発注計算!$E305)</f>
        <v/>
      </c>
      <c r="E309" s="67" t="str">
        <f aca="false">IF(発注計算!$C305="","",発注計算!$T305)</f>
        <v/>
      </c>
      <c r="F309" s="67" t="str">
        <f aca="false">IF(ISNUMBER($E309),$E309-N(発注計算!$I305),"")</f>
        <v/>
      </c>
      <c r="G309" s="68" t="str">
        <f aca="false">IF(発注計算!$C305="","",IF(NOT(ISNUMBER($F309)),"データなし",IF($F309&lt;=0,"今日が期限",IF($F309&lt;=N(発注計算!$AG305),"要発注","余裕"))))</f>
        <v/>
      </c>
      <c r="H309" s="67" t="str">
        <f aca="false">IF(OR(発注計算!$C305="",NOT(ISNUMBER(発注計算!$S305)),発注計算!$S305&lt;=0),"",(発注計算!$K305+N($J309)*N(発注計算!$G305))/発注計算!$S305)</f>
        <v/>
      </c>
      <c r="I309" s="69" t="str">
        <f aca="false">IF(発注計算!$C305="","",発注計算!$Y305)</f>
        <v/>
      </c>
      <c r="J309" s="70"/>
      <c r="K309" s="71" t="str">
        <f aca="false">IF($J309="","",N($J309)*N(発注計算!$H305))</f>
        <v/>
      </c>
      <c r="L309" s="72"/>
      <c r="M309" s="72"/>
      <c r="N309" s="72"/>
      <c r="O309" s="72"/>
      <c r="P309" s="72"/>
      <c r="Q309" s="72"/>
      <c r="R309" s="72"/>
      <c r="S309" s="72"/>
      <c r="T309" s="72"/>
      <c r="U309" s="72"/>
      <c r="V309" s="72"/>
      <c r="W309" s="72"/>
      <c r="X309" s="72"/>
      <c r="Y309" s="72"/>
      <c r="Z309" s="31" t="n">
        <f aca="false">IF(OR(N($J309)&lt;=0,AND(③発注書!$C$5&lt;&gt;"すべて",発注計算!$F305&lt;&gt;③発注書!$C$5)),N(Z308),N(Z308)+1)</f>
        <v>7</v>
      </c>
    </row>
    <row r="310" customFormat="false" ht="16.5" hidden="false" customHeight="true" outlineLevel="0" collapsed="false">
      <c r="B310" s="66" t="n">
        <v>301</v>
      </c>
      <c r="C310" s="66" t="str">
        <f aca="false">IF(発注計算!$C306="","",発注計算!$D306)</f>
        <v/>
      </c>
      <c r="D310" s="66" t="str">
        <f aca="false">IF(発注計算!$C306="","",発注計算!$E306)</f>
        <v/>
      </c>
      <c r="E310" s="67" t="str">
        <f aca="false">IF(発注計算!$C306="","",発注計算!$T306)</f>
        <v/>
      </c>
      <c r="F310" s="67" t="str">
        <f aca="false">IF(ISNUMBER($E310),$E310-N(発注計算!$I306),"")</f>
        <v/>
      </c>
      <c r="G310" s="68" t="str">
        <f aca="false">IF(発注計算!$C306="","",IF(NOT(ISNUMBER($F310)),"データなし",IF($F310&lt;=0,"今日が期限",IF($F310&lt;=N(発注計算!$AG306),"要発注","余裕"))))</f>
        <v/>
      </c>
      <c r="H310" s="67" t="str">
        <f aca="false">IF(OR(発注計算!$C306="",NOT(ISNUMBER(発注計算!$S306)),発注計算!$S306&lt;=0),"",(発注計算!$K306+N($J310)*N(発注計算!$G306))/発注計算!$S306)</f>
        <v/>
      </c>
      <c r="I310" s="69" t="str">
        <f aca="false">IF(発注計算!$C306="","",発注計算!$Y306)</f>
        <v/>
      </c>
      <c r="J310" s="70"/>
      <c r="K310" s="71" t="str">
        <f aca="false">IF($J310="","",N($J310)*N(発注計算!$H306))</f>
        <v/>
      </c>
      <c r="L310" s="72"/>
      <c r="M310" s="72"/>
      <c r="N310" s="72"/>
      <c r="O310" s="72"/>
      <c r="P310" s="72"/>
      <c r="Q310" s="72"/>
      <c r="R310" s="72"/>
      <c r="S310" s="72"/>
      <c r="T310" s="72"/>
      <c r="U310" s="72"/>
      <c r="V310" s="72"/>
      <c r="W310" s="72"/>
      <c r="X310" s="72"/>
      <c r="Y310" s="72"/>
      <c r="Z310" s="31" t="n">
        <f aca="false">IF(OR(N($J310)&lt;=0,AND(③発注書!$C$5&lt;&gt;"すべて",発注計算!$F306&lt;&gt;③発注書!$C$5)),N(Z309),N(Z309)+1)</f>
        <v>7</v>
      </c>
    </row>
    <row r="311" customFormat="false" ht="16.5" hidden="false" customHeight="true" outlineLevel="0" collapsed="false">
      <c r="B311" s="66" t="n">
        <v>302</v>
      </c>
      <c r="C311" s="66" t="str">
        <f aca="false">IF(発注計算!$C307="","",発注計算!$D307)</f>
        <v/>
      </c>
      <c r="D311" s="66" t="str">
        <f aca="false">IF(発注計算!$C307="","",発注計算!$E307)</f>
        <v/>
      </c>
      <c r="E311" s="67" t="str">
        <f aca="false">IF(発注計算!$C307="","",発注計算!$T307)</f>
        <v/>
      </c>
      <c r="F311" s="67" t="str">
        <f aca="false">IF(ISNUMBER($E311),$E311-N(発注計算!$I307),"")</f>
        <v/>
      </c>
      <c r="G311" s="68" t="str">
        <f aca="false">IF(発注計算!$C307="","",IF(NOT(ISNUMBER($F311)),"データなし",IF($F311&lt;=0,"今日が期限",IF($F311&lt;=N(発注計算!$AG307),"要発注","余裕"))))</f>
        <v/>
      </c>
      <c r="H311" s="67" t="str">
        <f aca="false">IF(OR(発注計算!$C307="",NOT(ISNUMBER(発注計算!$S307)),発注計算!$S307&lt;=0),"",(発注計算!$K307+N($J311)*N(発注計算!$G307))/発注計算!$S307)</f>
        <v/>
      </c>
      <c r="I311" s="69" t="str">
        <f aca="false">IF(発注計算!$C307="","",発注計算!$Y307)</f>
        <v/>
      </c>
      <c r="J311" s="70"/>
      <c r="K311" s="71" t="str">
        <f aca="false">IF($J311="","",N($J311)*N(発注計算!$H307))</f>
        <v/>
      </c>
      <c r="L311" s="72"/>
      <c r="M311" s="72"/>
      <c r="N311" s="72"/>
      <c r="O311" s="72"/>
      <c r="P311" s="72"/>
      <c r="Q311" s="72"/>
      <c r="R311" s="72"/>
      <c r="S311" s="72"/>
      <c r="T311" s="72"/>
      <c r="U311" s="72"/>
      <c r="V311" s="72"/>
      <c r="W311" s="72"/>
      <c r="X311" s="72"/>
      <c r="Y311" s="72"/>
      <c r="Z311" s="31" t="n">
        <f aca="false">IF(OR(N($J311)&lt;=0,AND(③発注書!$C$5&lt;&gt;"すべて",発注計算!$F307&lt;&gt;③発注書!$C$5)),N(Z310),N(Z310)+1)</f>
        <v>7</v>
      </c>
    </row>
    <row r="312" customFormat="false" ht="16.5" hidden="false" customHeight="true" outlineLevel="0" collapsed="false">
      <c r="B312" s="66" t="n">
        <v>303</v>
      </c>
      <c r="C312" s="66" t="str">
        <f aca="false">IF(発注計算!$C308="","",発注計算!$D308)</f>
        <v/>
      </c>
      <c r="D312" s="66" t="str">
        <f aca="false">IF(発注計算!$C308="","",発注計算!$E308)</f>
        <v/>
      </c>
      <c r="E312" s="67" t="str">
        <f aca="false">IF(発注計算!$C308="","",発注計算!$T308)</f>
        <v/>
      </c>
      <c r="F312" s="67" t="str">
        <f aca="false">IF(ISNUMBER($E312),$E312-N(発注計算!$I308),"")</f>
        <v/>
      </c>
      <c r="G312" s="68" t="str">
        <f aca="false">IF(発注計算!$C308="","",IF(NOT(ISNUMBER($F312)),"データなし",IF($F312&lt;=0,"今日が期限",IF($F312&lt;=N(発注計算!$AG308),"要発注","余裕"))))</f>
        <v/>
      </c>
      <c r="H312" s="67" t="str">
        <f aca="false">IF(OR(発注計算!$C308="",NOT(ISNUMBER(発注計算!$S308)),発注計算!$S308&lt;=0),"",(発注計算!$K308+N($J312)*N(発注計算!$G308))/発注計算!$S308)</f>
        <v/>
      </c>
      <c r="I312" s="69" t="str">
        <f aca="false">IF(発注計算!$C308="","",発注計算!$Y308)</f>
        <v/>
      </c>
      <c r="J312" s="70"/>
      <c r="K312" s="71" t="str">
        <f aca="false">IF($J312="","",N($J312)*N(発注計算!$H308))</f>
        <v/>
      </c>
      <c r="L312" s="72"/>
      <c r="M312" s="72"/>
      <c r="N312" s="72"/>
      <c r="O312" s="72"/>
      <c r="P312" s="72"/>
      <c r="Q312" s="72"/>
      <c r="R312" s="72"/>
      <c r="S312" s="72"/>
      <c r="T312" s="72"/>
      <c r="U312" s="72"/>
      <c r="V312" s="72"/>
      <c r="W312" s="72"/>
      <c r="X312" s="72"/>
      <c r="Y312" s="72"/>
      <c r="Z312" s="31" t="n">
        <f aca="false">IF(OR(N($J312)&lt;=0,AND(③発注書!$C$5&lt;&gt;"すべて",発注計算!$F308&lt;&gt;③発注書!$C$5)),N(Z311),N(Z311)+1)</f>
        <v>7</v>
      </c>
    </row>
    <row r="313" customFormat="false" ht="16.5" hidden="false" customHeight="true" outlineLevel="0" collapsed="false">
      <c r="B313" s="66" t="n">
        <v>304</v>
      </c>
      <c r="C313" s="66" t="str">
        <f aca="false">IF(発注計算!$C309="","",発注計算!$D309)</f>
        <v/>
      </c>
      <c r="D313" s="66" t="str">
        <f aca="false">IF(発注計算!$C309="","",発注計算!$E309)</f>
        <v/>
      </c>
      <c r="E313" s="67" t="str">
        <f aca="false">IF(発注計算!$C309="","",発注計算!$T309)</f>
        <v/>
      </c>
      <c r="F313" s="67" t="str">
        <f aca="false">IF(ISNUMBER($E313),$E313-N(発注計算!$I309),"")</f>
        <v/>
      </c>
      <c r="G313" s="68" t="str">
        <f aca="false">IF(発注計算!$C309="","",IF(NOT(ISNUMBER($F313)),"データなし",IF($F313&lt;=0,"今日が期限",IF($F313&lt;=N(発注計算!$AG309),"要発注","余裕"))))</f>
        <v/>
      </c>
      <c r="H313" s="67" t="str">
        <f aca="false">IF(OR(発注計算!$C309="",NOT(ISNUMBER(発注計算!$S309)),発注計算!$S309&lt;=0),"",(発注計算!$K309+N($J313)*N(発注計算!$G309))/発注計算!$S309)</f>
        <v/>
      </c>
      <c r="I313" s="69" t="str">
        <f aca="false">IF(発注計算!$C309="","",発注計算!$Y309)</f>
        <v/>
      </c>
      <c r="J313" s="70"/>
      <c r="K313" s="71" t="str">
        <f aca="false">IF($J313="","",N($J313)*N(発注計算!$H309))</f>
        <v/>
      </c>
      <c r="L313" s="72"/>
      <c r="M313" s="72"/>
      <c r="N313" s="72"/>
      <c r="O313" s="72"/>
      <c r="P313" s="72"/>
      <c r="Q313" s="72"/>
      <c r="R313" s="72"/>
      <c r="S313" s="72"/>
      <c r="T313" s="72"/>
      <c r="U313" s="72"/>
      <c r="V313" s="72"/>
      <c r="W313" s="72"/>
      <c r="X313" s="72"/>
      <c r="Y313" s="72"/>
      <c r="Z313" s="31" t="n">
        <f aca="false">IF(OR(N($J313)&lt;=0,AND(③発注書!$C$5&lt;&gt;"すべて",発注計算!$F309&lt;&gt;③発注書!$C$5)),N(Z312),N(Z312)+1)</f>
        <v>7</v>
      </c>
    </row>
    <row r="314" customFormat="false" ht="16.5" hidden="false" customHeight="true" outlineLevel="0" collapsed="false">
      <c r="B314" s="66" t="n">
        <v>305</v>
      </c>
      <c r="C314" s="66" t="str">
        <f aca="false">IF(発注計算!$C310="","",発注計算!$D310)</f>
        <v/>
      </c>
      <c r="D314" s="66" t="str">
        <f aca="false">IF(発注計算!$C310="","",発注計算!$E310)</f>
        <v/>
      </c>
      <c r="E314" s="67" t="str">
        <f aca="false">IF(発注計算!$C310="","",発注計算!$T310)</f>
        <v/>
      </c>
      <c r="F314" s="67" t="str">
        <f aca="false">IF(ISNUMBER($E314),$E314-N(発注計算!$I310),"")</f>
        <v/>
      </c>
      <c r="G314" s="68" t="str">
        <f aca="false">IF(発注計算!$C310="","",IF(NOT(ISNUMBER($F314)),"データなし",IF($F314&lt;=0,"今日が期限",IF($F314&lt;=N(発注計算!$AG310),"要発注","余裕"))))</f>
        <v/>
      </c>
      <c r="H314" s="67" t="str">
        <f aca="false">IF(OR(発注計算!$C310="",NOT(ISNUMBER(発注計算!$S310)),発注計算!$S310&lt;=0),"",(発注計算!$K310+N($J314)*N(発注計算!$G310))/発注計算!$S310)</f>
        <v/>
      </c>
      <c r="I314" s="69" t="str">
        <f aca="false">IF(発注計算!$C310="","",発注計算!$Y310)</f>
        <v/>
      </c>
      <c r="J314" s="70"/>
      <c r="K314" s="71" t="str">
        <f aca="false">IF($J314="","",N($J314)*N(発注計算!$H310))</f>
        <v/>
      </c>
      <c r="L314" s="72"/>
      <c r="M314" s="72"/>
      <c r="N314" s="72"/>
      <c r="O314" s="72"/>
      <c r="P314" s="72"/>
      <c r="Q314" s="72"/>
      <c r="R314" s="72"/>
      <c r="S314" s="72"/>
      <c r="T314" s="72"/>
      <c r="U314" s="72"/>
      <c r="V314" s="72"/>
      <c r="W314" s="72"/>
      <c r="X314" s="72"/>
      <c r="Y314" s="72"/>
      <c r="Z314" s="31" t="n">
        <f aca="false">IF(OR(N($J314)&lt;=0,AND(③発注書!$C$5&lt;&gt;"すべて",発注計算!$F310&lt;&gt;③発注書!$C$5)),N(Z313),N(Z313)+1)</f>
        <v>7</v>
      </c>
    </row>
    <row r="315" customFormat="false" ht="16.5" hidden="false" customHeight="true" outlineLevel="0" collapsed="false">
      <c r="B315" s="66" t="n">
        <v>306</v>
      </c>
      <c r="C315" s="66" t="str">
        <f aca="false">IF(発注計算!$C311="","",発注計算!$D311)</f>
        <v/>
      </c>
      <c r="D315" s="66" t="str">
        <f aca="false">IF(発注計算!$C311="","",発注計算!$E311)</f>
        <v/>
      </c>
      <c r="E315" s="67" t="str">
        <f aca="false">IF(発注計算!$C311="","",発注計算!$T311)</f>
        <v/>
      </c>
      <c r="F315" s="67" t="str">
        <f aca="false">IF(ISNUMBER($E315),$E315-N(発注計算!$I311),"")</f>
        <v/>
      </c>
      <c r="G315" s="68" t="str">
        <f aca="false">IF(発注計算!$C311="","",IF(NOT(ISNUMBER($F315)),"データなし",IF($F315&lt;=0,"今日が期限",IF($F315&lt;=N(発注計算!$AG311),"要発注","余裕"))))</f>
        <v/>
      </c>
      <c r="H315" s="67" t="str">
        <f aca="false">IF(OR(発注計算!$C311="",NOT(ISNUMBER(発注計算!$S311)),発注計算!$S311&lt;=0),"",(発注計算!$K311+N($J315)*N(発注計算!$G311))/発注計算!$S311)</f>
        <v/>
      </c>
      <c r="I315" s="69" t="str">
        <f aca="false">IF(発注計算!$C311="","",発注計算!$Y311)</f>
        <v/>
      </c>
      <c r="J315" s="70"/>
      <c r="K315" s="71" t="str">
        <f aca="false">IF($J315="","",N($J315)*N(発注計算!$H311))</f>
        <v/>
      </c>
      <c r="L315" s="72"/>
      <c r="M315" s="72"/>
      <c r="N315" s="72"/>
      <c r="O315" s="72"/>
      <c r="P315" s="72"/>
      <c r="Q315" s="72"/>
      <c r="R315" s="72"/>
      <c r="S315" s="72"/>
      <c r="T315" s="72"/>
      <c r="U315" s="72"/>
      <c r="V315" s="72"/>
      <c r="W315" s="72"/>
      <c r="X315" s="72"/>
      <c r="Y315" s="72"/>
      <c r="Z315" s="31" t="n">
        <f aca="false">IF(OR(N($J315)&lt;=0,AND(③発注書!$C$5&lt;&gt;"すべて",発注計算!$F311&lt;&gt;③発注書!$C$5)),N(Z314),N(Z314)+1)</f>
        <v>7</v>
      </c>
    </row>
    <row r="316" customFormat="false" ht="16.5" hidden="false" customHeight="true" outlineLevel="0" collapsed="false">
      <c r="B316" s="66" t="n">
        <v>307</v>
      </c>
      <c r="C316" s="66" t="str">
        <f aca="false">IF(発注計算!$C312="","",発注計算!$D312)</f>
        <v/>
      </c>
      <c r="D316" s="66" t="str">
        <f aca="false">IF(発注計算!$C312="","",発注計算!$E312)</f>
        <v/>
      </c>
      <c r="E316" s="67" t="str">
        <f aca="false">IF(発注計算!$C312="","",発注計算!$T312)</f>
        <v/>
      </c>
      <c r="F316" s="67" t="str">
        <f aca="false">IF(ISNUMBER($E316),$E316-N(発注計算!$I312),"")</f>
        <v/>
      </c>
      <c r="G316" s="68" t="str">
        <f aca="false">IF(発注計算!$C312="","",IF(NOT(ISNUMBER($F316)),"データなし",IF($F316&lt;=0,"今日が期限",IF($F316&lt;=N(発注計算!$AG312),"要発注","余裕"))))</f>
        <v/>
      </c>
      <c r="H316" s="67" t="str">
        <f aca="false">IF(OR(発注計算!$C312="",NOT(ISNUMBER(発注計算!$S312)),発注計算!$S312&lt;=0),"",(発注計算!$K312+N($J316)*N(発注計算!$G312))/発注計算!$S312)</f>
        <v/>
      </c>
      <c r="I316" s="69" t="str">
        <f aca="false">IF(発注計算!$C312="","",発注計算!$Y312)</f>
        <v/>
      </c>
      <c r="J316" s="70"/>
      <c r="K316" s="71" t="str">
        <f aca="false">IF($J316="","",N($J316)*N(発注計算!$H312))</f>
        <v/>
      </c>
      <c r="L316" s="72"/>
      <c r="M316" s="72"/>
      <c r="N316" s="72"/>
      <c r="O316" s="72"/>
      <c r="P316" s="72"/>
      <c r="Q316" s="72"/>
      <c r="R316" s="72"/>
      <c r="S316" s="72"/>
      <c r="T316" s="72"/>
      <c r="U316" s="72"/>
      <c r="V316" s="72"/>
      <c r="W316" s="72"/>
      <c r="X316" s="72"/>
      <c r="Y316" s="72"/>
      <c r="Z316" s="31" t="n">
        <f aca="false">IF(OR(N($J316)&lt;=0,AND(③発注書!$C$5&lt;&gt;"すべて",発注計算!$F312&lt;&gt;③発注書!$C$5)),N(Z315),N(Z315)+1)</f>
        <v>7</v>
      </c>
    </row>
    <row r="317" customFormat="false" ht="16.5" hidden="false" customHeight="true" outlineLevel="0" collapsed="false">
      <c r="B317" s="66" t="n">
        <v>308</v>
      </c>
      <c r="C317" s="66" t="str">
        <f aca="false">IF(発注計算!$C313="","",発注計算!$D313)</f>
        <v/>
      </c>
      <c r="D317" s="66" t="str">
        <f aca="false">IF(発注計算!$C313="","",発注計算!$E313)</f>
        <v/>
      </c>
      <c r="E317" s="67" t="str">
        <f aca="false">IF(発注計算!$C313="","",発注計算!$T313)</f>
        <v/>
      </c>
      <c r="F317" s="67" t="str">
        <f aca="false">IF(ISNUMBER($E317),$E317-N(発注計算!$I313),"")</f>
        <v/>
      </c>
      <c r="G317" s="68" t="str">
        <f aca="false">IF(発注計算!$C313="","",IF(NOT(ISNUMBER($F317)),"データなし",IF($F317&lt;=0,"今日が期限",IF($F317&lt;=N(発注計算!$AG313),"要発注","余裕"))))</f>
        <v/>
      </c>
      <c r="H317" s="67" t="str">
        <f aca="false">IF(OR(発注計算!$C313="",NOT(ISNUMBER(発注計算!$S313)),発注計算!$S313&lt;=0),"",(発注計算!$K313+N($J317)*N(発注計算!$G313))/発注計算!$S313)</f>
        <v/>
      </c>
      <c r="I317" s="69" t="str">
        <f aca="false">IF(発注計算!$C313="","",発注計算!$Y313)</f>
        <v/>
      </c>
      <c r="J317" s="70"/>
      <c r="K317" s="71" t="str">
        <f aca="false">IF($J317="","",N($J317)*N(発注計算!$H313))</f>
        <v/>
      </c>
      <c r="L317" s="72"/>
      <c r="M317" s="72"/>
      <c r="N317" s="72"/>
      <c r="O317" s="72"/>
      <c r="P317" s="72"/>
      <c r="Q317" s="72"/>
      <c r="R317" s="72"/>
      <c r="S317" s="72"/>
      <c r="T317" s="72"/>
      <c r="U317" s="72"/>
      <c r="V317" s="72"/>
      <c r="W317" s="72"/>
      <c r="X317" s="72"/>
      <c r="Y317" s="72"/>
      <c r="Z317" s="31" t="n">
        <f aca="false">IF(OR(N($J317)&lt;=0,AND(③発注書!$C$5&lt;&gt;"すべて",発注計算!$F313&lt;&gt;③発注書!$C$5)),N(Z316),N(Z316)+1)</f>
        <v>7</v>
      </c>
    </row>
    <row r="318" customFormat="false" ht="16.5" hidden="false" customHeight="true" outlineLevel="0" collapsed="false">
      <c r="B318" s="66" t="n">
        <v>309</v>
      </c>
      <c r="C318" s="66" t="str">
        <f aca="false">IF(発注計算!$C314="","",発注計算!$D314)</f>
        <v/>
      </c>
      <c r="D318" s="66" t="str">
        <f aca="false">IF(発注計算!$C314="","",発注計算!$E314)</f>
        <v/>
      </c>
      <c r="E318" s="67" t="str">
        <f aca="false">IF(発注計算!$C314="","",発注計算!$T314)</f>
        <v/>
      </c>
      <c r="F318" s="67" t="str">
        <f aca="false">IF(ISNUMBER($E318),$E318-N(発注計算!$I314),"")</f>
        <v/>
      </c>
      <c r="G318" s="68" t="str">
        <f aca="false">IF(発注計算!$C314="","",IF(NOT(ISNUMBER($F318)),"データなし",IF($F318&lt;=0,"今日が期限",IF($F318&lt;=N(発注計算!$AG314),"要発注","余裕"))))</f>
        <v/>
      </c>
      <c r="H318" s="67" t="str">
        <f aca="false">IF(OR(発注計算!$C314="",NOT(ISNUMBER(発注計算!$S314)),発注計算!$S314&lt;=0),"",(発注計算!$K314+N($J318)*N(発注計算!$G314))/発注計算!$S314)</f>
        <v/>
      </c>
      <c r="I318" s="69" t="str">
        <f aca="false">IF(発注計算!$C314="","",発注計算!$Y314)</f>
        <v/>
      </c>
      <c r="J318" s="70"/>
      <c r="K318" s="71" t="str">
        <f aca="false">IF($J318="","",N($J318)*N(発注計算!$H314))</f>
        <v/>
      </c>
      <c r="L318" s="72"/>
      <c r="M318" s="72"/>
      <c r="N318" s="72"/>
      <c r="O318" s="72"/>
      <c r="P318" s="72"/>
      <c r="Q318" s="72"/>
      <c r="R318" s="72"/>
      <c r="S318" s="72"/>
      <c r="T318" s="72"/>
      <c r="U318" s="72"/>
      <c r="V318" s="72"/>
      <c r="W318" s="72"/>
      <c r="X318" s="72"/>
      <c r="Y318" s="72"/>
      <c r="Z318" s="31" t="n">
        <f aca="false">IF(OR(N($J318)&lt;=0,AND(③発注書!$C$5&lt;&gt;"すべて",発注計算!$F314&lt;&gt;③発注書!$C$5)),N(Z317),N(Z317)+1)</f>
        <v>7</v>
      </c>
    </row>
    <row r="319" customFormat="false" ht="16.5" hidden="false" customHeight="true" outlineLevel="0" collapsed="false">
      <c r="B319" s="66" t="n">
        <v>310</v>
      </c>
      <c r="C319" s="66" t="str">
        <f aca="false">IF(発注計算!$C315="","",発注計算!$D315)</f>
        <v/>
      </c>
      <c r="D319" s="66" t="str">
        <f aca="false">IF(発注計算!$C315="","",発注計算!$E315)</f>
        <v/>
      </c>
      <c r="E319" s="67" t="str">
        <f aca="false">IF(発注計算!$C315="","",発注計算!$T315)</f>
        <v/>
      </c>
      <c r="F319" s="67" t="str">
        <f aca="false">IF(ISNUMBER($E319),$E319-N(発注計算!$I315),"")</f>
        <v/>
      </c>
      <c r="G319" s="68" t="str">
        <f aca="false">IF(発注計算!$C315="","",IF(NOT(ISNUMBER($F319)),"データなし",IF($F319&lt;=0,"今日が期限",IF($F319&lt;=N(発注計算!$AG315),"要発注","余裕"))))</f>
        <v/>
      </c>
      <c r="H319" s="67" t="str">
        <f aca="false">IF(OR(発注計算!$C315="",NOT(ISNUMBER(発注計算!$S315)),発注計算!$S315&lt;=0),"",(発注計算!$K315+N($J319)*N(発注計算!$G315))/発注計算!$S315)</f>
        <v/>
      </c>
      <c r="I319" s="69" t="str">
        <f aca="false">IF(発注計算!$C315="","",発注計算!$Y315)</f>
        <v/>
      </c>
      <c r="J319" s="70"/>
      <c r="K319" s="71" t="str">
        <f aca="false">IF($J319="","",N($J319)*N(発注計算!$H315))</f>
        <v/>
      </c>
      <c r="L319" s="72"/>
      <c r="M319" s="72"/>
      <c r="N319" s="72"/>
      <c r="O319" s="72"/>
      <c r="P319" s="72"/>
      <c r="Q319" s="72"/>
      <c r="R319" s="72"/>
      <c r="S319" s="72"/>
      <c r="T319" s="72"/>
      <c r="U319" s="72"/>
      <c r="V319" s="72"/>
      <c r="W319" s="72"/>
      <c r="X319" s="72"/>
      <c r="Y319" s="72"/>
      <c r="Z319" s="31" t="n">
        <f aca="false">IF(OR(N($J319)&lt;=0,AND(③発注書!$C$5&lt;&gt;"すべて",発注計算!$F315&lt;&gt;③発注書!$C$5)),N(Z318),N(Z318)+1)</f>
        <v>7</v>
      </c>
    </row>
    <row r="320" customFormat="false" ht="16.5" hidden="false" customHeight="true" outlineLevel="0" collapsed="false">
      <c r="B320" s="66" t="n">
        <v>311</v>
      </c>
      <c r="C320" s="66" t="str">
        <f aca="false">IF(発注計算!$C316="","",発注計算!$D316)</f>
        <v/>
      </c>
      <c r="D320" s="66" t="str">
        <f aca="false">IF(発注計算!$C316="","",発注計算!$E316)</f>
        <v/>
      </c>
      <c r="E320" s="67" t="str">
        <f aca="false">IF(発注計算!$C316="","",発注計算!$T316)</f>
        <v/>
      </c>
      <c r="F320" s="67" t="str">
        <f aca="false">IF(ISNUMBER($E320),$E320-N(発注計算!$I316),"")</f>
        <v/>
      </c>
      <c r="G320" s="68" t="str">
        <f aca="false">IF(発注計算!$C316="","",IF(NOT(ISNUMBER($F320)),"データなし",IF($F320&lt;=0,"今日が期限",IF($F320&lt;=N(発注計算!$AG316),"要発注","余裕"))))</f>
        <v/>
      </c>
      <c r="H320" s="67" t="str">
        <f aca="false">IF(OR(発注計算!$C316="",NOT(ISNUMBER(発注計算!$S316)),発注計算!$S316&lt;=0),"",(発注計算!$K316+N($J320)*N(発注計算!$G316))/発注計算!$S316)</f>
        <v/>
      </c>
      <c r="I320" s="69" t="str">
        <f aca="false">IF(発注計算!$C316="","",発注計算!$Y316)</f>
        <v/>
      </c>
      <c r="J320" s="70"/>
      <c r="K320" s="71" t="str">
        <f aca="false">IF($J320="","",N($J320)*N(発注計算!$H316))</f>
        <v/>
      </c>
      <c r="L320" s="72"/>
      <c r="M320" s="72"/>
      <c r="N320" s="72"/>
      <c r="O320" s="72"/>
      <c r="P320" s="72"/>
      <c r="Q320" s="72"/>
      <c r="R320" s="72"/>
      <c r="S320" s="72"/>
      <c r="T320" s="72"/>
      <c r="U320" s="72"/>
      <c r="V320" s="72"/>
      <c r="W320" s="72"/>
      <c r="X320" s="72"/>
      <c r="Y320" s="72"/>
      <c r="Z320" s="31" t="n">
        <f aca="false">IF(OR(N($J320)&lt;=0,AND(③発注書!$C$5&lt;&gt;"すべて",発注計算!$F316&lt;&gt;③発注書!$C$5)),N(Z319),N(Z319)+1)</f>
        <v>7</v>
      </c>
    </row>
    <row r="321" customFormat="false" ht="16.5" hidden="false" customHeight="true" outlineLevel="0" collapsed="false">
      <c r="B321" s="66" t="n">
        <v>312</v>
      </c>
      <c r="C321" s="66" t="str">
        <f aca="false">IF(発注計算!$C317="","",発注計算!$D317)</f>
        <v/>
      </c>
      <c r="D321" s="66" t="str">
        <f aca="false">IF(発注計算!$C317="","",発注計算!$E317)</f>
        <v/>
      </c>
      <c r="E321" s="67" t="str">
        <f aca="false">IF(発注計算!$C317="","",発注計算!$T317)</f>
        <v/>
      </c>
      <c r="F321" s="67" t="str">
        <f aca="false">IF(ISNUMBER($E321),$E321-N(発注計算!$I317),"")</f>
        <v/>
      </c>
      <c r="G321" s="68" t="str">
        <f aca="false">IF(発注計算!$C317="","",IF(NOT(ISNUMBER($F321)),"データなし",IF($F321&lt;=0,"今日が期限",IF($F321&lt;=N(発注計算!$AG317),"要発注","余裕"))))</f>
        <v/>
      </c>
      <c r="H321" s="67" t="str">
        <f aca="false">IF(OR(発注計算!$C317="",NOT(ISNUMBER(発注計算!$S317)),発注計算!$S317&lt;=0),"",(発注計算!$K317+N($J321)*N(発注計算!$G317))/発注計算!$S317)</f>
        <v/>
      </c>
      <c r="I321" s="69" t="str">
        <f aca="false">IF(発注計算!$C317="","",発注計算!$Y317)</f>
        <v/>
      </c>
      <c r="J321" s="70"/>
      <c r="K321" s="71" t="str">
        <f aca="false">IF($J321="","",N($J321)*N(発注計算!$H317))</f>
        <v/>
      </c>
      <c r="L321" s="72"/>
      <c r="M321" s="72"/>
      <c r="N321" s="72"/>
      <c r="O321" s="72"/>
      <c r="P321" s="72"/>
      <c r="Q321" s="72"/>
      <c r="R321" s="72"/>
      <c r="S321" s="72"/>
      <c r="T321" s="72"/>
      <c r="U321" s="72"/>
      <c r="V321" s="72"/>
      <c r="W321" s="72"/>
      <c r="X321" s="72"/>
      <c r="Y321" s="72"/>
      <c r="Z321" s="31" t="n">
        <f aca="false">IF(OR(N($J321)&lt;=0,AND(③発注書!$C$5&lt;&gt;"すべて",発注計算!$F317&lt;&gt;③発注書!$C$5)),N(Z320),N(Z320)+1)</f>
        <v>7</v>
      </c>
    </row>
    <row r="322" customFormat="false" ht="16.5" hidden="false" customHeight="true" outlineLevel="0" collapsed="false">
      <c r="B322" s="66" t="n">
        <v>313</v>
      </c>
      <c r="C322" s="66" t="str">
        <f aca="false">IF(発注計算!$C318="","",発注計算!$D318)</f>
        <v/>
      </c>
      <c r="D322" s="66" t="str">
        <f aca="false">IF(発注計算!$C318="","",発注計算!$E318)</f>
        <v/>
      </c>
      <c r="E322" s="67" t="str">
        <f aca="false">IF(発注計算!$C318="","",発注計算!$T318)</f>
        <v/>
      </c>
      <c r="F322" s="67" t="str">
        <f aca="false">IF(ISNUMBER($E322),$E322-N(発注計算!$I318),"")</f>
        <v/>
      </c>
      <c r="G322" s="68" t="str">
        <f aca="false">IF(発注計算!$C318="","",IF(NOT(ISNUMBER($F322)),"データなし",IF($F322&lt;=0,"今日が期限",IF($F322&lt;=N(発注計算!$AG318),"要発注","余裕"))))</f>
        <v/>
      </c>
      <c r="H322" s="67" t="str">
        <f aca="false">IF(OR(発注計算!$C318="",NOT(ISNUMBER(発注計算!$S318)),発注計算!$S318&lt;=0),"",(発注計算!$K318+N($J322)*N(発注計算!$G318))/発注計算!$S318)</f>
        <v/>
      </c>
      <c r="I322" s="69" t="str">
        <f aca="false">IF(発注計算!$C318="","",発注計算!$Y318)</f>
        <v/>
      </c>
      <c r="J322" s="70"/>
      <c r="K322" s="71" t="str">
        <f aca="false">IF($J322="","",N($J322)*N(発注計算!$H318))</f>
        <v/>
      </c>
      <c r="L322" s="72"/>
      <c r="M322" s="72"/>
      <c r="N322" s="72"/>
      <c r="O322" s="72"/>
      <c r="P322" s="72"/>
      <c r="Q322" s="72"/>
      <c r="R322" s="72"/>
      <c r="S322" s="72"/>
      <c r="T322" s="72"/>
      <c r="U322" s="72"/>
      <c r="V322" s="72"/>
      <c r="W322" s="72"/>
      <c r="X322" s="72"/>
      <c r="Y322" s="72"/>
      <c r="Z322" s="31" t="n">
        <f aca="false">IF(OR(N($J322)&lt;=0,AND(③発注書!$C$5&lt;&gt;"すべて",発注計算!$F318&lt;&gt;③発注書!$C$5)),N(Z321),N(Z321)+1)</f>
        <v>7</v>
      </c>
    </row>
    <row r="323" customFormat="false" ht="16.5" hidden="false" customHeight="true" outlineLevel="0" collapsed="false">
      <c r="B323" s="66" t="n">
        <v>314</v>
      </c>
      <c r="C323" s="66" t="str">
        <f aca="false">IF(発注計算!$C319="","",発注計算!$D319)</f>
        <v/>
      </c>
      <c r="D323" s="66" t="str">
        <f aca="false">IF(発注計算!$C319="","",発注計算!$E319)</f>
        <v/>
      </c>
      <c r="E323" s="67" t="str">
        <f aca="false">IF(発注計算!$C319="","",発注計算!$T319)</f>
        <v/>
      </c>
      <c r="F323" s="67" t="str">
        <f aca="false">IF(ISNUMBER($E323),$E323-N(発注計算!$I319),"")</f>
        <v/>
      </c>
      <c r="G323" s="68" t="str">
        <f aca="false">IF(発注計算!$C319="","",IF(NOT(ISNUMBER($F323)),"データなし",IF($F323&lt;=0,"今日が期限",IF($F323&lt;=N(発注計算!$AG319),"要発注","余裕"))))</f>
        <v/>
      </c>
      <c r="H323" s="67" t="str">
        <f aca="false">IF(OR(発注計算!$C319="",NOT(ISNUMBER(発注計算!$S319)),発注計算!$S319&lt;=0),"",(発注計算!$K319+N($J323)*N(発注計算!$G319))/発注計算!$S319)</f>
        <v/>
      </c>
      <c r="I323" s="69" t="str">
        <f aca="false">IF(発注計算!$C319="","",発注計算!$Y319)</f>
        <v/>
      </c>
      <c r="J323" s="70"/>
      <c r="K323" s="71" t="str">
        <f aca="false">IF($J323="","",N($J323)*N(発注計算!$H319))</f>
        <v/>
      </c>
      <c r="L323" s="72"/>
      <c r="M323" s="72"/>
      <c r="N323" s="72"/>
      <c r="O323" s="72"/>
      <c r="P323" s="72"/>
      <c r="Q323" s="72"/>
      <c r="R323" s="72"/>
      <c r="S323" s="72"/>
      <c r="T323" s="72"/>
      <c r="U323" s="72"/>
      <c r="V323" s="72"/>
      <c r="W323" s="72"/>
      <c r="X323" s="72"/>
      <c r="Y323" s="72"/>
      <c r="Z323" s="31" t="n">
        <f aca="false">IF(OR(N($J323)&lt;=0,AND(③発注書!$C$5&lt;&gt;"すべて",発注計算!$F319&lt;&gt;③発注書!$C$5)),N(Z322),N(Z322)+1)</f>
        <v>7</v>
      </c>
    </row>
    <row r="324" customFormat="false" ht="16.5" hidden="false" customHeight="true" outlineLevel="0" collapsed="false">
      <c r="B324" s="66" t="n">
        <v>315</v>
      </c>
      <c r="C324" s="66" t="str">
        <f aca="false">IF(発注計算!$C320="","",発注計算!$D320)</f>
        <v/>
      </c>
      <c r="D324" s="66" t="str">
        <f aca="false">IF(発注計算!$C320="","",発注計算!$E320)</f>
        <v/>
      </c>
      <c r="E324" s="67" t="str">
        <f aca="false">IF(発注計算!$C320="","",発注計算!$T320)</f>
        <v/>
      </c>
      <c r="F324" s="67" t="str">
        <f aca="false">IF(ISNUMBER($E324),$E324-N(発注計算!$I320),"")</f>
        <v/>
      </c>
      <c r="G324" s="68" t="str">
        <f aca="false">IF(発注計算!$C320="","",IF(NOT(ISNUMBER($F324)),"データなし",IF($F324&lt;=0,"今日が期限",IF($F324&lt;=N(発注計算!$AG320),"要発注","余裕"))))</f>
        <v/>
      </c>
      <c r="H324" s="67" t="str">
        <f aca="false">IF(OR(発注計算!$C320="",NOT(ISNUMBER(発注計算!$S320)),発注計算!$S320&lt;=0),"",(発注計算!$K320+N($J324)*N(発注計算!$G320))/発注計算!$S320)</f>
        <v/>
      </c>
      <c r="I324" s="69" t="str">
        <f aca="false">IF(発注計算!$C320="","",発注計算!$Y320)</f>
        <v/>
      </c>
      <c r="J324" s="70"/>
      <c r="K324" s="71" t="str">
        <f aca="false">IF($J324="","",N($J324)*N(発注計算!$H320))</f>
        <v/>
      </c>
      <c r="L324" s="72"/>
      <c r="M324" s="72"/>
      <c r="N324" s="72"/>
      <c r="O324" s="72"/>
      <c r="P324" s="72"/>
      <c r="Q324" s="72"/>
      <c r="R324" s="72"/>
      <c r="S324" s="72"/>
      <c r="T324" s="72"/>
      <c r="U324" s="72"/>
      <c r="V324" s="72"/>
      <c r="W324" s="72"/>
      <c r="X324" s="72"/>
      <c r="Y324" s="72"/>
      <c r="Z324" s="31" t="n">
        <f aca="false">IF(OR(N($J324)&lt;=0,AND(③発注書!$C$5&lt;&gt;"すべて",発注計算!$F320&lt;&gt;③発注書!$C$5)),N(Z323),N(Z323)+1)</f>
        <v>7</v>
      </c>
    </row>
    <row r="325" customFormat="false" ht="16.5" hidden="false" customHeight="true" outlineLevel="0" collapsed="false">
      <c r="B325" s="66" t="n">
        <v>316</v>
      </c>
      <c r="C325" s="66" t="str">
        <f aca="false">IF(発注計算!$C321="","",発注計算!$D321)</f>
        <v/>
      </c>
      <c r="D325" s="66" t="str">
        <f aca="false">IF(発注計算!$C321="","",発注計算!$E321)</f>
        <v/>
      </c>
      <c r="E325" s="67" t="str">
        <f aca="false">IF(発注計算!$C321="","",発注計算!$T321)</f>
        <v/>
      </c>
      <c r="F325" s="67" t="str">
        <f aca="false">IF(ISNUMBER($E325),$E325-N(発注計算!$I321),"")</f>
        <v/>
      </c>
      <c r="G325" s="68" t="str">
        <f aca="false">IF(発注計算!$C321="","",IF(NOT(ISNUMBER($F325)),"データなし",IF($F325&lt;=0,"今日が期限",IF($F325&lt;=N(発注計算!$AG321),"要発注","余裕"))))</f>
        <v/>
      </c>
      <c r="H325" s="67" t="str">
        <f aca="false">IF(OR(発注計算!$C321="",NOT(ISNUMBER(発注計算!$S321)),発注計算!$S321&lt;=0),"",(発注計算!$K321+N($J325)*N(発注計算!$G321))/発注計算!$S321)</f>
        <v/>
      </c>
      <c r="I325" s="69" t="str">
        <f aca="false">IF(発注計算!$C321="","",発注計算!$Y321)</f>
        <v/>
      </c>
      <c r="J325" s="70"/>
      <c r="K325" s="71" t="str">
        <f aca="false">IF($J325="","",N($J325)*N(発注計算!$H321))</f>
        <v/>
      </c>
      <c r="L325" s="72"/>
      <c r="M325" s="72"/>
      <c r="N325" s="72"/>
      <c r="O325" s="72"/>
      <c r="P325" s="72"/>
      <c r="Q325" s="72"/>
      <c r="R325" s="72"/>
      <c r="S325" s="72"/>
      <c r="T325" s="72"/>
      <c r="U325" s="72"/>
      <c r="V325" s="72"/>
      <c r="W325" s="72"/>
      <c r="X325" s="72"/>
      <c r="Y325" s="72"/>
      <c r="Z325" s="31" t="n">
        <f aca="false">IF(OR(N($J325)&lt;=0,AND(③発注書!$C$5&lt;&gt;"すべて",発注計算!$F321&lt;&gt;③発注書!$C$5)),N(Z324),N(Z324)+1)</f>
        <v>7</v>
      </c>
    </row>
    <row r="326" customFormat="false" ht="16.5" hidden="false" customHeight="true" outlineLevel="0" collapsed="false">
      <c r="B326" s="66" t="n">
        <v>317</v>
      </c>
      <c r="C326" s="66" t="str">
        <f aca="false">IF(発注計算!$C322="","",発注計算!$D322)</f>
        <v/>
      </c>
      <c r="D326" s="66" t="str">
        <f aca="false">IF(発注計算!$C322="","",発注計算!$E322)</f>
        <v/>
      </c>
      <c r="E326" s="67" t="str">
        <f aca="false">IF(発注計算!$C322="","",発注計算!$T322)</f>
        <v/>
      </c>
      <c r="F326" s="67" t="str">
        <f aca="false">IF(ISNUMBER($E326),$E326-N(発注計算!$I322),"")</f>
        <v/>
      </c>
      <c r="G326" s="68" t="str">
        <f aca="false">IF(発注計算!$C322="","",IF(NOT(ISNUMBER($F326)),"データなし",IF($F326&lt;=0,"今日が期限",IF($F326&lt;=N(発注計算!$AG322),"要発注","余裕"))))</f>
        <v/>
      </c>
      <c r="H326" s="67" t="str">
        <f aca="false">IF(OR(発注計算!$C322="",NOT(ISNUMBER(発注計算!$S322)),発注計算!$S322&lt;=0),"",(発注計算!$K322+N($J326)*N(発注計算!$G322))/発注計算!$S322)</f>
        <v/>
      </c>
      <c r="I326" s="69" t="str">
        <f aca="false">IF(発注計算!$C322="","",発注計算!$Y322)</f>
        <v/>
      </c>
      <c r="J326" s="70"/>
      <c r="K326" s="71" t="str">
        <f aca="false">IF($J326="","",N($J326)*N(発注計算!$H322))</f>
        <v/>
      </c>
      <c r="L326" s="72"/>
      <c r="M326" s="72"/>
      <c r="N326" s="72"/>
      <c r="O326" s="72"/>
      <c r="P326" s="72"/>
      <c r="Q326" s="72"/>
      <c r="R326" s="72"/>
      <c r="S326" s="72"/>
      <c r="T326" s="72"/>
      <c r="U326" s="72"/>
      <c r="V326" s="72"/>
      <c r="W326" s="72"/>
      <c r="X326" s="72"/>
      <c r="Y326" s="72"/>
      <c r="Z326" s="31" t="n">
        <f aca="false">IF(OR(N($J326)&lt;=0,AND(③発注書!$C$5&lt;&gt;"すべて",発注計算!$F322&lt;&gt;③発注書!$C$5)),N(Z325),N(Z325)+1)</f>
        <v>7</v>
      </c>
    </row>
    <row r="327" customFormat="false" ht="16.5" hidden="false" customHeight="true" outlineLevel="0" collapsed="false">
      <c r="B327" s="66" t="n">
        <v>318</v>
      </c>
      <c r="C327" s="66" t="str">
        <f aca="false">IF(発注計算!$C323="","",発注計算!$D323)</f>
        <v/>
      </c>
      <c r="D327" s="66" t="str">
        <f aca="false">IF(発注計算!$C323="","",発注計算!$E323)</f>
        <v/>
      </c>
      <c r="E327" s="67" t="str">
        <f aca="false">IF(発注計算!$C323="","",発注計算!$T323)</f>
        <v/>
      </c>
      <c r="F327" s="67" t="str">
        <f aca="false">IF(ISNUMBER($E327),$E327-N(発注計算!$I323),"")</f>
        <v/>
      </c>
      <c r="G327" s="68" t="str">
        <f aca="false">IF(発注計算!$C323="","",IF(NOT(ISNUMBER($F327)),"データなし",IF($F327&lt;=0,"今日が期限",IF($F327&lt;=N(発注計算!$AG323),"要発注","余裕"))))</f>
        <v/>
      </c>
      <c r="H327" s="67" t="str">
        <f aca="false">IF(OR(発注計算!$C323="",NOT(ISNUMBER(発注計算!$S323)),発注計算!$S323&lt;=0),"",(発注計算!$K323+N($J327)*N(発注計算!$G323))/発注計算!$S323)</f>
        <v/>
      </c>
      <c r="I327" s="69" t="str">
        <f aca="false">IF(発注計算!$C323="","",発注計算!$Y323)</f>
        <v/>
      </c>
      <c r="J327" s="70"/>
      <c r="K327" s="71" t="str">
        <f aca="false">IF($J327="","",N($J327)*N(発注計算!$H323))</f>
        <v/>
      </c>
      <c r="L327" s="72"/>
      <c r="M327" s="72"/>
      <c r="N327" s="72"/>
      <c r="O327" s="72"/>
      <c r="P327" s="72"/>
      <c r="Q327" s="72"/>
      <c r="R327" s="72"/>
      <c r="S327" s="72"/>
      <c r="T327" s="72"/>
      <c r="U327" s="72"/>
      <c r="V327" s="72"/>
      <c r="W327" s="72"/>
      <c r="X327" s="72"/>
      <c r="Y327" s="72"/>
      <c r="Z327" s="31" t="n">
        <f aca="false">IF(OR(N($J327)&lt;=0,AND(③発注書!$C$5&lt;&gt;"すべて",発注計算!$F323&lt;&gt;③発注書!$C$5)),N(Z326),N(Z326)+1)</f>
        <v>7</v>
      </c>
    </row>
    <row r="328" customFormat="false" ht="16.5" hidden="false" customHeight="true" outlineLevel="0" collapsed="false">
      <c r="B328" s="66" t="n">
        <v>319</v>
      </c>
      <c r="C328" s="66" t="str">
        <f aca="false">IF(発注計算!$C324="","",発注計算!$D324)</f>
        <v/>
      </c>
      <c r="D328" s="66" t="str">
        <f aca="false">IF(発注計算!$C324="","",発注計算!$E324)</f>
        <v/>
      </c>
      <c r="E328" s="67" t="str">
        <f aca="false">IF(発注計算!$C324="","",発注計算!$T324)</f>
        <v/>
      </c>
      <c r="F328" s="67" t="str">
        <f aca="false">IF(ISNUMBER($E328),$E328-N(発注計算!$I324),"")</f>
        <v/>
      </c>
      <c r="G328" s="68" t="str">
        <f aca="false">IF(発注計算!$C324="","",IF(NOT(ISNUMBER($F328)),"データなし",IF($F328&lt;=0,"今日が期限",IF($F328&lt;=N(発注計算!$AG324),"要発注","余裕"))))</f>
        <v/>
      </c>
      <c r="H328" s="67" t="str">
        <f aca="false">IF(OR(発注計算!$C324="",NOT(ISNUMBER(発注計算!$S324)),発注計算!$S324&lt;=0),"",(発注計算!$K324+N($J328)*N(発注計算!$G324))/発注計算!$S324)</f>
        <v/>
      </c>
      <c r="I328" s="69" t="str">
        <f aca="false">IF(発注計算!$C324="","",発注計算!$Y324)</f>
        <v/>
      </c>
      <c r="J328" s="70"/>
      <c r="K328" s="71" t="str">
        <f aca="false">IF($J328="","",N($J328)*N(発注計算!$H324))</f>
        <v/>
      </c>
      <c r="L328" s="72"/>
      <c r="M328" s="72"/>
      <c r="N328" s="72"/>
      <c r="O328" s="72"/>
      <c r="P328" s="72"/>
      <c r="Q328" s="72"/>
      <c r="R328" s="72"/>
      <c r="S328" s="72"/>
      <c r="T328" s="72"/>
      <c r="U328" s="72"/>
      <c r="V328" s="72"/>
      <c r="W328" s="72"/>
      <c r="X328" s="72"/>
      <c r="Y328" s="72"/>
      <c r="Z328" s="31" t="n">
        <f aca="false">IF(OR(N($J328)&lt;=0,AND(③発注書!$C$5&lt;&gt;"すべて",発注計算!$F324&lt;&gt;③発注書!$C$5)),N(Z327),N(Z327)+1)</f>
        <v>7</v>
      </c>
    </row>
    <row r="329" customFormat="false" ht="16.5" hidden="false" customHeight="true" outlineLevel="0" collapsed="false">
      <c r="B329" s="66" t="n">
        <v>320</v>
      </c>
      <c r="C329" s="66" t="str">
        <f aca="false">IF(発注計算!$C325="","",発注計算!$D325)</f>
        <v/>
      </c>
      <c r="D329" s="66" t="str">
        <f aca="false">IF(発注計算!$C325="","",発注計算!$E325)</f>
        <v/>
      </c>
      <c r="E329" s="67" t="str">
        <f aca="false">IF(発注計算!$C325="","",発注計算!$T325)</f>
        <v/>
      </c>
      <c r="F329" s="67" t="str">
        <f aca="false">IF(ISNUMBER($E329),$E329-N(発注計算!$I325),"")</f>
        <v/>
      </c>
      <c r="G329" s="68" t="str">
        <f aca="false">IF(発注計算!$C325="","",IF(NOT(ISNUMBER($F329)),"データなし",IF($F329&lt;=0,"今日が期限",IF($F329&lt;=N(発注計算!$AG325),"要発注","余裕"))))</f>
        <v/>
      </c>
      <c r="H329" s="67" t="str">
        <f aca="false">IF(OR(発注計算!$C325="",NOT(ISNUMBER(発注計算!$S325)),発注計算!$S325&lt;=0),"",(発注計算!$K325+N($J329)*N(発注計算!$G325))/発注計算!$S325)</f>
        <v/>
      </c>
      <c r="I329" s="69" t="str">
        <f aca="false">IF(発注計算!$C325="","",発注計算!$Y325)</f>
        <v/>
      </c>
      <c r="J329" s="70"/>
      <c r="K329" s="71" t="str">
        <f aca="false">IF($J329="","",N($J329)*N(発注計算!$H325))</f>
        <v/>
      </c>
      <c r="L329" s="72"/>
      <c r="M329" s="72"/>
      <c r="N329" s="72"/>
      <c r="O329" s="72"/>
      <c r="P329" s="72"/>
      <c r="Q329" s="72"/>
      <c r="R329" s="72"/>
      <c r="S329" s="72"/>
      <c r="T329" s="72"/>
      <c r="U329" s="72"/>
      <c r="V329" s="72"/>
      <c r="W329" s="72"/>
      <c r="X329" s="72"/>
      <c r="Y329" s="72"/>
      <c r="Z329" s="31" t="n">
        <f aca="false">IF(OR(N($J329)&lt;=0,AND(③発注書!$C$5&lt;&gt;"すべて",発注計算!$F325&lt;&gt;③発注書!$C$5)),N(Z328),N(Z328)+1)</f>
        <v>7</v>
      </c>
    </row>
    <row r="330" customFormat="false" ht="16.5" hidden="false" customHeight="true" outlineLevel="0" collapsed="false">
      <c r="B330" s="66" t="n">
        <v>321</v>
      </c>
      <c r="C330" s="66" t="str">
        <f aca="false">IF(発注計算!$C326="","",発注計算!$D326)</f>
        <v/>
      </c>
      <c r="D330" s="66" t="str">
        <f aca="false">IF(発注計算!$C326="","",発注計算!$E326)</f>
        <v/>
      </c>
      <c r="E330" s="67" t="str">
        <f aca="false">IF(発注計算!$C326="","",発注計算!$T326)</f>
        <v/>
      </c>
      <c r="F330" s="67" t="str">
        <f aca="false">IF(ISNUMBER($E330),$E330-N(発注計算!$I326),"")</f>
        <v/>
      </c>
      <c r="G330" s="68" t="str">
        <f aca="false">IF(発注計算!$C326="","",IF(NOT(ISNUMBER($F330)),"データなし",IF($F330&lt;=0,"今日が期限",IF($F330&lt;=N(発注計算!$AG326),"要発注","余裕"))))</f>
        <v/>
      </c>
      <c r="H330" s="67" t="str">
        <f aca="false">IF(OR(発注計算!$C326="",NOT(ISNUMBER(発注計算!$S326)),発注計算!$S326&lt;=0),"",(発注計算!$K326+N($J330)*N(発注計算!$G326))/発注計算!$S326)</f>
        <v/>
      </c>
      <c r="I330" s="69" t="str">
        <f aca="false">IF(発注計算!$C326="","",発注計算!$Y326)</f>
        <v/>
      </c>
      <c r="J330" s="70"/>
      <c r="K330" s="71" t="str">
        <f aca="false">IF($J330="","",N($J330)*N(発注計算!$H326))</f>
        <v/>
      </c>
      <c r="L330" s="72"/>
      <c r="M330" s="72"/>
      <c r="N330" s="72"/>
      <c r="O330" s="72"/>
      <c r="P330" s="72"/>
      <c r="Q330" s="72"/>
      <c r="R330" s="72"/>
      <c r="S330" s="72"/>
      <c r="T330" s="72"/>
      <c r="U330" s="72"/>
      <c r="V330" s="72"/>
      <c r="W330" s="72"/>
      <c r="X330" s="72"/>
      <c r="Y330" s="72"/>
      <c r="Z330" s="31" t="n">
        <f aca="false">IF(OR(N($J330)&lt;=0,AND(③発注書!$C$5&lt;&gt;"すべて",発注計算!$F326&lt;&gt;③発注書!$C$5)),N(Z329),N(Z329)+1)</f>
        <v>7</v>
      </c>
    </row>
    <row r="331" customFormat="false" ht="16.5" hidden="false" customHeight="true" outlineLevel="0" collapsed="false">
      <c r="B331" s="66" t="n">
        <v>322</v>
      </c>
      <c r="C331" s="66" t="str">
        <f aca="false">IF(発注計算!$C327="","",発注計算!$D327)</f>
        <v/>
      </c>
      <c r="D331" s="66" t="str">
        <f aca="false">IF(発注計算!$C327="","",発注計算!$E327)</f>
        <v/>
      </c>
      <c r="E331" s="67" t="str">
        <f aca="false">IF(発注計算!$C327="","",発注計算!$T327)</f>
        <v/>
      </c>
      <c r="F331" s="67" t="str">
        <f aca="false">IF(ISNUMBER($E331),$E331-N(発注計算!$I327),"")</f>
        <v/>
      </c>
      <c r="G331" s="68" t="str">
        <f aca="false">IF(発注計算!$C327="","",IF(NOT(ISNUMBER($F331)),"データなし",IF($F331&lt;=0,"今日が期限",IF($F331&lt;=N(発注計算!$AG327),"要発注","余裕"))))</f>
        <v/>
      </c>
      <c r="H331" s="67" t="str">
        <f aca="false">IF(OR(発注計算!$C327="",NOT(ISNUMBER(発注計算!$S327)),発注計算!$S327&lt;=0),"",(発注計算!$K327+N($J331)*N(発注計算!$G327))/発注計算!$S327)</f>
        <v/>
      </c>
      <c r="I331" s="69" t="str">
        <f aca="false">IF(発注計算!$C327="","",発注計算!$Y327)</f>
        <v/>
      </c>
      <c r="J331" s="70"/>
      <c r="K331" s="71" t="str">
        <f aca="false">IF($J331="","",N($J331)*N(発注計算!$H327))</f>
        <v/>
      </c>
      <c r="L331" s="72"/>
      <c r="M331" s="72"/>
      <c r="N331" s="72"/>
      <c r="O331" s="72"/>
      <c r="P331" s="72"/>
      <c r="Q331" s="72"/>
      <c r="R331" s="72"/>
      <c r="S331" s="72"/>
      <c r="T331" s="72"/>
      <c r="U331" s="72"/>
      <c r="V331" s="72"/>
      <c r="W331" s="72"/>
      <c r="X331" s="72"/>
      <c r="Y331" s="72"/>
      <c r="Z331" s="31" t="n">
        <f aca="false">IF(OR(N($J331)&lt;=0,AND(③発注書!$C$5&lt;&gt;"すべて",発注計算!$F327&lt;&gt;③発注書!$C$5)),N(Z330),N(Z330)+1)</f>
        <v>7</v>
      </c>
    </row>
    <row r="332" customFormat="false" ht="16.5" hidden="false" customHeight="true" outlineLevel="0" collapsed="false">
      <c r="B332" s="66" t="n">
        <v>323</v>
      </c>
      <c r="C332" s="66" t="str">
        <f aca="false">IF(発注計算!$C328="","",発注計算!$D328)</f>
        <v/>
      </c>
      <c r="D332" s="66" t="str">
        <f aca="false">IF(発注計算!$C328="","",発注計算!$E328)</f>
        <v/>
      </c>
      <c r="E332" s="67" t="str">
        <f aca="false">IF(発注計算!$C328="","",発注計算!$T328)</f>
        <v/>
      </c>
      <c r="F332" s="67" t="str">
        <f aca="false">IF(ISNUMBER($E332),$E332-N(発注計算!$I328),"")</f>
        <v/>
      </c>
      <c r="G332" s="68" t="str">
        <f aca="false">IF(発注計算!$C328="","",IF(NOT(ISNUMBER($F332)),"データなし",IF($F332&lt;=0,"今日が期限",IF($F332&lt;=N(発注計算!$AG328),"要発注","余裕"))))</f>
        <v/>
      </c>
      <c r="H332" s="67" t="str">
        <f aca="false">IF(OR(発注計算!$C328="",NOT(ISNUMBER(発注計算!$S328)),発注計算!$S328&lt;=0),"",(発注計算!$K328+N($J332)*N(発注計算!$G328))/発注計算!$S328)</f>
        <v/>
      </c>
      <c r="I332" s="69" t="str">
        <f aca="false">IF(発注計算!$C328="","",発注計算!$Y328)</f>
        <v/>
      </c>
      <c r="J332" s="70"/>
      <c r="K332" s="71" t="str">
        <f aca="false">IF($J332="","",N($J332)*N(発注計算!$H328))</f>
        <v/>
      </c>
      <c r="L332" s="72"/>
      <c r="M332" s="72"/>
      <c r="N332" s="72"/>
      <c r="O332" s="72"/>
      <c r="P332" s="72"/>
      <c r="Q332" s="72"/>
      <c r="R332" s="72"/>
      <c r="S332" s="72"/>
      <c r="T332" s="72"/>
      <c r="U332" s="72"/>
      <c r="V332" s="72"/>
      <c r="W332" s="72"/>
      <c r="X332" s="72"/>
      <c r="Y332" s="72"/>
      <c r="Z332" s="31" t="n">
        <f aca="false">IF(OR(N($J332)&lt;=0,AND(③発注書!$C$5&lt;&gt;"すべて",発注計算!$F328&lt;&gt;③発注書!$C$5)),N(Z331),N(Z331)+1)</f>
        <v>7</v>
      </c>
    </row>
    <row r="333" customFormat="false" ht="16.5" hidden="false" customHeight="true" outlineLevel="0" collapsed="false">
      <c r="B333" s="66" t="n">
        <v>324</v>
      </c>
      <c r="C333" s="66" t="str">
        <f aca="false">IF(発注計算!$C329="","",発注計算!$D329)</f>
        <v/>
      </c>
      <c r="D333" s="66" t="str">
        <f aca="false">IF(発注計算!$C329="","",発注計算!$E329)</f>
        <v/>
      </c>
      <c r="E333" s="67" t="str">
        <f aca="false">IF(発注計算!$C329="","",発注計算!$T329)</f>
        <v/>
      </c>
      <c r="F333" s="67" t="str">
        <f aca="false">IF(ISNUMBER($E333),$E333-N(発注計算!$I329),"")</f>
        <v/>
      </c>
      <c r="G333" s="68" t="str">
        <f aca="false">IF(発注計算!$C329="","",IF(NOT(ISNUMBER($F333)),"データなし",IF($F333&lt;=0,"今日が期限",IF($F333&lt;=N(発注計算!$AG329),"要発注","余裕"))))</f>
        <v/>
      </c>
      <c r="H333" s="67" t="str">
        <f aca="false">IF(OR(発注計算!$C329="",NOT(ISNUMBER(発注計算!$S329)),発注計算!$S329&lt;=0),"",(発注計算!$K329+N($J333)*N(発注計算!$G329))/発注計算!$S329)</f>
        <v/>
      </c>
      <c r="I333" s="69" t="str">
        <f aca="false">IF(発注計算!$C329="","",発注計算!$Y329)</f>
        <v/>
      </c>
      <c r="J333" s="70"/>
      <c r="K333" s="71" t="str">
        <f aca="false">IF($J333="","",N($J333)*N(発注計算!$H329))</f>
        <v/>
      </c>
      <c r="L333" s="72"/>
      <c r="M333" s="72"/>
      <c r="N333" s="72"/>
      <c r="O333" s="72"/>
      <c r="P333" s="72"/>
      <c r="Q333" s="72"/>
      <c r="R333" s="72"/>
      <c r="S333" s="72"/>
      <c r="T333" s="72"/>
      <c r="U333" s="72"/>
      <c r="V333" s="72"/>
      <c r="W333" s="72"/>
      <c r="X333" s="72"/>
      <c r="Y333" s="72"/>
      <c r="Z333" s="31" t="n">
        <f aca="false">IF(OR(N($J333)&lt;=0,AND(③発注書!$C$5&lt;&gt;"すべて",発注計算!$F329&lt;&gt;③発注書!$C$5)),N(Z332),N(Z332)+1)</f>
        <v>7</v>
      </c>
    </row>
    <row r="334" customFormat="false" ht="16.5" hidden="false" customHeight="true" outlineLevel="0" collapsed="false">
      <c r="B334" s="66" t="n">
        <v>325</v>
      </c>
      <c r="C334" s="66" t="str">
        <f aca="false">IF(発注計算!$C330="","",発注計算!$D330)</f>
        <v/>
      </c>
      <c r="D334" s="66" t="str">
        <f aca="false">IF(発注計算!$C330="","",発注計算!$E330)</f>
        <v/>
      </c>
      <c r="E334" s="67" t="str">
        <f aca="false">IF(発注計算!$C330="","",発注計算!$T330)</f>
        <v/>
      </c>
      <c r="F334" s="67" t="str">
        <f aca="false">IF(ISNUMBER($E334),$E334-N(発注計算!$I330),"")</f>
        <v/>
      </c>
      <c r="G334" s="68" t="str">
        <f aca="false">IF(発注計算!$C330="","",IF(NOT(ISNUMBER($F334)),"データなし",IF($F334&lt;=0,"今日が期限",IF($F334&lt;=N(発注計算!$AG330),"要発注","余裕"))))</f>
        <v/>
      </c>
      <c r="H334" s="67" t="str">
        <f aca="false">IF(OR(発注計算!$C330="",NOT(ISNUMBER(発注計算!$S330)),発注計算!$S330&lt;=0),"",(発注計算!$K330+N($J334)*N(発注計算!$G330))/発注計算!$S330)</f>
        <v/>
      </c>
      <c r="I334" s="69" t="str">
        <f aca="false">IF(発注計算!$C330="","",発注計算!$Y330)</f>
        <v/>
      </c>
      <c r="J334" s="70"/>
      <c r="K334" s="71" t="str">
        <f aca="false">IF($J334="","",N($J334)*N(発注計算!$H330))</f>
        <v/>
      </c>
      <c r="L334" s="72"/>
      <c r="M334" s="72"/>
      <c r="N334" s="72"/>
      <c r="O334" s="72"/>
      <c r="P334" s="72"/>
      <c r="Q334" s="72"/>
      <c r="R334" s="72"/>
      <c r="S334" s="72"/>
      <c r="T334" s="72"/>
      <c r="U334" s="72"/>
      <c r="V334" s="72"/>
      <c r="W334" s="72"/>
      <c r="X334" s="72"/>
      <c r="Y334" s="72"/>
      <c r="Z334" s="31" t="n">
        <f aca="false">IF(OR(N($J334)&lt;=0,AND(③発注書!$C$5&lt;&gt;"すべて",発注計算!$F330&lt;&gt;③発注書!$C$5)),N(Z333),N(Z333)+1)</f>
        <v>7</v>
      </c>
    </row>
    <row r="335" customFormat="false" ht="16.5" hidden="false" customHeight="true" outlineLevel="0" collapsed="false">
      <c r="B335" s="66" t="n">
        <v>326</v>
      </c>
      <c r="C335" s="66" t="str">
        <f aca="false">IF(発注計算!$C331="","",発注計算!$D331)</f>
        <v/>
      </c>
      <c r="D335" s="66" t="str">
        <f aca="false">IF(発注計算!$C331="","",発注計算!$E331)</f>
        <v/>
      </c>
      <c r="E335" s="67" t="str">
        <f aca="false">IF(発注計算!$C331="","",発注計算!$T331)</f>
        <v/>
      </c>
      <c r="F335" s="67" t="str">
        <f aca="false">IF(ISNUMBER($E335),$E335-N(発注計算!$I331),"")</f>
        <v/>
      </c>
      <c r="G335" s="68" t="str">
        <f aca="false">IF(発注計算!$C331="","",IF(NOT(ISNUMBER($F335)),"データなし",IF($F335&lt;=0,"今日が期限",IF($F335&lt;=N(発注計算!$AG331),"要発注","余裕"))))</f>
        <v/>
      </c>
      <c r="H335" s="67" t="str">
        <f aca="false">IF(OR(発注計算!$C331="",NOT(ISNUMBER(発注計算!$S331)),発注計算!$S331&lt;=0),"",(発注計算!$K331+N($J335)*N(発注計算!$G331))/発注計算!$S331)</f>
        <v/>
      </c>
      <c r="I335" s="69" t="str">
        <f aca="false">IF(発注計算!$C331="","",発注計算!$Y331)</f>
        <v/>
      </c>
      <c r="J335" s="70"/>
      <c r="K335" s="71" t="str">
        <f aca="false">IF($J335="","",N($J335)*N(発注計算!$H331))</f>
        <v/>
      </c>
      <c r="L335" s="72"/>
      <c r="M335" s="72"/>
      <c r="N335" s="72"/>
      <c r="O335" s="72"/>
      <c r="P335" s="72"/>
      <c r="Q335" s="72"/>
      <c r="R335" s="72"/>
      <c r="S335" s="72"/>
      <c r="T335" s="72"/>
      <c r="U335" s="72"/>
      <c r="V335" s="72"/>
      <c r="W335" s="72"/>
      <c r="X335" s="72"/>
      <c r="Y335" s="72"/>
      <c r="Z335" s="31" t="n">
        <f aca="false">IF(OR(N($J335)&lt;=0,AND(③発注書!$C$5&lt;&gt;"すべて",発注計算!$F331&lt;&gt;③発注書!$C$5)),N(Z334),N(Z334)+1)</f>
        <v>7</v>
      </c>
    </row>
    <row r="336" customFormat="false" ht="16.5" hidden="false" customHeight="true" outlineLevel="0" collapsed="false">
      <c r="B336" s="66" t="n">
        <v>327</v>
      </c>
      <c r="C336" s="66" t="str">
        <f aca="false">IF(発注計算!$C332="","",発注計算!$D332)</f>
        <v/>
      </c>
      <c r="D336" s="66" t="str">
        <f aca="false">IF(発注計算!$C332="","",発注計算!$E332)</f>
        <v/>
      </c>
      <c r="E336" s="67" t="str">
        <f aca="false">IF(発注計算!$C332="","",発注計算!$T332)</f>
        <v/>
      </c>
      <c r="F336" s="67" t="str">
        <f aca="false">IF(ISNUMBER($E336),$E336-N(発注計算!$I332),"")</f>
        <v/>
      </c>
      <c r="G336" s="68" t="str">
        <f aca="false">IF(発注計算!$C332="","",IF(NOT(ISNUMBER($F336)),"データなし",IF($F336&lt;=0,"今日が期限",IF($F336&lt;=N(発注計算!$AG332),"要発注","余裕"))))</f>
        <v/>
      </c>
      <c r="H336" s="67" t="str">
        <f aca="false">IF(OR(発注計算!$C332="",NOT(ISNUMBER(発注計算!$S332)),発注計算!$S332&lt;=0),"",(発注計算!$K332+N($J336)*N(発注計算!$G332))/発注計算!$S332)</f>
        <v/>
      </c>
      <c r="I336" s="69" t="str">
        <f aca="false">IF(発注計算!$C332="","",発注計算!$Y332)</f>
        <v/>
      </c>
      <c r="J336" s="70"/>
      <c r="K336" s="71" t="str">
        <f aca="false">IF($J336="","",N($J336)*N(発注計算!$H332))</f>
        <v/>
      </c>
      <c r="L336" s="72"/>
      <c r="M336" s="72"/>
      <c r="N336" s="72"/>
      <c r="O336" s="72"/>
      <c r="P336" s="72"/>
      <c r="Q336" s="72"/>
      <c r="R336" s="72"/>
      <c r="S336" s="72"/>
      <c r="T336" s="72"/>
      <c r="U336" s="72"/>
      <c r="V336" s="72"/>
      <c r="W336" s="72"/>
      <c r="X336" s="72"/>
      <c r="Y336" s="72"/>
      <c r="Z336" s="31" t="n">
        <f aca="false">IF(OR(N($J336)&lt;=0,AND(③発注書!$C$5&lt;&gt;"すべて",発注計算!$F332&lt;&gt;③発注書!$C$5)),N(Z335),N(Z335)+1)</f>
        <v>7</v>
      </c>
    </row>
    <row r="337" customFormat="false" ht="16.5" hidden="false" customHeight="true" outlineLevel="0" collapsed="false">
      <c r="B337" s="66" t="n">
        <v>328</v>
      </c>
      <c r="C337" s="66" t="str">
        <f aca="false">IF(発注計算!$C333="","",発注計算!$D333)</f>
        <v/>
      </c>
      <c r="D337" s="66" t="str">
        <f aca="false">IF(発注計算!$C333="","",発注計算!$E333)</f>
        <v/>
      </c>
      <c r="E337" s="67" t="str">
        <f aca="false">IF(発注計算!$C333="","",発注計算!$T333)</f>
        <v/>
      </c>
      <c r="F337" s="67" t="str">
        <f aca="false">IF(ISNUMBER($E337),$E337-N(発注計算!$I333),"")</f>
        <v/>
      </c>
      <c r="G337" s="68" t="str">
        <f aca="false">IF(発注計算!$C333="","",IF(NOT(ISNUMBER($F337)),"データなし",IF($F337&lt;=0,"今日が期限",IF($F337&lt;=N(発注計算!$AG333),"要発注","余裕"))))</f>
        <v/>
      </c>
      <c r="H337" s="67" t="str">
        <f aca="false">IF(OR(発注計算!$C333="",NOT(ISNUMBER(発注計算!$S333)),発注計算!$S333&lt;=0),"",(発注計算!$K333+N($J337)*N(発注計算!$G333))/発注計算!$S333)</f>
        <v/>
      </c>
      <c r="I337" s="69" t="str">
        <f aca="false">IF(発注計算!$C333="","",発注計算!$Y333)</f>
        <v/>
      </c>
      <c r="J337" s="70"/>
      <c r="K337" s="71" t="str">
        <f aca="false">IF($J337="","",N($J337)*N(発注計算!$H333))</f>
        <v/>
      </c>
      <c r="L337" s="72"/>
      <c r="M337" s="72"/>
      <c r="N337" s="72"/>
      <c r="O337" s="72"/>
      <c r="P337" s="72"/>
      <c r="Q337" s="72"/>
      <c r="R337" s="72"/>
      <c r="S337" s="72"/>
      <c r="T337" s="72"/>
      <c r="U337" s="72"/>
      <c r="V337" s="72"/>
      <c r="W337" s="72"/>
      <c r="X337" s="72"/>
      <c r="Y337" s="72"/>
      <c r="Z337" s="31" t="n">
        <f aca="false">IF(OR(N($J337)&lt;=0,AND(③発注書!$C$5&lt;&gt;"すべて",発注計算!$F333&lt;&gt;③発注書!$C$5)),N(Z336),N(Z336)+1)</f>
        <v>7</v>
      </c>
    </row>
    <row r="338" customFormat="false" ht="16.5" hidden="false" customHeight="true" outlineLevel="0" collapsed="false">
      <c r="B338" s="66" t="n">
        <v>329</v>
      </c>
      <c r="C338" s="66" t="str">
        <f aca="false">IF(発注計算!$C334="","",発注計算!$D334)</f>
        <v/>
      </c>
      <c r="D338" s="66" t="str">
        <f aca="false">IF(発注計算!$C334="","",発注計算!$E334)</f>
        <v/>
      </c>
      <c r="E338" s="67" t="str">
        <f aca="false">IF(発注計算!$C334="","",発注計算!$T334)</f>
        <v/>
      </c>
      <c r="F338" s="67" t="str">
        <f aca="false">IF(ISNUMBER($E338),$E338-N(発注計算!$I334),"")</f>
        <v/>
      </c>
      <c r="G338" s="68" t="str">
        <f aca="false">IF(発注計算!$C334="","",IF(NOT(ISNUMBER($F338)),"データなし",IF($F338&lt;=0,"今日が期限",IF($F338&lt;=N(発注計算!$AG334),"要発注","余裕"))))</f>
        <v/>
      </c>
      <c r="H338" s="67" t="str">
        <f aca="false">IF(OR(発注計算!$C334="",NOT(ISNUMBER(発注計算!$S334)),発注計算!$S334&lt;=0),"",(発注計算!$K334+N($J338)*N(発注計算!$G334))/発注計算!$S334)</f>
        <v/>
      </c>
      <c r="I338" s="69" t="str">
        <f aca="false">IF(発注計算!$C334="","",発注計算!$Y334)</f>
        <v/>
      </c>
      <c r="J338" s="70"/>
      <c r="K338" s="71" t="str">
        <f aca="false">IF($J338="","",N($J338)*N(発注計算!$H334))</f>
        <v/>
      </c>
      <c r="L338" s="72"/>
      <c r="M338" s="72"/>
      <c r="N338" s="72"/>
      <c r="O338" s="72"/>
      <c r="P338" s="72"/>
      <c r="Q338" s="72"/>
      <c r="R338" s="72"/>
      <c r="S338" s="72"/>
      <c r="T338" s="72"/>
      <c r="U338" s="72"/>
      <c r="V338" s="72"/>
      <c r="W338" s="72"/>
      <c r="X338" s="72"/>
      <c r="Y338" s="72"/>
      <c r="Z338" s="31" t="n">
        <f aca="false">IF(OR(N($J338)&lt;=0,AND(③発注書!$C$5&lt;&gt;"すべて",発注計算!$F334&lt;&gt;③発注書!$C$5)),N(Z337),N(Z337)+1)</f>
        <v>7</v>
      </c>
    </row>
    <row r="339" customFormat="false" ht="16.5" hidden="false" customHeight="true" outlineLevel="0" collapsed="false">
      <c r="B339" s="66" t="n">
        <v>330</v>
      </c>
      <c r="C339" s="66" t="str">
        <f aca="false">IF(発注計算!$C335="","",発注計算!$D335)</f>
        <v/>
      </c>
      <c r="D339" s="66" t="str">
        <f aca="false">IF(発注計算!$C335="","",発注計算!$E335)</f>
        <v/>
      </c>
      <c r="E339" s="67" t="str">
        <f aca="false">IF(発注計算!$C335="","",発注計算!$T335)</f>
        <v/>
      </c>
      <c r="F339" s="67" t="str">
        <f aca="false">IF(ISNUMBER($E339),$E339-N(発注計算!$I335),"")</f>
        <v/>
      </c>
      <c r="G339" s="68" t="str">
        <f aca="false">IF(発注計算!$C335="","",IF(NOT(ISNUMBER($F339)),"データなし",IF($F339&lt;=0,"今日が期限",IF($F339&lt;=N(発注計算!$AG335),"要発注","余裕"))))</f>
        <v/>
      </c>
      <c r="H339" s="67" t="str">
        <f aca="false">IF(OR(発注計算!$C335="",NOT(ISNUMBER(発注計算!$S335)),発注計算!$S335&lt;=0),"",(発注計算!$K335+N($J339)*N(発注計算!$G335))/発注計算!$S335)</f>
        <v/>
      </c>
      <c r="I339" s="69" t="str">
        <f aca="false">IF(発注計算!$C335="","",発注計算!$Y335)</f>
        <v/>
      </c>
      <c r="J339" s="70"/>
      <c r="K339" s="71" t="str">
        <f aca="false">IF($J339="","",N($J339)*N(発注計算!$H335))</f>
        <v/>
      </c>
      <c r="L339" s="72"/>
      <c r="M339" s="72"/>
      <c r="N339" s="72"/>
      <c r="O339" s="72"/>
      <c r="P339" s="72"/>
      <c r="Q339" s="72"/>
      <c r="R339" s="72"/>
      <c r="S339" s="72"/>
      <c r="T339" s="72"/>
      <c r="U339" s="72"/>
      <c r="V339" s="72"/>
      <c r="W339" s="72"/>
      <c r="X339" s="72"/>
      <c r="Y339" s="72"/>
      <c r="Z339" s="31" t="n">
        <f aca="false">IF(OR(N($J339)&lt;=0,AND(③発注書!$C$5&lt;&gt;"すべて",発注計算!$F335&lt;&gt;③発注書!$C$5)),N(Z338),N(Z338)+1)</f>
        <v>7</v>
      </c>
    </row>
    <row r="340" customFormat="false" ht="16.5" hidden="false" customHeight="true" outlineLevel="0" collapsed="false">
      <c r="B340" s="66" t="n">
        <v>331</v>
      </c>
      <c r="C340" s="66" t="str">
        <f aca="false">IF(発注計算!$C336="","",発注計算!$D336)</f>
        <v/>
      </c>
      <c r="D340" s="66" t="str">
        <f aca="false">IF(発注計算!$C336="","",発注計算!$E336)</f>
        <v/>
      </c>
      <c r="E340" s="67" t="str">
        <f aca="false">IF(発注計算!$C336="","",発注計算!$T336)</f>
        <v/>
      </c>
      <c r="F340" s="67" t="str">
        <f aca="false">IF(ISNUMBER($E340),$E340-N(発注計算!$I336),"")</f>
        <v/>
      </c>
      <c r="G340" s="68" t="str">
        <f aca="false">IF(発注計算!$C336="","",IF(NOT(ISNUMBER($F340)),"データなし",IF($F340&lt;=0,"今日が期限",IF($F340&lt;=N(発注計算!$AG336),"要発注","余裕"))))</f>
        <v/>
      </c>
      <c r="H340" s="67" t="str">
        <f aca="false">IF(OR(発注計算!$C336="",NOT(ISNUMBER(発注計算!$S336)),発注計算!$S336&lt;=0),"",(発注計算!$K336+N($J340)*N(発注計算!$G336))/発注計算!$S336)</f>
        <v/>
      </c>
      <c r="I340" s="69" t="str">
        <f aca="false">IF(発注計算!$C336="","",発注計算!$Y336)</f>
        <v/>
      </c>
      <c r="J340" s="70"/>
      <c r="K340" s="71" t="str">
        <f aca="false">IF($J340="","",N($J340)*N(発注計算!$H336))</f>
        <v/>
      </c>
      <c r="L340" s="72"/>
      <c r="M340" s="72"/>
      <c r="N340" s="72"/>
      <c r="O340" s="72"/>
      <c r="P340" s="72"/>
      <c r="Q340" s="72"/>
      <c r="R340" s="72"/>
      <c r="S340" s="72"/>
      <c r="T340" s="72"/>
      <c r="U340" s="72"/>
      <c r="V340" s="72"/>
      <c r="W340" s="72"/>
      <c r="X340" s="72"/>
      <c r="Y340" s="72"/>
      <c r="Z340" s="31" t="n">
        <f aca="false">IF(OR(N($J340)&lt;=0,AND(③発注書!$C$5&lt;&gt;"すべて",発注計算!$F336&lt;&gt;③発注書!$C$5)),N(Z339),N(Z339)+1)</f>
        <v>7</v>
      </c>
    </row>
    <row r="341" customFormat="false" ht="16.5" hidden="false" customHeight="true" outlineLevel="0" collapsed="false">
      <c r="B341" s="66" t="n">
        <v>332</v>
      </c>
      <c r="C341" s="66" t="str">
        <f aca="false">IF(発注計算!$C337="","",発注計算!$D337)</f>
        <v/>
      </c>
      <c r="D341" s="66" t="str">
        <f aca="false">IF(発注計算!$C337="","",発注計算!$E337)</f>
        <v/>
      </c>
      <c r="E341" s="67" t="str">
        <f aca="false">IF(発注計算!$C337="","",発注計算!$T337)</f>
        <v/>
      </c>
      <c r="F341" s="67" t="str">
        <f aca="false">IF(ISNUMBER($E341),$E341-N(発注計算!$I337),"")</f>
        <v/>
      </c>
      <c r="G341" s="68" t="str">
        <f aca="false">IF(発注計算!$C337="","",IF(NOT(ISNUMBER($F341)),"データなし",IF($F341&lt;=0,"今日が期限",IF($F341&lt;=N(発注計算!$AG337),"要発注","余裕"))))</f>
        <v/>
      </c>
      <c r="H341" s="67" t="str">
        <f aca="false">IF(OR(発注計算!$C337="",NOT(ISNUMBER(発注計算!$S337)),発注計算!$S337&lt;=0),"",(発注計算!$K337+N($J341)*N(発注計算!$G337))/発注計算!$S337)</f>
        <v/>
      </c>
      <c r="I341" s="69" t="str">
        <f aca="false">IF(発注計算!$C337="","",発注計算!$Y337)</f>
        <v/>
      </c>
      <c r="J341" s="70"/>
      <c r="K341" s="71" t="str">
        <f aca="false">IF($J341="","",N($J341)*N(発注計算!$H337))</f>
        <v/>
      </c>
      <c r="L341" s="72"/>
      <c r="M341" s="72"/>
      <c r="N341" s="72"/>
      <c r="O341" s="72"/>
      <c r="P341" s="72"/>
      <c r="Q341" s="72"/>
      <c r="R341" s="72"/>
      <c r="S341" s="72"/>
      <c r="T341" s="72"/>
      <c r="U341" s="72"/>
      <c r="V341" s="72"/>
      <c r="W341" s="72"/>
      <c r="X341" s="72"/>
      <c r="Y341" s="72"/>
      <c r="Z341" s="31" t="n">
        <f aca="false">IF(OR(N($J341)&lt;=0,AND(③発注書!$C$5&lt;&gt;"すべて",発注計算!$F337&lt;&gt;③発注書!$C$5)),N(Z340),N(Z340)+1)</f>
        <v>7</v>
      </c>
    </row>
    <row r="342" customFormat="false" ht="16.5" hidden="false" customHeight="true" outlineLevel="0" collapsed="false">
      <c r="B342" s="66" t="n">
        <v>333</v>
      </c>
      <c r="C342" s="66" t="str">
        <f aca="false">IF(発注計算!$C338="","",発注計算!$D338)</f>
        <v/>
      </c>
      <c r="D342" s="66" t="str">
        <f aca="false">IF(発注計算!$C338="","",発注計算!$E338)</f>
        <v/>
      </c>
      <c r="E342" s="67" t="str">
        <f aca="false">IF(発注計算!$C338="","",発注計算!$T338)</f>
        <v/>
      </c>
      <c r="F342" s="67" t="str">
        <f aca="false">IF(ISNUMBER($E342),$E342-N(発注計算!$I338),"")</f>
        <v/>
      </c>
      <c r="G342" s="68" t="str">
        <f aca="false">IF(発注計算!$C338="","",IF(NOT(ISNUMBER($F342)),"データなし",IF($F342&lt;=0,"今日が期限",IF($F342&lt;=N(発注計算!$AG338),"要発注","余裕"))))</f>
        <v/>
      </c>
      <c r="H342" s="67" t="str">
        <f aca="false">IF(OR(発注計算!$C338="",NOT(ISNUMBER(発注計算!$S338)),発注計算!$S338&lt;=0),"",(発注計算!$K338+N($J342)*N(発注計算!$G338))/発注計算!$S338)</f>
        <v/>
      </c>
      <c r="I342" s="69" t="str">
        <f aca="false">IF(発注計算!$C338="","",発注計算!$Y338)</f>
        <v/>
      </c>
      <c r="J342" s="70"/>
      <c r="K342" s="71" t="str">
        <f aca="false">IF($J342="","",N($J342)*N(発注計算!$H338))</f>
        <v/>
      </c>
      <c r="L342" s="72"/>
      <c r="M342" s="72"/>
      <c r="N342" s="72"/>
      <c r="O342" s="72"/>
      <c r="P342" s="72"/>
      <c r="Q342" s="72"/>
      <c r="R342" s="72"/>
      <c r="S342" s="72"/>
      <c r="T342" s="72"/>
      <c r="U342" s="72"/>
      <c r="V342" s="72"/>
      <c r="W342" s="72"/>
      <c r="X342" s="72"/>
      <c r="Y342" s="72"/>
      <c r="Z342" s="31" t="n">
        <f aca="false">IF(OR(N($J342)&lt;=0,AND(③発注書!$C$5&lt;&gt;"すべて",発注計算!$F338&lt;&gt;③発注書!$C$5)),N(Z341),N(Z341)+1)</f>
        <v>7</v>
      </c>
    </row>
    <row r="343" customFormat="false" ht="16.5" hidden="false" customHeight="true" outlineLevel="0" collapsed="false">
      <c r="B343" s="66" t="n">
        <v>334</v>
      </c>
      <c r="C343" s="66" t="str">
        <f aca="false">IF(発注計算!$C339="","",発注計算!$D339)</f>
        <v/>
      </c>
      <c r="D343" s="66" t="str">
        <f aca="false">IF(発注計算!$C339="","",発注計算!$E339)</f>
        <v/>
      </c>
      <c r="E343" s="67" t="str">
        <f aca="false">IF(発注計算!$C339="","",発注計算!$T339)</f>
        <v/>
      </c>
      <c r="F343" s="67" t="str">
        <f aca="false">IF(ISNUMBER($E343),$E343-N(発注計算!$I339),"")</f>
        <v/>
      </c>
      <c r="G343" s="68" t="str">
        <f aca="false">IF(発注計算!$C339="","",IF(NOT(ISNUMBER($F343)),"データなし",IF($F343&lt;=0,"今日が期限",IF($F343&lt;=N(発注計算!$AG339),"要発注","余裕"))))</f>
        <v/>
      </c>
      <c r="H343" s="67" t="str">
        <f aca="false">IF(OR(発注計算!$C339="",NOT(ISNUMBER(発注計算!$S339)),発注計算!$S339&lt;=0),"",(発注計算!$K339+N($J343)*N(発注計算!$G339))/発注計算!$S339)</f>
        <v/>
      </c>
      <c r="I343" s="69" t="str">
        <f aca="false">IF(発注計算!$C339="","",発注計算!$Y339)</f>
        <v/>
      </c>
      <c r="J343" s="70"/>
      <c r="K343" s="71" t="str">
        <f aca="false">IF($J343="","",N($J343)*N(発注計算!$H339))</f>
        <v/>
      </c>
      <c r="L343" s="72"/>
      <c r="M343" s="72"/>
      <c r="N343" s="72"/>
      <c r="O343" s="72"/>
      <c r="P343" s="72"/>
      <c r="Q343" s="72"/>
      <c r="R343" s="72"/>
      <c r="S343" s="72"/>
      <c r="T343" s="72"/>
      <c r="U343" s="72"/>
      <c r="V343" s="72"/>
      <c r="W343" s="72"/>
      <c r="X343" s="72"/>
      <c r="Y343" s="72"/>
      <c r="Z343" s="31" t="n">
        <f aca="false">IF(OR(N($J343)&lt;=0,AND(③発注書!$C$5&lt;&gt;"すべて",発注計算!$F339&lt;&gt;③発注書!$C$5)),N(Z342),N(Z342)+1)</f>
        <v>7</v>
      </c>
    </row>
    <row r="344" customFormat="false" ht="16.5" hidden="false" customHeight="true" outlineLevel="0" collapsed="false">
      <c r="B344" s="66" t="n">
        <v>335</v>
      </c>
      <c r="C344" s="66" t="str">
        <f aca="false">IF(発注計算!$C340="","",発注計算!$D340)</f>
        <v/>
      </c>
      <c r="D344" s="66" t="str">
        <f aca="false">IF(発注計算!$C340="","",発注計算!$E340)</f>
        <v/>
      </c>
      <c r="E344" s="67" t="str">
        <f aca="false">IF(発注計算!$C340="","",発注計算!$T340)</f>
        <v/>
      </c>
      <c r="F344" s="67" t="str">
        <f aca="false">IF(ISNUMBER($E344),$E344-N(発注計算!$I340),"")</f>
        <v/>
      </c>
      <c r="G344" s="68" t="str">
        <f aca="false">IF(発注計算!$C340="","",IF(NOT(ISNUMBER($F344)),"データなし",IF($F344&lt;=0,"今日が期限",IF($F344&lt;=N(発注計算!$AG340),"要発注","余裕"))))</f>
        <v/>
      </c>
      <c r="H344" s="67" t="str">
        <f aca="false">IF(OR(発注計算!$C340="",NOT(ISNUMBER(発注計算!$S340)),発注計算!$S340&lt;=0),"",(発注計算!$K340+N($J344)*N(発注計算!$G340))/発注計算!$S340)</f>
        <v/>
      </c>
      <c r="I344" s="69" t="str">
        <f aca="false">IF(発注計算!$C340="","",発注計算!$Y340)</f>
        <v/>
      </c>
      <c r="J344" s="70"/>
      <c r="K344" s="71" t="str">
        <f aca="false">IF($J344="","",N($J344)*N(発注計算!$H340))</f>
        <v/>
      </c>
      <c r="L344" s="72"/>
      <c r="M344" s="72"/>
      <c r="N344" s="72"/>
      <c r="O344" s="72"/>
      <c r="P344" s="72"/>
      <c r="Q344" s="72"/>
      <c r="R344" s="72"/>
      <c r="S344" s="72"/>
      <c r="T344" s="72"/>
      <c r="U344" s="72"/>
      <c r="V344" s="72"/>
      <c r="W344" s="72"/>
      <c r="X344" s="72"/>
      <c r="Y344" s="72"/>
      <c r="Z344" s="31" t="n">
        <f aca="false">IF(OR(N($J344)&lt;=0,AND(③発注書!$C$5&lt;&gt;"すべて",発注計算!$F340&lt;&gt;③発注書!$C$5)),N(Z343),N(Z343)+1)</f>
        <v>7</v>
      </c>
    </row>
    <row r="345" customFormat="false" ht="16.5" hidden="false" customHeight="true" outlineLevel="0" collapsed="false">
      <c r="B345" s="66" t="n">
        <v>336</v>
      </c>
      <c r="C345" s="66" t="str">
        <f aca="false">IF(発注計算!$C341="","",発注計算!$D341)</f>
        <v/>
      </c>
      <c r="D345" s="66" t="str">
        <f aca="false">IF(発注計算!$C341="","",発注計算!$E341)</f>
        <v/>
      </c>
      <c r="E345" s="67" t="str">
        <f aca="false">IF(発注計算!$C341="","",発注計算!$T341)</f>
        <v/>
      </c>
      <c r="F345" s="67" t="str">
        <f aca="false">IF(ISNUMBER($E345),$E345-N(発注計算!$I341),"")</f>
        <v/>
      </c>
      <c r="G345" s="68" t="str">
        <f aca="false">IF(発注計算!$C341="","",IF(NOT(ISNUMBER($F345)),"データなし",IF($F345&lt;=0,"今日が期限",IF($F345&lt;=N(発注計算!$AG341),"要発注","余裕"))))</f>
        <v/>
      </c>
      <c r="H345" s="67" t="str">
        <f aca="false">IF(OR(発注計算!$C341="",NOT(ISNUMBER(発注計算!$S341)),発注計算!$S341&lt;=0),"",(発注計算!$K341+N($J345)*N(発注計算!$G341))/発注計算!$S341)</f>
        <v/>
      </c>
      <c r="I345" s="69" t="str">
        <f aca="false">IF(発注計算!$C341="","",発注計算!$Y341)</f>
        <v/>
      </c>
      <c r="J345" s="70"/>
      <c r="K345" s="71" t="str">
        <f aca="false">IF($J345="","",N($J345)*N(発注計算!$H341))</f>
        <v/>
      </c>
      <c r="L345" s="72"/>
      <c r="M345" s="72"/>
      <c r="N345" s="72"/>
      <c r="O345" s="72"/>
      <c r="P345" s="72"/>
      <c r="Q345" s="72"/>
      <c r="R345" s="72"/>
      <c r="S345" s="72"/>
      <c r="T345" s="72"/>
      <c r="U345" s="72"/>
      <c r="V345" s="72"/>
      <c r="W345" s="72"/>
      <c r="X345" s="72"/>
      <c r="Y345" s="72"/>
      <c r="Z345" s="31" t="n">
        <f aca="false">IF(OR(N($J345)&lt;=0,AND(③発注書!$C$5&lt;&gt;"すべて",発注計算!$F341&lt;&gt;③発注書!$C$5)),N(Z344),N(Z344)+1)</f>
        <v>7</v>
      </c>
    </row>
    <row r="346" customFormat="false" ht="16.5" hidden="false" customHeight="true" outlineLevel="0" collapsed="false">
      <c r="B346" s="66" t="n">
        <v>337</v>
      </c>
      <c r="C346" s="66" t="str">
        <f aca="false">IF(発注計算!$C342="","",発注計算!$D342)</f>
        <v/>
      </c>
      <c r="D346" s="66" t="str">
        <f aca="false">IF(発注計算!$C342="","",発注計算!$E342)</f>
        <v/>
      </c>
      <c r="E346" s="67" t="str">
        <f aca="false">IF(発注計算!$C342="","",発注計算!$T342)</f>
        <v/>
      </c>
      <c r="F346" s="67" t="str">
        <f aca="false">IF(ISNUMBER($E346),$E346-N(発注計算!$I342),"")</f>
        <v/>
      </c>
      <c r="G346" s="68" t="str">
        <f aca="false">IF(発注計算!$C342="","",IF(NOT(ISNUMBER($F346)),"データなし",IF($F346&lt;=0,"今日が期限",IF($F346&lt;=N(発注計算!$AG342),"要発注","余裕"))))</f>
        <v/>
      </c>
      <c r="H346" s="67" t="str">
        <f aca="false">IF(OR(発注計算!$C342="",NOT(ISNUMBER(発注計算!$S342)),発注計算!$S342&lt;=0),"",(発注計算!$K342+N($J346)*N(発注計算!$G342))/発注計算!$S342)</f>
        <v/>
      </c>
      <c r="I346" s="69" t="str">
        <f aca="false">IF(発注計算!$C342="","",発注計算!$Y342)</f>
        <v/>
      </c>
      <c r="J346" s="70"/>
      <c r="K346" s="71" t="str">
        <f aca="false">IF($J346="","",N($J346)*N(発注計算!$H342))</f>
        <v/>
      </c>
      <c r="L346" s="72"/>
      <c r="M346" s="72"/>
      <c r="N346" s="72"/>
      <c r="O346" s="72"/>
      <c r="P346" s="72"/>
      <c r="Q346" s="72"/>
      <c r="R346" s="72"/>
      <c r="S346" s="72"/>
      <c r="T346" s="72"/>
      <c r="U346" s="72"/>
      <c r="V346" s="72"/>
      <c r="W346" s="72"/>
      <c r="X346" s="72"/>
      <c r="Y346" s="72"/>
      <c r="Z346" s="31" t="n">
        <f aca="false">IF(OR(N($J346)&lt;=0,AND(③発注書!$C$5&lt;&gt;"すべて",発注計算!$F342&lt;&gt;③発注書!$C$5)),N(Z345),N(Z345)+1)</f>
        <v>7</v>
      </c>
    </row>
    <row r="347" customFormat="false" ht="16.5" hidden="false" customHeight="true" outlineLevel="0" collapsed="false">
      <c r="B347" s="66" t="n">
        <v>338</v>
      </c>
      <c r="C347" s="66" t="str">
        <f aca="false">IF(発注計算!$C343="","",発注計算!$D343)</f>
        <v/>
      </c>
      <c r="D347" s="66" t="str">
        <f aca="false">IF(発注計算!$C343="","",発注計算!$E343)</f>
        <v/>
      </c>
      <c r="E347" s="67" t="str">
        <f aca="false">IF(発注計算!$C343="","",発注計算!$T343)</f>
        <v/>
      </c>
      <c r="F347" s="67" t="str">
        <f aca="false">IF(ISNUMBER($E347),$E347-N(発注計算!$I343),"")</f>
        <v/>
      </c>
      <c r="G347" s="68" t="str">
        <f aca="false">IF(発注計算!$C343="","",IF(NOT(ISNUMBER($F347)),"データなし",IF($F347&lt;=0,"今日が期限",IF($F347&lt;=N(発注計算!$AG343),"要発注","余裕"))))</f>
        <v/>
      </c>
      <c r="H347" s="67" t="str">
        <f aca="false">IF(OR(発注計算!$C343="",NOT(ISNUMBER(発注計算!$S343)),発注計算!$S343&lt;=0),"",(発注計算!$K343+N($J347)*N(発注計算!$G343))/発注計算!$S343)</f>
        <v/>
      </c>
      <c r="I347" s="69" t="str">
        <f aca="false">IF(発注計算!$C343="","",発注計算!$Y343)</f>
        <v/>
      </c>
      <c r="J347" s="70"/>
      <c r="K347" s="71" t="str">
        <f aca="false">IF($J347="","",N($J347)*N(発注計算!$H343))</f>
        <v/>
      </c>
      <c r="L347" s="72"/>
      <c r="M347" s="72"/>
      <c r="N347" s="72"/>
      <c r="O347" s="72"/>
      <c r="P347" s="72"/>
      <c r="Q347" s="72"/>
      <c r="R347" s="72"/>
      <c r="S347" s="72"/>
      <c r="T347" s="72"/>
      <c r="U347" s="72"/>
      <c r="V347" s="72"/>
      <c r="W347" s="72"/>
      <c r="X347" s="72"/>
      <c r="Y347" s="72"/>
      <c r="Z347" s="31" t="n">
        <f aca="false">IF(OR(N($J347)&lt;=0,AND(③発注書!$C$5&lt;&gt;"すべて",発注計算!$F343&lt;&gt;③発注書!$C$5)),N(Z346),N(Z346)+1)</f>
        <v>7</v>
      </c>
    </row>
    <row r="348" customFormat="false" ht="16.5" hidden="false" customHeight="true" outlineLevel="0" collapsed="false">
      <c r="B348" s="66" t="n">
        <v>339</v>
      </c>
      <c r="C348" s="66" t="str">
        <f aca="false">IF(発注計算!$C344="","",発注計算!$D344)</f>
        <v/>
      </c>
      <c r="D348" s="66" t="str">
        <f aca="false">IF(発注計算!$C344="","",発注計算!$E344)</f>
        <v/>
      </c>
      <c r="E348" s="67" t="str">
        <f aca="false">IF(発注計算!$C344="","",発注計算!$T344)</f>
        <v/>
      </c>
      <c r="F348" s="67" t="str">
        <f aca="false">IF(ISNUMBER($E348),$E348-N(発注計算!$I344),"")</f>
        <v/>
      </c>
      <c r="G348" s="68" t="str">
        <f aca="false">IF(発注計算!$C344="","",IF(NOT(ISNUMBER($F348)),"データなし",IF($F348&lt;=0,"今日が期限",IF($F348&lt;=N(発注計算!$AG344),"要発注","余裕"))))</f>
        <v/>
      </c>
      <c r="H348" s="67" t="str">
        <f aca="false">IF(OR(発注計算!$C344="",NOT(ISNUMBER(発注計算!$S344)),発注計算!$S344&lt;=0),"",(発注計算!$K344+N($J348)*N(発注計算!$G344))/発注計算!$S344)</f>
        <v/>
      </c>
      <c r="I348" s="69" t="str">
        <f aca="false">IF(発注計算!$C344="","",発注計算!$Y344)</f>
        <v/>
      </c>
      <c r="J348" s="70"/>
      <c r="K348" s="71" t="str">
        <f aca="false">IF($J348="","",N($J348)*N(発注計算!$H344))</f>
        <v/>
      </c>
      <c r="L348" s="72"/>
      <c r="M348" s="72"/>
      <c r="N348" s="72"/>
      <c r="O348" s="72"/>
      <c r="P348" s="72"/>
      <c r="Q348" s="72"/>
      <c r="R348" s="72"/>
      <c r="S348" s="72"/>
      <c r="T348" s="72"/>
      <c r="U348" s="72"/>
      <c r="V348" s="72"/>
      <c r="W348" s="72"/>
      <c r="X348" s="72"/>
      <c r="Y348" s="72"/>
      <c r="Z348" s="31" t="n">
        <f aca="false">IF(OR(N($J348)&lt;=0,AND(③発注書!$C$5&lt;&gt;"すべて",発注計算!$F344&lt;&gt;③発注書!$C$5)),N(Z347),N(Z347)+1)</f>
        <v>7</v>
      </c>
    </row>
    <row r="349" customFormat="false" ht="16.5" hidden="false" customHeight="true" outlineLevel="0" collapsed="false">
      <c r="B349" s="66" t="n">
        <v>340</v>
      </c>
      <c r="C349" s="66" t="str">
        <f aca="false">IF(発注計算!$C345="","",発注計算!$D345)</f>
        <v/>
      </c>
      <c r="D349" s="66" t="str">
        <f aca="false">IF(発注計算!$C345="","",発注計算!$E345)</f>
        <v/>
      </c>
      <c r="E349" s="67" t="str">
        <f aca="false">IF(発注計算!$C345="","",発注計算!$T345)</f>
        <v/>
      </c>
      <c r="F349" s="67" t="str">
        <f aca="false">IF(ISNUMBER($E349),$E349-N(発注計算!$I345),"")</f>
        <v/>
      </c>
      <c r="G349" s="68" t="str">
        <f aca="false">IF(発注計算!$C345="","",IF(NOT(ISNUMBER($F349)),"データなし",IF($F349&lt;=0,"今日が期限",IF($F349&lt;=N(発注計算!$AG345),"要発注","余裕"))))</f>
        <v/>
      </c>
      <c r="H349" s="67" t="str">
        <f aca="false">IF(OR(発注計算!$C345="",NOT(ISNUMBER(発注計算!$S345)),発注計算!$S345&lt;=0),"",(発注計算!$K345+N($J349)*N(発注計算!$G345))/発注計算!$S345)</f>
        <v/>
      </c>
      <c r="I349" s="69" t="str">
        <f aca="false">IF(発注計算!$C345="","",発注計算!$Y345)</f>
        <v/>
      </c>
      <c r="J349" s="70"/>
      <c r="K349" s="71" t="str">
        <f aca="false">IF($J349="","",N($J349)*N(発注計算!$H345))</f>
        <v/>
      </c>
      <c r="L349" s="72"/>
      <c r="M349" s="72"/>
      <c r="N349" s="72"/>
      <c r="O349" s="72"/>
      <c r="P349" s="72"/>
      <c r="Q349" s="72"/>
      <c r="R349" s="72"/>
      <c r="S349" s="72"/>
      <c r="T349" s="72"/>
      <c r="U349" s="72"/>
      <c r="V349" s="72"/>
      <c r="W349" s="72"/>
      <c r="X349" s="72"/>
      <c r="Y349" s="72"/>
      <c r="Z349" s="31" t="n">
        <f aca="false">IF(OR(N($J349)&lt;=0,AND(③発注書!$C$5&lt;&gt;"すべて",発注計算!$F345&lt;&gt;③発注書!$C$5)),N(Z348),N(Z348)+1)</f>
        <v>7</v>
      </c>
    </row>
    <row r="350" customFormat="false" ht="16.5" hidden="false" customHeight="true" outlineLevel="0" collapsed="false">
      <c r="B350" s="66" t="n">
        <v>341</v>
      </c>
      <c r="C350" s="66" t="str">
        <f aca="false">IF(発注計算!$C346="","",発注計算!$D346)</f>
        <v/>
      </c>
      <c r="D350" s="66" t="str">
        <f aca="false">IF(発注計算!$C346="","",発注計算!$E346)</f>
        <v/>
      </c>
      <c r="E350" s="67" t="str">
        <f aca="false">IF(発注計算!$C346="","",発注計算!$T346)</f>
        <v/>
      </c>
      <c r="F350" s="67" t="str">
        <f aca="false">IF(ISNUMBER($E350),$E350-N(発注計算!$I346),"")</f>
        <v/>
      </c>
      <c r="G350" s="68" t="str">
        <f aca="false">IF(発注計算!$C346="","",IF(NOT(ISNUMBER($F350)),"データなし",IF($F350&lt;=0,"今日が期限",IF($F350&lt;=N(発注計算!$AG346),"要発注","余裕"))))</f>
        <v/>
      </c>
      <c r="H350" s="67" t="str">
        <f aca="false">IF(OR(発注計算!$C346="",NOT(ISNUMBER(発注計算!$S346)),発注計算!$S346&lt;=0),"",(発注計算!$K346+N($J350)*N(発注計算!$G346))/発注計算!$S346)</f>
        <v/>
      </c>
      <c r="I350" s="69" t="str">
        <f aca="false">IF(発注計算!$C346="","",発注計算!$Y346)</f>
        <v/>
      </c>
      <c r="J350" s="70"/>
      <c r="K350" s="71" t="str">
        <f aca="false">IF($J350="","",N($J350)*N(発注計算!$H346))</f>
        <v/>
      </c>
      <c r="L350" s="72"/>
      <c r="M350" s="72"/>
      <c r="N350" s="72"/>
      <c r="O350" s="72"/>
      <c r="P350" s="72"/>
      <c r="Q350" s="72"/>
      <c r="R350" s="72"/>
      <c r="S350" s="72"/>
      <c r="T350" s="72"/>
      <c r="U350" s="72"/>
      <c r="V350" s="72"/>
      <c r="W350" s="72"/>
      <c r="X350" s="72"/>
      <c r="Y350" s="72"/>
      <c r="Z350" s="31" t="n">
        <f aca="false">IF(OR(N($J350)&lt;=0,AND(③発注書!$C$5&lt;&gt;"すべて",発注計算!$F346&lt;&gt;③発注書!$C$5)),N(Z349),N(Z349)+1)</f>
        <v>7</v>
      </c>
    </row>
    <row r="351" customFormat="false" ht="16.5" hidden="false" customHeight="true" outlineLevel="0" collapsed="false">
      <c r="B351" s="66" t="n">
        <v>342</v>
      </c>
      <c r="C351" s="66" t="str">
        <f aca="false">IF(発注計算!$C347="","",発注計算!$D347)</f>
        <v/>
      </c>
      <c r="D351" s="66" t="str">
        <f aca="false">IF(発注計算!$C347="","",発注計算!$E347)</f>
        <v/>
      </c>
      <c r="E351" s="67" t="str">
        <f aca="false">IF(発注計算!$C347="","",発注計算!$T347)</f>
        <v/>
      </c>
      <c r="F351" s="67" t="str">
        <f aca="false">IF(ISNUMBER($E351),$E351-N(発注計算!$I347),"")</f>
        <v/>
      </c>
      <c r="G351" s="68" t="str">
        <f aca="false">IF(発注計算!$C347="","",IF(NOT(ISNUMBER($F351)),"データなし",IF($F351&lt;=0,"今日が期限",IF($F351&lt;=N(発注計算!$AG347),"要発注","余裕"))))</f>
        <v/>
      </c>
      <c r="H351" s="67" t="str">
        <f aca="false">IF(OR(発注計算!$C347="",NOT(ISNUMBER(発注計算!$S347)),発注計算!$S347&lt;=0),"",(発注計算!$K347+N($J351)*N(発注計算!$G347))/発注計算!$S347)</f>
        <v/>
      </c>
      <c r="I351" s="69" t="str">
        <f aca="false">IF(発注計算!$C347="","",発注計算!$Y347)</f>
        <v/>
      </c>
      <c r="J351" s="70"/>
      <c r="K351" s="71" t="str">
        <f aca="false">IF($J351="","",N($J351)*N(発注計算!$H347))</f>
        <v/>
      </c>
      <c r="L351" s="72"/>
      <c r="M351" s="72"/>
      <c r="N351" s="72"/>
      <c r="O351" s="72"/>
      <c r="P351" s="72"/>
      <c r="Q351" s="72"/>
      <c r="R351" s="72"/>
      <c r="S351" s="72"/>
      <c r="T351" s="72"/>
      <c r="U351" s="72"/>
      <c r="V351" s="72"/>
      <c r="W351" s="72"/>
      <c r="X351" s="72"/>
      <c r="Y351" s="72"/>
      <c r="Z351" s="31" t="n">
        <f aca="false">IF(OR(N($J351)&lt;=0,AND(③発注書!$C$5&lt;&gt;"すべて",発注計算!$F347&lt;&gt;③発注書!$C$5)),N(Z350),N(Z350)+1)</f>
        <v>7</v>
      </c>
    </row>
    <row r="352" customFormat="false" ht="16.5" hidden="false" customHeight="true" outlineLevel="0" collapsed="false">
      <c r="B352" s="66" t="n">
        <v>343</v>
      </c>
      <c r="C352" s="66" t="str">
        <f aca="false">IF(発注計算!$C348="","",発注計算!$D348)</f>
        <v/>
      </c>
      <c r="D352" s="66" t="str">
        <f aca="false">IF(発注計算!$C348="","",発注計算!$E348)</f>
        <v/>
      </c>
      <c r="E352" s="67" t="str">
        <f aca="false">IF(発注計算!$C348="","",発注計算!$T348)</f>
        <v/>
      </c>
      <c r="F352" s="67" t="str">
        <f aca="false">IF(ISNUMBER($E352),$E352-N(発注計算!$I348),"")</f>
        <v/>
      </c>
      <c r="G352" s="68" t="str">
        <f aca="false">IF(発注計算!$C348="","",IF(NOT(ISNUMBER($F352)),"データなし",IF($F352&lt;=0,"今日が期限",IF($F352&lt;=N(発注計算!$AG348),"要発注","余裕"))))</f>
        <v/>
      </c>
      <c r="H352" s="67" t="str">
        <f aca="false">IF(OR(発注計算!$C348="",NOT(ISNUMBER(発注計算!$S348)),発注計算!$S348&lt;=0),"",(発注計算!$K348+N($J352)*N(発注計算!$G348))/発注計算!$S348)</f>
        <v/>
      </c>
      <c r="I352" s="69" t="str">
        <f aca="false">IF(発注計算!$C348="","",発注計算!$Y348)</f>
        <v/>
      </c>
      <c r="J352" s="70"/>
      <c r="K352" s="71" t="str">
        <f aca="false">IF($J352="","",N($J352)*N(発注計算!$H348))</f>
        <v/>
      </c>
      <c r="L352" s="72"/>
      <c r="M352" s="72"/>
      <c r="N352" s="72"/>
      <c r="O352" s="72"/>
      <c r="P352" s="72"/>
      <c r="Q352" s="72"/>
      <c r="R352" s="72"/>
      <c r="S352" s="72"/>
      <c r="T352" s="72"/>
      <c r="U352" s="72"/>
      <c r="V352" s="72"/>
      <c r="W352" s="72"/>
      <c r="X352" s="72"/>
      <c r="Y352" s="72"/>
      <c r="Z352" s="31" t="n">
        <f aca="false">IF(OR(N($J352)&lt;=0,AND(③発注書!$C$5&lt;&gt;"すべて",発注計算!$F348&lt;&gt;③発注書!$C$5)),N(Z351),N(Z351)+1)</f>
        <v>7</v>
      </c>
    </row>
    <row r="353" customFormat="false" ht="16.5" hidden="false" customHeight="true" outlineLevel="0" collapsed="false">
      <c r="B353" s="66" t="n">
        <v>344</v>
      </c>
      <c r="C353" s="66" t="str">
        <f aca="false">IF(発注計算!$C349="","",発注計算!$D349)</f>
        <v/>
      </c>
      <c r="D353" s="66" t="str">
        <f aca="false">IF(発注計算!$C349="","",発注計算!$E349)</f>
        <v/>
      </c>
      <c r="E353" s="67" t="str">
        <f aca="false">IF(発注計算!$C349="","",発注計算!$T349)</f>
        <v/>
      </c>
      <c r="F353" s="67" t="str">
        <f aca="false">IF(ISNUMBER($E353),$E353-N(発注計算!$I349),"")</f>
        <v/>
      </c>
      <c r="G353" s="68" t="str">
        <f aca="false">IF(発注計算!$C349="","",IF(NOT(ISNUMBER($F353)),"データなし",IF($F353&lt;=0,"今日が期限",IF($F353&lt;=N(発注計算!$AG349),"要発注","余裕"))))</f>
        <v/>
      </c>
      <c r="H353" s="67" t="str">
        <f aca="false">IF(OR(発注計算!$C349="",NOT(ISNUMBER(発注計算!$S349)),発注計算!$S349&lt;=0),"",(発注計算!$K349+N($J353)*N(発注計算!$G349))/発注計算!$S349)</f>
        <v/>
      </c>
      <c r="I353" s="69" t="str">
        <f aca="false">IF(発注計算!$C349="","",発注計算!$Y349)</f>
        <v/>
      </c>
      <c r="J353" s="70"/>
      <c r="K353" s="71" t="str">
        <f aca="false">IF($J353="","",N($J353)*N(発注計算!$H349))</f>
        <v/>
      </c>
      <c r="L353" s="72"/>
      <c r="M353" s="72"/>
      <c r="N353" s="72"/>
      <c r="O353" s="72"/>
      <c r="P353" s="72"/>
      <c r="Q353" s="72"/>
      <c r="R353" s="72"/>
      <c r="S353" s="72"/>
      <c r="T353" s="72"/>
      <c r="U353" s="72"/>
      <c r="V353" s="72"/>
      <c r="W353" s="72"/>
      <c r="X353" s="72"/>
      <c r="Y353" s="72"/>
      <c r="Z353" s="31" t="n">
        <f aca="false">IF(OR(N($J353)&lt;=0,AND(③発注書!$C$5&lt;&gt;"すべて",発注計算!$F349&lt;&gt;③発注書!$C$5)),N(Z352),N(Z352)+1)</f>
        <v>7</v>
      </c>
    </row>
    <row r="354" customFormat="false" ht="16.5" hidden="false" customHeight="true" outlineLevel="0" collapsed="false">
      <c r="B354" s="66" t="n">
        <v>345</v>
      </c>
      <c r="C354" s="66" t="str">
        <f aca="false">IF(発注計算!$C350="","",発注計算!$D350)</f>
        <v/>
      </c>
      <c r="D354" s="66" t="str">
        <f aca="false">IF(発注計算!$C350="","",発注計算!$E350)</f>
        <v/>
      </c>
      <c r="E354" s="67" t="str">
        <f aca="false">IF(発注計算!$C350="","",発注計算!$T350)</f>
        <v/>
      </c>
      <c r="F354" s="67" t="str">
        <f aca="false">IF(ISNUMBER($E354),$E354-N(発注計算!$I350),"")</f>
        <v/>
      </c>
      <c r="G354" s="68" t="str">
        <f aca="false">IF(発注計算!$C350="","",IF(NOT(ISNUMBER($F354)),"データなし",IF($F354&lt;=0,"今日が期限",IF($F354&lt;=N(発注計算!$AG350),"要発注","余裕"))))</f>
        <v/>
      </c>
      <c r="H354" s="67" t="str">
        <f aca="false">IF(OR(発注計算!$C350="",NOT(ISNUMBER(発注計算!$S350)),発注計算!$S350&lt;=0),"",(発注計算!$K350+N($J354)*N(発注計算!$G350))/発注計算!$S350)</f>
        <v/>
      </c>
      <c r="I354" s="69" t="str">
        <f aca="false">IF(発注計算!$C350="","",発注計算!$Y350)</f>
        <v/>
      </c>
      <c r="J354" s="70"/>
      <c r="K354" s="71" t="str">
        <f aca="false">IF($J354="","",N($J354)*N(発注計算!$H350))</f>
        <v/>
      </c>
      <c r="L354" s="72"/>
      <c r="M354" s="72"/>
      <c r="N354" s="72"/>
      <c r="O354" s="72"/>
      <c r="P354" s="72"/>
      <c r="Q354" s="72"/>
      <c r="R354" s="72"/>
      <c r="S354" s="72"/>
      <c r="T354" s="72"/>
      <c r="U354" s="72"/>
      <c r="V354" s="72"/>
      <c r="W354" s="72"/>
      <c r="X354" s="72"/>
      <c r="Y354" s="72"/>
      <c r="Z354" s="31" t="n">
        <f aca="false">IF(OR(N($J354)&lt;=0,AND(③発注書!$C$5&lt;&gt;"すべて",発注計算!$F350&lt;&gt;③発注書!$C$5)),N(Z353),N(Z353)+1)</f>
        <v>7</v>
      </c>
    </row>
    <row r="355" customFormat="false" ht="16.5" hidden="false" customHeight="true" outlineLevel="0" collapsed="false">
      <c r="B355" s="66" t="n">
        <v>346</v>
      </c>
      <c r="C355" s="66" t="str">
        <f aca="false">IF(発注計算!$C351="","",発注計算!$D351)</f>
        <v/>
      </c>
      <c r="D355" s="66" t="str">
        <f aca="false">IF(発注計算!$C351="","",発注計算!$E351)</f>
        <v/>
      </c>
      <c r="E355" s="67" t="str">
        <f aca="false">IF(発注計算!$C351="","",発注計算!$T351)</f>
        <v/>
      </c>
      <c r="F355" s="67" t="str">
        <f aca="false">IF(ISNUMBER($E355),$E355-N(発注計算!$I351),"")</f>
        <v/>
      </c>
      <c r="G355" s="68" t="str">
        <f aca="false">IF(発注計算!$C351="","",IF(NOT(ISNUMBER($F355)),"データなし",IF($F355&lt;=0,"今日が期限",IF($F355&lt;=N(発注計算!$AG351),"要発注","余裕"))))</f>
        <v/>
      </c>
      <c r="H355" s="67" t="str">
        <f aca="false">IF(OR(発注計算!$C351="",NOT(ISNUMBER(発注計算!$S351)),発注計算!$S351&lt;=0),"",(発注計算!$K351+N($J355)*N(発注計算!$G351))/発注計算!$S351)</f>
        <v/>
      </c>
      <c r="I355" s="69" t="str">
        <f aca="false">IF(発注計算!$C351="","",発注計算!$Y351)</f>
        <v/>
      </c>
      <c r="J355" s="70"/>
      <c r="K355" s="71" t="str">
        <f aca="false">IF($J355="","",N($J355)*N(発注計算!$H351))</f>
        <v/>
      </c>
      <c r="L355" s="72"/>
      <c r="M355" s="72"/>
      <c r="N355" s="72"/>
      <c r="O355" s="72"/>
      <c r="P355" s="72"/>
      <c r="Q355" s="72"/>
      <c r="R355" s="72"/>
      <c r="S355" s="72"/>
      <c r="T355" s="72"/>
      <c r="U355" s="72"/>
      <c r="V355" s="72"/>
      <c r="W355" s="72"/>
      <c r="X355" s="72"/>
      <c r="Y355" s="72"/>
      <c r="Z355" s="31" t="n">
        <f aca="false">IF(OR(N($J355)&lt;=0,AND(③発注書!$C$5&lt;&gt;"すべて",発注計算!$F351&lt;&gt;③発注書!$C$5)),N(Z354),N(Z354)+1)</f>
        <v>7</v>
      </c>
    </row>
    <row r="356" customFormat="false" ht="16.5" hidden="false" customHeight="true" outlineLevel="0" collapsed="false">
      <c r="B356" s="66" t="n">
        <v>347</v>
      </c>
      <c r="C356" s="66" t="str">
        <f aca="false">IF(発注計算!$C352="","",発注計算!$D352)</f>
        <v/>
      </c>
      <c r="D356" s="66" t="str">
        <f aca="false">IF(発注計算!$C352="","",発注計算!$E352)</f>
        <v/>
      </c>
      <c r="E356" s="67" t="str">
        <f aca="false">IF(発注計算!$C352="","",発注計算!$T352)</f>
        <v/>
      </c>
      <c r="F356" s="67" t="str">
        <f aca="false">IF(ISNUMBER($E356),$E356-N(発注計算!$I352),"")</f>
        <v/>
      </c>
      <c r="G356" s="68" t="str">
        <f aca="false">IF(発注計算!$C352="","",IF(NOT(ISNUMBER($F356)),"データなし",IF($F356&lt;=0,"今日が期限",IF($F356&lt;=N(発注計算!$AG352),"要発注","余裕"))))</f>
        <v/>
      </c>
      <c r="H356" s="67" t="str">
        <f aca="false">IF(OR(発注計算!$C352="",NOT(ISNUMBER(発注計算!$S352)),発注計算!$S352&lt;=0),"",(発注計算!$K352+N($J356)*N(発注計算!$G352))/発注計算!$S352)</f>
        <v/>
      </c>
      <c r="I356" s="69" t="str">
        <f aca="false">IF(発注計算!$C352="","",発注計算!$Y352)</f>
        <v/>
      </c>
      <c r="J356" s="70"/>
      <c r="K356" s="71" t="str">
        <f aca="false">IF($J356="","",N($J356)*N(発注計算!$H352))</f>
        <v/>
      </c>
      <c r="L356" s="72"/>
      <c r="M356" s="72"/>
      <c r="N356" s="72"/>
      <c r="O356" s="72"/>
      <c r="P356" s="72"/>
      <c r="Q356" s="72"/>
      <c r="R356" s="72"/>
      <c r="S356" s="72"/>
      <c r="T356" s="72"/>
      <c r="U356" s="72"/>
      <c r="V356" s="72"/>
      <c r="W356" s="72"/>
      <c r="X356" s="72"/>
      <c r="Y356" s="72"/>
      <c r="Z356" s="31" t="n">
        <f aca="false">IF(OR(N($J356)&lt;=0,AND(③発注書!$C$5&lt;&gt;"すべて",発注計算!$F352&lt;&gt;③発注書!$C$5)),N(Z355),N(Z355)+1)</f>
        <v>7</v>
      </c>
    </row>
    <row r="357" customFormat="false" ht="16.5" hidden="false" customHeight="true" outlineLevel="0" collapsed="false">
      <c r="B357" s="66" t="n">
        <v>348</v>
      </c>
      <c r="C357" s="66" t="str">
        <f aca="false">IF(発注計算!$C353="","",発注計算!$D353)</f>
        <v/>
      </c>
      <c r="D357" s="66" t="str">
        <f aca="false">IF(発注計算!$C353="","",発注計算!$E353)</f>
        <v/>
      </c>
      <c r="E357" s="67" t="str">
        <f aca="false">IF(発注計算!$C353="","",発注計算!$T353)</f>
        <v/>
      </c>
      <c r="F357" s="67" t="str">
        <f aca="false">IF(ISNUMBER($E357),$E357-N(発注計算!$I353),"")</f>
        <v/>
      </c>
      <c r="G357" s="68" t="str">
        <f aca="false">IF(発注計算!$C353="","",IF(NOT(ISNUMBER($F357)),"データなし",IF($F357&lt;=0,"今日が期限",IF($F357&lt;=N(発注計算!$AG353),"要発注","余裕"))))</f>
        <v/>
      </c>
      <c r="H357" s="67" t="str">
        <f aca="false">IF(OR(発注計算!$C353="",NOT(ISNUMBER(発注計算!$S353)),発注計算!$S353&lt;=0),"",(発注計算!$K353+N($J357)*N(発注計算!$G353))/発注計算!$S353)</f>
        <v/>
      </c>
      <c r="I357" s="69" t="str">
        <f aca="false">IF(発注計算!$C353="","",発注計算!$Y353)</f>
        <v/>
      </c>
      <c r="J357" s="70"/>
      <c r="K357" s="71" t="str">
        <f aca="false">IF($J357="","",N($J357)*N(発注計算!$H353))</f>
        <v/>
      </c>
      <c r="L357" s="72"/>
      <c r="M357" s="72"/>
      <c r="N357" s="72"/>
      <c r="O357" s="72"/>
      <c r="P357" s="72"/>
      <c r="Q357" s="72"/>
      <c r="R357" s="72"/>
      <c r="S357" s="72"/>
      <c r="T357" s="72"/>
      <c r="U357" s="72"/>
      <c r="V357" s="72"/>
      <c r="W357" s="72"/>
      <c r="X357" s="72"/>
      <c r="Y357" s="72"/>
      <c r="Z357" s="31" t="n">
        <f aca="false">IF(OR(N($J357)&lt;=0,AND(③発注書!$C$5&lt;&gt;"すべて",発注計算!$F353&lt;&gt;③発注書!$C$5)),N(Z356),N(Z356)+1)</f>
        <v>7</v>
      </c>
    </row>
    <row r="358" customFormat="false" ht="16.5" hidden="false" customHeight="true" outlineLevel="0" collapsed="false">
      <c r="B358" s="66" t="n">
        <v>349</v>
      </c>
      <c r="C358" s="66" t="str">
        <f aca="false">IF(発注計算!$C354="","",発注計算!$D354)</f>
        <v/>
      </c>
      <c r="D358" s="66" t="str">
        <f aca="false">IF(発注計算!$C354="","",発注計算!$E354)</f>
        <v/>
      </c>
      <c r="E358" s="67" t="str">
        <f aca="false">IF(発注計算!$C354="","",発注計算!$T354)</f>
        <v/>
      </c>
      <c r="F358" s="67" t="str">
        <f aca="false">IF(ISNUMBER($E358),$E358-N(発注計算!$I354),"")</f>
        <v/>
      </c>
      <c r="G358" s="68" t="str">
        <f aca="false">IF(発注計算!$C354="","",IF(NOT(ISNUMBER($F358)),"データなし",IF($F358&lt;=0,"今日が期限",IF($F358&lt;=N(発注計算!$AG354),"要発注","余裕"))))</f>
        <v/>
      </c>
      <c r="H358" s="67" t="str">
        <f aca="false">IF(OR(発注計算!$C354="",NOT(ISNUMBER(発注計算!$S354)),発注計算!$S354&lt;=0),"",(発注計算!$K354+N($J358)*N(発注計算!$G354))/発注計算!$S354)</f>
        <v/>
      </c>
      <c r="I358" s="69" t="str">
        <f aca="false">IF(発注計算!$C354="","",発注計算!$Y354)</f>
        <v/>
      </c>
      <c r="J358" s="70"/>
      <c r="K358" s="71" t="str">
        <f aca="false">IF($J358="","",N($J358)*N(発注計算!$H354))</f>
        <v/>
      </c>
      <c r="L358" s="72"/>
      <c r="M358" s="72"/>
      <c r="N358" s="72"/>
      <c r="O358" s="72"/>
      <c r="P358" s="72"/>
      <c r="Q358" s="72"/>
      <c r="R358" s="72"/>
      <c r="S358" s="72"/>
      <c r="T358" s="72"/>
      <c r="U358" s="72"/>
      <c r="V358" s="72"/>
      <c r="W358" s="72"/>
      <c r="X358" s="72"/>
      <c r="Y358" s="72"/>
      <c r="Z358" s="31" t="n">
        <f aca="false">IF(OR(N($J358)&lt;=0,AND(③発注書!$C$5&lt;&gt;"すべて",発注計算!$F354&lt;&gt;③発注書!$C$5)),N(Z357),N(Z357)+1)</f>
        <v>7</v>
      </c>
    </row>
    <row r="359" customFormat="false" ht="16.5" hidden="false" customHeight="true" outlineLevel="0" collapsed="false">
      <c r="B359" s="66" t="n">
        <v>350</v>
      </c>
      <c r="C359" s="66" t="str">
        <f aca="false">IF(発注計算!$C355="","",発注計算!$D355)</f>
        <v/>
      </c>
      <c r="D359" s="66" t="str">
        <f aca="false">IF(発注計算!$C355="","",発注計算!$E355)</f>
        <v/>
      </c>
      <c r="E359" s="67" t="str">
        <f aca="false">IF(発注計算!$C355="","",発注計算!$T355)</f>
        <v/>
      </c>
      <c r="F359" s="67" t="str">
        <f aca="false">IF(ISNUMBER($E359),$E359-N(発注計算!$I355),"")</f>
        <v/>
      </c>
      <c r="G359" s="68" t="str">
        <f aca="false">IF(発注計算!$C355="","",IF(NOT(ISNUMBER($F359)),"データなし",IF($F359&lt;=0,"今日が期限",IF($F359&lt;=N(発注計算!$AG355),"要発注","余裕"))))</f>
        <v/>
      </c>
      <c r="H359" s="67" t="str">
        <f aca="false">IF(OR(発注計算!$C355="",NOT(ISNUMBER(発注計算!$S355)),発注計算!$S355&lt;=0),"",(発注計算!$K355+N($J359)*N(発注計算!$G355))/発注計算!$S355)</f>
        <v/>
      </c>
      <c r="I359" s="69" t="str">
        <f aca="false">IF(発注計算!$C355="","",発注計算!$Y355)</f>
        <v/>
      </c>
      <c r="J359" s="70"/>
      <c r="K359" s="71" t="str">
        <f aca="false">IF($J359="","",N($J359)*N(発注計算!$H355))</f>
        <v/>
      </c>
      <c r="L359" s="72"/>
      <c r="M359" s="72"/>
      <c r="N359" s="72"/>
      <c r="O359" s="72"/>
      <c r="P359" s="72"/>
      <c r="Q359" s="72"/>
      <c r="R359" s="72"/>
      <c r="S359" s="72"/>
      <c r="T359" s="72"/>
      <c r="U359" s="72"/>
      <c r="V359" s="72"/>
      <c r="W359" s="72"/>
      <c r="X359" s="72"/>
      <c r="Y359" s="72"/>
      <c r="Z359" s="31" t="n">
        <f aca="false">IF(OR(N($J359)&lt;=0,AND(③発注書!$C$5&lt;&gt;"すべて",発注計算!$F355&lt;&gt;③発注書!$C$5)),N(Z358),N(Z358)+1)</f>
        <v>7</v>
      </c>
    </row>
    <row r="360" customFormat="false" ht="16.5" hidden="false" customHeight="true" outlineLevel="0" collapsed="false">
      <c r="B360" s="66" t="n">
        <v>351</v>
      </c>
      <c r="C360" s="66" t="str">
        <f aca="false">IF(発注計算!$C356="","",発注計算!$D356)</f>
        <v/>
      </c>
      <c r="D360" s="66" t="str">
        <f aca="false">IF(発注計算!$C356="","",発注計算!$E356)</f>
        <v/>
      </c>
      <c r="E360" s="67" t="str">
        <f aca="false">IF(発注計算!$C356="","",発注計算!$T356)</f>
        <v/>
      </c>
      <c r="F360" s="67" t="str">
        <f aca="false">IF(ISNUMBER($E360),$E360-N(発注計算!$I356),"")</f>
        <v/>
      </c>
      <c r="G360" s="68" t="str">
        <f aca="false">IF(発注計算!$C356="","",IF(NOT(ISNUMBER($F360)),"データなし",IF($F360&lt;=0,"今日が期限",IF($F360&lt;=N(発注計算!$AG356),"要発注","余裕"))))</f>
        <v/>
      </c>
      <c r="H360" s="67" t="str">
        <f aca="false">IF(OR(発注計算!$C356="",NOT(ISNUMBER(発注計算!$S356)),発注計算!$S356&lt;=0),"",(発注計算!$K356+N($J360)*N(発注計算!$G356))/発注計算!$S356)</f>
        <v/>
      </c>
      <c r="I360" s="69" t="str">
        <f aca="false">IF(発注計算!$C356="","",発注計算!$Y356)</f>
        <v/>
      </c>
      <c r="J360" s="70"/>
      <c r="K360" s="71" t="str">
        <f aca="false">IF($J360="","",N($J360)*N(発注計算!$H356))</f>
        <v/>
      </c>
      <c r="L360" s="72"/>
      <c r="M360" s="72"/>
      <c r="N360" s="72"/>
      <c r="O360" s="72"/>
      <c r="P360" s="72"/>
      <c r="Q360" s="72"/>
      <c r="R360" s="72"/>
      <c r="S360" s="72"/>
      <c r="T360" s="72"/>
      <c r="U360" s="72"/>
      <c r="V360" s="72"/>
      <c r="W360" s="72"/>
      <c r="X360" s="72"/>
      <c r="Y360" s="72"/>
      <c r="Z360" s="31" t="n">
        <f aca="false">IF(OR(N($J360)&lt;=0,AND(③発注書!$C$5&lt;&gt;"すべて",発注計算!$F356&lt;&gt;③発注書!$C$5)),N(Z359),N(Z359)+1)</f>
        <v>7</v>
      </c>
    </row>
    <row r="361" customFormat="false" ht="16.5" hidden="false" customHeight="true" outlineLevel="0" collapsed="false">
      <c r="B361" s="66" t="n">
        <v>352</v>
      </c>
      <c r="C361" s="66" t="str">
        <f aca="false">IF(発注計算!$C357="","",発注計算!$D357)</f>
        <v/>
      </c>
      <c r="D361" s="66" t="str">
        <f aca="false">IF(発注計算!$C357="","",発注計算!$E357)</f>
        <v/>
      </c>
      <c r="E361" s="67" t="str">
        <f aca="false">IF(発注計算!$C357="","",発注計算!$T357)</f>
        <v/>
      </c>
      <c r="F361" s="67" t="str">
        <f aca="false">IF(ISNUMBER($E361),$E361-N(発注計算!$I357),"")</f>
        <v/>
      </c>
      <c r="G361" s="68" t="str">
        <f aca="false">IF(発注計算!$C357="","",IF(NOT(ISNUMBER($F361)),"データなし",IF($F361&lt;=0,"今日が期限",IF($F361&lt;=N(発注計算!$AG357),"要発注","余裕"))))</f>
        <v/>
      </c>
      <c r="H361" s="67" t="str">
        <f aca="false">IF(OR(発注計算!$C357="",NOT(ISNUMBER(発注計算!$S357)),発注計算!$S357&lt;=0),"",(発注計算!$K357+N($J361)*N(発注計算!$G357))/発注計算!$S357)</f>
        <v/>
      </c>
      <c r="I361" s="69" t="str">
        <f aca="false">IF(発注計算!$C357="","",発注計算!$Y357)</f>
        <v/>
      </c>
      <c r="J361" s="70"/>
      <c r="K361" s="71" t="str">
        <f aca="false">IF($J361="","",N($J361)*N(発注計算!$H357))</f>
        <v/>
      </c>
      <c r="L361" s="72"/>
      <c r="M361" s="72"/>
      <c r="N361" s="72"/>
      <c r="O361" s="72"/>
      <c r="P361" s="72"/>
      <c r="Q361" s="72"/>
      <c r="R361" s="72"/>
      <c r="S361" s="72"/>
      <c r="T361" s="72"/>
      <c r="U361" s="72"/>
      <c r="V361" s="72"/>
      <c r="W361" s="72"/>
      <c r="X361" s="72"/>
      <c r="Y361" s="72"/>
      <c r="Z361" s="31" t="n">
        <f aca="false">IF(OR(N($J361)&lt;=0,AND(③発注書!$C$5&lt;&gt;"すべて",発注計算!$F357&lt;&gt;③発注書!$C$5)),N(Z360),N(Z360)+1)</f>
        <v>7</v>
      </c>
    </row>
    <row r="362" customFormat="false" ht="16.5" hidden="false" customHeight="true" outlineLevel="0" collapsed="false">
      <c r="B362" s="66" t="n">
        <v>353</v>
      </c>
      <c r="C362" s="66" t="str">
        <f aca="false">IF(発注計算!$C358="","",発注計算!$D358)</f>
        <v/>
      </c>
      <c r="D362" s="66" t="str">
        <f aca="false">IF(発注計算!$C358="","",発注計算!$E358)</f>
        <v/>
      </c>
      <c r="E362" s="67" t="str">
        <f aca="false">IF(発注計算!$C358="","",発注計算!$T358)</f>
        <v/>
      </c>
      <c r="F362" s="67" t="str">
        <f aca="false">IF(ISNUMBER($E362),$E362-N(発注計算!$I358),"")</f>
        <v/>
      </c>
      <c r="G362" s="68" t="str">
        <f aca="false">IF(発注計算!$C358="","",IF(NOT(ISNUMBER($F362)),"データなし",IF($F362&lt;=0,"今日が期限",IF($F362&lt;=N(発注計算!$AG358),"要発注","余裕"))))</f>
        <v/>
      </c>
      <c r="H362" s="67" t="str">
        <f aca="false">IF(OR(発注計算!$C358="",NOT(ISNUMBER(発注計算!$S358)),発注計算!$S358&lt;=0),"",(発注計算!$K358+N($J362)*N(発注計算!$G358))/発注計算!$S358)</f>
        <v/>
      </c>
      <c r="I362" s="69" t="str">
        <f aca="false">IF(発注計算!$C358="","",発注計算!$Y358)</f>
        <v/>
      </c>
      <c r="J362" s="70"/>
      <c r="K362" s="71" t="str">
        <f aca="false">IF($J362="","",N($J362)*N(発注計算!$H358))</f>
        <v/>
      </c>
      <c r="L362" s="72"/>
      <c r="M362" s="72"/>
      <c r="N362" s="72"/>
      <c r="O362" s="72"/>
      <c r="P362" s="72"/>
      <c r="Q362" s="72"/>
      <c r="R362" s="72"/>
      <c r="S362" s="72"/>
      <c r="T362" s="72"/>
      <c r="U362" s="72"/>
      <c r="V362" s="72"/>
      <c r="W362" s="72"/>
      <c r="X362" s="72"/>
      <c r="Y362" s="72"/>
      <c r="Z362" s="31" t="n">
        <f aca="false">IF(OR(N($J362)&lt;=0,AND(③発注書!$C$5&lt;&gt;"すべて",発注計算!$F358&lt;&gt;③発注書!$C$5)),N(Z361),N(Z361)+1)</f>
        <v>7</v>
      </c>
    </row>
    <row r="363" customFormat="false" ht="16.5" hidden="false" customHeight="true" outlineLevel="0" collapsed="false">
      <c r="B363" s="66" t="n">
        <v>354</v>
      </c>
      <c r="C363" s="66" t="str">
        <f aca="false">IF(発注計算!$C359="","",発注計算!$D359)</f>
        <v/>
      </c>
      <c r="D363" s="66" t="str">
        <f aca="false">IF(発注計算!$C359="","",発注計算!$E359)</f>
        <v/>
      </c>
      <c r="E363" s="67" t="str">
        <f aca="false">IF(発注計算!$C359="","",発注計算!$T359)</f>
        <v/>
      </c>
      <c r="F363" s="67" t="str">
        <f aca="false">IF(ISNUMBER($E363),$E363-N(発注計算!$I359),"")</f>
        <v/>
      </c>
      <c r="G363" s="68" t="str">
        <f aca="false">IF(発注計算!$C359="","",IF(NOT(ISNUMBER($F363)),"データなし",IF($F363&lt;=0,"今日が期限",IF($F363&lt;=N(発注計算!$AG359),"要発注","余裕"))))</f>
        <v/>
      </c>
      <c r="H363" s="67" t="str">
        <f aca="false">IF(OR(発注計算!$C359="",NOT(ISNUMBER(発注計算!$S359)),発注計算!$S359&lt;=0),"",(発注計算!$K359+N($J363)*N(発注計算!$G359))/発注計算!$S359)</f>
        <v/>
      </c>
      <c r="I363" s="69" t="str">
        <f aca="false">IF(発注計算!$C359="","",発注計算!$Y359)</f>
        <v/>
      </c>
      <c r="J363" s="70"/>
      <c r="K363" s="71" t="str">
        <f aca="false">IF($J363="","",N($J363)*N(発注計算!$H359))</f>
        <v/>
      </c>
      <c r="L363" s="72"/>
      <c r="M363" s="72"/>
      <c r="N363" s="72"/>
      <c r="O363" s="72"/>
      <c r="P363" s="72"/>
      <c r="Q363" s="72"/>
      <c r="R363" s="72"/>
      <c r="S363" s="72"/>
      <c r="T363" s="72"/>
      <c r="U363" s="72"/>
      <c r="V363" s="72"/>
      <c r="W363" s="72"/>
      <c r="X363" s="72"/>
      <c r="Y363" s="72"/>
      <c r="Z363" s="31" t="n">
        <f aca="false">IF(OR(N($J363)&lt;=0,AND(③発注書!$C$5&lt;&gt;"すべて",発注計算!$F359&lt;&gt;③発注書!$C$5)),N(Z362),N(Z362)+1)</f>
        <v>7</v>
      </c>
    </row>
    <row r="364" customFormat="false" ht="16.5" hidden="false" customHeight="true" outlineLevel="0" collapsed="false">
      <c r="B364" s="66" t="n">
        <v>355</v>
      </c>
      <c r="C364" s="66" t="str">
        <f aca="false">IF(発注計算!$C360="","",発注計算!$D360)</f>
        <v/>
      </c>
      <c r="D364" s="66" t="str">
        <f aca="false">IF(発注計算!$C360="","",発注計算!$E360)</f>
        <v/>
      </c>
      <c r="E364" s="67" t="str">
        <f aca="false">IF(発注計算!$C360="","",発注計算!$T360)</f>
        <v/>
      </c>
      <c r="F364" s="67" t="str">
        <f aca="false">IF(ISNUMBER($E364),$E364-N(発注計算!$I360),"")</f>
        <v/>
      </c>
      <c r="G364" s="68" t="str">
        <f aca="false">IF(発注計算!$C360="","",IF(NOT(ISNUMBER($F364)),"データなし",IF($F364&lt;=0,"今日が期限",IF($F364&lt;=N(発注計算!$AG360),"要発注","余裕"))))</f>
        <v/>
      </c>
      <c r="H364" s="67" t="str">
        <f aca="false">IF(OR(発注計算!$C360="",NOT(ISNUMBER(発注計算!$S360)),発注計算!$S360&lt;=0),"",(発注計算!$K360+N($J364)*N(発注計算!$G360))/発注計算!$S360)</f>
        <v/>
      </c>
      <c r="I364" s="69" t="str">
        <f aca="false">IF(発注計算!$C360="","",発注計算!$Y360)</f>
        <v/>
      </c>
      <c r="J364" s="70"/>
      <c r="K364" s="71" t="str">
        <f aca="false">IF($J364="","",N($J364)*N(発注計算!$H360))</f>
        <v/>
      </c>
      <c r="L364" s="72"/>
      <c r="M364" s="72"/>
      <c r="N364" s="72"/>
      <c r="O364" s="72"/>
      <c r="P364" s="72"/>
      <c r="Q364" s="72"/>
      <c r="R364" s="72"/>
      <c r="S364" s="72"/>
      <c r="T364" s="72"/>
      <c r="U364" s="72"/>
      <c r="V364" s="72"/>
      <c r="W364" s="72"/>
      <c r="X364" s="72"/>
      <c r="Y364" s="72"/>
      <c r="Z364" s="31" t="n">
        <f aca="false">IF(OR(N($J364)&lt;=0,AND(③発注書!$C$5&lt;&gt;"すべて",発注計算!$F360&lt;&gt;③発注書!$C$5)),N(Z363),N(Z363)+1)</f>
        <v>7</v>
      </c>
    </row>
    <row r="365" customFormat="false" ht="16.5" hidden="false" customHeight="true" outlineLevel="0" collapsed="false">
      <c r="B365" s="66" t="n">
        <v>356</v>
      </c>
      <c r="C365" s="66" t="str">
        <f aca="false">IF(発注計算!$C361="","",発注計算!$D361)</f>
        <v/>
      </c>
      <c r="D365" s="66" t="str">
        <f aca="false">IF(発注計算!$C361="","",発注計算!$E361)</f>
        <v/>
      </c>
      <c r="E365" s="67" t="str">
        <f aca="false">IF(発注計算!$C361="","",発注計算!$T361)</f>
        <v/>
      </c>
      <c r="F365" s="67" t="str">
        <f aca="false">IF(ISNUMBER($E365),$E365-N(発注計算!$I361),"")</f>
        <v/>
      </c>
      <c r="G365" s="68" t="str">
        <f aca="false">IF(発注計算!$C361="","",IF(NOT(ISNUMBER($F365)),"データなし",IF($F365&lt;=0,"今日が期限",IF($F365&lt;=N(発注計算!$AG361),"要発注","余裕"))))</f>
        <v/>
      </c>
      <c r="H365" s="67" t="str">
        <f aca="false">IF(OR(発注計算!$C361="",NOT(ISNUMBER(発注計算!$S361)),発注計算!$S361&lt;=0),"",(発注計算!$K361+N($J365)*N(発注計算!$G361))/発注計算!$S361)</f>
        <v/>
      </c>
      <c r="I365" s="69" t="str">
        <f aca="false">IF(発注計算!$C361="","",発注計算!$Y361)</f>
        <v/>
      </c>
      <c r="J365" s="70"/>
      <c r="K365" s="71" t="str">
        <f aca="false">IF($J365="","",N($J365)*N(発注計算!$H361))</f>
        <v/>
      </c>
      <c r="L365" s="72"/>
      <c r="M365" s="72"/>
      <c r="N365" s="72"/>
      <c r="O365" s="72"/>
      <c r="P365" s="72"/>
      <c r="Q365" s="72"/>
      <c r="R365" s="72"/>
      <c r="S365" s="72"/>
      <c r="T365" s="72"/>
      <c r="U365" s="72"/>
      <c r="V365" s="72"/>
      <c r="W365" s="72"/>
      <c r="X365" s="72"/>
      <c r="Y365" s="72"/>
      <c r="Z365" s="31" t="n">
        <f aca="false">IF(OR(N($J365)&lt;=0,AND(③発注書!$C$5&lt;&gt;"すべて",発注計算!$F361&lt;&gt;③発注書!$C$5)),N(Z364),N(Z364)+1)</f>
        <v>7</v>
      </c>
    </row>
    <row r="366" customFormat="false" ht="16.5" hidden="false" customHeight="true" outlineLevel="0" collapsed="false">
      <c r="B366" s="66" t="n">
        <v>357</v>
      </c>
      <c r="C366" s="66" t="str">
        <f aca="false">IF(発注計算!$C362="","",発注計算!$D362)</f>
        <v/>
      </c>
      <c r="D366" s="66" t="str">
        <f aca="false">IF(発注計算!$C362="","",発注計算!$E362)</f>
        <v/>
      </c>
      <c r="E366" s="67" t="str">
        <f aca="false">IF(発注計算!$C362="","",発注計算!$T362)</f>
        <v/>
      </c>
      <c r="F366" s="67" t="str">
        <f aca="false">IF(ISNUMBER($E366),$E366-N(発注計算!$I362),"")</f>
        <v/>
      </c>
      <c r="G366" s="68" t="str">
        <f aca="false">IF(発注計算!$C362="","",IF(NOT(ISNUMBER($F366)),"データなし",IF($F366&lt;=0,"今日が期限",IF($F366&lt;=N(発注計算!$AG362),"要発注","余裕"))))</f>
        <v/>
      </c>
      <c r="H366" s="67" t="str">
        <f aca="false">IF(OR(発注計算!$C362="",NOT(ISNUMBER(発注計算!$S362)),発注計算!$S362&lt;=0),"",(発注計算!$K362+N($J366)*N(発注計算!$G362))/発注計算!$S362)</f>
        <v/>
      </c>
      <c r="I366" s="69" t="str">
        <f aca="false">IF(発注計算!$C362="","",発注計算!$Y362)</f>
        <v/>
      </c>
      <c r="J366" s="70"/>
      <c r="K366" s="71" t="str">
        <f aca="false">IF($J366="","",N($J366)*N(発注計算!$H362))</f>
        <v/>
      </c>
      <c r="L366" s="72"/>
      <c r="M366" s="72"/>
      <c r="N366" s="72"/>
      <c r="O366" s="72"/>
      <c r="P366" s="72"/>
      <c r="Q366" s="72"/>
      <c r="R366" s="72"/>
      <c r="S366" s="72"/>
      <c r="T366" s="72"/>
      <c r="U366" s="72"/>
      <c r="V366" s="72"/>
      <c r="W366" s="72"/>
      <c r="X366" s="72"/>
      <c r="Y366" s="72"/>
      <c r="Z366" s="31" t="n">
        <f aca="false">IF(OR(N($J366)&lt;=0,AND(③発注書!$C$5&lt;&gt;"すべて",発注計算!$F362&lt;&gt;③発注書!$C$5)),N(Z365),N(Z365)+1)</f>
        <v>7</v>
      </c>
    </row>
    <row r="367" customFormat="false" ht="16.5" hidden="false" customHeight="true" outlineLevel="0" collapsed="false">
      <c r="B367" s="66" t="n">
        <v>358</v>
      </c>
      <c r="C367" s="66" t="str">
        <f aca="false">IF(発注計算!$C363="","",発注計算!$D363)</f>
        <v/>
      </c>
      <c r="D367" s="66" t="str">
        <f aca="false">IF(発注計算!$C363="","",発注計算!$E363)</f>
        <v/>
      </c>
      <c r="E367" s="67" t="str">
        <f aca="false">IF(発注計算!$C363="","",発注計算!$T363)</f>
        <v/>
      </c>
      <c r="F367" s="67" t="str">
        <f aca="false">IF(ISNUMBER($E367),$E367-N(発注計算!$I363),"")</f>
        <v/>
      </c>
      <c r="G367" s="68" t="str">
        <f aca="false">IF(発注計算!$C363="","",IF(NOT(ISNUMBER($F367)),"データなし",IF($F367&lt;=0,"今日が期限",IF($F367&lt;=N(発注計算!$AG363),"要発注","余裕"))))</f>
        <v/>
      </c>
      <c r="H367" s="67" t="str">
        <f aca="false">IF(OR(発注計算!$C363="",NOT(ISNUMBER(発注計算!$S363)),発注計算!$S363&lt;=0),"",(発注計算!$K363+N($J367)*N(発注計算!$G363))/発注計算!$S363)</f>
        <v/>
      </c>
      <c r="I367" s="69" t="str">
        <f aca="false">IF(発注計算!$C363="","",発注計算!$Y363)</f>
        <v/>
      </c>
      <c r="J367" s="70"/>
      <c r="K367" s="71" t="str">
        <f aca="false">IF($J367="","",N($J367)*N(発注計算!$H363))</f>
        <v/>
      </c>
      <c r="L367" s="72"/>
      <c r="M367" s="72"/>
      <c r="N367" s="72"/>
      <c r="O367" s="72"/>
      <c r="P367" s="72"/>
      <c r="Q367" s="72"/>
      <c r="R367" s="72"/>
      <c r="S367" s="72"/>
      <c r="T367" s="72"/>
      <c r="U367" s="72"/>
      <c r="V367" s="72"/>
      <c r="W367" s="72"/>
      <c r="X367" s="72"/>
      <c r="Y367" s="72"/>
      <c r="Z367" s="31" t="n">
        <f aca="false">IF(OR(N($J367)&lt;=0,AND(③発注書!$C$5&lt;&gt;"すべて",発注計算!$F363&lt;&gt;③発注書!$C$5)),N(Z366),N(Z366)+1)</f>
        <v>7</v>
      </c>
    </row>
    <row r="368" customFormat="false" ht="16.5" hidden="false" customHeight="true" outlineLevel="0" collapsed="false">
      <c r="B368" s="66" t="n">
        <v>359</v>
      </c>
      <c r="C368" s="66" t="str">
        <f aca="false">IF(発注計算!$C364="","",発注計算!$D364)</f>
        <v/>
      </c>
      <c r="D368" s="66" t="str">
        <f aca="false">IF(発注計算!$C364="","",発注計算!$E364)</f>
        <v/>
      </c>
      <c r="E368" s="67" t="str">
        <f aca="false">IF(発注計算!$C364="","",発注計算!$T364)</f>
        <v/>
      </c>
      <c r="F368" s="67" t="str">
        <f aca="false">IF(ISNUMBER($E368),$E368-N(発注計算!$I364),"")</f>
        <v/>
      </c>
      <c r="G368" s="68" t="str">
        <f aca="false">IF(発注計算!$C364="","",IF(NOT(ISNUMBER($F368)),"データなし",IF($F368&lt;=0,"今日が期限",IF($F368&lt;=N(発注計算!$AG364),"要発注","余裕"))))</f>
        <v/>
      </c>
      <c r="H368" s="67" t="str">
        <f aca="false">IF(OR(発注計算!$C364="",NOT(ISNUMBER(発注計算!$S364)),発注計算!$S364&lt;=0),"",(発注計算!$K364+N($J368)*N(発注計算!$G364))/発注計算!$S364)</f>
        <v/>
      </c>
      <c r="I368" s="69" t="str">
        <f aca="false">IF(発注計算!$C364="","",発注計算!$Y364)</f>
        <v/>
      </c>
      <c r="J368" s="70"/>
      <c r="K368" s="71" t="str">
        <f aca="false">IF($J368="","",N($J368)*N(発注計算!$H364))</f>
        <v/>
      </c>
      <c r="L368" s="72"/>
      <c r="M368" s="72"/>
      <c r="N368" s="72"/>
      <c r="O368" s="72"/>
      <c r="P368" s="72"/>
      <c r="Q368" s="72"/>
      <c r="R368" s="72"/>
      <c r="S368" s="72"/>
      <c r="T368" s="72"/>
      <c r="U368" s="72"/>
      <c r="V368" s="72"/>
      <c r="W368" s="72"/>
      <c r="X368" s="72"/>
      <c r="Y368" s="72"/>
      <c r="Z368" s="31" t="n">
        <f aca="false">IF(OR(N($J368)&lt;=0,AND(③発注書!$C$5&lt;&gt;"すべて",発注計算!$F364&lt;&gt;③発注書!$C$5)),N(Z367),N(Z367)+1)</f>
        <v>7</v>
      </c>
    </row>
    <row r="369" customFormat="false" ht="16.5" hidden="false" customHeight="true" outlineLevel="0" collapsed="false">
      <c r="B369" s="66" t="n">
        <v>360</v>
      </c>
      <c r="C369" s="66" t="str">
        <f aca="false">IF(発注計算!$C365="","",発注計算!$D365)</f>
        <v/>
      </c>
      <c r="D369" s="66" t="str">
        <f aca="false">IF(発注計算!$C365="","",発注計算!$E365)</f>
        <v/>
      </c>
      <c r="E369" s="67" t="str">
        <f aca="false">IF(発注計算!$C365="","",発注計算!$T365)</f>
        <v/>
      </c>
      <c r="F369" s="67" t="str">
        <f aca="false">IF(ISNUMBER($E369),$E369-N(発注計算!$I365),"")</f>
        <v/>
      </c>
      <c r="G369" s="68" t="str">
        <f aca="false">IF(発注計算!$C365="","",IF(NOT(ISNUMBER($F369)),"データなし",IF($F369&lt;=0,"今日が期限",IF($F369&lt;=N(発注計算!$AG365),"要発注","余裕"))))</f>
        <v/>
      </c>
      <c r="H369" s="67" t="str">
        <f aca="false">IF(OR(発注計算!$C365="",NOT(ISNUMBER(発注計算!$S365)),発注計算!$S365&lt;=0),"",(発注計算!$K365+N($J369)*N(発注計算!$G365))/発注計算!$S365)</f>
        <v/>
      </c>
      <c r="I369" s="69" t="str">
        <f aca="false">IF(発注計算!$C365="","",発注計算!$Y365)</f>
        <v/>
      </c>
      <c r="J369" s="70"/>
      <c r="K369" s="71" t="str">
        <f aca="false">IF($J369="","",N($J369)*N(発注計算!$H365))</f>
        <v/>
      </c>
      <c r="L369" s="72"/>
      <c r="M369" s="72"/>
      <c r="N369" s="72"/>
      <c r="O369" s="72"/>
      <c r="P369" s="72"/>
      <c r="Q369" s="72"/>
      <c r="R369" s="72"/>
      <c r="S369" s="72"/>
      <c r="T369" s="72"/>
      <c r="U369" s="72"/>
      <c r="V369" s="72"/>
      <c r="W369" s="72"/>
      <c r="X369" s="72"/>
      <c r="Y369" s="72"/>
      <c r="Z369" s="31" t="n">
        <f aca="false">IF(OR(N($J369)&lt;=0,AND(③発注書!$C$5&lt;&gt;"すべて",発注計算!$F365&lt;&gt;③発注書!$C$5)),N(Z368),N(Z368)+1)</f>
        <v>7</v>
      </c>
    </row>
    <row r="370" customFormat="false" ht="16.5" hidden="false" customHeight="true" outlineLevel="0" collapsed="false">
      <c r="B370" s="66" t="n">
        <v>361</v>
      </c>
      <c r="C370" s="66" t="str">
        <f aca="false">IF(発注計算!$C366="","",発注計算!$D366)</f>
        <v/>
      </c>
      <c r="D370" s="66" t="str">
        <f aca="false">IF(発注計算!$C366="","",発注計算!$E366)</f>
        <v/>
      </c>
      <c r="E370" s="67" t="str">
        <f aca="false">IF(発注計算!$C366="","",発注計算!$T366)</f>
        <v/>
      </c>
      <c r="F370" s="67" t="str">
        <f aca="false">IF(ISNUMBER($E370),$E370-N(発注計算!$I366),"")</f>
        <v/>
      </c>
      <c r="G370" s="68" t="str">
        <f aca="false">IF(発注計算!$C366="","",IF(NOT(ISNUMBER($F370)),"データなし",IF($F370&lt;=0,"今日が期限",IF($F370&lt;=N(発注計算!$AG366),"要発注","余裕"))))</f>
        <v/>
      </c>
      <c r="H370" s="67" t="str">
        <f aca="false">IF(OR(発注計算!$C366="",NOT(ISNUMBER(発注計算!$S366)),発注計算!$S366&lt;=0),"",(発注計算!$K366+N($J370)*N(発注計算!$G366))/発注計算!$S366)</f>
        <v/>
      </c>
      <c r="I370" s="69" t="str">
        <f aca="false">IF(発注計算!$C366="","",発注計算!$Y366)</f>
        <v/>
      </c>
      <c r="J370" s="70"/>
      <c r="K370" s="71" t="str">
        <f aca="false">IF($J370="","",N($J370)*N(発注計算!$H366))</f>
        <v/>
      </c>
      <c r="L370" s="72"/>
      <c r="M370" s="72"/>
      <c r="N370" s="72"/>
      <c r="O370" s="72"/>
      <c r="P370" s="72"/>
      <c r="Q370" s="72"/>
      <c r="R370" s="72"/>
      <c r="S370" s="72"/>
      <c r="T370" s="72"/>
      <c r="U370" s="72"/>
      <c r="V370" s="72"/>
      <c r="W370" s="72"/>
      <c r="X370" s="72"/>
      <c r="Y370" s="72"/>
      <c r="Z370" s="31" t="n">
        <f aca="false">IF(OR(N($J370)&lt;=0,AND(③発注書!$C$5&lt;&gt;"すべて",発注計算!$F366&lt;&gt;③発注書!$C$5)),N(Z369),N(Z369)+1)</f>
        <v>7</v>
      </c>
    </row>
    <row r="371" customFormat="false" ht="16.5" hidden="false" customHeight="true" outlineLevel="0" collapsed="false">
      <c r="B371" s="66" t="n">
        <v>362</v>
      </c>
      <c r="C371" s="66" t="str">
        <f aca="false">IF(発注計算!$C367="","",発注計算!$D367)</f>
        <v/>
      </c>
      <c r="D371" s="66" t="str">
        <f aca="false">IF(発注計算!$C367="","",発注計算!$E367)</f>
        <v/>
      </c>
      <c r="E371" s="67" t="str">
        <f aca="false">IF(発注計算!$C367="","",発注計算!$T367)</f>
        <v/>
      </c>
      <c r="F371" s="67" t="str">
        <f aca="false">IF(ISNUMBER($E371),$E371-N(発注計算!$I367),"")</f>
        <v/>
      </c>
      <c r="G371" s="68" t="str">
        <f aca="false">IF(発注計算!$C367="","",IF(NOT(ISNUMBER($F371)),"データなし",IF($F371&lt;=0,"今日が期限",IF($F371&lt;=N(発注計算!$AG367),"要発注","余裕"))))</f>
        <v/>
      </c>
      <c r="H371" s="67" t="str">
        <f aca="false">IF(OR(発注計算!$C367="",NOT(ISNUMBER(発注計算!$S367)),発注計算!$S367&lt;=0),"",(発注計算!$K367+N($J371)*N(発注計算!$G367))/発注計算!$S367)</f>
        <v/>
      </c>
      <c r="I371" s="69" t="str">
        <f aca="false">IF(発注計算!$C367="","",発注計算!$Y367)</f>
        <v/>
      </c>
      <c r="J371" s="70"/>
      <c r="K371" s="71" t="str">
        <f aca="false">IF($J371="","",N($J371)*N(発注計算!$H367))</f>
        <v/>
      </c>
      <c r="L371" s="72"/>
      <c r="M371" s="72"/>
      <c r="N371" s="72"/>
      <c r="O371" s="72"/>
      <c r="P371" s="72"/>
      <c r="Q371" s="72"/>
      <c r="R371" s="72"/>
      <c r="S371" s="72"/>
      <c r="T371" s="72"/>
      <c r="U371" s="72"/>
      <c r="V371" s="72"/>
      <c r="W371" s="72"/>
      <c r="X371" s="72"/>
      <c r="Y371" s="72"/>
      <c r="Z371" s="31" t="n">
        <f aca="false">IF(OR(N($J371)&lt;=0,AND(③発注書!$C$5&lt;&gt;"すべて",発注計算!$F367&lt;&gt;③発注書!$C$5)),N(Z370),N(Z370)+1)</f>
        <v>7</v>
      </c>
    </row>
    <row r="372" customFormat="false" ht="16.5" hidden="false" customHeight="true" outlineLevel="0" collapsed="false">
      <c r="B372" s="66" t="n">
        <v>363</v>
      </c>
      <c r="C372" s="66" t="str">
        <f aca="false">IF(発注計算!$C368="","",発注計算!$D368)</f>
        <v/>
      </c>
      <c r="D372" s="66" t="str">
        <f aca="false">IF(発注計算!$C368="","",発注計算!$E368)</f>
        <v/>
      </c>
      <c r="E372" s="67" t="str">
        <f aca="false">IF(発注計算!$C368="","",発注計算!$T368)</f>
        <v/>
      </c>
      <c r="F372" s="67" t="str">
        <f aca="false">IF(ISNUMBER($E372),$E372-N(発注計算!$I368),"")</f>
        <v/>
      </c>
      <c r="G372" s="68" t="str">
        <f aca="false">IF(発注計算!$C368="","",IF(NOT(ISNUMBER($F372)),"データなし",IF($F372&lt;=0,"今日が期限",IF($F372&lt;=N(発注計算!$AG368),"要発注","余裕"))))</f>
        <v/>
      </c>
      <c r="H372" s="67" t="str">
        <f aca="false">IF(OR(発注計算!$C368="",NOT(ISNUMBER(発注計算!$S368)),発注計算!$S368&lt;=0),"",(発注計算!$K368+N($J372)*N(発注計算!$G368))/発注計算!$S368)</f>
        <v/>
      </c>
      <c r="I372" s="69" t="str">
        <f aca="false">IF(発注計算!$C368="","",発注計算!$Y368)</f>
        <v/>
      </c>
      <c r="J372" s="70"/>
      <c r="K372" s="71" t="str">
        <f aca="false">IF($J372="","",N($J372)*N(発注計算!$H368))</f>
        <v/>
      </c>
      <c r="L372" s="72"/>
      <c r="M372" s="72"/>
      <c r="N372" s="72"/>
      <c r="O372" s="72"/>
      <c r="P372" s="72"/>
      <c r="Q372" s="72"/>
      <c r="R372" s="72"/>
      <c r="S372" s="72"/>
      <c r="T372" s="72"/>
      <c r="U372" s="72"/>
      <c r="V372" s="72"/>
      <c r="W372" s="72"/>
      <c r="X372" s="72"/>
      <c r="Y372" s="72"/>
      <c r="Z372" s="31" t="n">
        <f aca="false">IF(OR(N($J372)&lt;=0,AND(③発注書!$C$5&lt;&gt;"すべて",発注計算!$F368&lt;&gt;③発注書!$C$5)),N(Z371),N(Z371)+1)</f>
        <v>7</v>
      </c>
    </row>
    <row r="373" customFormat="false" ht="16.5" hidden="false" customHeight="true" outlineLevel="0" collapsed="false">
      <c r="B373" s="66" t="n">
        <v>364</v>
      </c>
      <c r="C373" s="66" t="str">
        <f aca="false">IF(発注計算!$C369="","",発注計算!$D369)</f>
        <v/>
      </c>
      <c r="D373" s="66" t="str">
        <f aca="false">IF(発注計算!$C369="","",発注計算!$E369)</f>
        <v/>
      </c>
      <c r="E373" s="67" t="str">
        <f aca="false">IF(発注計算!$C369="","",発注計算!$T369)</f>
        <v/>
      </c>
      <c r="F373" s="67" t="str">
        <f aca="false">IF(ISNUMBER($E373),$E373-N(発注計算!$I369),"")</f>
        <v/>
      </c>
      <c r="G373" s="68" t="str">
        <f aca="false">IF(発注計算!$C369="","",IF(NOT(ISNUMBER($F373)),"データなし",IF($F373&lt;=0,"今日が期限",IF($F373&lt;=N(発注計算!$AG369),"要発注","余裕"))))</f>
        <v/>
      </c>
      <c r="H373" s="67" t="str">
        <f aca="false">IF(OR(発注計算!$C369="",NOT(ISNUMBER(発注計算!$S369)),発注計算!$S369&lt;=0),"",(発注計算!$K369+N($J373)*N(発注計算!$G369))/発注計算!$S369)</f>
        <v/>
      </c>
      <c r="I373" s="69" t="str">
        <f aca="false">IF(発注計算!$C369="","",発注計算!$Y369)</f>
        <v/>
      </c>
      <c r="J373" s="70"/>
      <c r="K373" s="71" t="str">
        <f aca="false">IF($J373="","",N($J373)*N(発注計算!$H369))</f>
        <v/>
      </c>
      <c r="L373" s="72"/>
      <c r="M373" s="72"/>
      <c r="N373" s="72"/>
      <c r="O373" s="72"/>
      <c r="P373" s="72"/>
      <c r="Q373" s="72"/>
      <c r="R373" s="72"/>
      <c r="S373" s="72"/>
      <c r="T373" s="72"/>
      <c r="U373" s="72"/>
      <c r="V373" s="72"/>
      <c r="W373" s="72"/>
      <c r="X373" s="72"/>
      <c r="Y373" s="72"/>
      <c r="Z373" s="31" t="n">
        <f aca="false">IF(OR(N($J373)&lt;=0,AND(③発注書!$C$5&lt;&gt;"すべて",発注計算!$F369&lt;&gt;③発注書!$C$5)),N(Z372),N(Z372)+1)</f>
        <v>7</v>
      </c>
    </row>
    <row r="374" customFormat="false" ht="16.5" hidden="false" customHeight="true" outlineLevel="0" collapsed="false">
      <c r="B374" s="66" t="n">
        <v>365</v>
      </c>
      <c r="C374" s="66" t="str">
        <f aca="false">IF(発注計算!$C370="","",発注計算!$D370)</f>
        <v/>
      </c>
      <c r="D374" s="66" t="str">
        <f aca="false">IF(発注計算!$C370="","",発注計算!$E370)</f>
        <v/>
      </c>
      <c r="E374" s="67" t="str">
        <f aca="false">IF(発注計算!$C370="","",発注計算!$T370)</f>
        <v/>
      </c>
      <c r="F374" s="67" t="str">
        <f aca="false">IF(ISNUMBER($E374),$E374-N(発注計算!$I370),"")</f>
        <v/>
      </c>
      <c r="G374" s="68" t="str">
        <f aca="false">IF(発注計算!$C370="","",IF(NOT(ISNUMBER($F374)),"データなし",IF($F374&lt;=0,"今日が期限",IF($F374&lt;=N(発注計算!$AG370),"要発注","余裕"))))</f>
        <v/>
      </c>
      <c r="H374" s="67" t="str">
        <f aca="false">IF(OR(発注計算!$C370="",NOT(ISNUMBER(発注計算!$S370)),発注計算!$S370&lt;=0),"",(発注計算!$K370+N($J374)*N(発注計算!$G370))/発注計算!$S370)</f>
        <v/>
      </c>
      <c r="I374" s="69" t="str">
        <f aca="false">IF(発注計算!$C370="","",発注計算!$Y370)</f>
        <v/>
      </c>
      <c r="J374" s="70"/>
      <c r="K374" s="71" t="str">
        <f aca="false">IF($J374="","",N($J374)*N(発注計算!$H370))</f>
        <v/>
      </c>
      <c r="L374" s="72"/>
      <c r="M374" s="72"/>
      <c r="N374" s="72"/>
      <c r="O374" s="72"/>
      <c r="P374" s="72"/>
      <c r="Q374" s="72"/>
      <c r="R374" s="72"/>
      <c r="S374" s="72"/>
      <c r="T374" s="72"/>
      <c r="U374" s="72"/>
      <c r="V374" s="72"/>
      <c r="W374" s="72"/>
      <c r="X374" s="72"/>
      <c r="Y374" s="72"/>
      <c r="Z374" s="31" t="n">
        <f aca="false">IF(OR(N($J374)&lt;=0,AND(③発注書!$C$5&lt;&gt;"すべて",発注計算!$F370&lt;&gt;③発注書!$C$5)),N(Z373),N(Z373)+1)</f>
        <v>7</v>
      </c>
    </row>
    <row r="375" customFormat="false" ht="16.5" hidden="false" customHeight="true" outlineLevel="0" collapsed="false">
      <c r="B375" s="66" t="n">
        <v>366</v>
      </c>
      <c r="C375" s="66" t="str">
        <f aca="false">IF(発注計算!$C371="","",発注計算!$D371)</f>
        <v/>
      </c>
      <c r="D375" s="66" t="str">
        <f aca="false">IF(発注計算!$C371="","",発注計算!$E371)</f>
        <v/>
      </c>
      <c r="E375" s="67" t="str">
        <f aca="false">IF(発注計算!$C371="","",発注計算!$T371)</f>
        <v/>
      </c>
      <c r="F375" s="67" t="str">
        <f aca="false">IF(ISNUMBER($E375),$E375-N(発注計算!$I371),"")</f>
        <v/>
      </c>
      <c r="G375" s="68" t="str">
        <f aca="false">IF(発注計算!$C371="","",IF(NOT(ISNUMBER($F375)),"データなし",IF($F375&lt;=0,"今日が期限",IF($F375&lt;=N(発注計算!$AG371),"要発注","余裕"))))</f>
        <v/>
      </c>
      <c r="H375" s="67" t="str">
        <f aca="false">IF(OR(発注計算!$C371="",NOT(ISNUMBER(発注計算!$S371)),発注計算!$S371&lt;=0),"",(発注計算!$K371+N($J375)*N(発注計算!$G371))/発注計算!$S371)</f>
        <v/>
      </c>
      <c r="I375" s="69" t="str">
        <f aca="false">IF(発注計算!$C371="","",発注計算!$Y371)</f>
        <v/>
      </c>
      <c r="J375" s="70"/>
      <c r="K375" s="71" t="str">
        <f aca="false">IF($J375="","",N($J375)*N(発注計算!$H371))</f>
        <v/>
      </c>
      <c r="L375" s="72"/>
      <c r="M375" s="72"/>
      <c r="N375" s="72"/>
      <c r="O375" s="72"/>
      <c r="P375" s="72"/>
      <c r="Q375" s="72"/>
      <c r="R375" s="72"/>
      <c r="S375" s="72"/>
      <c r="T375" s="72"/>
      <c r="U375" s="72"/>
      <c r="V375" s="72"/>
      <c r="W375" s="72"/>
      <c r="X375" s="72"/>
      <c r="Y375" s="72"/>
      <c r="Z375" s="31" t="n">
        <f aca="false">IF(OR(N($J375)&lt;=0,AND(③発注書!$C$5&lt;&gt;"すべて",発注計算!$F371&lt;&gt;③発注書!$C$5)),N(Z374),N(Z374)+1)</f>
        <v>7</v>
      </c>
    </row>
    <row r="376" customFormat="false" ht="16.5" hidden="false" customHeight="true" outlineLevel="0" collapsed="false">
      <c r="B376" s="66" t="n">
        <v>367</v>
      </c>
      <c r="C376" s="66" t="str">
        <f aca="false">IF(発注計算!$C372="","",発注計算!$D372)</f>
        <v/>
      </c>
      <c r="D376" s="66" t="str">
        <f aca="false">IF(発注計算!$C372="","",発注計算!$E372)</f>
        <v/>
      </c>
      <c r="E376" s="67" t="str">
        <f aca="false">IF(発注計算!$C372="","",発注計算!$T372)</f>
        <v/>
      </c>
      <c r="F376" s="67" t="str">
        <f aca="false">IF(ISNUMBER($E376),$E376-N(発注計算!$I372),"")</f>
        <v/>
      </c>
      <c r="G376" s="68" t="str">
        <f aca="false">IF(発注計算!$C372="","",IF(NOT(ISNUMBER($F376)),"データなし",IF($F376&lt;=0,"今日が期限",IF($F376&lt;=N(発注計算!$AG372),"要発注","余裕"))))</f>
        <v/>
      </c>
      <c r="H376" s="67" t="str">
        <f aca="false">IF(OR(発注計算!$C372="",NOT(ISNUMBER(発注計算!$S372)),発注計算!$S372&lt;=0),"",(発注計算!$K372+N($J376)*N(発注計算!$G372))/発注計算!$S372)</f>
        <v/>
      </c>
      <c r="I376" s="69" t="str">
        <f aca="false">IF(発注計算!$C372="","",発注計算!$Y372)</f>
        <v/>
      </c>
      <c r="J376" s="70"/>
      <c r="K376" s="71" t="str">
        <f aca="false">IF($J376="","",N($J376)*N(発注計算!$H372))</f>
        <v/>
      </c>
      <c r="L376" s="72"/>
      <c r="M376" s="72"/>
      <c r="N376" s="72"/>
      <c r="O376" s="72"/>
      <c r="P376" s="72"/>
      <c r="Q376" s="72"/>
      <c r="R376" s="72"/>
      <c r="S376" s="72"/>
      <c r="T376" s="72"/>
      <c r="U376" s="72"/>
      <c r="V376" s="72"/>
      <c r="W376" s="72"/>
      <c r="X376" s="72"/>
      <c r="Y376" s="72"/>
      <c r="Z376" s="31" t="n">
        <f aca="false">IF(OR(N($J376)&lt;=0,AND(③発注書!$C$5&lt;&gt;"すべて",発注計算!$F372&lt;&gt;③発注書!$C$5)),N(Z375),N(Z375)+1)</f>
        <v>7</v>
      </c>
    </row>
    <row r="377" customFormat="false" ht="16.5" hidden="false" customHeight="true" outlineLevel="0" collapsed="false">
      <c r="B377" s="66" t="n">
        <v>368</v>
      </c>
      <c r="C377" s="66" t="str">
        <f aca="false">IF(発注計算!$C373="","",発注計算!$D373)</f>
        <v/>
      </c>
      <c r="D377" s="66" t="str">
        <f aca="false">IF(発注計算!$C373="","",発注計算!$E373)</f>
        <v/>
      </c>
      <c r="E377" s="67" t="str">
        <f aca="false">IF(発注計算!$C373="","",発注計算!$T373)</f>
        <v/>
      </c>
      <c r="F377" s="67" t="str">
        <f aca="false">IF(ISNUMBER($E377),$E377-N(発注計算!$I373),"")</f>
        <v/>
      </c>
      <c r="G377" s="68" t="str">
        <f aca="false">IF(発注計算!$C373="","",IF(NOT(ISNUMBER($F377)),"データなし",IF($F377&lt;=0,"今日が期限",IF($F377&lt;=N(発注計算!$AG373),"要発注","余裕"))))</f>
        <v/>
      </c>
      <c r="H377" s="67" t="str">
        <f aca="false">IF(OR(発注計算!$C373="",NOT(ISNUMBER(発注計算!$S373)),発注計算!$S373&lt;=0),"",(発注計算!$K373+N($J377)*N(発注計算!$G373))/発注計算!$S373)</f>
        <v/>
      </c>
      <c r="I377" s="69" t="str">
        <f aca="false">IF(発注計算!$C373="","",発注計算!$Y373)</f>
        <v/>
      </c>
      <c r="J377" s="70"/>
      <c r="K377" s="71" t="str">
        <f aca="false">IF($J377="","",N($J377)*N(発注計算!$H373))</f>
        <v/>
      </c>
      <c r="L377" s="72"/>
      <c r="M377" s="72"/>
      <c r="N377" s="72"/>
      <c r="O377" s="72"/>
      <c r="P377" s="72"/>
      <c r="Q377" s="72"/>
      <c r="R377" s="72"/>
      <c r="S377" s="72"/>
      <c r="T377" s="72"/>
      <c r="U377" s="72"/>
      <c r="V377" s="72"/>
      <c r="W377" s="72"/>
      <c r="X377" s="72"/>
      <c r="Y377" s="72"/>
      <c r="Z377" s="31" t="n">
        <f aca="false">IF(OR(N($J377)&lt;=0,AND(③発注書!$C$5&lt;&gt;"すべて",発注計算!$F373&lt;&gt;③発注書!$C$5)),N(Z376),N(Z376)+1)</f>
        <v>7</v>
      </c>
    </row>
    <row r="378" customFormat="false" ht="16.5" hidden="false" customHeight="true" outlineLevel="0" collapsed="false">
      <c r="B378" s="66" t="n">
        <v>369</v>
      </c>
      <c r="C378" s="66" t="str">
        <f aca="false">IF(発注計算!$C374="","",発注計算!$D374)</f>
        <v/>
      </c>
      <c r="D378" s="66" t="str">
        <f aca="false">IF(発注計算!$C374="","",発注計算!$E374)</f>
        <v/>
      </c>
      <c r="E378" s="67" t="str">
        <f aca="false">IF(発注計算!$C374="","",発注計算!$T374)</f>
        <v/>
      </c>
      <c r="F378" s="67" t="str">
        <f aca="false">IF(ISNUMBER($E378),$E378-N(発注計算!$I374),"")</f>
        <v/>
      </c>
      <c r="G378" s="68" t="str">
        <f aca="false">IF(発注計算!$C374="","",IF(NOT(ISNUMBER($F378)),"データなし",IF($F378&lt;=0,"今日が期限",IF($F378&lt;=N(発注計算!$AG374),"要発注","余裕"))))</f>
        <v/>
      </c>
      <c r="H378" s="67" t="str">
        <f aca="false">IF(OR(発注計算!$C374="",NOT(ISNUMBER(発注計算!$S374)),発注計算!$S374&lt;=0),"",(発注計算!$K374+N($J378)*N(発注計算!$G374))/発注計算!$S374)</f>
        <v/>
      </c>
      <c r="I378" s="69" t="str">
        <f aca="false">IF(発注計算!$C374="","",発注計算!$Y374)</f>
        <v/>
      </c>
      <c r="J378" s="70"/>
      <c r="K378" s="71" t="str">
        <f aca="false">IF($J378="","",N($J378)*N(発注計算!$H374))</f>
        <v/>
      </c>
      <c r="L378" s="72"/>
      <c r="M378" s="72"/>
      <c r="N378" s="72"/>
      <c r="O378" s="72"/>
      <c r="P378" s="72"/>
      <c r="Q378" s="72"/>
      <c r="R378" s="72"/>
      <c r="S378" s="72"/>
      <c r="T378" s="72"/>
      <c r="U378" s="72"/>
      <c r="V378" s="72"/>
      <c r="W378" s="72"/>
      <c r="X378" s="72"/>
      <c r="Y378" s="72"/>
      <c r="Z378" s="31" t="n">
        <f aca="false">IF(OR(N($J378)&lt;=0,AND(③発注書!$C$5&lt;&gt;"すべて",発注計算!$F374&lt;&gt;③発注書!$C$5)),N(Z377),N(Z377)+1)</f>
        <v>7</v>
      </c>
    </row>
    <row r="379" customFormat="false" ht="16.5" hidden="false" customHeight="true" outlineLevel="0" collapsed="false">
      <c r="B379" s="66" t="n">
        <v>370</v>
      </c>
      <c r="C379" s="66" t="str">
        <f aca="false">IF(発注計算!$C375="","",発注計算!$D375)</f>
        <v/>
      </c>
      <c r="D379" s="66" t="str">
        <f aca="false">IF(発注計算!$C375="","",発注計算!$E375)</f>
        <v/>
      </c>
      <c r="E379" s="67" t="str">
        <f aca="false">IF(発注計算!$C375="","",発注計算!$T375)</f>
        <v/>
      </c>
      <c r="F379" s="67" t="str">
        <f aca="false">IF(ISNUMBER($E379),$E379-N(発注計算!$I375),"")</f>
        <v/>
      </c>
      <c r="G379" s="68" t="str">
        <f aca="false">IF(発注計算!$C375="","",IF(NOT(ISNUMBER($F379)),"データなし",IF($F379&lt;=0,"今日が期限",IF($F379&lt;=N(発注計算!$AG375),"要発注","余裕"))))</f>
        <v/>
      </c>
      <c r="H379" s="67" t="str">
        <f aca="false">IF(OR(発注計算!$C375="",NOT(ISNUMBER(発注計算!$S375)),発注計算!$S375&lt;=0),"",(発注計算!$K375+N($J379)*N(発注計算!$G375))/発注計算!$S375)</f>
        <v/>
      </c>
      <c r="I379" s="69" t="str">
        <f aca="false">IF(発注計算!$C375="","",発注計算!$Y375)</f>
        <v/>
      </c>
      <c r="J379" s="70"/>
      <c r="K379" s="71" t="str">
        <f aca="false">IF($J379="","",N($J379)*N(発注計算!$H375))</f>
        <v/>
      </c>
      <c r="L379" s="72"/>
      <c r="M379" s="72"/>
      <c r="N379" s="72"/>
      <c r="O379" s="72"/>
      <c r="P379" s="72"/>
      <c r="Q379" s="72"/>
      <c r="R379" s="72"/>
      <c r="S379" s="72"/>
      <c r="T379" s="72"/>
      <c r="U379" s="72"/>
      <c r="V379" s="72"/>
      <c r="W379" s="72"/>
      <c r="X379" s="72"/>
      <c r="Y379" s="72"/>
      <c r="Z379" s="31" t="n">
        <f aca="false">IF(OR(N($J379)&lt;=0,AND(③発注書!$C$5&lt;&gt;"すべて",発注計算!$F375&lt;&gt;③発注書!$C$5)),N(Z378),N(Z378)+1)</f>
        <v>7</v>
      </c>
    </row>
    <row r="380" customFormat="false" ht="16.5" hidden="false" customHeight="true" outlineLevel="0" collapsed="false">
      <c r="B380" s="66" t="n">
        <v>371</v>
      </c>
      <c r="C380" s="66" t="str">
        <f aca="false">IF(発注計算!$C376="","",発注計算!$D376)</f>
        <v/>
      </c>
      <c r="D380" s="66" t="str">
        <f aca="false">IF(発注計算!$C376="","",発注計算!$E376)</f>
        <v/>
      </c>
      <c r="E380" s="67" t="str">
        <f aca="false">IF(発注計算!$C376="","",発注計算!$T376)</f>
        <v/>
      </c>
      <c r="F380" s="67" t="str">
        <f aca="false">IF(ISNUMBER($E380),$E380-N(発注計算!$I376),"")</f>
        <v/>
      </c>
      <c r="G380" s="68" t="str">
        <f aca="false">IF(発注計算!$C376="","",IF(NOT(ISNUMBER($F380)),"データなし",IF($F380&lt;=0,"今日が期限",IF($F380&lt;=N(発注計算!$AG376),"要発注","余裕"))))</f>
        <v/>
      </c>
      <c r="H380" s="67" t="str">
        <f aca="false">IF(OR(発注計算!$C376="",NOT(ISNUMBER(発注計算!$S376)),発注計算!$S376&lt;=0),"",(発注計算!$K376+N($J380)*N(発注計算!$G376))/発注計算!$S376)</f>
        <v/>
      </c>
      <c r="I380" s="69" t="str">
        <f aca="false">IF(発注計算!$C376="","",発注計算!$Y376)</f>
        <v/>
      </c>
      <c r="J380" s="70"/>
      <c r="K380" s="71" t="str">
        <f aca="false">IF($J380="","",N($J380)*N(発注計算!$H376))</f>
        <v/>
      </c>
      <c r="L380" s="72"/>
      <c r="M380" s="72"/>
      <c r="N380" s="72"/>
      <c r="O380" s="72"/>
      <c r="P380" s="72"/>
      <c r="Q380" s="72"/>
      <c r="R380" s="72"/>
      <c r="S380" s="72"/>
      <c r="T380" s="72"/>
      <c r="U380" s="72"/>
      <c r="V380" s="72"/>
      <c r="W380" s="72"/>
      <c r="X380" s="72"/>
      <c r="Y380" s="72"/>
      <c r="Z380" s="31" t="n">
        <f aca="false">IF(OR(N($J380)&lt;=0,AND(③発注書!$C$5&lt;&gt;"すべて",発注計算!$F376&lt;&gt;③発注書!$C$5)),N(Z379),N(Z379)+1)</f>
        <v>7</v>
      </c>
    </row>
    <row r="381" customFormat="false" ht="16.5" hidden="false" customHeight="true" outlineLevel="0" collapsed="false">
      <c r="B381" s="66" t="n">
        <v>372</v>
      </c>
      <c r="C381" s="66" t="str">
        <f aca="false">IF(発注計算!$C377="","",発注計算!$D377)</f>
        <v/>
      </c>
      <c r="D381" s="66" t="str">
        <f aca="false">IF(発注計算!$C377="","",発注計算!$E377)</f>
        <v/>
      </c>
      <c r="E381" s="67" t="str">
        <f aca="false">IF(発注計算!$C377="","",発注計算!$T377)</f>
        <v/>
      </c>
      <c r="F381" s="67" t="str">
        <f aca="false">IF(ISNUMBER($E381),$E381-N(発注計算!$I377),"")</f>
        <v/>
      </c>
      <c r="G381" s="68" t="str">
        <f aca="false">IF(発注計算!$C377="","",IF(NOT(ISNUMBER($F381)),"データなし",IF($F381&lt;=0,"今日が期限",IF($F381&lt;=N(発注計算!$AG377),"要発注","余裕"))))</f>
        <v/>
      </c>
      <c r="H381" s="67" t="str">
        <f aca="false">IF(OR(発注計算!$C377="",NOT(ISNUMBER(発注計算!$S377)),発注計算!$S377&lt;=0),"",(発注計算!$K377+N($J381)*N(発注計算!$G377))/発注計算!$S377)</f>
        <v/>
      </c>
      <c r="I381" s="69" t="str">
        <f aca="false">IF(発注計算!$C377="","",発注計算!$Y377)</f>
        <v/>
      </c>
      <c r="J381" s="70"/>
      <c r="K381" s="71" t="str">
        <f aca="false">IF($J381="","",N($J381)*N(発注計算!$H377))</f>
        <v/>
      </c>
      <c r="L381" s="72"/>
      <c r="M381" s="72"/>
      <c r="N381" s="72"/>
      <c r="O381" s="72"/>
      <c r="P381" s="72"/>
      <c r="Q381" s="72"/>
      <c r="R381" s="72"/>
      <c r="S381" s="72"/>
      <c r="T381" s="72"/>
      <c r="U381" s="72"/>
      <c r="V381" s="72"/>
      <c r="W381" s="72"/>
      <c r="X381" s="72"/>
      <c r="Y381" s="72"/>
      <c r="Z381" s="31" t="n">
        <f aca="false">IF(OR(N($J381)&lt;=0,AND(③発注書!$C$5&lt;&gt;"すべて",発注計算!$F377&lt;&gt;③発注書!$C$5)),N(Z380),N(Z380)+1)</f>
        <v>7</v>
      </c>
    </row>
    <row r="382" customFormat="false" ht="16.5" hidden="false" customHeight="true" outlineLevel="0" collapsed="false">
      <c r="B382" s="66" t="n">
        <v>373</v>
      </c>
      <c r="C382" s="66" t="str">
        <f aca="false">IF(発注計算!$C378="","",発注計算!$D378)</f>
        <v/>
      </c>
      <c r="D382" s="66" t="str">
        <f aca="false">IF(発注計算!$C378="","",発注計算!$E378)</f>
        <v/>
      </c>
      <c r="E382" s="67" t="str">
        <f aca="false">IF(発注計算!$C378="","",発注計算!$T378)</f>
        <v/>
      </c>
      <c r="F382" s="67" t="str">
        <f aca="false">IF(ISNUMBER($E382),$E382-N(発注計算!$I378),"")</f>
        <v/>
      </c>
      <c r="G382" s="68" t="str">
        <f aca="false">IF(発注計算!$C378="","",IF(NOT(ISNUMBER($F382)),"データなし",IF($F382&lt;=0,"今日が期限",IF($F382&lt;=N(発注計算!$AG378),"要発注","余裕"))))</f>
        <v/>
      </c>
      <c r="H382" s="67" t="str">
        <f aca="false">IF(OR(発注計算!$C378="",NOT(ISNUMBER(発注計算!$S378)),発注計算!$S378&lt;=0),"",(発注計算!$K378+N($J382)*N(発注計算!$G378))/発注計算!$S378)</f>
        <v/>
      </c>
      <c r="I382" s="69" t="str">
        <f aca="false">IF(発注計算!$C378="","",発注計算!$Y378)</f>
        <v/>
      </c>
      <c r="J382" s="70"/>
      <c r="K382" s="71" t="str">
        <f aca="false">IF($J382="","",N($J382)*N(発注計算!$H378))</f>
        <v/>
      </c>
      <c r="L382" s="72"/>
      <c r="M382" s="72"/>
      <c r="N382" s="72"/>
      <c r="O382" s="72"/>
      <c r="P382" s="72"/>
      <c r="Q382" s="72"/>
      <c r="R382" s="72"/>
      <c r="S382" s="72"/>
      <c r="T382" s="72"/>
      <c r="U382" s="72"/>
      <c r="V382" s="72"/>
      <c r="W382" s="72"/>
      <c r="X382" s="72"/>
      <c r="Y382" s="72"/>
      <c r="Z382" s="31" t="n">
        <f aca="false">IF(OR(N($J382)&lt;=0,AND(③発注書!$C$5&lt;&gt;"すべて",発注計算!$F378&lt;&gt;③発注書!$C$5)),N(Z381),N(Z381)+1)</f>
        <v>7</v>
      </c>
    </row>
    <row r="383" customFormat="false" ht="16.5" hidden="false" customHeight="true" outlineLevel="0" collapsed="false">
      <c r="B383" s="66" t="n">
        <v>374</v>
      </c>
      <c r="C383" s="66" t="str">
        <f aca="false">IF(発注計算!$C379="","",発注計算!$D379)</f>
        <v/>
      </c>
      <c r="D383" s="66" t="str">
        <f aca="false">IF(発注計算!$C379="","",発注計算!$E379)</f>
        <v/>
      </c>
      <c r="E383" s="67" t="str">
        <f aca="false">IF(発注計算!$C379="","",発注計算!$T379)</f>
        <v/>
      </c>
      <c r="F383" s="67" t="str">
        <f aca="false">IF(ISNUMBER($E383),$E383-N(発注計算!$I379),"")</f>
        <v/>
      </c>
      <c r="G383" s="68" t="str">
        <f aca="false">IF(発注計算!$C379="","",IF(NOT(ISNUMBER($F383)),"データなし",IF($F383&lt;=0,"今日が期限",IF($F383&lt;=N(発注計算!$AG379),"要発注","余裕"))))</f>
        <v/>
      </c>
      <c r="H383" s="67" t="str">
        <f aca="false">IF(OR(発注計算!$C379="",NOT(ISNUMBER(発注計算!$S379)),発注計算!$S379&lt;=0),"",(発注計算!$K379+N($J383)*N(発注計算!$G379))/発注計算!$S379)</f>
        <v/>
      </c>
      <c r="I383" s="69" t="str">
        <f aca="false">IF(発注計算!$C379="","",発注計算!$Y379)</f>
        <v/>
      </c>
      <c r="J383" s="70"/>
      <c r="K383" s="71" t="str">
        <f aca="false">IF($J383="","",N($J383)*N(発注計算!$H379))</f>
        <v/>
      </c>
      <c r="L383" s="72"/>
      <c r="M383" s="72"/>
      <c r="N383" s="72"/>
      <c r="O383" s="72"/>
      <c r="P383" s="72"/>
      <c r="Q383" s="72"/>
      <c r="R383" s="72"/>
      <c r="S383" s="72"/>
      <c r="T383" s="72"/>
      <c r="U383" s="72"/>
      <c r="V383" s="72"/>
      <c r="W383" s="72"/>
      <c r="X383" s="72"/>
      <c r="Y383" s="72"/>
      <c r="Z383" s="31" t="n">
        <f aca="false">IF(OR(N($J383)&lt;=0,AND(③発注書!$C$5&lt;&gt;"すべて",発注計算!$F379&lt;&gt;③発注書!$C$5)),N(Z382),N(Z382)+1)</f>
        <v>7</v>
      </c>
    </row>
    <row r="384" customFormat="false" ht="16.5" hidden="false" customHeight="true" outlineLevel="0" collapsed="false">
      <c r="B384" s="66" t="n">
        <v>375</v>
      </c>
      <c r="C384" s="66" t="str">
        <f aca="false">IF(発注計算!$C380="","",発注計算!$D380)</f>
        <v/>
      </c>
      <c r="D384" s="66" t="str">
        <f aca="false">IF(発注計算!$C380="","",発注計算!$E380)</f>
        <v/>
      </c>
      <c r="E384" s="67" t="str">
        <f aca="false">IF(発注計算!$C380="","",発注計算!$T380)</f>
        <v/>
      </c>
      <c r="F384" s="67" t="str">
        <f aca="false">IF(ISNUMBER($E384),$E384-N(発注計算!$I380),"")</f>
        <v/>
      </c>
      <c r="G384" s="68" t="str">
        <f aca="false">IF(発注計算!$C380="","",IF(NOT(ISNUMBER($F384)),"データなし",IF($F384&lt;=0,"今日が期限",IF($F384&lt;=N(発注計算!$AG380),"要発注","余裕"))))</f>
        <v/>
      </c>
      <c r="H384" s="67" t="str">
        <f aca="false">IF(OR(発注計算!$C380="",NOT(ISNUMBER(発注計算!$S380)),発注計算!$S380&lt;=0),"",(発注計算!$K380+N($J384)*N(発注計算!$G380))/発注計算!$S380)</f>
        <v/>
      </c>
      <c r="I384" s="69" t="str">
        <f aca="false">IF(発注計算!$C380="","",発注計算!$Y380)</f>
        <v/>
      </c>
      <c r="J384" s="70"/>
      <c r="K384" s="71" t="str">
        <f aca="false">IF($J384="","",N($J384)*N(発注計算!$H380))</f>
        <v/>
      </c>
      <c r="L384" s="72"/>
      <c r="M384" s="72"/>
      <c r="N384" s="72"/>
      <c r="O384" s="72"/>
      <c r="P384" s="72"/>
      <c r="Q384" s="72"/>
      <c r="R384" s="72"/>
      <c r="S384" s="72"/>
      <c r="T384" s="72"/>
      <c r="U384" s="72"/>
      <c r="V384" s="72"/>
      <c r="W384" s="72"/>
      <c r="X384" s="72"/>
      <c r="Y384" s="72"/>
      <c r="Z384" s="31" t="n">
        <f aca="false">IF(OR(N($J384)&lt;=0,AND(③発注書!$C$5&lt;&gt;"すべて",発注計算!$F380&lt;&gt;③発注書!$C$5)),N(Z383),N(Z383)+1)</f>
        <v>7</v>
      </c>
    </row>
    <row r="385" customFormat="false" ht="16.5" hidden="false" customHeight="true" outlineLevel="0" collapsed="false">
      <c r="B385" s="66" t="n">
        <v>376</v>
      </c>
      <c r="C385" s="66" t="str">
        <f aca="false">IF(発注計算!$C381="","",発注計算!$D381)</f>
        <v/>
      </c>
      <c r="D385" s="66" t="str">
        <f aca="false">IF(発注計算!$C381="","",発注計算!$E381)</f>
        <v/>
      </c>
      <c r="E385" s="67" t="str">
        <f aca="false">IF(発注計算!$C381="","",発注計算!$T381)</f>
        <v/>
      </c>
      <c r="F385" s="67" t="str">
        <f aca="false">IF(ISNUMBER($E385),$E385-N(発注計算!$I381),"")</f>
        <v/>
      </c>
      <c r="G385" s="68" t="str">
        <f aca="false">IF(発注計算!$C381="","",IF(NOT(ISNUMBER($F385)),"データなし",IF($F385&lt;=0,"今日が期限",IF($F385&lt;=N(発注計算!$AG381),"要発注","余裕"))))</f>
        <v/>
      </c>
      <c r="H385" s="67" t="str">
        <f aca="false">IF(OR(発注計算!$C381="",NOT(ISNUMBER(発注計算!$S381)),発注計算!$S381&lt;=0),"",(発注計算!$K381+N($J385)*N(発注計算!$G381))/発注計算!$S381)</f>
        <v/>
      </c>
      <c r="I385" s="69" t="str">
        <f aca="false">IF(発注計算!$C381="","",発注計算!$Y381)</f>
        <v/>
      </c>
      <c r="J385" s="70"/>
      <c r="K385" s="71" t="str">
        <f aca="false">IF($J385="","",N($J385)*N(発注計算!$H381))</f>
        <v/>
      </c>
      <c r="L385" s="72"/>
      <c r="M385" s="72"/>
      <c r="N385" s="72"/>
      <c r="O385" s="72"/>
      <c r="P385" s="72"/>
      <c r="Q385" s="72"/>
      <c r="R385" s="72"/>
      <c r="S385" s="72"/>
      <c r="T385" s="72"/>
      <c r="U385" s="72"/>
      <c r="V385" s="72"/>
      <c r="W385" s="72"/>
      <c r="X385" s="72"/>
      <c r="Y385" s="72"/>
      <c r="Z385" s="31" t="n">
        <f aca="false">IF(OR(N($J385)&lt;=0,AND(③発注書!$C$5&lt;&gt;"すべて",発注計算!$F381&lt;&gt;③発注書!$C$5)),N(Z384),N(Z384)+1)</f>
        <v>7</v>
      </c>
    </row>
    <row r="386" customFormat="false" ht="16.5" hidden="false" customHeight="true" outlineLevel="0" collapsed="false">
      <c r="B386" s="66" t="n">
        <v>377</v>
      </c>
      <c r="C386" s="66" t="str">
        <f aca="false">IF(発注計算!$C382="","",発注計算!$D382)</f>
        <v/>
      </c>
      <c r="D386" s="66" t="str">
        <f aca="false">IF(発注計算!$C382="","",発注計算!$E382)</f>
        <v/>
      </c>
      <c r="E386" s="67" t="str">
        <f aca="false">IF(発注計算!$C382="","",発注計算!$T382)</f>
        <v/>
      </c>
      <c r="F386" s="67" t="str">
        <f aca="false">IF(ISNUMBER($E386),$E386-N(発注計算!$I382),"")</f>
        <v/>
      </c>
      <c r="G386" s="68" t="str">
        <f aca="false">IF(発注計算!$C382="","",IF(NOT(ISNUMBER($F386)),"データなし",IF($F386&lt;=0,"今日が期限",IF($F386&lt;=N(発注計算!$AG382),"要発注","余裕"))))</f>
        <v/>
      </c>
      <c r="H386" s="67" t="str">
        <f aca="false">IF(OR(発注計算!$C382="",NOT(ISNUMBER(発注計算!$S382)),発注計算!$S382&lt;=0),"",(発注計算!$K382+N($J386)*N(発注計算!$G382))/発注計算!$S382)</f>
        <v/>
      </c>
      <c r="I386" s="69" t="str">
        <f aca="false">IF(発注計算!$C382="","",発注計算!$Y382)</f>
        <v/>
      </c>
      <c r="J386" s="70"/>
      <c r="K386" s="71" t="str">
        <f aca="false">IF($J386="","",N($J386)*N(発注計算!$H382))</f>
        <v/>
      </c>
      <c r="L386" s="72"/>
      <c r="M386" s="72"/>
      <c r="N386" s="72"/>
      <c r="O386" s="72"/>
      <c r="P386" s="72"/>
      <c r="Q386" s="72"/>
      <c r="R386" s="72"/>
      <c r="S386" s="72"/>
      <c r="T386" s="72"/>
      <c r="U386" s="72"/>
      <c r="V386" s="72"/>
      <c r="W386" s="72"/>
      <c r="X386" s="72"/>
      <c r="Y386" s="72"/>
      <c r="Z386" s="31" t="n">
        <f aca="false">IF(OR(N($J386)&lt;=0,AND(③発注書!$C$5&lt;&gt;"すべて",発注計算!$F382&lt;&gt;③発注書!$C$5)),N(Z385),N(Z385)+1)</f>
        <v>7</v>
      </c>
    </row>
    <row r="387" customFormat="false" ht="16.5" hidden="false" customHeight="true" outlineLevel="0" collapsed="false">
      <c r="B387" s="66" t="n">
        <v>378</v>
      </c>
      <c r="C387" s="66" t="str">
        <f aca="false">IF(発注計算!$C383="","",発注計算!$D383)</f>
        <v/>
      </c>
      <c r="D387" s="66" t="str">
        <f aca="false">IF(発注計算!$C383="","",発注計算!$E383)</f>
        <v/>
      </c>
      <c r="E387" s="67" t="str">
        <f aca="false">IF(発注計算!$C383="","",発注計算!$T383)</f>
        <v/>
      </c>
      <c r="F387" s="67" t="str">
        <f aca="false">IF(ISNUMBER($E387),$E387-N(発注計算!$I383),"")</f>
        <v/>
      </c>
      <c r="G387" s="68" t="str">
        <f aca="false">IF(発注計算!$C383="","",IF(NOT(ISNUMBER($F387)),"データなし",IF($F387&lt;=0,"今日が期限",IF($F387&lt;=N(発注計算!$AG383),"要発注","余裕"))))</f>
        <v/>
      </c>
      <c r="H387" s="67" t="str">
        <f aca="false">IF(OR(発注計算!$C383="",NOT(ISNUMBER(発注計算!$S383)),発注計算!$S383&lt;=0),"",(発注計算!$K383+N($J387)*N(発注計算!$G383))/発注計算!$S383)</f>
        <v/>
      </c>
      <c r="I387" s="69" t="str">
        <f aca="false">IF(発注計算!$C383="","",発注計算!$Y383)</f>
        <v/>
      </c>
      <c r="J387" s="70"/>
      <c r="K387" s="71" t="str">
        <f aca="false">IF($J387="","",N($J387)*N(発注計算!$H383))</f>
        <v/>
      </c>
      <c r="L387" s="72"/>
      <c r="M387" s="72"/>
      <c r="N387" s="72"/>
      <c r="O387" s="72"/>
      <c r="P387" s="72"/>
      <c r="Q387" s="72"/>
      <c r="R387" s="72"/>
      <c r="S387" s="72"/>
      <c r="T387" s="72"/>
      <c r="U387" s="72"/>
      <c r="V387" s="72"/>
      <c r="W387" s="72"/>
      <c r="X387" s="72"/>
      <c r="Y387" s="72"/>
      <c r="Z387" s="31" t="n">
        <f aca="false">IF(OR(N($J387)&lt;=0,AND(③発注書!$C$5&lt;&gt;"すべて",発注計算!$F383&lt;&gt;③発注書!$C$5)),N(Z386),N(Z386)+1)</f>
        <v>7</v>
      </c>
    </row>
    <row r="388" customFormat="false" ht="16.5" hidden="false" customHeight="true" outlineLevel="0" collapsed="false">
      <c r="B388" s="66" t="n">
        <v>379</v>
      </c>
      <c r="C388" s="66" t="str">
        <f aca="false">IF(発注計算!$C384="","",発注計算!$D384)</f>
        <v/>
      </c>
      <c r="D388" s="66" t="str">
        <f aca="false">IF(発注計算!$C384="","",発注計算!$E384)</f>
        <v/>
      </c>
      <c r="E388" s="67" t="str">
        <f aca="false">IF(発注計算!$C384="","",発注計算!$T384)</f>
        <v/>
      </c>
      <c r="F388" s="67" t="str">
        <f aca="false">IF(ISNUMBER($E388),$E388-N(発注計算!$I384),"")</f>
        <v/>
      </c>
      <c r="G388" s="68" t="str">
        <f aca="false">IF(発注計算!$C384="","",IF(NOT(ISNUMBER($F388)),"データなし",IF($F388&lt;=0,"今日が期限",IF($F388&lt;=N(発注計算!$AG384),"要発注","余裕"))))</f>
        <v/>
      </c>
      <c r="H388" s="67" t="str">
        <f aca="false">IF(OR(発注計算!$C384="",NOT(ISNUMBER(発注計算!$S384)),発注計算!$S384&lt;=0),"",(発注計算!$K384+N($J388)*N(発注計算!$G384))/発注計算!$S384)</f>
        <v/>
      </c>
      <c r="I388" s="69" t="str">
        <f aca="false">IF(発注計算!$C384="","",発注計算!$Y384)</f>
        <v/>
      </c>
      <c r="J388" s="70"/>
      <c r="K388" s="71" t="str">
        <f aca="false">IF($J388="","",N($J388)*N(発注計算!$H384))</f>
        <v/>
      </c>
      <c r="L388" s="72"/>
      <c r="M388" s="72"/>
      <c r="N388" s="72"/>
      <c r="O388" s="72"/>
      <c r="P388" s="72"/>
      <c r="Q388" s="72"/>
      <c r="R388" s="72"/>
      <c r="S388" s="72"/>
      <c r="T388" s="72"/>
      <c r="U388" s="72"/>
      <c r="V388" s="72"/>
      <c r="W388" s="72"/>
      <c r="X388" s="72"/>
      <c r="Y388" s="72"/>
      <c r="Z388" s="31" t="n">
        <f aca="false">IF(OR(N($J388)&lt;=0,AND(③発注書!$C$5&lt;&gt;"すべて",発注計算!$F384&lt;&gt;③発注書!$C$5)),N(Z387),N(Z387)+1)</f>
        <v>7</v>
      </c>
    </row>
    <row r="389" customFormat="false" ht="16.5" hidden="false" customHeight="true" outlineLevel="0" collapsed="false">
      <c r="B389" s="66" t="n">
        <v>380</v>
      </c>
      <c r="C389" s="66" t="str">
        <f aca="false">IF(発注計算!$C385="","",発注計算!$D385)</f>
        <v/>
      </c>
      <c r="D389" s="66" t="str">
        <f aca="false">IF(発注計算!$C385="","",発注計算!$E385)</f>
        <v/>
      </c>
      <c r="E389" s="67" t="str">
        <f aca="false">IF(発注計算!$C385="","",発注計算!$T385)</f>
        <v/>
      </c>
      <c r="F389" s="67" t="str">
        <f aca="false">IF(ISNUMBER($E389),$E389-N(発注計算!$I385),"")</f>
        <v/>
      </c>
      <c r="G389" s="68" t="str">
        <f aca="false">IF(発注計算!$C385="","",IF(NOT(ISNUMBER($F389)),"データなし",IF($F389&lt;=0,"今日が期限",IF($F389&lt;=N(発注計算!$AG385),"要発注","余裕"))))</f>
        <v/>
      </c>
      <c r="H389" s="67" t="str">
        <f aca="false">IF(OR(発注計算!$C385="",NOT(ISNUMBER(発注計算!$S385)),発注計算!$S385&lt;=0),"",(発注計算!$K385+N($J389)*N(発注計算!$G385))/発注計算!$S385)</f>
        <v/>
      </c>
      <c r="I389" s="69" t="str">
        <f aca="false">IF(発注計算!$C385="","",発注計算!$Y385)</f>
        <v/>
      </c>
      <c r="J389" s="70"/>
      <c r="K389" s="71" t="str">
        <f aca="false">IF($J389="","",N($J389)*N(発注計算!$H385))</f>
        <v/>
      </c>
      <c r="L389" s="72"/>
      <c r="M389" s="72"/>
      <c r="N389" s="72"/>
      <c r="O389" s="72"/>
      <c r="P389" s="72"/>
      <c r="Q389" s="72"/>
      <c r="R389" s="72"/>
      <c r="S389" s="72"/>
      <c r="T389" s="72"/>
      <c r="U389" s="72"/>
      <c r="V389" s="72"/>
      <c r="W389" s="72"/>
      <c r="X389" s="72"/>
      <c r="Y389" s="72"/>
      <c r="Z389" s="31" t="n">
        <f aca="false">IF(OR(N($J389)&lt;=0,AND(③発注書!$C$5&lt;&gt;"すべて",発注計算!$F385&lt;&gt;③発注書!$C$5)),N(Z388),N(Z388)+1)</f>
        <v>7</v>
      </c>
    </row>
    <row r="390" customFormat="false" ht="16.5" hidden="false" customHeight="true" outlineLevel="0" collapsed="false">
      <c r="B390" s="66" t="n">
        <v>381</v>
      </c>
      <c r="C390" s="66" t="str">
        <f aca="false">IF(発注計算!$C386="","",発注計算!$D386)</f>
        <v/>
      </c>
      <c r="D390" s="66" t="str">
        <f aca="false">IF(発注計算!$C386="","",発注計算!$E386)</f>
        <v/>
      </c>
      <c r="E390" s="67" t="str">
        <f aca="false">IF(発注計算!$C386="","",発注計算!$T386)</f>
        <v/>
      </c>
      <c r="F390" s="67" t="str">
        <f aca="false">IF(ISNUMBER($E390),$E390-N(発注計算!$I386),"")</f>
        <v/>
      </c>
      <c r="G390" s="68" t="str">
        <f aca="false">IF(発注計算!$C386="","",IF(NOT(ISNUMBER($F390)),"データなし",IF($F390&lt;=0,"今日が期限",IF($F390&lt;=N(発注計算!$AG386),"要発注","余裕"))))</f>
        <v/>
      </c>
      <c r="H390" s="67" t="str">
        <f aca="false">IF(OR(発注計算!$C386="",NOT(ISNUMBER(発注計算!$S386)),発注計算!$S386&lt;=0),"",(発注計算!$K386+N($J390)*N(発注計算!$G386))/発注計算!$S386)</f>
        <v/>
      </c>
      <c r="I390" s="69" t="str">
        <f aca="false">IF(発注計算!$C386="","",発注計算!$Y386)</f>
        <v/>
      </c>
      <c r="J390" s="70"/>
      <c r="K390" s="71" t="str">
        <f aca="false">IF($J390="","",N($J390)*N(発注計算!$H386))</f>
        <v/>
      </c>
      <c r="L390" s="72"/>
      <c r="M390" s="72"/>
      <c r="N390" s="72"/>
      <c r="O390" s="72"/>
      <c r="P390" s="72"/>
      <c r="Q390" s="72"/>
      <c r="R390" s="72"/>
      <c r="S390" s="72"/>
      <c r="T390" s="72"/>
      <c r="U390" s="72"/>
      <c r="V390" s="72"/>
      <c r="W390" s="72"/>
      <c r="X390" s="72"/>
      <c r="Y390" s="72"/>
      <c r="Z390" s="31" t="n">
        <f aca="false">IF(OR(N($J390)&lt;=0,AND(③発注書!$C$5&lt;&gt;"すべて",発注計算!$F386&lt;&gt;③発注書!$C$5)),N(Z389),N(Z389)+1)</f>
        <v>7</v>
      </c>
    </row>
    <row r="391" customFormat="false" ht="16.5" hidden="false" customHeight="true" outlineLevel="0" collapsed="false">
      <c r="B391" s="66" t="n">
        <v>382</v>
      </c>
      <c r="C391" s="66" t="str">
        <f aca="false">IF(発注計算!$C387="","",発注計算!$D387)</f>
        <v/>
      </c>
      <c r="D391" s="66" t="str">
        <f aca="false">IF(発注計算!$C387="","",発注計算!$E387)</f>
        <v/>
      </c>
      <c r="E391" s="67" t="str">
        <f aca="false">IF(発注計算!$C387="","",発注計算!$T387)</f>
        <v/>
      </c>
      <c r="F391" s="67" t="str">
        <f aca="false">IF(ISNUMBER($E391),$E391-N(発注計算!$I387),"")</f>
        <v/>
      </c>
      <c r="G391" s="68" t="str">
        <f aca="false">IF(発注計算!$C387="","",IF(NOT(ISNUMBER($F391)),"データなし",IF($F391&lt;=0,"今日が期限",IF($F391&lt;=N(発注計算!$AG387),"要発注","余裕"))))</f>
        <v/>
      </c>
      <c r="H391" s="67" t="str">
        <f aca="false">IF(OR(発注計算!$C387="",NOT(ISNUMBER(発注計算!$S387)),発注計算!$S387&lt;=0),"",(発注計算!$K387+N($J391)*N(発注計算!$G387))/発注計算!$S387)</f>
        <v/>
      </c>
      <c r="I391" s="69" t="str">
        <f aca="false">IF(発注計算!$C387="","",発注計算!$Y387)</f>
        <v/>
      </c>
      <c r="J391" s="70"/>
      <c r="K391" s="71" t="str">
        <f aca="false">IF($J391="","",N($J391)*N(発注計算!$H387))</f>
        <v/>
      </c>
      <c r="L391" s="72"/>
      <c r="M391" s="72"/>
      <c r="N391" s="72"/>
      <c r="O391" s="72"/>
      <c r="P391" s="72"/>
      <c r="Q391" s="72"/>
      <c r="R391" s="72"/>
      <c r="S391" s="72"/>
      <c r="T391" s="72"/>
      <c r="U391" s="72"/>
      <c r="V391" s="72"/>
      <c r="W391" s="72"/>
      <c r="X391" s="72"/>
      <c r="Y391" s="72"/>
      <c r="Z391" s="31" t="n">
        <f aca="false">IF(OR(N($J391)&lt;=0,AND(③発注書!$C$5&lt;&gt;"すべて",発注計算!$F387&lt;&gt;③発注書!$C$5)),N(Z390),N(Z390)+1)</f>
        <v>7</v>
      </c>
    </row>
    <row r="392" customFormat="false" ht="16.5" hidden="false" customHeight="true" outlineLevel="0" collapsed="false">
      <c r="B392" s="66" t="n">
        <v>383</v>
      </c>
      <c r="C392" s="66" t="str">
        <f aca="false">IF(発注計算!$C388="","",発注計算!$D388)</f>
        <v/>
      </c>
      <c r="D392" s="66" t="str">
        <f aca="false">IF(発注計算!$C388="","",発注計算!$E388)</f>
        <v/>
      </c>
      <c r="E392" s="67" t="str">
        <f aca="false">IF(発注計算!$C388="","",発注計算!$T388)</f>
        <v/>
      </c>
      <c r="F392" s="67" t="str">
        <f aca="false">IF(ISNUMBER($E392),$E392-N(発注計算!$I388),"")</f>
        <v/>
      </c>
      <c r="G392" s="68" t="str">
        <f aca="false">IF(発注計算!$C388="","",IF(NOT(ISNUMBER($F392)),"データなし",IF($F392&lt;=0,"今日が期限",IF($F392&lt;=N(発注計算!$AG388),"要発注","余裕"))))</f>
        <v/>
      </c>
      <c r="H392" s="67" t="str">
        <f aca="false">IF(OR(発注計算!$C388="",NOT(ISNUMBER(発注計算!$S388)),発注計算!$S388&lt;=0),"",(発注計算!$K388+N($J392)*N(発注計算!$G388))/発注計算!$S388)</f>
        <v/>
      </c>
      <c r="I392" s="69" t="str">
        <f aca="false">IF(発注計算!$C388="","",発注計算!$Y388)</f>
        <v/>
      </c>
      <c r="J392" s="70"/>
      <c r="K392" s="71" t="str">
        <f aca="false">IF($J392="","",N($J392)*N(発注計算!$H388))</f>
        <v/>
      </c>
      <c r="L392" s="72"/>
      <c r="M392" s="72"/>
      <c r="N392" s="72"/>
      <c r="O392" s="72"/>
      <c r="P392" s="72"/>
      <c r="Q392" s="72"/>
      <c r="R392" s="72"/>
      <c r="S392" s="72"/>
      <c r="T392" s="72"/>
      <c r="U392" s="72"/>
      <c r="V392" s="72"/>
      <c r="W392" s="72"/>
      <c r="X392" s="72"/>
      <c r="Y392" s="72"/>
      <c r="Z392" s="31" t="n">
        <f aca="false">IF(OR(N($J392)&lt;=0,AND(③発注書!$C$5&lt;&gt;"すべて",発注計算!$F388&lt;&gt;③発注書!$C$5)),N(Z391),N(Z391)+1)</f>
        <v>7</v>
      </c>
    </row>
    <row r="393" customFormat="false" ht="16.5" hidden="false" customHeight="true" outlineLevel="0" collapsed="false">
      <c r="B393" s="66" t="n">
        <v>384</v>
      </c>
      <c r="C393" s="66" t="str">
        <f aca="false">IF(発注計算!$C389="","",発注計算!$D389)</f>
        <v/>
      </c>
      <c r="D393" s="66" t="str">
        <f aca="false">IF(発注計算!$C389="","",発注計算!$E389)</f>
        <v/>
      </c>
      <c r="E393" s="67" t="str">
        <f aca="false">IF(発注計算!$C389="","",発注計算!$T389)</f>
        <v/>
      </c>
      <c r="F393" s="67" t="str">
        <f aca="false">IF(ISNUMBER($E393),$E393-N(発注計算!$I389),"")</f>
        <v/>
      </c>
      <c r="G393" s="68" t="str">
        <f aca="false">IF(発注計算!$C389="","",IF(NOT(ISNUMBER($F393)),"データなし",IF($F393&lt;=0,"今日が期限",IF($F393&lt;=N(発注計算!$AG389),"要発注","余裕"))))</f>
        <v/>
      </c>
      <c r="H393" s="67" t="str">
        <f aca="false">IF(OR(発注計算!$C389="",NOT(ISNUMBER(発注計算!$S389)),発注計算!$S389&lt;=0),"",(発注計算!$K389+N($J393)*N(発注計算!$G389))/発注計算!$S389)</f>
        <v/>
      </c>
      <c r="I393" s="69" t="str">
        <f aca="false">IF(発注計算!$C389="","",発注計算!$Y389)</f>
        <v/>
      </c>
      <c r="J393" s="70"/>
      <c r="K393" s="71" t="str">
        <f aca="false">IF($J393="","",N($J393)*N(発注計算!$H389))</f>
        <v/>
      </c>
      <c r="L393" s="72"/>
      <c r="M393" s="72"/>
      <c r="N393" s="72"/>
      <c r="O393" s="72"/>
      <c r="P393" s="72"/>
      <c r="Q393" s="72"/>
      <c r="R393" s="72"/>
      <c r="S393" s="72"/>
      <c r="T393" s="72"/>
      <c r="U393" s="72"/>
      <c r="V393" s="72"/>
      <c r="W393" s="72"/>
      <c r="X393" s="72"/>
      <c r="Y393" s="72"/>
      <c r="Z393" s="31" t="n">
        <f aca="false">IF(OR(N($J393)&lt;=0,AND(③発注書!$C$5&lt;&gt;"すべて",発注計算!$F389&lt;&gt;③発注書!$C$5)),N(Z392),N(Z392)+1)</f>
        <v>7</v>
      </c>
    </row>
    <row r="394" customFormat="false" ht="16.5" hidden="false" customHeight="true" outlineLevel="0" collapsed="false">
      <c r="B394" s="66" t="n">
        <v>385</v>
      </c>
      <c r="C394" s="66" t="str">
        <f aca="false">IF(発注計算!$C390="","",発注計算!$D390)</f>
        <v/>
      </c>
      <c r="D394" s="66" t="str">
        <f aca="false">IF(発注計算!$C390="","",発注計算!$E390)</f>
        <v/>
      </c>
      <c r="E394" s="67" t="str">
        <f aca="false">IF(発注計算!$C390="","",発注計算!$T390)</f>
        <v/>
      </c>
      <c r="F394" s="67" t="str">
        <f aca="false">IF(ISNUMBER($E394),$E394-N(発注計算!$I390),"")</f>
        <v/>
      </c>
      <c r="G394" s="68" t="str">
        <f aca="false">IF(発注計算!$C390="","",IF(NOT(ISNUMBER($F394)),"データなし",IF($F394&lt;=0,"今日が期限",IF($F394&lt;=N(発注計算!$AG390),"要発注","余裕"))))</f>
        <v/>
      </c>
      <c r="H394" s="67" t="str">
        <f aca="false">IF(OR(発注計算!$C390="",NOT(ISNUMBER(発注計算!$S390)),発注計算!$S390&lt;=0),"",(発注計算!$K390+N($J394)*N(発注計算!$G390))/発注計算!$S390)</f>
        <v/>
      </c>
      <c r="I394" s="69" t="str">
        <f aca="false">IF(発注計算!$C390="","",発注計算!$Y390)</f>
        <v/>
      </c>
      <c r="J394" s="70"/>
      <c r="K394" s="71" t="str">
        <f aca="false">IF($J394="","",N($J394)*N(発注計算!$H390))</f>
        <v/>
      </c>
      <c r="L394" s="72"/>
      <c r="M394" s="72"/>
      <c r="N394" s="72"/>
      <c r="O394" s="72"/>
      <c r="P394" s="72"/>
      <c r="Q394" s="72"/>
      <c r="R394" s="72"/>
      <c r="S394" s="72"/>
      <c r="T394" s="72"/>
      <c r="U394" s="72"/>
      <c r="V394" s="72"/>
      <c r="W394" s="72"/>
      <c r="X394" s="72"/>
      <c r="Y394" s="72"/>
      <c r="Z394" s="31" t="n">
        <f aca="false">IF(OR(N($J394)&lt;=0,AND(③発注書!$C$5&lt;&gt;"すべて",発注計算!$F390&lt;&gt;③発注書!$C$5)),N(Z393),N(Z393)+1)</f>
        <v>7</v>
      </c>
    </row>
    <row r="395" customFormat="false" ht="16.5" hidden="false" customHeight="true" outlineLevel="0" collapsed="false">
      <c r="B395" s="66" t="n">
        <v>386</v>
      </c>
      <c r="C395" s="66" t="str">
        <f aca="false">IF(発注計算!$C391="","",発注計算!$D391)</f>
        <v/>
      </c>
      <c r="D395" s="66" t="str">
        <f aca="false">IF(発注計算!$C391="","",発注計算!$E391)</f>
        <v/>
      </c>
      <c r="E395" s="67" t="str">
        <f aca="false">IF(発注計算!$C391="","",発注計算!$T391)</f>
        <v/>
      </c>
      <c r="F395" s="67" t="str">
        <f aca="false">IF(ISNUMBER($E395),$E395-N(発注計算!$I391),"")</f>
        <v/>
      </c>
      <c r="G395" s="68" t="str">
        <f aca="false">IF(発注計算!$C391="","",IF(NOT(ISNUMBER($F395)),"データなし",IF($F395&lt;=0,"今日が期限",IF($F395&lt;=N(発注計算!$AG391),"要発注","余裕"))))</f>
        <v/>
      </c>
      <c r="H395" s="67" t="str">
        <f aca="false">IF(OR(発注計算!$C391="",NOT(ISNUMBER(発注計算!$S391)),発注計算!$S391&lt;=0),"",(発注計算!$K391+N($J395)*N(発注計算!$G391))/発注計算!$S391)</f>
        <v/>
      </c>
      <c r="I395" s="69" t="str">
        <f aca="false">IF(発注計算!$C391="","",発注計算!$Y391)</f>
        <v/>
      </c>
      <c r="J395" s="70"/>
      <c r="K395" s="71" t="str">
        <f aca="false">IF($J395="","",N($J395)*N(発注計算!$H391))</f>
        <v/>
      </c>
      <c r="L395" s="72"/>
      <c r="M395" s="72"/>
      <c r="N395" s="72"/>
      <c r="O395" s="72"/>
      <c r="P395" s="72"/>
      <c r="Q395" s="72"/>
      <c r="R395" s="72"/>
      <c r="S395" s="72"/>
      <c r="T395" s="72"/>
      <c r="U395" s="72"/>
      <c r="V395" s="72"/>
      <c r="W395" s="72"/>
      <c r="X395" s="72"/>
      <c r="Y395" s="72"/>
      <c r="Z395" s="31" t="n">
        <f aca="false">IF(OR(N($J395)&lt;=0,AND(③発注書!$C$5&lt;&gt;"すべて",発注計算!$F391&lt;&gt;③発注書!$C$5)),N(Z394),N(Z394)+1)</f>
        <v>7</v>
      </c>
    </row>
    <row r="396" customFormat="false" ht="16.5" hidden="false" customHeight="true" outlineLevel="0" collapsed="false">
      <c r="B396" s="66" t="n">
        <v>387</v>
      </c>
      <c r="C396" s="66" t="str">
        <f aca="false">IF(発注計算!$C392="","",発注計算!$D392)</f>
        <v/>
      </c>
      <c r="D396" s="66" t="str">
        <f aca="false">IF(発注計算!$C392="","",発注計算!$E392)</f>
        <v/>
      </c>
      <c r="E396" s="67" t="str">
        <f aca="false">IF(発注計算!$C392="","",発注計算!$T392)</f>
        <v/>
      </c>
      <c r="F396" s="67" t="str">
        <f aca="false">IF(ISNUMBER($E396),$E396-N(発注計算!$I392),"")</f>
        <v/>
      </c>
      <c r="G396" s="68" t="str">
        <f aca="false">IF(発注計算!$C392="","",IF(NOT(ISNUMBER($F396)),"データなし",IF($F396&lt;=0,"今日が期限",IF($F396&lt;=N(発注計算!$AG392),"要発注","余裕"))))</f>
        <v/>
      </c>
      <c r="H396" s="67" t="str">
        <f aca="false">IF(OR(発注計算!$C392="",NOT(ISNUMBER(発注計算!$S392)),発注計算!$S392&lt;=0),"",(発注計算!$K392+N($J396)*N(発注計算!$G392))/発注計算!$S392)</f>
        <v/>
      </c>
      <c r="I396" s="69" t="str">
        <f aca="false">IF(発注計算!$C392="","",発注計算!$Y392)</f>
        <v/>
      </c>
      <c r="J396" s="70"/>
      <c r="K396" s="71" t="str">
        <f aca="false">IF($J396="","",N($J396)*N(発注計算!$H392))</f>
        <v/>
      </c>
      <c r="L396" s="72"/>
      <c r="M396" s="72"/>
      <c r="N396" s="72"/>
      <c r="O396" s="72"/>
      <c r="P396" s="72"/>
      <c r="Q396" s="72"/>
      <c r="R396" s="72"/>
      <c r="S396" s="72"/>
      <c r="T396" s="72"/>
      <c r="U396" s="72"/>
      <c r="V396" s="72"/>
      <c r="W396" s="72"/>
      <c r="X396" s="72"/>
      <c r="Y396" s="72"/>
      <c r="Z396" s="31" t="n">
        <f aca="false">IF(OR(N($J396)&lt;=0,AND(③発注書!$C$5&lt;&gt;"すべて",発注計算!$F392&lt;&gt;③発注書!$C$5)),N(Z395),N(Z395)+1)</f>
        <v>7</v>
      </c>
    </row>
    <row r="397" customFormat="false" ht="16.5" hidden="false" customHeight="true" outlineLevel="0" collapsed="false">
      <c r="B397" s="66" t="n">
        <v>388</v>
      </c>
      <c r="C397" s="66" t="str">
        <f aca="false">IF(発注計算!$C393="","",発注計算!$D393)</f>
        <v/>
      </c>
      <c r="D397" s="66" t="str">
        <f aca="false">IF(発注計算!$C393="","",発注計算!$E393)</f>
        <v/>
      </c>
      <c r="E397" s="67" t="str">
        <f aca="false">IF(発注計算!$C393="","",発注計算!$T393)</f>
        <v/>
      </c>
      <c r="F397" s="67" t="str">
        <f aca="false">IF(ISNUMBER($E397),$E397-N(発注計算!$I393),"")</f>
        <v/>
      </c>
      <c r="G397" s="68" t="str">
        <f aca="false">IF(発注計算!$C393="","",IF(NOT(ISNUMBER($F397)),"データなし",IF($F397&lt;=0,"今日が期限",IF($F397&lt;=N(発注計算!$AG393),"要発注","余裕"))))</f>
        <v/>
      </c>
      <c r="H397" s="67" t="str">
        <f aca="false">IF(OR(発注計算!$C393="",NOT(ISNUMBER(発注計算!$S393)),発注計算!$S393&lt;=0),"",(発注計算!$K393+N($J397)*N(発注計算!$G393))/発注計算!$S393)</f>
        <v/>
      </c>
      <c r="I397" s="69" t="str">
        <f aca="false">IF(発注計算!$C393="","",発注計算!$Y393)</f>
        <v/>
      </c>
      <c r="J397" s="70"/>
      <c r="K397" s="71" t="str">
        <f aca="false">IF($J397="","",N($J397)*N(発注計算!$H393))</f>
        <v/>
      </c>
      <c r="L397" s="72"/>
      <c r="M397" s="72"/>
      <c r="N397" s="72"/>
      <c r="O397" s="72"/>
      <c r="P397" s="72"/>
      <c r="Q397" s="72"/>
      <c r="R397" s="72"/>
      <c r="S397" s="72"/>
      <c r="T397" s="72"/>
      <c r="U397" s="72"/>
      <c r="V397" s="72"/>
      <c r="W397" s="72"/>
      <c r="X397" s="72"/>
      <c r="Y397" s="72"/>
      <c r="Z397" s="31" t="n">
        <f aca="false">IF(OR(N($J397)&lt;=0,AND(③発注書!$C$5&lt;&gt;"すべて",発注計算!$F393&lt;&gt;③発注書!$C$5)),N(Z396),N(Z396)+1)</f>
        <v>7</v>
      </c>
    </row>
    <row r="398" customFormat="false" ht="16.5" hidden="false" customHeight="true" outlineLevel="0" collapsed="false">
      <c r="B398" s="66" t="n">
        <v>389</v>
      </c>
      <c r="C398" s="66" t="str">
        <f aca="false">IF(発注計算!$C394="","",発注計算!$D394)</f>
        <v/>
      </c>
      <c r="D398" s="66" t="str">
        <f aca="false">IF(発注計算!$C394="","",発注計算!$E394)</f>
        <v/>
      </c>
      <c r="E398" s="67" t="str">
        <f aca="false">IF(発注計算!$C394="","",発注計算!$T394)</f>
        <v/>
      </c>
      <c r="F398" s="67" t="str">
        <f aca="false">IF(ISNUMBER($E398),$E398-N(発注計算!$I394),"")</f>
        <v/>
      </c>
      <c r="G398" s="68" t="str">
        <f aca="false">IF(発注計算!$C394="","",IF(NOT(ISNUMBER($F398)),"データなし",IF($F398&lt;=0,"今日が期限",IF($F398&lt;=N(発注計算!$AG394),"要発注","余裕"))))</f>
        <v/>
      </c>
      <c r="H398" s="67" t="str">
        <f aca="false">IF(OR(発注計算!$C394="",NOT(ISNUMBER(発注計算!$S394)),発注計算!$S394&lt;=0),"",(発注計算!$K394+N($J398)*N(発注計算!$G394))/発注計算!$S394)</f>
        <v/>
      </c>
      <c r="I398" s="69" t="str">
        <f aca="false">IF(発注計算!$C394="","",発注計算!$Y394)</f>
        <v/>
      </c>
      <c r="J398" s="70"/>
      <c r="K398" s="71" t="str">
        <f aca="false">IF($J398="","",N($J398)*N(発注計算!$H394))</f>
        <v/>
      </c>
      <c r="L398" s="72"/>
      <c r="M398" s="72"/>
      <c r="N398" s="72"/>
      <c r="O398" s="72"/>
      <c r="P398" s="72"/>
      <c r="Q398" s="72"/>
      <c r="R398" s="72"/>
      <c r="S398" s="72"/>
      <c r="T398" s="72"/>
      <c r="U398" s="72"/>
      <c r="V398" s="72"/>
      <c r="W398" s="72"/>
      <c r="X398" s="72"/>
      <c r="Y398" s="72"/>
      <c r="Z398" s="31" t="n">
        <f aca="false">IF(OR(N($J398)&lt;=0,AND(③発注書!$C$5&lt;&gt;"すべて",発注計算!$F394&lt;&gt;③発注書!$C$5)),N(Z397),N(Z397)+1)</f>
        <v>7</v>
      </c>
    </row>
    <row r="399" customFormat="false" ht="16.5" hidden="false" customHeight="true" outlineLevel="0" collapsed="false">
      <c r="B399" s="66" t="n">
        <v>390</v>
      </c>
      <c r="C399" s="66" t="str">
        <f aca="false">IF(発注計算!$C395="","",発注計算!$D395)</f>
        <v/>
      </c>
      <c r="D399" s="66" t="str">
        <f aca="false">IF(発注計算!$C395="","",発注計算!$E395)</f>
        <v/>
      </c>
      <c r="E399" s="67" t="str">
        <f aca="false">IF(発注計算!$C395="","",発注計算!$T395)</f>
        <v/>
      </c>
      <c r="F399" s="67" t="str">
        <f aca="false">IF(ISNUMBER($E399),$E399-N(発注計算!$I395),"")</f>
        <v/>
      </c>
      <c r="G399" s="68" t="str">
        <f aca="false">IF(発注計算!$C395="","",IF(NOT(ISNUMBER($F399)),"データなし",IF($F399&lt;=0,"今日が期限",IF($F399&lt;=N(発注計算!$AG395),"要発注","余裕"))))</f>
        <v/>
      </c>
      <c r="H399" s="67" t="str">
        <f aca="false">IF(OR(発注計算!$C395="",NOT(ISNUMBER(発注計算!$S395)),発注計算!$S395&lt;=0),"",(発注計算!$K395+N($J399)*N(発注計算!$G395))/発注計算!$S395)</f>
        <v/>
      </c>
      <c r="I399" s="69" t="str">
        <f aca="false">IF(発注計算!$C395="","",発注計算!$Y395)</f>
        <v/>
      </c>
      <c r="J399" s="70"/>
      <c r="K399" s="71" t="str">
        <f aca="false">IF($J399="","",N($J399)*N(発注計算!$H395))</f>
        <v/>
      </c>
      <c r="L399" s="72"/>
      <c r="M399" s="72"/>
      <c r="N399" s="72"/>
      <c r="O399" s="72"/>
      <c r="P399" s="72"/>
      <c r="Q399" s="72"/>
      <c r="R399" s="72"/>
      <c r="S399" s="72"/>
      <c r="T399" s="72"/>
      <c r="U399" s="72"/>
      <c r="V399" s="72"/>
      <c r="W399" s="72"/>
      <c r="X399" s="72"/>
      <c r="Y399" s="72"/>
      <c r="Z399" s="31" t="n">
        <f aca="false">IF(OR(N($J399)&lt;=0,AND(③発注書!$C$5&lt;&gt;"すべて",発注計算!$F395&lt;&gt;③発注書!$C$5)),N(Z398),N(Z398)+1)</f>
        <v>7</v>
      </c>
    </row>
    <row r="400" customFormat="false" ht="16.5" hidden="false" customHeight="true" outlineLevel="0" collapsed="false">
      <c r="B400" s="66" t="n">
        <v>391</v>
      </c>
      <c r="C400" s="66" t="str">
        <f aca="false">IF(発注計算!$C396="","",発注計算!$D396)</f>
        <v/>
      </c>
      <c r="D400" s="66" t="str">
        <f aca="false">IF(発注計算!$C396="","",発注計算!$E396)</f>
        <v/>
      </c>
      <c r="E400" s="67" t="str">
        <f aca="false">IF(発注計算!$C396="","",発注計算!$T396)</f>
        <v/>
      </c>
      <c r="F400" s="67" t="str">
        <f aca="false">IF(ISNUMBER($E400),$E400-N(発注計算!$I396),"")</f>
        <v/>
      </c>
      <c r="G400" s="68" t="str">
        <f aca="false">IF(発注計算!$C396="","",IF(NOT(ISNUMBER($F400)),"データなし",IF($F400&lt;=0,"今日が期限",IF($F400&lt;=N(発注計算!$AG396),"要発注","余裕"))))</f>
        <v/>
      </c>
      <c r="H400" s="67" t="str">
        <f aca="false">IF(OR(発注計算!$C396="",NOT(ISNUMBER(発注計算!$S396)),発注計算!$S396&lt;=0),"",(発注計算!$K396+N($J400)*N(発注計算!$G396))/発注計算!$S396)</f>
        <v/>
      </c>
      <c r="I400" s="69" t="str">
        <f aca="false">IF(発注計算!$C396="","",発注計算!$Y396)</f>
        <v/>
      </c>
      <c r="J400" s="70"/>
      <c r="K400" s="71" t="str">
        <f aca="false">IF($J400="","",N($J400)*N(発注計算!$H396))</f>
        <v/>
      </c>
      <c r="L400" s="72"/>
      <c r="M400" s="72"/>
      <c r="N400" s="72"/>
      <c r="O400" s="72"/>
      <c r="P400" s="72"/>
      <c r="Q400" s="72"/>
      <c r="R400" s="72"/>
      <c r="S400" s="72"/>
      <c r="T400" s="72"/>
      <c r="U400" s="72"/>
      <c r="V400" s="72"/>
      <c r="W400" s="72"/>
      <c r="X400" s="72"/>
      <c r="Y400" s="72"/>
      <c r="Z400" s="31" t="n">
        <f aca="false">IF(OR(N($J400)&lt;=0,AND(③発注書!$C$5&lt;&gt;"すべて",発注計算!$F396&lt;&gt;③発注書!$C$5)),N(Z399),N(Z399)+1)</f>
        <v>7</v>
      </c>
    </row>
    <row r="401" customFormat="false" ht="16.5" hidden="false" customHeight="true" outlineLevel="0" collapsed="false">
      <c r="B401" s="66" t="n">
        <v>392</v>
      </c>
      <c r="C401" s="66" t="str">
        <f aca="false">IF(発注計算!$C397="","",発注計算!$D397)</f>
        <v/>
      </c>
      <c r="D401" s="66" t="str">
        <f aca="false">IF(発注計算!$C397="","",発注計算!$E397)</f>
        <v/>
      </c>
      <c r="E401" s="67" t="str">
        <f aca="false">IF(発注計算!$C397="","",発注計算!$T397)</f>
        <v/>
      </c>
      <c r="F401" s="67" t="str">
        <f aca="false">IF(ISNUMBER($E401),$E401-N(発注計算!$I397),"")</f>
        <v/>
      </c>
      <c r="G401" s="68" t="str">
        <f aca="false">IF(発注計算!$C397="","",IF(NOT(ISNUMBER($F401)),"データなし",IF($F401&lt;=0,"今日が期限",IF($F401&lt;=N(発注計算!$AG397),"要発注","余裕"))))</f>
        <v/>
      </c>
      <c r="H401" s="67" t="str">
        <f aca="false">IF(OR(発注計算!$C397="",NOT(ISNUMBER(発注計算!$S397)),発注計算!$S397&lt;=0),"",(発注計算!$K397+N($J401)*N(発注計算!$G397))/発注計算!$S397)</f>
        <v/>
      </c>
      <c r="I401" s="69" t="str">
        <f aca="false">IF(発注計算!$C397="","",発注計算!$Y397)</f>
        <v/>
      </c>
      <c r="J401" s="70"/>
      <c r="K401" s="71" t="str">
        <f aca="false">IF($J401="","",N($J401)*N(発注計算!$H397))</f>
        <v/>
      </c>
      <c r="L401" s="72"/>
      <c r="M401" s="72"/>
      <c r="N401" s="72"/>
      <c r="O401" s="72"/>
      <c r="P401" s="72"/>
      <c r="Q401" s="72"/>
      <c r="R401" s="72"/>
      <c r="S401" s="72"/>
      <c r="T401" s="72"/>
      <c r="U401" s="72"/>
      <c r="V401" s="72"/>
      <c r="W401" s="72"/>
      <c r="X401" s="72"/>
      <c r="Y401" s="72"/>
      <c r="Z401" s="31" t="n">
        <f aca="false">IF(OR(N($J401)&lt;=0,AND(③発注書!$C$5&lt;&gt;"すべて",発注計算!$F397&lt;&gt;③発注書!$C$5)),N(Z400),N(Z400)+1)</f>
        <v>7</v>
      </c>
    </row>
    <row r="402" customFormat="false" ht="16.5" hidden="false" customHeight="true" outlineLevel="0" collapsed="false">
      <c r="B402" s="66" t="n">
        <v>393</v>
      </c>
      <c r="C402" s="66" t="str">
        <f aca="false">IF(発注計算!$C398="","",発注計算!$D398)</f>
        <v/>
      </c>
      <c r="D402" s="66" t="str">
        <f aca="false">IF(発注計算!$C398="","",発注計算!$E398)</f>
        <v/>
      </c>
      <c r="E402" s="67" t="str">
        <f aca="false">IF(発注計算!$C398="","",発注計算!$T398)</f>
        <v/>
      </c>
      <c r="F402" s="67" t="str">
        <f aca="false">IF(ISNUMBER($E402),$E402-N(発注計算!$I398),"")</f>
        <v/>
      </c>
      <c r="G402" s="68" t="str">
        <f aca="false">IF(発注計算!$C398="","",IF(NOT(ISNUMBER($F402)),"データなし",IF($F402&lt;=0,"今日が期限",IF($F402&lt;=N(発注計算!$AG398),"要発注","余裕"))))</f>
        <v/>
      </c>
      <c r="H402" s="67" t="str">
        <f aca="false">IF(OR(発注計算!$C398="",NOT(ISNUMBER(発注計算!$S398)),発注計算!$S398&lt;=0),"",(発注計算!$K398+N($J402)*N(発注計算!$G398))/発注計算!$S398)</f>
        <v/>
      </c>
      <c r="I402" s="69" t="str">
        <f aca="false">IF(発注計算!$C398="","",発注計算!$Y398)</f>
        <v/>
      </c>
      <c r="J402" s="70"/>
      <c r="K402" s="71" t="str">
        <f aca="false">IF($J402="","",N($J402)*N(発注計算!$H398))</f>
        <v/>
      </c>
      <c r="L402" s="72"/>
      <c r="M402" s="72"/>
      <c r="N402" s="72"/>
      <c r="O402" s="72"/>
      <c r="P402" s="72"/>
      <c r="Q402" s="72"/>
      <c r="R402" s="72"/>
      <c r="S402" s="72"/>
      <c r="T402" s="72"/>
      <c r="U402" s="72"/>
      <c r="V402" s="72"/>
      <c r="W402" s="72"/>
      <c r="X402" s="72"/>
      <c r="Y402" s="72"/>
      <c r="Z402" s="31" t="n">
        <f aca="false">IF(OR(N($J402)&lt;=0,AND(③発注書!$C$5&lt;&gt;"すべて",発注計算!$F398&lt;&gt;③発注書!$C$5)),N(Z401),N(Z401)+1)</f>
        <v>7</v>
      </c>
    </row>
    <row r="403" customFormat="false" ht="16.5" hidden="false" customHeight="true" outlineLevel="0" collapsed="false">
      <c r="B403" s="66" t="n">
        <v>394</v>
      </c>
      <c r="C403" s="66" t="str">
        <f aca="false">IF(発注計算!$C399="","",発注計算!$D399)</f>
        <v/>
      </c>
      <c r="D403" s="66" t="str">
        <f aca="false">IF(発注計算!$C399="","",発注計算!$E399)</f>
        <v/>
      </c>
      <c r="E403" s="67" t="str">
        <f aca="false">IF(発注計算!$C399="","",発注計算!$T399)</f>
        <v/>
      </c>
      <c r="F403" s="67" t="str">
        <f aca="false">IF(ISNUMBER($E403),$E403-N(発注計算!$I399),"")</f>
        <v/>
      </c>
      <c r="G403" s="68" t="str">
        <f aca="false">IF(発注計算!$C399="","",IF(NOT(ISNUMBER($F403)),"データなし",IF($F403&lt;=0,"今日が期限",IF($F403&lt;=N(発注計算!$AG399),"要発注","余裕"))))</f>
        <v/>
      </c>
      <c r="H403" s="67" t="str">
        <f aca="false">IF(OR(発注計算!$C399="",NOT(ISNUMBER(発注計算!$S399)),発注計算!$S399&lt;=0),"",(発注計算!$K399+N($J403)*N(発注計算!$G399))/発注計算!$S399)</f>
        <v/>
      </c>
      <c r="I403" s="69" t="str">
        <f aca="false">IF(発注計算!$C399="","",発注計算!$Y399)</f>
        <v/>
      </c>
      <c r="J403" s="70"/>
      <c r="K403" s="71" t="str">
        <f aca="false">IF($J403="","",N($J403)*N(発注計算!$H399))</f>
        <v/>
      </c>
      <c r="L403" s="72"/>
      <c r="M403" s="72"/>
      <c r="N403" s="72"/>
      <c r="O403" s="72"/>
      <c r="P403" s="72"/>
      <c r="Q403" s="72"/>
      <c r="R403" s="72"/>
      <c r="S403" s="72"/>
      <c r="T403" s="72"/>
      <c r="U403" s="72"/>
      <c r="V403" s="72"/>
      <c r="W403" s="72"/>
      <c r="X403" s="72"/>
      <c r="Y403" s="72"/>
      <c r="Z403" s="31" t="n">
        <f aca="false">IF(OR(N($J403)&lt;=0,AND(③発注書!$C$5&lt;&gt;"すべて",発注計算!$F399&lt;&gt;③発注書!$C$5)),N(Z402),N(Z402)+1)</f>
        <v>7</v>
      </c>
    </row>
    <row r="404" customFormat="false" ht="16.5" hidden="false" customHeight="true" outlineLevel="0" collapsed="false">
      <c r="B404" s="66" t="n">
        <v>395</v>
      </c>
      <c r="C404" s="66" t="str">
        <f aca="false">IF(発注計算!$C400="","",発注計算!$D400)</f>
        <v/>
      </c>
      <c r="D404" s="66" t="str">
        <f aca="false">IF(発注計算!$C400="","",発注計算!$E400)</f>
        <v/>
      </c>
      <c r="E404" s="67" t="str">
        <f aca="false">IF(発注計算!$C400="","",発注計算!$T400)</f>
        <v/>
      </c>
      <c r="F404" s="67" t="str">
        <f aca="false">IF(ISNUMBER($E404),$E404-N(発注計算!$I400),"")</f>
        <v/>
      </c>
      <c r="G404" s="68" t="str">
        <f aca="false">IF(発注計算!$C400="","",IF(NOT(ISNUMBER($F404)),"データなし",IF($F404&lt;=0,"今日が期限",IF($F404&lt;=N(発注計算!$AG400),"要発注","余裕"))))</f>
        <v/>
      </c>
      <c r="H404" s="67" t="str">
        <f aca="false">IF(OR(発注計算!$C400="",NOT(ISNUMBER(発注計算!$S400)),発注計算!$S400&lt;=0),"",(発注計算!$K400+N($J404)*N(発注計算!$G400))/発注計算!$S400)</f>
        <v/>
      </c>
      <c r="I404" s="69" t="str">
        <f aca="false">IF(発注計算!$C400="","",発注計算!$Y400)</f>
        <v/>
      </c>
      <c r="J404" s="70"/>
      <c r="K404" s="71" t="str">
        <f aca="false">IF($J404="","",N($J404)*N(発注計算!$H400))</f>
        <v/>
      </c>
      <c r="L404" s="72"/>
      <c r="M404" s="72"/>
      <c r="N404" s="72"/>
      <c r="O404" s="72"/>
      <c r="P404" s="72"/>
      <c r="Q404" s="72"/>
      <c r="R404" s="72"/>
      <c r="S404" s="72"/>
      <c r="T404" s="72"/>
      <c r="U404" s="72"/>
      <c r="V404" s="72"/>
      <c r="W404" s="72"/>
      <c r="X404" s="72"/>
      <c r="Y404" s="72"/>
      <c r="Z404" s="31" t="n">
        <f aca="false">IF(OR(N($J404)&lt;=0,AND(③発注書!$C$5&lt;&gt;"すべて",発注計算!$F400&lt;&gt;③発注書!$C$5)),N(Z403),N(Z403)+1)</f>
        <v>7</v>
      </c>
    </row>
    <row r="405" customFormat="false" ht="16.5" hidden="false" customHeight="true" outlineLevel="0" collapsed="false">
      <c r="B405" s="66" t="n">
        <v>396</v>
      </c>
      <c r="C405" s="66" t="str">
        <f aca="false">IF(発注計算!$C401="","",発注計算!$D401)</f>
        <v/>
      </c>
      <c r="D405" s="66" t="str">
        <f aca="false">IF(発注計算!$C401="","",発注計算!$E401)</f>
        <v/>
      </c>
      <c r="E405" s="67" t="str">
        <f aca="false">IF(発注計算!$C401="","",発注計算!$T401)</f>
        <v/>
      </c>
      <c r="F405" s="67" t="str">
        <f aca="false">IF(ISNUMBER($E405),$E405-N(発注計算!$I401),"")</f>
        <v/>
      </c>
      <c r="G405" s="68" t="str">
        <f aca="false">IF(発注計算!$C401="","",IF(NOT(ISNUMBER($F405)),"データなし",IF($F405&lt;=0,"今日が期限",IF($F405&lt;=N(発注計算!$AG401),"要発注","余裕"))))</f>
        <v/>
      </c>
      <c r="H405" s="67" t="str">
        <f aca="false">IF(OR(発注計算!$C401="",NOT(ISNUMBER(発注計算!$S401)),発注計算!$S401&lt;=0),"",(発注計算!$K401+N($J405)*N(発注計算!$G401))/発注計算!$S401)</f>
        <v/>
      </c>
      <c r="I405" s="69" t="str">
        <f aca="false">IF(発注計算!$C401="","",発注計算!$Y401)</f>
        <v/>
      </c>
      <c r="J405" s="70"/>
      <c r="K405" s="71" t="str">
        <f aca="false">IF($J405="","",N($J405)*N(発注計算!$H401))</f>
        <v/>
      </c>
      <c r="L405" s="72"/>
      <c r="M405" s="72"/>
      <c r="N405" s="72"/>
      <c r="O405" s="72"/>
      <c r="P405" s="72"/>
      <c r="Q405" s="72"/>
      <c r="R405" s="72"/>
      <c r="S405" s="72"/>
      <c r="T405" s="72"/>
      <c r="U405" s="72"/>
      <c r="V405" s="72"/>
      <c r="W405" s="72"/>
      <c r="X405" s="72"/>
      <c r="Y405" s="72"/>
      <c r="Z405" s="31" t="n">
        <f aca="false">IF(OR(N($J405)&lt;=0,AND(③発注書!$C$5&lt;&gt;"すべて",発注計算!$F401&lt;&gt;③発注書!$C$5)),N(Z404),N(Z404)+1)</f>
        <v>7</v>
      </c>
    </row>
    <row r="406" customFormat="false" ht="16.5" hidden="false" customHeight="true" outlineLevel="0" collapsed="false">
      <c r="B406" s="66" t="n">
        <v>397</v>
      </c>
      <c r="C406" s="66" t="str">
        <f aca="false">IF(発注計算!$C402="","",発注計算!$D402)</f>
        <v/>
      </c>
      <c r="D406" s="66" t="str">
        <f aca="false">IF(発注計算!$C402="","",発注計算!$E402)</f>
        <v/>
      </c>
      <c r="E406" s="67" t="str">
        <f aca="false">IF(発注計算!$C402="","",発注計算!$T402)</f>
        <v/>
      </c>
      <c r="F406" s="67" t="str">
        <f aca="false">IF(ISNUMBER($E406),$E406-N(発注計算!$I402),"")</f>
        <v/>
      </c>
      <c r="G406" s="68" t="str">
        <f aca="false">IF(発注計算!$C402="","",IF(NOT(ISNUMBER($F406)),"データなし",IF($F406&lt;=0,"今日が期限",IF($F406&lt;=N(発注計算!$AG402),"要発注","余裕"))))</f>
        <v/>
      </c>
      <c r="H406" s="67" t="str">
        <f aca="false">IF(OR(発注計算!$C402="",NOT(ISNUMBER(発注計算!$S402)),発注計算!$S402&lt;=0),"",(発注計算!$K402+N($J406)*N(発注計算!$G402))/発注計算!$S402)</f>
        <v/>
      </c>
      <c r="I406" s="69" t="str">
        <f aca="false">IF(発注計算!$C402="","",発注計算!$Y402)</f>
        <v/>
      </c>
      <c r="J406" s="70"/>
      <c r="K406" s="71" t="str">
        <f aca="false">IF($J406="","",N($J406)*N(発注計算!$H402))</f>
        <v/>
      </c>
      <c r="L406" s="72"/>
      <c r="M406" s="72"/>
      <c r="N406" s="72"/>
      <c r="O406" s="72"/>
      <c r="P406" s="72"/>
      <c r="Q406" s="72"/>
      <c r="R406" s="72"/>
      <c r="S406" s="72"/>
      <c r="T406" s="72"/>
      <c r="U406" s="72"/>
      <c r="V406" s="72"/>
      <c r="W406" s="72"/>
      <c r="X406" s="72"/>
      <c r="Y406" s="72"/>
      <c r="Z406" s="31" t="n">
        <f aca="false">IF(OR(N($J406)&lt;=0,AND(③発注書!$C$5&lt;&gt;"すべて",発注計算!$F402&lt;&gt;③発注書!$C$5)),N(Z405),N(Z405)+1)</f>
        <v>7</v>
      </c>
    </row>
    <row r="407" customFormat="false" ht="16.5" hidden="false" customHeight="true" outlineLevel="0" collapsed="false">
      <c r="B407" s="66" t="n">
        <v>398</v>
      </c>
      <c r="C407" s="66" t="str">
        <f aca="false">IF(発注計算!$C403="","",発注計算!$D403)</f>
        <v/>
      </c>
      <c r="D407" s="66" t="str">
        <f aca="false">IF(発注計算!$C403="","",発注計算!$E403)</f>
        <v/>
      </c>
      <c r="E407" s="67" t="str">
        <f aca="false">IF(発注計算!$C403="","",発注計算!$T403)</f>
        <v/>
      </c>
      <c r="F407" s="67" t="str">
        <f aca="false">IF(ISNUMBER($E407),$E407-N(発注計算!$I403),"")</f>
        <v/>
      </c>
      <c r="G407" s="68" t="str">
        <f aca="false">IF(発注計算!$C403="","",IF(NOT(ISNUMBER($F407)),"データなし",IF($F407&lt;=0,"今日が期限",IF($F407&lt;=N(発注計算!$AG403),"要発注","余裕"))))</f>
        <v/>
      </c>
      <c r="H407" s="67" t="str">
        <f aca="false">IF(OR(発注計算!$C403="",NOT(ISNUMBER(発注計算!$S403)),発注計算!$S403&lt;=0),"",(発注計算!$K403+N($J407)*N(発注計算!$G403))/発注計算!$S403)</f>
        <v/>
      </c>
      <c r="I407" s="69" t="str">
        <f aca="false">IF(発注計算!$C403="","",発注計算!$Y403)</f>
        <v/>
      </c>
      <c r="J407" s="70"/>
      <c r="K407" s="71" t="str">
        <f aca="false">IF($J407="","",N($J407)*N(発注計算!$H403))</f>
        <v/>
      </c>
      <c r="L407" s="72"/>
      <c r="M407" s="72"/>
      <c r="N407" s="72"/>
      <c r="O407" s="72"/>
      <c r="P407" s="72"/>
      <c r="Q407" s="72"/>
      <c r="R407" s="72"/>
      <c r="S407" s="72"/>
      <c r="T407" s="72"/>
      <c r="U407" s="72"/>
      <c r="V407" s="72"/>
      <c r="W407" s="72"/>
      <c r="X407" s="72"/>
      <c r="Y407" s="72"/>
      <c r="Z407" s="31" t="n">
        <f aca="false">IF(OR(N($J407)&lt;=0,AND(③発注書!$C$5&lt;&gt;"すべて",発注計算!$F403&lt;&gt;③発注書!$C$5)),N(Z406),N(Z406)+1)</f>
        <v>7</v>
      </c>
    </row>
    <row r="408" customFormat="false" ht="16.5" hidden="false" customHeight="true" outlineLevel="0" collapsed="false">
      <c r="B408" s="66" t="n">
        <v>399</v>
      </c>
      <c r="C408" s="66" t="str">
        <f aca="false">IF(発注計算!$C404="","",発注計算!$D404)</f>
        <v/>
      </c>
      <c r="D408" s="66" t="str">
        <f aca="false">IF(発注計算!$C404="","",発注計算!$E404)</f>
        <v/>
      </c>
      <c r="E408" s="67" t="str">
        <f aca="false">IF(発注計算!$C404="","",発注計算!$T404)</f>
        <v/>
      </c>
      <c r="F408" s="67" t="str">
        <f aca="false">IF(ISNUMBER($E408),$E408-N(発注計算!$I404),"")</f>
        <v/>
      </c>
      <c r="G408" s="68" t="str">
        <f aca="false">IF(発注計算!$C404="","",IF(NOT(ISNUMBER($F408)),"データなし",IF($F408&lt;=0,"今日が期限",IF($F408&lt;=N(発注計算!$AG404),"要発注","余裕"))))</f>
        <v/>
      </c>
      <c r="H408" s="67" t="str">
        <f aca="false">IF(OR(発注計算!$C404="",NOT(ISNUMBER(発注計算!$S404)),発注計算!$S404&lt;=0),"",(発注計算!$K404+N($J408)*N(発注計算!$G404))/発注計算!$S404)</f>
        <v/>
      </c>
      <c r="I408" s="69" t="str">
        <f aca="false">IF(発注計算!$C404="","",発注計算!$Y404)</f>
        <v/>
      </c>
      <c r="J408" s="70"/>
      <c r="K408" s="71" t="str">
        <f aca="false">IF($J408="","",N($J408)*N(発注計算!$H404))</f>
        <v/>
      </c>
      <c r="L408" s="72"/>
      <c r="M408" s="72"/>
      <c r="N408" s="72"/>
      <c r="O408" s="72"/>
      <c r="P408" s="72"/>
      <c r="Q408" s="72"/>
      <c r="R408" s="72"/>
      <c r="S408" s="72"/>
      <c r="T408" s="72"/>
      <c r="U408" s="72"/>
      <c r="V408" s="72"/>
      <c r="W408" s="72"/>
      <c r="X408" s="72"/>
      <c r="Y408" s="72"/>
      <c r="Z408" s="31" t="n">
        <f aca="false">IF(OR(N($J408)&lt;=0,AND(③発注書!$C$5&lt;&gt;"すべて",発注計算!$F404&lt;&gt;③発注書!$C$5)),N(Z407),N(Z407)+1)</f>
        <v>7</v>
      </c>
    </row>
    <row r="409" customFormat="false" ht="16.5" hidden="false" customHeight="true" outlineLevel="0" collapsed="false">
      <c r="B409" s="66" t="n">
        <v>400</v>
      </c>
      <c r="C409" s="66" t="str">
        <f aca="false">IF(発注計算!$C405="","",発注計算!$D405)</f>
        <v/>
      </c>
      <c r="D409" s="66" t="str">
        <f aca="false">IF(発注計算!$C405="","",発注計算!$E405)</f>
        <v/>
      </c>
      <c r="E409" s="67" t="str">
        <f aca="false">IF(発注計算!$C405="","",発注計算!$T405)</f>
        <v/>
      </c>
      <c r="F409" s="67" t="str">
        <f aca="false">IF(ISNUMBER($E409),$E409-N(発注計算!$I405),"")</f>
        <v/>
      </c>
      <c r="G409" s="68" t="str">
        <f aca="false">IF(発注計算!$C405="","",IF(NOT(ISNUMBER($F409)),"データなし",IF($F409&lt;=0,"今日が期限",IF($F409&lt;=N(発注計算!$AG405),"要発注","余裕"))))</f>
        <v/>
      </c>
      <c r="H409" s="67" t="str">
        <f aca="false">IF(OR(発注計算!$C405="",NOT(ISNUMBER(発注計算!$S405)),発注計算!$S405&lt;=0),"",(発注計算!$K405+N($J409)*N(発注計算!$G405))/発注計算!$S405)</f>
        <v/>
      </c>
      <c r="I409" s="69" t="str">
        <f aca="false">IF(発注計算!$C405="","",発注計算!$Y405)</f>
        <v/>
      </c>
      <c r="J409" s="70"/>
      <c r="K409" s="71" t="str">
        <f aca="false">IF($J409="","",N($J409)*N(発注計算!$H405))</f>
        <v/>
      </c>
      <c r="L409" s="72"/>
      <c r="M409" s="72"/>
      <c r="N409" s="72"/>
      <c r="O409" s="72"/>
      <c r="P409" s="72"/>
      <c r="Q409" s="72"/>
      <c r="R409" s="72"/>
      <c r="S409" s="72"/>
      <c r="T409" s="72"/>
      <c r="U409" s="72"/>
      <c r="V409" s="72"/>
      <c r="W409" s="72"/>
      <c r="X409" s="72"/>
      <c r="Y409" s="72"/>
      <c r="Z409" s="31" t="n">
        <f aca="false">IF(OR(N($J409)&lt;=0,AND(③発注書!$C$5&lt;&gt;"すべて",発注計算!$F405&lt;&gt;③発注書!$C$5)),N(Z408),N(Z408)+1)</f>
        <v>7</v>
      </c>
    </row>
    <row r="411" customFormat="false" ht="15" hidden="false" customHeight="false" outlineLevel="0" collapsed="false">
      <c r="L411" s="73"/>
      <c r="M411" s="31" t="s">
        <v>514</v>
      </c>
    </row>
    <row r="412" customFormat="false" ht="15" hidden="false" customHeight="false" outlineLevel="0" collapsed="false">
      <c r="L412" s="74"/>
      <c r="M412" s="31" t="s">
        <v>515</v>
      </c>
    </row>
    <row r="413" customFormat="false" ht="15" hidden="false" customHeight="false" outlineLevel="0" collapsed="false">
      <c r="L413" s="75"/>
      <c r="M413" s="31" t="s">
        <v>516</v>
      </c>
    </row>
    <row r="414" customFormat="false" ht="15" hidden="false" customHeight="false" outlineLevel="0" collapsed="false">
      <c r="L414" s="76"/>
      <c r="M414" s="31" t="s">
        <v>517</v>
      </c>
    </row>
    <row r="415" customFormat="false" ht="15" hidden="false" customHeight="false" outlineLevel="0" collapsed="false">
      <c r="L415" s="77" t="s">
        <v>518</v>
      </c>
      <c r="M415" s="31" t="s">
        <v>519</v>
      </c>
    </row>
    <row r="417" customFormat="false" ht="15" hidden="false" customHeight="false" outlineLevel="0" collapsed="false">
      <c r="L417" s="31" t="s">
        <v>520</v>
      </c>
    </row>
    <row r="418" customFormat="false" ht="15" hidden="false" customHeight="false" outlineLevel="0" collapsed="false">
      <c r="L418" s="31" t="s">
        <v>521</v>
      </c>
    </row>
  </sheetData>
  <mergeCells count="12">
    <mergeCell ref="G4:K4"/>
    <mergeCell ref="B5:C5"/>
    <mergeCell ref="G5:K5"/>
    <mergeCell ref="L5:O5"/>
    <mergeCell ref="P5:S5"/>
    <mergeCell ref="T5:W5"/>
    <mergeCell ref="L6:O6"/>
    <mergeCell ref="P6:S6"/>
    <mergeCell ref="T6:W6"/>
    <mergeCell ref="L7:O7"/>
    <mergeCell ref="P7:S7"/>
    <mergeCell ref="T7:W7"/>
  </mergeCells>
  <conditionalFormatting sqref="L6">
    <cfRule type="cellIs" priority="2" operator="greaterThan" aboveAverage="0" equalAverage="0" bottom="0" percent="0" rank="0" text="" dxfId="5">
      <formula>1</formula>
    </cfRule>
    <cfRule type="cellIs" priority="3" operator="greaterThan" aboveAverage="0" equalAverage="0" bottom="0" percent="0" rank="0" text="" dxfId="6">
      <formula>0.85</formula>
    </cfRule>
  </conditionalFormatting>
  <conditionalFormatting sqref="P6">
    <cfRule type="cellIs" priority="4" operator="greaterThan" aboveAverage="0" equalAverage="0" bottom="0" percent="0" rank="0" text="" dxfId="5">
      <formula>1</formula>
    </cfRule>
    <cfRule type="cellIs" priority="5" operator="greaterThan" aboveAverage="0" equalAverage="0" bottom="0" percent="0" rank="0" text="" dxfId="6">
      <formula>0.85</formula>
    </cfRule>
  </conditionalFormatting>
  <conditionalFormatting sqref="T6">
    <cfRule type="cellIs" priority="6" operator="greaterThan" aboveAverage="0" equalAverage="0" bottom="0" percent="0" rank="0" text="" dxfId="5">
      <formula>1</formula>
    </cfRule>
    <cfRule type="cellIs" priority="7" operator="greaterThan" aboveAverage="0" equalAverage="0" bottom="0" percent="0" rank="0" text="" dxfId="6">
      <formula>0.85</formula>
    </cfRule>
  </conditionalFormatting>
  <conditionalFormatting sqref="L10:Y409">
    <cfRule type="expression" priority="8" aboveAverage="0" equalAverage="0" bottom="0" percent="0" rank="0" text="" dxfId="7">
      <formula>AND(ISNUMBER($F10),$F10&gt;0,L$8=ROUNDUP($F10,0))</formula>
    </cfRule>
    <cfRule type="expression" priority="9" aboveAverage="0" equalAverage="0" bottom="0" percent="0" rank="0" text="" dxfId="8">
      <formula>AND(ISNUMBER($E10),L$8&lt;=$E10,$G10="今日が期限")</formula>
    </cfRule>
    <cfRule type="expression" priority="10" aboveAverage="0" equalAverage="0" bottom="0" percent="0" rank="0" text="" dxfId="9">
      <formula>AND(ISNUMBER($E10),L$8&lt;=$E10,$G10="要発注")</formula>
    </cfRule>
    <cfRule type="expression" priority="11" aboveAverage="0" equalAverage="0" bottom="0" percent="0" rank="0" text="" dxfId="10">
      <formula>AND(ISNUMBER($E10),L$8&lt;=$E10,$G10="余裕")</formula>
    </cfRule>
    <cfRule type="expression" priority="12" aboveAverage="0" equalAverage="0" bottom="0" percent="0" rank="0" text="" dxfId="11">
      <formula>AND(ISNUMBER($H10),L$8&gt;N($E10),L$8&lt;=$H10)</formula>
    </cfRule>
  </conditionalFormatting>
  <conditionalFormatting sqref="G10:G409">
    <cfRule type="cellIs" priority="13" operator="equal" aboveAverage="0" equalAverage="0" bottom="0" percent="0" rank="0" text="" dxfId="12">
      <formula>"今日が期限"</formula>
    </cfRule>
    <cfRule type="cellIs" priority="14" operator="equal" aboveAverage="0" equalAverage="0" bottom="0" percent="0" rank="0" text="" dxfId="13">
      <formula>"要発注"</formula>
    </cfRule>
    <cfRule type="cellIs" priority="15" operator="equal" aboveAverage="0" equalAverage="0" bottom="0" percent="0" rank="0" text="" dxfId="14">
      <formula>"余裕"</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2A3C"/>
    <pageSetUpPr fitToPage="true"/>
  </sheetPr>
  <dimension ref="B2:N1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390625" defaultRowHeight="15" zeroHeight="false" outlineLevelRow="0" outlineLevelCol="0"/>
  <cols>
    <col collapsed="false" customWidth="true" hidden="false" outlineLevel="0" max="2" min="2" style="0" width="5"/>
    <col collapsed="false" customWidth="true" hidden="false" outlineLevel="0" max="3" min="3" style="0" width="24"/>
    <col collapsed="false" customWidth="true" hidden="false" outlineLevel="0" max="4" min="4" style="0" width="16"/>
    <col collapsed="false" customWidth="true" hidden="false" outlineLevel="0" max="5" min="5" style="0" width="30"/>
    <col collapsed="false" customWidth="true" hidden="false" outlineLevel="0" max="6" min="6" style="0" width="10"/>
    <col collapsed="false" customWidth="true" hidden="false" outlineLevel="0" max="7" min="7" style="0" width="8"/>
    <col collapsed="false" customWidth="true" hidden="false" outlineLevel="0" max="8" min="8" style="0" width="9"/>
    <col collapsed="false" customWidth="true" hidden="false" outlineLevel="0" max="9" min="9" style="0" width="11"/>
    <col collapsed="false" customWidth="true" hidden="false" outlineLevel="0" max="10" min="10" style="0" width="13"/>
    <col collapsed="false" customWidth="true" hidden="false" outlineLevel="0" max="14" min="14" style="0" width="26"/>
  </cols>
  <sheetData>
    <row r="2" customFormat="false" ht="22.05" hidden="false" customHeight="false" outlineLevel="0" collapsed="false">
      <c r="B2" s="78" t="s">
        <v>522</v>
      </c>
    </row>
    <row r="3" customFormat="false" ht="15" hidden="false" customHeight="false" outlineLevel="0" collapsed="false">
      <c r="B3" s="31" t="s">
        <v>523</v>
      </c>
    </row>
    <row r="4" customFormat="false" ht="15" hidden="false" customHeight="false" outlineLevel="0" collapsed="false">
      <c r="N4" s="31" t="s">
        <v>524</v>
      </c>
    </row>
    <row r="5" customFormat="false" ht="15" hidden="false" customHeight="false" outlineLevel="0" collapsed="false">
      <c r="B5" s="79" t="s">
        <v>525</v>
      </c>
      <c r="C5" s="80" t="s">
        <v>526</v>
      </c>
      <c r="D5" s="80"/>
      <c r="E5" s="80"/>
      <c r="F5" s="80"/>
      <c r="G5" s="31" t="s">
        <v>527</v>
      </c>
      <c r="N5" s="31" t="s">
        <v>526</v>
      </c>
    </row>
    <row r="6" customFormat="false" ht="15" hidden="false" customHeight="false" outlineLevel="0" collapsed="false">
      <c r="B6" s="79" t="s">
        <v>528</v>
      </c>
      <c r="C6" s="66" t="str">
        <f aca="false">IF('設定（最初に1回）'!$C$6="","",TEXT('設定（最初に1回）'!$C$6,"yyyy/m/d")&amp;"（"&amp;CHOOSE(WEEKDAY('設定（最初に1回）'!$C$6),"日","月","火","水","木","金","土")&amp;"）")</f>
        <v>2026/5/1（金）</v>
      </c>
      <c r="D6" s="66"/>
      <c r="E6" s="66"/>
      <c r="F6" s="66"/>
      <c r="G6" s="31" t="s">
        <v>502</v>
      </c>
      <c r="N6" s="31" t="s">
        <v>192</v>
      </c>
    </row>
    <row r="7" customFormat="false" ht="15" hidden="false" customHeight="false" outlineLevel="0" collapsed="false">
      <c r="B7" s="79" t="s">
        <v>529</v>
      </c>
      <c r="C7" s="66" t="str">
        <f aca="false">IF('設定（最初に1回）'!$C$5="","",'設定（最初に1回）'!$C$4&amp;"　"&amp;'設定（最初に1回）'!$C$5)</f>
        <v>0761　新宿</v>
      </c>
      <c r="D7" s="66"/>
      <c r="E7" s="66"/>
      <c r="F7" s="66"/>
      <c r="G7" s="31" t="s">
        <v>502</v>
      </c>
      <c r="N7" s="31" t="s">
        <v>174</v>
      </c>
    </row>
    <row r="8" customFormat="false" ht="15" hidden="false" customHeight="false" outlineLevel="0" collapsed="false">
      <c r="B8" s="79" t="s">
        <v>530</v>
      </c>
      <c r="C8" s="66" t="str">
        <f aca="false">'設定（最初に1回）'!$C$16</f>
        <v>笹川</v>
      </c>
      <c r="D8" s="66"/>
      <c r="E8" s="66"/>
      <c r="F8" s="66"/>
      <c r="G8" s="31" t="s">
        <v>502</v>
      </c>
      <c r="N8" s="31" t="s">
        <v>467</v>
      </c>
    </row>
    <row r="9" customFormat="false" ht="15" hidden="false" customHeight="false" outlineLevel="0" collapsed="false">
      <c r="B9" s="63" t="s">
        <v>502</v>
      </c>
      <c r="C9" s="63" t="s">
        <v>502</v>
      </c>
      <c r="D9" s="63" t="s">
        <v>502</v>
      </c>
      <c r="E9" s="63" t="s">
        <v>502</v>
      </c>
      <c r="F9" s="63" t="s">
        <v>502</v>
      </c>
      <c r="G9" s="63" t="s">
        <v>502</v>
      </c>
      <c r="H9" s="63" t="s">
        <v>502</v>
      </c>
      <c r="I9" s="63" t="s">
        <v>502</v>
      </c>
      <c r="J9" s="63" t="s">
        <v>502</v>
      </c>
      <c r="N9" s="31" t="s">
        <v>447</v>
      </c>
    </row>
    <row r="10" customFormat="false" ht="15" hidden="false" customHeight="false" outlineLevel="0" collapsed="false">
      <c r="B10" s="32" t="s">
        <v>504</v>
      </c>
      <c r="C10" s="18" t="s">
        <v>531</v>
      </c>
      <c r="D10" s="18" t="s">
        <v>159</v>
      </c>
      <c r="E10" s="18" t="s">
        <v>160</v>
      </c>
      <c r="F10" s="18" t="s">
        <v>532</v>
      </c>
      <c r="G10" s="18" t="s">
        <v>161</v>
      </c>
      <c r="H10" s="18" t="s">
        <v>511</v>
      </c>
      <c r="I10" s="18" t="s">
        <v>533</v>
      </c>
      <c r="J10" s="18" t="s">
        <v>512</v>
      </c>
      <c r="N10" s="31" t="s">
        <v>451</v>
      </c>
    </row>
    <row r="11" customFormat="false" ht="15" hidden="false" customHeight="false" outlineLevel="0" collapsed="false">
      <c r="B11" s="81" t="n">
        <f aca="false">IF(1&lt;=MAX(②発注数を決める!$Z$10:$Z$409),1,"")</f>
        <v>1</v>
      </c>
      <c r="C11" s="82" t="str">
        <f aca="false">IF($B11="","",IFERROR(INDEX(発注計算!$F$6:$F$405,MATCH(1,②発注数を決める!$Z$10:$Z$409,0)),""))</f>
        <v>株式会社　カクヤス</v>
      </c>
      <c r="D11" s="82" t="str">
        <f aca="false">IF($B11="","",IFERROR(INDEX(発注計算!$C$6:$C$405,MATCH(1,②発注数を決める!$Z$10:$Z$409,0))&amp;"",""))</f>
        <v>1812000008585</v>
      </c>
      <c r="E11" s="82" t="str">
        <f aca="false">IF($B11="","",IFERROR(INDEX(②発注数を決める!$C$10:$C$409,MATCH(1,②発注数を決める!$Z$10:$Z$409,0))&amp;"",""))</f>
        <v>プレミアムモルツ　２０Ｌ</v>
      </c>
      <c r="F11" s="82" t="str">
        <f aca="false">IF($B11="","",IFERROR(INDEX(商品マスタ!$J$6:$J$1005,MATCH($D11,商品マスタ!$B$6:$B$1005,0)),"ケース"))</f>
        <v>ケース</v>
      </c>
      <c r="G11" s="81" t="n">
        <f aca="false">IF($B11="","",IFERROR(INDEX(発注計算!$G$6:$G$405,MATCH(1,②発注数を決める!$Z$10:$Z$409,0)),""))</f>
        <v>1</v>
      </c>
      <c r="H11" s="83" t="n">
        <f aca="false">IF($B11="","",IFERROR(INDEX(②発注数を決める!$J$10:$J$409,MATCH(1,②発注数を決める!$Z$10:$Z$409,0)),""))</f>
        <v>6</v>
      </c>
      <c r="I11" s="84" t="n">
        <f aca="false">IF($B11="","",IFERROR(INDEX(発注計算!$H$6:$H$405,MATCH(1,②発注数を決める!$Z$10:$Z$409,0)),""))</f>
        <v>11300</v>
      </c>
      <c r="J11" s="84" t="n">
        <f aca="false">IF($B11="","",N($H11)*N($I11))</f>
        <v>67800</v>
      </c>
      <c r="N11" s="31" t="s">
        <v>455</v>
      </c>
    </row>
    <row r="12" customFormat="false" ht="15" hidden="false" customHeight="false" outlineLevel="0" collapsed="false">
      <c r="B12" s="81" t="n">
        <f aca="false">IF(2&lt;=MAX(②発注数を決める!$Z$10:$Z$409),2,"")</f>
        <v>2</v>
      </c>
      <c r="C12" s="82" t="str">
        <f aca="false">IF($B12="","",IFERROR(INDEX(発注計算!$F$6:$F$405,MATCH(2,②発注数を決める!$Z$10:$Z$409,0)),""))</f>
        <v>株式会社　カクヤス</v>
      </c>
      <c r="D12" s="82" t="str">
        <f aca="false">IF($B12="","",IFERROR(INDEX(発注計算!$C$6:$C$405,MATCH(2,②発注数を決める!$Z$10:$Z$409,0))&amp;"",""))</f>
        <v>1812000010991</v>
      </c>
      <c r="E12" s="82" t="str">
        <f aca="false">IF($B12="","",IFERROR(INDEX(②発注数を決める!$C$10:$C$409,MATCH(2,②発注数を決める!$Z$10:$Z$409,0))&amp;"",""))</f>
        <v>ミオネット　ベビーボトル２００ｍ</v>
      </c>
      <c r="F12" s="82" t="str">
        <f aca="false">IF($B12="","",IFERROR(INDEX(商品マスタ!$J$6:$J$1005,MATCH($D12,商品マスタ!$B$6:$B$1005,0)),"ケース"))</f>
        <v>ケース</v>
      </c>
      <c r="G12" s="81" t="n">
        <f aca="false">IF($B12="","",IFERROR(INDEX(発注計算!$G$6:$G$405,MATCH(2,②発注数を決める!$Z$10:$Z$409,0)),""))</f>
        <v>24</v>
      </c>
      <c r="H12" s="83" t="n">
        <f aca="false">IF($B12="","",IFERROR(INDEX(②発注数を決める!$J$10:$J$409,MATCH(2,②発注数を決める!$Z$10:$Z$409,0)),""))</f>
        <v>3</v>
      </c>
      <c r="I12" s="84" t="n">
        <f aca="false">IF($B12="","",IFERROR(INDEX(発注計算!$H$6:$H$405,MATCH(2,②発注数を決める!$Z$10:$Z$409,0)),""))</f>
        <v>587</v>
      </c>
      <c r="J12" s="84" t="n">
        <f aca="false">IF($B12="","",N($H12)*N($I12))</f>
        <v>1761</v>
      </c>
      <c r="N12" s="31" t="s">
        <v>459</v>
      </c>
    </row>
    <row r="13" customFormat="false" ht="15" hidden="false" customHeight="false" outlineLevel="0" collapsed="false">
      <c r="B13" s="81" t="n">
        <f aca="false">IF(3&lt;=MAX(②発注数を決める!$Z$10:$Z$409),3,"")</f>
        <v>3</v>
      </c>
      <c r="C13" s="82" t="str">
        <f aca="false">IF($B13="","",IFERROR(INDEX(発注計算!$F$6:$F$405,MATCH(3,②発注数を決める!$Z$10:$Z$409,0)),""))</f>
        <v>株式会社　カクヤス</v>
      </c>
      <c r="D13" s="82" t="str">
        <f aca="false">IF($B13="","",IFERROR(INDEX(発注計算!$C$6:$C$405,MATCH(3,②発注数を決める!$Z$10:$Z$409,0))&amp;"",""))</f>
        <v>1812000011745</v>
      </c>
      <c r="E13" s="82" t="str">
        <f aca="false">IF($B13="","",IFERROR(INDEX(②発注数を決める!$C$10:$C$409,MATCH(3,②発注数を決める!$Z$10:$Z$409,0))&amp;"",""))</f>
        <v>フォルタン　リトラル　赤</v>
      </c>
      <c r="F13" s="82" t="str">
        <f aca="false">IF($B13="","",IFERROR(INDEX(商品マスタ!$J$6:$J$1005,MATCH($D13,商品マスタ!$B$6:$B$1005,0)),"ケース"))</f>
        <v>ケース</v>
      </c>
      <c r="G13" s="81" t="n">
        <f aca="false">IF($B13="","",IFERROR(INDEX(発注計算!$G$6:$G$405,MATCH(3,②発注数を決める!$Z$10:$Z$409,0)),""))</f>
        <v>48</v>
      </c>
      <c r="H13" s="83" t="n">
        <f aca="false">IF($B13="","",IFERROR(INDEX(②発注数を決める!$J$10:$J$409,MATCH(3,②発注数を決める!$Z$10:$Z$409,0)),""))</f>
        <v>10</v>
      </c>
      <c r="I13" s="84" t="n">
        <f aca="false">IF($B13="","",IFERROR(INDEX(発注計算!$H$6:$H$405,MATCH(3,②発注数を決める!$Z$10:$Z$409,0)),""))</f>
        <v>357</v>
      </c>
      <c r="J13" s="84" t="n">
        <f aca="false">IF($B13="","",N($H13)*N($I13))</f>
        <v>3570</v>
      </c>
      <c r="N13" s="31" t="s">
        <v>463</v>
      </c>
    </row>
    <row r="14" customFormat="false" ht="15" hidden="false" customHeight="false" outlineLevel="0" collapsed="false">
      <c r="B14" s="81" t="n">
        <f aca="false">IF(4&lt;=MAX(②発注数を決める!$Z$10:$Z$409),4,"")</f>
        <v>4</v>
      </c>
      <c r="C14" s="82" t="str">
        <f aca="false">IF($B14="","",IFERROR(INDEX(発注計算!$F$6:$F$405,MATCH(4,②発注数を決める!$Z$10:$Z$409,0)),""))</f>
        <v>株式会社　カクヤス</v>
      </c>
      <c r="D14" s="82" t="str">
        <f aca="false">IF($B14="","",IFERROR(INDEX(発注計算!$C$6:$C$405,MATCH(4,②発注数を決める!$Z$10:$Z$409,0))&amp;"",""))</f>
        <v>1812000013343</v>
      </c>
      <c r="E14" s="82" t="str">
        <f aca="false">IF($B14="","",IFERROR(INDEX(②発注数を決める!$C$10:$C$409,MATCH(4,②発注数を決める!$Z$10:$Z$409,0))&amp;"",""))</f>
        <v>フレシネコルドンネグロ２００ｍｌ</v>
      </c>
      <c r="F14" s="82" t="str">
        <f aca="false">IF($B14="","",IFERROR(INDEX(商品マスタ!$J$6:$J$1005,MATCH($D14,商品マスタ!$B$6:$B$1005,0)),"ケース"))</f>
        <v>ケース</v>
      </c>
      <c r="G14" s="81" t="n">
        <f aca="false">IF($B14="","",IFERROR(INDEX(発注計算!$G$6:$G$405,MATCH(4,②発注数を決める!$Z$10:$Z$409,0)),""))</f>
        <v>24</v>
      </c>
      <c r="H14" s="83" t="n">
        <f aca="false">IF($B14="","",IFERROR(INDEX(②発注数を決める!$J$10:$J$409,MATCH(4,②発注数を決める!$Z$10:$Z$409,0)),""))</f>
        <v>4</v>
      </c>
      <c r="I14" s="84" t="n">
        <f aca="false">IF($B14="","",IFERROR(INDEX(発注計算!$H$6:$H$405,MATCH(4,②発注数を決める!$Z$10:$Z$409,0)),""))</f>
        <v>585</v>
      </c>
      <c r="J14" s="84" t="n">
        <f aca="false">IF($B14="","",N($H14)*N($I14))</f>
        <v>2340</v>
      </c>
      <c r="N14" s="31" t="s">
        <v>479</v>
      </c>
    </row>
    <row r="15" customFormat="false" ht="15" hidden="false" customHeight="false" outlineLevel="0" collapsed="false">
      <c r="B15" s="81" t="n">
        <f aca="false">IF(5&lt;=MAX(②発注数を決める!$Z$10:$Z$409),5,"")</f>
        <v>5</v>
      </c>
      <c r="C15" s="82" t="str">
        <f aca="false">IF($B15="","",IFERROR(INDEX(発注計算!$F$6:$F$405,MATCH(5,②発注数を決める!$Z$10:$Z$409,0)),""))</f>
        <v>オザックス株式会社</v>
      </c>
      <c r="D15" s="82" t="str">
        <f aca="false">IF($B15="","",IFERROR(INDEX(発注計算!$C$6:$C$405,MATCH(5,②発注数を決める!$Z$10:$Z$409,0))&amp;"",""))</f>
        <v>1812000000251</v>
      </c>
      <c r="E15" s="82" t="str">
        <f aca="false">IF($B15="","",IFERROR(INDEX(②発注数を決める!$C$10:$C$409,MATCH(5,②発注数を決める!$Z$10:$Z$409,0))&amp;"",""))</f>
        <v>烏龍茶１０倍シロップ</v>
      </c>
      <c r="F15" s="82" t="str">
        <f aca="false">IF($B15="","",IFERROR(INDEX(商品マスタ!$J$6:$J$1005,MATCH($D15,商品マスタ!$B$6:$B$1005,0)),"ケース"))</f>
        <v>ケース</v>
      </c>
      <c r="G15" s="81" t="n">
        <f aca="false">IF($B15="","",IFERROR(INDEX(発注計算!$G$6:$G$405,MATCH(5,②発注数を決める!$Z$10:$Z$409,0)),""))</f>
        <v>1</v>
      </c>
      <c r="H15" s="83" t="n">
        <f aca="false">IF($B15="","",IFERROR(INDEX(②発注数を決める!$J$10:$J$409,MATCH(5,②発注数を決める!$Z$10:$Z$409,0)),""))</f>
        <v>8</v>
      </c>
      <c r="I15" s="84" t="n">
        <f aca="false">IF($B15="","",IFERROR(INDEX(発注計算!$H$6:$H$405,MATCH(5,②発注数を決める!$Z$10:$Z$409,0)),""))</f>
        <v>4382</v>
      </c>
      <c r="J15" s="84" t="n">
        <f aca="false">IF($B15="","",N($H15)*N($I15))</f>
        <v>35056</v>
      </c>
    </row>
    <row r="16" customFormat="false" ht="15" hidden="false" customHeight="false" outlineLevel="0" collapsed="false">
      <c r="B16" s="81" t="n">
        <f aca="false">IF(6&lt;=MAX(②発注数を決める!$Z$10:$Z$409),6,"")</f>
        <v>6</v>
      </c>
      <c r="C16" s="82" t="str">
        <f aca="false">IF($B16="","",IFERROR(INDEX(発注計算!$F$6:$F$405,MATCH(6,②発注数を決める!$Z$10:$Z$409,0)),""))</f>
        <v>オザックス株式会社</v>
      </c>
      <c r="D16" s="82" t="str">
        <f aca="false">IF($B16="","",IFERROR(INDEX(発注計算!$C$6:$C$405,MATCH(6,②発注数を決める!$Z$10:$Z$409,0))&amp;"",""))</f>
        <v>4902102081283</v>
      </c>
      <c r="E16" s="82" t="str">
        <f aca="false">IF($B16="","",IFERROR(INDEX(②発注数を決める!$C$10:$C$409,MATCH(6,②発注数を決める!$Z$10:$Z$409,0))&amp;"",""))</f>
        <v>ＰＸＴ爽健美茶１Ｇ</v>
      </c>
      <c r="F16" s="82" t="str">
        <f aca="false">IF($B16="","",IFERROR(INDEX(商品マスタ!$J$6:$J$1005,MATCH($D16,商品マスタ!$B$6:$B$1005,0)),"ケース"))</f>
        <v>ケース</v>
      </c>
      <c r="G16" s="81" t="n">
        <f aca="false">IF($B16="","",IFERROR(INDEX(発注計算!$G$6:$G$405,MATCH(6,②発注数を決める!$Z$10:$Z$409,0)),""))</f>
        <v>1</v>
      </c>
      <c r="H16" s="83" t="n">
        <f aca="false">IF($B16="","",IFERROR(INDEX(②発注数を決める!$J$10:$J$409,MATCH(6,②発注数を決める!$Z$10:$Z$409,0)),""))</f>
        <v>2</v>
      </c>
      <c r="I16" s="84" t="n">
        <f aca="false">IF($B16="","",IFERROR(INDEX(発注計算!$H$6:$H$405,MATCH(6,②発注数を決める!$Z$10:$Z$409,0)),""))</f>
        <v>3756</v>
      </c>
      <c r="J16" s="84" t="n">
        <f aca="false">IF($B16="","",N($H16)*N($I16))</f>
        <v>7512</v>
      </c>
    </row>
    <row r="17" customFormat="false" ht="15" hidden="false" customHeight="false" outlineLevel="0" collapsed="false">
      <c r="B17" s="81" t="n">
        <f aca="false">IF(7&lt;=MAX(②発注数を決める!$Z$10:$Z$409),7,"")</f>
        <v>7</v>
      </c>
      <c r="C17" s="82" t="str">
        <f aca="false">IF($B17="","",IFERROR(INDEX(発注計算!$F$6:$F$405,MATCH(7,②発注数を決める!$Z$10:$Z$409,0)),""))</f>
        <v>オザックス株式会社</v>
      </c>
      <c r="D17" s="82" t="str">
        <f aca="false">IF($B17="","",IFERROR(INDEX(発注計算!$C$6:$C$405,MATCH(7,②発注数を決める!$Z$10:$Z$409,0))&amp;"",""))</f>
        <v>4902102113014</v>
      </c>
      <c r="E17" s="82" t="str">
        <f aca="false">IF($B17="","",IFERROR(INDEX(②発注数を決める!$C$10:$C$409,MATCH(7,②発注数を決める!$Z$10:$Z$409,0))&amp;"",""))</f>
        <v>フラットＢＩＢコーラゼロ２．５Ｇ</v>
      </c>
      <c r="F17" s="82" t="str">
        <f aca="false">IF($B17="","",IFERROR(INDEX(商品マスタ!$J$6:$J$1005,MATCH($D17,商品マスタ!$B$6:$B$1005,0)),"ケース"))</f>
        <v>ケース</v>
      </c>
      <c r="G17" s="81" t="n">
        <f aca="false">IF($B17="","",IFERROR(INDEX(発注計算!$G$6:$G$405,MATCH(7,②発注数を決める!$Z$10:$Z$409,0)),""))</f>
        <v>1</v>
      </c>
      <c r="H17" s="83" t="n">
        <f aca="false">IF($B17="","",IFERROR(INDEX(②発注数を決める!$J$10:$J$409,MATCH(7,②発注数を決める!$Z$10:$Z$409,0)),""))</f>
        <v>5</v>
      </c>
      <c r="I17" s="84" t="n">
        <f aca="false">IF($B17="","",IFERROR(INDEX(発注計算!$H$6:$H$405,MATCH(7,②発注数を決める!$Z$10:$Z$409,0)),""))</f>
        <v>8136</v>
      </c>
      <c r="J17" s="84" t="n">
        <f aca="false">IF($B17="","",N($H17)*N($I17))</f>
        <v>40680</v>
      </c>
    </row>
    <row r="18" customFormat="false" ht="15" hidden="false" customHeight="false" outlineLevel="0" collapsed="false">
      <c r="B18" s="81" t="str">
        <f aca="false">IF(8&lt;=MAX(②発注数を決める!$Z$10:$Z$409),8,"")</f>
        <v/>
      </c>
      <c r="C18" s="82" t="str">
        <f aca="false">IF($B18="","",IFERROR(INDEX(発注計算!$F$6:$F$405,MATCH(8,②発注数を決める!$Z$10:$Z$409,0)),""))</f>
        <v/>
      </c>
      <c r="D18" s="82" t="str">
        <f aca="false">IF($B18="","",IFERROR(INDEX(発注計算!$C$6:$C$405,MATCH(8,②発注数を決める!$Z$10:$Z$409,0))&amp;"",""))</f>
        <v/>
      </c>
      <c r="E18" s="82" t="str">
        <f aca="false">IF($B18="","",IFERROR(INDEX(②発注数を決める!$C$10:$C$409,MATCH(8,②発注数を決める!$Z$10:$Z$409,0))&amp;"",""))</f>
        <v/>
      </c>
      <c r="F18" s="82" t="str">
        <f aca="false">IF($B18="","",IFERROR(INDEX(商品マスタ!$J$6:$J$1005,MATCH($D18,商品マスタ!$B$6:$B$1005,0)),"ケース"))</f>
        <v/>
      </c>
      <c r="G18" s="81" t="str">
        <f aca="false">IF($B18="","",IFERROR(INDEX(発注計算!$G$6:$G$405,MATCH(8,②発注数を決める!$Z$10:$Z$409,0)),""))</f>
        <v/>
      </c>
      <c r="H18" s="83" t="str">
        <f aca="false">IF($B18="","",IFERROR(INDEX(②発注数を決める!$J$10:$J$409,MATCH(8,②発注数を決める!$Z$10:$Z$409,0)),""))</f>
        <v/>
      </c>
      <c r="I18" s="84" t="str">
        <f aca="false">IF($B18="","",IFERROR(INDEX(発注計算!$H$6:$H$405,MATCH(8,②発注数を決める!$Z$10:$Z$409,0)),""))</f>
        <v/>
      </c>
      <c r="J18" s="84" t="str">
        <f aca="false">IF($B18="","",N($H18)*N($I18))</f>
        <v/>
      </c>
    </row>
    <row r="19" customFormat="false" ht="15" hidden="false" customHeight="false" outlineLevel="0" collapsed="false">
      <c r="B19" s="81" t="str">
        <f aca="false">IF(9&lt;=MAX(②発注数を決める!$Z$10:$Z$409),9,"")</f>
        <v/>
      </c>
      <c r="C19" s="82" t="str">
        <f aca="false">IF($B19="","",IFERROR(INDEX(発注計算!$F$6:$F$405,MATCH(9,②発注数を決める!$Z$10:$Z$409,0)),""))</f>
        <v/>
      </c>
      <c r="D19" s="82" t="str">
        <f aca="false">IF($B19="","",IFERROR(INDEX(発注計算!$C$6:$C$405,MATCH(9,②発注数を決める!$Z$10:$Z$409,0))&amp;"",""))</f>
        <v/>
      </c>
      <c r="E19" s="82" t="str">
        <f aca="false">IF($B19="","",IFERROR(INDEX(②発注数を決める!$C$10:$C$409,MATCH(9,②発注数を決める!$Z$10:$Z$409,0))&amp;"",""))</f>
        <v/>
      </c>
      <c r="F19" s="82" t="str">
        <f aca="false">IF($B19="","",IFERROR(INDEX(商品マスタ!$J$6:$J$1005,MATCH($D19,商品マスタ!$B$6:$B$1005,0)),"ケース"))</f>
        <v/>
      </c>
      <c r="G19" s="81" t="str">
        <f aca="false">IF($B19="","",IFERROR(INDEX(発注計算!$G$6:$G$405,MATCH(9,②発注数を決める!$Z$10:$Z$409,0)),""))</f>
        <v/>
      </c>
      <c r="H19" s="83" t="str">
        <f aca="false">IF($B19="","",IFERROR(INDEX(②発注数を決める!$J$10:$J$409,MATCH(9,②発注数を決める!$Z$10:$Z$409,0)),""))</f>
        <v/>
      </c>
      <c r="I19" s="84" t="str">
        <f aca="false">IF($B19="","",IFERROR(INDEX(発注計算!$H$6:$H$405,MATCH(9,②発注数を決める!$Z$10:$Z$409,0)),""))</f>
        <v/>
      </c>
      <c r="J19" s="84" t="str">
        <f aca="false">IF($B19="","",N($H19)*N($I19))</f>
        <v/>
      </c>
    </row>
    <row r="20" customFormat="false" ht="15" hidden="false" customHeight="false" outlineLevel="0" collapsed="false">
      <c r="B20" s="81" t="str">
        <f aca="false">IF(10&lt;=MAX(②発注数を決める!$Z$10:$Z$409),10,"")</f>
        <v/>
      </c>
      <c r="C20" s="82" t="str">
        <f aca="false">IF($B20="","",IFERROR(INDEX(発注計算!$F$6:$F$405,MATCH(10,②発注数を決める!$Z$10:$Z$409,0)),""))</f>
        <v/>
      </c>
      <c r="D20" s="82" t="str">
        <f aca="false">IF($B20="","",IFERROR(INDEX(発注計算!$C$6:$C$405,MATCH(10,②発注数を決める!$Z$10:$Z$409,0))&amp;"",""))</f>
        <v/>
      </c>
      <c r="E20" s="82" t="str">
        <f aca="false">IF($B20="","",IFERROR(INDEX(②発注数を決める!$C$10:$C$409,MATCH(10,②発注数を決める!$Z$10:$Z$409,0))&amp;"",""))</f>
        <v/>
      </c>
      <c r="F20" s="82" t="str">
        <f aca="false">IF($B20="","",IFERROR(INDEX(商品マスタ!$J$6:$J$1005,MATCH($D20,商品マスタ!$B$6:$B$1005,0)),"ケース"))</f>
        <v/>
      </c>
      <c r="G20" s="81" t="str">
        <f aca="false">IF($B20="","",IFERROR(INDEX(発注計算!$G$6:$G$405,MATCH(10,②発注数を決める!$Z$10:$Z$409,0)),""))</f>
        <v/>
      </c>
      <c r="H20" s="83" t="str">
        <f aca="false">IF($B20="","",IFERROR(INDEX(②発注数を決める!$J$10:$J$409,MATCH(10,②発注数を決める!$Z$10:$Z$409,0)),""))</f>
        <v/>
      </c>
      <c r="I20" s="84" t="str">
        <f aca="false">IF($B20="","",IFERROR(INDEX(発注計算!$H$6:$H$405,MATCH(10,②発注数を決める!$Z$10:$Z$409,0)),""))</f>
        <v/>
      </c>
      <c r="J20" s="84" t="str">
        <f aca="false">IF($B20="","",N($H20)*N($I20))</f>
        <v/>
      </c>
    </row>
    <row r="21" customFormat="false" ht="15" hidden="false" customHeight="false" outlineLevel="0" collapsed="false">
      <c r="B21" s="81" t="str">
        <f aca="false">IF(11&lt;=MAX(②発注数を決める!$Z$10:$Z$409),11,"")</f>
        <v/>
      </c>
      <c r="C21" s="82" t="str">
        <f aca="false">IF($B21="","",IFERROR(INDEX(発注計算!$F$6:$F$405,MATCH(11,②発注数を決める!$Z$10:$Z$409,0)),""))</f>
        <v/>
      </c>
      <c r="D21" s="82" t="str">
        <f aca="false">IF($B21="","",IFERROR(INDEX(発注計算!$C$6:$C$405,MATCH(11,②発注数を決める!$Z$10:$Z$409,0))&amp;"",""))</f>
        <v/>
      </c>
      <c r="E21" s="82" t="str">
        <f aca="false">IF($B21="","",IFERROR(INDEX(②発注数を決める!$C$10:$C$409,MATCH(11,②発注数を決める!$Z$10:$Z$409,0))&amp;"",""))</f>
        <v/>
      </c>
      <c r="F21" s="82" t="str">
        <f aca="false">IF($B21="","",IFERROR(INDEX(商品マスタ!$J$6:$J$1005,MATCH($D21,商品マスタ!$B$6:$B$1005,0)),"ケース"))</f>
        <v/>
      </c>
      <c r="G21" s="81" t="str">
        <f aca="false">IF($B21="","",IFERROR(INDEX(発注計算!$G$6:$G$405,MATCH(11,②発注数を決める!$Z$10:$Z$409,0)),""))</f>
        <v/>
      </c>
      <c r="H21" s="83" t="str">
        <f aca="false">IF($B21="","",IFERROR(INDEX(②発注数を決める!$J$10:$J$409,MATCH(11,②発注数を決める!$Z$10:$Z$409,0)),""))</f>
        <v/>
      </c>
      <c r="I21" s="84" t="str">
        <f aca="false">IF($B21="","",IFERROR(INDEX(発注計算!$H$6:$H$405,MATCH(11,②発注数を決める!$Z$10:$Z$409,0)),""))</f>
        <v/>
      </c>
      <c r="J21" s="84" t="str">
        <f aca="false">IF($B21="","",N($H21)*N($I21))</f>
        <v/>
      </c>
    </row>
    <row r="22" customFormat="false" ht="15" hidden="false" customHeight="false" outlineLevel="0" collapsed="false">
      <c r="B22" s="81" t="str">
        <f aca="false">IF(12&lt;=MAX(②発注数を決める!$Z$10:$Z$409),12,"")</f>
        <v/>
      </c>
      <c r="C22" s="82" t="str">
        <f aca="false">IF($B22="","",IFERROR(INDEX(発注計算!$F$6:$F$405,MATCH(12,②発注数を決める!$Z$10:$Z$409,0)),""))</f>
        <v/>
      </c>
      <c r="D22" s="82" t="str">
        <f aca="false">IF($B22="","",IFERROR(INDEX(発注計算!$C$6:$C$405,MATCH(12,②発注数を決める!$Z$10:$Z$409,0))&amp;"",""))</f>
        <v/>
      </c>
      <c r="E22" s="82" t="str">
        <f aca="false">IF($B22="","",IFERROR(INDEX(②発注数を決める!$C$10:$C$409,MATCH(12,②発注数を決める!$Z$10:$Z$409,0))&amp;"",""))</f>
        <v/>
      </c>
      <c r="F22" s="82" t="str">
        <f aca="false">IF($B22="","",IFERROR(INDEX(商品マスタ!$J$6:$J$1005,MATCH($D22,商品マスタ!$B$6:$B$1005,0)),"ケース"))</f>
        <v/>
      </c>
      <c r="G22" s="81" t="str">
        <f aca="false">IF($B22="","",IFERROR(INDEX(発注計算!$G$6:$G$405,MATCH(12,②発注数を決める!$Z$10:$Z$409,0)),""))</f>
        <v/>
      </c>
      <c r="H22" s="83" t="str">
        <f aca="false">IF($B22="","",IFERROR(INDEX(②発注数を決める!$J$10:$J$409,MATCH(12,②発注数を決める!$Z$10:$Z$409,0)),""))</f>
        <v/>
      </c>
      <c r="I22" s="84" t="str">
        <f aca="false">IF($B22="","",IFERROR(INDEX(発注計算!$H$6:$H$405,MATCH(12,②発注数を決める!$Z$10:$Z$409,0)),""))</f>
        <v/>
      </c>
      <c r="J22" s="84" t="str">
        <f aca="false">IF($B22="","",N($H22)*N($I22))</f>
        <v/>
      </c>
    </row>
    <row r="23" customFormat="false" ht="15" hidden="false" customHeight="false" outlineLevel="0" collapsed="false">
      <c r="B23" s="81" t="str">
        <f aca="false">IF(13&lt;=MAX(②発注数を決める!$Z$10:$Z$409),13,"")</f>
        <v/>
      </c>
      <c r="C23" s="82" t="str">
        <f aca="false">IF($B23="","",IFERROR(INDEX(発注計算!$F$6:$F$405,MATCH(13,②発注数を決める!$Z$10:$Z$409,0)),""))</f>
        <v/>
      </c>
      <c r="D23" s="82" t="str">
        <f aca="false">IF($B23="","",IFERROR(INDEX(発注計算!$C$6:$C$405,MATCH(13,②発注数を決める!$Z$10:$Z$409,0))&amp;"",""))</f>
        <v/>
      </c>
      <c r="E23" s="82" t="str">
        <f aca="false">IF($B23="","",IFERROR(INDEX(②発注数を決める!$C$10:$C$409,MATCH(13,②発注数を決める!$Z$10:$Z$409,0))&amp;"",""))</f>
        <v/>
      </c>
      <c r="F23" s="82" t="str">
        <f aca="false">IF($B23="","",IFERROR(INDEX(商品マスタ!$J$6:$J$1005,MATCH($D23,商品マスタ!$B$6:$B$1005,0)),"ケース"))</f>
        <v/>
      </c>
      <c r="G23" s="81" t="str">
        <f aca="false">IF($B23="","",IFERROR(INDEX(発注計算!$G$6:$G$405,MATCH(13,②発注数を決める!$Z$10:$Z$409,0)),""))</f>
        <v/>
      </c>
      <c r="H23" s="83" t="str">
        <f aca="false">IF($B23="","",IFERROR(INDEX(②発注数を決める!$J$10:$J$409,MATCH(13,②発注数を決める!$Z$10:$Z$409,0)),""))</f>
        <v/>
      </c>
      <c r="I23" s="84" t="str">
        <f aca="false">IF($B23="","",IFERROR(INDEX(発注計算!$H$6:$H$405,MATCH(13,②発注数を決める!$Z$10:$Z$409,0)),""))</f>
        <v/>
      </c>
      <c r="J23" s="84" t="str">
        <f aca="false">IF($B23="","",N($H23)*N($I23))</f>
        <v/>
      </c>
    </row>
    <row r="24" customFormat="false" ht="15" hidden="false" customHeight="false" outlineLevel="0" collapsed="false">
      <c r="B24" s="81" t="str">
        <f aca="false">IF(14&lt;=MAX(②発注数を決める!$Z$10:$Z$409),14,"")</f>
        <v/>
      </c>
      <c r="C24" s="82" t="str">
        <f aca="false">IF($B24="","",IFERROR(INDEX(発注計算!$F$6:$F$405,MATCH(14,②発注数を決める!$Z$10:$Z$409,0)),""))</f>
        <v/>
      </c>
      <c r="D24" s="82" t="str">
        <f aca="false">IF($B24="","",IFERROR(INDEX(発注計算!$C$6:$C$405,MATCH(14,②発注数を決める!$Z$10:$Z$409,0))&amp;"",""))</f>
        <v/>
      </c>
      <c r="E24" s="82" t="str">
        <f aca="false">IF($B24="","",IFERROR(INDEX(②発注数を決める!$C$10:$C$409,MATCH(14,②発注数を決める!$Z$10:$Z$409,0))&amp;"",""))</f>
        <v/>
      </c>
      <c r="F24" s="82" t="str">
        <f aca="false">IF($B24="","",IFERROR(INDEX(商品マスタ!$J$6:$J$1005,MATCH($D24,商品マスタ!$B$6:$B$1005,0)),"ケース"))</f>
        <v/>
      </c>
      <c r="G24" s="81" t="str">
        <f aca="false">IF($B24="","",IFERROR(INDEX(発注計算!$G$6:$G$405,MATCH(14,②発注数を決める!$Z$10:$Z$409,0)),""))</f>
        <v/>
      </c>
      <c r="H24" s="83" t="str">
        <f aca="false">IF($B24="","",IFERROR(INDEX(②発注数を決める!$J$10:$J$409,MATCH(14,②発注数を決める!$Z$10:$Z$409,0)),""))</f>
        <v/>
      </c>
      <c r="I24" s="84" t="str">
        <f aca="false">IF($B24="","",IFERROR(INDEX(発注計算!$H$6:$H$405,MATCH(14,②発注数を決める!$Z$10:$Z$409,0)),""))</f>
        <v/>
      </c>
      <c r="J24" s="84" t="str">
        <f aca="false">IF($B24="","",N($H24)*N($I24))</f>
        <v/>
      </c>
    </row>
    <row r="25" customFormat="false" ht="15" hidden="false" customHeight="false" outlineLevel="0" collapsed="false">
      <c r="B25" s="81" t="str">
        <f aca="false">IF(15&lt;=MAX(②発注数を決める!$Z$10:$Z$409),15,"")</f>
        <v/>
      </c>
      <c r="C25" s="82" t="str">
        <f aca="false">IF($B25="","",IFERROR(INDEX(発注計算!$F$6:$F$405,MATCH(15,②発注数を決める!$Z$10:$Z$409,0)),""))</f>
        <v/>
      </c>
      <c r="D25" s="82" t="str">
        <f aca="false">IF($B25="","",IFERROR(INDEX(発注計算!$C$6:$C$405,MATCH(15,②発注数を決める!$Z$10:$Z$409,0))&amp;"",""))</f>
        <v/>
      </c>
      <c r="E25" s="82" t="str">
        <f aca="false">IF($B25="","",IFERROR(INDEX(②発注数を決める!$C$10:$C$409,MATCH(15,②発注数を決める!$Z$10:$Z$409,0))&amp;"",""))</f>
        <v/>
      </c>
      <c r="F25" s="82" t="str">
        <f aca="false">IF($B25="","",IFERROR(INDEX(商品マスタ!$J$6:$J$1005,MATCH($D25,商品マスタ!$B$6:$B$1005,0)),"ケース"))</f>
        <v/>
      </c>
      <c r="G25" s="81" t="str">
        <f aca="false">IF($B25="","",IFERROR(INDEX(発注計算!$G$6:$G$405,MATCH(15,②発注数を決める!$Z$10:$Z$409,0)),""))</f>
        <v/>
      </c>
      <c r="H25" s="83" t="str">
        <f aca="false">IF($B25="","",IFERROR(INDEX(②発注数を決める!$J$10:$J$409,MATCH(15,②発注数を決める!$Z$10:$Z$409,0)),""))</f>
        <v/>
      </c>
      <c r="I25" s="84" t="str">
        <f aca="false">IF($B25="","",IFERROR(INDEX(発注計算!$H$6:$H$405,MATCH(15,②発注数を決める!$Z$10:$Z$409,0)),""))</f>
        <v/>
      </c>
      <c r="J25" s="84" t="str">
        <f aca="false">IF($B25="","",N($H25)*N($I25))</f>
        <v/>
      </c>
    </row>
    <row r="26" customFormat="false" ht="15" hidden="false" customHeight="false" outlineLevel="0" collapsed="false">
      <c r="B26" s="81" t="str">
        <f aca="false">IF(16&lt;=MAX(②発注数を決める!$Z$10:$Z$409),16,"")</f>
        <v/>
      </c>
      <c r="C26" s="82" t="str">
        <f aca="false">IF($B26="","",IFERROR(INDEX(発注計算!$F$6:$F$405,MATCH(16,②発注数を決める!$Z$10:$Z$409,0)),""))</f>
        <v/>
      </c>
      <c r="D26" s="82" t="str">
        <f aca="false">IF($B26="","",IFERROR(INDEX(発注計算!$C$6:$C$405,MATCH(16,②発注数を決める!$Z$10:$Z$409,0))&amp;"",""))</f>
        <v/>
      </c>
      <c r="E26" s="82" t="str">
        <f aca="false">IF($B26="","",IFERROR(INDEX(②発注数を決める!$C$10:$C$409,MATCH(16,②発注数を決める!$Z$10:$Z$409,0))&amp;"",""))</f>
        <v/>
      </c>
      <c r="F26" s="82" t="str">
        <f aca="false">IF($B26="","",IFERROR(INDEX(商品マスタ!$J$6:$J$1005,MATCH($D26,商品マスタ!$B$6:$B$1005,0)),"ケース"))</f>
        <v/>
      </c>
      <c r="G26" s="81" t="str">
        <f aca="false">IF($B26="","",IFERROR(INDEX(発注計算!$G$6:$G$405,MATCH(16,②発注数を決める!$Z$10:$Z$409,0)),""))</f>
        <v/>
      </c>
      <c r="H26" s="83" t="str">
        <f aca="false">IF($B26="","",IFERROR(INDEX(②発注数を決める!$J$10:$J$409,MATCH(16,②発注数を決める!$Z$10:$Z$409,0)),""))</f>
        <v/>
      </c>
      <c r="I26" s="84" t="str">
        <f aca="false">IF($B26="","",IFERROR(INDEX(発注計算!$H$6:$H$405,MATCH(16,②発注数を決める!$Z$10:$Z$409,0)),""))</f>
        <v/>
      </c>
      <c r="J26" s="84" t="str">
        <f aca="false">IF($B26="","",N($H26)*N($I26))</f>
        <v/>
      </c>
    </row>
    <row r="27" customFormat="false" ht="15" hidden="false" customHeight="false" outlineLevel="0" collapsed="false">
      <c r="B27" s="81" t="str">
        <f aca="false">IF(17&lt;=MAX(②発注数を決める!$Z$10:$Z$409),17,"")</f>
        <v/>
      </c>
      <c r="C27" s="82" t="str">
        <f aca="false">IF($B27="","",IFERROR(INDEX(発注計算!$F$6:$F$405,MATCH(17,②発注数を決める!$Z$10:$Z$409,0)),""))</f>
        <v/>
      </c>
      <c r="D27" s="82" t="str">
        <f aca="false">IF($B27="","",IFERROR(INDEX(発注計算!$C$6:$C$405,MATCH(17,②発注数を決める!$Z$10:$Z$409,0))&amp;"",""))</f>
        <v/>
      </c>
      <c r="E27" s="82" t="str">
        <f aca="false">IF($B27="","",IFERROR(INDEX(②発注数を決める!$C$10:$C$409,MATCH(17,②発注数を決める!$Z$10:$Z$409,0))&amp;"",""))</f>
        <v/>
      </c>
      <c r="F27" s="82" t="str">
        <f aca="false">IF($B27="","",IFERROR(INDEX(商品マスタ!$J$6:$J$1005,MATCH($D27,商品マスタ!$B$6:$B$1005,0)),"ケース"))</f>
        <v/>
      </c>
      <c r="G27" s="81" t="str">
        <f aca="false">IF($B27="","",IFERROR(INDEX(発注計算!$G$6:$G$405,MATCH(17,②発注数を決める!$Z$10:$Z$409,0)),""))</f>
        <v/>
      </c>
      <c r="H27" s="83" t="str">
        <f aca="false">IF($B27="","",IFERROR(INDEX(②発注数を決める!$J$10:$J$409,MATCH(17,②発注数を決める!$Z$10:$Z$409,0)),""))</f>
        <v/>
      </c>
      <c r="I27" s="84" t="str">
        <f aca="false">IF($B27="","",IFERROR(INDEX(発注計算!$H$6:$H$405,MATCH(17,②発注数を決める!$Z$10:$Z$409,0)),""))</f>
        <v/>
      </c>
      <c r="J27" s="84" t="str">
        <f aca="false">IF($B27="","",N($H27)*N($I27))</f>
        <v/>
      </c>
    </row>
    <row r="28" customFormat="false" ht="15" hidden="false" customHeight="false" outlineLevel="0" collapsed="false">
      <c r="B28" s="81" t="str">
        <f aca="false">IF(18&lt;=MAX(②発注数を決める!$Z$10:$Z$409),18,"")</f>
        <v/>
      </c>
      <c r="C28" s="82" t="str">
        <f aca="false">IF($B28="","",IFERROR(INDEX(発注計算!$F$6:$F$405,MATCH(18,②発注数を決める!$Z$10:$Z$409,0)),""))</f>
        <v/>
      </c>
      <c r="D28" s="82" t="str">
        <f aca="false">IF($B28="","",IFERROR(INDEX(発注計算!$C$6:$C$405,MATCH(18,②発注数を決める!$Z$10:$Z$409,0))&amp;"",""))</f>
        <v/>
      </c>
      <c r="E28" s="82" t="str">
        <f aca="false">IF($B28="","",IFERROR(INDEX(②発注数を決める!$C$10:$C$409,MATCH(18,②発注数を決める!$Z$10:$Z$409,0))&amp;"",""))</f>
        <v/>
      </c>
      <c r="F28" s="82" t="str">
        <f aca="false">IF($B28="","",IFERROR(INDEX(商品マスタ!$J$6:$J$1005,MATCH($D28,商品マスタ!$B$6:$B$1005,0)),"ケース"))</f>
        <v/>
      </c>
      <c r="G28" s="81" t="str">
        <f aca="false">IF($B28="","",IFERROR(INDEX(発注計算!$G$6:$G$405,MATCH(18,②発注数を決める!$Z$10:$Z$409,0)),""))</f>
        <v/>
      </c>
      <c r="H28" s="83" t="str">
        <f aca="false">IF($B28="","",IFERROR(INDEX(②発注数を決める!$J$10:$J$409,MATCH(18,②発注数を決める!$Z$10:$Z$409,0)),""))</f>
        <v/>
      </c>
      <c r="I28" s="84" t="str">
        <f aca="false">IF($B28="","",IFERROR(INDEX(発注計算!$H$6:$H$405,MATCH(18,②発注数を決める!$Z$10:$Z$409,0)),""))</f>
        <v/>
      </c>
      <c r="J28" s="84" t="str">
        <f aca="false">IF($B28="","",N($H28)*N($I28))</f>
        <v/>
      </c>
    </row>
    <row r="29" customFormat="false" ht="15" hidden="false" customHeight="false" outlineLevel="0" collapsed="false">
      <c r="B29" s="81" t="str">
        <f aca="false">IF(19&lt;=MAX(②発注数を決める!$Z$10:$Z$409),19,"")</f>
        <v/>
      </c>
      <c r="C29" s="82" t="str">
        <f aca="false">IF($B29="","",IFERROR(INDEX(発注計算!$F$6:$F$405,MATCH(19,②発注数を決める!$Z$10:$Z$409,0)),""))</f>
        <v/>
      </c>
      <c r="D29" s="82" t="str">
        <f aca="false">IF($B29="","",IFERROR(INDEX(発注計算!$C$6:$C$405,MATCH(19,②発注数を決める!$Z$10:$Z$409,0))&amp;"",""))</f>
        <v/>
      </c>
      <c r="E29" s="82" t="str">
        <f aca="false">IF($B29="","",IFERROR(INDEX(②発注数を決める!$C$10:$C$409,MATCH(19,②発注数を決める!$Z$10:$Z$409,0))&amp;"",""))</f>
        <v/>
      </c>
      <c r="F29" s="82" t="str">
        <f aca="false">IF($B29="","",IFERROR(INDEX(商品マスタ!$J$6:$J$1005,MATCH($D29,商品マスタ!$B$6:$B$1005,0)),"ケース"))</f>
        <v/>
      </c>
      <c r="G29" s="81" t="str">
        <f aca="false">IF($B29="","",IFERROR(INDEX(発注計算!$G$6:$G$405,MATCH(19,②発注数を決める!$Z$10:$Z$409,0)),""))</f>
        <v/>
      </c>
      <c r="H29" s="83" t="str">
        <f aca="false">IF($B29="","",IFERROR(INDEX(②発注数を決める!$J$10:$J$409,MATCH(19,②発注数を決める!$Z$10:$Z$409,0)),""))</f>
        <v/>
      </c>
      <c r="I29" s="84" t="str">
        <f aca="false">IF($B29="","",IFERROR(INDEX(発注計算!$H$6:$H$405,MATCH(19,②発注数を決める!$Z$10:$Z$409,0)),""))</f>
        <v/>
      </c>
      <c r="J29" s="84" t="str">
        <f aca="false">IF($B29="","",N($H29)*N($I29))</f>
        <v/>
      </c>
    </row>
    <row r="30" customFormat="false" ht="15" hidden="false" customHeight="false" outlineLevel="0" collapsed="false">
      <c r="B30" s="81" t="str">
        <f aca="false">IF(20&lt;=MAX(②発注数を決める!$Z$10:$Z$409),20,"")</f>
        <v/>
      </c>
      <c r="C30" s="82" t="str">
        <f aca="false">IF($B30="","",IFERROR(INDEX(発注計算!$F$6:$F$405,MATCH(20,②発注数を決める!$Z$10:$Z$409,0)),""))</f>
        <v/>
      </c>
      <c r="D30" s="82" t="str">
        <f aca="false">IF($B30="","",IFERROR(INDEX(発注計算!$C$6:$C$405,MATCH(20,②発注数を決める!$Z$10:$Z$409,0))&amp;"",""))</f>
        <v/>
      </c>
      <c r="E30" s="82" t="str">
        <f aca="false">IF($B30="","",IFERROR(INDEX(②発注数を決める!$C$10:$C$409,MATCH(20,②発注数を決める!$Z$10:$Z$409,0))&amp;"",""))</f>
        <v/>
      </c>
      <c r="F30" s="82" t="str">
        <f aca="false">IF($B30="","",IFERROR(INDEX(商品マスタ!$J$6:$J$1005,MATCH($D30,商品マスタ!$B$6:$B$1005,0)),"ケース"))</f>
        <v/>
      </c>
      <c r="G30" s="81" t="str">
        <f aca="false">IF($B30="","",IFERROR(INDEX(発注計算!$G$6:$G$405,MATCH(20,②発注数を決める!$Z$10:$Z$409,0)),""))</f>
        <v/>
      </c>
      <c r="H30" s="83" t="str">
        <f aca="false">IF($B30="","",IFERROR(INDEX(②発注数を決める!$J$10:$J$409,MATCH(20,②発注数を決める!$Z$10:$Z$409,0)),""))</f>
        <v/>
      </c>
      <c r="I30" s="84" t="str">
        <f aca="false">IF($B30="","",IFERROR(INDEX(発注計算!$H$6:$H$405,MATCH(20,②発注数を決める!$Z$10:$Z$409,0)),""))</f>
        <v/>
      </c>
      <c r="J30" s="84" t="str">
        <f aca="false">IF($B30="","",N($H30)*N($I30))</f>
        <v/>
      </c>
    </row>
    <row r="31" customFormat="false" ht="15" hidden="false" customHeight="false" outlineLevel="0" collapsed="false">
      <c r="B31" s="81" t="str">
        <f aca="false">IF(21&lt;=MAX(②発注数を決める!$Z$10:$Z$409),21,"")</f>
        <v/>
      </c>
      <c r="C31" s="82" t="str">
        <f aca="false">IF($B31="","",IFERROR(INDEX(発注計算!$F$6:$F$405,MATCH(21,②発注数を決める!$Z$10:$Z$409,0)),""))</f>
        <v/>
      </c>
      <c r="D31" s="82" t="str">
        <f aca="false">IF($B31="","",IFERROR(INDEX(発注計算!$C$6:$C$405,MATCH(21,②発注数を決める!$Z$10:$Z$409,0))&amp;"",""))</f>
        <v/>
      </c>
      <c r="E31" s="82" t="str">
        <f aca="false">IF($B31="","",IFERROR(INDEX(②発注数を決める!$C$10:$C$409,MATCH(21,②発注数を決める!$Z$10:$Z$409,0))&amp;"",""))</f>
        <v/>
      </c>
      <c r="F31" s="82" t="str">
        <f aca="false">IF($B31="","",IFERROR(INDEX(商品マスタ!$J$6:$J$1005,MATCH($D31,商品マスタ!$B$6:$B$1005,0)),"ケース"))</f>
        <v/>
      </c>
      <c r="G31" s="81" t="str">
        <f aca="false">IF($B31="","",IFERROR(INDEX(発注計算!$G$6:$G$405,MATCH(21,②発注数を決める!$Z$10:$Z$409,0)),""))</f>
        <v/>
      </c>
      <c r="H31" s="83" t="str">
        <f aca="false">IF($B31="","",IFERROR(INDEX(②発注数を決める!$J$10:$J$409,MATCH(21,②発注数を決める!$Z$10:$Z$409,0)),""))</f>
        <v/>
      </c>
      <c r="I31" s="84" t="str">
        <f aca="false">IF($B31="","",IFERROR(INDEX(発注計算!$H$6:$H$405,MATCH(21,②発注数を決める!$Z$10:$Z$409,0)),""))</f>
        <v/>
      </c>
      <c r="J31" s="84" t="str">
        <f aca="false">IF($B31="","",N($H31)*N($I31))</f>
        <v/>
      </c>
    </row>
    <row r="32" customFormat="false" ht="15" hidden="false" customHeight="false" outlineLevel="0" collapsed="false">
      <c r="B32" s="81" t="str">
        <f aca="false">IF(22&lt;=MAX(②発注数を決める!$Z$10:$Z$409),22,"")</f>
        <v/>
      </c>
      <c r="C32" s="82" t="str">
        <f aca="false">IF($B32="","",IFERROR(INDEX(発注計算!$F$6:$F$405,MATCH(22,②発注数を決める!$Z$10:$Z$409,0)),""))</f>
        <v/>
      </c>
      <c r="D32" s="82" t="str">
        <f aca="false">IF($B32="","",IFERROR(INDEX(発注計算!$C$6:$C$405,MATCH(22,②発注数を決める!$Z$10:$Z$409,0))&amp;"",""))</f>
        <v/>
      </c>
      <c r="E32" s="82" t="str">
        <f aca="false">IF($B32="","",IFERROR(INDEX(②発注数を決める!$C$10:$C$409,MATCH(22,②発注数を決める!$Z$10:$Z$409,0))&amp;"",""))</f>
        <v/>
      </c>
      <c r="F32" s="82" t="str">
        <f aca="false">IF($B32="","",IFERROR(INDEX(商品マスタ!$J$6:$J$1005,MATCH($D32,商品マスタ!$B$6:$B$1005,0)),"ケース"))</f>
        <v/>
      </c>
      <c r="G32" s="81" t="str">
        <f aca="false">IF($B32="","",IFERROR(INDEX(発注計算!$G$6:$G$405,MATCH(22,②発注数を決める!$Z$10:$Z$409,0)),""))</f>
        <v/>
      </c>
      <c r="H32" s="83" t="str">
        <f aca="false">IF($B32="","",IFERROR(INDEX(②発注数を決める!$J$10:$J$409,MATCH(22,②発注数を決める!$Z$10:$Z$409,0)),""))</f>
        <v/>
      </c>
      <c r="I32" s="84" t="str">
        <f aca="false">IF($B32="","",IFERROR(INDEX(発注計算!$H$6:$H$405,MATCH(22,②発注数を決める!$Z$10:$Z$409,0)),""))</f>
        <v/>
      </c>
      <c r="J32" s="84" t="str">
        <f aca="false">IF($B32="","",N($H32)*N($I32))</f>
        <v/>
      </c>
    </row>
    <row r="33" customFormat="false" ht="15" hidden="false" customHeight="false" outlineLevel="0" collapsed="false">
      <c r="B33" s="81" t="str">
        <f aca="false">IF(23&lt;=MAX(②発注数を決める!$Z$10:$Z$409),23,"")</f>
        <v/>
      </c>
      <c r="C33" s="82" t="str">
        <f aca="false">IF($B33="","",IFERROR(INDEX(発注計算!$F$6:$F$405,MATCH(23,②発注数を決める!$Z$10:$Z$409,0)),""))</f>
        <v/>
      </c>
      <c r="D33" s="82" t="str">
        <f aca="false">IF($B33="","",IFERROR(INDEX(発注計算!$C$6:$C$405,MATCH(23,②発注数を決める!$Z$10:$Z$409,0))&amp;"",""))</f>
        <v/>
      </c>
      <c r="E33" s="82" t="str">
        <f aca="false">IF($B33="","",IFERROR(INDEX(②発注数を決める!$C$10:$C$409,MATCH(23,②発注数を決める!$Z$10:$Z$409,0))&amp;"",""))</f>
        <v/>
      </c>
      <c r="F33" s="82" t="str">
        <f aca="false">IF($B33="","",IFERROR(INDEX(商品マスタ!$J$6:$J$1005,MATCH($D33,商品マスタ!$B$6:$B$1005,0)),"ケース"))</f>
        <v/>
      </c>
      <c r="G33" s="81" t="str">
        <f aca="false">IF($B33="","",IFERROR(INDEX(発注計算!$G$6:$G$405,MATCH(23,②発注数を決める!$Z$10:$Z$409,0)),""))</f>
        <v/>
      </c>
      <c r="H33" s="83" t="str">
        <f aca="false">IF($B33="","",IFERROR(INDEX(②発注数を決める!$J$10:$J$409,MATCH(23,②発注数を決める!$Z$10:$Z$409,0)),""))</f>
        <v/>
      </c>
      <c r="I33" s="84" t="str">
        <f aca="false">IF($B33="","",IFERROR(INDEX(発注計算!$H$6:$H$405,MATCH(23,②発注数を決める!$Z$10:$Z$409,0)),""))</f>
        <v/>
      </c>
      <c r="J33" s="84" t="str">
        <f aca="false">IF($B33="","",N($H33)*N($I33))</f>
        <v/>
      </c>
    </row>
    <row r="34" customFormat="false" ht="15" hidden="false" customHeight="false" outlineLevel="0" collapsed="false">
      <c r="B34" s="81" t="str">
        <f aca="false">IF(24&lt;=MAX(②発注数を決める!$Z$10:$Z$409),24,"")</f>
        <v/>
      </c>
      <c r="C34" s="82" t="str">
        <f aca="false">IF($B34="","",IFERROR(INDEX(発注計算!$F$6:$F$405,MATCH(24,②発注数を決める!$Z$10:$Z$409,0)),""))</f>
        <v/>
      </c>
      <c r="D34" s="82" t="str">
        <f aca="false">IF($B34="","",IFERROR(INDEX(発注計算!$C$6:$C$405,MATCH(24,②発注数を決める!$Z$10:$Z$409,0))&amp;"",""))</f>
        <v/>
      </c>
      <c r="E34" s="82" t="str">
        <f aca="false">IF($B34="","",IFERROR(INDEX(②発注数を決める!$C$10:$C$409,MATCH(24,②発注数を決める!$Z$10:$Z$409,0))&amp;"",""))</f>
        <v/>
      </c>
      <c r="F34" s="82" t="str">
        <f aca="false">IF($B34="","",IFERROR(INDEX(商品マスタ!$J$6:$J$1005,MATCH($D34,商品マスタ!$B$6:$B$1005,0)),"ケース"))</f>
        <v/>
      </c>
      <c r="G34" s="81" t="str">
        <f aca="false">IF($B34="","",IFERROR(INDEX(発注計算!$G$6:$G$405,MATCH(24,②発注数を決める!$Z$10:$Z$409,0)),""))</f>
        <v/>
      </c>
      <c r="H34" s="83" t="str">
        <f aca="false">IF($B34="","",IFERROR(INDEX(②発注数を決める!$J$10:$J$409,MATCH(24,②発注数を決める!$Z$10:$Z$409,0)),""))</f>
        <v/>
      </c>
      <c r="I34" s="84" t="str">
        <f aca="false">IF($B34="","",IFERROR(INDEX(発注計算!$H$6:$H$405,MATCH(24,②発注数を決める!$Z$10:$Z$409,0)),""))</f>
        <v/>
      </c>
      <c r="J34" s="84" t="str">
        <f aca="false">IF($B34="","",N($H34)*N($I34))</f>
        <v/>
      </c>
    </row>
    <row r="35" customFormat="false" ht="15" hidden="false" customHeight="false" outlineLevel="0" collapsed="false">
      <c r="B35" s="81" t="str">
        <f aca="false">IF(25&lt;=MAX(②発注数を決める!$Z$10:$Z$409),25,"")</f>
        <v/>
      </c>
      <c r="C35" s="82" t="str">
        <f aca="false">IF($B35="","",IFERROR(INDEX(発注計算!$F$6:$F$405,MATCH(25,②発注数を決める!$Z$10:$Z$409,0)),""))</f>
        <v/>
      </c>
      <c r="D35" s="82" t="str">
        <f aca="false">IF($B35="","",IFERROR(INDEX(発注計算!$C$6:$C$405,MATCH(25,②発注数を決める!$Z$10:$Z$409,0))&amp;"",""))</f>
        <v/>
      </c>
      <c r="E35" s="82" t="str">
        <f aca="false">IF($B35="","",IFERROR(INDEX(②発注数を決める!$C$10:$C$409,MATCH(25,②発注数を決める!$Z$10:$Z$409,0))&amp;"",""))</f>
        <v/>
      </c>
      <c r="F35" s="82" t="str">
        <f aca="false">IF($B35="","",IFERROR(INDEX(商品マスタ!$J$6:$J$1005,MATCH($D35,商品マスタ!$B$6:$B$1005,0)),"ケース"))</f>
        <v/>
      </c>
      <c r="G35" s="81" t="str">
        <f aca="false">IF($B35="","",IFERROR(INDEX(発注計算!$G$6:$G$405,MATCH(25,②発注数を決める!$Z$10:$Z$409,0)),""))</f>
        <v/>
      </c>
      <c r="H35" s="83" t="str">
        <f aca="false">IF($B35="","",IFERROR(INDEX(②発注数を決める!$J$10:$J$409,MATCH(25,②発注数を決める!$Z$10:$Z$409,0)),""))</f>
        <v/>
      </c>
      <c r="I35" s="84" t="str">
        <f aca="false">IF($B35="","",IFERROR(INDEX(発注計算!$H$6:$H$405,MATCH(25,②発注数を決める!$Z$10:$Z$409,0)),""))</f>
        <v/>
      </c>
      <c r="J35" s="84" t="str">
        <f aca="false">IF($B35="","",N($H35)*N($I35))</f>
        <v/>
      </c>
    </row>
    <row r="36" customFormat="false" ht="15" hidden="false" customHeight="false" outlineLevel="0" collapsed="false">
      <c r="B36" s="81" t="str">
        <f aca="false">IF(26&lt;=MAX(②発注数を決める!$Z$10:$Z$409),26,"")</f>
        <v/>
      </c>
      <c r="C36" s="82" t="str">
        <f aca="false">IF($B36="","",IFERROR(INDEX(発注計算!$F$6:$F$405,MATCH(26,②発注数を決める!$Z$10:$Z$409,0)),""))</f>
        <v/>
      </c>
      <c r="D36" s="82" t="str">
        <f aca="false">IF($B36="","",IFERROR(INDEX(発注計算!$C$6:$C$405,MATCH(26,②発注数を決める!$Z$10:$Z$409,0))&amp;"",""))</f>
        <v/>
      </c>
      <c r="E36" s="82" t="str">
        <f aca="false">IF($B36="","",IFERROR(INDEX(②発注数を決める!$C$10:$C$409,MATCH(26,②発注数を決める!$Z$10:$Z$409,0))&amp;"",""))</f>
        <v/>
      </c>
      <c r="F36" s="82" t="str">
        <f aca="false">IF($B36="","",IFERROR(INDEX(商品マスタ!$J$6:$J$1005,MATCH($D36,商品マスタ!$B$6:$B$1005,0)),"ケース"))</f>
        <v/>
      </c>
      <c r="G36" s="81" t="str">
        <f aca="false">IF($B36="","",IFERROR(INDEX(発注計算!$G$6:$G$405,MATCH(26,②発注数を決める!$Z$10:$Z$409,0)),""))</f>
        <v/>
      </c>
      <c r="H36" s="83" t="str">
        <f aca="false">IF($B36="","",IFERROR(INDEX(②発注数を決める!$J$10:$J$409,MATCH(26,②発注数を決める!$Z$10:$Z$409,0)),""))</f>
        <v/>
      </c>
      <c r="I36" s="84" t="str">
        <f aca="false">IF($B36="","",IFERROR(INDEX(発注計算!$H$6:$H$405,MATCH(26,②発注数を決める!$Z$10:$Z$409,0)),""))</f>
        <v/>
      </c>
      <c r="J36" s="84" t="str">
        <f aca="false">IF($B36="","",N($H36)*N($I36))</f>
        <v/>
      </c>
    </row>
    <row r="37" customFormat="false" ht="15" hidden="false" customHeight="false" outlineLevel="0" collapsed="false">
      <c r="B37" s="81" t="str">
        <f aca="false">IF(27&lt;=MAX(②発注数を決める!$Z$10:$Z$409),27,"")</f>
        <v/>
      </c>
      <c r="C37" s="82" t="str">
        <f aca="false">IF($B37="","",IFERROR(INDEX(発注計算!$F$6:$F$405,MATCH(27,②発注数を決める!$Z$10:$Z$409,0)),""))</f>
        <v/>
      </c>
      <c r="D37" s="82" t="str">
        <f aca="false">IF($B37="","",IFERROR(INDEX(発注計算!$C$6:$C$405,MATCH(27,②発注数を決める!$Z$10:$Z$409,0))&amp;"",""))</f>
        <v/>
      </c>
      <c r="E37" s="82" t="str">
        <f aca="false">IF($B37="","",IFERROR(INDEX(②発注数を決める!$C$10:$C$409,MATCH(27,②発注数を決める!$Z$10:$Z$409,0))&amp;"",""))</f>
        <v/>
      </c>
      <c r="F37" s="82" t="str">
        <f aca="false">IF($B37="","",IFERROR(INDEX(商品マスタ!$J$6:$J$1005,MATCH($D37,商品マスタ!$B$6:$B$1005,0)),"ケース"))</f>
        <v/>
      </c>
      <c r="G37" s="81" t="str">
        <f aca="false">IF($B37="","",IFERROR(INDEX(発注計算!$G$6:$G$405,MATCH(27,②発注数を決める!$Z$10:$Z$409,0)),""))</f>
        <v/>
      </c>
      <c r="H37" s="83" t="str">
        <f aca="false">IF($B37="","",IFERROR(INDEX(②発注数を決める!$J$10:$J$409,MATCH(27,②発注数を決める!$Z$10:$Z$409,0)),""))</f>
        <v/>
      </c>
      <c r="I37" s="84" t="str">
        <f aca="false">IF($B37="","",IFERROR(INDEX(発注計算!$H$6:$H$405,MATCH(27,②発注数を決める!$Z$10:$Z$409,0)),""))</f>
        <v/>
      </c>
      <c r="J37" s="84" t="str">
        <f aca="false">IF($B37="","",N($H37)*N($I37))</f>
        <v/>
      </c>
    </row>
    <row r="38" customFormat="false" ht="15" hidden="false" customHeight="false" outlineLevel="0" collapsed="false">
      <c r="B38" s="81" t="str">
        <f aca="false">IF(28&lt;=MAX(②発注数を決める!$Z$10:$Z$409),28,"")</f>
        <v/>
      </c>
      <c r="C38" s="82" t="str">
        <f aca="false">IF($B38="","",IFERROR(INDEX(発注計算!$F$6:$F$405,MATCH(28,②発注数を決める!$Z$10:$Z$409,0)),""))</f>
        <v/>
      </c>
      <c r="D38" s="82" t="str">
        <f aca="false">IF($B38="","",IFERROR(INDEX(発注計算!$C$6:$C$405,MATCH(28,②発注数を決める!$Z$10:$Z$409,0))&amp;"",""))</f>
        <v/>
      </c>
      <c r="E38" s="82" t="str">
        <f aca="false">IF($B38="","",IFERROR(INDEX(②発注数を決める!$C$10:$C$409,MATCH(28,②発注数を決める!$Z$10:$Z$409,0))&amp;"",""))</f>
        <v/>
      </c>
      <c r="F38" s="82" t="str">
        <f aca="false">IF($B38="","",IFERROR(INDEX(商品マスタ!$J$6:$J$1005,MATCH($D38,商品マスタ!$B$6:$B$1005,0)),"ケース"))</f>
        <v/>
      </c>
      <c r="G38" s="81" t="str">
        <f aca="false">IF($B38="","",IFERROR(INDEX(発注計算!$G$6:$G$405,MATCH(28,②発注数を決める!$Z$10:$Z$409,0)),""))</f>
        <v/>
      </c>
      <c r="H38" s="83" t="str">
        <f aca="false">IF($B38="","",IFERROR(INDEX(②発注数を決める!$J$10:$J$409,MATCH(28,②発注数を決める!$Z$10:$Z$409,0)),""))</f>
        <v/>
      </c>
      <c r="I38" s="84" t="str">
        <f aca="false">IF($B38="","",IFERROR(INDEX(発注計算!$H$6:$H$405,MATCH(28,②発注数を決める!$Z$10:$Z$409,0)),""))</f>
        <v/>
      </c>
      <c r="J38" s="84" t="str">
        <f aca="false">IF($B38="","",N($H38)*N($I38))</f>
        <v/>
      </c>
    </row>
    <row r="39" customFormat="false" ht="15" hidden="false" customHeight="false" outlineLevel="0" collapsed="false">
      <c r="B39" s="81" t="str">
        <f aca="false">IF(29&lt;=MAX(②発注数を決める!$Z$10:$Z$409),29,"")</f>
        <v/>
      </c>
      <c r="C39" s="82" t="str">
        <f aca="false">IF($B39="","",IFERROR(INDEX(発注計算!$F$6:$F$405,MATCH(29,②発注数を決める!$Z$10:$Z$409,0)),""))</f>
        <v/>
      </c>
      <c r="D39" s="82" t="str">
        <f aca="false">IF($B39="","",IFERROR(INDEX(発注計算!$C$6:$C$405,MATCH(29,②発注数を決める!$Z$10:$Z$409,0))&amp;"",""))</f>
        <v/>
      </c>
      <c r="E39" s="82" t="str">
        <f aca="false">IF($B39="","",IFERROR(INDEX(②発注数を決める!$C$10:$C$409,MATCH(29,②発注数を決める!$Z$10:$Z$409,0))&amp;"",""))</f>
        <v/>
      </c>
      <c r="F39" s="82" t="str">
        <f aca="false">IF($B39="","",IFERROR(INDEX(商品マスタ!$J$6:$J$1005,MATCH($D39,商品マスタ!$B$6:$B$1005,0)),"ケース"))</f>
        <v/>
      </c>
      <c r="G39" s="81" t="str">
        <f aca="false">IF($B39="","",IFERROR(INDEX(発注計算!$G$6:$G$405,MATCH(29,②発注数を決める!$Z$10:$Z$409,0)),""))</f>
        <v/>
      </c>
      <c r="H39" s="83" t="str">
        <f aca="false">IF($B39="","",IFERROR(INDEX(②発注数を決める!$J$10:$J$409,MATCH(29,②発注数を決める!$Z$10:$Z$409,0)),""))</f>
        <v/>
      </c>
      <c r="I39" s="84" t="str">
        <f aca="false">IF($B39="","",IFERROR(INDEX(発注計算!$H$6:$H$405,MATCH(29,②発注数を決める!$Z$10:$Z$409,0)),""))</f>
        <v/>
      </c>
      <c r="J39" s="84" t="str">
        <f aca="false">IF($B39="","",N($H39)*N($I39))</f>
        <v/>
      </c>
    </row>
    <row r="40" customFormat="false" ht="15" hidden="false" customHeight="false" outlineLevel="0" collapsed="false">
      <c r="B40" s="81" t="str">
        <f aca="false">IF(30&lt;=MAX(②発注数を決める!$Z$10:$Z$409),30,"")</f>
        <v/>
      </c>
      <c r="C40" s="82" t="str">
        <f aca="false">IF($B40="","",IFERROR(INDEX(発注計算!$F$6:$F$405,MATCH(30,②発注数を決める!$Z$10:$Z$409,0)),""))</f>
        <v/>
      </c>
      <c r="D40" s="82" t="str">
        <f aca="false">IF($B40="","",IFERROR(INDEX(発注計算!$C$6:$C$405,MATCH(30,②発注数を決める!$Z$10:$Z$409,0))&amp;"",""))</f>
        <v/>
      </c>
      <c r="E40" s="82" t="str">
        <f aca="false">IF($B40="","",IFERROR(INDEX(②発注数を決める!$C$10:$C$409,MATCH(30,②発注数を決める!$Z$10:$Z$409,0))&amp;"",""))</f>
        <v/>
      </c>
      <c r="F40" s="82" t="str">
        <f aca="false">IF($B40="","",IFERROR(INDEX(商品マスタ!$J$6:$J$1005,MATCH($D40,商品マスタ!$B$6:$B$1005,0)),"ケース"))</f>
        <v/>
      </c>
      <c r="G40" s="81" t="str">
        <f aca="false">IF($B40="","",IFERROR(INDEX(発注計算!$G$6:$G$405,MATCH(30,②発注数を決める!$Z$10:$Z$409,0)),""))</f>
        <v/>
      </c>
      <c r="H40" s="83" t="str">
        <f aca="false">IF($B40="","",IFERROR(INDEX(②発注数を決める!$J$10:$J$409,MATCH(30,②発注数を決める!$Z$10:$Z$409,0)),""))</f>
        <v/>
      </c>
      <c r="I40" s="84" t="str">
        <f aca="false">IF($B40="","",IFERROR(INDEX(発注計算!$H$6:$H$405,MATCH(30,②発注数を決める!$Z$10:$Z$409,0)),""))</f>
        <v/>
      </c>
      <c r="J40" s="84" t="str">
        <f aca="false">IF($B40="","",N($H40)*N($I40))</f>
        <v/>
      </c>
    </row>
    <row r="41" customFormat="false" ht="15" hidden="false" customHeight="false" outlineLevel="0" collapsed="false">
      <c r="B41" s="81" t="str">
        <f aca="false">IF(31&lt;=MAX(②発注数を決める!$Z$10:$Z$409),31,"")</f>
        <v/>
      </c>
      <c r="C41" s="82" t="str">
        <f aca="false">IF($B41="","",IFERROR(INDEX(発注計算!$F$6:$F$405,MATCH(31,②発注数を決める!$Z$10:$Z$409,0)),""))</f>
        <v/>
      </c>
      <c r="D41" s="82" t="str">
        <f aca="false">IF($B41="","",IFERROR(INDEX(発注計算!$C$6:$C$405,MATCH(31,②発注数を決める!$Z$10:$Z$409,0))&amp;"",""))</f>
        <v/>
      </c>
      <c r="E41" s="82" t="str">
        <f aca="false">IF($B41="","",IFERROR(INDEX(②発注数を決める!$C$10:$C$409,MATCH(31,②発注数を決める!$Z$10:$Z$409,0))&amp;"",""))</f>
        <v/>
      </c>
      <c r="F41" s="82" t="str">
        <f aca="false">IF($B41="","",IFERROR(INDEX(商品マスタ!$J$6:$J$1005,MATCH($D41,商品マスタ!$B$6:$B$1005,0)),"ケース"))</f>
        <v/>
      </c>
      <c r="G41" s="81" t="str">
        <f aca="false">IF($B41="","",IFERROR(INDEX(発注計算!$G$6:$G$405,MATCH(31,②発注数を決める!$Z$10:$Z$409,0)),""))</f>
        <v/>
      </c>
      <c r="H41" s="83" t="str">
        <f aca="false">IF($B41="","",IFERROR(INDEX(②発注数を決める!$J$10:$J$409,MATCH(31,②発注数を決める!$Z$10:$Z$409,0)),""))</f>
        <v/>
      </c>
      <c r="I41" s="84" t="str">
        <f aca="false">IF($B41="","",IFERROR(INDEX(発注計算!$H$6:$H$405,MATCH(31,②発注数を決める!$Z$10:$Z$409,0)),""))</f>
        <v/>
      </c>
      <c r="J41" s="84" t="str">
        <f aca="false">IF($B41="","",N($H41)*N($I41))</f>
        <v/>
      </c>
    </row>
    <row r="42" customFormat="false" ht="15" hidden="false" customHeight="false" outlineLevel="0" collapsed="false">
      <c r="B42" s="81" t="str">
        <f aca="false">IF(32&lt;=MAX(②発注数を決める!$Z$10:$Z$409),32,"")</f>
        <v/>
      </c>
      <c r="C42" s="82" t="str">
        <f aca="false">IF($B42="","",IFERROR(INDEX(発注計算!$F$6:$F$405,MATCH(32,②発注数を決める!$Z$10:$Z$409,0)),""))</f>
        <v/>
      </c>
      <c r="D42" s="82" t="str">
        <f aca="false">IF($B42="","",IFERROR(INDEX(発注計算!$C$6:$C$405,MATCH(32,②発注数を決める!$Z$10:$Z$409,0))&amp;"",""))</f>
        <v/>
      </c>
      <c r="E42" s="82" t="str">
        <f aca="false">IF($B42="","",IFERROR(INDEX(②発注数を決める!$C$10:$C$409,MATCH(32,②発注数を決める!$Z$10:$Z$409,0))&amp;"",""))</f>
        <v/>
      </c>
      <c r="F42" s="82" t="str">
        <f aca="false">IF($B42="","",IFERROR(INDEX(商品マスタ!$J$6:$J$1005,MATCH($D42,商品マスタ!$B$6:$B$1005,0)),"ケース"))</f>
        <v/>
      </c>
      <c r="G42" s="81" t="str">
        <f aca="false">IF($B42="","",IFERROR(INDEX(発注計算!$G$6:$G$405,MATCH(32,②発注数を決める!$Z$10:$Z$409,0)),""))</f>
        <v/>
      </c>
      <c r="H42" s="83" t="str">
        <f aca="false">IF($B42="","",IFERROR(INDEX(②発注数を決める!$J$10:$J$409,MATCH(32,②発注数を決める!$Z$10:$Z$409,0)),""))</f>
        <v/>
      </c>
      <c r="I42" s="84" t="str">
        <f aca="false">IF($B42="","",IFERROR(INDEX(発注計算!$H$6:$H$405,MATCH(32,②発注数を決める!$Z$10:$Z$409,0)),""))</f>
        <v/>
      </c>
      <c r="J42" s="84" t="str">
        <f aca="false">IF($B42="","",N($H42)*N($I42))</f>
        <v/>
      </c>
    </row>
    <row r="43" customFormat="false" ht="15" hidden="false" customHeight="false" outlineLevel="0" collapsed="false">
      <c r="B43" s="81" t="str">
        <f aca="false">IF(33&lt;=MAX(②発注数を決める!$Z$10:$Z$409),33,"")</f>
        <v/>
      </c>
      <c r="C43" s="82" t="str">
        <f aca="false">IF($B43="","",IFERROR(INDEX(発注計算!$F$6:$F$405,MATCH(33,②発注数を決める!$Z$10:$Z$409,0)),""))</f>
        <v/>
      </c>
      <c r="D43" s="82" t="str">
        <f aca="false">IF($B43="","",IFERROR(INDEX(発注計算!$C$6:$C$405,MATCH(33,②発注数を決める!$Z$10:$Z$409,0))&amp;"",""))</f>
        <v/>
      </c>
      <c r="E43" s="82" t="str">
        <f aca="false">IF($B43="","",IFERROR(INDEX(②発注数を決める!$C$10:$C$409,MATCH(33,②発注数を決める!$Z$10:$Z$409,0))&amp;"",""))</f>
        <v/>
      </c>
      <c r="F43" s="82" t="str">
        <f aca="false">IF($B43="","",IFERROR(INDEX(商品マスタ!$J$6:$J$1005,MATCH($D43,商品マスタ!$B$6:$B$1005,0)),"ケース"))</f>
        <v/>
      </c>
      <c r="G43" s="81" t="str">
        <f aca="false">IF($B43="","",IFERROR(INDEX(発注計算!$G$6:$G$405,MATCH(33,②発注数を決める!$Z$10:$Z$409,0)),""))</f>
        <v/>
      </c>
      <c r="H43" s="83" t="str">
        <f aca="false">IF($B43="","",IFERROR(INDEX(②発注数を決める!$J$10:$J$409,MATCH(33,②発注数を決める!$Z$10:$Z$409,0)),""))</f>
        <v/>
      </c>
      <c r="I43" s="84" t="str">
        <f aca="false">IF($B43="","",IFERROR(INDEX(発注計算!$H$6:$H$405,MATCH(33,②発注数を決める!$Z$10:$Z$409,0)),""))</f>
        <v/>
      </c>
      <c r="J43" s="84" t="str">
        <f aca="false">IF($B43="","",N($H43)*N($I43))</f>
        <v/>
      </c>
    </row>
    <row r="44" customFormat="false" ht="15" hidden="false" customHeight="false" outlineLevel="0" collapsed="false">
      <c r="B44" s="81" t="str">
        <f aca="false">IF(34&lt;=MAX(②発注数を決める!$Z$10:$Z$409),34,"")</f>
        <v/>
      </c>
      <c r="C44" s="82" t="str">
        <f aca="false">IF($B44="","",IFERROR(INDEX(発注計算!$F$6:$F$405,MATCH(34,②発注数を決める!$Z$10:$Z$409,0)),""))</f>
        <v/>
      </c>
      <c r="D44" s="82" t="str">
        <f aca="false">IF($B44="","",IFERROR(INDEX(発注計算!$C$6:$C$405,MATCH(34,②発注数を決める!$Z$10:$Z$409,0))&amp;"",""))</f>
        <v/>
      </c>
      <c r="E44" s="82" t="str">
        <f aca="false">IF($B44="","",IFERROR(INDEX(②発注数を決める!$C$10:$C$409,MATCH(34,②発注数を決める!$Z$10:$Z$409,0))&amp;"",""))</f>
        <v/>
      </c>
      <c r="F44" s="82" t="str">
        <f aca="false">IF($B44="","",IFERROR(INDEX(商品マスタ!$J$6:$J$1005,MATCH($D44,商品マスタ!$B$6:$B$1005,0)),"ケース"))</f>
        <v/>
      </c>
      <c r="G44" s="81" t="str">
        <f aca="false">IF($B44="","",IFERROR(INDEX(発注計算!$G$6:$G$405,MATCH(34,②発注数を決める!$Z$10:$Z$409,0)),""))</f>
        <v/>
      </c>
      <c r="H44" s="83" t="str">
        <f aca="false">IF($B44="","",IFERROR(INDEX(②発注数を決める!$J$10:$J$409,MATCH(34,②発注数を決める!$Z$10:$Z$409,0)),""))</f>
        <v/>
      </c>
      <c r="I44" s="84" t="str">
        <f aca="false">IF($B44="","",IFERROR(INDEX(発注計算!$H$6:$H$405,MATCH(34,②発注数を決める!$Z$10:$Z$409,0)),""))</f>
        <v/>
      </c>
      <c r="J44" s="84" t="str">
        <f aca="false">IF($B44="","",N($H44)*N($I44))</f>
        <v/>
      </c>
    </row>
    <row r="45" customFormat="false" ht="15" hidden="false" customHeight="false" outlineLevel="0" collapsed="false">
      <c r="B45" s="81" t="str">
        <f aca="false">IF(35&lt;=MAX(②発注数を決める!$Z$10:$Z$409),35,"")</f>
        <v/>
      </c>
      <c r="C45" s="82" t="str">
        <f aca="false">IF($B45="","",IFERROR(INDEX(発注計算!$F$6:$F$405,MATCH(35,②発注数を決める!$Z$10:$Z$409,0)),""))</f>
        <v/>
      </c>
      <c r="D45" s="82" t="str">
        <f aca="false">IF($B45="","",IFERROR(INDEX(発注計算!$C$6:$C$405,MATCH(35,②発注数を決める!$Z$10:$Z$409,0))&amp;"",""))</f>
        <v/>
      </c>
      <c r="E45" s="82" t="str">
        <f aca="false">IF($B45="","",IFERROR(INDEX(②発注数を決める!$C$10:$C$409,MATCH(35,②発注数を決める!$Z$10:$Z$409,0))&amp;"",""))</f>
        <v/>
      </c>
      <c r="F45" s="82" t="str">
        <f aca="false">IF($B45="","",IFERROR(INDEX(商品マスタ!$J$6:$J$1005,MATCH($D45,商品マスタ!$B$6:$B$1005,0)),"ケース"))</f>
        <v/>
      </c>
      <c r="G45" s="81" t="str">
        <f aca="false">IF($B45="","",IFERROR(INDEX(発注計算!$G$6:$G$405,MATCH(35,②発注数を決める!$Z$10:$Z$409,0)),""))</f>
        <v/>
      </c>
      <c r="H45" s="83" t="str">
        <f aca="false">IF($B45="","",IFERROR(INDEX(②発注数を決める!$J$10:$J$409,MATCH(35,②発注数を決める!$Z$10:$Z$409,0)),""))</f>
        <v/>
      </c>
      <c r="I45" s="84" t="str">
        <f aca="false">IF($B45="","",IFERROR(INDEX(発注計算!$H$6:$H$405,MATCH(35,②発注数を決める!$Z$10:$Z$409,0)),""))</f>
        <v/>
      </c>
      <c r="J45" s="84" t="str">
        <f aca="false">IF($B45="","",N($H45)*N($I45))</f>
        <v/>
      </c>
    </row>
    <row r="46" customFormat="false" ht="15" hidden="false" customHeight="false" outlineLevel="0" collapsed="false">
      <c r="B46" s="81" t="str">
        <f aca="false">IF(36&lt;=MAX(②発注数を決める!$Z$10:$Z$409),36,"")</f>
        <v/>
      </c>
      <c r="C46" s="82" t="str">
        <f aca="false">IF($B46="","",IFERROR(INDEX(発注計算!$F$6:$F$405,MATCH(36,②発注数を決める!$Z$10:$Z$409,0)),""))</f>
        <v/>
      </c>
      <c r="D46" s="82" t="str">
        <f aca="false">IF($B46="","",IFERROR(INDEX(発注計算!$C$6:$C$405,MATCH(36,②発注数を決める!$Z$10:$Z$409,0))&amp;"",""))</f>
        <v/>
      </c>
      <c r="E46" s="82" t="str">
        <f aca="false">IF($B46="","",IFERROR(INDEX(②発注数を決める!$C$10:$C$409,MATCH(36,②発注数を決める!$Z$10:$Z$409,0))&amp;"",""))</f>
        <v/>
      </c>
      <c r="F46" s="82" t="str">
        <f aca="false">IF($B46="","",IFERROR(INDEX(商品マスタ!$J$6:$J$1005,MATCH($D46,商品マスタ!$B$6:$B$1005,0)),"ケース"))</f>
        <v/>
      </c>
      <c r="G46" s="81" t="str">
        <f aca="false">IF($B46="","",IFERROR(INDEX(発注計算!$G$6:$G$405,MATCH(36,②発注数を決める!$Z$10:$Z$409,0)),""))</f>
        <v/>
      </c>
      <c r="H46" s="83" t="str">
        <f aca="false">IF($B46="","",IFERROR(INDEX(②発注数を決める!$J$10:$J$409,MATCH(36,②発注数を決める!$Z$10:$Z$409,0)),""))</f>
        <v/>
      </c>
      <c r="I46" s="84" t="str">
        <f aca="false">IF($B46="","",IFERROR(INDEX(発注計算!$H$6:$H$405,MATCH(36,②発注数を決める!$Z$10:$Z$409,0)),""))</f>
        <v/>
      </c>
      <c r="J46" s="84" t="str">
        <f aca="false">IF($B46="","",N($H46)*N($I46))</f>
        <v/>
      </c>
    </row>
    <row r="47" customFormat="false" ht="15" hidden="false" customHeight="false" outlineLevel="0" collapsed="false">
      <c r="B47" s="81" t="str">
        <f aca="false">IF(37&lt;=MAX(②発注数を決める!$Z$10:$Z$409),37,"")</f>
        <v/>
      </c>
      <c r="C47" s="82" t="str">
        <f aca="false">IF($B47="","",IFERROR(INDEX(発注計算!$F$6:$F$405,MATCH(37,②発注数を決める!$Z$10:$Z$409,0)),""))</f>
        <v/>
      </c>
      <c r="D47" s="82" t="str">
        <f aca="false">IF($B47="","",IFERROR(INDEX(発注計算!$C$6:$C$405,MATCH(37,②発注数を決める!$Z$10:$Z$409,0))&amp;"",""))</f>
        <v/>
      </c>
      <c r="E47" s="82" t="str">
        <f aca="false">IF($B47="","",IFERROR(INDEX(②発注数を決める!$C$10:$C$409,MATCH(37,②発注数を決める!$Z$10:$Z$409,0))&amp;"",""))</f>
        <v/>
      </c>
      <c r="F47" s="82" t="str">
        <f aca="false">IF($B47="","",IFERROR(INDEX(商品マスタ!$J$6:$J$1005,MATCH($D47,商品マスタ!$B$6:$B$1005,0)),"ケース"))</f>
        <v/>
      </c>
      <c r="G47" s="81" t="str">
        <f aca="false">IF($B47="","",IFERROR(INDEX(発注計算!$G$6:$G$405,MATCH(37,②発注数を決める!$Z$10:$Z$409,0)),""))</f>
        <v/>
      </c>
      <c r="H47" s="83" t="str">
        <f aca="false">IF($B47="","",IFERROR(INDEX(②発注数を決める!$J$10:$J$409,MATCH(37,②発注数を決める!$Z$10:$Z$409,0)),""))</f>
        <v/>
      </c>
      <c r="I47" s="84" t="str">
        <f aca="false">IF($B47="","",IFERROR(INDEX(発注計算!$H$6:$H$405,MATCH(37,②発注数を決める!$Z$10:$Z$409,0)),""))</f>
        <v/>
      </c>
      <c r="J47" s="84" t="str">
        <f aca="false">IF($B47="","",N($H47)*N($I47))</f>
        <v/>
      </c>
    </row>
    <row r="48" customFormat="false" ht="15" hidden="false" customHeight="false" outlineLevel="0" collapsed="false">
      <c r="B48" s="81" t="str">
        <f aca="false">IF(38&lt;=MAX(②発注数を決める!$Z$10:$Z$409),38,"")</f>
        <v/>
      </c>
      <c r="C48" s="82" t="str">
        <f aca="false">IF($B48="","",IFERROR(INDEX(発注計算!$F$6:$F$405,MATCH(38,②発注数を決める!$Z$10:$Z$409,0)),""))</f>
        <v/>
      </c>
      <c r="D48" s="82" t="str">
        <f aca="false">IF($B48="","",IFERROR(INDEX(発注計算!$C$6:$C$405,MATCH(38,②発注数を決める!$Z$10:$Z$409,0))&amp;"",""))</f>
        <v/>
      </c>
      <c r="E48" s="82" t="str">
        <f aca="false">IF($B48="","",IFERROR(INDEX(②発注数を決める!$C$10:$C$409,MATCH(38,②発注数を決める!$Z$10:$Z$409,0))&amp;"",""))</f>
        <v/>
      </c>
      <c r="F48" s="82" t="str">
        <f aca="false">IF($B48="","",IFERROR(INDEX(商品マスタ!$J$6:$J$1005,MATCH($D48,商品マスタ!$B$6:$B$1005,0)),"ケース"))</f>
        <v/>
      </c>
      <c r="G48" s="81" t="str">
        <f aca="false">IF($B48="","",IFERROR(INDEX(発注計算!$G$6:$G$405,MATCH(38,②発注数を決める!$Z$10:$Z$409,0)),""))</f>
        <v/>
      </c>
      <c r="H48" s="83" t="str">
        <f aca="false">IF($B48="","",IFERROR(INDEX(②発注数を決める!$J$10:$J$409,MATCH(38,②発注数を決める!$Z$10:$Z$409,0)),""))</f>
        <v/>
      </c>
      <c r="I48" s="84" t="str">
        <f aca="false">IF($B48="","",IFERROR(INDEX(発注計算!$H$6:$H$405,MATCH(38,②発注数を決める!$Z$10:$Z$409,0)),""))</f>
        <v/>
      </c>
      <c r="J48" s="84" t="str">
        <f aca="false">IF($B48="","",N($H48)*N($I48))</f>
        <v/>
      </c>
    </row>
    <row r="49" customFormat="false" ht="15" hidden="false" customHeight="false" outlineLevel="0" collapsed="false">
      <c r="B49" s="81" t="str">
        <f aca="false">IF(39&lt;=MAX(②発注数を決める!$Z$10:$Z$409),39,"")</f>
        <v/>
      </c>
      <c r="C49" s="82" t="str">
        <f aca="false">IF($B49="","",IFERROR(INDEX(発注計算!$F$6:$F$405,MATCH(39,②発注数を決める!$Z$10:$Z$409,0)),""))</f>
        <v/>
      </c>
      <c r="D49" s="82" t="str">
        <f aca="false">IF($B49="","",IFERROR(INDEX(発注計算!$C$6:$C$405,MATCH(39,②発注数を決める!$Z$10:$Z$409,0))&amp;"",""))</f>
        <v/>
      </c>
      <c r="E49" s="82" t="str">
        <f aca="false">IF($B49="","",IFERROR(INDEX(②発注数を決める!$C$10:$C$409,MATCH(39,②発注数を決める!$Z$10:$Z$409,0))&amp;"",""))</f>
        <v/>
      </c>
      <c r="F49" s="82" t="str">
        <f aca="false">IF($B49="","",IFERROR(INDEX(商品マスタ!$J$6:$J$1005,MATCH($D49,商品マスタ!$B$6:$B$1005,0)),"ケース"))</f>
        <v/>
      </c>
      <c r="G49" s="81" t="str">
        <f aca="false">IF($B49="","",IFERROR(INDEX(発注計算!$G$6:$G$405,MATCH(39,②発注数を決める!$Z$10:$Z$409,0)),""))</f>
        <v/>
      </c>
      <c r="H49" s="83" t="str">
        <f aca="false">IF($B49="","",IFERROR(INDEX(②発注数を決める!$J$10:$J$409,MATCH(39,②発注数を決める!$Z$10:$Z$409,0)),""))</f>
        <v/>
      </c>
      <c r="I49" s="84" t="str">
        <f aca="false">IF($B49="","",IFERROR(INDEX(発注計算!$H$6:$H$405,MATCH(39,②発注数を決める!$Z$10:$Z$409,0)),""))</f>
        <v/>
      </c>
      <c r="J49" s="84" t="str">
        <f aca="false">IF($B49="","",N($H49)*N($I49))</f>
        <v/>
      </c>
    </row>
    <row r="50" customFormat="false" ht="15" hidden="false" customHeight="false" outlineLevel="0" collapsed="false">
      <c r="B50" s="81" t="str">
        <f aca="false">IF(40&lt;=MAX(②発注数を決める!$Z$10:$Z$409),40,"")</f>
        <v/>
      </c>
      <c r="C50" s="82" t="str">
        <f aca="false">IF($B50="","",IFERROR(INDEX(発注計算!$F$6:$F$405,MATCH(40,②発注数を決める!$Z$10:$Z$409,0)),""))</f>
        <v/>
      </c>
      <c r="D50" s="82" t="str">
        <f aca="false">IF($B50="","",IFERROR(INDEX(発注計算!$C$6:$C$405,MATCH(40,②発注数を決める!$Z$10:$Z$409,0))&amp;"",""))</f>
        <v/>
      </c>
      <c r="E50" s="82" t="str">
        <f aca="false">IF($B50="","",IFERROR(INDEX(②発注数を決める!$C$10:$C$409,MATCH(40,②発注数を決める!$Z$10:$Z$409,0))&amp;"",""))</f>
        <v/>
      </c>
      <c r="F50" s="82" t="str">
        <f aca="false">IF($B50="","",IFERROR(INDEX(商品マスタ!$J$6:$J$1005,MATCH($D50,商品マスタ!$B$6:$B$1005,0)),"ケース"))</f>
        <v/>
      </c>
      <c r="G50" s="81" t="str">
        <f aca="false">IF($B50="","",IFERROR(INDEX(発注計算!$G$6:$G$405,MATCH(40,②発注数を決める!$Z$10:$Z$409,0)),""))</f>
        <v/>
      </c>
      <c r="H50" s="83" t="str">
        <f aca="false">IF($B50="","",IFERROR(INDEX(②発注数を決める!$J$10:$J$409,MATCH(40,②発注数を決める!$Z$10:$Z$409,0)),""))</f>
        <v/>
      </c>
      <c r="I50" s="84" t="str">
        <f aca="false">IF($B50="","",IFERROR(INDEX(発注計算!$H$6:$H$405,MATCH(40,②発注数を決める!$Z$10:$Z$409,0)),""))</f>
        <v/>
      </c>
      <c r="J50" s="84" t="str">
        <f aca="false">IF($B50="","",N($H50)*N($I50))</f>
        <v/>
      </c>
    </row>
    <row r="51" customFormat="false" ht="15" hidden="false" customHeight="false" outlineLevel="0" collapsed="false">
      <c r="B51" s="81" t="str">
        <f aca="false">IF(41&lt;=MAX(②発注数を決める!$Z$10:$Z$409),41,"")</f>
        <v/>
      </c>
      <c r="C51" s="82" t="str">
        <f aca="false">IF($B51="","",IFERROR(INDEX(発注計算!$F$6:$F$405,MATCH(41,②発注数を決める!$Z$10:$Z$409,0)),""))</f>
        <v/>
      </c>
      <c r="D51" s="82" t="str">
        <f aca="false">IF($B51="","",IFERROR(INDEX(発注計算!$C$6:$C$405,MATCH(41,②発注数を決める!$Z$10:$Z$409,0))&amp;"",""))</f>
        <v/>
      </c>
      <c r="E51" s="82" t="str">
        <f aca="false">IF($B51="","",IFERROR(INDEX(②発注数を決める!$C$10:$C$409,MATCH(41,②発注数を決める!$Z$10:$Z$409,0))&amp;"",""))</f>
        <v/>
      </c>
      <c r="F51" s="82" t="str">
        <f aca="false">IF($B51="","",IFERROR(INDEX(商品マスタ!$J$6:$J$1005,MATCH($D51,商品マスタ!$B$6:$B$1005,0)),"ケース"))</f>
        <v/>
      </c>
      <c r="G51" s="81" t="str">
        <f aca="false">IF($B51="","",IFERROR(INDEX(発注計算!$G$6:$G$405,MATCH(41,②発注数を決める!$Z$10:$Z$409,0)),""))</f>
        <v/>
      </c>
      <c r="H51" s="83" t="str">
        <f aca="false">IF($B51="","",IFERROR(INDEX(②発注数を決める!$J$10:$J$409,MATCH(41,②発注数を決める!$Z$10:$Z$409,0)),""))</f>
        <v/>
      </c>
      <c r="I51" s="84" t="str">
        <f aca="false">IF($B51="","",IFERROR(INDEX(発注計算!$H$6:$H$405,MATCH(41,②発注数を決める!$Z$10:$Z$409,0)),""))</f>
        <v/>
      </c>
      <c r="J51" s="84" t="str">
        <f aca="false">IF($B51="","",N($H51)*N($I51))</f>
        <v/>
      </c>
    </row>
    <row r="52" customFormat="false" ht="15" hidden="false" customHeight="false" outlineLevel="0" collapsed="false">
      <c r="B52" s="81" t="str">
        <f aca="false">IF(42&lt;=MAX(②発注数を決める!$Z$10:$Z$409),42,"")</f>
        <v/>
      </c>
      <c r="C52" s="82" t="str">
        <f aca="false">IF($B52="","",IFERROR(INDEX(発注計算!$F$6:$F$405,MATCH(42,②発注数を決める!$Z$10:$Z$409,0)),""))</f>
        <v/>
      </c>
      <c r="D52" s="82" t="str">
        <f aca="false">IF($B52="","",IFERROR(INDEX(発注計算!$C$6:$C$405,MATCH(42,②発注数を決める!$Z$10:$Z$409,0))&amp;"",""))</f>
        <v/>
      </c>
      <c r="E52" s="82" t="str">
        <f aca="false">IF($B52="","",IFERROR(INDEX(②発注数を決める!$C$10:$C$409,MATCH(42,②発注数を決める!$Z$10:$Z$409,0))&amp;"",""))</f>
        <v/>
      </c>
      <c r="F52" s="82" t="str">
        <f aca="false">IF($B52="","",IFERROR(INDEX(商品マスタ!$J$6:$J$1005,MATCH($D52,商品マスタ!$B$6:$B$1005,0)),"ケース"))</f>
        <v/>
      </c>
      <c r="G52" s="81" t="str">
        <f aca="false">IF($B52="","",IFERROR(INDEX(発注計算!$G$6:$G$405,MATCH(42,②発注数を決める!$Z$10:$Z$409,0)),""))</f>
        <v/>
      </c>
      <c r="H52" s="83" t="str">
        <f aca="false">IF($B52="","",IFERROR(INDEX(②発注数を決める!$J$10:$J$409,MATCH(42,②発注数を決める!$Z$10:$Z$409,0)),""))</f>
        <v/>
      </c>
      <c r="I52" s="84" t="str">
        <f aca="false">IF($B52="","",IFERROR(INDEX(発注計算!$H$6:$H$405,MATCH(42,②発注数を決める!$Z$10:$Z$409,0)),""))</f>
        <v/>
      </c>
      <c r="J52" s="84" t="str">
        <f aca="false">IF($B52="","",N($H52)*N($I52))</f>
        <v/>
      </c>
    </row>
    <row r="53" customFormat="false" ht="15" hidden="false" customHeight="false" outlineLevel="0" collapsed="false">
      <c r="B53" s="81" t="str">
        <f aca="false">IF(43&lt;=MAX(②発注数を決める!$Z$10:$Z$409),43,"")</f>
        <v/>
      </c>
      <c r="C53" s="82" t="str">
        <f aca="false">IF($B53="","",IFERROR(INDEX(発注計算!$F$6:$F$405,MATCH(43,②発注数を決める!$Z$10:$Z$409,0)),""))</f>
        <v/>
      </c>
      <c r="D53" s="82" t="str">
        <f aca="false">IF($B53="","",IFERROR(INDEX(発注計算!$C$6:$C$405,MATCH(43,②発注数を決める!$Z$10:$Z$409,0))&amp;"",""))</f>
        <v/>
      </c>
      <c r="E53" s="82" t="str">
        <f aca="false">IF($B53="","",IFERROR(INDEX(②発注数を決める!$C$10:$C$409,MATCH(43,②発注数を決める!$Z$10:$Z$409,0))&amp;"",""))</f>
        <v/>
      </c>
      <c r="F53" s="82" t="str">
        <f aca="false">IF($B53="","",IFERROR(INDEX(商品マスタ!$J$6:$J$1005,MATCH($D53,商品マスタ!$B$6:$B$1005,0)),"ケース"))</f>
        <v/>
      </c>
      <c r="G53" s="81" t="str">
        <f aca="false">IF($B53="","",IFERROR(INDEX(発注計算!$G$6:$G$405,MATCH(43,②発注数を決める!$Z$10:$Z$409,0)),""))</f>
        <v/>
      </c>
      <c r="H53" s="83" t="str">
        <f aca="false">IF($B53="","",IFERROR(INDEX(②発注数を決める!$J$10:$J$409,MATCH(43,②発注数を決める!$Z$10:$Z$409,0)),""))</f>
        <v/>
      </c>
      <c r="I53" s="84" t="str">
        <f aca="false">IF($B53="","",IFERROR(INDEX(発注計算!$H$6:$H$405,MATCH(43,②発注数を決める!$Z$10:$Z$409,0)),""))</f>
        <v/>
      </c>
      <c r="J53" s="84" t="str">
        <f aca="false">IF($B53="","",N($H53)*N($I53))</f>
        <v/>
      </c>
    </row>
    <row r="54" customFormat="false" ht="15" hidden="false" customHeight="false" outlineLevel="0" collapsed="false">
      <c r="B54" s="81" t="str">
        <f aca="false">IF(44&lt;=MAX(②発注数を決める!$Z$10:$Z$409),44,"")</f>
        <v/>
      </c>
      <c r="C54" s="82" t="str">
        <f aca="false">IF($B54="","",IFERROR(INDEX(発注計算!$F$6:$F$405,MATCH(44,②発注数を決める!$Z$10:$Z$409,0)),""))</f>
        <v/>
      </c>
      <c r="D54" s="82" t="str">
        <f aca="false">IF($B54="","",IFERROR(INDEX(発注計算!$C$6:$C$405,MATCH(44,②発注数を決める!$Z$10:$Z$409,0))&amp;"",""))</f>
        <v/>
      </c>
      <c r="E54" s="82" t="str">
        <f aca="false">IF($B54="","",IFERROR(INDEX(②発注数を決める!$C$10:$C$409,MATCH(44,②発注数を決める!$Z$10:$Z$409,0))&amp;"",""))</f>
        <v/>
      </c>
      <c r="F54" s="82" t="str">
        <f aca="false">IF($B54="","",IFERROR(INDEX(商品マスタ!$J$6:$J$1005,MATCH($D54,商品マスタ!$B$6:$B$1005,0)),"ケース"))</f>
        <v/>
      </c>
      <c r="G54" s="81" t="str">
        <f aca="false">IF($B54="","",IFERROR(INDEX(発注計算!$G$6:$G$405,MATCH(44,②発注数を決める!$Z$10:$Z$409,0)),""))</f>
        <v/>
      </c>
      <c r="H54" s="83" t="str">
        <f aca="false">IF($B54="","",IFERROR(INDEX(②発注数を決める!$J$10:$J$409,MATCH(44,②発注数を決める!$Z$10:$Z$409,0)),""))</f>
        <v/>
      </c>
      <c r="I54" s="84" t="str">
        <f aca="false">IF($B54="","",IFERROR(INDEX(発注計算!$H$6:$H$405,MATCH(44,②発注数を決める!$Z$10:$Z$409,0)),""))</f>
        <v/>
      </c>
      <c r="J54" s="84" t="str">
        <f aca="false">IF($B54="","",N($H54)*N($I54))</f>
        <v/>
      </c>
    </row>
    <row r="55" customFormat="false" ht="15" hidden="false" customHeight="false" outlineLevel="0" collapsed="false">
      <c r="B55" s="81" t="str">
        <f aca="false">IF(45&lt;=MAX(②発注数を決める!$Z$10:$Z$409),45,"")</f>
        <v/>
      </c>
      <c r="C55" s="82" t="str">
        <f aca="false">IF($B55="","",IFERROR(INDEX(発注計算!$F$6:$F$405,MATCH(45,②発注数を決める!$Z$10:$Z$409,0)),""))</f>
        <v/>
      </c>
      <c r="D55" s="82" t="str">
        <f aca="false">IF($B55="","",IFERROR(INDEX(発注計算!$C$6:$C$405,MATCH(45,②発注数を決める!$Z$10:$Z$409,0))&amp;"",""))</f>
        <v/>
      </c>
      <c r="E55" s="82" t="str">
        <f aca="false">IF($B55="","",IFERROR(INDEX(②発注数を決める!$C$10:$C$409,MATCH(45,②発注数を決める!$Z$10:$Z$409,0))&amp;"",""))</f>
        <v/>
      </c>
      <c r="F55" s="82" t="str">
        <f aca="false">IF($B55="","",IFERROR(INDEX(商品マスタ!$J$6:$J$1005,MATCH($D55,商品マスタ!$B$6:$B$1005,0)),"ケース"))</f>
        <v/>
      </c>
      <c r="G55" s="81" t="str">
        <f aca="false">IF($B55="","",IFERROR(INDEX(発注計算!$G$6:$G$405,MATCH(45,②発注数を決める!$Z$10:$Z$409,0)),""))</f>
        <v/>
      </c>
      <c r="H55" s="83" t="str">
        <f aca="false">IF($B55="","",IFERROR(INDEX(②発注数を決める!$J$10:$J$409,MATCH(45,②発注数を決める!$Z$10:$Z$409,0)),""))</f>
        <v/>
      </c>
      <c r="I55" s="84" t="str">
        <f aca="false">IF($B55="","",IFERROR(INDEX(発注計算!$H$6:$H$405,MATCH(45,②発注数を決める!$Z$10:$Z$409,0)),""))</f>
        <v/>
      </c>
      <c r="J55" s="84" t="str">
        <f aca="false">IF($B55="","",N($H55)*N($I55))</f>
        <v/>
      </c>
    </row>
    <row r="56" customFormat="false" ht="15" hidden="false" customHeight="false" outlineLevel="0" collapsed="false">
      <c r="B56" s="81" t="str">
        <f aca="false">IF(46&lt;=MAX(②発注数を決める!$Z$10:$Z$409),46,"")</f>
        <v/>
      </c>
      <c r="C56" s="82" t="str">
        <f aca="false">IF($B56="","",IFERROR(INDEX(発注計算!$F$6:$F$405,MATCH(46,②発注数を決める!$Z$10:$Z$409,0)),""))</f>
        <v/>
      </c>
      <c r="D56" s="82" t="str">
        <f aca="false">IF($B56="","",IFERROR(INDEX(発注計算!$C$6:$C$405,MATCH(46,②発注数を決める!$Z$10:$Z$409,0))&amp;"",""))</f>
        <v/>
      </c>
      <c r="E56" s="82" t="str">
        <f aca="false">IF($B56="","",IFERROR(INDEX(②発注数を決める!$C$10:$C$409,MATCH(46,②発注数を決める!$Z$10:$Z$409,0))&amp;"",""))</f>
        <v/>
      </c>
      <c r="F56" s="82" t="str">
        <f aca="false">IF($B56="","",IFERROR(INDEX(商品マスタ!$J$6:$J$1005,MATCH($D56,商品マスタ!$B$6:$B$1005,0)),"ケース"))</f>
        <v/>
      </c>
      <c r="G56" s="81" t="str">
        <f aca="false">IF($B56="","",IFERROR(INDEX(発注計算!$G$6:$G$405,MATCH(46,②発注数を決める!$Z$10:$Z$409,0)),""))</f>
        <v/>
      </c>
      <c r="H56" s="83" t="str">
        <f aca="false">IF($B56="","",IFERROR(INDEX(②発注数を決める!$J$10:$J$409,MATCH(46,②発注数を決める!$Z$10:$Z$409,0)),""))</f>
        <v/>
      </c>
      <c r="I56" s="84" t="str">
        <f aca="false">IF($B56="","",IFERROR(INDEX(発注計算!$H$6:$H$405,MATCH(46,②発注数を決める!$Z$10:$Z$409,0)),""))</f>
        <v/>
      </c>
      <c r="J56" s="84" t="str">
        <f aca="false">IF($B56="","",N($H56)*N($I56))</f>
        <v/>
      </c>
    </row>
    <row r="57" customFormat="false" ht="15" hidden="false" customHeight="false" outlineLevel="0" collapsed="false">
      <c r="B57" s="81" t="str">
        <f aca="false">IF(47&lt;=MAX(②発注数を決める!$Z$10:$Z$409),47,"")</f>
        <v/>
      </c>
      <c r="C57" s="82" t="str">
        <f aca="false">IF($B57="","",IFERROR(INDEX(発注計算!$F$6:$F$405,MATCH(47,②発注数を決める!$Z$10:$Z$409,0)),""))</f>
        <v/>
      </c>
      <c r="D57" s="82" t="str">
        <f aca="false">IF($B57="","",IFERROR(INDEX(発注計算!$C$6:$C$405,MATCH(47,②発注数を決める!$Z$10:$Z$409,0))&amp;"",""))</f>
        <v/>
      </c>
      <c r="E57" s="82" t="str">
        <f aca="false">IF($B57="","",IFERROR(INDEX(②発注数を決める!$C$10:$C$409,MATCH(47,②発注数を決める!$Z$10:$Z$409,0))&amp;"",""))</f>
        <v/>
      </c>
      <c r="F57" s="82" t="str">
        <f aca="false">IF($B57="","",IFERROR(INDEX(商品マスタ!$J$6:$J$1005,MATCH($D57,商品マスタ!$B$6:$B$1005,0)),"ケース"))</f>
        <v/>
      </c>
      <c r="G57" s="81" t="str">
        <f aca="false">IF($B57="","",IFERROR(INDEX(発注計算!$G$6:$G$405,MATCH(47,②発注数を決める!$Z$10:$Z$409,0)),""))</f>
        <v/>
      </c>
      <c r="H57" s="83" t="str">
        <f aca="false">IF($B57="","",IFERROR(INDEX(②発注数を決める!$J$10:$J$409,MATCH(47,②発注数を決める!$Z$10:$Z$409,0)),""))</f>
        <v/>
      </c>
      <c r="I57" s="84" t="str">
        <f aca="false">IF($B57="","",IFERROR(INDEX(発注計算!$H$6:$H$405,MATCH(47,②発注数を決める!$Z$10:$Z$409,0)),""))</f>
        <v/>
      </c>
      <c r="J57" s="84" t="str">
        <f aca="false">IF($B57="","",N($H57)*N($I57))</f>
        <v/>
      </c>
    </row>
    <row r="58" customFormat="false" ht="15" hidden="false" customHeight="false" outlineLevel="0" collapsed="false">
      <c r="B58" s="81" t="str">
        <f aca="false">IF(48&lt;=MAX(②発注数を決める!$Z$10:$Z$409),48,"")</f>
        <v/>
      </c>
      <c r="C58" s="82" t="str">
        <f aca="false">IF($B58="","",IFERROR(INDEX(発注計算!$F$6:$F$405,MATCH(48,②発注数を決める!$Z$10:$Z$409,0)),""))</f>
        <v/>
      </c>
      <c r="D58" s="82" t="str">
        <f aca="false">IF($B58="","",IFERROR(INDEX(発注計算!$C$6:$C$405,MATCH(48,②発注数を決める!$Z$10:$Z$409,0))&amp;"",""))</f>
        <v/>
      </c>
      <c r="E58" s="82" t="str">
        <f aca="false">IF($B58="","",IFERROR(INDEX(②発注数を決める!$C$10:$C$409,MATCH(48,②発注数を決める!$Z$10:$Z$409,0))&amp;"",""))</f>
        <v/>
      </c>
      <c r="F58" s="82" t="str">
        <f aca="false">IF($B58="","",IFERROR(INDEX(商品マスタ!$J$6:$J$1005,MATCH($D58,商品マスタ!$B$6:$B$1005,0)),"ケース"))</f>
        <v/>
      </c>
      <c r="G58" s="81" t="str">
        <f aca="false">IF($B58="","",IFERROR(INDEX(発注計算!$G$6:$G$405,MATCH(48,②発注数を決める!$Z$10:$Z$409,0)),""))</f>
        <v/>
      </c>
      <c r="H58" s="83" t="str">
        <f aca="false">IF($B58="","",IFERROR(INDEX(②発注数を決める!$J$10:$J$409,MATCH(48,②発注数を決める!$Z$10:$Z$409,0)),""))</f>
        <v/>
      </c>
      <c r="I58" s="84" t="str">
        <f aca="false">IF($B58="","",IFERROR(INDEX(発注計算!$H$6:$H$405,MATCH(48,②発注数を決める!$Z$10:$Z$409,0)),""))</f>
        <v/>
      </c>
      <c r="J58" s="84" t="str">
        <f aca="false">IF($B58="","",N($H58)*N($I58))</f>
        <v/>
      </c>
    </row>
    <row r="59" customFormat="false" ht="15" hidden="false" customHeight="false" outlineLevel="0" collapsed="false">
      <c r="B59" s="81" t="str">
        <f aca="false">IF(49&lt;=MAX(②発注数を決める!$Z$10:$Z$409),49,"")</f>
        <v/>
      </c>
      <c r="C59" s="82" t="str">
        <f aca="false">IF($B59="","",IFERROR(INDEX(発注計算!$F$6:$F$405,MATCH(49,②発注数を決める!$Z$10:$Z$409,0)),""))</f>
        <v/>
      </c>
      <c r="D59" s="82" t="str">
        <f aca="false">IF($B59="","",IFERROR(INDEX(発注計算!$C$6:$C$405,MATCH(49,②発注数を決める!$Z$10:$Z$409,0))&amp;"",""))</f>
        <v/>
      </c>
      <c r="E59" s="82" t="str">
        <f aca="false">IF($B59="","",IFERROR(INDEX(②発注数を決める!$C$10:$C$409,MATCH(49,②発注数を決める!$Z$10:$Z$409,0))&amp;"",""))</f>
        <v/>
      </c>
      <c r="F59" s="82" t="str">
        <f aca="false">IF($B59="","",IFERROR(INDEX(商品マスタ!$J$6:$J$1005,MATCH($D59,商品マスタ!$B$6:$B$1005,0)),"ケース"))</f>
        <v/>
      </c>
      <c r="G59" s="81" t="str">
        <f aca="false">IF($B59="","",IFERROR(INDEX(発注計算!$G$6:$G$405,MATCH(49,②発注数を決める!$Z$10:$Z$409,0)),""))</f>
        <v/>
      </c>
      <c r="H59" s="83" t="str">
        <f aca="false">IF($B59="","",IFERROR(INDEX(②発注数を決める!$J$10:$J$409,MATCH(49,②発注数を決める!$Z$10:$Z$409,0)),""))</f>
        <v/>
      </c>
      <c r="I59" s="84" t="str">
        <f aca="false">IF($B59="","",IFERROR(INDEX(発注計算!$H$6:$H$405,MATCH(49,②発注数を決める!$Z$10:$Z$409,0)),""))</f>
        <v/>
      </c>
      <c r="J59" s="84" t="str">
        <f aca="false">IF($B59="","",N($H59)*N($I59))</f>
        <v/>
      </c>
    </row>
    <row r="60" customFormat="false" ht="15" hidden="false" customHeight="false" outlineLevel="0" collapsed="false">
      <c r="B60" s="81" t="str">
        <f aca="false">IF(50&lt;=MAX(②発注数を決める!$Z$10:$Z$409),50,"")</f>
        <v/>
      </c>
      <c r="C60" s="82" t="str">
        <f aca="false">IF($B60="","",IFERROR(INDEX(発注計算!$F$6:$F$405,MATCH(50,②発注数を決める!$Z$10:$Z$409,0)),""))</f>
        <v/>
      </c>
      <c r="D60" s="82" t="str">
        <f aca="false">IF($B60="","",IFERROR(INDEX(発注計算!$C$6:$C$405,MATCH(50,②発注数を決める!$Z$10:$Z$409,0))&amp;"",""))</f>
        <v/>
      </c>
      <c r="E60" s="82" t="str">
        <f aca="false">IF($B60="","",IFERROR(INDEX(②発注数を決める!$C$10:$C$409,MATCH(50,②発注数を決める!$Z$10:$Z$409,0))&amp;"",""))</f>
        <v/>
      </c>
      <c r="F60" s="82" t="str">
        <f aca="false">IF($B60="","",IFERROR(INDEX(商品マスタ!$J$6:$J$1005,MATCH($D60,商品マスタ!$B$6:$B$1005,0)),"ケース"))</f>
        <v/>
      </c>
      <c r="G60" s="81" t="str">
        <f aca="false">IF($B60="","",IFERROR(INDEX(発注計算!$G$6:$G$405,MATCH(50,②発注数を決める!$Z$10:$Z$409,0)),""))</f>
        <v/>
      </c>
      <c r="H60" s="83" t="str">
        <f aca="false">IF($B60="","",IFERROR(INDEX(②発注数を決める!$J$10:$J$409,MATCH(50,②発注数を決める!$Z$10:$Z$409,0)),""))</f>
        <v/>
      </c>
      <c r="I60" s="84" t="str">
        <f aca="false">IF($B60="","",IFERROR(INDEX(発注計算!$H$6:$H$405,MATCH(50,②発注数を決める!$Z$10:$Z$409,0)),""))</f>
        <v/>
      </c>
      <c r="J60" s="84" t="str">
        <f aca="false">IF($B60="","",N($H60)*N($I60))</f>
        <v/>
      </c>
    </row>
    <row r="61" customFormat="false" ht="15" hidden="false" customHeight="false" outlineLevel="0" collapsed="false">
      <c r="B61" s="81" t="str">
        <f aca="false">IF(51&lt;=MAX(②発注数を決める!$Z$10:$Z$409),51,"")</f>
        <v/>
      </c>
      <c r="C61" s="82" t="str">
        <f aca="false">IF($B61="","",IFERROR(INDEX(発注計算!$F$6:$F$405,MATCH(51,②発注数を決める!$Z$10:$Z$409,0)),""))</f>
        <v/>
      </c>
      <c r="D61" s="82" t="str">
        <f aca="false">IF($B61="","",IFERROR(INDEX(発注計算!$C$6:$C$405,MATCH(51,②発注数を決める!$Z$10:$Z$409,0))&amp;"",""))</f>
        <v/>
      </c>
      <c r="E61" s="82" t="str">
        <f aca="false">IF($B61="","",IFERROR(INDEX(②発注数を決める!$C$10:$C$409,MATCH(51,②発注数を決める!$Z$10:$Z$409,0))&amp;"",""))</f>
        <v/>
      </c>
      <c r="F61" s="82" t="str">
        <f aca="false">IF($B61="","",IFERROR(INDEX(商品マスタ!$J$6:$J$1005,MATCH($D61,商品マスタ!$B$6:$B$1005,0)),"ケース"))</f>
        <v/>
      </c>
      <c r="G61" s="81" t="str">
        <f aca="false">IF($B61="","",IFERROR(INDEX(発注計算!$G$6:$G$405,MATCH(51,②発注数を決める!$Z$10:$Z$409,0)),""))</f>
        <v/>
      </c>
      <c r="H61" s="83" t="str">
        <f aca="false">IF($B61="","",IFERROR(INDEX(②発注数を決める!$J$10:$J$409,MATCH(51,②発注数を決める!$Z$10:$Z$409,0)),""))</f>
        <v/>
      </c>
      <c r="I61" s="84" t="str">
        <f aca="false">IF($B61="","",IFERROR(INDEX(発注計算!$H$6:$H$405,MATCH(51,②発注数を決める!$Z$10:$Z$409,0)),""))</f>
        <v/>
      </c>
      <c r="J61" s="84" t="str">
        <f aca="false">IF($B61="","",N($H61)*N($I61))</f>
        <v/>
      </c>
    </row>
    <row r="62" customFormat="false" ht="15" hidden="false" customHeight="false" outlineLevel="0" collapsed="false">
      <c r="B62" s="81" t="str">
        <f aca="false">IF(52&lt;=MAX(②発注数を決める!$Z$10:$Z$409),52,"")</f>
        <v/>
      </c>
      <c r="C62" s="82" t="str">
        <f aca="false">IF($B62="","",IFERROR(INDEX(発注計算!$F$6:$F$405,MATCH(52,②発注数を決める!$Z$10:$Z$409,0)),""))</f>
        <v/>
      </c>
      <c r="D62" s="82" t="str">
        <f aca="false">IF($B62="","",IFERROR(INDEX(発注計算!$C$6:$C$405,MATCH(52,②発注数を決める!$Z$10:$Z$409,0))&amp;"",""))</f>
        <v/>
      </c>
      <c r="E62" s="82" t="str">
        <f aca="false">IF($B62="","",IFERROR(INDEX(②発注数を決める!$C$10:$C$409,MATCH(52,②発注数を決める!$Z$10:$Z$409,0))&amp;"",""))</f>
        <v/>
      </c>
      <c r="F62" s="82" t="str">
        <f aca="false">IF($B62="","",IFERROR(INDEX(商品マスタ!$J$6:$J$1005,MATCH($D62,商品マスタ!$B$6:$B$1005,0)),"ケース"))</f>
        <v/>
      </c>
      <c r="G62" s="81" t="str">
        <f aca="false">IF($B62="","",IFERROR(INDEX(発注計算!$G$6:$G$405,MATCH(52,②発注数を決める!$Z$10:$Z$409,0)),""))</f>
        <v/>
      </c>
      <c r="H62" s="83" t="str">
        <f aca="false">IF($B62="","",IFERROR(INDEX(②発注数を決める!$J$10:$J$409,MATCH(52,②発注数を決める!$Z$10:$Z$409,0)),""))</f>
        <v/>
      </c>
      <c r="I62" s="84" t="str">
        <f aca="false">IF($B62="","",IFERROR(INDEX(発注計算!$H$6:$H$405,MATCH(52,②発注数を決める!$Z$10:$Z$409,0)),""))</f>
        <v/>
      </c>
      <c r="J62" s="84" t="str">
        <f aca="false">IF($B62="","",N($H62)*N($I62))</f>
        <v/>
      </c>
    </row>
    <row r="63" customFormat="false" ht="15" hidden="false" customHeight="false" outlineLevel="0" collapsed="false">
      <c r="B63" s="81" t="str">
        <f aca="false">IF(53&lt;=MAX(②発注数を決める!$Z$10:$Z$409),53,"")</f>
        <v/>
      </c>
      <c r="C63" s="82" t="str">
        <f aca="false">IF($B63="","",IFERROR(INDEX(発注計算!$F$6:$F$405,MATCH(53,②発注数を決める!$Z$10:$Z$409,0)),""))</f>
        <v/>
      </c>
      <c r="D63" s="82" t="str">
        <f aca="false">IF($B63="","",IFERROR(INDEX(発注計算!$C$6:$C$405,MATCH(53,②発注数を決める!$Z$10:$Z$409,0))&amp;"",""))</f>
        <v/>
      </c>
      <c r="E63" s="82" t="str">
        <f aca="false">IF($B63="","",IFERROR(INDEX(②発注数を決める!$C$10:$C$409,MATCH(53,②発注数を決める!$Z$10:$Z$409,0))&amp;"",""))</f>
        <v/>
      </c>
      <c r="F63" s="82" t="str">
        <f aca="false">IF($B63="","",IFERROR(INDEX(商品マスタ!$J$6:$J$1005,MATCH($D63,商品マスタ!$B$6:$B$1005,0)),"ケース"))</f>
        <v/>
      </c>
      <c r="G63" s="81" t="str">
        <f aca="false">IF($B63="","",IFERROR(INDEX(発注計算!$G$6:$G$405,MATCH(53,②発注数を決める!$Z$10:$Z$409,0)),""))</f>
        <v/>
      </c>
      <c r="H63" s="83" t="str">
        <f aca="false">IF($B63="","",IFERROR(INDEX(②発注数を決める!$J$10:$J$409,MATCH(53,②発注数を決める!$Z$10:$Z$409,0)),""))</f>
        <v/>
      </c>
      <c r="I63" s="84" t="str">
        <f aca="false">IF($B63="","",IFERROR(INDEX(発注計算!$H$6:$H$405,MATCH(53,②発注数を決める!$Z$10:$Z$409,0)),""))</f>
        <v/>
      </c>
      <c r="J63" s="84" t="str">
        <f aca="false">IF($B63="","",N($H63)*N($I63))</f>
        <v/>
      </c>
    </row>
    <row r="64" customFormat="false" ht="15" hidden="false" customHeight="false" outlineLevel="0" collapsed="false">
      <c r="B64" s="81" t="str">
        <f aca="false">IF(54&lt;=MAX(②発注数を決める!$Z$10:$Z$409),54,"")</f>
        <v/>
      </c>
      <c r="C64" s="82" t="str">
        <f aca="false">IF($B64="","",IFERROR(INDEX(発注計算!$F$6:$F$405,MATCH(54,②発注数を決める!$Z$10:$Z$409,0)),""))</f>
        <v/>
      </c>
      <c r="D64" s="82" t="str">
        <f aca="false">IF($B64="","",IFERROR(INDEX(発注計算!$C$6:$C$405,MATCH(54,②発注数を決める!$Z$10:$Z$409,0))&amp;"",""))</f>
        <v/>
      </c>
      <c r="E64" s="82" t="str">
        <f aca="false">IF($B64="","",IFERROR(INDEX(②発注数を決める!$C$10:$C$409,MATCH(54,②発注数を決める!$Z$10:$Z$409,0))&amp;"",""))</f>
        <v/>
      </c>
      <c r="F64" s="82" t="str">
        <f aca="false">IF($B64="","",IFERROR(INDEX(商品マスタ!$J$6:$J$1005,MATCH($D64,商品マスタ!$B$6:$B$1005,0)),"ケース"))</f>
        <v/>
      </c>
      <c r="G64" s="81" t="str">
        <f aca="false">IF($B64="","",IFERROR(INDEX(発注計算!$G$6:$G$405,MATCH(54,②発注数を決める!$Z$10:$Z$409,0)),""))</f>
        <v/>
      </c>
      <c r="H64" s="83" t="str">
        <f aca="false">IF($B64="","",IFERROR(INDEX(②発注数を決める!$J$10:$J$409,MATCH(54,②発注数を決める!$Z$10:$Z$409,0)),""))</f>
        <v/>
      </c>
      <c r="I64" s="84" t="str">
        <f aca="false">IF($B64="","",IFERROR(INDEX(発注計算!$H$6:$H$405,MATCH(54,②発注数を決める!$Z$10:$Z$409,0)),""))</f>
        <v/>
      </c>
      <c r="J64" s="84" t="str">
        <f aca="false">IF($B64="","",N($H64)*N($I64))</f>
        <v/>
      </c>
    </row>
    <row r="65" customFormat="false" ht="15" hidden="false" customHeight="false" outlineLevel="0" collapsed="false">
      <c r="B65" s="81" t="str">
        <f aca="false">IF(55&lt;=MAX(②発注数を決める!$Z$10:$Z$409),55,"")</f>
        <v/>
      </c>
      <c r="C65" s="82" t="str">
        <f aca="false">IF($B65="","",IFERROR(INDEX(発注計算!$F$6:$F$405,MATCH(55,②発注数を決める!$Z$10:$Z$409,0)),""))</f>
        <v/>
      </c>
      <c r="D65" s="82" t="str">
        <f aca="false">IF($B65="","",IFERROR(INDEX(発注計算!$C$6:$C$405,MATCH(55,②発注数を決める!$Z$10:$Z$409,0))&amp;"",""))</f>
        <v/>
      </c>
      <c r="E65" s="82" t="str">
        <f aca="false">IF($B65="","",IFERROR(INDEX(②発注数を決める!$C$10:$C$409,MATCH(55,②発注数を決める!$Z$10:$Z$409,0))&amp;"",""))</f>
        <v/>
      </c>
      <c r="F65" s="82" t="str">
        <f aca="false">IF($B65="","",IFERROR(INDEX(商品マスタ!$J$6:$J$1005,MATCH($D65,商品マスタ!$B$6:$B$1005,0)),"ケース"))</f>
        <v/>
      </c>
      <c r="G65" s="81" t="str">
        <f aca="false">IF($B65="","",IFERROR(INDEX(発注計算!$G$6:$G$405,MATCH(55,②発注数を決める!$Z$10:$Z$409,0)),""))</f>
        <v/>
      </c>
      <c r="H65" s="83" t="str">
        <f aca="false">IF($B65="","",IFERROR(INDEX(②発注数を決める!$J$10:$J$409,MATCH(55,②発注数を決める!$Z$10:$Z$409,0)),""))</f>
        <v/>
      </c>
      <c r="I65" s="84" t="str">
        <f aca="false">IF($B65="","",IFERROR(INDEX(発注計算!$H$6:$H$405,MATCH(55,②発注数を決める!$Z$10:$Z$409,0)),""))</f>
        <v/>
      </c>
      <c r="J65" s="84" t="str">
        <f aca="false">IF($B65="","",N($H65)*N($I65))</f>
        <v/>
      </c>
    </row>
    <row r="66" customFormat="false" ht="15" hidden="false" customHeight="false" outlineLevel="0" collapsed="false">
      <c r="B66" s="81" t="str">
        <f aca="false">IF(56&lt;=MAX(②発注数を決める!$Z$10:$Z$409),56,"")</f>
        <v/>
      </c>
      <c r="C66" s="82" t="str">
        <f aca="false">IF($B66="","",IFERROR(INDEX(発注計算!$F$6:$F$405,MATCH(56,②発注数を決める!$Z$10:$Z$409,0)),""))</f>
        <v/>
      </c>
      <c r="D66" s="82" t="str">
        <f aca="false">IF($B66="","",IFERROR(INDEX(発注計算!$C$6:$C$405,MATCH(56,②発注数を決める!$Z$10:$Z$409,0))&amp;"",""))</f>
        <v/>
      </c>
      <c r="E66" s="82" t="str">
        <f aca="false">IF($B66="","",IFERROR(INDEX(②発注数を決める!$C$10:$C$409,MATCH(56,②発注数を決める!$Z$10:$Z$409,0))&amp;"",""))</f>
        <v/>
      </c>
      <c r="F66" s="82" t="str">
        <f aca="false">IF($B66="","",IFERROR(INDEX(商品マスタ!$J$6:$J$1005,MATCH($D66,商品マスタ!$B$6:$B$1005,0)),"ケース"))</f>
        <v/>
      </c>
      <c r="G66" s="81" t="str">
        <f aca="false">IF($B66="","",IFERROR(INDEX(発注計算!$G$6:$G$405,MATCH(56,②発注数を決める!$Z$10:$Z$409,0)),""))</f>
        <v/>
      </c>
      <c r="H66" s="83" t="str">
        <f aca="false">IF($B66="","",IFERROR(INDEX(②発注数を決める!$J$10:$J$409,MATCH(56,②発注数を決める!$Z$10:$Z$409,0)),""))</f>
        <v/>
      </c>
      <c r="I66" s="84" t="str">
        <f aca="false">IF($B66="","",IFERROR(INDEX(発注計算!$H$6:$H$405,MATCH(56,②発注数を決める!$Z$10:$Z$409,0)),""))</f>
        <v/>
      </c>
      <c r="J66" s="84" t="str">
        <f aca="false">IF($B66="","",N($H66)*N($I66))</f>
        <v/>
      </c>
    </row>
    <row r="67" customFormat="false" ht="15" hidden="false" customHeight="false" outlineLevel="0" collapsed="false">
      <c r="B67" s="81" t="str">
        <f aca="false">IF(57&lt;=MAX(②発注数を決める!$Z$10:$Z$409),57,"")</f>
        <v/>
      </c>
      <c r="C67" s="82" t="str">
        <f aca="false">IF($B67="","",IFERROR(INDEX(発注計算!$F$6:$F$405,MATCH(57,②発注数を決める!$Z$10:$Z$409,0)),""))</f>
        <v/>
      </c>
      <c r="D67" s="82" t="str">
        <f aca="false">IF($B67="","",IFERROR(INDEX(発注計算!$C$6:$C$405,MATCH(57,②発注数を決める!$Z$10:$Z$409,0))&amp;"",""))</f>
        <v/>
      </c>
      <c r="E67" s="82" t="str">
        <f aca="false">IF($B67="","",IFERROR(INDEX(②発注数を決める!$C$10:$C$409,MATCH(57,②発注数を決める!$Z$10:$Z$409,0))&amp;"",""))</f>
        <v/>
      </c>
      <c r="F67" s="82" t="str">
        <f aca="false">IF($B67="","",IFERROR(INDEX(商品マスタ!$J$6:$J$1005,MATCH($D67,商品マスタ!$B$6:$B$1005,0)),"ケース"))</f>
        <v/>
      </c>
      <c r="G67" s="81" t="str">
        <f aca="false">IF($B67="","",IFERROR(INDEX(発注計算!$G$6:$G$405,MATCH(57,②発注数を決める!$Z$10:$Z$409,0)),""))</f>
        <v/>
      </c>
      <c r="H67" s="83" t="str">
        <f aca="false">IF($B67="","",IFERROR(INDEX(②発注数を決める!$J$10:$J$409,MATCH(57,②発注数を決める!$Z$10:$Z$409,0)),""))</f>
        <v/>
      </c>
      <c r="I67" s="84" t="str">
        <f aca="false">IF($B67="","",IFERROR(INDEX(発注計算!$H$6:$H$405,MATCH(57,②発注数を決める!$Z$10:$Z$409,0)),""))</f>
        <v/>
      </c>
      <c r="J67" s="84" t="str">
        <f aca="false">IF($B67="","",N($H67)*N($I67))</f>
        <v/>
      </c>
    </row>
    <row r="68" customFormat="false" ht="15" hidden="false" customHeight="false" outlineLevel="0" collapsed="false">
      <c r="B68" s="81" t="str">
        <f aca="false">IF(58&lt;=MAX(②発注数を決める!$Z$10:$Z$409),58,"")</f>
        <v/>
      </c>
      <c r="C68" s="82" t="str">
        <f aca="false">IF($B68="","",IFERROR(INDEX(発注計算!$F$6:$F$405,MATCH(58,②発注数を決める!$Z$10:$Z$409,0)),""))</f>
        <v/>
      </c>
      <c r="D68" s="82" t="str">
        <f aca="false">IF($B68="","",IFERROR(INDEX(発注計算!$C$6:$C$405,MATCH(58,②発注数を決める!$Z$10:$Z$409,0))&amp;"",""))</f>
        <v/>
      </c>
      <c r="E68" s="82" t="str">
        <f aca="false">IF($B68="","",IFERROR(INDEX(②発注数を決める!$C$10:$C$409,MATCH(58,②発注数を決める!$Z$10:$Z$409,0))&amp;"",""))</f>
        <v/>
      </c>
      <c r="F68" s="82" t="str">
        <f aca="false">IF($B68="","",IFERROR(INDEX(商品マスタ!$J$6:$J$1005,MATCH($D68,商品マスタ!$B$6:$B$1005,0)),"ケース"))</f>
        <v/>
      </c>
      <c r="G68" s="81" t="str">
        <f aca="false">IF($B68="","",IFERROR(INDEX(発注計算!$G$6:$G$405,MATCH(58,②発注数を決める!$Z$10:$Z$409,0)),""))</f>
        <v/>
      </c>
      <c r="H68" s="83" t="str">
        <f aca="false">IF($B68="","",IFERROR(INDEX(②発注数を決める!$J$10:$J$409,MATCH(58,②発注数を決める!$Z$10:$Z$409,0)),""))</f>
        <v/>
      </c>
      <c r="I68" s="84" t="str">
        <f aca="false">IF($B68="","",IFERROR(INDEX(発注計算!$H$6:$H$405,MATCH(58,②発注数を決める!$Z$10:$Z$409,0)),""))</f>
        <v/>
      </c>
      <c r="J68" s="84" t="str">
        <f aca="false">IF($B68="","",N($H68)*N($I68))</f>
        <v/>
      </c>
    </row>
    <row r="69" customFormat="false" ht="15" hidden="false" customHeight="false" outlineLevel="0" collapsed="false">
      <c r="B69" s="81" t="str">
        <f aca="false">IF(59&lt;=MAX(②発注数を決める!$Z$10:$Z$409),59,"")</f>
        <v/>
      </c>
      <c r="C69" s="82" t="str">
        <f aca="false">IF($B69="","",IFERROR(INDEX(発注計算!$F$6:$F$405,MATCH(59,②発注数を決める!$Z$10:$Z$409,0)),""))</f>
        <v/>
      </c>
      <c r="D69" s="82" t="str">
        <f aca="false">IF($B69="","",IFERROR(INDEX(発注計算!$C$6:$C$405,MATCH(59,②発注数を決める!$Z$10:$Z$409,0))&amp;"",""))</f>
        <v/>
      </c>
      <c r="E69" s="82" t="str">
        <f aca="false">IF($B69="","",IFERROR(INDEX(②発注数を決める!$C$10:$C$409,MATCH(59,②発注数を決める!$Z$10:$Z$409,0))&amp;"",""))</f>
        <v/>
      </c>
      <c r="F69" s="82" t="str">
        <f aca="false">IF($B69="","",IFERROR(INDEX(商品マスタ!$J$6:$J$1005,MATCH($D69,商品マスタ!$B$6:$B$1005,0)),"ケース"))</f>
        <v/>
      </c>
      <c r="G69" s="81" t="str">
        <f aca="false">IF($B69="","",IFERROR(INDEX(発注計算!$G$6:$G$405,MATCH(59,②発注数を決める!$Z$10:$Z$409,0)),""))</f>
        <v/>
      </c>
      <c r="H69" s="83" t="str">
        <f aca="false">IF($B69="","",IFERROR(INDEX(②発注数を決める!$J$10:$J$409,MATCH(59,②発注数を決める!$Z$10:$Z$409,0)),""))</f>
        <v/>
      </c>
      <c r="I69" s="84" t="str">
        <f aca="false">IF($B69="","",IFERROR(INDEX(発注計算!$H$6:$H$405,MATCH(59,②発注数を決める!$Z$10:$Z$409,0)),""))</f>
        <v/>
      </c>
      <c r="J69" s="84" t="str">
        <f aca="false">IF($B69="","",N($H69)*N($I69))</f>
        <v/>
      </c>
    </row>
    <row r="70" customFormat="false" ht="15" hidden="false" customHeight="false" outlineLevel="0" collapsed="false">
      <c r="B70" s="81" t="str">
        <f aca="false">IF(60&lt;=MAX(②発注数を決める!$Z$10:$Z$409),60,"")</f>
        <v/>
      </c>
      <c r="C70" s="82" t="str">
        <f aca="false">IF($B70="","",IFERROR(INDEX(発注計算!$F$6:$F$405,MATCH(60,②発注数を決める!$Z$10:$Z$409,0)),""))</f>
        <v/>
      </c>
      <c r="D70" s="82" t="str">
        <f aca="false">IF($B70="","",IFERROR(INDEX(発注計算!$C$6:$C$405,MATCH(60,②発注数を決める!$Z$10:$Z$409,0))&amp;"",""))</f>
        <v/>
      </c>
      <c r="E70" s="82" t="str">
        <f aca="false">IF($B70="","",IFERROR(INDEX(②発注数を決める!$C$10:$C$409,MATCH(60,②発注数を決める!$Z$10:$Z$409,0))&amp;"",""))</f>
        <v/>
      </c>
      <c r="F70" s="82" t="str">
        <f aca="false">IF($B70="","",IFERROR(INDEX(商品マスタ!$J$6:$J$1005,MATCH($D70,商品マスタ!$B$6:$B$1005,0)),"ケース"))</f>
        <v/>
      </c>
      <c r="G70" s="81" t="str">
        <f aca="false">IF($B70="","",IFERROR(INDEX(発注計算!$G$6:$G$405,MATCH(60,②発注数を決める!$Z$10:$Z$409,0)),""))</f>
        <v/>
      </c>
      <c r="H70" s="83" t="str">
        <f aca="false">IF($B70="","",IFERROR(INDEX(②発注数を決める!$J$10:$J$409,MATCH(60,②発注数を決める!$Z$10:$Z$409,0)),""))</f>
        <v/>
      </c>
      <c r="I70" s="84" t="str">
        <f aca="false">IF($B70="","",IFERROR(INDEX(発注計算!$H$6:$H$405,MATCH(60,②発注数を決める!$Z$10:$Z$409,0)),""))</f>
        <v/>
      </c>
      <c r="J70" s="84" t="str">
        <f aca="false">IF($B70="","",N($H70)*N($I70))</f>
        <v/>
      </c>
    </row>
    <row r="71" customFormat="false" ht="15" hidden="false" customHeight="false" outlineLevel="0" collapsed="false">
      <c r="B71" s="81" t="str">
        <f aca="false">IF(61&lt;=MAX(②発注数を決める!$Z$10:$Z$409),61,"")</f>
        <v/>
      </c>
      <c r="C71" s="82" t="str">
        <f aca="false">IF($B71="","",IFERROR(INDEX(発注計算!$F$6:$F$405,MATCH(61,②発注数を決める!$Z$10:$Z$409,0)),""))</f>
        <v/>
      </c>
      <c r="D71" s="82" t="str">
        <f aca="false">IF($B71="","",IFERROR(INDEX(発注計算!$C$6:$C$405,MATCH(61,②発注数を決める!$Z$10:$Z$409,0))&amp;"",""))</f>
        <v/>
      </c>
      <c r="E71" s="82" t="str">
        <f aca="false">IF($B71="","",IFERROR(INDEX(②発注数を決める!$C$10:$C$409,MATCH(61,②発注数を決める!$Z$10:$Z$409,0))&amp;"",""))</f>
        <v/>
      </c>
      <c r="F71" s="82" t="str">
        <f aca="false">IF($B71="","",IFERROR(INDEX(商品マスタ!$J$6:$J$1005,MATCH($D71,商品マスタ!$B$6:$B$1005,0)),"ケース"))</f>
        <v/>
      </c>
      <c r="G71" s="81" t="str">
        <f aca="false">IF($B71="","",IFERROR(INDEX(発注計算!$G$6:$G$405,MATCH(61,②発注数を決める!$Z$10:$Z$409,0)),""))</f>
        <v/>
      </c>
      <c r="H71" s="83" t="str">
        <f aca="false">IF($B71="","",IFERROR(INDEX(②発注数を決める!$J$10:$J$409,MATCH(61,②発注数を決める!$Z$10:$Z$409,0)),""))</f>
        <v/>
      </c>
      <c r="I71" s="84" t="str">
        <f aca="false">IF($B71="","",IFERROR(INDEX(発注計算!$H$6:$H$405,MATCH(61,②発注数を決める!$Z$10:$Z$409,0)),""))</f>
        <v/>
      </c>
      <c r="J71" s="84" t="str">
        <f aca="false">IF($B71="","",N($H71)*N($I71))</f>
        <v/>
      </c>
    </row>
    <row r="72" customFormat="false" ht="15" hidden="false" customHeight="false" outlineLevel="0" collapsed="false">
      <c r="B72" s="81" t="str">
        <f aca="false">IF(62&lt;=MAX(②発注数を決める!$Z$10:$Z$409),62,"")</f>
        <v/>
      </c>
      <c r="C72" s="82" t="str">
        <f aca="false">IF($B72="","",IFERROR(INDEX(発注計算!$F$6:$F$405,MATCH(62,②発注数を決める!$Z$10:$Z$409,0)),""))</f>
        <v/>
      </c>
      <c r="D72" s="82" t="str">
        <f aca="false">IF($B72="","",IFERROR(INDEX(発注計算!$C$6:$C$405,MATCH(62,②発注数を決める!$Z$10:$Z$409,0))&amp;"",""))</f>
        <v/>
      </c>
      <c r="E72" s="82" t="str">
        <f aca="false">IF($B72="","",IFERROR(INDEX(②発注数を決める!$C$10:$C$409,MATCH(62,②発注数を決める!$Z$10:$Z$409,0))&amp;"",""))</f>
        <v/>
      </c>
      <c r="F72" s="82" t="str">
        <f aca="false">IF($B72="","",IFERROR(INDEX(商品マスタ!$J$6:$J$1005,MATCH($D72,商品マスタ!$B$6:$B$1005,0)),"ケース"))</f>
        <v/>
      </c>
      <c r="G72" s="81" t="str">
        <f aca="false">IF($B72="","",IFERROR(INDEX(発注計算!$G$6:$G$405,MATCH(62,②発注数を決める!$Z$10:$Z$409,0)),""))</f>
        <v/>
      </c>
      <c r="H72" s="83" t="str">
        <f aca="false">IF($B72="","",IFERROR(INDEX(②発注数を決める!$J$10:$J$409,MATCH(62,②発注数を決める!$Z$10:$Z$409,0)),""))</f>
        <v/>
      </c>
      <c r="I72" s="84" t="str">
        <f aca="false">IF($B72="","",IFERROR(INDEX(発注計算!$H$6:$H$405,MATCH(62,②発注数を決める!$Z$10:$Z$409,0)),""))</f>
        <v/>
      </c>
      <c r="J72" s="84" t="str">
        <f aca="false">IF($B72="","",N($H72)*N($I72))</f>
        <v/>
      </c>
    </row>
    <row r="73" customFormat="false" ht="15" hidden="false" customHeight="false" outlineLevel="0" collapsed="false">
      <c r="B73" s="81" t="str">
        <f aca="false">IF(63&lt;=MAX(②発注数を決める!$Z$10:$Z$409),63,"")</f>
        <v/>
      </c>
      <c r="C73" s="82" t="str">
        <f aca="false">IF($B73="","",IFERROR(INDEX(発注計算!$F$6:$F$405,MATCH(63,②発注数を決める!$Z$10:$Z$409,0)),""))</f>
        <v/>
      </c>
      <c r="D73" s="82" t="str">
        <f aca="false">IF($B73="","",IFERROR(INDEX(発注計算!$C$6:$C$405,MATCH(63,②発注数を決める!$Z$10:$Z$409,0))&amp;"",""))</f>
        <v/>
      </c>
      <c r="E73" s="82" t="str">
        <f aca="false">IF($B73="","",IFERROR(INDEX(②発注数を決める!$C$10:$C$409,MATCH(63,②発注数を決める!$Z$10:$Z$409,0))&amp;"",""))</f>
        <v/>
      </c>
      <c r="F73" s="82" t="str">
        <f aca="false">IF($B73="","",IFERROR(INDEX(商品マスタ!$J$6:$J$1005,MATCH($D73,商品マスタ!$B$6:$B$1005,0)),"ケース"))</f>
        <v/>
      </c>
      <c r="G73" s="81" t="str">
        <f aca="false">IF($B73="","",IFERROR(INDEX(発注計算!$G$6:$G$405,MATCH(63,②発注数を決める!$Z$10:$Z$409,0)),""))</f>
        <v/>
      </c>
      <c r="H73" s="83" t="str">
        <f aca="false">IF($B73="","",IFERROR(INDEX(②発注数を決める!$J$10:$J$409,MATCH(63,②発注数を決める!$Z$10:$Z$409,0)),""))</f>
        <v/>
      </c>
      <c r="I73" s="84" t="str">
        <f aca="false">IF($B73="","",IFERROR(INDEX(発注計算!$H$6:$H$405,MATCH(63,②発注数を決める!$Z$10:$Z$409,0)),""))</f>
        <v/>
      </c>
      <c r="J73" s="84" t="str">
        <f aca="false">IF($B73="","",N($H73)*N($I73))</f>
        <v/>
      </c>
    </row>
    <row r="74" customFormat="false" ht="15" hidden="false" customHeight="false" outlineLevel="0" collapsed="false">
      <c r="B74" s="81" t="str">
        <f aca="false">IF(64&lt;=MAX(②発注数を決める!$Z$10:$Z$409),64,"")</f>
        <v/>
      </c>
      <c r="C74" s="82" t="str">
        <f aca="false">IF($B74="","",IFERROR(INDEX(発注計算!$F$6:$F$405,MATCH(64,②発注数を決める!$Z$10:$Z$409,0)),""))</f>
        <v/>
      </c>
      <c r="D74" s="82" t="str">
        <f aca="false">IF($B74="","",IFERROR(INDEX(発注計算!$C$6:$C$405,MATCH(64,②発注数を決める!$Z$10:$Z$409,0))&amp;"",""))</f>
        <v/>
      </c>
      <c r="E74" s="82" t="str">
        <f aca="false">IF($B74="","",IFERROR(INDEX(②発注数を決める!$C$10:$C$409,MATCH(64,②発注数を決める!$Z$10:$Z$409,0))&amp;"",""))</f>
        <v/>
      </c>
      <c r="F74" s="82" t="str">
        <f aca="false">IF($B74="","",IFERROR(INDEX(商品マスタ!$J$6:$J$1005,MATCH($D74,商品マスタ!$B$6:$B$1005,0)),"ケース"))</f>
        <v/>
      </c>
      <c r="G74" s="81" t="str">
        <f aca="false">IF($B74="","",IFERROR(INDEX(発注計算!$G$6:$G$405,MATCH(64,②発注数を決める!$Z$10:$Z$409,0)),""))</f>
        <v/>
      </c>
      <c r="H74" s="83" t="str">
        <f aca="false">IF($B74="","",IFERROR(INDEX(②発注数を決める!$J$10:$J$409,MATCH(64,②発注数を決める!$Z$10:$Z$409,0)),""))</f>
        <v/>
      </c>
      <c r="I74" s="84" t="str">
        <f aca="false">IF($B74="","",IFERROR(INDEX(発注計算!$H$6:$H$405,MATCH(64,②発注数を決める!$Z$10:$Z$409,0)),""))</f>
        <v/>
      </c>
      <c r="J74" s="84" t="str">
        <f aca="false">IF($B74="","",N($H74)*N($I74))</f>
        <v/>
      </c>
    </row>
    <row r="75" customFormat="false" ht="15" hidden="false" customHeight="false" outlineLevel="0" collapsed="false">
      <c r="B75" s="81" t="str">
        <f aca="false">IF(65&lt;=MAX(②発注数を決める!$Z$10:$Z$409),65,"")</f>
        <v/>
      </c>
      <c r="C75" s="82" t="str">
        <f aca="false">IF($B75="","",IFERROR(INDEX(発注計算!$F$6:$F$405,MATCH(65,②発注数を決める!$Z$10:$Z$409,0)),""))</f>
        <v/>
      </c>
      <c r="D75" s="82" t="str">
        <f aca="false">IF($B75="","",IFERROR(INDEX(発注計算!$C$6:$C$405,MATCH(65,②発注数を決める!$Z$10:$Z$409,0))&amp;"",""))</f>
        <v/>
      </c>
      <c r="E75" s="82" t="str">
        <f aca="false">IF($B75="","",IFERROR(INDEX(②発注数を決める!$C$10:$C$409,MATCH(65,②発注数を決める!$Z$10:$Z$409,0))&amp;"",""))</f>
        <v/>
      </c>
      <c r="F75" s="82" t="str">
        <f aca="false">IF($B75="","",IFERROR(INDEX(商品マスタ!$J$6:$J$1005,MATCH($D75,商品マスタ!$B$6:$B$1005,0)),"ケース"))</f>
        <v/>
      </c>
      <c r="G75" s="81" t="str">
        <f aca="false">IF($B75="","",IFERROR(INDEX(発注計算!$G$6:$G$405,MATCH(65,②発注数を決める!$Z$10:$Z$409,0)),""))</f>
        <v/>
      </c>
      <c r="H75" s="83" t="str">
        <f aca="false">IF($B75="","",IFERROR(INDEX(②発注数を決める!$J$10:$J$409,MATCH(65,②発注数を決める!$Z$10:$Z$409,0)),""))</f>
        <v/>
      </c>
      <c r="I75" s="84" t="str">
        <f aca="false">IF($B75="","",IFERROR(INDEX(発注計算!$H$6:$H$405,MATCH(65,②発注数を決める!$Z$10:$Z$409,0)),""))</f>
        <v/>
      </c>
      <c r="J75" s="84" t="str">
        <f aca="false">IF($B75="","",N($H75)*N($I75))</f>
        <v/>
      </c>
    </row>
    <row r="76" customFormat="false" ht="15" hidden="false" customHeight="false" outlineLevel="0" collapsed="false">
      <c r="B76" s="81" t="str">
        <f aca="false">IF(66&lt;=MAX(②発注数を決める!$Z$10:$Z$409),66,"")</f>
        <v/>
      </c>
      <c r="C76" s="82" t="str">
        <f aca="false">IF($B76="","",IFERROR(INDEX(発注計算!$F$6:$F$405,MATCH(66,②発注数を決める!$Z$10:$Z$409,0)),""))</f>
        <v/>
      </c>
      <c r="D76" s="82" t="str">
        <f aca="false">IF($B76="","",IFERROR(INDEX(発注計算!$C$6:$C$405,MATCH(66,②発注数を決める!$Z$10:$Z$409,0))&amp;"",""))</f>
        <v/>
      </c>
      <c r="E76" s="82" t="str">
        <f aca="false">IF($B76="","",IFERROR(INDEX(②発注数を決める!$C$10:$C$409,MATCH(66,②発注数を決める!$Z$10:$Z$409,0))&amp;"",""))</f>
        <v/>
      </c>
      <c r="F76" s="82" t="str">
        <f aca="false">IF($B76="","",IFERROR(INDEX(商品マスタ!$J$6:$J$1005,MATCH($D76,商品マスタ!$B$6:$B$1005,0)),"ケース"))</f>
        <v/>
      </c>
      <c r="G76" s="81" t="str">
        <f aca="false">IF($B76="","",IFERROR(INDEX(発注計算!$G$6:$G$405,MATCH(66,②発注数を決める!$Z$10:$Z$409,0)),""))</f>
        <v/>
      </c>
      <c r="H76" s="83" t="str">
        <f aca="false">IF($B76="","",IFERROR(INDEX(②発注数を決める!$J$10:$J$409,MATCH(66,②発注数を決める!$Z$10:$Z$409,0)),""))</f>
        <v/>
      </c>
      <c r="I76" s="84" t="str">
        <f aca="false">IF($B76="","",IFERROR(INDEX(発注計算!$H$6:$H$405,MATCH(66,②発注数を決める!$Z$10:$Z$409,0)),""))</f>
        <v/>
      </c>
      <c r="J76" s="84" t="str">
        <f aca="false">IF($B76="","",N($H76)*N($I76))</f>
        <v/>
      </c>
    </row>
    <row r="77" customFormat="false" ht="15" hidden="false" customHeight="false" outlineLevel="0" collapsed="false">
      <c r="B77" s="81" t="str">
        <f aca="false">IF(67&lt;=MAX(②発注数を決める!$Z$10:$Z$409),67,"")</f>
        <v/>
      </c>
      <c r="C77" s="82" t="str">
        <f aca="false">IF($B77="","",IFERROR(INDEX(発注計算!$F$6:$F$405,MATCH(67,②発注数を決める!$Z$10:$Z$409,0)),""))</f>
        <v/>
      </c>
      <c r="D77" s="82" t="str">
        <f aca="false">IF($B77="","",IFERROR(INDEX(発注計算!$C$6:$C$405,MATCH(67,②発注数を決める!$Z$10:$Z$409,0))&amp;"",""))</f>
        <v/>
      </c>
      <c r="E77" s="82" t="str">
        <f aca="false">IF($B77="","",IFERROR(INDEX(②発注数を決める!$C$10:$C$409,MATCH(67,②発注数を決める!$Z$10:$Z$409,0))&amp;"",""))</f>
        <v/>
      </c>
      <c r="F77" s="82" t="str">
        <f aca="false">IF($B77="","",IFERROR(INDEX(商品マスタ!$J$6:$J$1005,MATCH($D77,商品マスタ!$B$6:$B$1005,0)),"ケース"))</f>
        <v/>
      </c>
      <c r="G77" s="81" t="str">
        <f aca="false">IF($B77="","",IFERROR(INDEX(発注計算!$G$6:$G$405,MATCH(67,②発注数を決める!$Z$10:$Z$409,0)),""))</f>
        <v/>
      </c>
      <c r="H77" s="83" t="str">
        <f aca="false">IF($B77="","",IFERROR(INDEX(②発注数を決める!$J$10:$J$409,MATCH(67,②発注数を決める!$Z$10:$Z$409,0)),""))</f>
        <v/>
      </c>
      <c r="I77" s="84" t="str">
        <f aca="false">IF($B77="","",IFERROR(INDEX(発注計算!$H$6:$H$405,MATCH(67,②発注数を決める!$Z$10:$Z$409,0)),""))</f>
        <v/>
      </c>
      <c r="J77" s="84" t="str">
        <f aca="false">IF($B77="","",N($H77)*N($I77))</f>
        <v/>
      </c>
    </row>
    <row r="78" customFormat="false" ht="15" hidden="false" customHeight="false" outlineLevel="0" collapsed="false">
      <c r="B78" s="81" t="str">
        <f aca="false">IF(68&lt;=MAX(②発注数を決める!$Z$10:$Z$409),68,"")</f>
        <v/>
      </c>
      <c r="C78" s="82" t="str">
        <f aca="false">IF($B78="","",IFERROR(INDEX(発注計算!$F$6:$F$405,MATCH(68,②発注数を決める!$Z$10:$Z$409,0)),""))</f>
        <v/>
      </c>
      <c r="D78" s="82" t="str">
        <f aca="false">IF($B78="","",IFERROR(INDEX(発注計算!$C$6:$C$405,MATCH(68,②発注数を決める!$Z$10:$Z$409,0))&amp;"",""))</f>
        <v/>
      </c>
      <c r="E78" s="82" t="str">
        <f aca="false">IF($B78="","",IFERROR(INDEX(②発注数を決める!$C$10:$C$409,MATCH(68,②発注数を決める!$Z$10:$Z$409,0))&amp;"",""))</f>
        <v/>
      </c>
      <c r="F78" s="82" t="str">
        <f aca="false">IF($B78="","",IFERROR(INDEX(商品マスタ!$J$6:$J$1005,MATCH($D78,商品マスタ!$B$6:$B$1005,0)),"ケース"))</f>
        <v/>
      </c>
      <c r="G78" s="81" t="str">
        <f aca="false">IF($B78="","",IFERROR(INDEX(発注計算!$G$6:$G$405,MATCH(68,②発注数を決める!$Z$10:$Z$409,0)),""))</f>
        <v/>
      </c>
      <c r="H78" s="83" t="str">
        <f aca="false">IF($B78="","",IFERROR(INDEX(②発注数を決める!$J$10:$J$409,MATCH(68,②発注数を決める!$Z$10:$Z$409,0)),""))</f>
        <v/>
      </c>
      <c r="I78" s="84" t="str">
        <f aca="false">IF($B78="","",IFERROR(INDEX(発注計算!$H$6:$H$405,MATCH(68,②発注数を決める!$Z$10:$Z$409,0)),""))</f>
        <v/>
      </c>
      <c r="J78" s="84" t="str">
        <f aca="false">IF($B78="","",N($H78)*N($I78))</f>
        <v/>
      </c>
    </row>
    <row r="79" customFormat="false" ht="15" hidden="false" customHeight="false" outlineLevel="0" collapsed="false">
      <c r="B79" s="81" t="str">
        <f aca="false">IF(69&lt;=MAX(②発注数を決める!$Z$10:$Z$409),69,"")</f>
        <v/>
      </c>
      <c r="C79" s="82" t="str">
        <f aca="false">IF($B79="","",IFERROR(INDEX(発注計算!$F$6:$F$405,MATCH(69,②発注数を決める!$Z$10:$Z$409,0)),""))</f>
        <v/>
      </c>
      <c r="D79" s="82" t="str">
        <f aca="false">IF($B79="","",IFERROR(INDEX(発注計算!$C$6:$C$405,MATCH(69,②発注数を決める!$Z$10:$Z$409,0))&amp;"",""))</f>
        <v/>
      </c>
      <c r="E79" s="82" t="str">
        <f aca="false">IF($B79="","",IFERROR(INDEX(②発注数を決める!$C$10:$C$409,MATCH(69,②発注数を決める!$Z$10:$Z$409,0))&amp;"",""))</f>
        <v/>
      </c>
      <c r="F79" s="82" t="str">
        <f aca="false">IF($B79="","",IFERROR(INDEX(商品マスタ!$J$6:$J$1005,MATCH($D79,商品マスタ!$B$6:$B$1005,0)),"ケース"))</f>
        <v/>
      </c>
      <c r="G79" s="81" t="str">
        <f aca="false">IF($B79="","",IFERROR(INDEX(発注計算!$G$6:$G$405,MATCH(69,②発注数を決める!$Z$10:$Z$409,0)),""))</f>
        <v/>
      </c>
      <c r="H79" s="83" t="str">
        <f aca="false">IF($B79="","",IFERROR(INDEX(②発注数を決める!$J$10:$J$409,MATCH(69,②発注数を決める!$Z$10:$Z$409,0)),""))</f>
        <v/>
      </c>
      <c r="I79" s="84" t="str">
        <f aca="false">IF($B79="","",IFERROR(INDEX(発注計算!$H$6:$H$405,MATCH(69,②発注数を決める!$Z$10:$Z$409,0)),""))</f>
        <v/>
      </c>
      <c r="J79" s="84" t="str">
        <f aca="false">IF($B79="","",N($H79)*N($I79))</f>
        <v/>
      </c>
    </row>
    <row r="80" customFormat="false" ht="15" hidden="false" customHeight="false" outlineLevel="0" collapsed="false">
      <c r="B80" s="81" t="str">
        <f aca="false">IF(70&lt;=MAX(②発注数を決める!$Z$10:$Z$409),70,"")</f>
        <v/>
      </c>
      <c r="C80" s="82" t="str">
        <f aca="false">IF($B80="","",IFERROR(INDEX(発注計算!$F$6:$F$405,MATCH(70,②発注数を決める!$Z$10:$Z$409,0)),""))</f>
        <v/>
      </c>
      <c r="D80" s="82" t="str">
        <f aca="false">IF($B80="","",IFERROR(INDEX(発注計算!$C$6:$C$405,MATCH(70,②発注数を決める!$Z$10:$Z$409,0))&amp;"",""))</f>
        <v/>
      </c>
      <c r="E80" s="82" t="str">
        <f aca="false">IF($B80="","",IFERROR(INDEX(②発注数を決める!$C$10:$C$409,MATCH(70,②発注数を決める!$Z$10:$Z$409,0))&amp;"",""))</f>
        <v/>
      </c>
      <c r="F80" s="82" t="str">
        <f aca="false">IF($B80="","",IFERROR(INDEX(商品マスタ!$J$6:$J$1005,MATCH($D80,商品マスタ!$B$6:$B$1005,0)),"ケース"))</f>
        <v/>
      </c>
      <c r="G80" s="81" t="str">
        <f aca="false">IF($B80="","",IFERROR(INDEX(発注計算!$G$6:$G$405,MATCH(70,②発注数を決める!$Z$10:$Z$409,0)),""))</f>
        <v/>
      </c>
      <c r="H80" s="83" t="str">
        <f aca="false">IF($B80="","",IFERROR(INDEX(②発注数を決める!$J$10:$J$409,MATCH(70,②発注数を決める!$Z$10:$Z$409,0)),""))</f>
        <v/>
      </c>
      <c r="I80" s="84" t="str">
        <f aca="false">IF($B80="","",IFERROR(INDEX(発注計算!$H$6:$H$405,MATCH(70,②発注数を決める!$Z$10:$Z$409,0)),""))</f>
        <v/>
      </c>
      <c r="J80" s="84" t="str">
        <f aca="false">IF($B80="","",N($H80)*N($I80))</f>
        <v/>
      </c>
    </row>
    <row r="81" customFormat="false" ht="15" hidden="false" customHeight="false" outlineLevel="0" collapsed="false">
      <c r="B81" s="81" t="str">
        <f aca="false">IF(71&lt;=MAX(②発注数を決める!$Z$10:$Z$409),71,"")</f>
        <v/>
      </c>
      <c r="C81" s="82" t="str">
        <f aca="false">IF($B81="","",IFERROR(INDEX(発注計算!$F$6:$F$405,MATCH(71,②発注数を決める!$Z$10:$Z$409,0)),""))</f>
        <v/>
      </c>
      <c r="D81" s="82" t="str">
        <f aca="false">IF($B81="","",IFERROR(INDEX(発注計算!$C$6:$C$405,MATCH(71,②発注数を決める!$Z$10:$Z$409,0))&amp;"",""))</f>
        <v/>
      </c>
      <c r="E81" s="82" t="str">
        <f aca="false">IF($B81="","",IFERROR(INDEX(②発注数を決める!$C$10:$C$409,MATCH(71,②発注数を決める!$Z$10:$Z$409,0))&amp;"",""))</f>
        <v/>
      </c>
      <c r="F81" s="82" t="str">
        <f aca="false">IF($B81="","",IFERROR(INDEX(商品マスタ!$J$6:$J$1005,MATCH($D81,商品マスタ!$B$6:$B$1005,0)),"ケース"))</f>
        <v/>
      </c>
      <c r="G81" s="81" t="str">
        <f aca="false">IF($B81="","",IFERROR(INDEX(発注計算!$G$6:$G$405,MATCH(71,②発注数を決める!$Z$10:$Z$409,0)),""))</f>
        <v/>
      </c>
      <c r="H81" s="83" t="str">
        <f aca="false">IF($B81="","",IFERROR(INDEX(②発注数を決める!$J$10:$J$409,MATCH(71,②発注数を決める!$Z$10:$Z$409,0)),""))</f>
        <v/>
      </c>
      <c r="I81" s="84" t="str">
        <f aca="false">IF($B81="","",IFERROR(INDEX(発注計算!$H$6:$H$405,MATCH(71,②発注数を決める!$Z$10:$Z$409,0)),""))</f>
        <v/>
      </c>
      <c r="J81" s="84" t="str">
        <f aca="false">IF($B81="","",N($H81)*N($I81))</f>
        <v/>
      </c>
    </row>
    <row r="82" customFormat="false" ht="15" hidden="false" customHeight="false" outlineLevel="0" collapsed="false">
      <c r="B82" s="81" t="str">
        <f aca="false">IF(72&lt;=MAX(②発注数を決める!$Z$10:$Z$409),72,"")</f>
        <v/>
      </c>
      <c r="C82" s="82" t="str">
        <f aca="false">IF($B82="","",IFERROR(INDEX(発注計算!$F$6:$F$405,MATCH(72,②発注数を決める!$Z$10:$Z$409,0)),""))</f>
        <v/>
      </c>
      <c r="D82" s="82" t="str">
        <f aca="false">IF($B82="","",IFERROR(INDEX(発注計算!$C$6:$C$405,MATCH(72,②発注数を決める!$Z$10:$Z$409,0))&amp;"",""))</f>
        <v/>
      </c>
      <c r="E82" s="82" t="str">
        <f aca="false">IF($B82="","",IFERROR(INDEX(②発注数を決める!$C$10:$C$409,MATCH(72,②発注数を決める!$Z$10:$Z$409,0))&amp;"",""))</f>
        <v/>
      </c>
      <c r="F82" s="82" t="str">
        <f aca="false">IF($B82="","",IFERROR(INDEX(商品マスタ!$J$6:$J$1005,MATCH($D82,商品マスタ!$B$6:$B$1005,0)),"ケース"))</f>
        <v/>
      </c>
      <c r="G82" s="81" t="str">
        <f aca="false">IF($B82="","",IFERROR(INDEX(発注計算!$G$6:$G$405,MATCH(72,②発注数を決める!$Z$10:$Z$409,0)),""))</f>
        <v/>
      </c>
      <c r="H82" s="83" t="str">
        <f aca="false">IF($B82="","",IFERROR(INDEX(②発注数を決める!$J$10:$J$409,MATCH(72,②発注数を決める!$Z$10:$Z$409,0)),""))</f>
        <v/>
      </c>
      <c r="I82" s="84" t="str">
        <f aca="false">IF($B82="","",IFERROR(INDEX(発注計算!$H$6:$H$405,MATCH(72,②発注数を決める!$Z$10:$Z$409,0)),""))</f>
        <v/>
      </c>
      <c r="J82" s="84" t="str">
        <f aca="false">IF($B82="","",N($H82)*N($I82))</f>
        <v/>
      </c>
    </row>
    <row r="83" customFormat="false" ht="15" hidden="false" customHeight="false" outlineLevel="0" collapsed="false">
      <c r="B83" s="81" t="str">
        <f aca="false">IF(73&lt;=MAX(②発注数を決める!$Z$10:$Z$409),73,"")</f>
        <v/>
      </c>
      <c r="C83" s="82" t="str">
        <f aca="false">IF($B83="","",IFERROR(INDEX(発注計算!$F$6:$F$405,MATCH(73,②発注数を決める!$Z$10:$Z$409,0)),""))</f>
        <v/>
      </c>
      <c r="D83" s="82" t="str">
        <f aca="false">IF($B83="","",IFERROR(INDEX(発注計算!$C$6:$C$405,MATCH(73,②発注数を決める!$Z$10:$Z$409,0))&amp;"",""))</f>
        <v/>
      </c>
      <c r="E83" s="82" t="str">
        <f aca="false">IF($B83="","",IFERROR(INDEX(②発注数を決める!$C$10:$C$409,MATCH(73,②発注数を決める!$Z$10:$Z$409,0))&amp;"",""))</f>
        <v/>
      </c>
      <c r="F83" s="82" t="str">
        <f aca="false">IF($B83="","",IFERROR(INDEX(商品マスタ!$J$6:$J$1005,MATCH($D83,商品マスタ!$B$6:$B$1005,0)),"ケース"))</f>
        <v/>
      </c>
      <c r="G83" s="81" t="str">
        <f aca="false">IF($B83="","",IFERROR(INDEX(発注計算!$G$6:$G$405,MATCH(73,②発注数を決める!$Z$10:$Z$409,0)),""))</f>
        <v/>
      </c>
      <c r="H83" s="83" t="str">
        <f aca="false">IF($B83="","",IFERROR(INDEX(②発注数を決める!$J$10:$J$409,MATCH(73,②発注数を決める!$Z$10:$Z$409,0)),""))</f>
        <v/>
      </c>
      <c r="I83" s="84" t="str">
        <f aca="false">IF($B83="","",IFERROR(INDEX(発注計算!$H$6:$H$405,MATCH(73,②発注数を決める!$Z$10:$Z$409,0)),""))</f>
        <v/>
      </c>
      <c r="J83" s="84" t="str">
        <f aca="false">IF($B83="","",N($H83)*N($I83))</f>
        <v/>
      </c>
    </row>
    <row r="84" customFormat="false" ht="15" hidden="false" customHeight="false" outlineLevel="0" collapsed="false">
      <c r="B84" s="81" t="str">
        <f aca="false">IF(74&lt;=MAX(②発注数を決める!$Z$10:$Z$409),74,"")</f>
        <v/>
      </c>
      <c r="C84" s="82" t="str">
        <f aca="false">IF($B84="","",IFERROR(INDEX(発注計算!$F$6:$F$405,MATCH(74,②発注数を決める!$Z$10:$Z$409,0)),""))</f>
        <v/>
      </c>
      <c r="D84" s="82" t="str">
        <f aca="false">IF($B84="","",IFERROR(INDEX(発注計算!$C$6:$C$405,MATCH(74,②発注数を決める!$Z$10:$Z$409,0))&amp;"",""))</f>
        <v/>
      </c>
      <c r="E84" s="82" t="str">
        <f aca="false">IF($B84="","",IFERROR(INDEX(②発注数を決める!$C$10:$C$409,MATCH(74,②発注数を決める!$Z$10:$Z$409,0))&amp;"",""))</f>
        <v/>
      </c>
      <c r="F84" s="82" t="str">
        <f aca="false">IF($B84="","",IFERROR(INDEX(商品マスタ!$J$6:$J$1005,MATCH($D84,商品マスタ!$B$6:$B$1005,0)),"ケース"))</f>
        <v/>
      </c>
      <c r="G84" s="81" t="str">
        <f aca="false">IF($B84="","",IFERROR(INDEX(発注計算!$G$6:$G$405,MATCH(74,②発注数を決める!$Z$10:$Z$409,0)),""))</f>
        <v/>
      </c>
      <c r="H84" s="83" t="str">
        <f aca="false">IF($B84="","",IFERROR(INDEX(②発注数を決める!$J$10:$J$409,MATCH(74,②発注数を決める!$Z$10:$Z$409,0)),""))</f>
        <v/>
      </c>
      <c r="I84" s="84" t="str">
        <f aca="false">IF($B84="","",IFERROR(INDEX(発注計算!$H$6:$H$405,MATCH(74,②発注数を決める!$Z$10:$Z$409,0)),""))</f>
        <v/>
      </c>
      <c r="J84" s="84" t="str">
        <f aca="false">IF($B84="","",N($H84)*N($I84))</f>
        <v/>
      </c>
    </row>
    <row r="85" customFormat="false" ht="15" hidden="false" customHeight="false" outlineLevel="0" collapsed="false">
      <c r="B85" s="81" t="str">
        <f aca="false">IF(75&lt;=MAX(②発注数を決める!$Z$10:$Z$409),75,"")</f>
        <v/>
      </c>
      <c r="C85" s="82" t="str">
        <f aca="false">IF($B85="","",IFERROR(INDEX(発注計算!$F$6:$F$405,MATCH(75,②発注数を決める!$Z$10:$Z$409,0)),""))</f>
        <v/>
      </c>
      <c r="D85" s="82" t="str">
        <f aca="false">IF($B85="","",IFERROR(INDEX(発注計算!$C$6:$C$405,MATCH(75,②発注数を決める!$Z$10:$Z$409,0))&amp;"",""))</f>
        <v/>
      </c>
      <c r="E85" s="82" t="str">
        <f aca="false">IF($B85="","",IFERROR(INDEX(②発注数を決める!$C$10:$C$409,MATCH(75,②発注数を決める!$Z$10:$Z$409,0))&amp;"",""))</f>
        <v/>
      </c>
      <c r="F85" s="82" t="str">
        <f aca="false">IF($B85="","",IFERROR(INDEX(商品マスタ!$J$6:$J$1005,MATCH($D85,商品マスタ!$B$6:$B$1005,0)),"ケース"))</f>
        <v/>
      </c>
      <c r="G85" s="81" t="str">
        <f aca="false">IF($B85="","",IFERROR(INDEX(発注計算!$G$6:$G$405,MATCH(75,②発注数を決める!$Z$10:$Z$409,0)),""))</f>
        <v/>
      </c>
      <c r="H85" s="83" t="str">
        <f aca="false">IF($B85="","",IFERROR(INDEX(②発注数を決める!$J$10:$J$409,MATCH(75,②発注数を決める!$Z$10:$Z$409,0)),""))</f>
        <v/>
      </c>
      <c r="I85" s="84" t="str">
        <f aca="false">IF($B85="","",IFERROR(INDEX(発注計算!$H$6:$H$405,MATCH(75,②発注数を決める!$Z$10:$Z$409,0)),""))</f>
        <v/>
      </c>
      <c r="J85" s="84" t="str">
        <f aca="false">IF($B85="","",N($H85)*N($I85))</f>
        <v/>
      </c>
    </row>
    <row r="86" customFormat="false" ht="15" hidden="false" customHeight="false" outlineLevel="0" collapsed="false">
      <c r="B86" s="81" t="str">
        <f aca="false">IF(76&lt;=MAX(②発注数を決める!$Z$10:$Z$409),76,"")</f>
        <v/>
      </c>
      <c r="C86" s="82" t="str">
        <f aca="false">IF($B86="","",IFERROR(INDEX(発注計算!$F$6:$F$405,MATCH(76,②発注数を決める!$Z$10:$Z$409,0)),""))</f>
        <v/>
      </c>
      <c r="D86" s="82" t="str">
        <f aca="false">IF($B86="","",IFERROR(INDEX(発注計算!$C$6:$C$405,MATCH(76,②発注数を決める!$Z$10:$Z$409,0))&amp;"",""))</f>
        <v/>
      </c>
      <c r="E86" s="82" t="str">
        <f aca="false">IF($B86="","",IFERROR(INDEX(②発注数を決める!$C$10:$C$409,MATCH(76,②発注数を決める!$Z$10:$Z$409,0))&amp;"",""))</f>
        <v/>
      </c>
      <c r="F86" s="82" t="str">
        <f aca="false">IF($B86="","",IFERROR(INDEX(商品マスタ!$J$6:$J$1005,MATCH($D86,商品マスタ!$B$6:$B$1005,0)),"ケース"))</f>
        <v/>
      </c>
      <c r="G86" s="81" t="str">
        <f aca="false">IF($B86="","",IFERROR(INDEX(発注計算!$G$6:$G$405,MATCH(76,②発注数を決める!$Z$10:$Z$409,0)),""))</f>
        <v/>
      </c>
      <c r="H86" s="83" t="str">
        <f aca="false">IF($B86="","",IFERROR(INDEX(②発注数を決める!$J$10:$J$409,MATCH(76,②発注数を決める!$Z$10:$Z$409,0)),""))</f>
        <v/>
      </c>
      <c r="I86" s="84" t="str">
        <f aca="false">IF($B86="","",IFERROR(INDEX(発注計算!$H$6:$H$405,MATCH(76,②発注数を決める!$Z$10:$Z$409,0)),""))</f>
        <v/>
      </c>
      <c r="J86" s="84" t="str">
        <f aca="false">IF($B86="","",N($H86)*N($I86))</f>
        <v/>
      </c>
    </row>
    <row r="87" customFormat="false" ht="15" hidden="false" customHeight="false" outlineLevel="0" collapsed="false">
      <c r="B87" s="81" t="str">
        <f aca="false">IF(77&lt;=MAX(②発注数を決める!$Z$10:$Z$409),77,"")</f>
        <v/>
      </c>
      <c r="C87" s="82" t="str">
        <f aca="false">IF($B87="","",IFERROR(INDEX(発注計算!$F$6:$F$405,MATCH(77,②発注数を決める!$Z$10:$Z$409,0)),""))</f>
        <v/>
      </c>
      <c r="D87" s="82" t="str">
        <f aca="false">IF($B87="","",IFERROR(INDEX(発注計算!$C$6:$C$405,MATCH(77,②発注数を決める!$Z$10:$Z$409,0))&amp;"",""))</f>
        <v/>
      </c>
      <c r="E87" s="82" t="str">
        <f aca="false">IF($B87="","",IFERROR(INDEX(②発注数を決める!$C$10:$C$409,MATCH(77,②発注数を決める!$Z$10:$Z$409,0))&amp;"",""))</f>
        <v/>
      </c>
      <c r="F87" s="82" t="str">
        <f aca="false">IF($B87="","",IFERROR(INDEX(商品マスタ!$J$6:$J$1005,MATCH($D87,商品マスタ!$B$6:$B$1005,0)),"ケース"))</f>
        <v/>
      </c>
      <c r="G87" s="81" t="str">
        <f aca="false">IF($B87="","",IFERROR(INDEX(発注計算!$G$6:$G$405,MATCH(77,②発注数を決める!$Z$10:$Z$409,0)),""))</f>
        <v/>
      </c>
      <c r="H87" s="83" t="str">
        <f aca="false">IF($B87="","",IFERROR(INDEX(②発注数を決める!$J$10:$J$409,MATCH(77,②発注数を決める!$Z$10:$Z$409,0)),""))</f>
        <v/>
      </c>
      <c r="I87" s="84" t="str">
        <f aca="false">IF($B87="","",IFERROR(INDEX(発注計算!$H$6:$H$405,MATCH(77,②発注数を決める!$Z$10:$Z$409,0)),""))</f>
        <v/>
      </c>
      <c r="J87" s="84" t="str">
        <f aca="false">IF($B87="","",N($H87)*N($I87))</f>
        <v/>
      </c>
    </row>
    <row r="88" customFormat="false" ht="15" hidden="false" customHeight="false" outlineLevel="0" collapsed="false">
      <c r="B88" s="81" t="str">
        <f aca="false">IF(78&lt;=MAX(②発注数を決める!$Z$10:$Z$409),78,"")</f>
        <v/>
      </c>
      <c r="C88" s="82" t="str">
        <f aca="false">IF($B88="","",IFERROR(INDEX(発注計算!$F$6:$F$405,MATCH(78,②発注数を決める!$Z$10:$Z$409,0)),""))</f>
        <v/>
      </c>
      <c r="D88" s="82" t="str">
        <f aca="false">IF($B88="","",IFERROR(INDEX(発注計算!$C$6:$C$405,MATCH(78,②発注数を決める!$Z$10:$Z$409,0))&amp;"",""))</f>
        <v/>
      </c>
      <c r="E88" s="82" t="str">
        <f aca="false">IF($B88="","",IFERROR(INDEX(②発注数を決める!$C$10:$C$409,MATCH(78,②発注数を決める!$Z$10:$Z$409,0))&amp;"",""))</f>
        <v/>
      </c>
      <c r="F88" s="82" t="str">
        <f aca="false">IF($B88="","",IFERROR(INDEX(商品マスタ!$J$6:$J$1005,MATCH($D88,商品マスタ!$B$6:$B$1005,0)),"ケース"))</f>
        <v/>
      </c>
      <c r="G88" s="81" t="str">
        <f aca="false">IF($B88="","",IFERROR(INDEX(発注計算!$G$6:$G$405,MATCH(78,②発注数を決める!$Z$10:$Z$409,0)),""))</f>
        <v/>
      </c>
      <c r="H88" s="83" t="str">
        <f aca="false">IF($B88="","",IFERROR(INDEX(②発注数を決める!$J$10:$J$409,MATCH(78,②発注数を決める!$Z$10:$Z$409,0)),""))</f>
        <v/>
      </c>
      <c r="I88" s="84" t="str">
        <f aca="false">IF($B88="","",IFERROR(INDEX(発注計算!$H$6:$H$405,MATCH(78,②発注数を決める!$Z$10:$Z$409,0)),""))</f>
        <v/>
      </c>
      <c r="J88" s="84" t="str">
        <f aca="false">IF($B88="","",N($H88)*N($I88))</f>
        <v/>
      </c>
    </row>
    <row r="89" customFormat="false" ht="15" hidden="false" customHeight="false" outlineLevel="0" collapsed="false">
      <c r="B89" s="81" t="str">
        <f aca="false">IF(79&lt;=MAX(②発注数を決める!$Z$10:$Z$409),79,"")</f>
        <v/>
      </c>
      <c r="C89" s="82" t="str">
        <f aca="false">IF($B89="","",IFERROR(INDEX(発注計算!$F$6:$F$405,MATCH(79,②発注数を決める!$Z$10:$Z$409,0)),""))</f>
        <v/>
      </c>
      <c r="D89" s="82" t="str">
        <f aca="false">IF($B89="","",IFERROR(INDEX(発注計算!$C$6:$C$405,MATCH(79,②発注数を決める!$Z$10:$Z$409,0))&amp;"",""))</f>
        <v/>
      </c>
      <c r="E89" s="82" t="str">
        <f aca="false">IF($B89="","",IFERROR(INDEX(②発注数を決める!$C$10:$C$409,MATCH(79,②発注数を決める!$Z$10:$Z$409,0))&amp;"",""))</f>
        <v/>
      </c>
      <c r="F89" s="82" t="str">
        <f aca="false">IF($B89="","",IFERROR(INDEX(商品マスタ!$J$6:$J$1005,MATCH($D89,商品マスタ!$B$6:$B$1005,0)),"ケース"))</f>
        <v/>
      </c>
      <c r="G89" s="81" t="str">
        <f aca="false">IF($B89="","",IFERROR(INDEX(発注計算!$G$6:$G$405,MATCH(79,②発注数を決める!$Z$10:$Z$409,0)),""))</f>
        <v/>
      </c>
      <c r="H89" s="83" t="str">
        <f aca="false">IF($B89="","",IFERROR(INDEX(②発注数を決める!$J$10:$J$409,MATCH(79,②発注数を決める!$Z$10:$Z$409,0)),""))</f>
        <v/>
      </c>
      <c r="I89" s="84" t="str">
        <f aca="false">IF($B89="","",IFERROR(INDEX(発注計算!$H$6:$H$405,MATCH(79,②発注数を決める!$Z$10:$Z$409,0)),""))</f>
        <v/>
      </c>
      <c r="J89" s="84" t="str">
        <f aca="false">IF($B89="","",N($H89)*N($I89))</f>
        <v/>
      </c>
    </row>
    <row r="90" customFormat="false" ht="15" hidden="false" customHeight="false" outlineLevel="0" collapsed="false">
      <c r="B90" s="81" t="str">
        <f aca="false">IF(80&lt;=MAX(②発注数を決める!$Z$10:$Z$409),80,"")</f>
        <v/>
      </c>
      <c r="C90" s="82" t="str">
        <f aca="false">IF($B90="","",IFERROR(INDEX(発注計算!$F$6:$F$405,MATCH(80,②発注数を決める!$Z$10:$Z$409,0)),""))</f>
        <v/>
      </c>
      <c r="D90" s="82" t="str">
        <f aca="false">IF($B90="","",IFERROR(INDEX(発注計算!$C$6:$C$405,MATCH(80,②発注数を決める!$Z$10:$Z$409,0))&amp;"",""))</f>
        <v/>
      </c>
      <c r="E90" s="82" t="str">
        <f aca="false">IF($B90="","",IFERROR(INDEX(②発注数を決める!$C$10:$C$409,MATCH(80,②発注数を決める!$Z$10:$Z$409,0))&amp;"",""))</f>
        <v/>
      </c>
      <c r="F90" s="82" t="str">
        <f aca="false">IF($B90="","",IFERROR(INDEX(商品マスタ!$J$6:$J$1005,MATCH($D90,商品マスタ!$B$6:$B$1005,0)),"ケース"))</f>
        <v/>
      </c>
      <c r="G90" s="81" t="str">
        <f aca="false">IF($B90="","",IFERROR(INDEX(発注計算!$G$6:$G$405,MATCH(80,②発注数を決める!$Z$10:$Z$409,0)),""))</f>
        <v/>
      </c>
      <c r="H90" s="83" t="str">
        <f aca="false">IF($B90="","",IFERROR(INDEX(②発注数を決める!$J$10:$J$409,MATCH(80,②発注数を決める!$Z$10:$Z$409,0)),""))</f>
        <v/>
      </c>
      <c r="I90" s="84" t="str">
        <f aca="false">IF($B90="","",IFERROR(INDEX(発注計算!$H$6:$H$405,MATCH(80,②発注数を決める!$Z$10:$Z$409,0)),""))</f>
        <v/>
      </c>
      <c r="J90" s="84" t="str">
        <f aca="false">IF($B90="","",N($H90)*N($I90))</f>
        <v/>
      </c>
    </row>
    <row r="91" customFormat="false" ht="15" hidden="false" customHeight="false" outlineLevel="0" collapsed="false">
      <c r="B91" s="81" t="str">
        <f aca="false">IF(81&lt;=MAX(②発注数を決める!$Z$10:$Z$409),81,"")</f>
        <v/>
      </c>
      <c r="C91" s="82" t="str">
        <f aca="false">IF($B91="","",IFERROR(INDEX(発注計算!$F$6:$F$405,MATCH(81,②発注数を決める!$Z$10:$Z$409,0)),""))</f>
        <v/>
      </c>
      <c r="D91" s="82" t="str">
        <f aca="false">IF($B91="","",IFERROR(INDEX(発注計算!$C$6:$C$405,MATCH(81,②発注数を決める!$Z$10:$Z$409,0))&amp;"",""))</f>
        <v/>
      </c>
      <c r="E91" s="82" t="str">
        <f aca="false">IF($B91="","",IFERROR(INDEX(②発注数を決める!$C$10:$C$409,MATCH(81,②発注数を決める!$Z$10:$Z$409,0))&amp;"",""))</f>
        <v/>
      </c>
      <c r="F91" s="82" t="str">
        <f aca="false">IF($B91="","",IFERROR(INDEX(商品マスタ!$J$6:$J$1005,MATCH($D91,商品マスタ!$B$6:$B$1005,0)),"ケース"))</f>
        <v/>
      </c>
      <c r="G91" s="81" t="str">
        <f aca="false">IF($B91="","",IFERROR(INDEX(発注計算!$G$6:$G$405,MATCH(81,②発注数を決める!$Z$10:$Z$409,0)),""))</f>
        <v/>
      </c>
      <c r="H91" s="83" t="str">
        <f aca="false">IF($B91="","",IFERROR(INDEX(②発注数を決める!$J$10:$J$409,MATCH(81,②発注数を決める!$Z$10:$Z$409,0)),""))</f>
        <v/>
      </c>
      <c r="I91" s="84" t="str">
        <f aca="false">IF($B91="","",IFERROR(INDEX(発注計算!$H$6:$H$405,MATCH(81,②発注数を決める!$Z$10:$Z$409,0)),""))</f>
        <v/>
      </c>
      <c r="J91" s="84" t="str">
        <f aca="false">IF($B91="","",N($H91)*N($I91))</f>
        <v/>
      </c>
    </row>
    <row r="92" customFormat="false" ht="15" hidden="false" customHeight="false" outlineLevel="0" collapsed="false">
      <c r="B92" s="81" t="str">
        <f aca="false">IF(82&lt;=MAX(②発注数を決める!$Z$10:$Z$409),82,"")</f>
        <v/>
      </c>
      <c r="C92" s="82" t="str">
        <f aca="false">IF($B92="","",IFERROR(INDEX(発注計算!$F$6:$F$405,MATCH(82,②発注数を決める!$Z$10:$Z$409,0)),""))</f>
        <v/>
      </c>
      <c r="D92" s="82" t="str">
        <f aca="false">IF($B92="","",IFERROR(INDEX(発注計算!$C$6:$C$405,MATCH(82,②発注数を決める!$Z$10:$Z$409,0))&amp;"",""))</f>
        <v/>
      </c>
      <c r="E92" s="82" t="str">
        <f aca="false">IF($B92="","",IFERROR(INDEX(②発注数を決める!$C$10:$C$409,MATCH(82,②発注数を決める!$Z$10:$Z$409,0))&amp;"",""))</f>
        <v/>
      </c>
      <c r="F92" s="82" t="str">
        <f aca="false">IF($B92="","",IFERROR(INDEX(商品マスタ!$J$6:$J$1005,MATCH($D92,商品マスタ!$B$6:$B$1005,0)),"ケース"))</f>
        <v/>
      </c>
      <c r="G92" s="81" t="str">
        <f aca="false">IF($B92="","",IFERROR(INDEX(発注計算!$G$6:$G$405,MATCH(82,②発注数を決める!$Z$10:$Z$409,0)),""))</f>
        <v/>
      </c>
      <c r="H92" s="83" t="str">
        <f aca="false">IF($B92="","",IFERROR(INDEX(②発注数を決める!$J$10:$J$409,MATCH(82,②発注数を決める!$Z$10:$Z$409,0)),""))</f>
        <v/>
      </c>
      <c r="I92" s="84" t="str">
        <f aca="false">IF($B92="","",IFERROR(INDEX(発注計算!$H$6:$H$405,MATCH(82,②発注数を決める!$Z$10:$Z$409,0)),""))</f>
        <v/>
      </c>
      <c r="J92" s="84" t="str">
        <f aca="false">IF($B92="","",N($H92)*N($I92))</f>
        <v/>
      </c>
    </row>
    <row r="93" customFormat="false" ht="15" hidden="false" customHeight="false" outlineLevel="0" collapsed="false">
      <c r="B93" s="81" t="str">
        <f aca="false">IF(83&lt;=MAX(②発注数を決める!$Z$10:$Z$409),83,"")</f>
        <v/>
      </c>
      <c r="C93" s="82" t="str">
        <f aca="false">IF($B93="","",IFERROR(INDEX(発注計算!$F$6:$F$405,MATCH(83,②発注数を決める!$Z$10:$Z$409,0)),""))</f>
        <v/>
      </c>
      <c r="D93" s="82" t="str">
        <f aca="false">IF($B93="","",IFERROR(INDEX(発注計算!$C$6:$C$405,MATCH(83,②発注数を決める!$Z$10:$Z$409,0))&amp;"",""))</f>
        <v/>
      </c>
      <c r="E93" s="82" t="str">
        <f aca="false">IF($B93="","",IFERROR(INDEX(②発注数を決める!$C$10:$C$409,MATCH(83,②発注数を決める!$Z$10:$Z$409,0))&amp;"",""))</f>
        <v/>
      </c>
      <c r="F93" s="82" t="str">
        <f aca="false">IF($B93="","",IFERROR(INDEX(商品マスタ!$J$6:$J$1005,MATCH($D93,商品マスタ!$B$6:$B$1005,0)),"ケース"))</f>
        <v/>
      </c>
      <c r="G93" s="81" t="str">
        <f aca="false">IF($B93="","",IFERROR(INDEX(発注計算!$G$6:$G$405,MATCH(83,②発注数を決める!$Z$10:$Z$409,0)),""))</f>
        <v/>
      </c>
      <c r="H93" s="83" t="str">
        <f aca="false">IF($B93="","",IFERROR(INDEX(②発注数を決める!$J$10:$J$409,MATCH(83,②発注数を決める!$Z$10:$Z$409,0)),""))</f>
        <v/>
      </c>
      <c r="I93" s="84" t="str">
        <f aca="false">IF($B93="","",IFERROR(INDEX(発注計算!$H$6:$H$405,MATCH(83,②発注数を決める!$Z$10:$Z$409,0)),""))</f>
        <v/>
      </c>
      <c r="J93" s="84" t="str">
        <f aca="false">IF($B93="","",N($H93)*N($I93))</f>
        <v/>
      </c>
    </row>
    <row r="94" customFormat="false" ht="15" hidden="false" customHeight="false" outlineLevel="0" collapsed="false">
      <c r="B94" s="81" t="str">
        <f aca="false">IF(84&lt;=MAX(②発注数を決める!$Z$10:$Z$409),84,"")</f>
        <v/>
      </c>
      <c r="C94" s="82" t="str">
        <f aca="false">IF($B94="","",IFERROR(INDEX(発注計算!$F$6:$F$405,MATCH(84,②発注数を決める!$Z$10:$Z$409,0)),""))</f>
        <v/>
      </c>
      <c r="D94" s="82" t="str">
        <f aca="false">IF($B94="","",IFERROR(INDEX(発注計算!$C$6:$C$405,MATCH(84,②発注数を決める!$Z$10:$Z$409,0))&amp;"",""))</f>
        <v/>
      </c>
      <c r="E94" s="82" t="str">
        <f aca="false">IF($B94="","",IFERROR(INDEX(②発注数を決める!$C$10:$C$409,MATCH(84,②発注数を決める!$Z$10:$Z$409,0))&amp;"",""))</f>
        <v/>
      </c>
      <c r="F94" s="82" t="str">
        <f aca="false">IF($B94="","",IFERROR(INDEX(商品マスタ!$J$6:$J$1005,MATCH($D94,商品マスタ!$B$6:$B$1005,0)),"ケース"))</f>
        <v/>
      </c>
      <c r="G94" s="81" t="str">
        <f aca="false">IF($B94="","",IFERROR(INDEX(発注計算!$G$6:$G$405,MATCH(84,②発注数を決める!$Z$10:$Z$409,0)),""))</f>
        <v/>
      </c>
      <c r="H94" s="83" t="str">
        <f aca="false">IF($B94="","",IFERROR(INDEX(②発注数を決める!$J$10:$J$409,MATCH(84,②発注数を決める!$Z$10:$Z$409,0)),""))</f>
        <v/>
      </c>
      <c r="I94" s="84" t="str">
        <f aca="false">IF($B94="","",IFERROR(INDEX(発注計算!$H$6:$H$405,MATCH(84,②発注数を決める!$Z$10:$Z$409,0)),""))</f>
        <v/>
      </c>
      <c r="J94" s="84" t="str">
        <f aca="false">IF($B94="","",N($H94)*N($I94))</f>
        <v/>
      </c>
    </row>
    <row r="95" customFormat="false" ht="15" hidden="false" customHeight="false" outlineLevel="0" collapsed="false">
      <c r="B95" s="81" t="str">
        <f aca="false">IF(85&lt;=MAX(②発注数を決める!$Z$10:$Z$409),85,"")</f>
        <v/>
      </c>
      <c r="C95" s="82" t="str">
        <f aca="false">IF($B95="","",IFERROR(INDEX(発注計算!$F$6:$F$405,MATCH(85,②発注数を決める!$Z$10:$Z$409,0)),""))</f>
        <v/>
      </c>
      <c r="D95" s="82" t="str">
        <f aca="false">IF($B95="","",IFERROR(INDEX(発注計算!$C$6:$C$405,MATCH(85,②発注数を決める!$Z$10:$Z$409,0))&amp;"",""))</f>
        <v/>
      </c>
      <c r="E95" s="82" t="str">
        <f aca="false">IF($B95="","",IFERROR(INDEX(②発注数を決める!$C$10:$C$409,MATCH(85,②発注数を決める!$Z$10:$Z$409,0))&amp;"",""))</f>
        <v/>
      </c>
      <c r="F95" s="82" t="str">
        <f aca="false">IF($B95="","",IFERROR(INDEX(商品マスタ!$J$6:$J$1005,MATCH($D95,商品マスタ!$B$6:$B$1005,0)),"ケース"))</f>
        <v/>
      </c>
      <c r="G95" s="81" t="str">
        <f aca="false">IF($B95="","",IFERROR(INDEX(発注計算!$G$6:$G$405,MATCH(85,②発注数を決める!$Z$10:$Z$409,0)),""))</f>
        <v/>
      </c>
      <c r="H95" s="83" t="str">
        <f aca="false">IF($B95="","",IFERROR(INDEX(②発注数を決める!$J$10:$J$409,MATCH(85,②発注数を決める!$Z$10:$Z$409,0)),""))</f>
        <v/>
      </c>
      <c r="I95" s="84" t="str">
        <f aca="false">IF($B95="","",IFERROR(INDEX(発注計算!$H$6:$H$405,MATCH(85,②発注数を決める!$Z$10:$Z$409,0)),""))</f>
        <v/>
      </c>
      <c r="J95" s="84" t="str">
        <f aca="false">IF($B95="","",N($H95)*N($I95))</f>
        <v/>
      </c>
    </row>
    <row r="96" customFormat="false" ht="15" hidden="false" customHeight="false" outlineLevel="0" collapsed="false">
      <c r="B96" s="81" t="str">
        <f aca="false">IF(86&lt;=MAX(②発注数を決める!$Z$10:$Z$409),86,"")</f>
        <v/>
      </c>
      <c r="C96" s="82" t="str">
        <f aca="false">IF($B96="","",IFERROR(INDEX(発注計算!$F$6:$F$405,MATCH(86,②発注数を決める!$Z$10:$Z$409,0)),""))</f>
        <v/>
      </c>
      <c r="D96" s="82" t="str">
        <f aca="false">IF($B96="","",IFERROR(INDEX(発注計算!$C$6:$C$405,MATCH(86,②発注数を決める!$Z$10:$Z$409,0))&amp;"",""))</f>
        <v/>
      </c>
      <c r="E96" s="82" t="str">
        <f aca="false">IF($B96="","",IFERROR(INDEX(②発注数を決める!$C$10:$C$409,MATCH(86,②発注数を決める!$Z$10:$Z$409,0))&amp;"",""))</f>
        <v/>
      </c>
      <c r="F96" s="82" t="str">
        <f aca="false">IF($B96="","",IFERROR(INDEX(商品マスタ!$J$6:$J$1005,MATCH($D96,商品マスタ!$B$6:$B$1005,0)),"ケース"))</f>
        <v/>
      </c>
      <c r="G96" s="81" t="str">
        <f aca="false">IF($B96="","",IFERROR(INDEX(発注計算!$G$6:$G$405,MATCH(86,②発注数を決める!$Z$10:$Z$409,0)),""))</f>
        <v/>
      </c>
      <c r="H96" s="83" t="str">
        <f aca="false">IF($B96="","",IFERROR(INDEX(②発注数を決める!$J$10:$J$409,MATCH(86,②発注数を決める!$Z$10:$Z$409,0)),""))</f>
        <v/>
      </c>
      <c r="I96" s="84" t="str">
        <f aca="false">IF($B96="","",IFERROR(INDEX(発注計算!$H$6:$H$405,MATCH(86,②発注数を決める!$Z$10:$Z$409,0)),""))</f>
        <v/>
      </c>
      <c r="J96" s="84" t="str">
        <f aca="false">IF($B96="","",N($H96)*N($I96))</f>
        <v/>
      </c>
    </row>
    <row r="97" customFormat="false" ht="15" hidden="false" customHeight="false" outlineLevel="0" collapsed="false">
      <c r="B97" s="81" t="str">
        <f aca="false">IF(87&lt;=MAX(②発注数を決める!$Z$10:$Z$409),87,"")</f>
        <v/>
      </c>
      <c r="C97" s="82" t="str">
        <f aca="false">IF($B97="","",IFERROR(INDEX(発注計算!$F$6:$F$405,MATCH(87,②発注数を決める!$Z$10:$Z$409,0)),""))</f>
        <v/>
      </c>
      <c r="D97" s="82" t="str">
        <f aca="false">IF($B97="","",IFERROR(INDEX(発注計算!$C$6:$C$405,MATCH(87,②発注数を決める!$Z$10:$Z$409,0))&amp;"",""))</f>
        <v/>
      </c>
      <c r="E97" s="82" t="str">
        <f aca="false">IF($B97="","",IFERROR(INDEX(②発注数を決める!$C$10:$C$409,MATCH(87,②発注数を決める!$Z$10:$Z$409,0))&amp;"",""))</f>
        <v/>
      </c>
      <c r="F97" s="82" t="str">
        <f aca="false">IF($B97="","",IFERROR(INDEX(商品マスタ!$J$6:$J$1005,MATCH($D97,商品マスタ!$B$6:$B$1005,0)),"ケース"))</f>
        <v/>
      </c>
      <c r="G97" s="81" t="str">
        <f aca="false">IF($B97="","",IFERROR(INDEX(発注計算!$G$6:$G$405,MATCH(87,②発注数を決める!$Z$10:$Z$409,0)),""))</f>
        <v/>
      </c>
      <c r="H97" s="83" t="str">
        <f aca="false">IF($B97="","",IFERROR(INDEX(②発注数を決める!$J$10:$J$409,MATCH(87,②発注数を決める!$Z$10:$Z$409,0)),""))</f>
        <v/>
      </c>
      <c r="I97" s="84" t="str">
        <f aca="false">IF($B97="","",IFERROR(INDEX(発注計算!$H$6:$H$405,MATCH(87,②発注数を決める!$Z$10:$Z$409,0)),""))</f>
        <v/>
      </c>
      <c r="J97" s="84" t="str">
        <f aca="false">IF($B97="","",N($H97)*N($I97))</f>
        <v/>
      </c>
    </row>
    <row r="98" customFormat="false" ht="15" hidden="false" customHeight="false" outlineLevel="0" collapsed="false">
      <c r="B98" s="81" t="str">
        <f aca="false">IF(88&lt;=MAX(②発注数を決める!$Z$10:$Z$409),88,"")</f>
        <v/>
      </c>
      <c r="C98" s="82" t="str">
        <f aca="false">IF($B98="","",IFERROR(INDEX(発注計算!$F$6:$F$405,MATCH(88,②発注数を決める!$Z$10:$Z$409,0)),""))</f>
        <v/>
      </c>
      <c r="D98" s="82" t="str">
        <f aca="false">IF($B98="","",IFERROR(INDEX(発注計算!$C$6:$C$405,MATCH(88,②発注数を決める!$Z$10:$Z$409,0))&amp;"",""))</f>
        <v/>
      </c>
      <c r="E98" s="82" t="str">
        <f aca="false">IF($B98="","",IFERROR(INDEX(②発注数を決める!$C$10:$C$409,MATCH(88,②発注数を決める!$Z$10:$Z$409,0))&amp;"",""))</f>
        <v/>
      </c>
      <c r="F98" s="82" t="str">
        <f aca="false">IF($B98="","",IFERROR(INDEX(商品マスタ!$J$6:$J$1005,MATCH($D98,商品マスタ!$B$6:$B$1005,0)),"ケース"))</f>
        <v/>
      </c>
      <c r="G98" s="81" t="str">
        <f aca="false">IF($B98="","",IFERROR(INDEX(発注計算!$G$6:$G$405,MATCH(88,②発注数を決める!$Z$10:$Z$409,0)),""))</f>
        <v/>
      </c>
      <c r="H98" s="83" t="str">
        <f aca="false">IF($B98="","",IFERROR(INDEX(②発注数を決める!$J$10:$J$409,MATCH(88,②発注数を決める!$Z$10:$Z$409,0)),""))</f>
        <v/>
      </c>
      <c r="I98" s="84" t="str">
        <f aca="false">IF($B98="","",IFERROR(INDEX(発注計算!$H$6:$H$405,MATCH(88,②発注数を決める!$Z$10:$Z$409,0)),""))</f>
        <v/>
      </c>
      <c r="J98" s="84" t="str">
        <f aca="false">IF($B98="","",N($H98)*N($I98))</f>
        <v/>
      </c>
    </row>
    <row r="99" customFormat="false" ht="15" hidden="false" customHeight="false" outlineLevel="0" collapsed="false">
      <c r="B99" s="81" t="str">
        <f aca="false">IF(89&lt;=MAX(②発注数を決める!$Z$10:$Z$409),89,"")</f>
        <v/>
      </c>
      <c r="C99" s="82" t="str">
        <f aca="false">IF($B99="","",IFERROR(INDEX(発注計算!$F$6:$F$405,MATCH(89,②発注数を決める!$Z$10:$Z$409,0)),""))</f>
        <v/>
      </c>
      <c r="D99" s="82" t="str">
        <f aca="false">IF($B99="","",IFERROR(INDEX(発注計算!$C$6:$C$405,MATCH(89,②発注数を決める!$Z$10:$Z$409,0))&amp;"",""))</f>
        <v/>
      </c>
      <c r="E99" s="82" t="str">
        <f aca="false">IF($B99="","",IFERROR(INDEX(②発注数を決める!$C$10:$C$409,MATCH(89,②発注数を決める!$Z$10:$Z$409,0))&amp;"",""))</f>
        <v/>
      </c>
      <c r="F99" s="82" t="str">
        <f aca="false">IF($B99="","",IFERROR(INDEX(商品マスタ!$J$6:$J$1005,MATCH($D99,商品マスタ!$B$6:$B$1005,0)),"ケース"))</f>
        <v/>
      </c>
      <c r="G99" s="81" t="str">
        <f aca="false">IF($B99="","",IFERROR(INDEX(発注計算!$G$6:$G$405,MATCH(89,②発注数を決める!$Z$10:$Z$409,0)),""))</f>
        <v/>
      </c>
      <c r="H99" s="83" t="str">
        <f aca="false">IF($B99="","",IFERROR(INDEX(②発注数を決める!$J$10:$J$409,MATCH(89,②発注数を決める!$Z$10:$Z$409,0)),""))</f>
        <v/>
      </c>
      <c r="I99" s="84" t="str">
        <f aca="false">IF($B99="","",IFERROR(INDEX(発注計算!$H$6:$H$405,MATCH(89,②発注数を決める!$Z$10:$Z$409,0)),""))</f>
        <v/>
      </c>
      <c r="J99" s="84" t="str">
        <f aca="false">IF($B99="","",N($H99)*N($I99))</f>
        <v/>
      </c>
    </row>
    <row r="100" customFormat="false" ht="15" hidden="false" customHeight="false" outlineLevel="0" collapsed="false">
      <c r="B100" s="81" t="str">
        <f aca="false">IF(90&lt;=MAX(②発注数を決める!$Z$10:$Z$409),90,"")</f>
        <v/>
      </c>
      <c r="C100" s="82" t="str">
        <f aca="false">IF($B100="","",IFERROR(INDEX(発注計算!$F$6:$F$405,MATCH(90,②発注数を決める!$Z$10:$Z$409,0)),""))</f>
        <v/>
      </c>
      <c r="D100" s="82" t="str">
        <f aca="false">IF($B100="","",IFERROR(INDEX(発注計算!$C$6:$C$405,MATCH(90,②発注数を決める!$Z$10:$Z$409,0))&amp;"",""))</f>
        <v/>
      </c>
      <c r="E100" s="82" t="str">
        <f aca="false">IF($B100="","",IFERROR(INDEX(②発注数を決める!$C$10:$C$409,MATCH(90,②発注数を決める!$Z$10:$Z$409,0))&amp;"",""))</f>
        <v/>
      </c>
      <c r="F100" s="82" t="str">
        <f aca="false">IF($B100="","",IFERROR(INDEX(商品マスタ!$J$6:$J$1005,MATCH($D100,商品マスタ!$B$6:$B$1005,0)),"ケース"))</f>
        <v/>
      </c>
      <c r="G100" s="81" t="str">
        <f aca="false">IF($B100="","",IFERROR(INDEX(発注計算!$G$6:$G$405,MATCH(90,②発注数を決める!$Z$10:$Z$409,0)),""))</f>
        <v/>
      </c>
      <c r="H100" s="83" t="str">
        <f aca="false">IF($B100="","",IFERROR(INDEX(②発注数を決める!$J$10:$J$409,MATCH(90,②発注数を決める!$Z$10:$Z$409,0)),""))</f>
        <v/>
      </c>
      <c r="I100" s="84" t="str">
        <f aca="false">IF($B100="","",IFERROR(INDEX(発注計算!$H$6:$H$405,MATCH(90,②発注数を決める!$Z$10:$Z$409,0)),""))</f>
        <v/>
      </c>
      <c r="J100" s="84" t="str">
        <f aca="false">IF($B100="","",N($H100)*N($I100))</f>
        <v/>
      </c>
    </row>
    <row r="101" customFormat="false" ht="15" hidden="false" customHeight="false" outlineLevel="0" collapsed="false">
      <c r="B101" s="81" t="str">
        <f aca="false">IF(91&lt;=MAX(②発注数を決める!$Z$10:$Z$409),91,"")</f>
        <v/>
      </c>
      <c r="C101" s="82" t="str">
        <f aca="false">IF($B101="","",IFERROR(INDEX(発注計算!$F$6:$F$405,MATCH(91,②発注数を決める!$Z$10:$Z$409,0)),""))</f>
        <v/>
      </c>
      <c r="D101" s="82" t="str">
        <f aca="false">IF($B101="","",IFERROR(INDEX(発注計算!$C$6:$C$405,MATCH(91,②発注数を決める!$Z$10:$Z$409,0))&amp;"",""))</f>
        <v/>
      </c>
      <c r="E101" s="82" t="str">
        <f aca="false">IF($B101="","",IFERROR(INDEX(②発注数を決める!$C$10:$C$409,MATCH(91,②発注数を決める!$Z$10:$Z$409,0))&amp;"",""))</f>
        <v/>
      </c>
      <c r="F101" s="82" t="str">
        <f aca="false">IF($B101="","",IFERROR(INDEX(商品マスタ!$J$6:$J$1005,MATCH($D101,商品マスタ!$B$6:$B$1005,0)),"ケース"))</f>
        <v/>
      </c>
      <c r="G101" s="81" t="str">
        <f aca="false">IF($B101="","",IFERROR(INDEX(発注計算!$G$6:$G$405,MATCH(91,②発注数を決める!$Z$10:$Z$409,0)),""))</f>
        <v/>
      </c>
      <c r="H101" s="83" t="str">
        <f aca="false">IF($B101="","",IFERROR(INDEX(②発注数を決める!$J$10:$J$409,MATCH(91,②発注数を決める!$Z$10:$Z$409,0)),""))</f>
        <v/>
      </c>
      <c r="I101" s="84" t="str">
        <f aca="false">IF($B101="","",IFERROR(INDEX(発注計算!$H$6:$H$405,MATCH(91,②発注数を決める!$Z$10:$Z$409,0)),""))</f>
        <v/>
      </c>
      <c r="J101" s="84" t="str">
        <f aca="false">IF($B101="","",N($H101)*N($I101))</f>
        <v/>
      </c>
    </row>
    <row r="102" customFormat="false" ht="15" hidden="false" customHeight="false" outlineLevel="0" collapsed="false">
      <c r="B102" s="81" t="str">
        <f aca="false">IF(92&lt;=MAX(②発注数を決める!$Z$10:$Z$409),92,"")</f>
        <v/>
      </c>
      <c r="C102" s="82" t="str">
        <f aca="false">IF($B102="","",IFERROR(INDEX(発注計算!$F$6:$F$405,MATCH(92,②発注数を決める!$Z$10:$Z$409,0)),""))</f>
        <v/>
      </c>
      <c r="D102" s="82" t="str">
        <f aca="false">IF($B102="","",IFERROR(INDEX(発注計算!$C$6:$C$405,MATCH(92,②発注数を決める!$Z$10:$Z$409,0))&amp;"",""))</f>
        <v/>
      </c>
      <c r="E102" s="82" t="str">
        <f aca="false">IF($B102="","",IFERROR(INDEX(②発注数を決める!$C$10:$C$409,MATCH(92,②発注数を決める!$Z$10:$Z$409,0))&amp;"",""))</f>
        <v/>
      </c>
      <c r="F102" s="82" t="str">
        <f aca="false">IF($B102="","",IFERROR(INDEX(商品マスタ!$J$6:$J$1005,MATCH($D102,商品マスタ!$B$6:$B$1005,0)),"ケース"))</f>
        <v/>
      </c>
      <c r="G102" s="81" t="str">
        <f aca="false">IF($B102="","",IFERROR(INDEX(発注計算!$G$6:$G$405,MATCH(92,②発注数を決める!$Z$10:$Z$409,0)),""))</f>
        <v/>
      </c>
      <c r="H102" s="83" t="str">
        <f aca="false">IF($B102="","",IFERROR(INDEX(②発注数を決める!$J$10:$J$409,MATCH(92,②発注数を決める!$Z$10:$Z$409,0)),""))</f>
        <v/>
      </c>
      <c r="I102" s="84" t="str">
        <f aca="false">IF($B102="","",IFERROR(INDEX(発注計算!$H$6:$H$405,MATCH(92,②発注数を決める!$Z$10:$Z$409,0)),""))</f>
        <v/>
      </c>
      <c r="J102" s="84" t="str">
        <f aca="false">IF($B102="","",N($H102)*N($I102))</f>
        <v/>
      </c>
    </row>
    <row r="103" customFormat="false" ht="15" hidden="false" customHeight="false" outlineLevel="0" collapsed="false">
      <c r="B103" s="81" t="str">
        <f aca="false">IF(93&lt;=MAX(②発注数を決める!$Z$10:$Z$409),93,"")</f>
        <v/>
      </c>
      <c r="C103" s="82" t="str">
        <f aca="false">IF($B103="","",IFERROR(INDEX(発注計算!$F$6:$F$405,MATCH(93,②発注数を決める!$Z$10:$Z$409,0)),""))</f>
        <v/>
      </c>
      <c r="D103" s="82" t="str">
        <f aca="false">IF($B103="","",IFERROR(INDEX(発注計算!$C$6:$C$405,MATCH(93,②発注数を決める!$Z$10:$Z$409,0))&amp;"",""))</f>
        <v/>
      </c>
      <c r="E103" s="82" t="str">
        <f aca="false">IF($B103="","",IFERROR(INDEX(②発注数を決める!$C$10:$C$409,MATCH(93,②発注数を決める!$Z$10:$Z$409,0))&amp;"",""))</f>
        <v/>
      </c>
      <c r="F103" s="82" t="str">
        <f aca="false">IF($B103="","",IFERROR(INDEX(商品マスタ!$J$6:$J$1005,MATCH($D103,商品マスタ!$B$6:$B$1005,0)),"ケース"))</f>
        <v/>
      </c>
      <c r="G103" s="81" t="str">
        <f aca="false">IF($B103="","",IFERROR(INDEX(発注計算!$G$6:$G$405,MATCH(93,②発注数を決める!$Z$10:$Z$409,0)),""))</f>
        <v/>
      </c>
      <c r="H103" s="83" t="str">
        <f aca="false">IF($B103="","",IFERROR(INDEX(②発注数を決める!$J$10:$J$409,MATCH(93,②発注数を決める!$Z$10:$Z$409,0)),""))</f>
        <v/>
      </c>
      <c r="I103" s="84" t="str">
        <f aca="false">IF($B103="","",IFERROR(INDEX(発注計算!$H$6:$H$405,MATCH(93,②発注数を決める!$Z$10:$Z$409,0)),""))</f>
        <v/>
      </c>
      <c r="J103" s="84" t="str">
        <f aca="false">IF($B103="","",N($H103)*N($I103))</f>
        <v/>
      </c>
    </row>
    <row r="104" customFormat="false" ht="15" hidden="false" customHeight="false" outlineLevel="0" collapsed="false">
      <c r="B104" s="81" t="str">
        <f aca="false">IF(94&lt;=MAX(②発注数を決める!$Z$10:$Z$409),94,"")</f>
        <v/>
      </c>
      <c r="C104" s="82" t="str">
        <f aca="false">IF($B104="","",IFERROR(INDEX(発注計算!$F$6:$F$405,MATCH(94,②発注数を決める!$Z$10:$Z$409,0)),""))</f>
        <v/>
      </c>
      <c r="D104" s="82" t="str">
        <f aca="false">IF($B104="","",IFERROR(INDEX(発注計算!$C$6:$C$405,MATCH(94,②発注数を決める!$Z$10:$Z$409,0))&amp;"",""))</f>
        <v/>
      </c>
      <c r="E104" s="82" t="str">
        <f aca="false">IF($B104="","",IFERROR(INDEX(②発注数を決める!$C$10:$C$409,MATCH(94,②発注数を決める!$Z$10:$Z$409,0))&amp;"",""))</f>
        <v/>
      </c>
      <c r="F104" s="82" t="str">
        <f aca="false">IF($B104="","",IFERROR(INDEX(商品マスタ!$J$6:$J$1005,MATCH($D104,商品マスタ!$B$6:$B$1005,0)),"ケース"))</f>
        <v/>
      </c>
      <c r="G104" s="81" t="str">
        <f aca="false">IF($B104="","",IFERROR(INDEX(発注計算!$G$6:$G$405,MATCH(94,②発注数を決める!$Z$10:$Z$409,0)),""))</f>
        <v/>
      </c>
      <c r="H104" s="83" t="str">
        <f aca="false">IF($B104="","",IFERROR(INDEX(②発注数を決める!$J$10:$J$409,MATCH(94,②発注数を決める!$Z$10:$Z$409,0)),""))</f>
        <v/>
      </c>
      <c r="I104" s="84" t="str">
        <f aca="false">IF($B104="","",IFERROR(INDEX(発注計算!$H$6:$H$405,MATCH(94,②発注数を決める!$Z$10:$Z$409,0)),""))</f>
        <v/>
      </c>
      <c r="J104" s="84" t="str">
        <f aca="false">IF($B104="","",N($H104)*N($I104))</f>
        <v/>
      </c>
    </row>
    <row r="105" customFormat="false" ht="15" hidden="false" customHeight="false" outlineLevel="0" collapsed="false">
      <c r="B105" s="81" t="str">
        <f aca="false">IF(95&lt;=MAX(②発注数を決める!$Z$10:$Z$409),95,"")</f>
        <v/>
      </c>
      <c r="C105" s="82" t="str">
        <f aca="false">IF($B105="","",IFERROR(INDEX(発注計算!$F$6:$F$405,MATCH(95,②発注数を決める!$Z$10:$Z$409,0)),""))</f>
        <v/>
      </c>
      <c r="D105" s="82" t="str">
        <f aca="false">IF($B105="","",IFERROR(INDEX(発注計算!$C$6:$C$405,MATCH(95,②発注数を決める!$Z$10:$Z$409,0))&amp;"",""))</f>
        <v/>
      </c>
      <c r="E105" s="82" t="str">
        <f aca="false">IF($B105="","",IFERROR(INDEX(②発注数を決める!$C$10:$C$409,MATCH(95,②発注数を決める!$Z$10:$Z$409,0))&amp;"",""))</f>
        <v/>
      </c>
      <c r="F105" s="82" t="str">
        <f aca="false">IF($B105="","",IFERROR(INDEX(商品マスタ!$J$6:$J$1005,MATCH($D105,商品マスタ!$B$6:$B$1005,0)),"ケース"))</f>
        <v/>
      </c>
      <c r="G105" s="81" t="str">
        <f aca="false">IF($B105="","",IFERROR(INDEX(発注計算!$G$6:$G$405,MATCH(95,②発注数を決める!$Z$10:$Z$409,0)),""))</f>
        <v/>
      </c>
      <c r="H105" s="83" t="str">
        <f aca="false">IF($B105="","",IFERROR(INDEX(②発注数を決める!$J$10:$J$409,MATCH(95,②発注数を決める!$Z$10:$Z$409,0)),""))</f>
        <v/>
      </c>
      <c r="I105" s="84" t="str">
        <f aca="false">IF($B105="","",IFERROR(INDEX(発注計算!$H$6:$H$405,MATCH(95,②発注数を決める!$Z$10:$Z$409,0)),""))</f>
        <v/>
      </c>
      <c r="J105" s="84" t="str">
        <f aca="false">IF($B105="","",N($H105)*N($I105))</f>
        <v/>
      </c>
    </row>
    <row r="106" customFormat="false" ht="15" hidden="false" customHeight="false" outlineLevel="0" collapsed="false">
      <c r="B106" s="81" t="str">
        <f aca="false">IF(96&lt;=MAX(②発注数を決める!$Z$10:$Z$409),96,"")</f>
        <v/>
      </c>
      <c r="C106" s="82" t="str">
        <f aca="false">IF($B106="","",IFERROR(INDEX(発注計算!$F$6:$F$405,MATCH(96,②発注数を決める!$Z$10:$Z$409,0)),""))</f>
        <v/>
      </c>
      <c r="D106" s="82" t="str">
        <f aca="false">IF($B106="","",IFERROR(INDEX(発注計算!$C$6:$C$405,MATCH(96,②発注数を決める!$Z$10:$Z$409,0))&amp;"",""))</f>
        <v/>
      </c>
      <c r="E106" s="82" t="str">
        <f aca="false">IF($B106="","",IFERROR(INDEX(②発注数を決める!$C$10:$C$409,MATCH(96,②発注数を決める!$Z$10:$Z$409,0))&amp;"",""))</f>
        <v/>
      </c>
      <c r="F106" s="82" t="str">
        <f aca="false">IF($B106="","",IFERROR(INDEX(商品マスタ!$J$6:$J$1005,MATCH($D106,商品マスタ!$B$6:$B$1005,0)),"ケース"))</f>
        <v/>
      </c>
      <c r="G106" s="81" t="str">
        <f aca="false">IF($B106="","",IFERROR(INDEX(発注計算!$G$6:$G$405,MATCH(96,②発注数を決める!$Z$10:$Z$409,0)),""))</f>
        <v/>
      </c>
      <c r="H106" s="83" t="str">
        <f aca="false">IF($B106="","",IFERROR(INDEX(②発注数を決める!$J$10:$J$409,MATCH(96,②発注数を決める!$Z$10:$Z$409,0)),""))</f>
        <v/>
      </c>
      <c r="I106" s="84" t="str">
        <f aca="false">IF($B106="","",IFERROR(INDEX(発注計算!$H$6:$H$405,MATCH(96,②発注数を決める!$Z$10:$Z$409,0)),""))</f>
        <v/>
      </c>
      <c r="J106" s="84" t="str">
        <f aca="false">IF($B106="","",N($H106)*N($I106))</f>
        <v/>
      </c>
    </row>
    <row r="107" customFormat="false" ht="15" hidden="false" customHeight="false" outlineLevel="0" collapsed="false">
      <c r="B107" s="81" t="str">
        <f aca="false">IF(97&lt;=MAX(②発注数を決める!$Z$10:$Z$409),97,"")</f>
        <v/>
      </c>
      <c r="C107" s="82" t="str">
        <f aca="false">IF($B107="","",IFERROR(INDEX(発注計算!$F$6:$F$405,MATCH(97,②発注数を決める!$Z$10:$Z$409,0)),""))</f>
        <v/>
      </c>
      <c r="D107" s="82" t="str">
        <f aca="false">IF($B107="","",IFERROR(INDEX(発注計算!$C$6:$C$405,MATCH(97,②発注数を決める!$Z$10:$Z$409,0))&amp;"",""))</f>
        <v/>
      </c>
      <c r="E107" s="82" t="str">
        <f aca="false">IF($B107="","",IFERROR(INDEX(②発注数を決める!$C$10:$C$409,MATCH(97,②発注数を決める!$Z$10:$Z$409,0))&amp;"",""))</f>
        <v/>
      </c>
      <c r="F107" s="82" t="str">
        <f aca="false">IF($B107="","",IFERROR(INDEX(商品マスタ!$J$6:$J$1005,MATCH($D107,商品マスタ!$B$6:$B$1005,0)),"ケース"))</f>
        <v/>
      </c>
      <c r="G107" s="81" t="str">
        <f aca="false">IF($B107="","",IFERROR(INDEX(発注計算!$G$6:$G$405,MATCH(97,②発注数を決める!$Z$10:$Z$409,0)),""))</f>
        <v/>
      </c>
      <c r="H107" s="83" t="str">
        <f aca="false">IF($B107="","",IFERROR(INDEX(②発注数を決める!$J$10:$J$409,MATCH(97,②発注数を決める!$Z$10:$Z$409,0)),""))</f>
        <v/>
      </c>
      <c r="I107" s="84" t="str">
        <f aca="false">IF($B107="","",IFERROR(INDEX(発注計算!$H$6:$H$405,MATCH(97,②発注数を決める!$Z$10:$Z$409,0)),""))</f>
        <v/>
      </c>
      <c r="J107" s="84" t="str">
        <f aca="false">IF($B107="","",N($H107)*N($I107))</f>
        <v/>
      </c>
    </row>
    <row r="108" customFormat="false" ht="15" hidden="false" customHeight="false" outlineLevel="0" collapsed="false">
      <c r="B108" s="81" t="str">
        <f aca="false">IF(98&lt;=MAX(②発注数を決める!$Z$10:$Z$409),98,"")</f>
        <v/>
      </c>
      <c r="C108" s="82" t="str">
        <f aca="false">IF($B108="","",IFERROR(INDEX(発注計算!$F$6:$F$405,MATCH(98,②発注数を決める!$Z$10:$Z$409,0)),""))</f>
        <v/>
      </c>
      <c r="D108" s="82" t="str">
        <f aca="false">IF($B108="","",IFERROR(INDEX(発注計算!$C$6:$C$405,MATCH(98,②発注数を決める!$Z$10:$Z$409,0))&amp;"",""))</f>
        <v/>
      </c>
      <c r="E108" s="82" t="str">
        <f aca="false">IF($B108="","",IFERROR(INDEX(②発注数を決める!$C$10:$C$409,MATCH(98,②発注数を決める!$Z$10:$Z$409,0))&amp;"",""))</f>
        <v/>
      </c>
      <c r="F108" s="82" t="str">
        <f aca="false">IF($B108="","",IFERROR(INDEX(商品マスタ!$J$6:$J$1005,MATCH($D108,商品マスタ!$B$6:$B$1005,0)),"ケース"))</f>
        <v/>
      </c>
      <c r="G108" s="81" t="str">
        <f aca="false">IF($B108="","",IFERROR(INDEX(発注計算!$G$6:$G$405,MATCH(98,②発注数を決める!$Z$10:$Z$409,0)),""))</f>
        <v/>
      </c>
      <c r="H108" s="83" t="str">
        <f aca="false">IF($B108="","",IFERROR(INDEX(②発注数を決める!$J$10:$J$409,MATCH(98,②発注数を決める!$Z$10:$Z$409,0)),""))</f>
        <v/>
      </c>
      <c r="I108" s="84" t="str">
        <f aca="false">IF($B108="","",IFERROR(INDEX(発注計算!$H$6:$H$405,MATCH(98,②発注数を決める!$Z$10:$Z$409,0)),""))</f>
        <v/>
      </c>
      <c r="J108" s="84" t="str">
        <f aca="false">IF($B108="","",N($H108)*N($I108))</f>
        <v/>
      </c>
    </row>
    <row r="109" customFormat="false" ht="15" hidden="false" customHeight="false" outlineLevel="0" collapsed="false">
      <c r="B109" s="81" t="str">
        <f aca="false">IF(99&lt;=MAX(②発注数を決める!$Z$10:$Z$409),99,"")</f>
        <v/>
      </c>
      <c r="C109" s="82" t="str">
        <f aca="false">IF($B109="","",IFERROR(INDEX(発注計算!$F$6:$F$405,MATCH(99,②発注数を決める!$Z$10:$Z$409,0)),""))</f>
        <v/>
      </c>
      <c r="D109" s="82" t="str">
        <f aca="false">IF($B109="","",IFERROR(INDEX(発注計算!$C$6:$C$405,MATCH(99,②発注数を決める!$Z$10:$Z$409,0))&amp;"",""))</f>
        <v/>
      </c>
      <c r="E109" s="82" t="str">
        <f aca="false">IF($B109="","",IFERROR(INDEX(②発注数を決める!$C$10:$C$409,MATCH(99,②発注数を決める!$Z$10:$Z$409,0))&amp;"",""))</f>
        <v/>
      </c>
      <c r="F109" s="82" t="str">
        <f aca="false">IF($B109="","",IFERROR(INDEX(商品マスタ!$J$6:$J$1005,MATCH($D109,商品マスタ!$B$6:$B$1005,0)),"ケース"))</f>
        <v/>
      </c>
      <c r="G109" s="81" t="str">
        <f aca="false">IF($B109="","",IFERROR(INDEX(発注計算!$G$6:$G$405,MATCH(99,②発注数を決める!$Z$10:$Z$409,0)),""))</f>
        <v/>
      </c>
      <c r="H109" s="83" t="str">
        <f aca="false">IF($B109="","",IFERROR(INDEX(②発注数を決める!$J$10:$J$409,MATCH(99,②発注数を決める!$Z$10:$Z$409,0)),""))</f>
        <v/>
      </c>
      <c r="I109" s="84" t="str">
        <f aca="false">IF($B109="","",IFERROR(INDEX(発注計算!$H$6:$H$405,MATCH(99,②発注数を決める!$Z$10:$Z$409,0)),""))</f>
        <v/>
      </c>
      <c r="J109" s="84" t="str">
        <f aca="false">IF($B109="","",N($H109)*N($I109))</f>
        <v/>
      </c>
    </row>
    <row r="110" customFormat="false" ht="15" hidden="false" customHeight="false" outlineLevel="0" collapsed="false">
      <c r="B110" s="81" t="str">
        <f aca="false">IF(100&lt;=MAX(②発注数を決める!$Z$10:$Z$409),100,"")</f>
        <v/>
      </c>
      <c r="C110" s="82" t="str">
        <f aca="false">IF($B110="","",IFERROR(INDEX(発注計算!$F$6:$F$405,MATCH(100,②発注数を決める!$Z$10:$Z$409,0)),""))</f>
        <v/>
      </c>
      <c r="D110" s="82" t="str">
        <f aca="false">IF($B110="","",IFERROR(INDEX(発注計算!$C$6:$C$405,MATCH(100,②発注数を決める!$Z$10:$Z$409,0))&amp;"",""))</f>
        <v/>
      </c>
      <c r="E110" s="82" t="str">
        <f aca="false">IF($B110="","",IFERROR(INDEX(②発注数を決める!$C$10:$C$409,MATCH(100,②発注数を決める!$Z$10:$Z$409,0))&amp;"",""))</f>
        <v/>
      </c>
      <c r="F110" s="82" t="str">
        <f aca="false">IF($B110="","",IFERROR(INDEX(商品マスタ!$J$6:$J$1005,MATCH($D110,商品マスタ!$B$6:$B$1005,0)),"ケース"))</f>
        <v/>
      </c>
      <c r="G110" s="81" t="str">
        <f aca="false">IF($B110="","",IFERROR(INDEX(発注計算!$G$6:$G$405,MATCH(100,②発注数を決める!$Z$10:$Z$409,0)),""))</f>
        <v/>
      </c>
      <c r="H110" s="83" t="str">
        <f aca="false">IF($B110="","",IFERROR(INDEX(②発注数を決める!$J$10:$J$409,MATCH(100,②発注数を決める!$Z$10:$Z$409,0)),""))</f>
        <v/>
      </c>
      <c r="I110" s="84" t="str">
        <f aca="false">IF($B110="","",IFERROR(INDEX(発注計算!$H$6:$H$405,MATCH(100,②発注数を決める!$Z$10:$Z$409,0)),""))</f>
        <v/>
      </c>
      <c r="J110" s="84" t="str">
        <f aca="false">IF($B110="","",N($H110)*N($I110))</f>
        <v/>
      </c>
    </row>
    <row r="111" customFormat="false" ht="15" hidden="false" customHeight="false" outlineLevel="0" collapsed="false">
      <c r="B111" s="85" t="s">
        <v>534</v>
      </c>
      <c r="C111" s="85"/>
      <c r="D111" s="85"/>
      <c r="E111" s="85"/>
      <c r="F111" s="85"/>
      <c r="G111" s="85"/>
      <c r="H111" s="85"/>
      <c r="I111" s="85"/>
      <c r="J111" s="86" t="n">
        <f aca="false">SUM(J11:J110)</f>
        <v>158719</v>
      </c>
    </row>
    <row r="113" customFormat="false" ht="15" hidden="false" customHeight="false" outlineLevel="0" collapsed="false">
      <c r="B113" s="31" t="s">
        <v>535</v>
      </c>
    </row>
    <row r="114" customFormat="false" ht="15" hidden="false" customHeight="false" outlineLevel="0" collapsed="false">
      <c r="B114" s="31" t="s">
        <v>536</v>
      </c>
    </row>
  </sheetData>
  <mergeCells count="5">
    <mergeCell ref="C5:F5"/>
    <mergeCell ref="C6:F6"/>
    <mergeCell ref="C7:F7"/>
    <mergeCell ref="C8:F8"/>
    <mergeCell ref="B111:I111"/>
  </mergeCells>
  <conditionalFormatting sqref="B11:J110">
    <cfRule type="expression" priority="2" aboveAverage="0" equalAverage="0" bottom="0" percent="0" rank="0" text="" dxfId="15">
      <formula>$B11&lt;&gt;""</formula>
    </cfRule>
  </conditionalFormatting>
  <dataValidations count="1">
    <dataValidation allowBlank="true" errorStyle="stop" operator="between" showDropDown="false" showErrorMessage="false" showInputMessage="false" sqref="C5" type="list">
      <formula1>③発注書!$N$5:$N$14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U100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0"/>
    <col collapsed="false" customWidth="true" hidden="false" outlineLevel="0" max="5" min="5" style="0" width="26"/>
    <col collapsed="false" customWidth="true" hidden="false" outlineLevel="0" max="9" min="8" style="0" width="16"/>
    <col collapsed="false" customWidth="true" hidden="false" outlineLevel="0" max="10" min="10" style="0" width="30"/>
    <col collapsed="false" customWidth="true" hidden="false" outlineLevel="0" max="21" min="21" style="0" width="11"/>
  </cols>
  <sheetData>
    <row r="2" customFormat="false" ht="24" hidden="false" customHeight="true" outlineLevel="0" collapsed="false">
      <c r="B2" s="1" t="s">
        <v>537</v>
      </c>
      <c r="H2" s="49" t="str">
        <f aca="false">IF(COUNTIF($B$6:$B$10005,'設定（最初に1回）'!$C$4)=0,"✖ まだ貼れていません","✔ "&amp;COUNTIF($B$6:$B$10005,'設定（最初に1回）'!$C$4)&amp;"行 読み込めました")</f>
        <v>✔ 134行 読み込めました</v>
      </c>
    </row>
    <row r="3" customFormat="false" ht="15" hidden="false" customHeight="false" outlineLevel="0" collapsed="false">
      <c r="B3" s="31" t="s">
        <v>538</v>
      </c>
      <c r="H3" s="31" t="str">
        <f aca="false">IF(COUNTIF($B$6:$B$10005,'設定（最初に1回）'!$C$4)=0,"CSVの見出し行を除いたデータを A6 セルに貼り付けてください。貼ったのに0のままなら、劇場コードが数値になっています。","対象劇場：" &amp; '設定（最初に1回）'!$C$4 &amp; "　" &amp; '設定（最初に1回）'!$C$5)</f>
        <v>対象劇場：0761　新宿</v>
      </c>
    </row>
    <row r="4" customFormat="false" ht="15" hidden="false" customHeight="false" outlineLevel="0" collapsed="false">
      <c r="B4" s="5" t="s">
        <v>539</v>
      </c>
    </row>
    <row r="5" customFormat="false" ht="26.85" hidden="false" customHeight="false" outlineLevel="0" collapsed="false">
      <c r="A5" s="51" t="s">
        <v>151</v>
      </c>
      <c r="B5" s="51" t="s">
        <v>152</v>
      </c>
      <c r="C5" s="51" t="s">
        <v>153</v>
      </c>
      <c r="D5" s="51" t="s">
        <v>154</v>
      </c>
      <c r="E5" s="51" t="s">
        <v>155</v>
      </c>
      <c r="F5" s="51" t="s">
        <v>156</v>
      </c>
      <c r="G5" s="51" t="s">
        <v>157</v>
      </c>
      <c r="H5" s="51" t="s">
        <v>158</v>
      </c>
      <c r="I5" s="51" t="s">
        <v>159</v>
      </c>
      <c r="J5" s="51" t="s">
        <v>160</v>
      </c>
      <c r="K5" s="51" t="s">
        <v>161</v>
      </c>
      <c r="L5" s="51" t="s">
        <v>162</v>
      </c>
      <c r="M5" s="51" t="s">
        <v>163</v>
      </c>
      <c r="N5" s="51" t="s">
        <v>164</v>
      </c>
      <c r="O5" s="51" t="s">
        <v>165</v>
      </c>
      <c r="P5" s="51" t="s">
        <v>166</v>
      </c>
      <c r="Q5" s="51" t="s">
        <v>167</v>
      </c>
      <c r="R5" s="51" t="s">
        <v>168</v>
      </c>
      <c r="S5" s="51" t="s">
        <v>169</v>
      </c>
      <c r="U5" s="52" t="s">
        <v>170</v>
      </c>
    </row>
    <row r="6" customFormat="false" ht="15" hidden="false" customHeight="false" outlineLevel="0" collapsed="false">
      <c r="A6" s="0" t="n">
        <v>20260301</v>
      </c>
      <c r="B6" s="53" t="s">
        <v>171</v>
      </c>
      <c r="C6" s="54" t="s">
        <v>172</v>
      </c>
      <c r="D6" s="55" t="s">
        <v>173</v>
      </c>
      <c r="E6" s="54" t="s">
        <v>174</v>
      </c>
      <c r="F6" s="55" t="s">
        <v>175</v>
      </c>
      <c r="G6" s="55" t="s">
        <v>176</v>
      </c>
      <c r="H6" s="54" t="s">
        <v>177</v>
      </c>
      <c r="I6" s="53" t="s">
        <v>178</v>
      </c>
      <c r="J6" s="54" t="s">
        <v>179</v>
      </c>
      <c r="K6" s="0" t="n">
        <v>1</v>
      </c>
      <c r="L6" s="0" t="n">
        <v>108</v>
      </c>
      <c r="M6" s="0" t="n">
        <v>0</v>
      </c>
      <c r="N6" s="0" t="n">
        <v>108</v>
      </c>
      <c r="P6" s="0" t="n">
        <v>0</v>
      </c>
      <c r="Q6" s="0" t="n">
        <v>11300</v>
      </c>
      <c r="R6" s="54" t="s">
        <v>180</v>
      </c>
      <c r="S6" s="0" t="n">
        <v>0.1</v>
      </c>
      <c r="U6" s="31" t="n">
        <f aca="false">IF($B6&lt;&gt;'設定（最初に1回）'!$C$4,N(U5),IF(COUNTIFS(①今日の在庫を貼る!$B$6:$B$10005,$B6,①今日の在庫を貼る!$I$6:$I$10005,$I6)&gt;0,N(U5),N(U5)+1))</f>
        <v>0</v>
      </c>
    </row>
    <row r="7" customFormat="false" ht="15" hidden="false" customHeight="false" outlineLevel="0" collapsed="false">
      <c r="A7" s="0" t="n">
        <v>20260301</v>
      </c>
      <c r="B7" s="53" t="s">
        <v>171</v>
      </c>
      <c r="C7" s="54" t="s">
        <v>172</v>
      </c>
      <c r="D7" s="55" t="s">
        <v>173</v>
      </c>
      <c r="E7" s="54" t="s">
        <v>174</v>
      </c>
      <c r="F7" s="55" t="s">
        <v>175</v>
      </c>
      <c r="G7" s="55" t="s">
        <v>176</v>
      </c>
      <c r="H7" s="54" t="s">
        <v>177</v>
      </c>
      <c r="I7" s="53" t="s">
        <v>181</v>
      </c>
      <c r="J7" s="54" t="s">
        <v>182</v>
      </c>
      <c r="K7" s="0" t="n">
        <v>24</v>
      </c>
      <c r="L7" s="0" t="n">
        <v>0</v>
      </c>
      <c r="M7" s="0" t="n">
        <v>2</v>
      </c>
      <c r="N7" s="0" t="n">
        <v>2</v>
      </c>
      <c r="P7" s="0" t="n">
        <v>0</v>
      </c>
      <c r="Q7" s="0" t="n">
        <v>587</v>
      </c>
      <c r="R7" s="54" t="s">
        <v>180</v>
      </c>
      <c r="S7" s="0" t="n">
        <v>0.1</v>
      </c>
      <c r="U7" s="31" t="n">
        <f aca="false">IF($B7&lt;&gt;'設定（最初に1回）'!$C$4,N(U6),IF(COUNTIFS(①今日の在庫を貼る!$B$6:$B$10005,$B7,①今日の在庫を貼る!$I$6:$I$10005,$I7)&gt;0,N(U6),N(U6)+1))</f>
        <v>0</v>
      </c>
    </row>
    <row r="8" customFormat="false" ht="15" hidden="false" customHeight="false" outlineLevel="0" collapsed="false">
      <c r="A8" s="0" t="n">
        <v>20260301</v>
      </c>
      <c r="B8" s="53" t="s">
        <v>171</v>
      </c>
      <c r="C8" s="54" t="s">
        <v>172</v>
      </c>
      <c r="D8" s="55" t="s">
        <v>173</v>
      </c>
      <c r="E8" s="54" t="s">
        <v>174</v>
      </c>
      <c r="F8" s="55" t="s">
        <v>175</v>
      </c>
      <c r="G8" s="55" t="s">
        <v>176</v>
      </c>
      <c r="H8" s="54" t="s">
        <v>177</v>
      </c>
      <c r="I8" s="53" t="s">
        <v>183</v>
      </c>
      <c r="J8" s="54" t="s">
        <v>184</v>
      </c>
      <c r="K8" s="0" t="n">
        <v>48</v>
      </c>
      <c r="L8" s="0" t="n">
        <v>1</v>
      </c>
      <c r="M8" s="0" t="n">
        <v>6</v>
      </c>
      <c r="N8" s="0" t="n">
        <v>54</v>
      </c>
      <c r="P8" s="0" t="n">
        <v>0</v>
      </c>
      <c r="Q8" s="0" t="n">
        <v>357</v>
      </c>
      <c r="R8" s="54" t="s">
        <v>180</v>
      </c>
      <c r="S8" s="0" t="n">
        <v>0.1</v>
      </c>
      <c r="U8" s="31" t="n">
        <f aca="false">IF($B8&lt;&gt;'設定（最初に1回）'!$C$4,N(U7),IF(COUNTIFS(①今日の在庫を貼る!$B$6:$B$10005,$B8,①今日の在庫を貼る!$I$6:$I$10005,$I8)&gt;0,N(U7),N(U7)+1))</f>
        <v>0</v>
      </c>
    </row>
    <row r="9" customFormat="false" ht="15" hidden="false" customHeight="false" outlineLevel="0" collapsed="false">
      <c r="A9" s="0" t="n">
        <v>20260301</v>
      </c>
      <c r="B9" s="53" t="s">
        <v>171</v>
      </c>
      <c r="C9" s="54" t="s">
        <v>172</v>
      </c>
      <c r="D9" s="55" t="s">
        <v>173</v>
      </c>
      <c r="E9" s="54" t="s">
        <v>174</v>
      </c>
      <c r="F9" s="55" t="s">
        <v>175</v>
      </c>
      <c r="G9" s="55" t="s">
        <v>176</v>
      </c>
      <c r="H9" s="54" t="s">
        <v>177</v>
      </c>
      <c r="I9" s="53" t="s">
        <v>185</v>
      </c>
      <c r="J9" s="54" t="s">
        <v>186</v>
      </c>
      <c r="K9" s="0" t="n">
        <v>48</v>
      </c>
      <c r="L9" s="0" t="n">
        <v>1</v>
      </c>
      <c r="M9" s="0" t="n">
        <v>33</v>
      </c>
      <c r="N9" s="0" t="n">
        <v>81</v>
      </c>
      <c r="P9" s="0" t="n">
        <v>0</v>
      </c>
      <c r="Q9" s="0" t="n">
        <v>357</v>
      </c>
      <c r="R9" s="54" t="s">
        <v>180</v>
      </c>
      <c r="S9" s="0" t="n">
        <v>0.1</v>
      </c>
      <c r="U9" s="31" t="n">
        <f aca="false">IF($B9&lt;&gt;'設定（最初に1回）'!$C$4,N(U8),IF(COUNTIFS(①今日の在庫を貼る!$B$6:$B$10005,$B9,①今日の在庫を貼る!$I$6:$I$10005,$I9)&gt;0,N(U8),N(U8)+1))</f>
        <v>0</v>
      </c>
    </row>
    <row r="10" customFormat="false" ht="15" hidden="false" customHeight="false" outlineLevel="0" collapsed="false">
      <c r="A10" s="0" t="n">
        <v>20260301</v>
      </c>
      <c r="B10" s="53" t="s">
        <v>171</v>
      </c>
      <c r="C10" s="54" t="s">
        <v>172</v>
      </c>
      <c r="D10" s="55" t="s">
        <v>173</v>
      </c>
      <c r="E10" s="54" t="s">
        <v>174</v>
      </c>
      <c r="F10" s="55" t="s">
        <v>175</v>
      </c>
      <c r="G10" s="55" t="s">
        <v>176</v>
      </c>
      <c r="H10" s="54" t="s">
        <v>177</v>
      </c>
      <c r="I10" s="53" t="s">
        <v>187</v>
      </c>
      <c r="J10" s="54" t="s">
        <v>188</v>
      </c>
      <c r="K10" s="0" t="n">
        <v>24</v>
      </c>
      <c r="L10" s="0" t="n">
        <v>11</v>
      </c>
      <c r="M10" s="0" t="n">
        <v>5</v>
      </c>
      <c r="N10" s="0" t="n">
        <v>269</v>
      </c>
      <c r="P10" s="0" t="n">
        <v>0</v>
      </c>
      <c r="Q10" s="0" t="n">
        <v>585</v>
      </c>
      <c r="R10" s="54" t="s">
        <v>180</v>
      </c>
      <c r="S10" s="0" t="n">
        <v>0.1</v>
      </c>
      <c r="U10" s="31" t="n">
        <f aca="false">IF($B10&lt;&gt;'設定（最初に1回）'!$C$4,N(U9),IF(COUNTIFS(①今日の在庫を貼る!$B$6:$B$10005,$B10,①今日の在庫を貼る!$I$6:$I$10005,$I10)&gt;0,N(U9),N(U9)+1))</f>
        <v>0</v>
      </c>
    </row>
    <row r="11" customFormat="false" ht="15" hidden="false" customHeight="false" outlineLevel="0" collapsed="false">
      <c r="A11" s="0" t="n">
        <v>20260301</v>
      </c>
      <c r="B11" s="53" t="s">
        <v>171</v>
      </c>
      <c r="C11" s="54" t="s">
        <v>172</v>
      </c>
      <c r="D11" s="55" t="s">
        <v>173</v>
      </c>
      <c r="E11" s="54" t="s">
        <v>174</v>
      </c>
      <c r="F11" s="55" t="s">
        <v>175</v>
      </c>
      <c r="G11" s="55" t="s">
        <v>176</v>
      </c>
      <c r="H11" s="54" t="s">
        <v>177</v>
      </c>
      <c r="I11" s="53" t="s">
        <v>189</v>
      </c>
      <c r="J11" s="54" t="s">
        <v>190</v>
      </c>
      <c r="K11" s="0" t="n">
        <v>30</v>
      </c>
      <c r="L11" s="0" t="n">
        <v>40</v>
      </c>
      <c r="M11" s="0" t="n">
        <v>25</v>
      </c>
      <c r="N11" s="0" t="n">
        <v>1225</v>
      </c>
      <c r="P11" s="0" t="n">
        <v>0</v>
      </c>
      <c r="Q11" s="0" t="n">
        <v>118</v>
      </c>
      <c r="R11" s="54" t="s">
        <v>180</v>
      </c>
      <c r="S11" s="0" t="n">
        <v>0.1</v>
      </c>
      <c r="U11" s="31" t="n">
        <f aca="false">IF($B11&lt;&gt;'設定（最初に1回）'!$C$4,N(U10),IF(COUNTIFS(①今日の在庫を貼る!$B$6:$B$10005,$B11,①今日の在庫を貼る!$I$6:$I$10005,$I11)&gt;0,N(U10),N(U10)+1))</f>
        <v>0</v>
      </c>
    </row>
    <row r="12" customFormat="false" ht="15" hidden="false" customHeight="false" outlineLevel="0" collapsed="false">
      <c r="A12" s="0" t="n">
        <v>20260301</v>
      </c>
      <c r="B12" s="53" t="s">
        <v>171</v>
      </c>
      <c r="C12" s="54" t="s">
        <v>172</v>
      </c>
      <c r="D12" s="55" t="s">
        <v>191</v>
      </c>
      <c r="E12" s="54" t="s">
        <v>192</v>
      </c>
      <c r="F12" s="55" t="s">
        <v>175</v>
      </c>
      <c r="G12" s="55" t="s">
        <v>175</v>
      </c>
      <c r="H12" s="54" t="s">
        <v>193</v>
      </c>
      <c r="I12" s="53" t="s">
        <v>194</v>
      </c>
      <c r="J12" s="54" t="s">
        <v>195</v>
      </c>
      <c r="K12" s="0" t="n">
        <v>1</v>
      </c>
      <c r="L12" s="0" t="n">
        <v>98</v>
      </c>
      <c r="M12" s="0" t="n">
        <v>0</v>
      </c>
      <c r="N12" s="0" t="n">
        <v>98</v>
      </c>
      <c r="P12" s="0" t="n">
        <v>0</v>
      </c>
      <c r="Q12" s="0" t="n">
        <v>3756</v>
      </c>
      <c r="R12" s="54" t="s">
        <v>180</v>
      </c>
      <c r="S12" s="0" t="n">
        <v>0.08</v>
      </c>
      <c r="U12" s="31" t="n">
        <f aca="false">IF($B12&lt;&gt;'設定（最初に1回）'!$C$4,N(U11),IF(COUNTIFS(①今日の在庫を貼る!$B$6:$B$10005,$B12,①今日の在庫を貼る!$I$6:$I$10005,$I12)&gt;0,N(U11),N(U11)+1))</f>
        <v>0</v>
      </c>
    </row>
    <row r="13" customFormat="false" ht="15" hidden="false" customHeight="false" outlineLevel="0" collapsed="false">
      <c r="A13" s="0" t="n">
        <v>20260301</v>
      </c>
      <c r="B13" s="53" t="s">
        <v>171</v>
      </c>
      <c r="C13" s="54" t="s">
        <v>172</v>
      </c>
      <c r="D13" s="55" t="s">
        <v>191</v>
      </c>
      <c r="E13" s="54" t="s">
        <v>192</v>
      </c>
      <c r="F13" s="55" t="s">
        <v>175</v>
      </c>
      <c r="G13" s="55" t="s">
        <v>175</v>
      </c>
      <c r="H13" s="54" t="s">
        <v>193</v>
      </c>
      <c r="I13" s="53" t="s">
        <v>196</v>
      </c>
      <c r="J13" s="54" t="s">
        <v>197</v>
      </c>
      <c r="K13" s="0" t="n">
        <v>1</v>
      </c>
      <c r="L13" s="0" t="n">
        <v>70</v>
      </c>
      <c r="M13" s="0" t="n">
        <v>0</v>
      </c>
      <c r="N13" s="0" t="n">
        <v>70</v>
      </c>
      <c r="P13" s="0" t="n">
        <v>0</v>
      </c>
      <c r="Q13" s="0" t="n">
        <v>4382</v>
      </c>
      <c r="R13" s="54" t="s">
        <v>180</v>
      </c>
      <c r="S13" s="0" t="n">
        <v>0.08</v>
      </c>
      <c r="U13" s="31" t="n">
        <f aca="false">IF($B13&lt;&gt;'設定（最初に1回）'!$C$4,N(U12),IF(COUNTIFS(①今日の在庫を貼る!$B$6:$B$10005,$B13,①今日の在庫を貼る!$I$6:$I$10005,$I13)&gt;0,N(U12),N(U12)+1))</f>
        <v>0</v>
      </c>
    </row>
    <row r="14" customFormat="false" ht="15" hidden="false" customHeight="false" outlineLevel="0" collapsed="false">
      <c r="A14" s="0" t="n">
        <v>20260301</v>
      </c>
      <c r="B14" s="53" t="s">
        <v>171</v>
      </c>
      <c r="C14" s="54" t="s">
        <v>172</v>
      </c>
      <c r="D14" s="55" t="s">
        <v>191</v>
      </c>
      <c r="E14" s="54" t="s">
        <v>192</v>
      </c>
      <c r="F14" s="55" t="s">
        <v>175</v>
      </c>
      <c r="G14" s="55" t="s">
        <v>175</v>
      </c>
      <c r="H14" s="54" t="s">
        <v>193</v>
      </c>
      <c r="I14" s="53" t="s">
        <v>198</v>
      </c>
      <c r="J14" s="54" t="s">
        <v>199</v>
      </c>
      <c r="K14" s="0" t="n">
        <v>1</v>
      </c>
      <c r="L14" s="0" t="n">
        <v>2</v>
      </c>
      <c r="M14" s="0" t="n">
        <v>0</v>
      </c>
      <c r="N14" s="0" t="n">
        <v>2</v>
      </c>
      <c r="P14" s="0" t="n">
        <v>0</v>
      </c>
      <c r="Q14" s="0" t="n">
        <v>2890</v>
      </c>
      <c r="R14" s="54" t="s">
        <v>180</v>
      </c>
      <c r="S14" s="0" t="n">
        <v>0.08</v>
      </c>
      <c r="U14" s="31" t="n">
        <f aca="false">IF($B14&lt;&gt;'設定（最初に1回）'!$C$4,N(U13),IF(COUNTIFS(①今日の在庫を貼る!$B$6:$B$10005,$B14,①今日の在庫を貼る!$I$6:$I$10005,$I14)&gt;0,N(U13),N(U13)+1))</f>
        <v>0</v>
      </c>
    </row>
    <row r="15" customFormat="false" ht="15" hidden="false" customHeight="false" outlineLevel="0" collapsed="false">
      <c r="A15" s="0" t="n">
        <v>20260301</v>
      </c>
      <c r="B15" s="53" t="s">
        <v>171</v>
      </c>
      <c r="C15" s="54" t="s">
        <v>172</v>
      </c>
      <c r="D15" s="55" t="s">
        <v>191</v>
      </c>
      <c r="E15" s="54" t="s">
        <v>192</v>
      </c>
      <c r="F15" s="55" t="s">
        <v>175</v>
      </c>
      <c r="G15" s="55" t="s">
        <v>175</v>
      </c>
      <c r="H15" s="54" t="s">
        <v>193</v>
      </c>
      <c r="I15" s="53" t="s">
        <v>200</v>
      </c>
      <c r="J15" s="54" t="s">
        <v>201</v>
      </c>
      <c r="K15" s="0" t="n">
        <v>1</v>
      </c>
      <c r="L15" s="0" t="n">
        <v>4</v>
      </c>
      <c r="M15" s="0" t="n">
        <v>0</v>
      </c>
      <c r="N15" s="0" t="n">
        <v>4</v>
      </c>
      <c r="P15" s="0" t="n">
        <v>0</v>
      </c>
      <c r="Q15" s="0" t="n">
        <v>3636</v>
      </c>
      <c r="R15" s="54" t="s">
        <v>180</v>
      </c>
      <c r="S15" s="0" t="n">
        <v>0.08</v>
      </c>
      <c r="U15" s="31" t="n">
        <f aca="false">IF($B15&lt;&gt;'設定（最初に1回）'!$C$4,N(U14),IF(COUNTIFS(①今日の在庫を貼る!$B$6:$B$10005,$B15,①今日の在庫を貼る!$I$6:$I$10005,$I15)&gt;0,N(U14),N(U14)+1))</f>
        <v>0</v>
      </c>
    </row>
    <row r="16" customFormat="false" ht="15" hidden="false" customHeight="false" outlineLevel="0" collapsed="false">
      <c r="A16" s="0" t="n">
        <v>20260301</v>
      </c>
      <c r="B16" s="53" t="s">
        <v>171</v>
      </c>
      <c r="C16" s="54" t="s">
        <v>172</v>
      </c>
      <c r="D16" s="55" t="s">
        <v>191</v>
      </c>
      <c r="E16" s="54" t="s">
        <v>192</v>
      </c>
      <c r="F16" s="55" t="s">
        <v>175</v>
      </c>
      <c r="G16" s="55" t="s">
        <v>175</v>
      </c>
      <c r="H16" s="54" t="s">
        <v>193</v>
      </c>
      <c r="I16" s="53" t="s">
        <v>202</v>
      </c>
      <c r="J16" s="54" t="s">
        <v>203</v>
      </c>
      <c r="K16" s="0" t="n">
        <v>1</v>
      </c>
      <c r="L16" s="0" t="n">
        <v>178</v>
      </c>
      <c r="M16" s="0" t="n">
        <v>0</v>
      </c>
      <c r="N16" s="0" t="n">
        <v>178</v>
      </c>
      <c r="P16" s="0" t="n">
        <v>0</v>
      </c>
      <c r="Q16" s="0" t="n">
        <v>3756</v>
      </c>
      <c r="R16" s="54" t="s">
        <v>180</v>
      </c>
      <c r="S16" s="0" t="n">
        <v>0.08</v>
      </c>
      <c r="U16" s="31" t="n">
        <f aca="false">IF($B16&lt;&gt;'設定（最初に1回）'!$C$4,N(U15),IF(COUNTIFS(①今日の在庫を貼る!$B$6:$B$10005,$B16,①今日の在庫を貼る!$I$6:$I$10005,$I16)&gt;0,N(U15),N(U15)+1))</f>
        <v>0</v>
      </c>
    </row>
    <row r="17" customFormat="false" ht="15" hidden="false" customHeight="false" outlineLevel="0" collapsed="false">
      <c r="A17" s="0" t="n">
        <v>20260301</v>
      </c>
      <c r="B17" s="53" t="s">
        <v>171</v>
      </c>
      <c r="C17" s="54" t="s">
        <v>172</v>
      </c>
      <c r="D17" s="55" t="s">
        <v>191</v>
      </c>
      <c r="E17" s="54" t="s">
        <v>192</v>
      </c>
      <c r="F17" s="55" t="s">
        <v>175</v>
      </c>
      <c r="G17" s="55" t="s">
        <v>175</v>
      </c>
      <c r="H17" s="54" t="s">
        <v>193</v>
      </c>
      <c r="I17" s="53" t="s">
        <v>204</v>
      </c>
      <c r="J17" s="54" t="s">
        <v>205</v>
      </c>
      <c r="K17" s="0" t="n">
        <v>1</v>
      </c>
      <c r="L17" s="0" t="n">
        <v>125</v>
      </c>
      <c r="M17" s="0" t="n">
        <v>0</v>
      </c>
      <c r="N17" s="0" t="n">
        <v>125</v>
      </c>
      <c r="P17" s="0" t="n">
        <v>0</v>
      </c>
      <c r="Q17" s="0" t="n">
        <v>7510</v>
      </c>
      <c r="R17" s="54" t="s">
        <v>180</v>
      </c>
      <c r="S17" s="0" t="n">
        <v>0.08</v>
      </c>
      <c r="U17" s="31" t="n">
        <f aca="false">IF($B17&lt;&gt;'設定（最初に1回）'!$C$4,N(U16),IF(COUNTIFS(①今日の在庫を貼る!$B$6:$B$10005,$B17,①今日の在庫を貼る!$I$6:$I$10005,$I17)&gt;0,N(U16),N(U16)+1))</f>
        <v>0</v>
      </c>
    </row>
    <row r="18" customFormat="false" ht="15" hidden="false" customHeight="false" outlineLevel="0" collapsed="false">
      <c r="A18" s="0" t="n">
        <v>20260301</v>
      </c>
      <c r="B18" s="53" t="s">
        <v>171</v>
      </c>
      <c r="C18" s="54" t="s">
        <v>172</v>
      </c>
      <c r="D18" s="55" t="s">
        <v>191</v>
      </c>
      <c r="E18" s="54" t="s">
        <v>192</v>
      </c>
      <c r="F18" s="55" t="s">
        <v>175</v>
      </c>
      <c r="G18" s="55" t="s">
        <v>175</v>
      </c>
      <c r="H18" s="54" t="s">
        <v>193</v>
      </c>
      <c r="I18" s="53" t="s">
        <v>206</v>
      </c>
      <c r="J18" s="54" t="s">
        <v>207</v>
      </c>
      <c r="K18" s="0" t="n">
        <v>1</v>
      </c>
      <c r="L18" s="0" t="n">
        <v>291</v>
      </c>
      <c r="M18" s="0" t="n">
        <v>0</v>
      </c>
      <c r="N18" s="0" t="n">
        <v>291</v>
      </c>
      <c r="P18" s="0" t="n">
        <v>0</v>
      </c>
      <c r="Q18" s="0" t="n">
        <v>8136</v>
      </c>
      <c r="R18" s="54" t="s">
        <v>180</v>
      </c>
      <c r="S18" s="0" t="n">
        <v>0.08</v>
      </c>
      <c r="U18" s="31" t="n">
        <f aca="false">IF($B18&lt;&gt;'設定（最初に1回）'!$C$4,N(U17),IF(COUNTIFS(①今日の在庫を貼る!$B$6:$B$10005,$B18,①今日の在庫を貼る!$I$6:$I$10005,$I18)&gt;0,N(U17),N(U17)+1))</f>
        <v>0</v>
      </c>
    </row>
    <row r="19" customFormat="false" ht="15" hidden="false" customHeight="false" outlineLevel="0" collapsed="false">
      <c r="A19" s="0" t="n">
        <v>20260301</v>
      </c>
      <c r="B19" s="53" t="s">
        <v>171</v>
      </c>
      <c r="C19" s="54" t="s">
        <v>172</v>
      </c>
      <c r="D19" s="55" t="s">
        <v>191</v>
      </c>
      <c r="E19" s="54" t="s">
        <v>192</v>
      </c>
      <c r="F19" s="55" t="s">
        <v>175</v>
      </c>
      <c r="G19" s="55" t="s">
        <v>175</v>
      </c>
      <c r="H19" s="54" t="s">
        <v>193</v>
      </c>
      <c r="I19" s="53" t="s">
        <v>208</v>
      </c>
      <c r="J19" s="54" t="s">
        <v>209</v>
      </c>
      <c r="K19" s="0" t="n">
        <v>1</v>
      </c>
      <c r="L19" s="0" t="n">
        <v>94</v>
      </c>
      <c r="M19" s="0" t="n">
        <v>0</v>
      </c>
      <c r="N19" s="0" t="n">
        <v>94</v>
      </c>
      <c r="P19" s="0" t="n">
        <v>0</v>
      </c>
      <c r="Q19" s="0" t="n">
        <v>8136</v>
      </c>
      <c r="R19" s="54" t="s">
        <v>180</v>
      </c>
      <c r="S19" s="0" t="n">
        <v>0.08</v>
      </c>
      <c r="U19" s="31" t="n">
        <f aca="false">IF($B19&lt;&gt;'設定（最初に1回）'!$C$4,N(U18),IF(COUNTIFS(①今日の在庫を貼る!$B$6:$B$10005,$B19,①今日の在庫を貼る!$I$6:$I$10005,$I19)&gt;0,N(U18),N(U18)+1))</f>
        <v>0</v>
      </c>
    </row>
    <row r="20" customFormat="false" ht="15" hidden="false" customHeight="false" outlineLevel="0" collapsed="false">
      <c r="A20" s="0" t="n">
        <v>20260301</v>
      </c>
      <c r="B20" s="53" t="s">
        <v>171</v>
      </c>
      <c r="C20" s="54" t="s">
        <v>172</v>
      </c>
      <c r="D20" s="55" t="s">
        <v>191</v>
      </c>
      <c r="E20" s="54" t="s">
        <v>192</v>
      </c>
      <c r="F20" s="55" t="s">
        <v>175</v>
      </c>
      <c r="G20" s="55" t="s">
        <v>175</v>
      </c>
      <c r="H20" s="54" t="s">
        <v>193</v>
      </c>
      <c r="I20" s="53" t="s">
        <v>210</v>
      </c>
      <c r="J20" s="54" t="s">
        <v>211</v>
      </c>
      <c r="K20" s="0" t="n">
        <v>1</v>
      </c>
      <c r="L20" s="0" t="n">
        <v>88</v>
      </c>
      <c r="M20" s="0" t="n">
        <v>0</v>
      </c>
      <c r="N20" s="0" t="n">
        <v>88</v>
      </c>
      <c r="P20" s="0" t="n">
        <v>0</v>
      </c>
      <c r="Q20" s="0" t="n">
        <v>8136</v>
      </c>
      <c r="R20" s="54" t="s">
        <v>180</v>
      </c>
      <c r="S20" s="0" t="n">
        <v>0.08</v>
      </c>
      <c r="U20" s="31" t="n">
        <f aca="false">IF($B20&lt;&gt;'設定（最初に1回）'!$C$4,N(U19),IF(COUNTIFS(①今日の在庫を貼る!$B$6:$B$10005,$B20,①今日の在庫を貼る!$I$6:$I$10005,$I20)&gt;0,N(U19),N(U19)+1))</f>
        <v>0</v>
      </c>
    </row>
    <row r="21" customFormat="false" ht="15" hidden="false" customHeight="false" outlineLevel="0" collapsed="false">
      <c r="A21" s="0" t="n">
        <v>20260301</v>
      </c>
      <c r="B21" s="53" t="s">
        <v>171</v>
      </c>
      <c r="C21" s="54" t="s">
        <v>172</v>
      </c>
      <c r="D21" s="55" t="s">
        <v>191</v>
      </c>
      <c r="E21" s="54" t="s">
        <v>192</v>
      </c>
      <c r="F21" s="55" t="s">
        <v>175</v>
      </c>
      <c r="G21" s="55" t="s">
        <v>175</v>
      </c>
      <c r="H21" s="54" t="s">
        <v>193</v>
      </c>
      <c r="I21" s="53" t="s">
        <v>212</v>
      </c>
      <c r="J21" s="54" t="s">
        <v>213</v>
      </c>
      <c r="K21" s="0" t="n">
        <v>1</v>
      </c>
      <c r="L21" s="0" t="n">
        <v>93</v>
      </c>
      <c r="M21" s="0" t="n">
        <v>0</v>
      </c>
      <c r="N21" s="0" t="n">
        <v>93</v>
      </c>
      <c r="P21" s="0" t="n">
        <v>0</v>
      </c>
      <c r="Q21" s="0" t="n">
        <v>8136</v>
      </c>
      <c r="R21" s="54" t="s">
        <v>180</v>
      </c>
      <c r="S21" s="0" t="n">
        <v>0.08</v>
      </c>
      <c r="U21" s="31" t="n">
        <f aca="false">IF($B21&lt;&gt;'設定（最初に1回）'!$C$4,N(U20),IF(COUNTIFS(①今日の在庫を貼る!$B$6:$B$10005,$B21,①今日の在庫を貼る!$I$6:$I$10005,$I21)&gt;0,N(U20),N(U20)+1))</f>
        <v>0</v>
      </c>
    </row>
    <row r="22" customFormat="false" ht="15" hidden="false" customHeight="false" outlineLevel="0" collapsed="false">
      <c r="A22" s="0" t="n">
        <v>20260301</v>
      </c>
      <c r="B22" s="53" t="s">
        <v>171</v>
      </c>
      <c r="C22" s="54" t="s">
        <v>172</v>
      </c>
      <c r="D22" s="55" t="s">
        <v>191</v>
      </c>
      <c r="E22" s="54" t="s">
        <v>192</v>
      </c>
      <c r="F22" s="55" t="s">
        <v>175</v>
      </c>
      <c r="G22" s="55" t="s">
        <v>175</v>
      </c>
      <c r="H22" s="54" t="s">
        <v>193</v>
      </c>
      <c r="I22" s="53" t="s">
        <v>214</v>
      </c>
      <c r="J22" s="54" t="s">
        <v>215</v>
      </c>
      <c r="K22" s="0" t="n">
        <v>1</v>
      </c>
      <c r="L22" s="0" t="n">
        <v>39</v>
      </c>
      <c r="M22" s="0" t="n">
        <v>0</v>
      </c>
      <c r="N22" s="0" t="n">
        <v>39</v>
      </c>
      <c r="P22" s="0" t="n">
        <v>0</v>
      </c>
      <c r="Q22" s="0" t="n">
        <v>8638</v>
      </c>
      <c r="R22" s="54" t="s">
        <v>180</v>
      </c>
      <c r="S22" s="0" t="n">
        <v>0.08</v>
      </c>
      <c r="U22" s="31" t="n">
        <f aca="false">IF($B22&lt;&gt;'設定（最初に1回）'!$C$4,N(U21),IF(COUNTIFS(①今日の在庫を貼る!$B$6:$B$10005,$B22,①今日の在庫を貼る!$I$6:$I$10005,$I22)&gt;0,N(U21),N(U21)+1))</f>
        <v>0</v>
      </c>
    </row>
    <row r="23" customFormat="false" ht="15" hidden="false" customHeight="false" outlineLevel="0" collapsed="false">
      <c r="A23" s="0" t="n">
        <v>20260301</v>
      </c>
      <c r="B23" s="53" t="s">
        <v>171</v>
      </c>
      <c r="C23" s="54" t="s">
        <v>172</v>
      </c>
      <c r="D23" s="55" t="s">
        <v>191</v>
      </c>
      <c r="E23" s="54" t="s">
        <v>192</v>
      </c>
      <c r="F23" s="55" t="s">
        <v>175</v>
      </c>
      <c r="G23" s="55" t="s">
        <v>216</v>
      </c>
      <c r="H23" s="54" t="s">
        <v>217</v>
      </c>
      <c r="I23" s="53" t="s">
        <v>218</v>
      </c>
      <c r="J23" s="54" t="s">
        <v>219</v>
      </c>
      <c r="K23" s="0" t="n">
        <v>10</v>
      </c>
      <c r="L23" s="0" t="n">
        <v>24</v>
      </c>
      <c r="M23" s="0" t="n">
        <v>3</v>
      </c>
      <c r="N23" s="0" t="n">
        <v>243</v>
      </c>
      <c r="P23" s="0" t="n">
        <v>0</v>
      </c>
      <c r="Q23" s="0" t="n">
        <v>4503.2</v>
      </c>
      <c r="R23" s="54" t="s">
        <v>180</v>
      </c>
      <c r="S23" s="0" t="n">
        <v>0.08</v>
      </c>
      <c r="U23" s="31" t="n">
        <f aca="false">IF($B23&lt;&gt;'設定（最初に1回）'!$C$4,N(U22),IF(COUNTIFS(①今日の在庫を貼る!$B$6:$B$10005,$B23,①今日の在庫を貼る!$I$6:$I$10005,$I23)&gt;0,N(U22),N(U22)+1))</f>
        <v>0</v>
      </c>
    </row>
    <row r="24" customFormat="false" ht="15" hidden="false" customHeight="false" outlineLevel="0" collapsed="false">
      <c r="A24" s="0" t="n">
        <v>20260301</v>
      </c>
      <c r="B24" s="53" t="s">
        <v>171</v>
      </c>
      <c r="C24" s="54" t="s">
        <v>172</v>
      </c>
      <c r="D24" s="55" t="s">
        <v>191</v>
      </c>
      <c r="E24" s="54" t="s">
        <v>192</v>
      </c>
      <c r="F24" s="55" t="s">
        <v>175</v>
      </c>
      <c r="G24" s="55" t="s">
        <v>216</v>
      </c>
      <c r="H24" s="54" t="s">
        <v>217</v>
      </c>
      <c r="I24" s="53" t="s">
        <v>220</v>
      </c>
      <c r="J24" s="54" t="s">
        <v>221</v>
      </c>
      <c r="K24" s="0" t="n">
        <v>12</v>
      </c>
      <c r="L24" s="0" t="n">
        <v>130</v>
      </c>
      <c r="M24" s="0" t="n">
        <v>7</v>
      </c>
      <c r="N24" s="0" t="n">
        <v>1567</v>
      </c>
      <c r="P24" s="0" t="n">
        <v>0</v>
      </c>
      <c r="Q24" s="0" t="n">
        <v>332</v>
      </c>
      <c r="R24" s="54" t="s">
        <v>180</v>
      </c>
      <c r="S24" s="0" t="n">
        <v>0.08</v>
      </c>
      <c r="U24" s="31" t="n">
        <f aca="false">IF($B24&lt;&gt;'設定（最初に1回）'!$C$4,N(U23),IF(COUNTIFS(①今日の在庫を貼る!$B$6:$B$10005,$B24,①今日の在庫を貼る!$I$6:$I$10005,$I24)&gt;0,N(U23),N(U23)+1))</f>
        <v>0</v>
      </c>
    </row>
    <row r="25" customFormat="false" ht="15" hidden="false" customHeight="false" outlineLevel="0" collapsed="false">
      <c r="A25" s="0" t="n">
        <v>20260301</v>
      </c>
      <c r="B25" s="53" t="s">
        <v>171</v>
      </c>
      <c r="C25" s="54" t="s">
        <v>172</v>
      </c>
      <c r="D25" s="55" t="s">
        <v>191</v>
      </c>
      <c r="E25" s="54" t="s">
        <v>192</v>
      </c>
      <c r="F25" s="55" t="s">
        <v>175</v>
      </c>
      <c r="G25" s="55" t="s">
        <v>222</v>
      </c>
      <c r="H25" s="54" t="s">
        <v>223</v>
      </c>
      <c r="I25" s="53" t="s">
        <v>224</v>
      </c>
      <c r="J25" s="54" t="s">
        <v>225</v>
      </c>
      <c r="K25" s="0" t="n">
        <v>1</v>
      </c>
      <c r="L25" s="0" t="n">
        <v>145</v>
      </c>
      <c r="M25" s="0" t="n">
        <v>0</v>
      </c>
      <c r="N25" s="0" t="n">
        <v>145</v>
      </c>
      <c r="P25" s="0" t="n">
        <v>0</v>
      </c>
      <c r="Q25" s="0" t="n">
        <v>2254</v>
      </c>
      <c r="R25" s="54" t="s">
        <v>180</v>
      </c>
      <c r="S25" s="0" t="n">
        <v>0.08</v>
      </c>
      <c r="U25" s="31" t="n">
        <f aca="false">IF($B25&lt;&gt;'設定（最初に1回）'!$C$4,N(U24),IF(COUNTIFS(①今日の在庫を貼る!$B$6:$B$10005,$B25,①今日の在庫を貼る!$I$6:$I$10005,$I25)&gt;0,N(U24),N(U24)+1))</f>
        <v>0</v>
      </c>
    </row>
    <row r="26" customFormat="false" ht="15" hidden="false" customHeight="false" outlineLevel="0" collapsed="false">
      <c r="A26" s="0" t="n">
        <v>20260301</v>
      </c>
      <c r="B26" s="53" t="s">
        <v>171</v>
      </c>
      <c r="C26" s="54" t="s">
        <v>172</v>
      </c>
      <c r="D26" s="55" t="s">
        <v>191</v>
      </c>
      <c r="E26" s="54" t="s">
        <v>192</v>
      </c>
      <c r="F26" s="55" t="s">
        <v>175</v>
      </c>
      <c r="G26" s="55" t="s">
        <v>222</v>
      </c>
      <c r="H26" s="54" t="s">
        <v>223</v>
      </c>
      <c r="I26" s="53" t="s">
        <v>226</v>
      </c>
      <c r="J26" s="54" t="s">
        <v>227</v>
      </c>
      <c r="K26" s="0" t="n">
        <v>1</v>
      </c>
      <c r="L26" s="0" t="n">
        <v>42</v>
      </c>
      <c r="M26" s="0" t="n">
        <v>0</v>
      </c>
      <c r="N26" s="0" t="n">
        <v>42</v>
      </c>
      <c r="P26" s="0" t="n">
        <v>0</v>
      </c>
      <c r="Q26" s="0" t="n">
        <v>2309</v>
      </c>
      <c r="R26" s="54" t="s">
        <v>180</v>
      </c>
      <c r="S26" s="0" t="n">
        <v>0.08</v>
      </c>
      <c r="U26" s="31" t="n">
        <f aca="false">IF($B26&lt;&gt;'設定（最初に1回）'!$C$4,N(U25),IF(COUNTIFS(①今日の在庫を貼る!$B$6:$B$10005,$B26,①今日の在庫を貼る!$I$6:$I$10005,$I26)&gt;0,N(U25),N(U25)+1))</f>
        <v>0</v>
      </c>
    </row>
    <row r="27" customFormat="false" ht="15" hidden="false" customHeight="false" outlineLevel="0" collapsed="false">
      <c r="A27" s="0" t="n">
        <v>20260301</v>
      </c>
      <c r="B27" s="53" t="s">
        <v>171</v>
      </c>
      <c r="C27" s="54" t="s">
        <v>172</v>
      </c>
      <c r="D27" s="55" t="s">
        <v>191</v>
      </c>
      <c r="E27" s="54" t="s">
        <v>192</v>
      </c>
      <c r="F27" s="55" t="s">
        <v>175</v>
      </c>
      <c r="G27" s="55" t="s">
        <v>222</v>
      </c>
      <c r="H27" s="54" t="s">
        <v>223</v>
      </c>
      <c r="I27" s="53" t="s">
        <v>228</v>
      </c>
      <c r="J27" s="54" t="s">
        <v>229</v>
      </c>
      <c r="K27" s="0" t="n">
        <v>1</v>
      </c>
      <c r="L27" s="0" t="n">
        <v>50</v>
      </c>
      <c r="M27" s="0" t="n">
        <v>0</v>
      </c>
      <c r="N27" s="0" t="n">
        <v>50</v>
      </c>
      <c r="P27" s="0" t="n">
        <v>0</v>
      </c>
      <c r="Q27" s="0" t="n">
        <v>2705</v>
      </c>
      <c r="R27" s="54" t="s">
        <v>180</v>
      </c>
      <c r="S27" s="0" t="n">
        <v>0.08</v>
      </c>
      <c r="U27" s="31" t="n">
        <f aca="false">IF($B27&lt;&gt;'設定（最初に1回）'!$C$4,N(U26),IF(COUNTIFS(①今日の在庫を貼る!$B$6:$B$10005,$B27,①今日の在庫を貼る!$I$6:$I$10005,$I27)&gt;0,N(U26),N(U26)+1))</f>
        <v>0</v>
      </c>
    </row>
    <row r="28" customFormat="false" ht="15" hidden="false" customHeight="false" outlineLevel="0" collapsed="false">
      <c r="A28" s="0" t="n">
        <v>20260301</v>
      </c>
      <c r="B28" s="53" t="s">
        <v>171</v>
      </c>
      <c r="C28" s="54" t="s">
        <v>172</v>
      </c>
      <c r="D28" s="55" t="s">
        <v>191</v>
      </c>
      <c r="E28" s="54" t="s">
        <v>192</v>
      </c>
      <c r="F28" s="55" t="s">
        <v>175</v>
      </c>
      <c r="G28" s="55" t="s">
        <v>230</v>
      </c>
      <c r="H28" s="54" t="s">
        <v>231</v>
      </c>
      <c r="I28" s="53" t="s">
        <v>232</v>
      </c>
      <c r="J28" s="54" t="s">
        <v>233</v>
      </c>
      <c r="K28" s="0" t="n">
        <v>120</v>
      </c>
      <c r="L28" s="0" t="n">
        <v>4</v>
      </c>
      <c r="M28" s="0" t="n">
        <v>106</v>
      </c>
      <c r="N28" s="0" t="n">
        <v>586</v>
      </c>
      <c r="P28" s="0" t="n">
        <v>0</v>
      </c>
      <c r="Q28" s="0" t="n">
        <v>142</v>
      </c>
      <c r="R28" s="54" t="s">
        <v>180</v>
      </c>
      <c r="S28" s="0" t="n">
        <v>0.08</v>
      </c>
      <c r="U28" s="31" t="n">
        <f aca="false">IF($B28&lt;&gt;'設定（最初に1回）'!$C$4,N(U27),IF(COUNTIFS(①今日の在庫を貼る!$B$6:$B$10005,$B28,①今日の在庫を貼る!$I$6:$I$10005,$I28)&gt;0,N(U27),N(U27)+1))</f>
        <v>0</v>
      </c>
    </row>
    <row r="29" customFormat="false" ht="15" hidden="false" customHeight="false" outlineLevel="0" collapsed="false">
      <c r="A29" s="0" t="n">
        <v>20260301</v>
      </c>
      <c r="B29" s="53" t="s">
        <v>171</v>
      </c>
      <c r="C29" s="54" t="s">
        <v>172</v>
      </c>
      <c r="D29" s="55" t="s">
        <v>191</v>
      </c>
      <c r="E29" s="54" t="s">
        <v>192</v>
      </c>
      <c r="F29" s="55" t="s">
        <v>175</v>
      </c>
      <c r="G29" s="55" t="s">
        <v>230</v>
      </c>
      <c r="H29" s="54" t="s">
        <v>231</v>
      </c>
      <c r="I29" s="53" t="s">
        <v>234</v>
      </c>
      <c r="J29" s="54" t="s">
        <v>235</v>
      </c>
      <c r="K29" s="0" t="n">
        <v>120</v>
      </c>
      <c r="L29" s="0" t="n">
        <v>6</v>
      </c>
      <c r="M29" s="0" t="n">
        <v>3</v>
      </c>
      <c r="N29" s="0" t="n">
        <v>723</v>
      </c>
      <c r="P29" s="0" t="n">
        <v>0</v>
      </c>
      <c r="Q29" s="0" t="n">
        <v>107</v>
      </c>
      <c r="R29" s="54" t="s">
        <v>180</v>
      </c>
      <c r="S29" s="0" t="n">
        <v>0.08</v>
      </c>
      <c r="U29" s="31" t="n">
        <f aca="false">IF($B29&lt;&gt;'設定（最初に1回）'!$C$4,N(U28),IF(COUNTIFS(①今日の在庫を貼る!$B$6:$B$10005,$B29,①今日の在庫を貼る!$I$6:$I$10005,$I29)&gt;0,N(U28),N(U28)+1))</f>
        <v>0</v>
      </c>
    </row>
    <row r="30" customFormat="false" ht="15" hidden="false" customHeight="false" outlineLevel="0" collapsed="false">
      <c r="A30" s="0" t="n">
        <v>20260301</v>
      </c>
      <c r="B30" s="53" t="s">
        <v>171</v>
      </c>
      <c r="C30" s="54" t="s">
        <v>172</v>
      </c>
      <c r="D30" s="55" t="s">
        <v>191</v>
      </c>
      <c r="E30" s="54" t="s">
        <v>192</v>
      </c>
      <c r="F30" s="55" t="s">
        <v>175</v>
      </c>
      <c r="G30" s="55" t="s">
        <v>230</v>
      </c>
      <c r="H30" s="54" t="s">
        <v>231</v>
      </c>
      <c r="I30" s="53" t="s">
        <v>236</v>
      </c>
      <c r="J30" s="54" t="s">
        <v>237</v>
      </c>
      <c r="K30" s="0" t="n">
        <v>90</v>
      </c>
      <c r="L30" s="0" t="n">
        <v>0</v>
      </c>
      <c r="M30" s="0" t="n">
        <v>2</v>
      </c>
      <c r="N30" s="0" t="n">
        <v>2</v>
      </c>
      <c r="P30" s="0" t="n">
        <v>0</v>
      </c>
      <c r="Q30" s="0" t="n">
        <v>166</v>
      </c>
      <c r="R30" s="54" t="s">
        <v>180</v>
      </c>
      <c r="S30" s="0" t="n">
        <v>0.08</v>
      </c>
      <c r="U30" s="31" t="n">
        <f aca="false">IF($B30&lt;&gt;'設定（最初に1回）'!$C$4,N(U29),IF(COUNTIFS(①今日の在庫を貼る!$B$6:$B$10005,$B30,①今日の在庫を貼る!$I$6:$I$10005,$I30)&gt;0,N(U29),N(U29)+1))</f>
        <v>0</v>
      </c>
    </row>
    <row r="31" customFormat="false" ht="15" hidden="false" customHeight="false" outlineLevel="0" collapsed="false">
      <c r="A31" s="0" t="n">
        <v>20260301</v>
      </c>
      <c r="B31" s="53" t="s">
        <v>171</v>
      </c>
      <c r="C31" s="54" t="s">
        <v>172</v>
      </c>
      <c r="D31" s="55" t="s">
        <v>191</v>
      </c>
      <c r="E31" s="54" t="s">
        <v>192</v>
      </c>
      <c r="F31" s="55" t="s">
        <v>175</v>
      </c>
      <c r="G31" s="55" t="s">
        <v>230</v>
      </c>
      <c r="H31" s="54" t="s">
        <v>231</v>
      </c>
      <c r="I31" s="53" t="s">
        <v>238</v>
      </c>
      <c r="J31" s="54" t="s">
        <v>239</v>
      </c>
      <c r="K31" s="0" t="n">
        <v>80</v>
      </c>
      <c r="L31" s="0" t="n">
        <v>2</v>
      </c>
      <c r="M31" s="0" t="n">
        <v>31</v>
      </c>
      <c r="N31" s="0" t="n">
        <v>191</v>
      </c>
      <c r="P31" s="0" t="n">
        <v>0</v>
      </c>
      <c r="Q31" s="0" t="n">
        <v>203</v>
      </c>
      <c r="R31" s="54" t="s">
        <v>180</v>
      </c>
      <c r="S31" s="0" t="n">
        <v>0.08</v>
      </c>
      <c r="U31" s="31" t="n">
        <f aca="false">IF($B31&lt;&gt;'設定（最初に1回）'!$C$4,N(U30),IF(COUNTIFS(①今日の在庫を貼る!$B$6:$B$10005,$B31,①今日の在庫を貼る!$I$6:$I$10005,$I31)&gt;0,N(U30),N(U30)+1))</f>
        <v>0</v>
      </c>
    </row>
    <row r="32" customFormat="false" ht="15" hidden="false" customHeight="false" outlineLevel="0" collapsed="false">
      <c r="A32" s="0" t="n">
        <v>20260301</v>
      </c>
      <c r="B32" s="53" t="s">
        <v>171</v>
      </c>
      <c r="C32" s="54" t="s">
        <v>172</v>
      </c>
      <c r="D32" s="55" t="s">
        <v>191</v>
      </c>
      <c r="E32" s="54" t="s">
        <v>192</v>
      </c>
      <c r="F32" s="55" t="s">
        <v>175</v>
      </c>
      <c r="G32" s="55" t="s">
        <v>230</v>
      </c>
      <c r="H32" s="54" t="s">
        <v>231</v>
      </c>
      <c r="I32" s="53" t="s">
        <v>240</v>
      </c>
      <c r="J32" s="54" t="s">
        <v>241</v>
      </c>
      <c r="K32" s="0" t="n">
        <v>80</v>
      </c>
      <c r="L32" s="0" t="n">
        <v>5</v>
      </c>
      <c r="M32" s="0" t="n">
        <v>31</v>
      </c>
      <c r="N32" s="0" t="n">
        <v>431</v>
      </c>
      <c r="P32" s="0" t="n">
        <v>0</v>
      </c>
      <c r="Q32" s="0" t="n">
        <v>203</v>
      </c>
      <c r="R32" s="54" t="s">
        <v>180</v>
      </c>
      <c r="S32" s="0" t="n">
        <v>0.08</v>
      </c>
      <c r="U32" s="31" t="n">
        <f aca="false">IF($B32&lt;&gt;'設定（最初に1回）'!$C$4,N(U31),IF(COUNTIFS(①今日の在庫を貼る!$B$6:$B$10005,$B32,①今日の在庫を貼る!$I$6:$I$10005,$I32)&gt;0,N(U31),N(U31)+1))</f>
        <v>0</v>
      </c>
    </row>
    <row r="33" customFormat="false" ht="15" hidden="false" customHeight="false" outlineLevel="0" collapsed="false">
      <c r="A33" s="0" t="n">
        <v>20260301</v>
      </c>
      <c r="B33" s="53" t="s">
        <v>171</v>
      </c>
      <c r="C33" s="54" t="s">
        <v>172</v>
      </c>
      <c r="D33" s="55" t="s">
        <v>191</v>
      </c>
      <c r="E33" s="54" t="s">
        <v>192</v>
      </c>
      <c r="F33" s="55" t="s">
        <v>175</v>
      </c>
      <c r="G33" s="55" t="s">
        <v>230</v>
      </c>
      <c r="H33" s="54" t="s">
        <v>231</v>
      </c>
      <c r="I33" s="53" t="s">
        <v>242</v>
      </c>
      <c r="J33" s="54" t="s">
        <v>243</v>
      </c>
      <c r="K33" s="0" t="n">
        <v>1</v>
      </c>
      <c r="L33" s="0" t="n">
        <v>37</v>
      </c>
      <c r="M33" s="0" t="n">
        <v>0</v>
      </c>
      <c r="N33" s="0" t="n">
        <v>37</v>
      </c>
      <c r="P33" s="0" t="n">
        <v>0</v>
      </c>
      <c r="Q33" s="0" t="n">
        <v>26884</v>
      </c>
      <c r="R33" s="54" t="s">
        <v>180</v>
      </c>
      <c r="S33" s="0" t="n">
        <v>0.08</v>
      </c>
      <c r="U33" s="31" t="n">
        <f aca="false">IF($B33&lt;&gt;'設定（最初に1回）'!$C$4,N(U32),IF(COUNTIFS(①今日の在庫を貼る!$B$6:$B$10005,$B33,①今日の在庫を貼る!$I$6:$I$10005,$I33)&gt;0,N(U32),N(U32)+1))</f>
        <v>0</v>
      </c>
    </row>
    <row r="34" customFormat="false" ht="15" hidden="false" customHeight="false" outlineLevel="0" collapsed="false">
      <c r="A34" s="0" t="n">
        <v>20260301</v>
      </c>
      <c r="B34" s="53" t="s">
        <v>171</v>
      </c>
      <c r="C34" s="54" t="s">
        <v>172</v>
      </c>
      <c r="D34" s="55" t="s">
        <v>191</v>
      </c>
      <c r="E34" s="54" t="s">
        <v>192</v>
      </c>
      <c r="F34" s="55" t="s">
        <v>175</v>
      </c>
      <c r="G34" s="55" t="s">
        <v>230</v>
      </c>
      <c r="H34" s="54" t="s">
        <v>231</v>
      </c>
      <c r="I34" s="53" t="s">
        <v>244</v>
      </c>
      <c r="J34" s="54" t="s">
        <v>245</v>
      </c>
      <c r="K34" s="0" t="n">
        <v>1</v>
      </c>
      <c r="L34" s="0" t="n">
        <v>34</v>
      </c>
      <c r="M34" s="0" t="n">
        <v>0</v>
      </c>
      <c r="N34" s="0" t="n">
        <v>34</v>
      </c>
      <c r="P34" s="0" t="n">
        <v>0</v>
      </c>
      <c r="Q34" s="0" t="n">
        <v>26884</v>
      </c>
      <c r="R34" s="54" t="s">
        <v>180</v>
      </c>
      <c r="S34" s="0" t="n">
        <v>0.08</v>
      </c>
      <c r="U34" s="31" t="n">
        <f aca="false">IF($B34&lt;&gt;'設定（最初に1回）'!$C$4,N(U33),IF(COUNTIFS(①今日の在庫を貼る!$B$6:$B$10005,$B34,①今日の在庫を貼る!$I$6:$I$10005,$I34)&gt;0,N(U33),N(U33)+1))</f>
        <v>0</v>
      </c>
    </row>
    <row r="35" customFormat="false" ht="15" hidden="false" customHeight="false" outlineLevel="0" collapsed="false">
      <c r="A35" s="0" t="n">
        <v>20260301</v>
      </c>
      <c r="B35" s="53" t="s">
        <v>171</v>
      </c>
      <c r="C35" s="54" t="s">
        <v>172</v>
      </c>
      <c r="D35" s="55" t="s">
        <v>191</v>
      </c>
      <c r="E35" s="54" t="s">
        <v>192</v>
      </c>
      <c r="F35" s="55" t="s">
        <v>175</v>
      </c>
      <c r="G35" s="55" t="s">
        <v>230</v>
      </c>
      <c r="H35" s="54" t="s">
        <v>231</v>
      </c>
      <c r="I35" s="53" t="s">
        <v>246</v>
      </c>
      <c r="J35" s="54" t="s">
        <v>247</v>
      </c>
      <c r="K35" s="0" t="n">
        <v>1</v>
      </c>
      <c r="L35" s="0" t="n">
        <v>21</v>
      </c>
      <c r="M35" s="0" t="n">
        <v>0</v>
      </c>
      <c r="N35" s="0" t="n">
        <v>21</v>
      </c>
      <c r="P35" s="0" t="n">
        <v>0</v>
      </c>
      <c r="Q35" s="0" t="n">
        <v>26884</v>
      </c>
      <c r="R35" s="54" t="s">
        <v>180</v>
      </c>
      <c r="S35" s="0" t="n">
        <v>0.08</v>
      </c>
      <c r="U35" s="31" t="n">
        <f aca="false">IF($B35&lt;&gt;'設定（最初に1回）'!$C$4,N(U34),IF(COUNTIFS(①今日の在庫を貼る!$B$6:$B$10005,$B35,①今日の在庫を貼る!$I$6:$I$10005,$I35)&gt;0,N(U34),N(U34)+1))</f>
        <v>0</v>
      </c>
    </row>
    <row r="36" customFormat="false" ht="15" hidden="false" customHeight="false" outlineLevel="0" collapsed="false">
      <c r="A36" s="0" t="n">
        <v>20260301</v>
      </c>
      <c r="B36" s="53" t="s">
        <v>171</v>
      </c>
      <c r="C36" s="54" t="s">
        <v>172</v>
      </c>
      <c r="D36" s="55" t="s">
        <v>191</v>
      </c>
      <c r="E36" s="54" t="s">
        <v>192</v>
      </c>
      <c r="F36" s="55" t="s">
        <v>175</v>
      </c>
      <c r="G36" s="55" t="s">
        <v>230</v>
      </c>
      <c r="H36" s="54" t="s">
        <v>231</v>
      </c>
      <c r="I36" s="53" t="s">
        <v>248</v>
      </c>
      <c r="J36" s="54" t="s">
        <v>249</v>
      </c>
      <c r="K36" s="0" t="n">
        <v>1</v>
      </c>
      <c r="L36" s="0" t="n">
        <v>26</v>
      </c>
      <c r="M36" s="0" t="n">
        <v>0</v>
      </c>
      <c r="N36" s="0" t="n">
        <v>26</v>
      </c>
      <c r="P36" s="0" t="n">
        <v>0</v>
      </c>
      <c r="Q36" s="0" t="n">
        <v>1386</v>
      </c>
      <c r="R36" s="54" t="s">
        <v>180</v>
      </c>
      <c r="S36" s="0" t="n">
        <v>0.08</v>
      </c>
      <c r="U36" s="31" t="n">
        <f aca="false">IF($B36&lt;&gt;'設定（最初に1回）'!$C$4,N(U35),IF(COUNTIFS(①今日の在庫を貼る!$B$6:$B$10005,$B36,①今日の在庫を貼る!$I$6:$I$10005,$I36)&gt;0,N(U35),N(U35)+1))</f>
        <v>0</v>
      </c>
    </row>
    <row r="37" customFormat="false" ht="15" hidden="false" customHeight="false" outlineLevel="0" collapsed="false">
      <c r="A37" s="0" t="n">
        <v>20260301</v>
      </c>
      <c r="B37" s="53" t="s">
        <v>171</v>
      </c>
      <c r="C37" s="54" t="s">
        <v>172</v>
      </c>
      <c r="D37" s="55" t="s">
        <v>191</v>
      </c>
      <c r="E37" s="54" t="s">
        <v>192</v>
      </c>
      <c r="F37" s="55" t="s">
        <v>175</v>
      </c>
      <c r="G37" s="55" t="s">
        <v>230</v>
      </c>
      <c r="H37" s="54" t="s">
        <v>231</v>
      </c>
      <c r="I37" s="53" t="s">
        <v>250</v>
      </c>
      <c r="J37" s="54" t="s">
        <v>251</v>
      </c>
      <c r="K37" s="0" t="n">
        <v>24</v>
      </c>
      <c r="L37" s="0" t="n">
        <v>23</v>
      </c>
      <c r="M37" s="0" t="n">
        <v>23</v>
      </c>
      <c r="N37" s="0" t="n">
        <v>575</v>
      </c>
      <c r="P37" s="0" t="n">
        <v>0</v>
      </c>
      <c r="Q37" s="0" t="n">
        <v>87</v>
      </c>
      <c r="R37" s="54" t="s">
        <v>180</v>
      </c>
      <c r="S37" s="0" t="n">
        <v>0.08</v>
      </c>
      <c r="U37" s="31" t="n">
        <f aca="false">IF($B37&lt;&gt;'設定（最初に1回）'!$C$4,N(U36),IF(COUNTIFS(①今日の在庫を貼る!$B$6:$B$10005,$B37,①今日の在庫を貼る!$I$6:$I$10005,$I37)&gt;0,N(U36),N(U36)+1))</f>
        <v>0</v>
      </c>
    </row>
    <row r="38" customFormat="false" ht="15" hidden="false" customHeight="false" outlineLevel="0" collapsed="false">
      <c r="A38" s="0" t="n">
        <v>20260301</v>
      </c>
      <c r="B38" s="53" t="s">
        <v>171</v>
      </c>
      <c r="C38" s="54" t="s">
        <v>172</v>
      </c>
      <c r="D38" s="55" t="s">
        <v>191</v>
      </c>
      <c r="E38" s="54" t="s">
        <v>192</v>
      </c>
      <c r="F38" s="55" t="s">
        <v>175</v>
      </c>
      <c r="G38" s="55" t="s">
        <v>252</v>
      </c>
      <c r="H38" s="54" t="s">
        <v>253</v>
      </c>
      <c r="I38" s="53" t="s">
        <v>254</v>
      </c>
      <c r="J38" s="54" t="s">
        <v>255</v>
      </c>
      <c r="K38" s="0" t="n">
        <v>1</v>
      </c>
      <c r="L38" s="0" t="n">
        <v>534</v>
      </c>
      <c r="M38" s="0" t="n">
        <v>0</v>
      </c>
      <c r="N38" s="0" t="n">
        <v>534</v>
      </c>
      <c r="P38" s="0" t="n">
        <v>0</v>
      </c>
      <c r="Q38" s="0" t="n">
        <v>12046</v>
      </c>
      <c r="R38" s="54" t="s">
        <v>180</v>
      </c>
      <c r="S38" s="0" t="n">
        <v>0.08</v>
      </c>
      <c r="U38" s="31" t="n">
        <f aca="false">IF($B38&lt;&gt;'設定（最初に1回）'!$C$4,N(U37),IF(COUNTIFS(①今日の在庫を貼る!$B$6:$B$10005,$B38,①今日の在庫を貼る!$I$6:$I$10005,$I38)&gt;0,N(U37),N(U37)+1))</f>
        <v>0</v>
      </c>
    </row>
    <row r="39" customFormat="false" ht="15" hidden="false" customHeight="false" outlineLevel="0" collapsed="false">
      <c r="A39" s="0" t="n">
        <v>20260301</v>
      </c>
      <c r="B39" s="53" t="s">
        <v>171</v>
      </c>
      <c r="C39" s="54" t="s">
        <v>172</v>
      </c>
      <c r="D39" s="55" t="s">
        <v>191</v>
      </c>
      <c r="E39" s="54" t="s">
        <v>192</v>
      </c>
      <c r="F39" s="55" t="s">
        <v>175</v>
      </c>
      <c r="G39" s="55" t="s">
        <v>252</v>
      </c>
      <c r="H39" s="54" t="s">
        <v>253</v>
      </c>
      <c r="I39" s="53" t="s">
        <v>256</v>
      </c>
      <c r="J39" s="54" t="s">
        <v>257</v>
      </c>
      <c r="K39" s="0" t="n">
        <v>1</v>
      </c>
      <c r="L39" s="0" t="n">
        <v>78</v>
      </c>
      <c r="M39" s="0" t="n">
        <v>0</v>
      </c>
      <c r="N39" s="0" t="n">
        <v>78</v>
      </c>
      <c r="P39" s="0" t="n">
        <v>0</v>
      </c>
      <c r="Q39" s="0" t="n">
        <v>5841</v>
      </c>
      <c r="R39" s="54" t="s">
        <v>180</v>
      </c>
      <c r="S39" s="0" t="n">
        <v>0.08</v>
      </c>
      <c r="U39" s="31" t="n">
        <f aca="false">IF($B39&lt;&gt;'設定（最初に1回）'!$C$4,N(U38),IF(COUNTIFS(①今日の在庫を貼る!$B$6:$B$10005,$B39,①今日の在庫を貼る!$I$6:$I$10005,$I39)&gt;0,N(U38),N(U38)+1))</f>
        <v>0</v>
      </c>
    </row>
    <row r="40" customFormat="false" ht="15" hidden="false" customHeight="false" outlineLevel="0" collapsed="false">
      <c r="A40" s="0" t="n">
        <v>20260301</v>
      </c>
      <c r="B40" s="53" t="s">
        <v>171</v>
      </c>
      <c r="C40" s="54" t="s">
        <v>172</v>
      </c>
      <c r="D40" s="55" t="s">
        <v>191</v>
      </c>
      <c r="E40" s="54" t="s">
        <v>192</v>
      </c>
      <c r="F40" s="55" t="s">
        <v>175</v>
      </c>
      <c r="G40" s="55" t="s">
        <v>252</v>
      </c>
      <c r="H40" s="54" t="s">
        <v>253</v>
      </c>
      <c r="I40" s="53" t="s">
        <v>258</v>
      </c>
      <c r="J40" s="54" t="s">
        <v>259</v>
      </c>
      <c r="K40" s="0" t="n">
        <v>6</v>
      </c>
      <c r="L40" s="0" t="n">
        <v>189</v>
      </c>
      <c r="M40" s="0" t="n">
        <v>3</v>
      </c>
      <c r="N40" s="0" t="n">
        <v>1137</v>
      </c>
      <c r="P40" s="0" t="n">
        <v>0</v>
      </c>
      <c r="Q40" s="0" t="n">
        <v>786</v>
      </c>
      <c r="R40" s="54" t="s">
        <v>180</v>
      </c>
      <c r="S40" s="0" t="n">
        <v>0.08</v>
      </c>
      <c r="U40" s="31" t="n">
        <f aca="false">IF($B40&lt;&gt;'設定（最初に1回）'!$C$4,N(U39),IF(COUNTIFS(①今日の在庫を貼る!$B$6:$B$10005,$B40,①今日の在庫を貼る!$I$6:$I$10005,$I40)&gt;0,N(U39),N(U39)+1))</f>
        <v>0</v>
      </c>
    </row>
    <row r="41" customFormat="false" ht="15" hidden="false" customHeight="false" outlineLevel="0" collapsed="false">
      <c r="A41" s="0" t="n">
        <v>20260301</v>
      </c>
      <c r="B41" s="53" t="s">
        <v>171</v>
      </c>
      <c r="C41" s="54" t="s">
        <v>172</v>
      </c>
      <c r="D41" s="55" t="s">
        <v>191</v>
      </c>
      <c r="E41" s="54" t="s">
        <v>192</v>
      </c>
      <c r="F41" s="55" t="s">
        <v>175</v>
      </c>
      <c r="G41" s="55" t="s">
        <v>252</v>
      </c>
      <c r="H41" s="54" t="s">
        <v>253</v>
      </c>
      <c r="I41" s="53" t="s">
        <v>260</v>
      </c>
      <c r="J41" s="54" t="s">
        <v>261</v>
      </c>
      <c r="K41" s="0" t="n">
        <v>1</v>
      </c>
      <c r="L41" s="0" t="n">
        <v>158</v>
      </c>
      <c r="M41" s="0" t="n">
        <v>0</v>
      </c>
      <c r="N41" s="0" t="n">
        <v>158</v>
      </c>
      <c r="P41" s="0" t="n">
        <v>0</v>
      </c>
      <c r="Q41" s="0" t="n">
        <v>1024</v>
      </c>
      <c r="R41" s="54" t="s">
        <v>180</v>
      </c>
      <c r="S41" s="0" t="n">
        <v>0.08</v>
      </c>
      <c r="U41" s="31" t="n">
        <f aca="false">IF($B41&lt;&gt;'設定（最初に1回）'!$C$4,N(U40),IF(COUNTIFS(①今日の在庫を貼る!$B$6:$B$10005,$B41,①今日の在庫を貼る!$I$6:$I$10005,$I41)&gt;0,N(U40),N(U40)+1))</f>
        <v>0</v>
      </c>
    </row>
    <row r="42" customFormat="false" ht="15" hidden="false" customHeight="false" outlineLevel="0" collapsed="false">
      <c r="A42" s="0" t="n">
        <v>20260301</v>
      </c>
      <c r="B42" s="53" t="s">
        <v>171</v>
      </c>
      <c r="C42" s="54" t="s">
        <v>172</v>
      </c>
      <c r="D42" s="55" t="s">
        <v>191</v>
      </c>
      <c r="E42" s="54" t="s">
        <v>192</v>
      </c>
      <c r="F42" s="55" t="s">
        <v>175</v>
      </c>
      <c r="G42" s="55" t="s">
        <v>252</v>
      </c>
      <c r="H42" s="54" t="s">
        <v>253</v>
      </c>
      <c r="I42" s="53" t="s">
        <v>262</v>
      </c>
      <c r="J42" s="54" t="s">
        <v>263</v>
      </c>
      <c r="K42" s="0" t="n">
        <v>1</v>
      </c>
      <c r="L42" s="0" t="n">
        <v>242</v>
      </c>
      <c r="M42" s="0" t="n">
        <v>0</v>
      </c>
      <c r="N42" s="0" t="n">
        <v>242</v>
      </c>
      <c r="P42" s="0" t="n">
        <v>0</v>
      </c>
      <c r="Q42" s="0" t="n">
        <v>1074</v>
      </c>
      <c r="R42" s="54" t="s">
        <v>180</v>
      </c>
      <c r="S42" s="0" t="n">
        <v>0.08</v>
      </c>
      <c r="U42" s="31" t="n">
        <f aca="false">IF($B42&lt;&gt;'設定（最初に1回）'!$C$4,N(U41),IF(COUNTIFS(①今日の在庫を貼る!$B$6:$B$10005,$B42,①今日の在庫を貼る!$I$6:$I$10005,$I42)&gt;0,N(U41),N(U41)+1))</f>
        <v>0</v>
      </c>
    </row>
    <row r="43" customFormat="false" ht="15" hidden="false" customHeight="false" outlineLevel="0" collapsed="false">
      <c r="A43" s="0" t="n">
        <v>20260301</v>
      </c>
      <c r="B43" s="53" t="s">
        <v>171</v>
      </c>
      <c r="C43" s="54" t="s">
        <v>172</v>
      </c>
      <c r="D43" s="55" t="s">
        <v>191</v>
      </c>
      <c r="E43" s="54" t="s">
        <v>192</v>
      </c>
      <c r="F43" s="55" t="s">
        <v>175</v>
      </c>
      <c r="G43" s="55" t="s">
        <v>252</v>
      </c>
      <c r="H43" s="54" t="s">
        <v>253</v>
      </c>
      <c r="I43" s="53" t="s">
        <v>264</v>
      </c>
      <c r="J43" s="54" t="s">
        <v>265</v>
      </c>
      <c r="K43" s="0" t="n">
        <v>1</v>
      </c>
      <c r="L43" s="0" t="n">
        <v>17</v>
      </c>
      <c r="M43" s="0" t="n">
        <v>0</v>
      </c>
      <c r="N43" s="0" t="n">
        <v>17</v>
      </c>
      <c r="P43" s="0" t="n">
        <v>0</v>
      </c>
      <c r="Q43" s="0" t="n">
        <v>1396</v>
      </c>
      <c r="R43" s="54" t="s">
        <v>180</v>
      </c>
      <c r="S43" s="0" t="n">
        <v>0.08</v>
      </c>
      <c r="U43" s="31" t="n">
        <f aca="false">IF($B43&lt;&gt;'設定（最初に1回）'!$C$4,N(U42),IF(COUNTIFS(①今日の在庫を貼る!$B$6:$B$10005,$B43,①今日の在庫を貼る!$I$6:$I$10005,$I43)&gt;0,N(U42),N(U42)+1))</f>
        <v>0</v>
      </c>
    </row>
    <row r="44" customFormat="false" ht="15" hidden="false" customHeight="false" outlineLevel="0" collapsed="false">
      <c r="A44" s="0" t="n">
        <v>20260301</v>
      </c>
      <c r="B44" s="53" t="s">
        <v>171</v>
      </c>
      <c r="C44" s="54" t="s">
        <v>172</v>
      </c>
      <c r="D44" s="55" t="s">
        <v>191</v>
      </c>
      <c r="E44" s="54" t="s">
        <v>192</v>
      </c>
      <c r="F44" s="55" t="s">
        <v>175</v>
      </c>
      <c r="G44" s="55" t="s">
        <v>252</v>
      </c>
      <c r="H44" s="54" t="s">
        <v>253</v>
      </c>
      <c r="I44" s="53" t="s">
        <v>266</v>
      </c>
      <c r="J44" s="54" t="s">
        <v>267</v>
      </c>
      <c r="K44" s="0" t="n">
        <v>48</v>
      </c>
      <c r="L44" s="0" t="n">
        <v>30</v>
      </c>
      <c r="M44" s="0" t="n">
        <v>14</v>
      </c>
      <c r="N44" s="0" t="n">
        <v>1454</v>
      </c>
      <c r="P44" s="0" t="n">
        <v>0</v>
      </c>
      <c r="Q44" s="0" t="n">
        <v>114</v>
      </c>
      <c r="R44" s="54" t="s">
        <v>180</v>
      </c>
      <c r="S44" s="0" t="n">
        <v>0.08</v>
      </c>
      <c r="U44" s="31" t="n">
        <f aca="false">IF($B44&lt;&gt;'設定（最初に1回）'!$C$4,N(U43),IF(COUNTIFS(①今日の在庫を貼る!$B$6:$B$10005,$B44,①今日の在庫を貼る!$I$6:$I$10005,$I44)&gt;0,N(U43),N(U43)+1))</f>
        <v>0</v>
      </c>
    </row>
    <row r="45" customFormat="false" ht="15" hidden="false" customHeight="false" outlineLevel="0" collapsed="false">
      <c r="A45" s="0" t="n">
        <v>20260301</v>
      </c>
      <c r="B45" s="53" t="s">
        <v>171</v>
      </c>
      <c r="C45" s="54" t="s">
        <v>172</v>
      </c>
      <c r="D45" s="55" t="s">
        <v>191</v>
      </c>
      <c r="E45" s="54" t="s">
        <v>192</v>
      </c>
      <c r="F45" s="55" t="s">
        <v>175</v>
      </c>
      <c r="G45" s="55" t="s">
        <v>252</v>
      </c>
      <c r="H45" s="54" t="s">
        <v>253</v>
      </c>
      <c r="I45" s="53" t="s">
        <v>268</v>
      </c>
      <c r="J45" s="54" t="s">
        <v>269</v>
      </c>
      <c r="K45" s="0" t="n">
        <v>1</v>
      </c>
      <c r="L45" s="0" t="n">
        <v>240</v>
      </c>
      <c r="M45" s="0" t="n">
        <v>0</v>
      </c>
      <c r="N45" s="0" t="n">
        <v>240</v>
      </c>
      <c r="P45" s="0" t="n">
        <v>0</v>
      </c>
      <c r="Q45" s="0" t="n">
        <v>4420</v>
      </c>
      <c r="R45" s="54" t="s">
        <v>180</v>
      </c>
      <c r="S45" s="0" t="n">
        <v>0.08</v>
      </c>
      <c r="U45" s="31" t="n">
        <f aca="false">IF($B45&lt;&gt;'設定（最初に1回）'!$C$4,N(U44),IF(COUNTIFS(①今日の在庫を貼る!$B$6:$B$10005,$B45,①今日の在庫を貼る!$I$6:$I$10005,$I45)&gt;0,N(U44),N(U44)+1))</f>
        <v>0</v>
      </c>
    </row>
    <row r="46" customFormat="false" ht="15" hidden="false" customHeight="false" outlineLevel="0" collapsed="false">
      <c r="A46" s="0" t="n">
        <v>20260301</v>
      </c>
      <c r="B46" s="53" t="s">
        <v>171</v>
      </c>
      <c r="C46" s="54" t="s">
        <v>172</v>
      </c>
      <c r="D46" s="55" t="s">
        <v>191</v>
      </c>
      <c r="E46" s="54" t="s">
        <v>192</v>
      </c>
      <c r="F46" s="55" t="s">
        <v>175</v>
      </c>
      <c r="G46" s="55" t="s">
        <v>252</v>
      </c>
      <c r="H46" s="54" t="s">
        <v>253</v>
      </c>
      <c r="I46" s="53" t="s">
        <v>270</v>
      </c>
      <c r="J46" s="54" t="s">
        <v>271</v>
      </c>
      <c r="K46" s="0" t="n">
        <v>1</v>
      </c>
      <c r="L46" s="0" t="n">
        <v>50</v>
      </c>
      <c r="M46" s="0" t="n">
        <v>0</v>
      </c>
      <c r="N46" s="0" t="n">
        <v>50</v>
      </c>
      <c r="P46" s="0" t="n">
        <v>0</v>
      </c>
      <c r="Q46" s="0" t="n">
        <v>1099</v>
      </c>
      <c r="R46" s="54" t="s">
        <v>180</v>
      </c>
      <c r="S46" s="0" t="n">
        <v>0.08</v>
      </c>
      <c r="U46" s="31" t="n">
        <f aca="false">IF($B46&lt;&gt;'設定（最初に1回）'!$C$4,N(U45),IF(COUNTIFS(①今日の在庫を貼る!$B$6:$B$10005,$B46,①今日の在庫を貼る!$I$6:$I$10005,$I46)&gt;0,N(U45),N(U45)+1))</f>
        <v>0</v>
      </c>
    </row>
    <row r="47" customFormat="false" ht="15" hidden="false" customHeight="false" outlineLevel="0" collapsed="false">
      <c r="A47" s="0" t="n">
        <v>20260301</v>
      </c>
      <c r="B47" s="53" t="s">
        <v>171</v>
      </c>
      <c r="C47" s="54" t="s">
        <v>172</v>
      </c>
      <c r="D47" s="55" t="s">
        <v>191</v>
      </c>
      <c r="E47" s="54" t="s">
        <v>192</v>
      </c>
      <c r="F47" s="55" t="s">
        <v>175</v>
      </c>
      <c r="G47" s="55" t="s">
        <v>252</v>
      </c>
      <c r="H47" s="54" t="s">
        <v>253</v>
      </c>
      <c r="I47" s="53" t="s">
        <v>272</v>
      </c>
      <c r="J47" s="54" t="s">
        <v>273</v>
      </c>
      <c r="K47" s="0" t="n">
        <v>1</v>
      </c>
      <c r="L47" s="0" t="n">
        <v>100</v>
      </c>
      <c r="M47" s="0" t="n">
        <v>0</v>
      </c>
      <c r="N47" s="0" t="n">
        <v>100</v>
      </c>
      <c r="P47" s="0" t="n">
        <v>0</v>
      </c>
      <c r="Q47" s="0" t="n">
        <v>955</v>
      </c>
      <c r="R47" s="54" t="s">
        <v>180</v>
      </c>
      <c r="S47" s="0" t="n">
        <v>0.08</v>
      </c>
      <c r="U47" s="31" t="n">
        <f aca="false">IF($B47&lt;&gt;'設定（最初に1回）'!$C$4,N(U46),IF(COUNTIFS(①今日の在庫を貼る!$B$6:$B$10005,$B47,①今日の在庫を貼る!$I$6:$I$10005,$I47)&gt;0,N(U46),N(U46)+1))</f>
        <v>0</v>
      </c>
    </row>
    <row r="48" customFormat="false" ht="15" hidden="false" customHeight="false" outlineLevel="0" collapsed="false">
      <c r="A48" s="0" t="n">
        <v>20260301</v>
      </c>
      <c r="B48" s="53" t="s">
        <v>171</v>
      </c>
      <c r="C48" s="54" t="s">
        <v>172</v>
      </c>
      <c r="D48" s="55" t="s">
        <v>191</v>
      </c>
      <c r="E48" s="54" t="s">
        <v>192</v>
      </c>
      <c r="F48" s="55" t="s">
        <v>175</v>
      </c>
      <c r="G48" s="55" t="s">
        <v>252</v>
      </c>
      <c r="H48" s="54" t="s">
        <v>253</v>
      </c>
      <c r="I48" s="53" t="s">
        <v>274</v>
      </c>
      <c r="J48" s="54" t="s">
        <v>275</v>
      </c>
      <c r="K48" s="0" t="n">
        <v>1</v>
      </c>
      <c r="L48" s="0" t="n">
        <v>252</v>
      </c>
      <c r="M48" s="0" t="n">
        <v>0</v>
      </c>
      <c r="N48" s="0" t="n">
        <v>252</v>
      </c>
      <c r="P48" s="0" t="n">
        <v>0</v>
      </c>
      <c r="Q48" s="0" t="n">
        <v>6887</v>
      </c>
      <c r="R48" s="54" t="s">
        <v>180</v>
      </c>
      <c r="S48" s="0" t="n">
        <v>0.08</v>
      </c>
      <c r="U48" s="31" t="n">
        <f aca="false">IF($B48&lt;&gt;'設定（最初に1回）'!$C$4,N(U47),IF(COUNTIFS(①今日の在庫を貼る!$B$6:$B$10005,$B48,①今日の在庫を貼る!$I$6:$I$10005,$I48)&gt;0,N(U47),N(U47)+1))</f>
        <v>0</v>
      </c>
    </row>
    <row r="49" customFormat="false" ht="15" hidden="false" customHeight="false" outlineLevel="0" collapsed="false">
      <c r="A49" s="0" t="n">
        <v>20260301</v>
      </c>
      <c r="B49" s="53" t="s">
        <v>171</v>
      </c>
      <c r="C49" s="54" t="s">
        <v>172</v>
      </c>
      <c r="D49" s="55" t="s">
        <v>191</v>
      </c>
      <c r="E49" s="54" t="s">
        <v>192</v>
      </c>
      <c r="F49" s="55" t="s">
        <v>175</v>
      </c>
      <c r="G49" s="55" t="s">
        <v>252</v>
      </c>
      <c r="H49" s="54" t="s">
        <v>253</v>
      </c>
      <c r="I49" s="53" t="s">
        <v>276</v>
      </c>
      <c r="J49" s="54" t="s">
        <v>277</v>
      </c>
      <c r="K49" s="0" t="n">
        <v>1</v>
      </c>
      <c r="L49" s="0" t="n">
        <v>75</v>
      </c>
      <c r="M49" s="0" t="n">
        <v>0</v>
      </c>
      <c r="N49" s="0" t="n">
        <v>75</v>
      </c>
      <c r="P49" s="0" t="n">
        <v>0</v>
      </c>
      <c r="Q49" s="0" t="n">
        <v>1180</v>
      </c>
      <c r="R49" s="54" t="s">
        <v>180</v>
      </c>
      <c r="S49" s="0" t="n">
        <v>0.08</v>
      </c>
      <c r="U49" s="31" t="n">
        <f aca="false">IF($B49&lt;&gt;'設定（最初に1回）'!$C$4,N(U48),IF(COUNTIFS(①今日の在庫を貼る!$B$6:$B$10005,$B49,①今日の在庫を貼る!$I$6:$I$10005,$I49)&gt;0,N(U48),N(U48)+1))</f>
        <v>0</v>
      </c>
    </row>
    <row r="50" customFormat="false" ht="15" hidden="false" customHeight="false" outlineLevel="0" collapsed="false">
      <c r="A50" s="0" t="n">
        <v>20260301</v>
      </c>
      <c r="B50" s="53" t="s">
        <v>171</v>
      </c>
      <c r="C50" s="54" t="s">
        <v>172</v>
      </c>
      <c r="D50" s="55" t="s">
        <v>191</v>
      </c>
      <c r="E50" s="54" t="s">
        <v>192</v>
      </c>
      <c r="F50" s="55" t="s">
        <v>175</v>
      </c>
      <c r="G50" s="55" t="s">
        <v>252</v>
      </c>
      <c r="H50" s="54" t="s">
        <v>253</v>
      </c>
      <c r="I50" s="53" t="s">
        <v>278</v>
      </c>
      <c r="J50" s="54" t="s">
        <v>279</v>
      </c>
      <c r="K50" s="0" t="n">
        <v>1</v>
      </c>
      <c r="L50" s="0" t="n">
        <v>63</v>
      </c>
      <c r="M50" s="0" t="n">
        <v>0</v>
      </c>
      <c r="N50" s="0" t="n">
        <v>63</v>
      </c>
      <c r="P50" s="0" t="n">
        <v>0</v>
      </c>
      <c r="Q50" s="0" t="n">
        <v>1294</v>
      </c>
      <c r="R50" s="54" t="s">
        <v>180</v>
      </c>
      <c r="S50" s="0" t="n">
        <v>0.08</v>
      </c>
      <c r="U50" s="31" t="n">
        <f aca="false">IF($B50&lt;&gt;'設定（最初に1回）'!$C$4,N(U49),IF(COUNTIFS(①今日の在庫を貼る!$B$6:$B$10005,$B50,①今日の在庫を貼る!$I$6:$I$10005,$I50)&gt;0,N(U49),N(U49)+1))</f>
        <v>0</v>
      </c>
    </row>
    <row r="51" customFormat="false" ht="15" hidden="false" customHeight="false" outlineLevel="0" collapsed="false">
      <c r="A51" s="0" t="n">
        <v>20260301</v>
      </c>
      <c r="B51" s="53" t="s">
        <v>171</v>
      </c>
      <c r="C51" s="54" t="s">
        <v>172</v>
      </c>
      <c r="D51" s="55" t="s">
        <v>191</v>
      </c>
      <c r="E51" s="54" t="s">
        <v>192</v>
      </c>
      <c r="F51" s="55" t="s">
        <v>175</v>
      </c>
      <c r="G51" s="55" t="s">
        <v>280</v>
      </c>
      <c r="H51" s="54" t="s">
        <v>281</v>
      </c>
      <c r="I51" s="53" t="s">
        <v>282</v>
      </c>
      <c r="J51" s="54" t="s">
        <v>283</v>
      </c>
      <c r="K51" s="0" t="n">
        <v>96</v>
      </c>
      <c r="L51" s="0" t="n">
        <v>31</v>
      </c>
      <c r="M51" s="0" t="n">
        <v>49</v>
      </c>
      <c r="N51" s="0" t="n">
        <v>3025</v>
      </c>
      <c r="P51" s="0" t="n">
        <v>0</v>
      </c>
      <c r="Q51" s="0" t="n">
        <v>176</v>
      </c>
      <c r="R51" s="54" t="s">
        <v>180</v>
      </c>
      <c r="S51" s="0" t="n">
        <v>0.08</v>
      </c>
      <c r="U51" s="31" t="n">
        <f aca="false">IF($B51&lt;&gt;'設定（最初に1回）'!$C$4,N(U50),IF(COUNTIFS(①今日の在庫を貼る!$B$6:$B$10005,$B51,①今日の在庫を貼る!$I$6:$I$10005,$I51)&gt;0,N(U50),N(U50)+1))</f>
        <v>0</v>
      </c>
    </row>
    <row r="52" customFormat="false" ht="15" hidden="false" customHeight="false" outlineLevel="0" collapsed="false">
      <c r="A52" s="0" t="n">
        <v>20260301</v>
      </c>
      <c r="B52" s="53" t="s">
        <v>171</v>
      </c>
      <c r="C52" s="54" t="s">
        <v>172</v>
      </c>
      <c r="D52" s="55" t="s">
        <v>191</v>
      </c>
      <c r="E52" s="54" t="s">
        <v>192</v>
      </c>
      <c r="F52" s="55" t="s">
        <v>175</v>
      </c>
      <c r="G52" s="55" t="s">
        <v>280</v>
      </c>
      <c r="H52" s="54" t="s">
        <v>281</v>
      </c>
      <c r="I52" s="53" t="s">
        <v>284</v>
      </c>
      <c r="J52" s="54" t="s">
        <v>285</v>
      </c>
      <c r="K52" s="0" t="n">
        <v>96</v>
      </c>
      <c r="L52" s="0" t="n">
        <v>2</v>
      </c>
      <c r="M52" s="0" t="n">
        <v>51</v>
      </c>
      <c r="N52" s="0" t="n">
        <v>243</v>
      </c>
      <c r="P52" s="0" t="n">
        <v>0</v>
      </c>
      <c r="Q52" s="0" t="n">
        <v>242</v>
      </c>
      <c r="R52" s="54" t="s">
        <v>180</v>
      </c>
      <c r="S52" s="0" t="n">
        <v>0.08</v>
      </c>
      <c r="U52" s="31" t="n">
        <f aca="false">IF($B52&lt;&gt;'設定（最初に1回）'!$C$4,N(U51),IF(COUNTIFS(①今日の在庫を貼る!$B$6:$B$10005,$B52,①今日の在庫を貼る!$I$6:$I$10005,$I52)&gt;0,N(U51),N(U51)+1))</f>
        <v>0</v>
      </c>
    </row>
    <row r="53" customFormat="false" ht="15" hidden="false" customHeight="false" outlineLevel="0" collapsed="false">
      <c r="A53" s="0" t="n">
        <v>20260301</v>
      </c>
      <c r="B53" s="53" t="s">
        <v>171</v>
      </c>
      <c r="C53" s="54" t="s">
        <v>172</v>
      </c>
      <c r="D53" s="55" t="s">
        <v>191</v>
      </c>
      <c r="E53" s="54" t="s">
        <v>192</v>
      </c>
      <c r="F53" s="55" t="s">
        <v>175</v>
      </c>
      <c r="G53" s="55" t="s">
        <v>280</v>
      </c>
      <c r="H53" s="54" t="s">
        <v>281</v>
      </c>
      <c r="I53" s="53" t="s">
        <v>286</v>
      </c>
      <c r="J53" s="54" t="s">
        <v>287</v>
      </c>
      <c r="K53" s="0" t="n">
        <v>96</v>
      </c>
      <c r="L53" s="0" t="n">
        <v>6</v>
      </c>
      <c r="M53" s="0" t="n">
        <v>31</v>
      </c>
      <c r="N53" s="0" t="n">
        <v>607</v>
      </c>
      <c r="P53" s="0" t="n">
        <v>0</v>
      </c>
      <c r="Q53" s="0" t="n">
        <v>239</v>
      </c>
      <c r="R53" s="54" t="s">
        <v>180</v>
      </c>
      <c r="S53" s="0" t="n">
        <v>0.08</v>
      </c>
      <c r="U53" s="31" t="n">
        <f aca="false">IF($B53&lt;&gt;'設定（最初に1回）'!$C$4,N(U52),IF(COUNTIFS(①今日の在庫を貼る!$B$6:$B$10005,$B53,①今日の在庫を貼る!$I$6:$I$10005,$I53)&gt;0,N(U52),N(U52)+1))</f>
        <v>0</v>
      </c>
    </row>
    <row r="54" customFormat="false" ht="15" hidden="false" customHeight="false" outlineLevel="0" collapsed="false">
      <c r="A54" s="0" t="n">
        <v>20260301</v>
      </c>
      <c r="B54" s="53" t="s">
        <v>171</v>
      </c>
      <c r="C54" s="54" t="s">
        <v>172</v>
      </c>
      <c r="D54" s="55" t="s">
        <v>191</v>
      </c>
      <c r="E54" s="54" t="s">
        <v>192</v>
      </c>
      <c r="F54" s="55" t="s">
        <v>175</v>
      </c>
      <c r="G54" s="55" t="s">
        <v>280</v>
      </c>
      <c r="H54" s="54" t="s">
        <v>281</v>
      </c>
      <c r="I54" s="53" t="s">
        <v>288</v>
      </c>
      <c r="J54" s="54" t="s">
        <v>289</v>
      </c>
      <c r="K54" s="0" t="n">
        <v>96</v>
      </c>
      <c r="L54" s="0" t="n">
        <v>6</v>
      </c>
      <c r="M54" s="0" t="n">
        <v>7</v>
      </c>
      <c r="N54" s="0" t="n">
        <v>583</v>
      </c>
      <c r="P54" s="0" t="n">
        <v>0</v>
      </c>
      <c r="Q54" s="0" t="n">
        <v>244</v>
      </c>
      <c r="R54" s="54" t="s">
        <v>180</v>
      </c>
      <c r="S54" s="0" t="n">
        <v>0.08</v>
      </c>
      <c r="U54" s="31" t="n">
        <f aca="false">IF($B54&lt;&gt;'設定（最初に1回）'!$C$4,N(U53),IF(COUNTIFS(①今日の在庫を貼る!$B$6:$B$10005,$B54,①今日の在庫を貼る!$I$6:$I$10005,$I54)&gt;0,N(U53),N(U53)+1))</f>
        <v>0</v>
      </c>
    </row>
    <row r="55" customFormat="false" ht="15" hidden="false" customHeight="false" outlineLevel="0" collapsed="false">
      <c r="A55" s="0" t="n">
        <v>20260301</v>
      </c>
      <c r="B55" s="53" t="s">
        <v>171</v>
      </c>
      <c r="C55" s="54" t="s">
        <v>172</v>
      </c>
      <c r="D55" s="55" t="s">
        <v>191</v>
      </c>
      <c r="E55" s="54" t="s">
        <v>192</v>
      </c>
      <c r="F55" s="55" t="s">
        <v>175</v>
      </c>
      <c r="G55" s="55" t="s">
        <v>290</v>
      </c>
      <c r="H55" s="54" t="s">
        <v>291</v>
      </c>
      <c r="I55" s="53" t="s">
        <v>292</v>
      </c>
      <c r="J55" s="54" t="s">
        <v>293</v>
      </c>
      <c r="K55" s="0" t="n">
        <v>1</v>
      </c>
      <c r="L55" s="0" t="n">
        <v>2</v>
      </c>
      <c r="M55" s="0" t="n">
        <v>0</v>
      </c>
      <c r="N55" s="0" t="n">
        <v>2</v>
      </c>
      <c r="P55" s="0" t="n">
        <v>0</v>
      </c>
      <c r="Q55" s="0" t="n">
        <v>1755</v>
      </c>
      <c r="R55" s="54" t="s">
        <v>180</v>
      </c>
      <c r="S55" s="0" t="n">
        <v>0.08</v>
      </c>
      <c r="U55" s="31" t="n">
        <f aca="false">IF($B55&lt;&gt;'設定（最初に1回）'!$C$4,N(U54),IF(COUNTIFS(①今日の在庫を貼る!$B$6:$B$10005,$B55,①今日の在庫を貼る!$I$6:$I$10005,$I55)&gt;0,N(U54),N(U54)+1))</f>
        <v>0</v>
      </c>
    </row>
    <row r="56" customFormat="false" ht="15" hidden="false" customHeight="false" outlineLevel="0" collapsed="false">
      <c r="A56" s="0" t="n">
        <v>20260301</v>
      </c>
      <c r="B56" s="53" t="s">
        <v>171</v>
      </c>
      <c r="C56" s="54" t="s">
        <v>172</v>
      </c>
      <c r="D56" s="55" t="s">
        <v>191</v>
      </c>
      <c r="E56" s="54" t="s">
        <v>192</v>
      </c>
      <c r="F56" s="55" t="s">
        <v>175</v>
      </c>
      <c r="G56" s="55" t="s">
        <v>290</v>
      </c>
      <c r="H56" s="54" t="s">
        <v>291</v>
      </c>
      <c r="I56" s="53" t="s">
        <v>294</v>
      </c>
      <c r="J56" s="54" t="s">
        <v>295</v>
      </c>
      <c r="K56" s="0" t="n">
        <v>40</v>
      </c>
      <c r="L56" s="0" t="n">
        <v>49</v>
      </c>
      <c r="M56" s="0" t="n">
        <v>25</v>
      </c>
      <c r="N56" s="0" t="n">
        <v>1985</v>
      </c>
      <c r="P56" s="0" t="n">
        <v>0</v>
      </c>
      <c r="Q56" s="0" t="n">
        <v>96.25</v>
      </c>
      <c r="R56" s="54" t="s">
        <v>180</v>
      </c>
      <c r="S56" s="0" t="n">
        <v>0.08</v>
      </c>
      <c r="U56" s="31" t="n">
        <f aca="false">IF($B56&lt;&gt;'設定（最初に1回）'!$C$4,N(U55),IF(COUNTIFS(①今日の在庫を貼る!$B$6:$B$10005,$B56,①今日の在庫を貼る!$I$6:$I$10005,$I56)&gt;0,N(U55),N(U55)+1))</f>
        <v>0</v>
      </c>
    </row>
    <row r="57" customFormat="false" ht="15" hidden="false" customHeight="false" outlineLevel="0" collapsed="false">
      <c r="A57" s="0" t="n">
        <v>20260301</v>
      </c>
      <c r="B57" s="53" t="s">
        <v>171</v>
      </c>
      <c r="C57" s="54" t="s">
        <v>172</v>
      </c>
      <c r="D57" s="55" t="s">
        <v>191</v>
      </c>
      <c r="E57" s="54" t="s">
        <v>192</v>
      </c>
      <c r="F57" s="55" t="s">
        <v>175</v>
      </c>
      <c r="G57" s="55" t="s">
        <v>290</v>
      </c>
      <c r="H57" s="54" t="s">
        <v>291</v>
      </c>
      <c r="I57" s="53" t="s">
        <v>296</v>
      </c>
      <c r="J57" s="54" t="s">
        <v>297</v>
      </c>
      <c r="K57" s="0" t="n">
        <v>96</v>
      </c>
      <c r="L57" s="0" t="n">
        <v>19</v>
      </c>
      <c r="M57" s="0" t="n">
        <v>94</v>
      </c>
      <c r="N57" s="0" t="n">
        <v>1918</v>
      </c>
      <c r="P57" s="0" t="n">
        <v>0</v>
      </c>
      <c r="Q57" s="0" t="n">
        <v>164</v>
      </c>
      <c r="R57" s="54" t="s">
        <v>180</v>
      </c>
      <c r="S57" s="0" t="n">
        <v>0.08</v>
      </c>
      <c r="U57" s="31" t="n">
        <f aca="false">IF($B57&lt;&gt;'設定（最初に1回）'!$C$4,N(U56),IF(COUNTIFS(①今日の在庫を貼る!$B$6:$B$10005,$B57,①今日の在庫を貼る!$I$6:$I$10005,$I57)&gt;0,N(U56),N(U56)+1))</f>
        <v>0</v>
      </c>
    </row>
    <row r="58" customFormat="false" ht="15" hidden="false" customHeight="false" outlineLevel="0" collapsed="false">
      <c r="A58" s="0" t="n">
        <v>20260301</v>
      </c>
      <c r="B58" s="53" t="s">
        <v>171</v>
      </c>
      <c r="C58" s="54" t="s">
        <v>172</v>
      </c>
      <c r="D58" s="55" t="s">
        <v>191</v>
      </c>
      <c r="E58" s="54" t="s">
        <v>192</v>
      </c>
      <c r="F58" s="55" t="s">
        <v>175</v>
      </c>
      <c r="G58" s="55" t="s">
        <v>298</v>
      </c>
      <c r="H58" s="54" t="s">
        <v>299</v>
      </c>
      <c r="I58" s="53" t="s">
        <v>300</v>
      </c>
      <c r="J58" s="54" t="s">
        <v>301</v>
      </c>
      <c r="K58" s="0" t="n">
        <v>100</v>
      </c>
      <c r="L58" s="0" t="n">
        <v>25</v>
      </c>
      <c r="M58" s="0" t="n">
        <v>69</v>
      </c>
      <c r="N58" s="0" t="n">
        <v>2569</v>
      </c>
      <c r="P58" s="0" t="n">
        <v>0</v>
      </c>
      <c r="Q58" s="0" t="n">
        <v>109</v>
      </c>
      <c r="R58" s="54" t="s">
        <v>180</v>
      </c>
      <c r="S58" s="0" t="n">
        <v>0.08</v>
      </c>
      <c r="U58" s="31" t="n">
        <f aca="false">IF($B58&lt;&gt;'設定（最初に1回）'!$C$4,N(U57),IF(COUNTIFS(①今日の在庫を貼る!$B$6:$B$10005,$B58,①今日の在庫を貼る!$I$6:$I$10005,$I58)&gt;0,N(U57),N(U57)+1))</f>
        <v>0</v>
      </c>
    </row>
    <row r="59" customFormat="false" ht="15" hidden="false" customHeight="false" outlineLevel="0" collapsed="false">
      <c r="A59" s="0" t="n">
        <v>20260301</v>
      </c>
      <c r="B59" s="53" t="s">
        <v>171</v>
      </c>
      <c r="C59" s="54" t="s">
        <v>172</v>
      </c>
      <c r="D59" s="55" t="s">
        <v>191</v>
      </c>
      <c r="E59" s="54" t="s">
        <v>192</v>
      </c>
      <c r="F59" s="55" t="s">
        <v>175</v>
      </c>
      <c r="G59" s="55" t="s">
        <v>298</v>
      </c>
      <c r="H59" s="54" t="s">
        <v>299</v>
      </c>
      <c r="I59" s="53" t="s">
        <v>302</v>
      </c>
      <c r="J59" s="54" t="s">
        <v>303</v>
      </c>
      <c r="K59" s="0" t="n">
        <v>100</v>
      </c>
      <c r="L59" s="0" t="n">
        <v>23</v>
      </c>
      <c r="M59" s="0" t="n">
        <v>16</v>
      </c>
      <c r="N59" s="0" t="n">
        <v>2316</v>
      </c>
      <c r="P59" s="0" t="n">
        <v>0</v>
      </c>
      <c r="Q59" s="0" t="n">
        <v>107</v>
      </c>
      <c r="R59" s="54" t="s">
        <v>180</v>
      </c>
      <c r="S59" s="0" t="n">
        <v>0.08</v>
      </c>
      <c r="U59" s="31" t="n">
        <f aca="false">IF($B59&lt;&gt;'設定（最初に1回）'!$C$4,N(U58),IF(COUNTIFS(①今日の在庫を貼る!$B$6:$B$10005,$B59,①今日の在庫を貼る!$I$6:$I$10005,$I59)&gt;0,N(U58),N(U58)+1))</f>
        <v>0</v>
      </c>
    </row>
    <row r="60" customFormat="false" ht="15" hidden="false" customHeight="false" outlineLevel="0" collapsed="false">
      <c r="A60" s="0" t="n">
        <v>20260301</v>
      </c>
      <c r="B60" s="53" t="s">
        <v>171</v>
      </c>
      <c r="C60" s="54" t="s">
        <v>172</v>
      </c>
      <c r="D60" s="55" t="s">
        <v>191</v>
      </c>
      <c r="E60" s="54" t="s">
        <v>192</v>
      </c>
      <c r="F60" s="55" t="s">
        <v>175</v>
      </c>
      <c r="G60" s="55" t="s">
        <v>298</v>
      </c>
      <c r="H60" s="54" t="s">
        <v>299</v>
      </c>
      <c r="I60" s="53" t="s">
        <v>304</v>
      </c>
      <c r="J60" s="54" t="s">
        <v>305</v>
      </c>
      <c r="K60" s="0" t="n">
        <v>1</v>
      </c>
      <c r="L60" s="0" t="n">
        <v>8</v>
      </c>
      <c r="M60" s="0" t="n">
        <v>0</v>
      </c>
      <c r="N60" s="0" t="n">
        <v>8</v>
      </c>
      <c r="P60" s="0" t="n">
        <v>0</v>
      </c>
      <c r="Q60" s="0" t="n">
        <v>1181</v>
      </c>
      <c r="R60" s="54" t="s">
        <v>180</v>
      </c>
      <c r="S60" s="0" t="n">
        <v>0.08</v>
      </c>
      <c r="U60" s="31" t="n">
        <f aca="false">IF($B60&lt;&gt;'設定（最初に1回）'!$C$4,N(U59),IF(COUNTIFS(①今日の在庫を貼る!$B$6:$B$10005,$B60,①今日の在庫を貼る!$I$6:$I$10005,$I60)&gt;0,N(U59),N(U59)+1))</f>
        <v>0</v>
      </c>
    </row>
    <row r="61" customFormat="false" ht="15" hidden="false" customHeight="false" outlineLevel="0" collapsed="false">
      <c r="A61" s="0" t="n">
        <v>20260301</v>
      </c>
      <c r="B61" s="53" t="s">
        <v>171</v>
      </c>
      <c r="C61" s="54" t="s">
        <v>172</v>
      </c>
      <c r="D61" s="55" t="s">
        <v>191</v>
      </c>
      <c r="E61" s="54" t="s">
        <v>192</v>
      </c>
      <c r="F61" s="55" t="s">
        <v>175</v>
      </c>
      <c r="G61" s="55" t="s">
        <v>298</v>
      </c>
      <c r="H61" s="54" t="s">
        <v>299</v>
      </c>
      <c r="I61" s="53" t="s">
        <v>306</v>
      </c>
      <c r="J61" s="54" t="s">
        <v>307</v>
      </c>
      <c r="K61" s="0" t="n">
        <v>1</v>
      </c>
      <c r="L61" s="0" t="n">
        <v>36</v>
      </c>
      <c r="M61" s="0" t="n">
        <v>0</v>
      </c>
      <c r="N61" s="0" t="n">
        <v>36</v>
      </c>
      <c r="P61" s="0" t="n">
        <v>0</v>
      </c>
      <c r="Q61" s="0" t="n">
        <v>1181</v>
      </c>
      <c r="R61" s="54" t="s">
        <v>180</v>
      </c>
      <c r="S61" s="0" t="n">
        <v>0.08</v>
      </c>
      <c r="U61" s="31" t="n">
        <f aca="false">IF($B61&lt;&gt;'設定（最初に1回）'!$C$4,N(U60),IF(COUNTIFS(①今日の在庫を貼る!$B$6:$B$10005,$B61,①今日の在庫を貼る!$I$6:$I$10005,$I61)&gt;0,N(U60),N(U60)+1))</f>
        <v>0</v>
      </c>
    </row>
    <row r="62" customFormat="false" ht="15" hidden="false" customHeight="false" outlineLevel="0" collapsed="false">
      <c r="A62" s="0" t="n">
        <v>20260301</v>
      </c>
      <c r="B62" s="53" t="s">
        <v>171</v>
      </c>
      <c r="C62" s="54" t="s">
        <v>172</v>
      </c>
      <c r="D62" s="55" t="s">
        <v>191</v>
      </c>
      <c r="E62" s="54" t="s">
        <v>192</v>
      </c>
      <c r="F62" s="55" t="s">
        <v>175</v>
      </c>
      <c r="G62" s="55" t="s">
        <v>298</v>
      </c>
      <c r="H62" s="54" t="s">
        <v>299</v>
      </c>
      <c r="I62" s="53" t="s">
        <v>308</v>
      </c>
      <c r="J62" s="54" t="s">
        <v>309</v>
      </c>
      <c r="K62" s="0" t="n">
        <v>1</v>
      </c>
      <c r="L62" s="0" t="n">
        <v>8</v>
      </c>
      <c r="M62" s="0" t="n">
        <v>0</v>
      </c>
      <c r="N62" s="0" t="n">
        <v>8</v>
      </c>
      <c r="P62" s="0" t="n">
        <v>0</v>
      </c>
      <c r="Q62" s="0" t="n">
        <v>1181</v>
      </c>
      <c r="R62" s="54" t="s">
        <v>180</v>
      </c>
      <c r="S62" s="0" t="n">
        <v>0.08</v>
      </c>
      <c r="U62" s="31" t="n">
        <f aca="false">IF($B62&lt;&gt;'設定（最初に1回）'!$C$4,N(U61),IF(COUNTIFS(①今日の在庫を貼る!$B$6:$B$10005,$B62,①今日の在庫を貼る!$I$6:$I$10005,$I62)&gt;0,N(U61),N(U61)+1))</f>
        <v>0</v>
      </c>
    </row>
    <row r="63" customFormat="false" ht="15" hidden="false" customHeight="false" outlineLevel="0" collapsed="false">
      <c r="A63" s="0" t="n">
        <v>20260301</v>
      </c>
      <c r="B63" s="53" t="s">
        <v>171</v>
      </c>
      <c r="C63" s="54" t="s">
        <v>172</v>
      </c>
      <c r="D63" s="55" t="s">
        <v>191</v>
      </c>
      <c r="E63" s="54" t="s">
        <v>192</v>
      </c>
      <c r="F63" s="55" t="s">
        <v>175</v>
      </c>
      <c r="G63" s="55" t="s">
        <v>298</v>
      </c>
      <c r="H63" s="54" t="s">
        <v>299</v>
      </c>
      <c r="I63" s="53" t="s">
        <v>310</v>
      </c>
      <c r="J63" s="54" t="s">
        <v>311</v>
      </c>
      <c r="K63" s="0" t="n">
        <v>1</v>
      </c>
      <c r="L63" s="0" t="n">
        <v>77</v>
      </c>
      <c r="M63" s="0" t="n">
        <v>0</v>
      </c>
      <c r="N63" s="0" t="n">
        <v>77</v>
      </c>
      <c r="P63" s="0" t="n">
        <v>0</v>
      </c>
      <c r="Q63" s="0" t="n">
        <v>1181</v>
      </c>
      <c r="R63" s="54" t="s">
        <v>180</v>
      </c>
      <c r="S63" s="0" t="n">
        <v>0.08</v>
      </c>
      <c r="U63" s="31" t="n">
        <f aca="false">IF($B63&lt;&gt;'設定（最初に1回）'!$C$4,N(U62),IF(COUNTIFS(①今日の在庫を貼る!$B$6:$B$10005,$B63,①今日の在庫を貼る!$I$6:$I$10005,$I63)&gt;0,N(U62),N(U62)+1))</f>
        <v>0</v>
      </c>
    </row>
    <row r="64" customFormat="false" ht="15" hidden="false" customHeight="false" outlineLevel="0" collapsed="false">
      <c r="A64" s="0" t="n">
        <v>20260301</v>
      </c>
      <c r="B64" s="53" t="s">
        <v>171</v>
      </c>
      <c r="C64" s="54" t="s">
        <v>172</v>
      </c>
      <c r="D64" s="55" t="s">
        <v>191</v>
      </c>
      <c r="E64" s="54" t="s">
        <v>192</v>
      </c>
      <c r="F64" s="55" t="s">
        <v>175</v>
      </c>
      <c r="G64" s="55" t="s">
        <v>298</v>
      </c>
      <c r="H64" s="54" t="s">
        <v>299</v>
      </c>
      <c r="I64" s="53" t="s">
        <v>312</v>
      </c>
      <c r="J64" s="54" t="s">
        <v>313</v>
      </c>
      <c r="K64" s="0" t="n">
        <v>1</v>
      </c>
      <c r="L64" s="0" t="n">
        <v>82</v>
      </c>
      <c r="M64" s="0" t="n">
        <v>0</v>
      </c>
      <c r="N64" s="0" t="n">
        <v>82</v>
      </c>
      <c r="P64" s="0" t="n">
        <v>0</v>
      </c>
      <c r="Q64" s="0" t="n">
        <v>1181</v>
      </c>
      <c r="R64" s="54" t="s">
        <v>180</v>
      </c>
      <c r="S64" s="0" t="n">
        <v>0.08</v>
      </c>
      <c r="U64" s="31" t="n">
        <f aca="false">IF($B64&lt;&gt;'設定（最初に1回）'!$C$4,N(U63),IF(COUNTIFS(①今日の在庫を貼る!$B$6:$B$10005,$B64,①今日の在庫を貼る!$I$6:$I$10005,$I64)&gt;0,N(U63),N(U63)+1))</f>
        <v>0</v>
      </c>
    </row>
    <row r="65" customFormat="false" ht="15" hidden="false" customHeight="false" outlineLevel="0" collapsed="false">
      <c r="A65" s="0" t="n">
        <v>20260301</v>
      </c>
      <c r="B65" s="53" t="s">
        <v>171</v>
      </c>
      <c r="C65" s="54" t="s">
        <v>172</v>
      </c>
      <c r="D65" s="55" t="s">
        <v>191</v>
      </c>
      <c r="E65" s="54" t="s">
        <v>192</v>
      </c>
      <c r="F65" s="55" t="s">
        <v>175</v>
      </c>
      <c r="G65" s="55" t="s">
        <v>298</v>
      </c>
      <c r="H65" s="54" t="s">
        <v>299</v>
      </c>
      <c r="I65" s="53" t="s">
        <v>314</v>
      </c>
      <c r="J65" s="54" t="s">
        <v>315</v>
      </c>
      <c r="K65" s="0" t="n">
        <v>1</v>
      </c>
      <c r="L65" s="0" t="n">
        <v>8</v>
      </c>
      <c r="M65" s="0" t="n">
        <v>0</v>
      </c>
      <c r="N65" s="0" t="n">
        <v>8</v>
      </c>
      <c r="P65" s="0" t="n">
        <v>0</v>
      </c>
      <c r="Q65" s="0" t="n">
        <v>1181</v>
      </c>
      <c r="R65" s="54" t="s">
        <v>180</v>
      </c>
      <c r="S65" s="0" t="n">
        <v>0.08</v>
      </c>
      <c r="U65" s="31" t="n">
        <f aca="false">IF($B65&lt;&gt;'設定（最初に1回）'!$C$4,N(U64),IF(COUNTIFS(①今日の在庫を貼る!$B$6:$B$10005,$B65,①今日の在庫を貼る!$I$6:$I$10005,$I65)&gt;0,N(U64),N(U64)+1))</f>
        <v>0</v>
      </c>
    </row>
    <row r="66" customFormat="false" ht="15" hidden="false" customHeight="false" outlineLevel="0" collapsed="false">
      <c r="A66" s="0" t="n">
        <v>20260301</v>
      </c>
      <c r="B66" s="53" t="s">
        <v>171</v>
      </c>
      <c r="C66" s="54" t="s">
        <v>172</v>
      </c>
      <c r="D66" s="55" t="s">
        <v>191</v>
      </c>
      <c r="E66" s="54" t="s">
        <v>192</v>
      </c>
      <c r="F66" s="55" t="s">
        <v>175</v>
      </c>
      <c r="G66" s="55" t="s">
        <v>298</v>
      </c>
      <c r="H66" s="54" t="s">
        <v>299</v>
      </c>
      <c r="I66" s="53" t="s">
        <v>316</v>
      </c>
      <c r="J66" s="54" t="s">
        <v>317</v>
      </c>
      <c r="K66" s="0" t="n">
        <v>1</v>
      </c>
      <c r="L66" s="0" t="n">
        <v>5</v>
      </c>
      <c r="M66" s="0" t="n">
        <v>0</v>
      </c>
      <c r="N66" s="0" t="n">
        <v>5</v>
      </c>
      <c r="P66" s="0" t="n">
        <v>0</v>
      </c>
      <c r="Q66" s="0" t="n">
        <v>1181</v>
      </c>
      <c r="R66" s="54" t="s">
        <v>180</v>
      </c>
      <c r="S66" s="0" t="n">
        <v>0.08</v>
      </c>
      <c r="U66" s="31" t="n">
        <f aca="false">IF($B66&lt;&gt;'設定（最初に1回）'!$C$4,N(U65),IF(COUNTIFS(①今日の在庫を貼る!$B$6:$B$10005,$B66,①今日の在庫を貼る!$I$6:$I$10005,$I66)&gt;0,N(U65),N(U65)+1))</f>
        <v>0</v>
      </c>
    </row>
    <row r="67" customFormat="false" ht="15" hidden="false" customHeight="false" outlineLevel="0" collapsed="false">
      <c r="A67" s="0" t="n">
        <v>20260301</v>
      </c>
      <c r="B67" s="53" t="s">
        <v>171</v>
      </c>
      <c r="C67" s="54" t="s">
        <v>172</v>
      </c>
      <c r="D67" s="55" t="s">
        <v>191</v>
      </c>
      <c r="E67" s="54" t="s">
        <v>192</v>
      </c>
      <c r="F67" s="55" t="s">
        <v>175</v>
      </c>
      <c r="G67" s="55" t="s">
        <v>298</v>
      </c>
      <c r="H67" s="54" t="s">
        <v>299</v>
      </c>
      <c r="I67" s="53" t="s">
        <v>318</v>
      </c>
      <c r="J67" s="54" t="s">
        <v>319</v>
      </c>
      <c r="K67" s="0" t="n">
        <v>1</v>
      </c>
      <c r="L67" s="0" t="n">
        <v>148</v>
      </c>
      <c r="M67" s="0" t="n">
        <v>0</v>
      </c>
      <c r="N67" s="0" t="n">
        <v>148</v>
      </c>
      <c r="P67" s="0" t="n">
        <v>0</v>
      </c>
      <c r="Q67" s="0" t="n">
        <v>730</v>
      </c>
      <c r="R67" s="54" t="s">
        <v>180</v>
      </c>
      <c r="S67" s="0" t="n">
        <v>0.08</v>
      </c>
      <c r="U67" s="31" t="n">
        <f aca="false">IF($B67&lt;&gt;'設定（最初に1回）'!$C$4,N(U66),IF(COUNTIFS(①今日の在庫を貼る!$B$6:$B$10005,$B67,①今日の在庫を貼る!$I$6:$I$10005,$I67)&gt;0,N(U66),N(U66)+1))</f>
        <v>0</v>
      </c>
    </row>
    <row r="68" customFormat="false" ht="15" hidden="false" customHeight="false" outlineLevel="0" collapsed="false">
      <c r="A68" s="0" t="n">
        <v>20260301</v>
      </c>
      <c r="B68" s="53" t="s">
        <v>171</v>
      </c>
      <c r="C68" s="54" t="s">
        <v>172</v>
      </c>
      <c r="D68" s="55" t="s">
        <v>191</v>
      </c>
      <c r="E68" s="54" t="s">
        <v>192</v>
      </c>
      <c r="F68" s="55" t="s">
        <v>175</v>
      </c>
      <c r="G68" s="55" t="s">
        <v>298</v>
      </c>
      <c r="H68" s="54" t="s">
        <v>299</v>
      </c>
      <c r="I68" s="53" t="s">
        <v>320</v>
      </c>
      <c r="J68" s="54" t="s">
        <v>321</v>
      </c>
      <c r="K68" s="0" t="n">
        <v>1</v>
      </c>
      <c r="L68" s="0" t="n">
        <v>98</v>
      </c>
      <c r="M68" s="0" t="n">
        <v>0</v>
      </c>
      <c r="N68" s="0" t="n">
        <v>98</v>
      </c>
      <c r="P68" s="0" t="n">
        <v>0</v>
      </c>
      <c r="Q68" s="0" t="n">
        <v>804</v>
      </c>
      <c r="R68" s="54" t="s">
        <v>180</v>
      </c>
      <c r="S68" s="0" t="n">
        <v>0.08</v>
      </c>
      <c r="U68" s="31" t="n">
        <f aca="false">IF($B68&lt;&gt;'設定（最初に1回）'!$C$4,N(U67),IF(COUNTIFS(①今日の在庫を貼る!$B$6:$B$10005,$B68,①今日の在庫を貼る!$I$6:$I$10005,$I68)&gt;0,N(U67),N(U67)+1))</f>
        <v>0</v>
      </c>
    </row>
    <row r="69" customFormat="false" ht="15" hidden="false" customHeight="false" outlineLevel="0" collapsed="false">
      <c r="A69" s="0" t="n">
        <v>20260301</v>
      </c>
      <c r="B69" s="53" t="s">
        <v>171</v>
      </c>
      <c r="C69" s="54" t="s">
        <v>172</v>
      </c>
      <c r="D69" s="55" t="s">
        <v>191</v>
      </c>
      <c r="E69" s="54" t="s">
        <v>192</v>
      </c>
      <c r="F69" s="55" t="s">
        <v>175</v>
      </c>
      <c r="G69" s="55" t="s">
        <v>298</v>
      </c>
      <c r="H69" s="54" t="s">
        <v>299</v>
      </c>
      <c r="I69" s="53" t="s">
        <v>322</v>
      </c>
      <c r="J69" s="54" t="s">
        <v>323</v>
      </c>
      <c r="K69" s="0" t="n">
        <v>1</v>
      </c>
      <c r="L69" s="0" t="n">
        <v>39</v>
      </c>
      <c r="M69" s="0" t="n">
        <v>0</v>
      </c>
      <c r="N69" s="0" t="n">
        <v>39</v>
      </c>
      <c r="P69" s="0" t="n">
        <v>0</v>
      </c>
      <c r="Q69" s="0" t="n">
        <v>1181</v>
      </c>
      <c r="R69" s="54" t="s">
        <v>180</v>
      </c>
      <c r="S69" s="0" t="n">
        <v>0.08</v>
      </c>
      <c r="U69" s="31" t="n">
        <f aca="false">IF($B69&lt;&gt;'設定（最初に1回）'!$C$4,N(U68),IF(COUNTIFS(①今日の在庫を貼る!$B$6:$B$10005,$B69,①今日の在庫を貼る!$I$6:$I$10005,$I69)&gt;0,N(U68),N(U68)+1))</f>
        <v>0</v>
      </c>
    </row>
    <row r="70" customFormat="false" ht="15" hidden="false" customHeight="false" outlineLevel="0" collapsed="false">
      <c r="A70" s="0" t="n">
        <v>20260301</v>
      </c>
      <c r="B70" s="53" t="s">
        <v>171</v>
      </c>
      <c r="C70" s="54" t="s">
        <v>172</v>
      </c>
      <c r="D70" s="55" t="s">
        <v>191</v>
      </c>
      <c r="E70" s="54" t="s">
        <v>192</v>
      </c>
      <c r="F70" s="55" t="s">
        <v>175</v>
      </c>
      <c r="G70" s="55" t="s">
        <v>324</v>
      </c>
      <c r="H70" s="54" t="s">
        <v>325</v>
      </c>
      <c r="I70" s="53" t="s">
        <v>326</v>
      </c>
      <c r="J70" s="54" t="s">
        <v>327</v>
      </c>
      <c r="K70" s="0" t="n">
        <v>120</v>
      </c>
      <c r="L70" s="0" t="n">
        <v>2</v>
      </c>
      <c r="M70" s="0" t="n">
        <v>16</v>
      </c>
      <c r="N70" s="0" t="n">
        <v>256</v>
      </c>
      <c r="P70" s="0" t="n">
        <v>0</v>
      </c>
      <c r="Q70" s="0" t="n">
        <v>174</v>
      </c>
      <c r="R70" s="54" t="s">
        <v>180</v>
      </c>
      <c r="S70" s="0" t="n">
        <v>0.08</v>
      </c>
      <c r="U70" s="31" t="n">
        <f aca="false">IF($B70&lt;&gt;'設定（最初に1回）'!$C$4,N(U69),IF(COUNTIFS(①今日の在庫を貼る!$B$6:$B$10005,$B70,①今日の在庫を貼る!$I$6:$I$10005,$I70)&gt;0,N(U69),N(U69)+1))</f>
        <v>0</v>
      </c>
    </row>
    <row r="71" customFormat="false" ht="15" hidden="false" customHeight="false" outlineLevel="0" collapsed="false">
      <c r="A71" s="0" t="n">
        <v>20260301</v>
      </c>
      <c r="B71" s="53" t="s">
        <v>171</v>
      </c>
      <c r="C71" s="54" t="s">
        <v>172</v>
      </c>
      <c r="D71" s="55" t="s">
        <v>191</v>
      </c>
      <c r="E71" s="54" t="s">
        <v>192</v>
      </c>
      <c r="F71" s="55" t="s">
        <v>175</v>
      </c>
      <c r="G71" s="55" t="s">
        <v>324</v>
      </c>
      <c r="H71" s="54" t="s">
        <v>325</v>
      </c>
      <c r="I71" s="53" t="s">
        <v>328</v>
      </c>
      <c r="J71" s="54" t="s">
        <v>329</v>
      </c>
      <c r="K71" s="0" t="n">
        <v>120</v>
      </c>
      <c r="L71" s="0" t="n">
        <v>11</v>
      </c>
      <c r="M71" s="0" t="n">
        <v>60</v>
      </c>
      <c r="N71" s="0" t="n">
        <v>1380</v>
      </c>
      <c r="P71" s="0" t="n">
        <v>0</v>
      </c>
      <c r="Q71" s="0" t="n">
        <v>162</v>
      </c>
      <c r="R71" s="54" t="s">
        <v>180</v>
      </c>
      <c r="S71" s="0" t="n">
        <v>0.08</v>
      </c>
      <c r="U71" s="31" t="n">
        <f aca="false">IF($B71&lt;&gt;'設定（最初に1回）'!$C$4,N(U70),IF(COUNTIFS(①今日の在庫を貼る!$B$6:$B$10005,$B71,①今日の在庫を貼る!$I$6:$I$10005,$I71)&gt;0,N(U70),N(U70)+1))</f>
        <v>0</v>
      </c>
    </row>
    <row r="72" customFormat="false" ht="15" hidden="false" customHeight="false" outlineLevel="0" collapsed="false">
      <c r="A72" s="0" t="n">
        <v>20260301</v>
      </c>
      <c r="B72" s="53" t="s">
        <v>171</v>
      </c>
      <c r="C72" s="54" t="s">
        <v>172</v>
      </c>
      <c r="D72" s="55" t="s">
        <v>191</v>
      </c>
      <c r="E72" s="54" t="s">
        <v>192</v>
      </c>
      <c r="F72" s="55" t="s">
        <v>175</v>
      </c>
      <c r="G72" s="55" t="s">
        <v>330</v>
      </c>
      <c r="H72" s="54" t="s">
        <v>331</v>
      </c>
      <c r="I72" s="53" t="s">
        <v>332</v>
      </c>
      <c r="J72" s="54" t="s">
        <v>333</v>
      </c>
      <c r="K72" s="0" t="n">
        <v>1</v>
      </c>
      <c r="L72" s="0" t="n">
        <v>161</v>
      </c>
      <c r="M72" s="0" t="n">
        <v>0</v>
      </c>
      <c r="N72" s="0" t="n">
        <v>161</v>
      </c>
      <c r="P72" s="0" t="n">
        <v>0</v>
      </c>
      <c r="Q72" s="0" t="n">
        <v>458</v>
      </c>
      <c r="R72" s="54" t="s">
        <v>180</v>
      </c>
      <c r="S72" s="0" t="n">
        <v>0.08</v>
      </c>
      <c r="U72" s="31" t="n">
        <f aca="false">IF($B72&lt;&gt;'設定（最初に1回）'!$C$4,N(U71),IF(COUNTIFS(①今日の在庫を貼る!$B$6:$B$10005,$B72,①今日の在庫を貼る!$I$6:$I$10005,$I72)&gt;0,N(U71),N(U71)+1))</f>
        <v>0</v>
      </c>
    </row>
    <row r="73" customFormat="false" ht="15" hidden="false" customHeight="false" outlineLevel="0" collapsed="false">
      <c r="A73" s="0" t="n">
        <v>20260301</v>
      </c>
      <c r="B73" s="53" t="s">
        <v>171</v>
      </c>
      <c r="C73" s="54" t="s">
        <v>172</v>
      </c>
      <c r="D73" s="55" t="s">
        <v>191</v>
      </c>
      <c r="E73" s="54" t="s">
        <v>192</v>
      </c>
      <c r="F73" s="55" t="s">
        <v>175</v>
      </c>
      <c r="G73" s="55" t="s">
        <v>330</v>
      </c>
      <c r="H73" s="54" t="s">
        <v>331</v>
      </c>
      <c r="I73" s="53" t="s">
        <v>334</v>
      </c>
      <c r="J73" s="54" t="s">
        <v>335</v>
      </c>
      <c r="K73" s="0" t="n">
        <v>1</v>
      </c>
      <c r="L73" s="0" t="n">
        <v>16</v>
      </c>
      <c r="M73" s="0" t="n">
        <v>0</v>
      </c>
      <c r="N73" s="0" t="n">
        <v>16</v>
      </c>
      <c r="P73" s="0" t="n">
        <v>0</v>
      </c>
      <c r="Q73" s="0" t="n">
        <v>452</v>
      </c>
      <c r="R73" s="54" t="s">
        <v>180</v>
      </c>
      <c r="S73" s="0" t="n">
        <v>0.08</v>
      </c>
      <c r="U73" s="31" t="n">
        <f aca="false">IF($B73&lt;&gt;'設定（最初に1回）'!$C$4,N(U72),IF(COUNTIFS(①今日の在庫を貼る!$B$6:$B$10005,$B73,①今日の在庫を貼る!$I$6:$I$10005,$I73)&gt;0,N(U72),N(U72)+1))</f>
        <v>0</v>
      </c>
    </row>
    <row r="74" customFormat="false" ht="15" hidden="false" customHeight="false" outlineLevel="0" collapsed="false">
      <c r="A74" s="0" t="n">
        <v>20260301</v>
      </c>
      <c r="B74" s="53" t="s">
        <v>171</v>
      </c>
      <c r="C74" s="54" t="s">
        <v>172</v>
      </c>
      <c r="D74" s="55" t="s">
        <v>191</v>
      </c>
      <c r="E74" s="54" t="s">
        <v>192</v>
      </c>
      <c r="F74" s="55" t="s">
        <v>175</v>
      </c>
      <c r="G74" s="55" t="s">
        <v>330</v>
      </c>
      <c r="H74" s="54" t="s">
        <v>331</v>
      </c>
      <c r="I74" s="53" t="s">
        <v>336</v>
      </c>
      <c r="J74" s="54" t="s">
        <v>337</v>
      </c>
      <c r="K74" s="0" t="n">
        <v>1</v>
      </c>
      <c r="L74" s="0" t="n">
        <v>72</v>
      </c>
      <c r="M74" s="0" t="n">
        <v>0</v>
      </c>
      <c r="N74" s="0" t="n">
        <v>72</v>
      </c>
      <c r="P74" s="0" t="n">
        <v>0</v>
      </c>
      <c r="Q74" s="0" t="n">
        <v>371</v>
      </c>
      <c r="R74" s="54" t="s">
        <v>180</v>
      </c>
      <c r="S74" s="0" t="n">
        <v>0.08</v>
      </c>
      <c r="U74" s="31" t="n">
        <f aca="false">IF($B74&lt;&gt;'設定（最初に1回）'!$C$4,N(U73),IF(COUNTIFS(①今日の在庫を貼る!$B$6:$B$10005,$B74,①今日の在庫を貼る!$I$6:$I$10005,$I74)&gt;0,N(U73),N(U73)+1))</f>
        <v>0</v>
      </c>
    </row>
    <row r="75" customFormat="false" ht="15" hidden="false" customHeight="false" outlineLevel="0" collapsed="false">
      <c r="A75" s="0" t="n">
        <v>20260301</v>
      </c>
      <c r="B75" s="53" t="s">
        <v>171</v>
      </c>
      <c r="C75" s="54" t="s">
        <v>172</v>
      </c>
      <c r="D75" s="55" t="s">
        <v>191</v>
      </c>
      <c r="E75" s="54" t="s">
        <v>192</v>
      </c>
      <c r="F75" s="55" t="s">
        <v>175</v>
      </c>
      <c r="G75" s="55" t="s">
        <v>330</v>
      </c>
      <c r="H75" s="54" t="s">
        <v>331</v>
      </c>
      <c r="I75" s="53" t="s">
        <v>338</v>
      </c>
      <c r="J75" s="54" t="s">
        <v>339</v>
      </c>
      <c r="K75" s="0" t="n">
        <v>1</v>
      </c>
      <c r="L75" s="0" t="n">
        <v>69</v>
      </c>
      <c r="M75" s="0" t="n">
        <v>0</v>
      </c>
      <c r="N75" s="0" t="n">
        <v>69</v>
      </c>
      <c r="P75" s="0" t="n">
        <v>0</v>
      </c>
      <c r="Q75" s="0" t="n">
        <v>822</v>
      </c>
      <c r="R75" s="54" t="s">
        <v>180</v>
      </c>
      <c r="S75" s="0" t="n">
        <v>0.08</v>
      </c>
      <c r="U75" s="31" t="n">
        <f aca="false">IF($B75&lt;&gt;'設定（最初に1回）'!$C$4,N(U74),IF(COUNTIFS(①今日の在庫を貼る!$B$6:$B$10005,$B75,①今日の在庫を貼る!$I$6:$I$10005,$I75)&gt;0,N(U74),N(U74)+1))</f>
        <v>0</v>
      </c>
    </row>
    <row r="76" customFormat="false" ht="15" hidden="false" customHeight="false" outlineLevel="0" collapsed="false">
      <c r="A76" s="0" t="n">
        <v>20260301</v>
      </c>
      <c r="B76" s="53" t="s">
        <v>171</v>
      </c>
      <c r="C76" s="54" t="s">
        <v>172</v>
      </c>
      <c r="D76" s="55" t="s">
        <v>191</v>
      </c>
      <c r="E76" s="54" t="s">
        <v>192</v>
      </c>
      <c r="F76" s="55" t="s">
        <v>175</v>
      </c>
      <c r="G76" s="55" t="s">
        <v>340</v>
      </c>
      <c r="H76" s="54" t="s">
        <v>341</v>
      </c>
      <c r="I76" s="53" t="s">
        <v>342</v>
      </c>
      <c r="J76" s="54" t="s">
        <v>343</v>
      </c>
      <c r="K76" s="0" t="n">
        <v>50</v>
      </c>
      <c r="L76" s="0" t="n">
        <v>0</v>
      </c>
      <c r="M76" s="0" t="n">
        <v>8</v>
      </c>
      <c r="N76" s="0" t="n">
        <v>8</v>
      </c>
      <c r="P76" s="0" t="n">
        <v>0</v>
      </c>
      <c r="Q76" s="0" t="n">
        <v>274</v>
      </c>
      <c r="R76" s="54" t="s">
        <v>180</v>
      </c>
      <c r="S76" s="0" t="n">
        <v>0.1</v>
      </c>
      <c r="U76" s="31" t="n">
        <f aca="false">IF($B76&lt;&gt;'設定（最初に1回）'!$C$4,N(U75),IF(COUNTIFS(①今日の在庫を貼る!$B$6:$B$10005,$B76,①今日の在庫を貼る!$I$6:$I$10005,$I76)&gt;0,N(U75),N(U75)+1))</f>
        <v>0</v>
      </c>
    </row>
    <row r="77" customFormat="false" ht="15" hidden="false" customHeight="false" outlineLevel="0" collapsed="false">
      <c r="A77" s="0" t="n">
        <v>20260301</v>
      </c>
      <c r="B77" s="53" t="s">
        <v>171</v>
      </c>
      <c r="C77" s="54" t="s">
        <v>172</v>
      </c>
      <c r="D77" s="55" t="s">
        <v>191</v>
      </c>
      <c r="E77" s="54" t="s">
        <v>192</v>
      </c>
      <c r="F77" s="55" t="s">
        <v>175</v>
      </c>
      <c r="G77" s="55" t="s">
        <v>340</v>
      </c>
      <c r="H77" s="54" t="s">
        <v>341</v>
      </c>
      <c r="I77" s="53" t="s">
        <v>344</v>
      </c>
      <c r="J77" s="54" t="s">
        <v>345</v>
      </c>
      <c r="K77" s="0" t="n">
        <v>50</v>
      </c>
      <c r="L77" s="0" t="n">
        <v>0</v>
      </c>
      <c r="M77" s="0" t="n">
        <v>3</v>
      </c>
      <c r="N77" s="0" t="n">
        <v>3</v>
      </c>
      <c r="P77" s="0" t="n">
        <v>0</v>
      </c>
      <c r="Q77" s="0" t="n">
        <v>393</v>
      </c>
      <c r="R77" s="54" t="s">
        <v>180</v>
      </c>
      <c r="S77" s="0" t="n">
        <v>0.1</v>
      </c>
      <c r="U77" s="31" t="n">
        <f aca="false">IF($B77&lt;&gt;'設定（最初に1回）'!$C$4,N(U76),IF(COUNTIFS(①今日の在庫を貼る!$B$6:$B$10005,$B77,①今日の在庫を貼る!$I$6:$I$10005,$I77)&gt;0,N(U76),N(U76)+1))</f>
        <v>0</v>
      </c>
    </row>
    <row r="78" customFormat="false" ht="15" hidden="false" customHeight="false" outlineLevel="0" collapsed="false">
      <c r="A78" s="0" t="n">
        <v>20260301</v>
      </c>
      <c r="B78" s="53" t="s">
        <v>171</v>
      </c>
      <c r="C78" s="54" t="s">
        <v>172</v>
      </c>
      <c r="D78" s="55" t="s">
        <v>191</v>
      </c>
      <c r="E78" s="54" t="s">
        <v>192</v>
      </c>
      <c r="F78" s="55" t="s">
        <v>175</v>
      </c>
      <c r="G78" s="55" t="s">
        <v>346</v>
      </c>
      <c r="H78" s="54" t="s">
        <v>347</v>
      </c>
      <c r="I78" s="53" t="s">
        <v>348</v>
      </c>
      <c r="J78" s="54" t="s">
        <v>349</v>
      </c>
      <c r="K78" s="0" t="n">
        <v>1000</v>
      </c>
      <c r="L78" s="0" t="n">
        <v>8</v>
      </c>
      <c r="M78" s="0" t="n">
        <v>636</v>
      </c>
      <c r="N78" s="0" t="n">
        <v>8636</v>
      </c>
      <c r="P78" s="0" t="n">
        <v>0</v>
      </c>
      <c r="Q78" s="0" t="n">
        <v>9</v>
      </c>
      <c r="R78" s="54" t="s">
        <v>180</v>
      </c>
      <c r="S78" s="0" t="n">
        <v>0.1</v>
      </c>
      <c r="U78" s="31" t="n">
        <f aca="false">IF($B78&lt;&gt;'設定（最初に1回）'!$C$4,N(U77),IF(COUNTIFS(①今日の在庫を貼る!$B$6:$B$10005,$B78,①今日の在庫を貼る!$I$6:$I$10005,$I78)&gt;0,N(U77),N(U77)+1))</f>
        <v>0</v>
      </c>
    </row>
    <row r="79" customFormat="false" ht="15" hidden="false" customHeight="false" outlineLevel="0" collapsed="false">
      <c r="A79" s="0" t="n">
        <v>20260301</v>
      </c>
      <c r="B79" s="53" t="s">
        <v>171</v>
      </c>
      <c r="C79" s="54" t="s">
        <v>172</v>
      </c>
      <c r="D79" s="55" t="s">
        <v>191</v>
      </c>
      <c r="E79" s="54" t="s">
        <v>192</v>
      </c>
      <c r="F79" s="55" t="s">
        <v>175</v>
      </c>
      <c r="G79" s="55" t="s">
        <v>346</v>
      </c>
      <c r="H79" s="54" t="s">
        <v>347</v>
      </c>
      <c r="I79" s="53" t="s">
        <v>350</v>
      </c>
      <c r="J79" s="54" t="s">
        <v>351</v>
      </c>
      <c r="K79" s="0" t="n">
        <v>2000</v>
      </c>
      <c r="L79" s="0" t="n">
        <v>8</v>
      </c>
      <c r="M79" s="0" t="n">
        <v>913</v>
      </c>
      <c r="N79" s="0" t="n">
        <v>16913</v>
      </c>
      <c r="P79" s="0" t="n">
        <v>0</v>
      </c>
      <c r="Q79" s="0" t="n">
        <v>5.6</v>
      </c>
      <c r="R79" s="54" t="s">
        <v>180</v>
      </c>
      <c r="S79" s="0" t="n">
        <v>0.1</v>
      </c>
      <c r="U79" s="31" t="n">
        <f aca="false">IF($B79&lt;&gt;'設定（最初に1回）'!$C$4,N(U78),IF(COUNTIFS(①今日の在庫を貼る!$B$6:$B$10005,$B79,①今日の在庫を貼る!$I$6:$I$10005,$I79)&gt;0,N(U78),N(U78)+1))</f>
        <v>0</v>
      </c>
    </row>
    <row r="80" customFormat="false" ht="15" hidden="false" customHeight="false" outlineLevel="0" collapsed="false">
      <c r="A80" s="0" t="n">
        <v>20260301</v>
      </c>
      <c r="B80" s="53" t="s">
        <v>171</v>
      </c>
      <c r="C80" s="54" t="s">
        <v>172</v>
      </c>
      <c r="D80" s="55" t="s">
        <v>191</v>
      </c>
      <c r="E80" s="54" t="s">
        <v>192</v>
      </c>
      <c r="F80" s="55" t="s">
        <v>175</v>
      </c>
      <c r="G80" s="55" t="s">
        <v>346</v>
      </c>
      <c r="H80" s="54" t="s">
        <v>347</v>
      </c>
      <c r="I80" s="53" t="s">
        <v>352</v>
      </c>
      <c r="J80" s="54" t="s">
        <v>353</v>
      </c>
      <c r="K80" s="0" t="n">
        <v>1500</v>
      </c>
      <c r="L80" s="0" t="n">
        <v>5</v>
      </c>
      <c r="M80" s="0" t="n">
        <v>185</v>
      </c>
      <c r="N80" s="0" t="n">
        <v>7685</v>
      </c>
      <c r="P80" s="0" t="n">
        <v>0</v>
      </c>
      <c r="Q80" s="0" t="n">
        <v>9</v>
      </c>
      <c r="R80" s="54" t="s">
        <v>180</v>
      </c>
      <c r="S80" s="0" t="n">
        <v>0.1</v>
      </c>
      <c r="U80" s="31" t="n">
        <f aca="false">IF($B80&lt;&gt;'設定（最初に1回）'!$C$4,N(U79),IF(COUNTIFS(①今日の在庫を貼る!$B$6:$B$10005,$B80,①今日の在庫を貼る!$I$6:$I$10005,$I80)&gt;0,N(U79),N(U79)+1))</f>
        <v>0</v>
      </c>
    </row>
    <row r="81" customFormat="false" ht="15" hidden="false" customHeight="false" outlineLevel="0" collapsed="false">
      <c r="A81" s="0" t="n">
        <v>20260301</v>
      </c>
      <c r="B81" s="53" t="s">
        <v>171</v>
      </c>
      <c r="C81" s="54" t="s">
        <v>172</v>
      </c>
      <c r="D81" s="55" t="s">
        <v>191</v>
      </c>
      <c r="E81" s="54" t="s">
        <v>192</v>
      </c>
      <c r="F81" s="55" t="s">
        <v>175</v>
      </c>
      <c r="G81" s="55" t="s">
        <v>346</v>
      </c>
      <c r="H81" s="54" t="s">
        <v>347</v>
      </c>
      <c r="I81" s="53" t="s">
        <v>354</v>
      </c>
      <c r="J81" s="54" t="s">
        <v>355</v>
      </c>
      <c r="K81" s="0" t="n">
        <v>3000</v>
      </c>
      <c r="L81" s="0" t="n">
        <v>10</v>
      </c>
      <c r="M81" s="0" t="n">
        <v>945</v>
      </c>
      <c r="N81" s="0" t="n">
        <v>30945</v>
      </c>
      <c r="P81" s="0" t="n">
        <v>0</v>
      </c>
      <c r="Q81" s="0" t="n">
        <v>3.26</v>
      </c>
      <c r="R81" s="54" t="s">
        <v>180</v>
      </c>
      <c r="S81" s="0" t="n">
        <v>0.1</v>
      </c>
      <c r="U81" s="31" t="n">
        <f aca="false">IF($B81&lt;&gt;'設定（最初に1回）'!$C$4,N(U80),IF(COUNTIFS(①今日の在庫を貼る!$B$6:$B$10005,$B81,①今日の在庫を貼る!$I$6:$I$10005,$I81)&gt;0,N(U80),N(U80)+1))</f>
        <v>0</v>
      </c>
    </row>
    <row r="82" customFormat="false" ht="15" hidden="false" customHeight="false" outlineLevel="0" collapsed="false">
      <c r="A82" s="0" t="n">
        <v>20260301</v>
      </c>
      <c r="B82" s="53" t="s">
        <v>171</v>
      </c>
      <c r="C82" s="54" t="s">
        <v>172</v>
      </c>
      <c r="D82" s="55" t="s">
        <v>191</v>
      </c>
      <c r="E82" s="54" t="s">
        <v>192</v>
      </c>
      <c r="F82" s="55" t="s">
        <v>175</v>
      </c>
      <c r="G82" s="55" t="s">
        <v>346</v>
      </c>
      <c r="H82" s="54" t="s">
        <v>347</v>
      </c>
      <c r="I82" s="53" t="s">
        <v>356</v>
      </c>
      <c r="J82" s="54" t="s">
        <v>357</v>
      </c>
      <c r="K82" s="0" t="n">
        <v>10000</v>
      </c>
      <c r="L82" s="0" t="n">
        <v>0</v>
      </c>
      <c r="M82" s="0" t="n">
        <v>2</v>
      </c>
      <c r="N82" s="0" t="n">
        <v>2</v>
      </c>
      <c r="P82" s="0" t="n">
        <v>0</v>
      </c>
      <c r="Q82" s="0" t="n">
        <v>1.05</v>
      </c>
      <c r="R82" s="54" t="s">
        <v>180</v>
      </c>
      <c r="S82" s="0" t="n">
        <v>0.1</v>
      </c>
      <c r="U82" s="31" t="n">
        <f aca="false">IF($B82&lt;&gt;'設定（最初に1回）'!$C$4,N(U81),IF(COUNTIFS(①今日の在庫を貼る!$B$6:$B$10005,$B82,①今日の在庫を貼る!$I$6:$I$10005,$I82)&gt;0,N(U81),N(U81)+1))</f>
        <v>0</v>
      </c>
    </row>
    <row r="83" customFormat="false" ht="15" hidden="false" customHeight="false" outlineLevel="0" collapsed="false">
      <c r="A83" s="0" t="n">
        <v>20260301</v>
      </c>
      <c r="B83" s="53" t="s">
        <v>171</v>
      </c>
      <c r="C83" s="54" t="s">
        <v>172</v>
      </c>
      <c r="D83" s="55" t="s">
        <v>191</v>
      </c>
      <c r="E83" s="54" t="s">
        <v>192</v>
      </c>
      <c r="F83" s="55" t="s">
        <v>175</v>
      </c>
      <c r="G83" s="55" t="s">
        <v>346</v>
      </c>
      <c r="H83" s="54" t="s">
        <v>347</v>
      </c>
      <c r="I83" s="53" t="s">
        <v>358</v>
      </c>
      <c r="J83" s="54" t="s">
        <v>359</v>
      </c>
      <c r="K83" s="0" t="n">
        <v>10000</v>
      </c>
      <c r="L83" s="0" t="n">
        <v>0</v>
      </c>
      <c r="M83" s="0" t="n">
        <v>1</v>
      </c>
      <c r="N83" s="0" t="n">
        <v>1</v>
      </c>
      <c r="P83" s="0" t="n">
        <v>0</v>
      </c>
      <c r="Q83" s="0" t="n">
        <v>1.05</v>
      </c>
      <c r="R83" s="54" t="s">
        <v>180</v>
      </c>
      <c r="S83" s="0" t="n">
        <v>0.1</v>
      </c>
      <c r="U83" s="31" t="n">
        <f aca="false">IF($B83&lt;&gt;'設定（最初に1回）'!$C$4,N(U82),IF(COUNTIFS(①今日の在庫を貼る!$B$6:$B$10005,$B83,①今日の在庫を貼る!$I$6:$I$10005,$I83)&gt;0,N(U82),N(U82)+1))</f>
        <v>0</v>
      </c>
    </row>
    <row r="84" customFormat="false" ht="15" hidden="false" customHeight="false" outlineLevel="0" collapsed="false">
      <c r="A84" s="0" t="n">
        <v>20260301</v>
      </c>
      <c r="B84" s="53" t="s">
        <v>171</v>
      </c>
      <c r="C84" s="54" t="s">
        <v>172</v>
      </c>
      <c r="D84" s="55" t="s">
        <v>191</v>
      </c>
      <c r="E84" s="54" t="s">
        <v>192</v>
      </c>
      <c r="F84" s="55" t="s">
        <v>175</v>
      </c>
      <c r="G84" s="55" t="s">
        <v>346</v>
      </c>
      <c r="H84" s="54" t="s">
        <v>347</v>
      </c>
      <c r="I84" s="53" t="s">
        <v>360</v>
      </c>
      <c r="J84" s="54" t="s">
        <v>361</v>
      </c>
      <c r="K84" s="0" t="n">
        <v>200</v>
      </c>
      <c r="L84" s="0" t="n">
        <v>30</v>
      </c>
      <c r="M84" s="0" t="n">
        <v>25</v>
      </c>
      <c r="N84" s="0" t="n">
        <v>6025</v>
      </c>
      <c r="P84" s="0" t="n">
        <v>0</v>
      </c>
      <c r="Q84" s="0" t="n">
        <v>5.03</v>
      </c>
      <c r="R84" s="54" t="s">
        <v>180</v>
      </c>
      <c r="S84" s="0" t="n">
        <v>0.1</v>
      </c>
      <c r="U84" s="31" t="n">
        <f aca="false">IF($B84&lt;&gt;'設定（最初に1回）'!$C$4,N(U83),IF(COUNTIFS(①今日の在庫を貼る!$B$6:$B$10005,$B84,①今日の在庫を貼る!$I$6:$I$10005,$I84)&gt;0,N(U83),N(U83)+1))</f>
        <v>0</v>
      </c>
    </row>
    <row r="85" customFormat="false" ht="15" hidden="false" customHeight="false" outlineLevel="0" collapsed="false">
      <c r="A85" s="0" t="n">
        <v>20260301</v>
      </c>
      <c r="B85" s="53" t="s">
        <v>171</v>
      </c>
      <c r="C85" s="54" t="s">
        <v>172</v>
      </c>
      <c r="D85" s="55" t="s">
        <v>191</v>
      </c>
      <c r="E85" s="54" t="s">
        <v>192</v>
      </c>
      <c r="F85" s="55" t="s">
        <v>175</v>
      </c>
      <c r="G85" s="55" t="s">
        <v>346</v>
      </c>
      <c r="H85" s="54" t="s">
        <v>347</v>
      </c>
      <c r="I85" s="53" t="s">
        <v>362</v>
      </c>
      <c r="J85" s="54" t="s">
        <v>363</v>
      </c>
      <c r="K85" s="0" t="n">
        <v>1000</v>
      </c>
      <c r="L85" s="0" t="n">
        <v>2</v>
      </c>
      <c r="M85" s="0" t="n">
        <v>575</v>
      </c>
      <c r="N85" s="0" t="n">
        <v>2575</v>
      </c>
      <c r="P85" s="0" t="n">
        <v>0</v>
      </c>
      <c r="Q85" s="0" t="n">
        <v>4.56</v>
      </c>
      <c r="R85" s="54" t="s">
        <v>180</v>
      </c>
      <c r="S85" s="0" t="n">
        <v>0.1</v>
      </c>
      <c r="U85" s="31" t="n">
        <f aca="false">IF($B85&lt;&gt;'設定（最初に1回）'!$C$4,N(U84),IF(COUNTIFS(①今日の在庫を貼る!$B$6:$B$10005,$B85,①今日の在庫を貼る!$I$6:$I$10005,$I85)&gt;0,N(U84),N(U84)+1))</f>
        <v>0</v>
      </c>
    </row>
    <row r="86" customFormat="false" ht="15" hidden="false" customHeight="false" outlineLevel="0" collapsed="false">
      <c r="A86" s="0" t="n">
        <v>20260301</v>
      </c>
      <c r="B86" s="53" t="s">
        <v>171</v>
      </c>
      <c r="C86" s="54" t="s">
        <v>172</v>
      </c>
      <c r="D86" s="55" t="s">
        <v>191</v>
      </c>
      <c r="E86" s="54" t="s">
        <v>192</v>
      </c>
      <c r="F86" s="55" t="s">
        <v>175</v>
      </c>
      <c r="G86" s="55" t="s">
        <v>346</v>
      </c>
      <c r="H86" s="54" t="s">
        <v>347</v>
      </c>
      <c r="I86" s="53" t="s">
        <v>364</v>
      </c>
      <c r="J86" s="54" t="s">
        <v>365</v>
      </c>
      <c r="K86" s="0" t="n">
        <v>600</v>
      </c>
      <c r="L86" s="0" t="n">
        <v>14</v>
      </c>
      <c r="M86" s="0" t="n">
        <v>228</v>
      </c>
      <c r="N86" s="0" t="n">
        <v>8628</v>
      </c>
      <c r="P86" s="0" t="n">
        <v>0</v>
      </c>
      <c r="Q86" s="0" t="n">
        <v>8.93</v>
      </c>
      <c r="R86" s="54" t="s">
        <v>180</v>
      </c>
      <c r="S86" s="0" t="n">
        <v>0.1</v>
      </c>
      <c r="U86" s="31" t="n">
        <f aca="false">IF($B86&lt;&gt;'設定（最初に1回）'!$C$4,N(U85),IF(COUNTIFS(①今日の在庫を貼る!$B$6:$B$10005,$B86,①今日の在庫を貼る!$I$6:$I$10005,$I86)&gt;0,N(U85),N(U85)+1))</f>
        <v>0</v>
      </c>
    </row>
    <row r="87" customFormat="false" ht="15" hidden="false" customHeight="false" outlineLevel="0" collapsed="false">
      <c r="A87" s="0" t="n">
        <v>20260301</v>
      </c>
      <c r="B87" s="53" t="s">
        <v>171</v>
      </c>
      <c r="C87" s="54" t="s">
        <v>172</v>
      </c>
      <c r="D87" s="55" t="s">
        <v>191</v>
      </c>
      <c r="E87" s="54" t="s">
        <v>192</v>
      </c>
      <c r="F87" s="55" t="s">
        <v>175</v>
      </c>
      <c r="G87" s="55" t="s">
        <v>346</v>
      </c>
      <c r="H87" s="54" t="s">
        <v>347</v>
      </c>
      <c r="I87" s="53" t="s">
        <v>366</v>
      </c>
      <c r="J87" s="54" t="s">
        <v>367</v>
      </c>
      <c r="K87" s="0" t="n">
        <v>300</v>
      </c>
      <c r="L87" s="0" t="n">
        <v>52</v>
      </c>
      <c r="M87" s="0" t="n">
        <v>126</v>
      </c>
      <c r="N87" s="0" t="n">
        <v>15726</v>
      </c>
      <c r="P87" s="0" t="n">
        <v>0</v>
      </c>
      <c r="Q87" s="0" t="n">
        <v>15.66</v>
      </c>
      <c r="R87" s="54" t="s">
        <v>180</v>
      </c>
      <c r="S87" s="0" t="n">
        <v>0.1</v>
      </c>
      <c r="U87" s="31" t="n">
        <f aca="false">IF($B87&lt;&gt;'設定（最初に1回）'!$C$4,N(U86),IF(COUNTIFS(①今日の在庫を貼る!$B$6:$B$10005,$B87,①今日の在庫を貼る!$I$6:$I$10005,$I87)&gt;0,N(U86),N(U86)+1))</f>
        <v>0</v>
      </c>
    </row>
    <row r="88" customFormat="false" ht="15" hidden="false" customHeight="false" outlineLevel="0" collapsed="false">
      <c r="A88" s="0" t="n">
        <v>20260301</v>
      </c>
      <c r="B88" s="53" t="s">
        <v>171</v>
      </c>
      <c r="C88" s="54" t="s">
        <v>172</v>
      </c>
      <c r="D88" s="55" t="s">
        <v>191</v>
      </c>
      <c r="E88" s="54" t="s">
        <v>192</v>
      </c>
      <c r="F88" s="55" t="s">
        <v>175</v>
      </c>
      <c r="G88" s="55" t="s">
        <v>346</v>
      </c>
      <c r="H88" s="54" t="s">
        <v>347</v>
      </c>
      <c r="I88" s="53" t="s">
        <v>368</v>
      </c>
      <c r="J88" s="54" t="s">
        <v>369</v>
      </c>
      <c r="K88" s="0" t="n">
        <v>300</v>
      </c>
      <c r="L88" s="0" t="n">
        <v>66</v>
      </c>
      <c r="M88" s="0" t="n">
        <v>151</v>
      </c>
      <c r="N88" s="0" t="n">
        <v>19951</v>
      </c>
      <c r="P88" s="0" t="n">
        <v>0</v>
      </c>
      <c r="Q88" s="0" t="n">
        <v>18.55</v>
      </c>
      <c r="R88" s="54" t="s">
        <v>180</v>
      </c>
      <c r="S88" s="0" t="n">
        <v>0.1</v>
      </c>
      <c r="U88" s="31" t="n">
        <f aca="false">IF($B88&lt;&gt;'設定（最初に1回）'!$C$4,N(U87),IF(COUNTIFS(①今日の在庫を貼る!$B$6:$B$10005,$B88,①今日の在庫を貼る!$I$6:$I$10005,$I88)&gt;0,N(U87),N(U87)+1))</f>
        <v>0</v>
      </c>
    </row>
    <row r="89" customFormat="false" ht="15" hidden="false" customHeight="false" outlineLevel="0" collapsed="false">
      <c r="A89" s="0" t="n">
        <v>20260301</v>
      </c>
      <c r="B89" s="53" t="s">
        <v>171</v>
      </c>
      <c r="C89" s="54" t="s">
        <v>172</v>
      </c>
      <c r="D89" s="55" t="s">
        <v>191</v>
      </c>
      <c r="E89" s="54" t="s">
        <v>192</v>
      </c>
      <c r="F89" s="55" t="s">
        <v>175</v>
      </c>
      <c r="G89" s="55" t="s">
        <v>346</v>
      </c>
      <c r="H89" s="54" t="s">
        <v>347</v>
      </c>
      <c r="I89" s="53" t="s">
        <v>370</v>
      </c>
      <c r="J89" s="54" t="s">
        <v>371</v>
      </c>
      <c r="K89" s="0" t="n">
        <v>240</v>
      </c>
      <c r="L89" s="0" t="n">
        <v>5</v>
      </c>
      <c r="M89" s="0" t="n">
        <v>72</v>
      </c>
      <c r="N89" s="0" t="n">
        <v>1272</v>
      </c>
      <c r="P89" s="0" t="n">
        <v>0</v>
      </c>
      <c r="Q89" s="0" t="n">
        <v>57.35</v>
      </c>
      <c r="R89" s="54" t="s">
        <v>180</v>
      </c>
      <c r="S89" s="0" t="n">
        <v>0.1</v>
      </c>
      <c r="U89" s="31" t="n">
        <f aca="false">IF($B89&lt;&gt;'設定（最初に1回）'!$C$4,N(U88),IF(COUNTIFS(①今日の在庫を貼る!$B$6:$B$10005,$B89,①今日の在庫を貼る!$I$6:$I$10005,$I89)&gt;0,N(U88),N(U88)+1))</f>
        <v>0</v>
      </c>
    </row>
    <row r="90" customFormat="false" ht="15" hidden="false" customHeight="false" outlineLevel="0" collapsed="false">
      <c r="A90" s="0" t="n">
        <v>20260301</v>
      </c>
      <c r="B90" s="53" t="s">
        <v>171</v>
      </c>
      <c r="C90" s="54" t="s">
        <v>172</v>
      </c>
      <c r="D90" s="55" t="s">
        <v>191</v>
      </c>
      <c r="E90" s="54" t="s">
        <v>192</v>
      </c>
      <c r="F90" s="55" t="s">
        <v>175</v>
      </c>
      <c r="G90" s="55" t="s">
        <v>346</v>
      </c>
      <c r="H90" s="54" t="s">
        <v>347</v>
      </c>
      <c r="I90" s="53" t="s">
        <v>372</v>
      </c>
      <c r="J90" s="54" t="s">
        <v>373</v>
      </c>
      <c r="K90" s="0" t="n">
        <v>100</v>
      </c>
      <c r="L90" s="0" t="n">
        <v>12</v>
      </c>
      <c r="M90" s="0" t="n">
        <v>93</v>
      </c>
      <c r="N90" s="0" t="n">
        <v>1293</v>
      </c>
      <c r="P90" s="0" t="n">
        <v>0</v>
      </c>
      <c r="Q90" s="0" t="n">
        <v>6.67</v>
      </c>
      <c r="R90" s="54" t="s">
        <v>180</v>
      </c>
      <c r="S90" s="0" t="n">
        <v>0.1</v>
      </c>
      <c r="U90" s="31" t="n">
        <f aca="false">IF($B90&lt;&gt;'設定（最初に1回）'!$C$4,N(U89),IF(COUNTIFS(①今日の在庫を貼る!$B$6:$B$10005,$B90,①今日の在庫を貼る!$I$6:$I$10005,$I90)&gt;0,N(U89),N(U89)+1))</f>
        <v>0</v>
      </c>
    </row>
    <row r="91" customFormat="false" ht="15" hidden="false" customHeight="false" outlineLevel="0" collapsed="false">
      <c r="A91" s="0" t="n">
        <v>20260301</v>
      </c>
      <c r="B91" s="53" t="s">
        <v>171</v>
      </c>
      <c r="C91" s="54" t="s">
        <v>172</v>
      </c>
      <c r="D91" s="55" t="s">
        <v>191</v>
      </c>
      <c r="E91" s="54" t="s">
        <v>192</v>
      </c>
      <c r="F91" s="55" t="s">
        <v>175</v>
      </c>
      <c r="G91" s="55" t="s">
        <v>346</v>
      </c>
      <c r="H91" s="54" t="s">
        <v>347</v>
      </c>
      <c r="I91" s="53" t="s">
        <v>374</v>
      </c>
      <c r="J91" s="54" t="s">
        <v>375</v>
      </c>
      <c r="K91" s="0" t="n">
        <v>1500</v>
      </c>
      <c r="L91" s="0" t="n">
        <v>5</v>
      </c>
      <c r="M91" s="0" t="n">
        <v>820</v>
      </c>
      <c r="N91" s="0" t="n">
        <v>8320</v>
      </c>
      <c r="P91" s="0" t="n">
        <v>0</v>
      </c>
      <c r="Q91" s="0" t="n">
        <v>5.71</v>
      </c>
      <c r="R91" s="54" t="s">
        <v>180</v>
      </c>
      <c r="S91" s="0" t="n">
        <v>0.1</v>
      </c>
      <c r="U91" s="31" t="n">
        <f aca="false">IF($B91&lt;&gt;'設定（最初に1回）'!$C$4,N(U90),IF(COUNTIFS(①今日の在庫を貼る!$B$6:$B$10005,$B91,①今日の在庫を貼る!$I$6:$I$10005,$I91)&gt;0,N(U90),N(U90)+1))</f>
        <v>0</v>
      </c>
    </row>
    <row r="92" customFormat="false" ht="15" hidden="false" customHeight="false" outlineLevel="0" collapsed="false">
      <c r="A92" s="0" t="n">
        <v>20260301</v>
      </c>
      <c r="B92" s="53" t="s">
        <v>171</v>
      </c>
      <c r="C92" s="54" t="s">
        <v>172</v>
      </c>
      <c r="D92" s="55" t="s">
        <v>191</v>
      </c>
      <c r="E92" s="54" t="s">
        <v>192</v>
      </c>
      <c r="F92" s="55" t="s">
        <v>175</v>
      </c>
      <c r="G92" s="55" t="s">
        <v>346</v>
      </c>
      <c r="H92" s="54" t="s">
        <v>347</v>
      </c>
      <c r="I92" s="53" t="s">
        <v>376</v>
      </c>
      <c r="J92" s="54" t="s">
        <v>377</v>
      </c>
      <c r="K92" s="0" t="n">
        <v>2000</v>
      </c>
      <c r="L92" s="0" t="n">
        <v>5</v>
      </c>
      <c r="M92" s="0" t="n">
        <v>1270</v>
      </c>
      <c r="N92" s="0" t="n">
        <v>11270</v>
      </c>
      <c r="P92" s="0" t="n">
        <v>0</v>
      </c>
      <c r="Q92" s="0" t="n">
        <v>8.26</v>
      </c>
      <c r="R92" s="54" t="s">
        <v>180</v>
      </c>
      <c r="S92" s="0" t="n">
        <v>0.1</v>
      </c>
      <c r="U92" s="31" t="n">
        <f aca="false">IF($B92&lt;&gt;'設定（最初に1回）'!$C$4,N(U91),IF(COUNTIFS(①今日の在庫を貼る!$B$6:$B$10005,$B92,①今日の在庫を貼る!$I$6:$I$10005,$I92)&gt;0,N(U91),N(U91)+1))</f>
        <v>0</v>
      </c>
    </row>
    <row r="93" customFormat="false" ht="15" hidden="false" customHeight="false" outlineLevel="0" collapsed="false">
      <c r="A93" s="0" t="n">
        <v>20260301</v>
      </c>
      <c r="B93" s="53" t="s">
        <v>171</v>
      </c>
      <c r="C93" s="54" t="s">
        <v>172</v>
      </c>
      <c r="D93" s="55" t="s">
        <v>191</v>
      </c>
      <c r="E93" s="54" t="s">
        <v>192</v>
      </c>
      <c r="F93" s="55" t="s">
        <v>175</v>
      </c>
      <c r="G93" s="55" t="s">
        <v>346</v>
      </c>
      <c r="H93" s="54" t="s">
        <v>347</v>
      </c>
      <c r="I93" s="53" t="s">
        <v>378</v>
      </c>
      <c r="J93" s="54" t="s">
        <v>379</v>
      </c>
      <c r="K93" s="0" t="n">
        <v>300</v>
      </c>
      <c r="L93" s="0" t="n">
        <v>3</v>
      </c>
      <c r="M93" s="0" t="n">
        <v>228</v>
      </c>
      <c r="N93" s="0" t="n">
        <v>1128</v>
      </c>
      <c r="P93" s="0" t="n">
        <v>0</v>
      </c>
      <c r="Q93" s="0" t="n">
        <v>23.2</v>
      </c>
      <c r="R93" s="54" t="s">
        <v>180</v>
      </c>
      <c r="S93" s="0" t="n">
        <v>0.1</v>
      </c>
      <c r="U93" s="31" t="n">
        <f aca="false">IF($B93&lt;&gt;'設定（最初に1回）'!$C$4,N(U92),IF(COUNTIFS(①今日の在庫を貼る!$B$6:$B$10005,$B93,①今日の在庫を貼る!$I$6:$I$10005,$I93)&gt;0,N(U92),N(U92)+1))</f>
        <v>0</v>
      </c>
    </row>
    <row r="94" customFormat="false" ht="15" hidden="false" customHeight="false" outlineLevel="0" collapsed="false">
      <c r="A94" s="0" t="n">
        <v>20260301</v>
      </c>
      <c r="B94" s="53" t="s">
        <v>171</v>
      </c>
      <c r="C94" s="54" t="s">
        <v>172</v>
      </c>
      <c r="D94" s="55" t="s">
        <v>191</v>
      </c>
      <c r="E94" s="54" t="s">
        <v>192</v>
      </c>
      <c r="F94" s="55" t="s">
        <v>175</v>
      </c>
      <c r="G94" s="55" t="s">
        <v>346</v>
      </c>
      <c r="H94" s="54" t="s">
        <v>347</v>
      </c>
      <c r="I94" s="53" t="s">
        <v>380</v>
      </c>
      <c r="J94" s="54" t="s">
        <v>381</v>
      </c>
      <c r="K94" s="0" t="n">
        <v>2000</v>
      </c>
      <c r="L94" s="0" t="n">
        <v>6</v>
      </c>
      <c r="M94" s="0" t="n">
        <v>1468</v>
      </c>
      <c r="N94" s="0" t="n">
        <v>13468</v>
      </c>
      <c r="P94" s="0" t="n">
        <v>0</v>
      </c>
      <c r="Q94" s="0" t="n">
        <v>4.41</v>
      </c>
      <c r="R94" s="54" t="s">
        <v>180</v>
      </c>
      <c r="S94" s="0" t="n">
        <v>0.1</v>
      </c>
      <c r="U94" s="31" t="n">
        <f aca="false">IF($B94&lt;&gt;'設定（最初に1回）'!$C$4,N(U93),IF(COUNTIFS(①今日の在庫を貼る!$B$6:$B$10005,$B94,①今日の在庫を貼る!$I$6:$I$10005,$I94)&gt;0,N(U93),N(U93)+1))</f>
        <v>0</v>
      </c>
    </row>
    <row r="95" customFormat="false" ht="15" hidden="false" customHeight="false" outlineLevel="0" collapsed="false">
      <c r="A95" s="0" t="n">
        <v>20260301</v>
      </c>
      <c r="B95" s="53" t="s">
        <v>171</v>
      </c>
      <c r="C95" s="54" t="s">
        <v>172</v>
      </c>
      <c r="D95" s="55" t="s">
        <v>191</v>
      </c>
      <c r="E95" s="54" t="s">
        <v>192</v>
      </c>
      <c r="F95" s="55" t="s">
        <v>175</v>
      </c>
      <c r="G95" s="55" t="s">
        <v>346</v>
      </c>
      <c r="H95" s="54" t="s">
        <v>347</v>
      </c>
      <c r="I95" s="53" t="s">
        <v>382</v>
      </c>
      <c r="J95" s="54" t="s">
        <v>383</v>
      </c>
      <c r="K95" s="0" t="n">
        <v>1000</v>
      </c>
      <c r="L95" s="0" t="n">
        <v>0</v>
      </c>
      <c r="M95" s="0" t="n">
        <v>914</v>
      </c>
      <c r="N95" s="0" t="n">
        <v>914</v>
      </c>
      <c r="P95" s="0" t="n">
        <v>0</v>
      </c>
      <c r="Q95" s="0" t="n">
        <v>19.69</v>
      </c>
      <c r="R95" s="54" t="s">
        <v>180</v>
      </c>
      <c r="S95" s="0" t="n">
        <v>0.1</v>
      </c>
      <c r="U95" s="31" t="n">
        <f aca="false">IF($B95&lt;&gt;'設定（最初に1回）'!$C$4,N(U94),IF(COUNTIFS(①今日の在庫を貼る!$B$6:$B$10005,$B95,①今日の在庫を貼る!$I$6:$I$10005,$I95)&gt;0,N(U94),N(U94)+1))</f>
        <v>0</v>
      </c>
    </row>
    <row r="96" customFormat="false" ht="15" hidden="false" customHeight="false" outlineLevel="0" collapsed="false">
      <c r="A96" s="0" t="n">
        <v>20260301</v>
      </c>
      <c r="B96" s="53" t="s">
        <v>171</v>
      </c>
      <c r="C96" s="54" t="s">
        <v>172</v>
      </c>
      <c r="D96" s="55" t="s">
        <v>191</v>
      </c>
      <c r="E96" s="54" t="s">
        <v>192</v>
      </c>
      <c r="F96" s="55" t="s">
        <v>175</v>
      </c>
      <c r="G96" s="55" t="s">
        <v>346</v>
      </c>
      <c r="H96" s="54" t="s">
        <v>347</v>
      </c>
      <c r="I96" s="53" t="s">
        <v>384</v>
      </c>
      <c r="J96" s="54" t="s">
        <v>385</v>
      </c>
      <c r="K96" s="0" t="n">
        <v>1000</v>
      </c>
      <c r="L96" s="0" t="n">
        <v>23</v>
      </c>
      <c r="M96" s="0" t="n">
        <v>300</v>
      </c>
      <c r="N96" s="0" t="n">
        <v>23300</v>
      </c>
      <c r="P96" s="0" t="n">
        <v>0</v>
      </c>
      <c r="Q96" s="0" t="n">
        <v>10.58</v>
      </c>
      <c r="R96" s="54" t="s">
        <v>180</v>
      </c>
      <c r="S96" s="0" t="n">
        <v>0.1</v>
      </c>
      <c r="U96" s="31" t="n">
        <f aca="false">IF($B96&lt;&gt;'設定（最初に1回）'!$C$4,N(U95),IF(COUNTIFS(①今日の在庫を貼る!$B$6:$B$10005,$B96,①今日の在庫を貼る!$I$6:$I$10005,$I96)&gt;0,N(U95),N(U95)+1))</f>
        <v>0</v>
      </c>
    </row>
    <row r="97" customFormat="false" ht="15" hidden="false" customHeight="false" outlineLevel="0" collapsed="false">
      <c r="A97" s="0" t="n">
        <v>20260301</v>
      </c>
      <c r="B97" s="53" t="s">
        <v>171</v>
      </c>
      <c r="C97" s="54" t="s">
        <v>172</v>
      </c>
      <c r="D97" s="55" t="s">
        <v>191</v>
      </c>
      <c r="E97" s="54" t="s">
        <v>192</v>
      </c>
      <c r="F97" s="55" t="s">
        <v>175</v>
      </c>
      <c r="G97" s="55" t="s">
        <v>346</v>
      </c>
      <c r="H97" s="54" t="s">
        <v>347</v>
      </c>
      <c r="I97" s="53" t="s">
        <v>386</v>
      </c>
      <c r="J97" s="54" t="s">
        <v>387</v>
      </c>
      <c r="K97" s="0" t="n">
        <v>5000</v>
      </c>
      <c r="L97" s="0" t="n">
        <v>12</v>
      </c>
      <c r="M97" s="0" t="n">
        <v>1048</v>
      </c>
      <c r="N97" s="0" t="n">
        <v>61048</v>
      </c>
      <c r="P97" s="0" t="n">
        <v>0</v>
      </c>
      <c r="Q97" s="0" t="n">
        <v>5.39</v>
      </c>
      <c r="R97" s="54" t="s">
        <v>180</v>
      </c>
      <c r="S97" s="0" t="n">
        <v>0.1</v>
      </c>
      <c r="U97" s="31" t="n">
        <f aca="false">IF($B97&lt;&gt;'設定（最初に1回）'!$C$4,N(U96),IF(COUNTIFS(①今日の在庫を貼る!$B$6:$B$10005,$B97,①今日の在庫を貼る!$I$6:$I$10005,$I97)&gt;0,N(U96),N(U96)+1))</f>
        <v>0</v>
      </c>
    </row>
    <row r="98" customFormat="false" ht="15" hidden="false" customHeight="false" outlineLevel="0" collapsed="false">
      <c r="A98" s="0" t="n">
        <v>20260301</v>
      </c>
      <c r="B98" s="53" t="s">
        <v>171</v>
      </c>
      <c r="C98" s="54" t="s">
        <v>172</v>
      </c>
      <c r="D98" s="55" t="s">
        <v>191</v>
      </c>
      <c r="E98" s="54" t="s">
        <v>192</v>
      </c>
      <c r="F98" s="55" t="s">
        <v>175</v>
      </c>
      <c r="G98" s="55" t="s">
        <v>346</v>
      </c>
      <c r="H98" s="54" t="s">
        <v>347</v>
      </c>
      <c r="I98" s="53" t="s">
        <v>388</v>
      </c>
      <c r="J98" s="54" t="s">
        <v>389</v>
      </c>
      <c r="K98" s="0" t="n">
        <v>400</v>
      </c>
      <c r="L98" s="0" t="n">
        <v>23</v>
      </c>
      <c r="M98" s="0" t="n">
        <v>337</v>
      </c>
      <c r="N98" s="0" t="n">
        <v>9537</v>
      </c>
      <c r="P98" s="0" t="n">
        <v>0</v>
      </c>
      <c r="Q98" s="0" t="n">
        <v>52.02</v>
      </c>
      <c r="R98" s="54" t="s">
        <v>180</v>
      </c>
      <c r="S98" s="0" t="n">
        <v>0.1</v>
      </c>
      <c r="U98" s="31" t="n">
        <f aca="false">IF($B98&lt;&gt;'設定（最初に1回）'!$C$4,N(U97),IF(COUNTIFS(①今日の在庫を貼る!$B$6:$B$10005,$B98,①今日の在庫を貼る!$I$6:$I$10005,$I98)&gt;0,N(U97),N(U97)+1))</f>
        <v>0</v>
      </c>
    </row>
    <row r="99" customFormat="false" ht="15" hidden="false" customHeight="false" outlineLevel="0" collapsed="false">
      <c r="A99" s="0" t="n">
        <v>20260301</v>
      </c>
      <c r="B99" s="53" t="s">
        <v>171</v>
      </c>
      <c r="C99" s="54" t="s">
        <v>172</v>
      </c>
      <c r="D99" s="55" t="s">
        <v>191</v>
      </c>
      <c r="E99" s="54" t="s">
        <v>192</v>
      </c>
      <c r="F99" s="55" t="s">
        <v>175</v>
      </c>
      <c r="G99" s="55" t="s">
        <v>346</v>
      </c>
      <c r="H99" s="54" t="s">
        <v>347</v>
      </c>
      <c r="I99" s="53" t="s">
        <v>390</v>
      </c>
      <c r="J99" s="54" t="s">
        <v>391</v>
      </c>
      <c r="K99" s="0" t="n">
        <v>300</v>
      </c>
      <c r="L99" s="0" t="n">
        <v>13</v>
      </c>
      <c r="M99" s="0" t="n">
        <v>49</v>
      </c>
      <c r="N99" s="0" t="n">
        <v>3949</v>
      </c>
      <c r="P99" s="0" t="n">
        <v>0</v>
      </c>
      <c r="Q99" s="0" t="n">
        <v>82.02</v>
      </c>
      <c r="R99" s="54" t="s">
        <v>180</v>
      </c>
      <c r="S99" s="0" t="n">
        <v>0.1</v>
      </c>
      <c r="U99" s="31" t="n">
        <f aca="false">IF($B99&lt;&gt;'設定（最初に1回）'!$C$4,N(U98),IF(COUNTIFS(①今日の在庫を貼る!$B$6:$B$10005,$B99,①今日の在庫を貼る!$I$6:$I$10005,$I99)&gt;0,N(U98),N(U98)+1))</f>
        <v>0</v>
      </c>
    </row>
    <row r="100" customFormat="false" ht="15" hidden="false" customHeight="false" outlineLevel="0" collapsed="false">
      <c r="A100" s="0" t="n">
        <v>20260301</v>
      </c>
      <c r="B100" s="53" t="s">
        <v>171</v>
      </c>
      <c r="C100" s="54" t="s">
        <v>172</v>
      </c>
      <c r="D100" s="55" t="s">
        <v>191</v>
      </c>
      <c r="E100" s="54" t="s">
        <v>192</v>
      </c>
      <c r="F100" s="55" t="s">
        <v>175</v>
      </c>
      <c r="G100" s="55" t="s">
        <v>346</v>
      </c>
      <c r="H100" s="54" t="s">
        <v>347</v>
      </c>
      <c r="I100" s="53" t="s">
        <v>392</v>
      </c>
      <c r="J100" s="54" t="s">
        <v>393</v>
      </c>
      <c r="K100" s="0" t="n">
        <v>50</v>
      </c>
      <c r="L100" s="0" t="n">
        <v>110</v>
      </c>
      <c r="M100" s="0" t="n">
        <v>46</v>
      </c>
      <c r="N100" s="0" t="n">
        <v>5546</v>
      </c>
      <c r="P100" s="0" t="n">
        <v>0</v>
      </c>
      <c r="Q100" s="0" t="n">
        <v>14.5</v>
      </c>
      <c r="R100" s="54" t="s">
        <v>180</v>
      </c>
      <c r="S100" s="0" t="n">
        <v>0.1</v>
      </c>
      <c r="U100" s="31" t="n">
        <f aca="false">IF($B100&lt;&gt;'設定（最初に1回）'!$C$4,N(U99),IF(COUNTIFS(①今日の在庫を貼る!$B$6:$B$10005,$B100,①今日の在庫を貼る!$I$6:$I$10005,$I100)&gt;0,N(U99),N(U99)+1))</f>
        <v>0</v>
      </c>
    </row>
    <row r="101" customFormat="false" ht="15" hidden="false" customHeight="false" outlineLevel="0" collapsed="false">
      <c r="A101" s="0" t="n">
        <v>20260301</v>
      </c>
      <c r="B101" s="53" t="s">
        <v>171</v>
      </c>
      <c r="C101" s="54" t="s">
        <v>172</v>
      </c>
      <c r="D101" s="55" t="s">
        <v>191</v>
      </c>
      <c r="E101" s="54" t="s">
        <v>192</v>
      </c>
      <c r="F101" s="55" t="s">
        <v>175</v>
      </c>
      <c r="G101" s="55" t="s">
        <v>346</v>
      </c>
      <c r="H101" s="54" t="s">
        <v>347</v>
      </c>
      <c r="I101" s="53" t="s">
        <v>394</v>
      </c>
      <c r="J101" s="54" t="s">
        <v>395</v>
      </c>
      <c r="K101" s="0" t="n">
        <v>1000</v>
      </c>
      <c r="L101" s="0" t="n">
        <v>4</v>
      </c>
      <c r="M101" s="0" t="n">
        <v>637</v>
      </c>
      <c r="N101" s="0" t="n">
        <v>4637</v>
      </c>
      <c r="P101" s="0" t="n">
        <v>0</v>
      </c>
      <c r="Q101" s="0" t="n">
        <v>24.49</v>
      </c>
      <c r="R101" s="54" t="s">
        <v>180</v>
      </c>
      <c r="S101" s="0" t="n">
        <v>0.1</v>
      </c>
      <c r="U101" s="31" t="n">
        <f aca="false">IF($B101&lt;&gt;'設定（最初に1回）'!$C$4,N(U100),IF(COUNTIFS(①今日の在庫を貼る!$B$6:$B$10005,$B101,①今日の在庫を貼る!$I$6:$I$10005,$I101)&gt;0,N(U100),N(U100)+1))</f>
        <v>0</v>
      </c>
    </row>
    <row r="102" customFormat="false" ht="15" hidden="false" customHeight="false" outlineLevel="0" collapsed="false">
      <c r="A102" s="0" t="n">
        <v>20260301</v>
      </c>
      <c r="B102" s="53" t="s">
        <v>171</v>
      </c>
      <c r="C102" s="54" t="s">
        <v>172</v>
      </c>
      <c r="D102" s="55" t="s">
        <v>191</v>
      </c>
      <c r="E102" s="54" t="s">
        <v>192</v>
      </c>
      <c r="F102" s="55" t="s">
        <v>175</v>
      </c>
      <c r="G102" s="55" t="s">
        <v>346</v>
      </c>
      <c r="H102" s="54" t="s">
        <v>347</v>
      </c>
      <c r="I102" s="53" t="s">
        <v>396</v>
      </c>
      <c r="J102" s="54" t="s">
        <v>397</v>
      </c>
      <c r="K102" s="0" t="n">
        <v>1000</v>
      </c>
      <c r="L102" s="0" t="n">
        <v>8</v>
      </c>
      <c r="M102" s="0" t="n">
        <v>729</v>
      </c>
      <c r="N102" s="0" t="n">
        <v>8729</v>
      </c>
      <c r="P102" s="0" t="n">
        <v>0</v>
      </c>
      <c r="Q102" s="0" t="n">
        <v>18</v>
      </c>
      <c r="R102" s="54" t="s">
        <v>180</v>
      </c>
      <c r="S102" s="0" t="n">
        <v>0.1</v>
      </c>
      <c r="U102" s="31" t="n">
        <f aca="false">IF($B102&lt;&gt;'設定（最初に1回）'!$C$4,N(U101),IF(COUNTIFS(①今日の在庫を貼る!$B$6:$B$10005,$B102,①今日の在庫を貼る!$I$6:$I$10005,$I102)&gt;0,N(U101),N(U101)+1))</f>
        <v>0</v>
      </c>
    </row>
    <row r="103" customFormat="false" ht="15" hidden="false" customHeight="false" outlineLevel="0" collapsed="false">
      <c r="A103" s="0" t="n">
        <v>20260301</v>
      </c>
      <c r="B103" s="53" t="s">
        <v>171</v>
      </c>
      <c r="C103" s="54" t="s">
        <v>172</v>
      </c>
      <c r="D103" s="55" t="s">
        <v>191</v>
      </c>
      <c r="E103" s="54" t="s">
        <v>192</v>
      </c>
      <c r="F103" s="55" t="s">
        <v>175</v>
      </c>
      <c r="G103" s="55" t="s">
        <v>346</v>
      </c>
      <c r="H103" s="54" t="s">
        <v>347</v>
      </c>
      <c r="I103" s="53" t="s">
        <v>398</v>
      </c>
      <c r="J103" s="54" t="s">
        <v>399</v>
      </c>
      <c r="K103" s="0" t="n">
        <v>1200</v>
      </c>
      <c r="L103" s="0" t="n">
        <v>16</v>
      </c>
      <c r="M103" s="0" t="n">
        <v>667</v>
      </c>
      <c r="N103" s="0" t="n">
        <v>19867</v>
      </c>
      <c r="P103" s="0" t="n">
        <v>0</v>
      </c>
      <c r="Q103" s="0" t="n">
        <v>5.63</v>
      </c>
      <c r="R103" s="54" t="s">
        <v>180</v>
      </c>
      <c r="S103" s="0" t="n">
        <v>0.1</v>
      </c>
      <c r="U103" s="31" t="n">
        <f aca="false">IF($B103&lt;&gt;'設定（最初に1回）'!$C$4,N(U102),IF(COUNTIFS(①今日の在庫を貼る!$B$6:$B$10005,$B103,①今日の在庫を貼る!$I$6:$I$10005,$I103)&gt;0,N(U102),N(U102)+1))</f>
        <v>0</v>
      </c>
    </row>
    <row r="104" customFormat="false" ht="15" hidden="false" customHeight="false" outlineLevel="0" collapsed="false">
      <c r="A104" s="0" t="n">
        <v>20260301</v>
      </c>
      <c r="B104" s="53" t="s">
        <v>171</v>
      </c>
      <c r="C104" s="54" t="s">
        <v>172</v>
      </c>
      <c r="D104" s="55" t="s">
        <v>191</v>
      </c>
      <c r="E104" s="54" t="s">
        <v>192</v>
      </c>
      <c r="F104" s="55" t="s">
        <v>175</v>
      </c>
      <c r="G104" s="55" t="s">
        <v>346</v>
      </c>
      <c r="H104" s="54" t="s">
        <v>347</v>
      </c>
      <c r="I104" s="53" t="s">
        <v>400</v>
      </c>
      <c r="J104" s="54" t="s">
        <v>401</v>
      </c>
      <c r="K104" s="0" t="n">
        <v>900</v>
      </c>
      <c r="L104" s="0" t="n">
        <v>105</v>
      </c>
      <c r="M104" s="0" t="n">
        <v>280</v>
      </c>
      <c r="N104" s="0" t="n">
        <v>94780</v>
      </c>
      <c r="P104" s="0" t="n">
        <v>0</v>
      </c>
      <c r="Q104" s="0" t="n">
        <v>5.07</v>
      </c>
      <c r="R104" s="54" t="s">
        <v>180</v>
      </c>
      <c r="S104" s="0" t="n">
        <v>0.1</v>
      </c>
      <c r="U104" s="31" t="n">
        <f aca="false">IF($B104&lt;&gt;'設定（最初に1回）'!$C$4,N(U103),IF(COUNTIFS(①今日の在庫を貼る!$B$6:$B$10005,$B104,①今日の在庫を貼る!$I$6:$I$10005,$I104)&gt;0,N(U103),N(U103)+1))</f>
        <v>0</v>
      </c>
    </row>
    <row r="105" customFormat="false" ht="15" hidden="false" customHeight="false" outlineLevel="0" collapsed="false">
      <c r="A105" s="0" t="n">
        <v>20260301</v>
      </c>
      <c r="B105" s="53" t="s">
        <v>171</v>
      </c>
      <c r="C105" s="54" t="s">
        <v>172</v>
      </c>
      <c r="D105" s="55" t="s">
        <v>191</v>
      </c>
      <c r="E105" s="54" t="s">
        <v>192</v>
      </c>
      <c r="F105" s="55" t="s">
        <v>175</v>
      </c>
      <c r="G105" s="55" t="s">
        <v>346</v>
      </c>
      <c r="H105" s="54" t="s">
        <v>347</v>
      </c>
      <c r="I105" s="53" t="s">
        <v>402</v>
      </c>
      <c r="J105" s="54" t="s">
        <v>403</v>
      </c>
      <c r="K105" s="0" t="n">
        <v>300</v>
      </c>
      <c r="L105" s="0" t="n">
        <v>0</v>
      </c>
      <c r="M105" s="0" t="n">
        <v>1</v>
      </c>
      <c r="N105" s="0" t="n">
        <v>1</v>
      </c>
      <c r="P105" s="0" t="n">
        <v>0</v>
      </c>
      <c r="Q105" s="0" t="n">
        <v>17.95</v>
      </c>
      <c r="R105" s="54" t="s">
        <v>180</v>
      </c>
      <c r="S105" s="0" t="n">
        <v>0.1</v>
      </c>
      <c r="U105" s="31" t="n">
        <f aca="false">IF($B105&lt;&gt;'設定（最初に1回）'!$C$4,N(U104),IF(COUNTIFS(①今日の在庫を貼る!$B$6:$B$10005,$B105,①今日の在庫を貼る!$I$6:$I$10005,$I105)&gt;0,N(U104),N(U104)+1))</f>
        <v>0</v>
      </c>
    </row>
    <row r="106" customFormat="false" ht="15" hidden="false" customHeight="false" outlineLevel="0" collapsed="false">
      <c r="A106" s="0" t="n">
        <v>20260301</v>
      </c>
      <c r="B106" s="53" t="s">
        <v>171</v>
      </c>
      <c r="C106" s="54" t="s">
        <v>172</v>
      </c>
      <c r="D106" s="55" t="s">
        <v>191</v>
      </c>
      <c r="E106" s="54" t="s">
        <v>192</v>
      </c>
      <c r="F106" s="55" t="s">
        <v>175</v>
      </c>
      <c r="G106" s="55" t="s">
        <v>346</v>
      </c>
      <c r="H106" s="54" t="s">
        <v>347</v>
      </c>
      <c r="I106" s="53" t="s">
        <v>404</v>
      </c>
      <c r="J106" s="54" t="s">
        <v>405</v>
      </c>
      <c r="K106" s="0" t="n">
        <v>200</v>
      </c>
      <c r="L106" s="0" t="n">
        <v>100</v>
      </c>
      <c r="M106" s="0" t="n">
        <v>5</v>
      </c>
      <c r="N106" s="0" t="n">
        <v>20005</v>
      </c>
      <c r="P106" s="0" t="n">
        <v>0</v>
      </c>
      <c r="Q106" s="0" t="n">
        <v>5.03</v>
      </c>
      <c r="R106" s="54" t="s">
        <v>180</v>
      </c>
      <c r="S106" s="0" t="n">
        <v>0.1</v>
      </c>
      <c r="U106" s="31" t="n">
        <f aca="false">IF($B106&lt;&gt;'設定（最初に1回）'!$C$4,N(U105),IF(COUNTIFS(①今日の在庫を貼る!$B$6:$B$10005,$B106,①今日の在庫を貼る!$I$6:$I$10005,$I106)&gt;0,N(U105),N(U105)+1))</f>
        <v>0</v>
      </c>
    </row>
    <row r="107" customFormat="false" ht="15" hidden="false" customHeight="false" outlineLevel="0" collapsed="false">
      <c r="A107" s="0" t="n">
        <v>20260301</v>
      </c>
      <c r="B107" s="53" t="s">
        <v>171</v>
      </c>
      <c r="C107" s="54" t="s">
        <v>172</v>
      </c>
      <c r="D107" s="55" t="s">
        <v>191</v>
      </c>
      <c r="E107" s="54" t="s">
        <v>192</v>
      </c>
      <c r="F107" s="55" t="s">
        <v>175</v>
      </c>
      <c r="G107" s="55" t="s">
        <v>346</v>
      </c>
      <c r="H107" s="54" t="s">
        <v>347</v>
      </c>
      <c r="I107" s="53" t="s">
        <v>406</v>
      </c>
      <c r="J107" s="54" t="s">
        <v>407</v>
      </c>
      <c r="K107" s="0" t="n">
        <v>1000</v>
      </c>
      <c r="L107" s="0" t="n">
        <v>6</v>
      </c>
      <c r="M107" s="0" t="n">
        <v>185</v>
      </c>
      <c r="N107" s="0" t="n">
        <v>6185</v>
      </c>
      <c r="P107" s="0" t="n">
        <v>0</v>
      </c>
      <c r="Q107" s="0" t="n">
        <v>15.3</v>
      </c>
      <c r="R107" s="54" t="s">
        <v>180</v>
      </c>
      <c r="S107" s="0" t="n">
        <v>0.1</v>
      </c>
      <c r="U107" s="31" t="n">
        <f aca="false">IF($B107&lt;&gt;'設定（最初に1回）'!$C$4,N(U106),IF(COUNTIFS(①今日の在庫を貼る!$B$6:$B$10005,$B107,①今日の在庫を貼る!$I$6:$I$10005,$I107)&gt;0,N(U106),N(U106)+1))</f>
        <v>0</v>
      </c>
    </row>
    <row r="108" customFormat="false" ht="15" hidden="false" customHeight="false" outlineLevel="0" collapsed="false">
      <c r="A108" s="0" t="n">
        <v>20260301</v>
      </c>
      <c r="B108" s="53" t="s">
        <v>171</v>
      </c>
      <c r="C108" s="54" t="s">
        <v>172</v>
      </c>
      <c r="D108" s="55" t="s">
        <v>191</v>
      </c>
      <c r="E108" s="54" t="s">
        <v>192</v>
      </c>
      <c r="F108" s="55" t="s">
        <v>175</v>
      </c>
      <c r="G108" s="55" t="s">
        <v>346</v>
      </c>
      <c r="H108" s="54" t="s">
        <v>347</v>
      </c>
      <c r="I108" s="53" t="s">
        <v>408</v>
      </c>
      <c r="J108" s="54" t="s">
        <v>409</v>
      </c>
      <c r="K108" s="0" t="n">
        <v>3000</v>
      </c>
      <c r="L108" s="0" t="n">
        <v>25</v>
      </c>
      <c r="M108" s="0" t="n">
        <v>2721</v>
      </c>
      <c r="N108" s="0" t="n">
        <v>77721</v>
      </c>
      <c r="P108" s="0" t="n">
        <v>0</v>
      </c>
      <c r="Q108" s="0" t="n">
        <v>2.05</v>
      </c>
      <c r="R108" s="54" t="s">
        <v>180</v>
      </c>
      <c r="S108" s="0" t="n">
        <v>0.1</v>
      </c>
      <c r="U108" s="31" t="n">
        <f aca="false">IF($B108&lt;&gt;'設定（最初に1回）'!$C$4,N(U107),IF(COUNTIFS(①今日の在庫を貼る!$B$6:$B$10005,$B108,①今日の在庫を貼る!$I$6:$I$10005,$I108)&gt;0,N(U107),N(U107)+1))</f>
        <v>0</v>
      </c>
    </row>
    <row r="109" customFormat="false" ht="15" hidden="false" customHeight="false" outlineLevel="0" collapsed="false">
      <c r="A109" s="0" t="n">
        <v>20260301</v>
      </c>
      <c r="B109" s="53" t="s">
        <v>171</v>
      </c>
      <c r="C109" s="54" t="s">
        <v>172</v>
      </c>
      <c r="D109" s="55" t="s">
        <v>191</v>
      </c>
      <c r="E109" s="54" t="s">
        <v>192</v>
      </c>
      <c r="F109" s="55" t="s">
        <v>175</v>
      </c>
      <c r="G109" s="55" t="s">
        <v>346</v>
      </c>
      <c r="H109" s="54" t="s">
        <v>347</v>
      </c>
      <c r="I109" s="53" t="s">
        <v>410</v>
      </c>
      <c r="J109" s="54" t="s">
        <v>411</v>
      </c>
      <c r="K109" s="0" t="n">
        <v>2000</v>
      </c>
      <c r="L109" s="0" t="n">
        <v>10</v>
      </c>
      <c r="M109" s="0" t="n">
        <v>751</v>
      </c>
      <c r="N109" s="0" t="n">
        <v>20751</v>
      </c>
      <c r="P109" s="0" t="n">
        <v>0</v>
      </c>
      <c r="Q109" s="0" t="n">
        <v>3.18</v>
      </c>
      <c r="R109" s="54" t="s">
        <v>180</v>
      </c>
      <c r="S109" s="0" t="n">
        <v>0.1</v>
      </c>
      <c r="U109" s="31" t="n">
        <f aca="false">IF($B109&lt;&gt;'設定（最初に1回）'!$C$4,N(U108),IF(COUNTIFS(①今日の在庫を貼る!$B$6:$B$10005,$B109,①今日の在庫を貼る!$I$6:$I$10005,$I109)&gt;0,N(U108),N(U108)+1))</f>
        <v>0</v>
      </c>
    </row>
    <row r="110" customFormat="false" ht="15" hidden="false" customHeight="false" outlineLevel="0" collapsed="false">
      <c r="A110" s="0" t="n">
        <v>20260301</v>
      </c>
      <c r="B110" s="53" t="s">
        <v>171</v>
      </c>
      <c r="C110" s="54" t="s">
        <v>172</v>
      </c>
      <c r="D110" s="55" t="s">
        <v>191</v>
      </c>
      <c r="E110" s="54" t="s">
        <v>192</v>
      </c>
      <c r="F110" s="55" t="s">
        <v>175</v>
      </c>
      <c r="G110" s="55" t="s">
        <v>346</v>
      </c>
      <c r="H110" s="54" t="s">
        <v>347</v>
      </c>
      <c r="I110" s="53" t="s">
        <v>412</v>
      </c>
      <c r="J110" s="54" t="s">
        <v>413</v>
      </c>
      <c r="K110" s="0" t="n">
        <v>2500</v>
      </c>
      <c r="L110" s="0" t="n">
        <v>8</v>
      </c>
      <c r="M110" s="0" t="n">
        <v>1794</v>
      </c>
      <c r="N110" s="0" t="n">
        <v>21794</v>
      </c>
      <c r="P110" s="0" t="n">
        <v>0</v>
      </c>
      <c r="Q110" s="0" t="n">
        <v>4.06</v>
      </c>
      <c r="R110" s="54" t="s">
        <v>180</v>
      </c>
      <c r="S110" s="0" t="n">
        <v>0.1</v>
      </c>
      <c r="U110" s="31" t="n">
        <f aca="false">IF($B110&lt;&gt;'設定（最初に1回）'!$C$4,N(U109),IF(COUNTIFS(①今日の在庫を貼る!$B$6:$B$10005,$B110,①今日の在庫を貼る!$I$6:$I$10005,$I110)&gt;0,N(U109),N(U109)+1))</f>
        <v>0</v>
      </c>
    </row>
    <row r="111" customFormat="false" ht="15" hidden="false" customHeight="false" outlineLevel="0" collapsed="false">
      <c r="A111" s="0" t="n">
        <v>20260301</v>
      </c>
      <c r="B111" s="53" t="s">
        <v>171</v>
      </c>
      <c r="C111" s="54" t="s">
        <v>172</v>
      </c>
      <c r="D111" s="55" t="s">
        <v>191</v>
      </c>
      <c r="E111" s="54" t="s">
        <v>192</v>
      </c>
      <c r="F111" s="55" t="s">
        <v>175</v>
      </c>
      <c r="G111" s="55" t="s">
        <v>346</v>
      </c>
      <c r="H111" s="54" t="s">
        <v>347</v>
      </c>
      <c r="I111" s="53" t="s">
        <v>414</v>
      </c>
      <c r="J111" s="54" t="s">
        <v>415</v>
      </c>
      <c r="K111" s="0" t="n">
        <v>900</v>
      </c>
      <c r="L111" s="0" t="n">
        <v>0</v>
      </c>
      <c r="M111" s="0" t="n">
        <v>0</v>
      </c>
      <c r="N111" s="0" t="n">
        <v>0</v>
      </c>
      <c r="P111" s="0" t="n">
        <v>0</v>
      </c>
      <c r="Q111" s="0" t="n">
        <v>4.84</v>
      </c>
      <c r="R111" s="54" t="s">
        <v>180</v>
      </c>
      <c r="S111" s="0" t="n">
        <v>0.1</v>
      </c>
      <c r="U111" s="31" t="n">
        <f aca="false">IF($B111&lt;&gt;'設定（最初に1回）'!$C$4,N(U110),IF(COUNTIFS(①今日の在庫を貼る!$B$6:$B$10005,$B111,①今日の在庫を貼る!$I$6:$I$10005,$I111)&gt;0,N(U110),N(U110)+1))</f>
        <v>0</v>
      </c>
    </row>
    <row r="112" customFormat="false" ht="15" hidden="false" customHeight="false" outlineLevel="0" collapsed="false">
      <c r="A112" s="0" t="n">
        <v>20260301</v>
      </c>
      <c r="B112" s="53" t="s">
        <v>171</v>
      </c>
      <c r="C112" s="54" t="s">
        <v>172</v>
      </c>
      <c r="D112" s="55" t="s">
        <v>191</v>
      </c>
      <c r="E112" s="54" t="s">
        <v>192</v>
      </c>
      <c r="F112" s="55" t="s">
        <v>175</v>
      </c>
      <c r="G112" s="55" t="s">
        <v>346</v>
      </c>
      <c r="H112" s="54" t="s">
        <v>347</v>
      </c>
      <c r="I112" s="53" t="s">
        <v>416</v>
      </c>
      <c r="J112" s="54" t="s">
        <v>417</v>
      </c>
      <c r="K112" s="0" t="n">
        <v>1000</v>
      </c>
      <c r="L112" s="0" t="n">
        <v>13</v>
      </c>
      <c r="M112" s="0" t="n">
        <v>874</v>
      </c>
      <c r="N112" s="0" t="n">
        <v>13874</v>
      </c>
      <c r="P112" s="0" t="n">
        <v>0</v>
      </c>
      <c r="Q112" s="0" t="n">
        <v>11.53</v>
      </c>
      <c r="R112" s="54" t="s">
        <v>180</v>
      </c>
      <c r="S112" s="0" t="n">
        <v>0.1</v>
      </c>
      <c r="U112" s="31" t="n">
        <f aca="false">IF($B112&lt;&gt;'設定（最初に1回）'!$C$4,N(U111),IF(COUNTIFS(①今日の在庫を貼る!$B$6:$B$10005,$B112,①今日の在庫を貼る!$I$6:$I$10005,$I112)&gt;0,N(U111),N(U111)+1))</f>
        <v>0</v>
      </c>
    </row>
    <row r="113" customFormat="false" ht="15" hidden="false" customHeight="false" outlineLevel="0" collapsed="false">
      <c r="A113" s="0" t="n">
        <v>20260301</v>
      </c>
      <c r="B113" s="53" t="s">
        <v>171</v>
      </c>
      <c r="C113" s="54" t="s">
        <v>172</v>
      </c>
      <c r="D113" s="55" t="s">
        <v>191</v>
      </c>
      <c r="E113" s="54" t="s">
        <v>192</v>
      </c>
      <c r="F113" s="55" t="s">
        <v>175</v>
      </c>
      <c r="G113" s="55" t="s">
        <v>346</v>
      </c>
      <c r="H113" s="54" t="s">
        <v>347</v>
      </c>
      <c r="I113" s="53" t="s">
        <v>418</v>
      </c>
      <c r="J113" s="54" t="s">
        <v>419</v>
      </c>
      <c r="K113" s="0" t="n">
        <v>1000</v>
      </c>
      <c r="L113" s="0" t="n">
        <v>19</v>
      </c>
      <c r="M113" s="0" t="n">
        <v>333</v>
      </c>
      <c r="N113" s="0" t="n">
        <v>19333</v>
      </c>
      <c r="P113" s="0" t="n">
        <v>0</v>
      </c>
      <c r="Q113" s="0" t="n">
        <v>8.73</v>
      </c>
      <c r="R113" s="54" t="s">
        <v>180</v>
      </c>
      <c r="S113" s="0" t="n">
        <v>0.1</v>
      </c>
      <c r="U113" s="31" t="n">
        <f aca="false">IF($B113&lt;&gt;'設定（最初に1回）'!$C$4,N(U112),IF(COUNTIFS(①今日の在庫を貼る!$B$6:$B$10005,$B113,①今日の在庫を貼る!$I$6:$I$10005,$I113)&gt;0,N(U112),N(U112)+1))</f>
        <v>0</v>
      </c>
    </row>
    <row r="114" customFormat="false" ht="15" hidden="false" customHeight="false" outlineLevel="0" collapsed="false">
      <c r="A114" s="0" t="n">
        <v>20260301</v>
      </c>
      <c r="B114" s="53" t="s">
        <v>171</v>
      </c>
      <c r="C114" s="54" t="s">
        <v>172</v>
      </c>
      <c r="D114" s="55" t="s">
        <v>191</v>
      </c>
      <c r="E114" s="54" t="s">
        <v>192</v>
      </c>
      <c r="F114" s="55" t="s">
        <v>175</v>
      </c>
      <c r="G114" s="55" t="s">
        <v>346</v>
      </c>
      <c r="H114" s="54" t="s">
        <v>347</v>
      </c>
      <c r="I114" s="53" t="s">
        <v>420</v>
      </c>
      <c r="J114" s="54" t="s">
        <v>421</v>
      </c>
      <c r="K114" s="0" t="n">
        <v>10000</v>
      </c>
      <c r="L114" s="0" t="n">
        <v>125</v>
      </c>
      <c r="M114" s="0" t="n">
        <v>9147</v>
      </c>
      <c r="N114" s="0" t="n">
        <v>1259147</v>
      </c>
      <c r="P114" s="0" t="n">
        <v>0</v>
      </c>
      <c r="Q114" s="0" t="n">
        <v>1.17</v>
      </c>
      <c r="R114" s="54" t="s">
        <v>180</v>
      </c>
      <c r="S114" s="0" t="n">
        <v>0.1</v>
      </c>
      <c r="U114" s="31" t="n">
        <f aca="false">IF($B114&lt;&gt;'設定（最初に1回）'!$C$4,N(U113),IF(COUNTIFS(①今日の在庫を貼る!$B$6:$B$10005,$B114,①今日の在庫を貼る!$I$6:$I$10005,$I114)&gt;0,N(U113),N(U113)+1))</f>
        <v>0</v>
      </c>
    </row>
    <row r="115" customFormat="false" ht="15" hidden="false" customHeight="false" outlineLevel="0" collapsed="false">
      <c r="A115" s="0" t="n">
        <v>20260301</v>
      </c>
      <c r="B115" s="53" t="s">
        <v>171</v>
      </c>
      <c r="C115" s="54" t="s">
        <v>172</v>
      </c>
      <c r="D115" s="55" t="s">
        <v>191</v>
      </c>
      <c r="E115" s="54" t="s">
        <v>192</v>
      </c>
      <c r="F115" s="55" t="s">
        <v>175</v>
      </c>
      <c r="G115" s="55" t="s">
        <v>346</v>
      </c>
      <c r="H115" s="54" t="s">
        <v>347</v>
      </c>
      <c r="I115" s="53" t="s">
        <v>422</v>
      </c>
      <c r="J115" s="54" t="s">
        <v>423</v>
      </c>
      <c r="K115" s="0" t="n">
        <v>1000</v>
      </c>
      <c r="L115" s="0" t="n">
        <v>0</v>
      </c>
      <c r="M115" s="0" t="n">
        <v>1</v>
      </c>
      <c r="N115" s="0" t="n">
        <v>1</v>
      </c>
      <c r="P115" s="0" t="n">
        <v>0</v>
      </c>
      <c r="Q115" s="0" t="n">
        <v>5.36</v>
      </c>
      <c r="R115" s="54" t="s">
        <v>180</v>
      </c>
      <c r="S115" s="0" t="n">
        <v>0.1</v>
      </c>
      <c r="U115" s="31" t="n">
        <f aca="false">IF($B115&lt;&gt;'設定（最初に1回）'!$C$4,N(U114),IF(COUNTIFS(①今日の在庫を貼る!$B$6:$B$10005,$B115,①今日の在庫を貼る!$I$6:$I$10005,$I115)&gt;0,N(U114),N(U114)+1))</f>
        <v>0</v>
      </c>
    </row>
    <row r="116" customFormat="false" ht="15" hidden="false" customHeight="false" outlineLevel="0" collapsed="false">
      <c r="A116" s="0" t="n">
        <v>20260301</v>
      </c>
      <c r="B116" s="53" t="s">
        <v>171</v>
      </c>
      <c r="C116" s="54" t="s">
        <v>172</v>
      </c>
      <c r="D116" s="55" t="s">
        <v>191</v>
      </c>
      <c r="E116" s="54" t="s">
        <v>192</v>
      </c>
      <c r="F116" s="55" t="s">
        <v>175</v>
      </c>
      <c r="G116" s="55" t="s">
        <v>346</v>
      </c>
      <c r="H116" s="54" t="s">
        <v>347</v>
      </c>
      <c r="I116" s="53" t="s">
        <v>424</v>
      </c>
      <c r="J116" s="54" t="s">
        <v>425</v>
      </c>
      <c r="K116" s="0" t="n">
        <v>1000</v>
      </c>
      <c r="L116" s="0" t="n">
        <v>74</v>
      </c>
      <c r="M116" s="0" t="n">
        <v>889</v>
      </c>
      <c r="N116" s="0" t="n">
        <v>74889</v>
      </c>
      <c r="P116" s="0" t="n">
        <v>0</v>
      </c>
      <c r="Q116" s="0" t="n">
        <v>7.06</v>
      </c>
      <c r="R116" s="54" t="s">
        <v>180</v>
      </c>
      <c r="S116" s="0" t="n">
        <v>0.1</v>
      </c>
      <c r="U116" s="31" t="n">
        <f aca="false">IF($B116&lt;&gt;'設定（最初に1回）'!$C$4,N(U115),IF(COUNTIFS(①今日の在庫を貼る!$B$6:$B$10005,$B116,①今日の在庫を貼る!$I$6:$I$10005,$I116)&gt;0,N(U115),N(U115)+1))</f>
        <v>0</v>
      </c>
    </row>
    <row r="117" customFormat="false" ht="15" hidden="false" customHeight="false" outlineLevel="0" collapsed="false">
      <c r="A117" s="0" t="n">
        <v>20260301</v>
      </c>
      <c r="B117" s="53" t="s">
        <v>171</v>
      </c>
      <c r="C117" s="54" t="s">
        <v>172</v>
      </c>
      <c r="D117" s="55" t="s">
        <v>191</v>
      </c>
      <c r="E117" s="54" t="s">
        <v>192</v>
      </c>
      <c r="F117" s="55" t="s">
        <v>175</v>
      </c>
      <c r="G117" s="55" t="s">
        <v>346</v>
      </c>
      <c r="H117" s="54" t="s">
        <v>347</v>
      </c>
      <c r="I117" s="53" t="s">
        <v>426</v>
      </c>
      <c r="J117" s="54" t="s">
        <v>427</v>
      </c>
      <c r="K117" s="0" t="n">
        <v>1250</v>
      </c>
      <c r="L117" s="0" t="n">
        <v>3</v>
      </c>
      <c r="M117" s="0" t="n">
        <v>1089</v>
      </c>
      <c r="N117" s="0" t="n">
        <v>4839</v>
      </c>
      <c r="P117" s="0" t="n">
        <v>0</v>
      </c>
      <c r="Q117" s="0" t="n">
        <v>8.22</v>
      </c>
      <c r="R117" s="54" t="s">
        <v>180</v>
      </c>
      <c r="S117" s="0" t="n">
        <v>0.1</v>
      </c>
      <c r="U117" s="31" t="n">
        <f aca="false">IF($B117&lt;&gt;'設定（最初に1回）'!$C$4,N(U116),IF(COUNTIFS(①今日の在庫を貼る!$B$6:$B$10005,$B117,①今日の在庫を貼る!$I$6:$I$10005,$I117)&gt;0,N(U116),N(U116)+1))</f>
        <v>0</v>
      </c>
    </row>
    <row r="118" customFormat="false" ht="15" hidden="false" customHeight="false" outlineLevel="0" collapsed="false">
      <c r="A118" s="0" t="n">
        <v>20260301</v>
      </c>
      <c r="B118" s="53" t="s">
        <v>171</v>
      </c>
      <c r="C118" s="54" t="s">
        <v>172</v>
      </c>
      <c r="D118" s="55" t="s">
        <v>191</v>
      </c>
      <c r="E118" s="54" t="s">
        <v>192</v>
      </c>
      <c r="F118" s="55" t="s">
        <v>175</v>
      </c>
      <c r="G118" s="55" t="s">
        <v>346</v>
      </c>
      <c r="H118" s="54" t="s">
        <v>347</v>
      </c>
      <c r="I118" s="53" t="s">
        <v>428</v>
      </c>
      <c r="J118" s="54" t="s">
        <v>429</v>
      </c>
      <c r="K118" s="0" t="n">
        <v>300</v>
      </c>
      <c r="L118" s="0" t="n">
        <v>60</v>
      </c>
      <c r="M118" s="0" t="n">
        <v>89</v>
      </c>
      <c r="N118" s="0" t="n">
        <v>18089</v>
      </c>
      <c r="P118" s="0" t="n">
        <v>0</v>
      </c>
      <c r="Q118" s="0" t="n">
        <v>17.84</v>
      </c>
      <c r="R118" s="54" t="s">
        <v>180</v>
      </c>
      <c r="S118" s="0" t="n">
        <v>0.1</v>
      </c>
      <c r="U118" s="31" t="n">
        <f aca="false">IF($B118&lt;&gt;'設定（最初に1回）'!$C$4,N(U117),IF(COUNTIFS(①今日の在庫を貼る!$B$6:$B$10005,$B118,①今日の在庫を貼る!$I$6:$I$10005,$I118)&gt;0,N(U117),N(U117)+1))</f>
        <v>0</v>
      </c>
    </row>
    <row r="119" customFormat="false" ht="15" hidden="false" customHeight="false" outlineLevel="0" collapsed="false">
      <c r="A119" s="0" t="n">
        <v>20260301</v>
      </c>
      <c r="B119" s="53" t="s">
        <v>171</v>
      </c>
      <c r="C119" s="54" t="s">
        <v>172</v>
      </c>
      <c r="D119" s="55" t="s">
        <v>191</v>
      </c>
      <c r="E119" s="54" t="s">
        <v>192</v>
      </c>
      <c r="F119" s="55" t="s">
        <v>175</v>
      </c>
      <c r="G119" s="55" t="s">
        <v>346</v>
      </c>
      <c r="H119" s="54" t="s">
        <v>347</v>
      </c>
      <c r="I119" s="53" t="s">
        <v>430</v>
      </c>
      <c r="J119" s="54" t="s">
        <v>431</v>
      </c>
      <c r="K119" s="0" t="n">
        <v>1200</v>
      </c>
      <c r="L119" s="0" t="n">
        <v>8</v>
      </c>
      <c r="M119" s="0" t="n">
        <v>62</v>
      </c>
      <c r="N119" s="0" t="n">
        <v>9662</v>
      </c>
      <c r="P119" s="0" t="n">
        <v>0</v>
      </c>
      <c r="Q119" s="0" t="n">
        <v>5.05</v>
      </c>
      <c r="R119" s="54" t="s">
        <v>180</v>
      </c>
      <c r="S119" s="0" t="n">
        <v>0.1</v>
      </c>
      <c r="U119" s="31" t="n">
        <f aca="false">IF($B119&lt;&gt;'設定（最初に1回）'!$C$4,N(U118),IF(COUNTIFS(①今日の在庫を貼る!$B$6:$B$10005,$B119,①今日の在庫を貼る!$I$6:$I$10005,$I119)&gt;0,N(U118),N(U118)+1))</f>
        <v>0</v>
      </c>
    </row>
    <row r="120" customFormat="false" ht="15" hidden="false" customHeight="false" outlineLevel="0" collapsed="false">
      <c r="A120" s="0" t="n">
        <v>20260301</v>
      </c>
      <c r="B120" s="53" t="s">
        <v>171</v>
      </c>
      <c r="C120" s="54" t="s">
        <v>172</v>
      </c>
      <c r="D120" s="55" t="s">
        <v>191</v>
      </c>
      <c r="E120" s="54" t="s">
        <v>192</v>
      </c>
      <c r="F120" s="55" t="s">
        <v>175</v>
      </c>
      <c r="G120" s="55" t="s">
        <v>346</v>
      </c>
      <c r="H120" s="54" t="s">
        <v>347</v>
      </c>
      <c r="I120" s="53" t="s">
        <v>432</v>
      </c>
      <c r="J120" s="54" t="s">
        <v>433</v>
      </c>
      <c r="K120" s="0" t="n">
        <v>1000</v>
      </c>
      <c r="L120" s="0" t="n">
        <v>1</v>
      </c>
      <c r="M120" s="0" t="n">
        <v>932</v>
      </c>
      <c r="N120" s="0" t="n">
        <v>1932</v>
      </c>
      <c r="P120" s="0" t="n">
        <v>0</v>
      </c>
      <c r="Q120" s="0" t="n">
        <v>7.6</v>
      </c>
      <c r="R120" s="54" t="s">
        <v>180</v>
      </c>
      <c r="S120" s="0" t="n">
        <v>0.1</v>
      </c>
      <c r="U120" s="31" t="n">
        <f aca="false">IF($B120&lt;&gt;'設定（最初に1回）'!$C$4,N(U119),IF(COUNTIFS(①今日の在庫を貼る!$B$6:$B$10005,$B120,①今日の在庫を貼る!$I$6:$I$10005,$I120)&gt;0,N(U119),N(U119)+1))</f>
        <v>0</v>
      </c>
    </row>
    <row r="121" customFormat="false" ht="15" hidden="false" customHeight="false" outlineLevel="0" collapsed="false">
      <c r="A121" s="0" t="n">
        <v>20260301</v>
      </c>
      <c r="B121" s="53" t="s">
        <v>171</v>
      </c>
      <c r="C121" s="54" t="s">
        <v>172</v>
      </c>
      <c r="D121" s="55" t="s">
        <v>191</v>
      </c>
      <c r="E121" s="54" t="s">
        <v>192</v>
      </c>
      <c r="F121" s="55" t="s">
        <v>175</v>
      </c>
      <c r="G121" s="55" t="s">
        <v>346</v>
      </c>
      <c r="H121" s="54" t="s">
        <v>347</v>
      </c>
      <c r="I121" s="53" t="s">
        <v>434</v>
      </c>
      <c r="J121" s="54" t="s">
        <v>435</v>
      </c>
      <c r="K121" s="0" t="n">
        <v>450</v>
      </c>
      <c r="L121" s="0" t="n">
        <v>28</v>
      </c>
      <c r="M121" s="0" t="n">
        <v>320</v>
      </c>
      <c r="N121" s="0" t="n">
        <v>12920</v>
      </c>
      <c r="P121" s="0" t="n">
        <v>0</v>
      </c>
      <c r="Q121" s="0" t="n">
        <v>15.46</v>
      </c>
      <c r="R121" s="54" t="s">
        <v>180</v>
      </c>
      <c r="S121" s="0" t="n">
        <v>0.1</v>
      </c>
      <c r="U121" s="31" t="n">
        <f aca="false">IF($B121&lt;&gt;'設定（最初に1回）'!$C$4,N(U120),IF(COUNTIFS(①今日の在庫を貼る!$B$6:$B$10005,$B121,①今日の在庫を貼る!$I$6:$I$10005,$I121)&gt;0,N(U120),N(U120)+1))</f>
        <v>0</v>
      </c>
    </row>
    <row r="122" customFormat="false" ht="15" hidden="false" customHeight="false" outlineLevel="0" collapsed="false">
      <c r="A122" s="0" t="n">
        <v>20260301</v>
      </c>
      <c r="B122" s="53" t="s">
        <v>171</v>
      </c>
      <c r="C122" s="54" t="s">
        <v>172</v>
      </c>
      <c r="D122" s="55" t="s">
        <v>191</v>
      </c>
      <c r="E122" s="54" t="s">
        <v>192</v>
      </c>
      <c r="F122" s="55" t="s">
        <v>175</v>
      </c>
      <c r="G122" s="55" t="s">
        <v>346</v>
      </c>
      <c r="H122" s="54" t="s">
        <v>347</v>
      </c>
      <c r="I122" s="53" t="s">
        <v>436</v>
      </c>
      <c r="J122" s="54" t="s">
        <v>437</v>
      </c>
      <c r="K122" s="0" t="n">
        <v>400</v>
      </c>
      <c r="L122" s="0" t="n">
        <v>39</v>
      </c>
      <c r="M122" s="0" t="n">
        <v>77</v>
      </c>
      <c r="N122" s="0" t="n">
        <v>15677</v>
      </c>
      <c r="P122" s="0" t="n">
        <v>0</v>
      </c>
      <c r="Q122" s="0" t="n">
        <v>13.41</v>
      </c>
      <c r="R122" s="54" t="s">
        <v>180</v>
      </c>
      <c r="S122" s="0" t="n">
        <v>0.1</v>
      </c>
      <c r="U122" s="31" t="n">
        <f aca="false">IF($B122&lt;&gt;'設定（最初に1回）'!$C$4,N(U121),IF(COUNTIFS(①今日の在庫を貼る!$B$6:$B$10005,$B122,①今日の在庫を貼る!$I$6:$I$10005,$I122)&gt;0,N(U121),N(U121)+1))</f>
        <v>0</v>
      </c>
    </row>
    <row r="123" customFormat="false" ht="15" hidden="false" customHeight="false" outlineLevel="0" collapsed="false">
      <c r="A123" s="0" t="n">
        <v>20260301</v>
      </c>
      <c r="B123" s="53" t="s">
        <v>171</v>
      </c>
      <c r="C123" s="54" t="s">
        <v>172</v>
      </c>
      <c r="D123" s="55" t="s">
        <v>191</v>
      </c>
      <c r="E123" s="54" t="s">
        <v>192</v>
      </c>
      <c r="F123" s="55" t="s">
        <v>175</v>
      </c>
      <c r="G123" s="55" t="s">
        <v>346</v>
      </c>
      <c r="H123" s="54" t="s">
        <v>347</v>
      </c>
      <c r="I123" s="53" t="s">
        <v>438</v>
      </c>
      <c r="J123" s="54" t="s">
        <v>439</v>
      </c>
      <c r="K123" s="0" t="n">
        <v>600</v>
      </c>
      <c r="L123" s="0" t="n">
        <v>34</v>
      </c>
      <c r="M123" s="0" t="n">
        <v>263</v>
      </c>
      <c r="N123" s="0" t="n">
        <v>20663</v>
      </c>
      <c r="P123" s="0" t="n">
        <v>0</v>
      </c>
      <c r="Q123" s="0" t="n">
        <v>11.68</v>
      </c>
      <c r="R123" s="54" t="s">
        <v>180</v>
      </c>
      <c r="S123" s="0" t="n">
        <v>0.1</v>
      </c>
      <c r="U123" s="31" t="n">
        <f aca="false">IF($B123&lt;&gt;'設定（最初に1回）'!$C$4,N(U122),IF(COUNTIFS(①今日の在庫を貼る!$B$6:$B$10005,$B123,①今日の在庫を貼る!$I$6:$I$10005,$I123)&gt;0,N(U122),N(U122)+1))</f>
        <v>0</v>
      </c>
    </row>
    <row r="124" customFormat="false" ht="15" hidden="false" customHeight="false" outlineLevel="0" collapsed="false">
      <c r="A124" s="0" t="n">
        <v>20260301</v>
      </c>
      <c r="B124" s="53" t="s">
        <v>171</v>
      </c>
      <c r="C124" s="54" t="s">
        <v>172</v>
      </c>
      <c r="D124" s="55" t="s">
        <v>191</v>
      </c>
      <c r="E124" s="54" t="s">
        <v>192</v>
      </c>
      <c r="F124" s="55" t="s">
        <v>175</v>
      </c>
      <c r="G124" s="55" t="s">
        <v>346</v>
      </c>
      <c r="H124" s="54" t="s">
        <v>347</v>
      </c>
      <c r="I124" s="53" t="s">
        <v>440</v>
      </c>
      <c r="J124" s="54" t="s">
        <v>441</v>
      </c>
      <c r="K124" s="0" t="n">
        <v>500</v>
      </c>
      <c r="L124" s="0" t="n">
        <v>16</v>
      </c>
      <c r="M124" s="0" t="n">
        <v>139</v>
      </c>
      <c r="N124" s="0" t="n">
        <v>8139</v>
      </c>
      <c r="P124" s="0" t="n">
        <v>0</v>
      </c>
      <c r="Q124" s="0" t="n">
        <v>15.6</v>
      </c>
      <c r="R124" s="54" t="s">
        <v>180</v>
      </c>
      <c r="S124" s="0" t="n">
        <v>0.1</v>
      </c>
      <c r="U124" s="31" t="n">
        <f aca="false">IF($B124&lt;&gt;'設定（最初に1回）'!$C$4,N(U123),IF(COUNTIFS(①今日の在庫を貼る!$B$6:$B$10005,$B124,①今日の在庫を貼る!$I$6:$I$10005,$I124)&gt;0,N(U123),N(U123)+1))</f>
        <v>0</v>
      </c>
    </row>
    <row r="125" customFormat="false" ht="15" hidden="false" customHeight="false" outlineLevel="0" collapsed="false">
      <c r="A125" s="0" t="n">
        <v>20260301</v>
      </c>
      <c r="B125" s="53" t="s">
        <v>171</v>
      </c>
      <c r="C125" s="54" t="s">
        <v>172</v>
      </c>
      <c r="D125" s="55" t="s">
        <v>191</v>
      </c>
      <c r="E125" s="54" t="s">
        <v>192</v>
      </c>
      <c r="F125" s="55" t="s">
        <v>175</v>
      </c>
      <c r="G125" s="55" t="s">
        <v>346</v>
      </c>
      <c r="H125" s="54" t="s">
        <v>347</v>
      </c>
      <c r="I125" s="53" t="s">
        <v>442</v>
      </c>
      <c r="J125" s="54" t="s">
        <v>443</v>
      </c>
      <c r="K125" s="0" t="n">
        <v>500</v>
      </c>
      <c r="L125" s="0" t="n">
        <v>41</v>
      </c>
      <c r="M125" s="0" t="n">
        <v>10</v>
      </c>
      <c r="N125" s="0" t="n">
        <v>20510</v>
      </c>
      <c r="P125" s="0" t="n">
        <v>0</v>
      </c>
      <c r="Q125" s="0" t="n">
        <v>4.48</v>
      </c>
      <c r="R125" s="54" t="s">
        <v>180</v>
      </c>
      <c r="S125" s="0" t="n">
        <v>0.1</v>
      </c>
      <c r="U125" s="31" t="n">
        <f aca="false">IF($B125&lt;&gt;'設定（最初に1回）'!$C$4,N(U124),IF(COUNTIFS(①今日の在庫を貼る!$B$6:$B$10005,$B125,①今日の在庫を貼る!$I$6:$I$10005,$I125)&gt;0,N(U124),N(U124)+1))</f>
        <v>0</v>
      </c>
    </row>
    <row r="126" customFormat="false" ht="15" hidden="false" customHeight="false" outlineLevel="0" collapsed="false">
      <c r="A126" s="0" t="n">
        <v>20260301</v>
      </c>
      <c r="B126" s="53" t="s">
        <v>171</v>
      </c>
      <c r="C126" s="54" t="s">
        <v>172</v>
      </c>
      <c r="D126" s="55" t="s">
        <v>191</v>
      </c>
      <c r="E126" s="54" t="s">
        <v>192</v>
      </c>
      <c r="F126" s="55" t="s">
        <v>175</v>
      </c>
      <c r="G126" s="55" t="s">
        <v>346</v>
      </c>
      <c r="H126" s="54" t="s">
        <v>347</v>
      </c>
      <c r="I126" s="53" t="s">
        <v>444</v>
      </c>
      <c r="J126" s="54" t="s">
        <v>445</v>
      </c>
      <c r="K126" s="0" t="n">
        <v>100</v>
      </c>
      <c r="L126" s="0" t="n">
        <v>186</v>
      </c>
      <c r="M126" s="0" t="n">
        <v>16</v>
      </c>
      <c r="N126" s="0" t="n">
        <v>18616</v>
      </c>
      <c r="P126" s="0" t="n">
        <v>0</v>
      </c>
      <c r="Q126" s="0" t="n">
        <v>2.44</v>
      </c>
      <c r="R126" s="54" t="s">
        <v>180</v>
      </c>
      <c r="S126" s="0" t="n">
        <v>0.1</v>
      </c>
      <c r="U126" s="31" t="n">
        <f aca="false">IF($B126&lt;&gt;'設定（最初に1回）'!$C$4,N(U125),IF(COUNTIFS(①今日の在庫を貼る!$B$6:$B$10005,$B126,①今日の在庫を貼る!$I$6:$I$10005,$I126)&gt;0,N(U125),N(U125)+1))</f>
        <v>0</v>
      </c>
    </row>
    <row r="127" customFormat="false" ht="15" hidden="false" customHeight="false" outlineLevel="0" collapsed="false">
      <c r="A127" s="0" t="n">
        <v>20260301</v>
      </c>
      <c r="B127" s="53" t="s">
        <v>171</v>
      </c>
      <c r="C127" s="54" t="s">
        <v>172</v>
      </c>
      <c r="D127" s="55" t="s">
        <v>446</v>
      </c>
      <c r="E127" s="54" t="s">
        <v>447</v>
      </c>
      <c r="F127" s="55" t="s">
        <v>175</v>
      </c>
      <c r="G127" s="55" t="s">
        <v>340</v>
      </c>
      <c r="H127" s="54" t="s">
        <v>341</v>
      </c>
      <c r="I127" s="53" t="s">
        <v>448</v>
      </c>
      <c r="J127" s="54" t="s">
        <v>449</v>
      </c>
      <c r="K127" s="0" t="n">
        <v>20</v>
      </c>
      <c r="L127" s="0" t="n">
        <v>15</v>
      </c>
      <c r="M127" s="0" t="n">
        <v>3</v>
      </c>
      <c r="N127" s="0" t="n">
        <v>303</v>
      </c>
      <c r="P127" s="0" t="n">
        <v>0</v>
      </c>
      <c r="Q127" s="0" t="n">
        <v>591</v>
      </c>
      <c r="R127" s="54" t="s">
        <v>180</v>
      </c>
      <c r="S127" s="0" t="n">
        <v>0.1</v>
      </c>
      <c r="U127" s="31" t="n">
        <f aca="false">IF($B127&lt;&gt;'設定（最初に1回）'!$C$4,N(U126),IF(COUNTIFS(①今日の在庫を貼る!$B$6:$B$10005,$B127,①今日の在庫を貼る!$I$6:$I$10005,$I127)&gt;0,N(U126),N(U126)+1))</f>
        <v>0</v>
      </c>
    </row>
    <row r="128" customFormat="false" ht="15" hidden="false" customHeight="false" outlineLevel="0" collapsed="false">
      <c r="A128" s="0" t="n">
        <v>20260301</v>
      </c>
      <c r="B128" s="53" t="s">
        <v>171</v>
      </c>
      <c r="C128" s="54" t="s">
        <v>172</v>
      </c>
      <c r="D128" s="55" t="s">
        <v>450</v>
      </c>
      <c r="E128" s="54" t="s">
        <v>451</v>
      </c>
      <c r="F128" s="55" t="s">
        <v>175</v>
      </c>
      <c r="G128" s="55" t="s">
        <v>340</v>
      </c>
      <c r="H128" s="54" t="s">
        <v>341</v>
      </c>
      <c r="I128" s="53" t="s">
        <v>452</v>
      </c>
      <c r="J128" s="54" t="s">
        <v>453</v>
      </c>
      <c r="K128" s="0" t="n">
        <v>50</v>
      </c>
      <c r="L128" s="0" t="n">
        <v>0</v>
      </c>
      <c r="M128" s="0" t="n">
        <v>9</v>
      </c>
      <c r="N128" s="0" t="n">
        <v>9</v>
      </c>
      <c r="P128" s="0" t="n">
        <v>0</v>
      </c>
      <c r="Q128" s="0" t="n">
        <v>750</v>
      </c>
      <c r="R128" s="54" t="s">
        <v>180</v>
      </c>
      <c r="S128" s="0" t="n">
        <v>0.1</v>
      </c>
      <c r="U128" s="31" t="n">
        <f aca="false">IF($B128&lt;&gt;'設定（最初に1回）'!$C$4,N(U127),IF(COUNTIFS(①今日の在庫を貼る!$B$6:$B$10005,$B128,①今日の在庫を貼る!$I$6:$I$10005,$I128)&gt;0,N(U127),N(U127)+1))</f>
        <v>0</v>
      </c>
    </row>
    <row r="129" customFormat="false" ht="15" hidden="false" customHeight="false" outlineLevel="0" collapsed="false">
      <c r="A129" s="0" t="n">
        <v>20260301</v>
      </c>
      <c r="B129" s="53" t="s">
        <v>171</v>
      </c>
      <c r="C129" s="54" t="s">
        <v>172</v>
      </c>
      <c r="D129" s="55" t="s">
        <v>454</v>
      </c>
      <c r="E129" s="54" t="s">
        <v>455</v>
      </c>
      <c r="F129" s="55" t="s">
        <v>175</v>
      </c>
      <c r="G129" s="55" t="s">
        <v>340</v>
      </c>
      <c r="H129" s="54" t="s">
        <v>341</v>
      </c>
      <c r="I129" s="53" t="s">
        <v>456</v>
      </c>
      <c r="J129" s="54" t="s">
        <v>457</v>
      </c>
      <c r="K129" s="0" t="n">
        <v>18</v>
      </c>
      <c r="L129" s="0" t="n">
        <v>0</v>
      </c>
      <c r="M129" s="0" t="n">
        <v>4</v>
      </c>
      <c r="N129" s="0" t="n">
        <v>4</v>
      </c>
      <c r="P129" s="0" t="n">
        <v>0</v>
      </c>
      <c r="Q129" s="0" t="n">
        <v>1050</v>
      </c>
      <c r="R129" s="54" t="s">
        <v>180</v>
      </c>
      <c r="S129" s="0" t="n">
        <v>0.1</v>
      </c>
      <c r="U129" s="31" t="n">
        <f aca="false">IF($B129&lt;&gt;'設定（最初に1回）'!$C$4,N(U128),IF(COUNTIFS(①今日の在庫を貼る!$B$6:$B$10005,$B129,①今日の在庫を貼る!$I$6:$I$10005,$I129)&gt;0,N(U128),N(U128)+1))</f>
        <v>0</v>
      </c>
    </row>
    <row r="130" customFormat="false" ht="15" hidden="false" customHeight="false" outlineLevel="0" collapsed="false">
      <c r="A130" s="0" t="n">
        <v>20260301</v>
      </c>
      <c r="B130" s="53" t="s">
        <v>171</v>
      </c>
      <c r="C130" s="54" t="s">
        <v>172</v>
      </c>
      <c r="D130" s="55" t="s">
        <v>458</v>
      </c>
      <c r="E130" s="54" t="s">
        <v>459</v>
      </c>
      <c r="F130" s="55" t="s">
        <v>175</v>
      </c>
      <c r="G130" s="55" t="s">
        <v>340</v>
      </c>
      <c r="H130" s="54" t="s">
        <v>341</v>
      </c>
      <c r="I130" s="53" t="s">
        <v>460</v>
      </c>
      <c r="J130" s="54" t="s">
        <v>461</v>
      </c>
      <c r="K130" s="0" t="n">
        <v>18</v>
      </c>
      <c r="L130" s="0" t="n">
        <v>0</v>
      </c>
      <c r="M130" s="0" t="n">
        <v>15</v>
      </c>
      <c r="N130" s="0" t="n">
        <v>15</v>
      </c>
      <c r="P130" s="0" t="n">
        <v>0</v>
      </c>
      <c r="Q130" s="0" t="n">
        <v>1800</v>
      </c>
      <c r="R130" s="54" t="s">
        <v>180</v>
      </c>
      <c r="S130" s="0" t="n">
        <v>0.1</v>
      </c>
      <c r="U130" s="31" t="n">
        <f aca="false">IF($B130&lt;&gt;'設定（最初に1回）'!$C$4,N(U129),IF(COUNTIFS(①今日の在庫を貼る!$B$6:$B$10005,$B130,①今日の在庫を貼る!$I$6:$I$10005,$I130)&gt;0,N(U129),N(U129)+1))</f>
        <v>0</v>
      </c>
    </row>
    <row r="131" customFormat="false" ht="15" hidden="false" customHeight="false" outlineLevel="0" collapsed="false">
      <c r="A131" s="0" t="n">
        <v>20260301</v>
      </c>
      <c r="B131" s="53" t="s">
        <v>171</v>
      </c>
      <c r="C131" s="54" t="s">
        <v>172</v>
      </c>
      <c r="D131" s="55" t="s">
        <v>462</v>
      </c>
      <c r="E131" s="54" t="s">
        <v>463</v>
      </c>
      <c r="F131" s="55" t="s">
        <v>175</v>
      </c>
      <c r="G131" s="55" t="s">
        <v>340</v>
      </c>
      <c r="H131" s="54" t="s">
        <v>341</v>
      </c>
      <c r="I131" s="53" t="s">
        <v>464</v>
      </c>
      <c r="J131" s="54" t="s">
        <v>465</v>
      </c>
      <c r="K131" s="0" t="n">
        <v>21</v>
      </c>
      <c r="L131" s="0" t="n">
        <v>0</v>
      </c>
      <c r="M131" s="0" t="n">
        <v>2</v>
      </c>
      <c r="N131" s="0" t="n">
        <v>2</v>
      </c>
      <c r="P131" s="0" t="n">
        <v>0</v>
      </c>
      <c r="Q131" s="0" t="n">
        <v>680</v>
      </c>
      <c r="R131" s="54" t="s">
        <v>180</v>
      </c>
      <c r="S131" s="0" t="n">
        <v>0.1</v>
      </c>
      <c r="U131" s="31" t="n">
        <f aca="false">IF($B131&lt;&gt;'設定（最初に1回）'!$C$4,N(U130),IF(COUNTIFS(①今日の在庫を貼る!$B$6:$B$10005,$B131,①今日の在庫を貼る!$I$6:$I$10005,$I131)&gt;0,N(U130),N(U130)+1))</f>
        <v>0</v>
      </c>
    </row>
    <row r="132" customFormat="false" ht="15" hidden="false" customHeight="false" outlineLevel="0" collapsed="false">
      <c r="A132" s="0" t="n">
        <v>20260301</v>
      </c>
      <c r="B132" s="53" t="s">
        <v>171</v>
      </c>
      <c r="C132" s="54" t="s">
        <v>172</v>
      </c>
      <c r="D132" s="55" t="s">
        <v>466</v>
      </c>
      <c r="E132" s="54" t="s">
        <v>467</v>
      </c>
      <c r="F132" s="55" t="s">
        <v>175</v>
      </c>
      <c r="G132" s="55" t="s">
        <v>340</v>
      </c>
      <c r="H132" s="54" t="s">
        <v>341</v>
      </c>
      <c r="I132" s="53" t="s">
        <v>468</v>
      </c>
      <c r="J132" s="54" t="s">
        <v>469</v>
      </c>
      <c r="K132" s="0" t="n">
        <v>20</v>
      </c>
      <c r="L132" s="0" t="n">
        <v>0</v>
      </c>
      <c r="M132" s="0" t="n">
        <v>1</v>
      </c>
      <c r="N132" s="0" t="n">
        <v>1</v>
      </c>
      <c r="P132" s="0" t="n">
        <v>0</v>
      </c>
      <c r="Q132" s="0" t="n">
        <v>650</v>
      </c>
      <c r="R132" s="54" t="s">
        <v>180</v>
      </c>
      <c r="S132" s="0" t="n">
        <v>0.1</v>
      </c>
      <c r="U132" s="31" t="n">
        <f aca="false">IF($B132&lt;&gt;'設定（最初に1回）'!$C$4,N(U131),IF(COUNTIFS(①今日の在庫を貼る!$B$6:$B$10005,$B132,①今日の在庫を貼る!$I$6:$I$10005,$I132)&gt;0,N(U131),N(U131)+1))</f>
        <v>0</v>
      </c>
    </row>
    <row r="133" customFormat="false" ht="15" hidden="false" customHeight="false" outlineLevel="0" collapsed="false">
      <c r="A133" s="0" t="n">
        <v>20260301</v>
      </c>
      <c r="B133" s="53" t="s">
        <v>171</v>
      </c>
      <c r="C133" s="54" t="s">
        <v>172</v>
      </c>
      <c r="D133" s="55" t="s">
        <v>466</v>
      </c>
      <c r="E133" s="54" t="s">
        <v>467</v>
      </c>
      <c r="F133" s="55" t="s">
        <v>175</v>
      </c>
      <c r="G133" s="55" t="s">
        <v>340</v>
      </c>
      <c r="H133" s="54" t="s">
        <v>341</v>
      </c>
      <c r="I133" s="53" t="s">
        <v>470</v>
      </c>
      <c r="J133" s="54" t="s">
        <v>471</v>
      </c>
      <c r="K133" s="0" t="n">
        <v>30</v>
      </c>
      <c r="L133" s="0" t="n">
        <v>20</v>
      </c>
      <c r="M133" s="0" t="n">
        <v>9</v>
      </c>
      <c r="N133" s="0" t="n">
        <v>609</v>
      </c>
      <c r="P133" s="0" t="n">
        <v>0</v>
      </c>
      <c r="Q133" s="0" t="n">
        <v>750</v>
      </c>
      <c r="R133" s="54" t="s">
        <v>180</v>
      </c>
      <c r="S133" s="0" t="n">
        <v>0.1</v>
      </c>
      <c r="U133" s="31" t="n">
        <f aca="false">IF($B133&lt;&gt;'設定（最初に1回）'!$C$4,N(U132),IF(COUNTIFS(①今日の在庫を貼る!$B$6:$B$10005,$B133,①今日の在庫を貼る!$I$6:$I$10005,$I133)&gt;0,N(U132),N(U132)+1))</f>
        <v>0</v>
      </c>
    </row>
    <row r="134" customFormat="false" ht="15" hidden="false" customHeight="false" outlineLevel="0" collapsed="false">
      <c r="A134" s="0" t="n">
        <v>20260301</v>
      </c>
      <c r="B134" s="53" t="s">
        <v>171</v>
      </c>
      <c r="C134" s="54" t="s">
        <v>172</v>
      </c>
      <c r="D134" s="55" t="s">
        <v>466</v>
      </c>
      <c r="E134" s="54" t="s">
        <v>467</v>
      </c>
      <c r="F134" s="55" t="s">
        <v>175</v>
      </c>
      <c r="G134" s="55" t="s">
        <v>340</v>
      </c>
      <c r="H134" s="54" t="s">
        <v>341</v>
      </c>
      <c r="I134" s="53" t="s">
        <v>472</v>
      </c>
      <c r="J134" s="54" t="s">
        <v>473</v>
      </c>
      <c r="K134" s="0" t="n">
        <v>10</v>
      </c>
      <c r="L134" s="0" t="n">
        <v>32</v>
      </c>
      <c r="M134" s="0" t="n">
        <v>9</v>
      </c>
      <c r="N134" s="0" t="n">
        <v>329</v>
      </c>
      <c r="P134" s="0" t="n">
        <v>0</v>
      </c>
      <c r="Q134" s="0" t="n">
        <v>750</v>
      </c>
      <c r="R134" s="54" t="s">
        <v>180</v>
      </c>
      <c r="S134" s="0" t="n">
        <v>0.1</v>
      </c>
      <c r="U134" s="31" t="n">
        <f aca="false">IF($B134&lt;&gt;'設定（最初に1回）'!$C$4,N(U133),IF(COUNTIFS(①今日の在庫を貼る!$B$6:$B$10005,$B134,①今日の在庫を貼る!$I$6:$I$10005,$I134)&gt;0,N(U133),N(U133)+1))</f>
        <v>0</v>
      </c>
    </row>
    <row r="135" customFormat="false" ht="15" hidden="false" customHeight="false" outlineLevel="0" collapsed="false">
      <c r="A135" s="0" t="n">
        <v>20260301</v>
      </c>
      <c r="B135" s="53" t="s">
        <v>171</v>
      </c>
      <c r="C135" s="54" t="s">
        <v>172</v>
      </c>
      <c r="D135" s="55" t="s">
        <v>466</v>
      </c>
      <c r="E135" s="54" t="s">
        <v>467</v>
      </c>
      <c r="F135" s="55" t="s">
        <v>175</v>
      </c>
      <c r="G135" s="55" t="s">
        <v>340</v>
      </c>
      <c r="H135" s="54" t="s">
        <v>341</v>
      </c>
      <c r="I135" s="53" t="s">
        <v>474</v>
      </c>
      <c r="J135" s="54" t="s">
        <v>475</v>
      </c>
      <c r="K135" s="0" t="n">
        <v>20</v>
      </c>
      <c r="L135" s="0" t="n">
        <v>13</v>
      </c>
      <c r="M135" s="0" t="n">
        <v>7</v>
      </c>
      <c r="N135" s="0" t="n">
        <v>267</v>
      </c>
      <c r="P135" s="0" t="n">
        <v>0</v>
      </c>
      <c r="Q135" s="0" t="n">
        <v>750</v>
      </c>
      <c r="R135" s="54" t="s">
        <v>180</v>
      </c>
      <c r="S135" s="0" t="n">
        <v>0.1</v>
      </c>
      <c r="U135" s="31" t="n">
        <f aca="false">IF($B135&lt;&gt;'設定（最初に1回）'!$C$4,N(U134),IF(COUNTIFS(①今日の在庫を貼る!$B$6:$B$10005,$B135,①今日の在庫を貼る!$I$6:$I$10005,$I135)&gt;0,N(U134),N(U134)+1))</f>
        <v>0</v>
      </c>
    </row>
    <row r="136" customFormat="false" ht="15" hidden="false" customHeight="false" outlineLevel="0" collapsed="false">
      <c r="A136" s="0" t="n">
        <v>20260301</v>
      </c>
      <c r="B136" s="53" t="s">
        <v>171</v>
      </c>
      <c r="C136" s="54" t="s">
        <v>172</v>
      </c>
      <c r="D136" s="55" t="s">
        <v>466</v>
      </c>
      <c r="E136" s="54" t="s">
        <v>467</v>
      </c>
      <c r="F136" s="55" t="s">
        <v>175</v>
      </c>
      <c r="G136" s="55" t="s">
        <v>340</v>
      </c>
      <c r="H136" s="54" t="s">
        <v>341</v>
      </c>
      <c r="I136" s="53" t="s">
        <v>476</v>
      </c>
      <c r="J136" s="54" t="s">
        <v>477</v>
      </c>
      <c r="K136" s="0" t="n">
        <v>18</v>
      </c>
      <c r="L136" s="0" t="n">
        <v>0</v>
      </c>
      <c r="M136" s="0" t="n">
        <v>2</v>
      </c>
      <c r="N136" s="0" t="n">
        <v>2</v>
      </c>
      <c r="P136" s="0" t="n">
        <v>0</v>
      </c>
      <c r="Q136" s="0" t="n">
        <v>2900</v>
      </c>
      <c r="R136" s="54" t="s">
        <v>180</v>
      </c>
      <c r="S136" s="0" t="n">
        <v>0.1</v>
      </c>
      <c r="U136" s="31" t="n">
        <f aca="false">IF($B136&lt;&gt;'設定（最初に1回）'!$C$4,N(U135),IF(COUNTIFS(①今日の在庫を貼る!$B$6:$B$10005,$B136,①今日の在庫を貼る!$I$6:$I$10005,$I136)&gt;0,N(U135),N(U135)+1))</f>
        <v>0</v>
      </c>
    </row>
    <row r="137" customFormat="false" ht="15" hidden="false" customHeight="false" outlineLevel="0" collapsed="false">
      <c r="A137" s="0" t="n">
        <v>20260301</v>
      </c>
      <c r="B137" s="53" t="s">
        <v>171</v>
      </c>
      <c r="C137" s="54" t="s">
        <v>172</v>
      </c>
      <c r="D137" s="55" t="s">
        <v>478</v>
      </c>
      <c r="E137" s="54" t="s">
        <v>479</v>
      </c>
      <c r="F137" s="55" t="s">
        <v>175</v>
      </c>
      <c r="G137" s="55" t="s">
        <v>176</v>
      </c>
      <c r="H137" s="54" t="s">
        <v>177</v>
      </c>
      <c r="I137" s="53" t="s">
        <v>480</v>
      </c>
      <c r="J137" s="54" t="s">
        <v>481</v>
      </c>
      <c r="K137" s="0" t="n">
        <v>1</v>
      </c>
      <c r="L137" s="0" t="n">
        <v>1</v>
      </c>
      <c r="M137" s="0" t="n">
        <v>0</v>
      </c>
      <c r="N137" s="0" t="n">
        <v>1</v>
      </c>
      <c r="P137" s="0" t="n">
        <v>0</v>
      </c>
      <c r="Q137" s="0" t="n">
        <v>219.44</v>
      </c>
      <c r="R137" s="54" t="s">
        <v>180</v>
      </c>
      <c r="S137" s="0" t="n">
        <v>0.1</v>
      </c>
      <c r="U137" s="31" t="n">
        <f aca="false">IF($B137&lt;&gt;'設定（最初に1回）'!$C$4,N(U136),IF(COUNTIFS(①今日の在庫を貼る!$B$6:$B$10005,$B137,①今日の在庫を貼る!$I$6:$I$10005,$I137)&gt;0,N(U136),N(U136)+1))</f>
        <v>0</v>
      </c>
    </row>
    <row r="138" customFormat="false" ht="15" hidden="false" customHeight="false" outlineLevel="0" collapsed="false">
      <c r="A138" s="0" t="n">
        <v>20260301</v>
      </c>
      <c r="B138" s="53" t="s">
        <v>171</v>
      </c>
      <c r="C138" s="54" t="s">
        <v>172</v>
      </c>
      <c r="D138" s="55" t="s">
        <v>173</v>
      </c>
      <c r="E138" s="54" t="s">
        <v>174</v>
      </c>
      <c r="F138" s="55" t="s">
        <v>175</v>
      </c>
      <c r="G138" s="55" t="s">
        <v>176</v>
      </c>
      <c r="H138" s="54" t="s">
        <v>177</v>
      </c>
      <c r="I138" s="53" t="s">
        <v>540</v>
      </c>
      <c r="J138" s="54" t="s">
        <v>541</v>
      </c>
      <c r="K138" s="0" t="n">
        <v>1</v>
      </c>
      <c r="L138" s="0" t="n">
        <v>90</v>
      </c>
      <c r="M138" s="0" t="n">
        <v>0</v>
      </c>
      <c r="N138" s="0" t="n">
        <v>90</v>
      </c>
      <c r="P138" s="0" t="n">
        <v>0</v>
      </c>
      <c r="Q138" s="0" t="n">
        <v>357</v>
      </c>
      <c r="R138" s="54" t="s">
        <v>180</v>
      </c>
      <c r="S138" s="0" t="n">
        <v>0.1</v>
      </c>
      <c r="U138" s="31" t="n">
        <f aca="false">IF($B138&lt;&gt;'設定（最初に1回）'!$C$4,N(U137),IF(COUNTIFS(①今日の在庫を貼る!$B$6:$B$10005,$B138,①今日の在庫を貼る!$I$6:$I$10005,$I138)&gt;0,N(U137),N(U137)+1))</f>
        <v>1</v>
      </c>
    </row>
    <row r="139" customFormat="false" ht="15" hidden="false" customHeight="false" outlineLevel="0" collapsed="false">
      <c r="A139" s="0" t="n">
        <v>20260301</v>
      </c>
      <c r="B139" s="53" t="s">
        <v>171</v>
      </c>
      <c r="C139" s="54" t="s">
        <v>172</v>
      </c>
      <c r="D139" s="55" t="s">
        <v>173</v>
      </c>
      <c r="E139" s="54" t="s">
        <v>174</v>
      </c>
      <c r="F139" s="55" t="s">
        <v>175</v>
      </c>
      <c r="G139" s="55" t="s">
        <v>176</v>
      </c>
      <c r="H139" s="54" t="s">
        <v>177</v>
      </c>
      <c r="I139" s="53" t="s">
        <v>542</v>
      </c>
      <c r="J139" s="54" t="s">
        <v>543</v>
      </c>
      <c r="K139" s="0" t="n">
        <v>1</v>
      </c>
      <c r="L139" s="0" t="n">
        <v>90</v>
      </c>
      <c r="M139" s="0" t="n">
        <v>0</v>
      </c>
      <c r="N139" s="0" t="n">
        <v>90</v>
      </c>
      <c r="P139" s="0" t="n">
        <v>0</v>
      </c>
      <c r="Q139" s="0" t="n">
        <v>357</v>
      </c>
      <c r="R139" s="54" t="s">
        <v>180</v>
      </c>
      <c r="S139" s="0" t="n">
        <v>0.1</v>
      </c>
      <c r="U139" s="31" t="n">
        <f aca="false">IF($B139&lt;&gt;'設定（最初に1回）'!$C$4,N(U138),IF(COUNTIFS(①今日の在庫を貼る!$B$6:$B$10005,$B139,①今日の在庫を貼る!$I$6:$I$10005,$I139)&gt;0,N(U138),N(U138)+1))</f>
        <v>2</v>
      </c>
    </row>
    <row r="140" customFormat="false" ht="15" hidden="false" customHeight="false" outlineLevel="0" collapsed="false">
      <c r="A140" s="0" t="n">
        <v>20260301</v>
      </c>
      <c r="B140" s="53" t="s">
        <v>486</v>
      </c>
      <c r="C140" s="54" t="s">
        <v>487</v>
      </c>
      <c r="D140" s="55" t="s">
        <v>173</v>
      </c>
      <c r="E140" s="54" t="s">
        <v>174</v>
      </c>
      <c r="F140" s="55" t="s">
        <v>175</v>
      </c>
      <c r="G140" s="55" t="s">
        <v>176</v>
      </c>
      <c r="H140" s="54" t="s">
        <v>177</v>
      </c>
      <c r="I140" s="53" t="s">
        <v>178</v>
      </c>
      <c r="J140" s="54" t="s">
        <v>179</v>
      </c>
      <c r="K140" s="0" t="n">
        <v>1</v>
      </c>
      <c r="L140" s="0" t="n">
        <v>197</v>
      </c>
      <c r="M140" s="0" t="n">
        <v>0</v>
      </c>
      <c r="N140" s="0" t="n">
        <v>197</v>
      </c>
      <c r="P140" s="0" t="n">
        <v>0</v>
      </c>
      <c r="Q140" s="0" t="n">
        <v>11300</v>
      </c>
      <c r="R140" s="54" t="s">
        <v>180</v>
      </c>
      <c r="S140" s="0" t="n">
        <v>0.1</v>
      </c>
      <c r="U140" s="31" t="n">
        <f aca="false">IF($B140&lt;&gt;'設定（最初に1回）'!$C$4,N(U139),IF(COUNTIFS(①今日の在庫を貼る!$B$6:$B$10005,$B140,①今日の在庫を貼る!$I$6:$I$10005,$I140)&gt;0,N(U139),N(U139)+1))</f>
        <v>2</v>
      </c>
    </row>
    <row r="141" customFormat="false" ht="15" hidden="false" customHeight="false" outlineLevel="0" collapsed="false">
      <c r="A141" s="0" t="n">
        <v>20260301</v>
      </c>
      <c r="B141" s="53" t="s">
        <v>486</v>
      </c>
      <c r="C141" s="54" t="s">
        <v>487</v>
      </c>
      <c r="D141" s="55" t="s">
        <v>173</v>
      </c>
      <c r="E141" s="54" t="s">
        <v>174</v>
      </c>
      <c r="F141" s="55" t="s">
        <v>175</v>
      </c>
      <c r="G141" s="55" t="s">
        <v>176</v>
      </c>
      <c r="H141" s="54" t="s">
        <v>177</v>
      </c>
      <c r="I141" s="53" t="s">
        <v>181</v>
      </c>
      <c r="J141" s="54" t="s">
        <v>182</v>
      </c>
      <c r="K141" s="0" t="n">
        <v>24</v>
      </c>
      <c r="L141" s="0" t="n">
        <v>0</v>
      </c>
      <c r="M141" s="0" t="n">
        <v>3</v>
      </c>
      <c r="N141" s="0" t="n">
        <v>3</v>
      </c>
      <c r="P141" s="0" t="n">
        <v>0</v>
      </c>
      <c r="Q141" s="0" t="n">
        <v>587</v>
      </c>
      <c r="R141" s="54" t="s">
        <v>180</v>
      </c>
      <c r="S141" s="0" t="n">
        <v>0.1</v>
      </c>
      <c r="U141" s="31" t="n">
        <f aca="false">IF($B141&lt;&gt;'設定（最初に1回）'!$C$4,N(U140),IF(COUNTIFS(①今日の在庫を貼る!$B$6:$B$10005,$B141,①今日の在庫を貼る!$I$6:$I$10005,$I141)&gt;0,N(U140),N(U140)+1))</f>
        <v>2</v>
      </c>
    </row>
    <row r="142" customFormat="false" ht="15" hidden="false" customHeight="false" outlineLevel="0" collapsed="false">
      <c r="A142" s="0" t="n">
        <v>20260301</v>
      </c>
      <c r="B142" s="53" t="s">
        <v>486</v>
      </c>
      <c r="C142" s="54" t="s">
        <v>487</v>
      </c>
      <c r="D142" s="55" t="s">
        <v>173</v>
      </c>
      <c r="E142" s="54" t="s">
        <v>174</v>
      </c>
      <c r="F142" s="55" t="s">
        <v>175</v>
      </c>
      <c r="G142" s="55" t="s">
        <v>176</v>
      </c>
      <c r="H142" s="54" t="s">
        <v>177</v>
      </c>
      <c r="I142" s="53" t="s">
        <v>183</v>
      </c>
      <c r="J142" s="54" t="s">
        <v>184</v>
      </c>
      <c r="K142" s="0" t="n">
        <v>48</v>
      </c>
      <c r="L142" s="0" t="n">
        <v>3</v>
      </c>
      <c r="M142" s="0" t="n">
        <v>31</v>
      </c>
      <c r="N142" s="0" t="n">
        <v>175</v>
      </c>
      <c r="P142" s="0" t="n">
        <v>0</v>
      </c>
      <c r="Q142" s="0" t="n">
        <v>357</v>
      </c>
      <c r="R142" s="54" t="s">
        <v>180</v>
      </c>
      <c r="S142" s="0" t="n">
        <v>0.1</v>
      </c>
      <c r="U142" s="31" t="n">
        <f aca="false">IF($B142&lt;&gt;'設定（最初に1回）'!$C$4,N(U141),IF(COUNTIFS(①今日の在庫を貼る!$B$6:$B$10005,$B142,①今日の在庫を貼る!$I$6:$I$10005,$I142)&gt;0,N(U141),N(U141)+1))</f>
        <v>2</v>
      </c>
    </row>
    <row r="143" customFormat="false" ht="15" hidden="false" customHeight="false" outlineLevel="0" collapsed="false">
      <c r="A143" s="0" t="n">
        <v>20260301</v>
      </c>
      <c r="B143" s="53" t="s">
        <v>486</v>
      </c>
      <c r="C143" s="54" t="s">
        <v>487</v>
      </c>
      <c r="D143" s="55" t="s">
        <v>173</v>
      </c>
      <c r="E143" s="54" t="s">
        <v>174</v>
      </c>
      <c r="F143" s="55" t="s">
        <v>175</v>
      </c>
      <c r="G143" s="55" t="s">
        <v>176</v>
      </c>
      <c r="H143" s="54" t="s">
        <v>177</v>
      </c>
      <c r="I143" s="53" t="s">
        <v>185</v>
      </c>
      <c r="J143" s="54" t="s">
        <v>186</v>
      </c>
      <c r="K143" s="0" t="n">
        <v>48</v>
      </c>
      <c r="L143" s="0" t="n">
        <v>5</v>
      </c>
      <c r="M143" s="0" t="n">
        <v>2</v>
      </c>
      <c r="N143" s="0" t="n">
        <v>242</v>
      </c>
      <c r="P143" s="0" t="n">
        <v>0</v>
      </c>
      <c r="Q143" s="0" t="n">
        <v>357</v>
      </c>
      <c r="R143" s="54" t="s">
        <v>180</v>
      </c>
      <c r="S143" s="0" t="n">
        <v>0.1</v>
      </c>
      <c r="U143" s="31" t="n">
        <f aca="false">IF($B143&lt;&gt;'設定（最初に1回）'!$C$4,N(U142),IF(COUNTIFS(①今日の在庫を貼る!$B$6:$B$10005,$B143,①今日の在庫を貼る!$I$6:$I$10005,$I143)&gt;0,N(U142),N(U142)+1))</f>
        <v>2</v>
      </c>
    </row>
    <row r="144" customFormat="false" ht="15" hidden="false" customHeight="false" outlineLevel="0" collapsed="false">
      <c r="A144" s="0" t="n">
        <v>20260301</v>
      </c>
      <c r="B144" s="53" t="s">
        <v>486</v>
      </c>
      <c r="C144" s="54" t="s">
        <v>487</v>
      </c>
      <c r="D144" s="55" t="s">
        <v>173</v>
      </c>
      <c r="E144" s="54" t="s">
        <v>174</v>
      </c>
      <c r="F144" s="55" t="s">
        <v>175</v>
      </c>
      <c r="G144" s="55" t="s">
        <v>176</v>
      </c>
      <c r="H144" s="54" t="s">
        <v>177</v>
      </c>
      <c r="I144" s="53" t="s">
        <v>187</v>
      </c>
      <c r="J144" s="54" t="s">
        <v>188</v>
      </c>
      <c r="K144" s="0" t="n">
        <v>24</v>
      </c>
      <c r="L144" s="0" t="n">
        <v>6</v>
      </c>
      <c r="M144" s="0" t="n">
        <v>18</v>
      </c>
      <c r="N144" s="0" t="n">
        <v>162</v>
      </c>
      <c r="P144" s="0" t="n">
        <v>0</v>
      </c>
      <c r="Q144" s="0" t="n">
        <v>585</v>
      </c>
      <c r="R144" s="54" t="s">
        <v>180</v>
      </c>
      <c r="S144" s="0" t="n">
        <v>0.1</v>
      </c>
      <c r="U144" s="31" t="n">
        <f aca="false">IF($B144&lt;&gt;'設定（最初に1回）'!$C$4,N(U143),IF(COUNTIFS(①今日の在庫を貼る!$B$6:$B$10005,$B144,①今日の在庫を貼る!$I$6:$I$10005,$I144)&gt;0,N(U143),N(U143)+1))</f>
        <v>2</v>
      </c>
    </row>
    <row r="145" customFormat="false" ht="15" hidden="false" customHeight="false" outlineLevel="0" collapsed="false">
      <c r="A145" s="0" t="n">
        <v>20260301</v>
      </c>
      <c r="B145" s="53" t="s">
        <v>486</v>
      </c>
      <c r="C145" s="54" t="s">
        <v>487</v>
      </c>
      <c r="D145" s="55" t="s">
        <v>173</v>
      </c>
      <c r="E145" s="54" t="s">
        <v>174</v>
      </c>
      <c r="F145" s="55" t="s">
        <v>175</v>
      </c>
      <c r="G145" s="55" t="s">
        <v>176</v>
      </c>
      <c r="H145" s="54" t="s">
        <v>177</v>
      </c>
      <c r="I145" s="53" t="s">
        <v>189</v>
      </c>
      <c r="J145" s="54" t="s">
        <v>190</v>
      </c>
      <c r="K145" s="0" t="n">
        <v>30</v>
      </c>
      <c r="L145" s="0" t="n">
        <v>66</v>
      </c>
      <c r="M145" s="0" t="n">
        <v>25</v>
      </c>
      <c r="N145" s="0" t="n">
        <v>2005</v>
      </c>
      <c r="P145" s="0" t="n">
        <v>0</v>
      </c>
      <c r="Q145" s="0" t="n">
        <v>118</v>
      </c>
      <c r="R145" s="54" t="s">
        <v>180</v>
      </c>
      <c r="S145" s="0" t="n">
        <v>0.1</v>
      </c>
      <c r="U145" s="31" t="n">
        <f aca="false">IF($B145&lt;&gt;'設定（最初に1回）'!$C$4,N(U144),IF(COUNTIFS(①今日の在庫を貼る!$B$6:$B$10005,$B145,①今日の在庫を貼る!$I$6:$I$10005,$I145)&gt;0,N(U144),N(U144)+1))</f>
        <v>2</v>
      </c>
    </row>
    <row r="146" customFormat="false" ht="15" hidden="false" customHeight="false" outlineLevel="0" collapsed="false">
      <c r="A146" s="0" t="n">
        <v>20260301</v>
      </c>
      <c r="B146" s="53" t="s">
        <v>486</v>
      </c>
      <c r="C146" s="54" t="s">
        <v>487</v>
      </c>
      <c r="D146" s="55" t="s">
        <v>191</v>
      </c>
      <c r="E146" s="54" t="s">
        <v>192</v>
      </c>
      <c r="F146" s="55" t="s">
        <v>175</v>
      </c>
      <c r="G146" s="55" t="s">
        <v>175</v>
      </c>
      <c r="H146" s="54" t="s">
        <v>193</v>
      </c>
      <c r="I146" s="53" t="s">
        <v>194</v>
      </c>
      <c r="J146" s="54" t="s">
        <v>195</v>
      </c>
      <c r="K146" s="0" t="n">
        <v>1</v>
      </c>
      <c r="L146" s="0" t="n">
        <v>50</v>
      </c>
      <c r="M146" s="0" t="n">
        <v>0</v>
      </c>
      <c r="N146" s="0" t="n">
        <v>50</v>
      </c>
      <c r="P146" s="0" t="n">
        <v>0</v>
      </c>
      <c r="Q146" s="0" t="n">
        <v>3756</v>
      </c>
      <c r="R146" s="54" t="s">
        <v>180</v>
      </c>
      <c r="S146" s="0" t="n">
        <v>0.08</v>
      </c>
      <c r="U146" s="31" t="n">
        <f aca="false">IF($B146&lt;&gt;'設定（最初に1回）'!$C$4,N(U145),IF(COUNTIFS(①今日の在庫を貼る!$B$6:$B$10005,$B146,①今日の在庫を貼る!$I$6:$I$10005,$I146)&gt;0,N(U145),N(U145)+1))</f>
        <v>2</v>
      </c>
    </row>
    <row r="147" customFormat="false" ht="15" hidden="false" customHeight="false" outlineLevel="0" collapsed="false">
      <c r="A147" s="0" t="n">
        <v>20260301</v>
      </c>
      <c r="B147" s="53" t="s">
        <v>486</v>
      </c>
      <c r="C147" s="54" t="s">
        <v>487</v>
      </c>
      <c r="D147" s="55" t="s">
        <v>191</v>
      </c>
      <c r="E147" s="54" t="s">
        <v>192</v>
      </c>
      <c r="F147" s="55" t="s">
        <v>175</v>
      </c>
      <c r="G147" s="55" t="s">
        <v>175</v>
      </c>
      <c r="H147" s="54" t="s">
        <v>193</v>
      </c>
      <c r="I147" s="53" t="s">
        <v>196</v>
      </c>
      <c r="J147" s="54" t="s">
        <v>197</v>
      </c>
      <c r="K147" s="0" t="n">
        <v>1</v>
      </c>
      <c r="L147" s="0" t="n">
        <v>83</v>
      </c>
      <c r="M147" s="0" t="n">
        <v>0</v>
      </c>
      <c r="N147" s="0" t="n">
        <v>83</v>
      </c>
      <c r="P147" s="0" t="n">
        <v>0</v>
      </c>
      <c r="Q147" s="0" t="n">
        <v>4382</v>
      </c>
      <c r="R147" s="54" t="s">
        <v>180</v>
      </c>
      <c r="S147" s="0" t="n">
        <v>0.08</v>
      </c>
      <c r="U147" s="31" t="n">
        <f aca="false">IF($B147&lt;&gt;'設定（最初に1回）'!$C$4,N(U146),IF(COUNTIFS(①今日の在庫を貼る!$B$6:$B$10005,$B147,①今日の在庫を貼る!$I$6:$I$10005,$I147)&gt;0,N(U146),N(U146)+1))</f>
        <v>2</v>
      </c>
    </row>
    <row r="148" customFormat="false" ht="15" hidden="false" customHeight="false" outlineLevel="0" collapsed="false">
      <c r="A148" s="0" t="n">
        <v>20260301</v>
      </c>
      <c r="B148" s="53" t="s">
        <v>486</v>
      </c>
      <c r="C148" s="54" t="s">
        <v>487</v>
      </c>
      <c r="D148" s="55" t="s">
        <v>191</v>
      </c>
      <c r="E148" s="54" t="s">
        <v>192</v>
      </c>
      <c r="F148" s="55" t="s">
        <v>175</v>
      </c>
      <c r="G148" s="55" t="s">
        <v>175</v>
      </c>
      <c r="H148" s="54" t="s">
        <v>193</v>
      </c>
      <c r="I148" s="53" t="s">
        <v>198</v>
      </c>
      <c r="J148" s="54" t="s">
        <v>199</v>
      </c>
      <c r="K148" s="0" t="n">
        <v>1</v>
      </c>
      <c r="L148" s="0" t="n">
        <v>3</v>
      </c>
      <c r="M148" s="0" t="n">
        <v>0</v>
      </c>
      <c r="N148" s="0" t="n">
        <v>3</v>
      </c>
      <c r="P148" s="0" t="n">
        <v>0</v>
      </c>
      <c r="Q148" s="0" t="n">
        <v>2890</v>
      </c>
      <c r="R148" s="54" t="s">
        <v>180</v>
      </c>
      <c r="S148" s="0" t="n">
        <v>0.08</v>
      </c>
      <c r="U148" s="31" t="n">
        <f aca="false">IF($B148&lt;&gt;'設定（最初に1回）'!$C$4,N(U147),IF(COUNTIFS(①今日の在庫を貼る!$B$6:$B$10005,$B148,①今日の在庫を貼る!$I$6:$I$10005,$I148)&gt;0,N(U147),N(U147)+1))</f>
        <v>2</v>
      </c>
    </row>
    <row r="149" customFormat="false" ht="15" hidden="false" customHeight="false" outlineLevel="0" collapsed="false">
      <c r="A149" s="0" t="n">
        <v>20260301</v>
      </c>
      <c r="B149" s="53" t="s">
        <v>486</v>
      </c>
      <c r="C149" s="54" t="s">
        <v>487</v>
      </c>
      <c r="D149" s="55" t="s">
        <v>191</v>
      </c>
      <c r="E149" s="54" t="s">
        <v>192</v>
      </c>
      <c r="F149" s="55" t="s">
        <v>175</v>
      </c>
      <c r="G149" s="55" t="s">
        <v>175</v>
      </c>
      <c r="H149" s="54" t="s">
        <v>193</v>
      </c>
      <c r="I149" s="53" t="s">
        <v>200</v>
      </c>
      <c r="J149" s="54" t="s">
        <v>201</v>
      </c>
      <c r="K149" s="0" t="n">
        <v>1</v>
      </c>
      <c r="L149" s="0" t="n">
        <v>1</v>
      </c>
      <c r="M149" s="0" t="n">
        <v>0</v>
      </c>
      <c r="N149" s="0" t="n">
        <v>1</v>
      </c>
      <c r="P149" s="0" t="n">
        <v>0</v>
      </c>
      <c r="Q149" s="0" t="n">
        <v>3636</v>
      </c>
      <c r="R149" s="54" t="s">
        <v>180</v>
      </c>
      <c r="S149" s="0" t="n">
        <v>0.08</v>
      </c>
      <c r="U149" s="31" t="n">
        <f aca="false">IF($B149&lt;&gt;'設定（最初に1回）'!$C$4,N(U148),IF(COUNTIFS(①今日の在庫を貼る!$B$6:$B$10005,$B149,①今日の在庫を貼る!$I$6:$I$10005,$I149)&gt;0,N(U148),N(U148)+1))</f>
        <v>2</v>
      </c>
    </row>
    <row r="150" customFormat="false" ht="15" hidden="false" customHeight="false" outlineLevel="0" collapsed="false">
      <c r="A150" s="0" t="n">
        <v>20260301</v>
      </c>
      <c r="B150" s="53" t="s">
        <v>486</v>
      </c>
      <c r="C150" s="54" t="s">
        <v>487</v>
      </c>
      <c r="D150" s="55" t="s">
        <v>191</v>
      </c>
      <c r="E150" s="54" t="s">
        <v>192</v>
      </c>
      <c r="F150" s="55" t="s">
        <v>175</v>
      </c>
      <c r="G150" s="55" t="s">
        <v>175</v>
      </c>
      <c r="H150" s="54" t="s">
        <v>193</v>
      </c>
      <c r="I150" s="53" t="s">
        <v>202</v>
      </c>
      <c r="J150" s="54" t="s">
        <v>203</v>
      </c>
      <c r="K150" s="0" t="n">
        <v>1</v>
      </c>
      <c r="L150" s="0" t="n">
        <v>73</v>
      </c>
      <c r="M150" s="0" t="n">
        <v>0</v>
      </c>
      <c r="N150" s="0" t="n">
        <v>73</v>
      </c>
      <c r="P150" s="0" t="n">
        <v>0</v>
      </c>
      <c r="Q150" s="0" t="n">
        <v>3756</v>
      </c>
      <c r="R150" s="54" t="s">
        <v>180</v>
      </c>
      <c r="S150" s="0" t="n">
        <v>0.08</v>
      </c>
      <c r="U150" s="31" t="n">
        <f aca="false">IF($B150&lt;&gt;'設定（最初に1回）'!$C$4,N(U149),IF(COUNTIFS(①今日の在庫を貼る!$B$6:$B$10005,$B150,①今日の在庫を貼る!$I$6:$I$10005,$I150)&gt;0,N(U149),N(U149)+1))</f>
        <v>2</v>
      </c>
    </row>
    <row r="151" customFormat="false" ht="15" hidden="false" customHeight="false" outlineLevel="0" collapsed="false">
      <c r="A151" s="0" t="n">
        <v>20260301</v>
      </c>
      <c r="B151" s="53" t="s">
        <v>486</v>
      </c>
      <c r="C151" s="54" t="s">
        <v>487</v>
      </c>
      <c r="D151" s="55" t="s">
        <v>191</v>
      </c>
      <c r="E151" s="54" t="s">
        <v>192</v>
      </c>
      <c r="F151" s="55" t="s">
        <v>175</v>
      </c>
      <c r="G151" s="55" t="s">
        <v>175</v>
      </c>
      <c r="H151" s="54" t="s">
        <v>193</v>
      </c>
      <c r="I151" s="53" t="s">
        <v>204</v>
      </c>
      <c r="J151" s="54" t="s">
        <v>205</v>
      </c>
      <c r="K151" s="0" t="n">
        <v>1</v>
      </c>
      <c r="L151" s="0" t="n">
        <v>153</v>
      </c>
      <c r="M151" s="0" t="n">
        <v>0</v>
      </c>
      <c r="N151" s="0" t="n">
        <v>153</v>
      </c>
      <c r="P151" s="0" t="n">
        <v>0</v>
      </c>
      <c r="Q151" s="0" t="n">
        <v>7510</v>
      </c>
      <c r="R151" s="54" t="s">
        <v>180</v>
      </c>
      <c r="S151" s="0" t="n">
        <v>0.08</v>
      </c>
      <c r="U151" s="31" t="n">
        <f aca="false">IF($B151&lt;&gt;'設定（最初に1回）'!$C$4,N(U150),IF(COUNTIFS(①今日の在庫を貼る!$B$6:$B$10005,$B151,①今日の在庫を貼る!$I$6:$I$10005,$I151)&gt;0,N(U150),N(U150)+1))</f>
        <v>2</v>
      </c>
    </row>
    <row r="152" customFormat="false" ht="15" hidden="false" customHeight="false" outlineLevel="0" collapsed="false">
      <c r="A152" s="0" t="n">
        <v>20260301</v>
      </c>
      <c r="B152" s="53" t="s">
        <v>486</v>
      </c>
      <c r="C152" s="54" t="s">
        <v>487</v>
      </c>
      <c r="D152" s="55" t="s">
        <v>191</v>
      </c>
      <c r="E152" s="54" t="s">
        <v>192</v>
      </c>
      <c r="F152" s="55" t="s">
        <v>175</v>
      </c>
      <c r="G152" s="55" t="s">
        <v>175</v>
      </c>
      <c r="H152" s="54" t="s">
        <v>193</v>
      </c>
      <c r="I152" s="53" t="s">
        <v>206</v>
      </c>
      <c r="J152" s="54" t="s">
        <v>207</v>
      </c>
      <c r="K152" s="0" t="n">
        <v>1</v>
      </c>
      <c r="L152" s="0" t="n">
        <v>162</v>
      </c>
      <c r="M152" s="0" t="n">
        <v>0</v>
      </c>
      <c r="N152" s="0" t="n">
        <v>162</v>
      </c>
      <c r="P152" s="0" t="n">
        <v>0</v>
      </c>
      <c r="Q152" s="0" t="n">
        <v>8136</v>
      </c>
      <c r="R152" s="54" t="s">
        <v>180</v>
      </c>
      <c r="S152" s="0" t="n">
        <v>0.08</v>
      </c>
      <c r="U152" s="31" t="n">
        <f aca="false">IF($B152&lt;&gt;'設定（最初に1回）'!$C$4,N(U151),IF(COUNTIFS(①今日の在庫を貼る!$B$6:$B$10005,$B152,①今日の在庫を貼る!$I$6:$I$10005,$I152)&gt;0,N(U151),N(U151)+1))</f>
        <v>2</v>
      </c>
    </row>
    <row r="153" customFormat="false" ht="15" hidden="false" customHeight="false" outlineLevel="0" collapsed="false">
      <c r="A153" s="0" t="n">
        <v>20260301</v>
      </c>
      <c r="B153" s="53" t="s">
        <v>486</v>
      </c>
      <c r="C153" s="54" t="s">
        <v>487</v>
      </c>
      <c r="D153" s="55" t="s">
        <v>191</v>
      </c>
      <c r="E153" s="54" t="s">
        <v>192</v>
      </c>
      <c r="F153" s="55" t="s">
        <v>175</v>
      </c>
      <c r="G153" s="55" t="s">
        <v>175</v>
      </c>
      <c r="H153" s="54" t="s">
        <v>193</v>
      </c>
      <c r="I153" s="53" t="s">
        <v>208</v>
      </c>
      <c r="J153" s="54" t="s">
        <v>209</v>
      </c>
      <c r="K153" s="0" t="n">
        <v>1</v>
      </c>
      <c r="L153" s="0" t="n">
        <v>104</v>
      </c>
      <c r="M153" s="0" t="n">
        <v>0</v>
      </c>
      <c r="N153" s="0" t="n">
        <v>104</v>
      </c>
      <c r="P153" s="0" t="n">
        <v>0</v>
      </c>
      <c r="Q153" s="0" t="n">
        <v>8136</v>
      </c>
      <c r="R153" s="54" t="s">
        <v>180</v>
      </c>
      <c r="S153" s="0" t="n">
        <v>0.08</v>
      </c>
      <c r="U153" s="31" t="n">
        <f aca="false">IF($B153&lt;&gt;'設定（最初に1回）'!$C$4,N(U152),IF(COUNTIFS(①今日の在庫を貼る!$B$6:$B$10005,$B153,①今日の在庫を貼る!$I$6:$I$10005,$I153)&gt;0,N(U152),N(U152)+1))</f>
        <v>2</v>
      </c>
    </row>
    <row r="154" customFormat="false" ht="15" hidden="false" customHeight="false" outlineLevel="0" collapsed="false">
      <c r="A154" s="0" t="n">
        <v>20260301</v>
      </c>
      <c r="B154" s="53" t="s">
        <v>486</v>
      </c>
      <c r="C154" s="54" t="s">
        <v>487</v>
      </c>
      <c r="D154" s="55" t="s">
        <v>191</v>
      </c>
      <c r="E154" s="54" t="s">
        <v>192</v>
      </c>
      <c r="F154" s="55" t="s">
        <v>175</v>
      </c>
      <c r="G154" s="55" t="s">
        <v>175</v>
      </c>
      <c r="H154" s="54" t="s">
        <v>193</v>
      </c>
      <c r="I154" s="53" t="s">
        <v>210</v>
      </c>
      <c r="J154" s="54" t="s">
        <v>211</v>
      </c>
      <c r="K154" s="0" t="n">
        <v>1</v>
      </c>
      <c r="L154" s="0" t="n">
        <v>108</v>
      </c>
      <c r="M154" s="0" t="n">
        <v>0</v>
      </c>
      <c r="N154" s="0" t="n">
        <v>108</v>
      </c>
      <c r="P154" s="0" t="n">
        <v>0</v>
      </c>
      <c r="Q154" s="0" t="n">
        <v>8136</v>
      </c>
      <c r="R154" s="54" t="s">
        <v>180</v>
      </c>
      <c r="S154" s="0" t="n">
        <v>0.08</v>
      </c>
      <c r="U154" s="31" t="n">
        <f aca="false">IF($B154&lt;&gt;'設定（最初に1回）'!$C$4,N(U153),IF(COUNTIFS(①今日の在庫を貼る!$B$6:$B$10005,$B154,①今日の在庫を貼る!$I$6:$I$10005,$I154)&gt;0,N(U153),N(U153)+1))</f>
        <v>2</v>
      </c>
    </row>
    <row r="155" customFormat="false" ht="15" hidden="false" customHeight="false" outlineLevel="0" collapsed="false">
      <c r="A155" s="0" t="n">
        <v>20260301</v>
      </c>
      <c r="B155" s="53" t="s">
        <v>486</v>
      </c>
      <c r="C155" s="54" t="s">
        <v>487</v>
      </c>
      <c r="D155" s="55" t="s">
        <v>191</v>
      </c>
      <c r="E155" s="54" t="s">
        <v>192</v>
      </c>
      <c r="F155" s="55" t="s">
        <v>175</v>
      </c>
      <c r="G155" s="55" t="s">
        <v>175</v>
      </c>
      <c r="H155" s="54" t="s">
        <v>193</v>
      </c>
      <c r="I155" s="53" t="s">
        <v>212</v>
      </c>
      <c r="J155" s="54" t="s">
        <v>213</v>
      </c>
      <c r="K155" s="0" t="n">
        <v>1</v>
      </c>
      <c r="L155" s="0" t="n">
        <v>38</v>
      </c>
      <c r="M155" s="0" t="n">
        <v>0</v>
      </c>
      <c r="N155" s="0" t="n">
        <v>38</v>
      </c>
      <c r="P155" s="0" t="n">
        <v>0</v>
      </c>
      <c r="Q155" s="0" t="n">
        <v>8136</v>
      </c>
      <c r="R155" s="54" t="s">
        <v>180</v>
      </c>
      <c r="S155" s="0" t="n">
        <v>0.08</v>
      </c>
      <c r="U155" s="31" t="n">
        <f aca="false">IF($B155&lt;&gt;'設定（最初に1回）'!$C$4,N(U154),IF(COUNTIFS(①今日の在庫を貼る!$B$6:$B$10005,$B155,①今日の在庫を貼る!$I$6:$I$10005,$I155)&gt;0,N(U154),N(U154)+1))</f>
        <v>2</v>
      </c>
    </row>
    <row r="156" customFormat="false" ht="15" hidden="false" customHeight="false" outlineLevel="0" collapsed="false">
      <c r="A156" s="0" t="n">
        <v>20260301</v>
      </c>
      <c r="B156" s="53" t="s">
        <v>486</v>
      </c>
      <c r="C156" s="54" t="s">
        <v>487</v>
      </c>
      <c r="D156" s="55" t="s">
        <v>191</v>
      </c>
      <c r="E156" s="54" t="s">
        <v>192</v>
      </c>
      <c r="F156" s="55" t="s">
        <v>175</v>
      </c>
      <c r="G156" s="55" t="s">
        <v>175</v>
      </c>
      <c r="H156" s="54" t="s">
        <v>193</v>
      </c>
      <c r="I156" s="53" t="s">
        <v>214</v>
      </c>
      <c r="J156" s="54" t="s">
        <v>215</v>
      </c>
      <c r="K156" s="0" t="n">
        <v>1</v>
      </c>
      <c r="L156" s="0" t="n">
        <v>123</v>
      </c>
      <c r="M156" s="0" t="n">
        <v>0</v>
      </c>
      <c r="N156" s="0" t="n">
        <v>123</v>
      </c>
      <c r="P156" s="0" t="n">
        <v>0</v>
      </c>
      <c r="Q156" s="0" t="n">
        <v>8638</v>
      </c>
      <c r="R156" s="54" t="s">
        <v>180</v>
      </c>
      <c r="S156" s="0" t="n">
        <v>0.08</v>
      </c>
      <c r="U156" s="31" t="n">
        <f aca="false">IF($B156&lt;&gt;'設定（最初に1回）'!$C$4,N(U155),IF(COUNTIFS(①今日の在庫を貼る!$B$6:$B$10005,$B156,①今日の在庫を貼る!$I$6:$I$10005,$I156)&gt;0,N(U155),N(U155)+1))</f>
        <v>2</v>
      </c>
    </row>
    <row r="157" customFormat="false" ht="15" hidden="false" customHeight="false" outlineLevel="0" collapsed="false">
      <c r="A157" s="0" t="n">
        <v>20260301</v>
      </c>
      <c r="B157" s="53" t="s">
        <v>486</v>
      </c>
      <c r="C157" s="54" t="s">
        <v>487</v>
      </c>
      <c r="D157" s="55" t="s">
        <v>191</v>
      </c>
      <c r="E157" s="54" t="s">
        <v>192</v>
      </c>
      <c r="F157" s="55" t="s">
        <v>175</v>
      </c>
      <c r="G157" s="55" t="s">
        <v>216</v>
      </c>
      <c r="H157" s="54" t="s">
        <v>217</v>
      </c>
      <c r="I157" s="53" t="s">
        <v>218</v>
      </c>
      <c r="J157" s="54" t="s">
        <v>219</v>
      </c>
      <c r="K157" s="0" t="n">
        <v>10</v>
      </c>
      <c r="L157" s="0" t="n">
        <v>11</v>
      </c>
      <c r="M157" s="0" t="n">
        <v>8</v>
      </c>
      <c r="N157" s="0" t="n">
        <v>118</v>
      </c>
      <c r="P157" s="0" t="n">
        <v>0</v>
      </c>
      <c r="Q157" s="0" t="n">
        <v>4503.2</v>
      </c>
      <c r="R157" s="54" t="s">
        <v>180</v>
      </c>
      <c r="S157" s="0" t="n">
        <v>0.08</v>
      </c>
      <c r="U157" s="31" t="n">
        <f aca="false">IF($B157&lt;&gt;'設定（最初に1回）'!$C$4,N(U156),IF(COUNTIFS(①今日の在庫を貼る!$B$6:$B$10005,$B157,①今日の在庫を貼る!$I$6:$I$10005,$I157)&gt;0,N(U156),N(U156)+1))</f>
        <v>2</v>
      </c>
    </row>
    <row r="158" customFormat="false" ht="15" hidden="false" customHeight="false" outlineLevel="0" collapsed="false">
      <c r="A158" s="0" t="n">
        <v>20260301</v>
      </c>
      <c r="B158" s="53" t="s">
        <v>486</v>
      </c>
      <c r="C158" s="54" t="s">
        <v>487</v>
      </c>
      <c r="D158" s="55" t="s">
        <v>191</v>
      </c>
      <c r="E158" s="54" t="s">
        <v>192</v>
      </c>
      <c r="F158" s="55" t="s">
        <v>175</v>
      </c>
      <c r="G158" s="55" t="s">
        <v>216</v>
      </c>
      <c r="H158" s="54" t="s">
        <v>217</v>
      </c>
      <c r="I158" s="53" t="s">
        <v>220</v>
      </c>
      <c r="J158" s="54" t="s">
        <v>221</v>
      </c>
      <c r="K158" s="0" t="n">
        <v>12</v>
      </c>
      <c r="L158" s="0" t="n">
        <v>150</v>
      </c>
      <c r="M158" s="0" t="n">
        <v>5</v>
      </c>
      <c r="N158" s="0" t="n">
        <v>1805</v>
      </c>
      <c r="P158" s="0" t="n">
        <v>0</v>
      </c>
      <c r="Q158" s="0" t="n">
        <v>332</v>
      </c>
      <c r="R158" s="54" t="s">
        <v>180</v>
      </c>
      <c r="S158" s="0" t="n">
        <v>0.08</v>
      </c>
      <c r="U158" s="31" t="n">
        <f aca="false">IF($B158&lt;&gt;'設定（最初に1回）'!$C$4,N(U157),IF(COUNTIFS(①今日の在庫を貼る!$B$6:$B$10005,$B158,①今日の在庫を貼る!$I$6:$I$10005,$I158)&gt;0,N(U157),N(U157)+1))</f>
        <v>2</v>
      </c>
    </row>
    <row r="159" customFormat="false" ht="15" hidden="false" customHeight="false" outlineLevel="0" collapsed="false">
      <c r="A159" s="0" t="n">
        <v>20260301</v>
      </c>
      <c r="B159" s="53" t="s">
        <v>486</v>
      </c>
      <c r="C159" s="54" t="s">
        <v>487</v>
      </c>
      <c r="D159" s="55" t="s">
        <v>191</v>
      </c>
      <c r="E159" s="54" t="s">
        <v>192</v>
      </c>
      <c r="F159" s="55" t="s">
        <v>175</v>
      </c>
      <c r="G159" s="55" t="s">
        <v>222</v>
      </c>
      <c r="H159" s="54" t="s">
        <v>223</v>
      </c>
      <c r="I159" s="53" t="s">
        <v>224</v>
      </c>
      <c r="J159" s="54" t="s">
        <v>225</v>
      </c>
      <c r="K159" s="0" t="n">
        <v>1</v>
      </c>
      <c r="L159" s="0" t="n">
        <v>111</v>
      </c>
      <c r="M159" s="0" t="n">
        <v>0</v>
      </c>
      <c r="N159" s="0" t="n">
        <v>111</v>
      </c>
      <c r="P159" s="0" t="n">
        <v>0</v>
      </c>
      <c r="Q159" s="0" t="n">
        <v>2254</v>
      </c>
      <c r="R159" s="54" t="s">
        <v>180</v>
      </c>
      <c r="S159" s="0" t="n">
        <v>0.08</v>
      </c>
      <c r="U159" s="31" t="n">
        <f aca="false">IF($B159&lt;&gt;'設定（最初に1回）'!$C$4,N(U158),IF(COUNTIFS(①今日の在庫を貼る!$B$6:$B$10005,$B159,①今日の在庫を貼る!$I$6:$I$10005,$I159)&gt;0,N(U158),N(U158)+1))</f>
        <v>2</v>
      </c>
    </row>
    <row r="160" customFormat="false" ht="15" hidden="false" customHeight="false" outlineLevel="0" collapsed="false">
      <c r="A160" s="0" t="n">
        <v>20260301</v>
      </c>
      <c r="B160" s="53" t="s">
        <v>486</v>
      </c>
      <c r="C160" s="54" t="s">
        <v>487</v>
      </c>
      <c r="D160" s="55" t="s">
        <v>191</v>
      </c>
      <c r="E160" s="54" t="s">
        <v>192</v>
      </c>
      <c r="F160" s="55" t="s">
        <v>175</v>
      </c>
      <c r="G160" s="55" t="s">
        <v>222</v>
      </c>
      <c r="H160" s="54" t="s">
        <v>223</v>
      </c>
      <c r="I160" s="53" t="s">
        <v>226</v>
      </c>
      <c r="J160" s="54" t="s">
        <v>227</v>
      </c>
      <c r="K160" s="0" t="n">
        <v>1</v>
      </c>
      <c r="L160" s="0" t="n">
        <v>58</v>
      </c>
      <c r="M160" s="0" t="n">
        <v>0</v>
      </c>
      <c r="N160" s="0" t="n">
        <v>58</v>
      </c>
      <c r="P160" s="0" t="n">
        <v>0</v>
      </c>
      <c r="Q160" s="0" t="n">
        <v>2309</v>
      </c>
      <c r="R160" s="54" t="s">
        <v>180</v>
      </c>
      <c r="S160" s="0" t="n">
        <v>0.08</v>
      </c>
      <c r="U160" s="31" t="n">
        <f aca="false">IF($B160&lt;&gt;'設定（最初に1回）'!$C$4,N(U159),IF(COUNTIFS(①今日の在庫を貼る!$B$6:$B$10005,$B160,①今日の在庫を貼る!$I$6:$I$10005,$I160)&gt;0,N(U159),N(U159)+1))</f>
        <v>2</v>
      </c>
    </row>
    <row r="161" customFormat="false" ht="15" hidden="false" customHeight="false" outlineLevel="0" collapsed="false">
      <c r="A161" s="0" t="n">
        <v>20260301</v>
      </c>
      <c r="B161" s="53" t="s">
        <v>486</v>
      </c>
      <c r="C161" s="54" t="s">
        <v>487</v>
      </c>
      <c r="D161" s="55" t="s">
        <v>191</v>
      </c>
      <c r="E161" s="54" t="s">
        <v>192</v>
      </c>
      <c r="F161" s="55" t="s">
        <v>175</v>
      </c>
      <c r="G161" s="55" t="s">
        <v>222</v>
      </c>
      <c r="H161" s="54" t="s">
        <v>223</v>
      </c>
      <c r="I161" s="53" t="s">
        <v>228</v>
      </c>
      <c r="J161" s="54" t="s">
        <v>229</v>
      </c>
      <c r="K161" s="0" t="n">
        <v>1</v>
      </c>
      <c r="L161" s="0" t="n">
        <v>97</v>
      </c>
      <c r="M161" s="0" t="n">
        <v>0</v>
      </c>
      <c r="N161" s="0" t="n">
        <v>97</v>
      </c>
      <c r="P161" s="0" t="n">
        <v>0</v>
      </c>
      <c r="Q161" s="0" t="n">
        <v>2705</v>
      </c>
      <c r="R161" s="54" t="s">
        <v>180</v>
      </c>
      <c r="S161" s="0" t="n">
        <v>0.08</v>
      </c>
      <c r="U161" s="31" t="n">
        <f aca="false">IF($B161&lt;&gt;'設定（最初に1回）'!$C$4,N(U160),IF(COUNTIFS(①今日の在庫を貼る!$B$6:$B$10005,$B161,①今日の在庫を貼る!$I$6:$I$10005,$I161)&gt;0,N(U160),N(U160)+1))</f>
        <v>2</v>
      </c>
    </row>
    <row r="162" customFormat="false" ht="15" hidden="false" customHeight="false" outlineLevel="0" collapsed="false">
      <c r="A162" s="0" t="n">
        <v>20260301</v>
      </c>
      <c r="B162" s="53" t="s">
        <v>486</v>
      </c>
      <c r="C162" s="54" t="s">
        <v>487</v>
      </c>
      <c r="D162" s="55" t="s">
        <v>191</v>
      </c>
      <c r="E162" s="54" t="s">
        <v>192</v>
      </c>
      <c r="F162" s="55" t="s">
        <v>175</v>
      </c>
      <c r="G162" s="55" t="s">
        <v>230</v>
      </c>
      <c r="H162" s="54" t="s">
        <v>231</v>
      </c>
      <c r="I162" s="53" t="s">
        <v>232</v>
      </c>
      <c r="J162" s="54" t="s">
        <v>233</v>
      </c>
      <c r="K162" s="0" t="n">
        <v>120</v>
      </c>
      <c r="L162" s="0" t="n">
        <v>4</v>
      </c>
      <c r="M162" s="0" t="n">
        <v>27</v>
      </c>
      <c r="N162" s="0" t="n">
        <v>507</v>
      </c>
      <c r="P162" s="0" t="n">
        <v>0</v>
      </c>
      <c r="Q162" s="0" t="n">
        <v>142</v>
      </c>
      <c r="R162" s="54" t="s">
        <v>180</v>
      </c>
      <c r="S162" s="0" t="n">
        <v>0.08</v>
      </c>
      <c r="U162" s="31" t="n">
        <f aca="false">IF($B162&lt;&gt;'設定（最初に1回）'!$C$4,N(U161),IF(COUNTIFS(①今日の在庫を貼る!$B$6:$B$10005,$B162,①今日の在庫を貼る!$I$6:$I$10005,$I162)&gt;0,N(U161),N(U161)+1))</f>
        <v>2</v>
      </c>
    </row>
    <row r="163" customFormat="false" ht="15" hidden="false" customHeight="false" outlineLevel="0" collapsed="false">
      <c r="A163" s="0" t="n">
        <v>20260301</v>
      </c>
      <c r="B163" s="53" t="s">
        <v>486</v>
      </c>
      <c r="C163" s="54" t="s">
        <v>487</v>
      </c>
      <c r="D163" s="55" t="s">
        <v>191</v>
      </c>
      <c r="E163" s="54" t="s">
        <v>192</v>
      </c>
      <c r="F163" s="55" t="s">
        <v>175</v>
      </c>
      <c r="G163" s="55" t="s">
        <v>230</v>
      </c>
      <c r="H163" s="54" t="s">
        <v>231</v>
      </c>
      <c r="I163" s="53" t="s">
        <v>234</v>
      </c>
      <c r="J163" s="54" t="s">
        <v>235</v>
      </c>
      <c r="K163" s="0" t="n">
        <v>120</v>
      </c>
      <c r="L163" s="0" t="n">
        <v>12</v>
      </c>
      <c r="M163" s="0" t="n">
        <v>48</v>
      </c>
      <c r="N163" s="0" t="n">
        <v>1488</v>
      </c>
      <c r="P163" s="0" t="n">
        <v>0</v>
      </c>
      <c r="Q163" s="0" t="n">
        <v>107</v>
      </c>
      <c r="R163" s="54" t="s">
        <v>180</v>
      </c>
      <c r="S163" s="0" t="n">
        <v>0.08</v>
      </c>
      <c r="U163" s="31" t="n">
        <f aca="false">IF($B163&lt;&gt;'設定（最初に1回）'!$C$4,N(U162),IF(COUNTIFS(①今日の在庫を貼る!$B$6:$B$10005,$B163,①今日の在庫を貼る!$I$6:$I$10005,$I163)&gt;0,N(U162),N(U162)+1))</f>
        <v>2</v>
      </c>
    </row>
    <row r="164" customFormat="false" ht="15" hidden="false" customHeight="false" outlineLevel="0" collapsed="false">
      <c r="A164" s="0" t="n">
        <v>20260301</v>
      </c>
      <c r="B164" s="53" t="s">
        <v>486</v>
      </c>
      <c r="C164" s="54" t="s">
        <v>487</v>
      </c>
      <c r="D164" s="55" t="s">
        <v>191</v>
      </c>
      <c r="E164" s="54" t="s">
        <v>192</v>
      </c>
      <c r="F164" s="55" t="s">
        <v>175</v>
      </c>
      <c r="G164" s="55" t="s">
        <v>230</v>
      </c>
      <c r="H164" s="54" t="s">
        <v>231</v>
      </c>
      <c r="I164" s="53" t="s">
        <v>236</v>
      </c>
      <c r="J164" s="54" t="s">
        <v>237</v>
      </c>
      <c r="K164" s="0" t="n">
        <v>90</v>
      </c>
      <c r="L164" s="0" t="n">
        <v>0</v>
      </c>
      <c r="M164" s="0" t="n">
        <v>1</v>
      </c>
      <c r="N164" s="0" t="n">
        <v>1</v>
      </c>
      <c r="P164" s="0" t="n">
        <v>0</v>
      </c>
      <c r="Q164" s="0" t="n">
        <v>166</v>
      </c>
      <c r="R164" s="54" t="s">
        <v>180</v>
      </c>
      <c r="S164" s="0" t="n">
        <v>0.08</v>
      </c>
      <c r="U164" s="31" t="n">
        <f aca="false">IF($B164&lt;&gt;'設定（最初に1回）'!$C$4,N(U163),IF(COUNTIFS(①今日の在庫を貼る!$B$6:$B$10005,$B164,①今日の在庫を貼る!$I$6:$I$10005,$I164)&gt;0,N(U163),N(U163)+1))</f>
        <v>2</v>
      </c>
    </row>
    <row r="165" customFormat="false" ht="15" hidden="false" customHeight="false" outlineLevel="0" collapsed="false">
      <c r="A165" s="0" t="n">
        <v>20260301</v>
      </c>
      <c r="B165" s="53" t="s">
        <v>486</v>
      </c>
      <c r="C165" s="54" t="s">
        <v>487</v>
      </c>
      <c r="D165" s="55" t="s">
        <v>191</v>
      </c>
      <c r="E165" s="54" t="s">
        <v>192</v>
      </c>
      <c r="F165" s="55" t="s">
        <v>175</v>
      </c>
      <c r="G165" s="55" t="s">
        <v>230</v>
      </c>
      <c r="H165" s="54" t="s">
        <v>231</v>
      </c>
      <c r="I165" s="53" t="s">
        <v>238</v>
      </c>
      <c r="J165" s="54" t="s">
        <v>239</v>
      </c>
      <c r="K165" s="0" t="n">
        <v>80</v>
      </c>
      <c r="L165" s="0" t="n">
        <v>3</v>
      </c>
      <c r="M165" s="0" t="n">
        <v>28</v>
      </c>
      <c r="N165" s="0" t="n">
        <v>268</v>
      </c>
      <c r="P165" s="0" t="n">
        <v>0</v>
      </c>
      <c r="Q165" s="0" t="n">
        <v>203</v>
      </c>
      <c r="R165" s="54" t="s">
        <v>180</v>
      </c>
      <c r="S165" s="0" t="n">
        <v>0.08</v>
      </c>
      <c r="U165" s="31" t="n">
        <f aca="false">IF($B165&lt;&gt;'設定（最初に1回）'!$C$4,N(U164),IF(COUNTIFS(①今日の在庫を貼る!$B$6:$B$10005,$B165,①今日の在庫を貼る!$I$6:$I$10005,$I165)&gt;0,N(U164),N(U164)+1))</f>
        <v>2</v>
      </c>
    </row>
    <row r="166" customFormat="false" ht="15" hidden="false" customHeight="false" outlineLevel="0" collapsed="false">
      <c r="A166" s="0" t="n">
        <v>20260301</v>
      </c>
      <c r="B166" s="53" t="s">
        <v>486</v>
      </c>
      <c r="C166" s="54" t="s">
        <v>487</v>
      </c>
      <c r="D166" s="55" t="s">
        <v>191</v>
      </c>
      <c r="E166" s="54" t="s">
        <v>192</v>
      </c>
      <c r="F166" s="55" t="s">
        <v>175</v>
      </c>
      <c r="G166" s="55" t="s">
        <v>230</v>
      </c>
      <c r="H166" s="54" t="s">
        <v>231</v>
      </c>
      <c r="I166" s="53" t="s">
        <v>240</v>
      </c>
      <c r="J166" s="54" t="s">
        <v>241</v>
      </c>
      <c r="K166" s="0" t="n">
        <v>80</v>
      </c>
      <c r="L166" s="0" t="n">
        <v>17</v>
      </c>
      <c r="M166" s="0" t="n">
        <v>62</v>
      </c>
      <c r="N166" s="0" t="n">
        <v>1422</v>
      </c>
      <c r="P166" s="0" t="n">
        <v>0</v>
      </c>
      <c r="Q166" s="0" t="n">
        <v>203</v>
      </c>
      <c r="R166" s="54" t="s">
        <v>180</v>
      </c>
      <c r="S166" s="0" t="n">
        <v>0.08</v>
      </c>
      <c r="U166" s="31" t="n">
        <f aca="false">IF($B166&lt;&gt;'設定（最初に1回）'!$C$4,N(U165),IF(COUNTIFS(①今日の在庫を貼る!$B$6:$B$10005,$B166,①今日の在庫を貼る!$I$6:$I$10005,$I166)&gt;0,N(U165),N(U165)+1))</f>
        <v>2</v>
      </c>
    </row>
    <row r="167" customFormat="false" ht="15" hidden="false" customHeight="false" outlineLevel="0" collapsed="false">
      <c r="A167" s="0" t="n">
        <v>20260301</v>
      </c>
      <c r="B167" s="53" t="s">
        <v>486</v>
      </c>
      <c r="C167" s="54" t="s">
        <v>487</v>
      </c>
      <c r="D167" s="55" t="s">
        <v>191</v>
      </c>
      <c r="E167" s="54" t="s">
        <v>192</v>
      </c>
      <c r="F167" s="55" t="s">
        <v>175</v>
      </c>
      <c r="G167" s="55" t="s">
        <v>230</v>
      </c>
      <c r="H167" s="54" t="s">
        <v>231</v>
      </c>
      <c r="I167" s="53" t="s">
        <v>242</v>
      </c>
      <c r="J167" s="54" t="s">
        <v>243</v>
      </c>
      <c r="K167" s="0" t="n">
        <v>1</v>
      </c>
      <c r="L167" s="0" t="n">
        <v>40</v>
      </c>
      <c r="M167" s="0" t="n">
        <v>0</v>
      </c>
      <c r="N167" s="0" t="n">
        <v>40</v>
      </c>
      <c r="P167" s="0" t="n">
        <v>0</v>
      </c>
      <c r="Q167" s="0" t="n">
        <v>26884</v>
      </c>
      <c r="R167" s="54" t="s">
        <v>180</v>
      </c>
      <c r="S167" s="0" t="n">
        <v>0.08</v>
      </c>
      <c r="U167" s="31" t="n">
        <f aca="false">IF($B167&lt;&gt;'設定（最初に1回）'!$C$4,N(U166),IF(COUNTIFS(①今日の在庫を貼る!$B$6:$B$10005,$B167,①今日の在庫を貼る!$I$6:$I$10005,$I167)&gt;0,N(U166),N(U166)+1))</f>
        <v>2</v>
      </c>
    </row>
    <row r="168" customFormat="false" ht="15" hidden="false" customHeight="false" outlineLevel="0" collapsed="false">
      <c r="A168" s="0" t="n">
        <v>20260301</v>
      </c>
      <c r="B168" s="53" t="s">
        <v>486</v>
      </c>
      <c r="C168" s="54" t="s">
        <v>487</v>
      </c>
      <c r="D168" s="55" t="s">
        <v>191</v>
      </c>
      <c r="E168" s="54" t="s">
        <v>192</v>
      </c>
      <c r="F168" s="55" t="s">
        <v>175</v>
      </c>
      <c r="G168" s="55" t="s">
        <v>230</v>
      </c>
      <c r="H168" s="54" t="s">
        <v>231</v>
      </c>
      <c r="I168" s="53" t="s">
        <v>244</v>
      </c>
      <c r="J168" s="54" t="s">
        <v>245</v>
      </c>
      <c r="K168" s="0" t="n">
        <v>1</v>
      </c>
      <c r="L168" s="0" t="n">
        <v>19</v>
      </c>
      <c r="M168" s="0" t="n">
        <v>0</v>
      </c>
      <c r="N168" s="0" t="n">
        <v>19</v>
      </c>
      <c r="P168" s="0" t="n">
        <v>0</v>
      </c>
      <c r="Q168" s="0" t="n">
        <v>26884</v>
      </c>
      <c r="R168" s="54" t="s">
        <v>180</v>
      </c>
      <c r="S168" s="0" t="n">
        <v>0.08</v>
      </c>
      <c r="U168" s="31" t="n">
        <f aca="false">IF($B168&lt;&gt;'設定（最初に1回）'!$C$4,N(U167),IF(COUNTIFS(①今日の在庫を貼る!$B$6:$B$10005,$B168,①今日の在庫を貼る!$I$6:$I$10005,$I168)&gt;0,N(U167),N(U167)+1))</f>
        <v>2</v>
      </c>
    </row>
    <row r="169" customFormat="false" ht="15" hidden="false" customHeight="false" outlineLevel="0" collapsed="false">
      <c r="A169" s="0" t="n">
        <v>20260301</v>
      </c>
      <c r="B169" s="53" t="s">
        <v>486</v>
      </c>
      <c r="C169" s="54" t="s">
        <v>487</v>
      </c>
      <c r="D169" s="55" t="s">
        <v>191</v>
      </c>
      <c r="E169" s="54" t="s">
        <v>192</v>
      </c>
      <c r="F169" s="55" t="s">
        <v>175</v>
      </c>
      <c r="G169" s="55" t="s">
        <v>230</v>
      </c>
      <c r="H169" s="54" t="s">
        <v>231</v>
      </c>
      <c r="I169" s="53" t="s">
        <v>246</v>
      </c>
      <c r="J169" s="54" t="s">
        <v>247</v>
      </c>
      <c r="K169" s="0" t="n">
        <v>1</v>
      </c>
      <c r="L169" s="0" t="n">
        <v>35</v>
      </c>
      <c r="M169" s="0" t="n">
        <v>0</v>
      </c>
      <c r="N169" s="0" t="n">
        <v>35</v>
      </c>
      <c r="P169" s="0" t="n">
        <v>0</v>
      </c>
      <c r="Q169" s="0" t="n">
        <v>26884</v>
      </c>
      <c r="R169" s="54" t="s">
        <v>180</v>
      </c>
      <c r="S169" s="0" t="n">
        <v>0.08</v>
      </c>
      <c r="U169" s="31" t="n">
        <f aca="false">IF($B169&lt;&gt;'設定（最初に1回）'!$C$4,N(U168),IF(COUNTIFS(①今日の在庫を貼る!$B$6:$B$10005,$B169,①今日の在庫を貼る!$I$6:$I$10005,$I169)&gt;0,N(U168),N(U168)+1))</f>
        <v>2</v>
      </c>
    </row>
    <row r="170" customFormat="false" ht="15" hidden="false" customHeight="false" outlineLevel="0" collapsed="false">
      <c r="A170" s="0" t="n">
        <v>20260301</v>
      </c>
      <c r="B170" s="53" t="s">
        <v>486</v>
      </c>
      <c r="C170" s="54" t="s">
        <v>487</v>
      </c>
      <c r="D170" s="55" t="s">
        <v>191</v>
      </c>
      <c r="E170" s="54" t="s">
        <v>192</v>
      </c>
      <c r="F170" s="55" t="s">
        <v>175</v>
      </c>
      <c r="G170" s="55" t="s">
        <v>230</v>
      </c>
      <c r="H170" s="54" t="s">
        <v>231</v>
      </c>
      <c r="I170" s="53" t="s">
        <v>248</v>
      </c>
      <c r="J170" s="54" t="s">
        <v>249</v>
      </c>
      <c r="K170" s="0" t="n">
        <v>1</v>
      </c>
      <c r="L170" s="0" t="n">
        <v>18</v>
      </c>
      <c r="M170" s="0" t="n">
        <v>0</v>
      </c>
      <c r="N170" s="0" t="n">
        <v>18</v>
      </c>
      <c r="P170" s="0" t="n">
        <v>0</v>
      </c>
      <c r="Q170" s="0" t="n">
        <v>1386</v>
      </c>
      <c r="R170" s="54" t="s">
        <v>180</v>
      </c>
      <c r="S170" s="0" t="n">
        <v>0.08</v>
      </c>
      <c r="U170" s="31" t="n">
        <f aca="false">IF($B170&lt;&gt;'設定（最初に1回）'!$C$4,N(U169),IF(COUNTIFS(①今日の在庫を貼る!$B$6:$B$10005,$B170,①今日の在庫を貼る!$I$6:$I$10005,$I170)&gt;0,N(U169),N(U169)+1))</f>
        <v>2</v>
      </c>
    </row>
    <row r="171" customFormat="false" ht="15" hidden="false" customHeight="false" outlineLevel="0" collapsed="false">
      <c r="A171" s="0" t="n">
        <v>20260301</v>
      </c>
      <c r="B171" s="53" t="s">
        <v>486</v>
      </c>
      <c r="C171" s="54" t="s">
        <v>487</v>
      </c>
      <c r="D171" s="55" t="s">
        <v>191</v>
      </c>
      <c r="E171" s="54" t="s">
        <v>192</v>
      </c>
      <c r="F171" s="55" t="s">
        <v>175</v>
      </c>
      <c r="G171" s="55" t="s">
        <v>230</v>
      </c>
      <c r="H171" s="54" t="s">
        <v>231</v>
      </c>
      <c r="I171" s="53" t="s">
        <v>250</v>
      </c>
      <c r="J171" s="54" t="s">
        <v>251</v>
      </c>
      <c r="K171" s="0" t="n">
        <v>24</v>
      </c>
      <c r="L171" s="0" t="n">
        <v>19</v>
      </c>
      <c r="M171" s="0" t="n">
        <v>7</v>
      </c>
      <c r="N171" s="0" t="n">
        <v>463</v>
      </c>
      <c r="P171" s="0" t="n">
        <v>0</v>
      </c>
      <c r="Q171" s="0" t="n">
        <v>87</v>
      </c>
      <c r="R171" s="54" t="s">
        <v>180</v>
      </c>
      <c r="S171" s="0" t="n">
        <v>0.08</v>
      </c>
      <c r="U171" s="31" t="n">
        <f aca="false">IF($B171&lt;&gt;'設定（最初に1回）'!$C$4,N(U170),IF(COUNTIFS(①今日の在庫を貼る!$B$6:$B$10005,$B171,①今日の在庫を貼る!$I$6:$I$10005,$I171)&gt;0,N(U170),N(U170)+1))</f>
        <v>2</v>
      </c>
    </row>
    <row r="172" customFormat="false" ht="15" hidden="false" customHeight="false" outlineLevel="0" collapsed="false">
      <c r="A172" s="0" t="n">
        <v>20260301</v>
      </c>
      <c r="B172" s="53" t="s">
        <v>486</v>
      </c>
      <c r="C172" s="54" t="s">
        <v>487</v>
      </c>
      <c r="D172" s="55" t="s">
        <v>191</v>
      </c>
      <c r="E172" s="54" t="s">
        <v>192</v>
      </c>
      <c r="F172" s="55" t="s">
        <v>175</v>
      </c>
      <c r="G172" s="55" t="s">
        <v>252</v>
      </c>
      <c r="H172" s="54" t="s">
        <v>253</v>
      </c>
      <c r="I172" s="53" t="s">
        <v>254</v>
      </c>
      <c r="J172" s="54" t="s">
        <v>255</v>
      </c>
      <c r="K172" s="0" t="n">
        <v>1</v>
      </c>
      <c r="L172" s="0" t="n">
        <v>186</v>
      </c>
      <c r="M172" s="0" t="n">
        <v>0</v>
      </c>
      <c r="N172" s="0" t="n">
        <v>186</v>
      </c>
      <c r="P172" s="0" t="n">
        <v>0</v>
      </c>
      <c r="Q172" s="0" t="n">
        <v>12046</v>
      </c>
      <c r="R172" s="54" t="s">
        <v>180</v>
      </c>
      <c r="S172" s="0" t="n">
        <v>0.08</v>
      </c>
      <c r="U172" s="31" t="n">
        <f aca="false">IF($B172&lt;&gt;'設定（最初に1回）'!$C$4,N(U171),IF(COUNTIFS(①今日の在庫を貼る!$B$6:$B$10005,$B172,①今日の在庫を貼る!$I$6:$I$10005,$I172)&gt;0,N(U171),N(U171)+1))</f>
        <v>2</v>
      </c>
    </row>
    <row r="173" customFormat="false" ht="15" hidden="false" customHeight="false" outlineLevel="0" collapsed="false">
      <c r="A173" s="0" t="n">
        <v>20260301</v>
      </c>
      <c r="B173" s="53" t="s">
        <v>486</v>
      </c>
      <c r="C173" s="54" t="s">
        <v>487</v>
      </c>
      <c r="D173" s="55" t="s">
        <v>191</v>
      </c>
      <c r="E173" s="54" t="s">
        <v>192</v>
      </c>
      <c r="F173" s="55" t="s">
        <v>175</v>
      </c>
      <c r="G173" s="55" t="s">
        <v>252</v>
      </c>
      <c r="H173" s="54" t="s">
        <v>253</v>
      </c>
      <c r="I173" s="53" t="s">
        <v>256</v>
      </c>
      <c r="J173" s="54" t="s">
        <v>257</v>
      </c>
      <c r="K173" s="0" t="n">
        <v>1</v>
      </c>
      <c r="L173" s="0" t="n">
        <v>225</v>
      </c>
      <c r="M173" s="0" t="n">
        <v>0</v>
      </c>
      <c r="N173" s="0" t="n">
        <v>225</v>
      </c>
      <c r="P173" s="0" t="n">
        <v>0</v>
      </c>
      <c r="Q173" s="0" t="n">
        <v>5841</v>
      </c>
      <c r="R173" s="54" t="s">
        <v>180</v>
      </c>
      <c r="S173" s="0" t="n">
        <v>0.08</v>
      </c>
      <c r="U173" s="31" t="n">
        <f aca="false">IF($B173&lt;&gt;'設定（最初に1回）'!$C$4,N(U172),IF(COUNTIFS(①今日の在庫を貼る!$B$6:$B$10005,$B173,①今日の在庫を貼る!$I$6:$I$10005,$I173)&gt;0,N(U172),N(U172)+1))</f>
        <v>2</v>
      </c>
    </row>
    <row r="174" customFormat="false" ht="15" hidden="false" customHeight="false" outlineLevel="0" collapsed="false">
      <c r="A174" s="0" t="n">
        <v>20260301</v>
      </c>
      <c r="B174" s="53" t="s">
        <v>486</v>
      </c>
      <c r="C174" s="54" t="s">
        <v>487</v>
      </c>
      <c r="D174" s="55" t="s">
        <v>191</v>
      </c>
      <c r="E174" s="54" t="s">
        <v>192</v>
      </c>
      <c r="F174" s="55" t="s">
        <v>175</v>
      </c>
      <c r="G174" s="55" t="s">
        <v>252</v>
      </c>
      <c r="H174" s="54" t="s">
        <v>253</v>
      </c>
      <c r="I174" s="53" t="s">
        <v>258</v>
      </c>
      <c r="J174" s="54" t="s">
        <v>259</v>
      </c>
      <c r="K174" s="0" t="n">
        <v>6</v>
      </c>
      <c r="L174" s="0" t="n">
        <v>178</v>
      </c>
      <c r="M174" s="0" t="n">
        <v>1</v>
      </c>
      <c r="N174" s="0" t="n">
        <v>1069</v>
      </c>
      <c r="P174" s="0" t="n">
        <v>0</v>
      </c>
      <c r="Q174" s="0" t="n">
        <v>786</v>
      </c>
      <c r="R174" s="54" t="s">
        <v>180</v>
      </c>
      <c r="S174" s="0" t="n">
        <v>0.08</v>
      </c>
      <c r="U174" s="31" t="n">
        <f aca="false">IF($B174&lt;&gt;'設定（最初に1回）'!$C$4,N(U173),IF(COUNTIFS(①今日の在庫を貼る!$B$6:$B$10005,$B174,①今日の在庫を貼る!$I$6:$I$10005,$I174)&gt;0,N(U173),N(U173)+1))</f>
        <v>2</v>
      </c>
    </row>
    <row r="175" customFormat="false" ht="15" hidden="false" customHeight="false" outlineLevel="0" collapsed="false">
      <c r="A175" s="0" t="n">
        <v>20260301</v>
      </c>
      <c r="B175" s="53" t="s">
        <v>486</v>
      </c>
      <c r="C175" s="54" t="s">
        <v>487</v>
      </c>
      <c r="D175" s="55" t="s">
        <v>191</v>
      </c>
      <c r="E175" s="54" t="s">
        <v>192</v>
      </c>
      <c r="F175" s="55" t="s">
        <v>175</v>
      </c>
      <c r="G175" s="55" t="s">
        <v>252</v>
      </c>
      <c r="H175" s="54" t="s">
        <v>253</v>
      </c>
      <c r="I175" s="53" t="s">
        <v>260</v>
      </c>
      <c r="J175" s="54" t="s">
        <v>261</v>
      </c>
      <c r="K175" s="0" t="n">
        <v>1</v>
      </c>
      <c r="L175" s="0" t="n">
        <v>174</v>
      </c>
      <c r="M175" s="0" t="n">
        <v>0</v>
      </c>
      <c r="N175" s="0" t="n">
        <v>174</v>
      </c>
      <c r="P175" s="0" t="n">
        <v>0</v>
      </c>
      <c r="Q175" s="0" t="n">
        <v>1024</v>
      </c>
      <c r="R175" s="54" t="s">
        <v>180</v>
      </c>
      <c r="S175" s="0" t="n">
        <v>0.08</v>
      </c>
      <c r="U175" s="31" t="n">
        <f aca="false">IF($B175&lt;&gt;'設定（最初に1回）'!$C$4,N(U174),IF(COUNTIFS(①今日の在庫を貼る!$B$6:$B$10005,$B175,①今日の在庫を貼る!$I$6:$I$10005,$I175)&gt;0,N(U174),N(U174)+1))</f>
        <v>2</v>
      </c>
    </row>
    <row r="176" customFormat="false" ht="15" hidden="false" customHeight="false" outlineLevel="0" collapsed="false">
      <c r="A176" s="0" t="n">
        <v>20260301</v>
      </c>
      <c r="B176" s="53" t="s">
        <v>486</v>
      </c>
      <c r="C176" s="54" t="s">
        <v>487</v>
      </c>
      <c r="D176" s="55" t="s">
        <v>191</v>
      </c>
      <c r="E176" s="54" t="s">
        <v>192</v>
      </c>
      <c r="F176" s="55" t="s">
        <v>175</v>
      </c>
      <c r="G176" s="55" t="s">
        <v>252</v>
      </c>
      <c r="H176" s="54" t="s">
        <v>253</v>
      </c>
      <c r="I176" s="53" t="s">
        <v>262</v>
      </c>
      <c r="J176" s="54" t="s">
        <v>263</v>
      </c>
      <c r="K176" s="0" t="n">
        <v>1</v>
      </c>
      <c r="L176" s="0" t="n">
        <v>217</v>
      </c>
      <c r="M176" s="0" t="n">
        <v>0</v>
      </c>
      <c r="N176" s="0" t="n">
        <v>217</v>
      </c>
      <c r="P176" s="0" t="n">
        <v>0</v>
      </c>
      <c r="Q176" s="0" t="n">
        <v>1074</v>
      </c>
      <c r="R176" s="54" t="s">
        <v>180</v>
      </c>
      <c r="S176" s="0" t="n">
        <v>0.08</v>
      </c>
      <c r="U176" s="31" t="n">
        <f aca="false">IF($B176&lt;&gt;'設定（最初に1回）'!$C$4,N(U175),IF(COUNTIFS(①今日の在庫を貼る!$B$6:$B$10005,$B176,①今日の在庫を貼る!$I$6:$I$10005,$I176)&gt;0,N(U175),N(U175)+1))</f>
        <v>2</v>
      </c>
    </row>
    <row r="177" customFormat="false" ht="15" hidden="false" customHeight="false" outlineLevel="0" collapsed="false">
      <c r="A177" s="0" t="n">
        <v>20260301</v>
      </c>
      <c r="B177" s="53" t="s">
        <v>486</v>
      </c>
      <c r="C177" s="54" t="s">
        <v>487</v>
      </c>
      <c r="D177" s="55" t="s">
        <v>191</v>
      </c>
      <c r="E177" s="54" t="s">
        <v>192</v>
      </c>
      <c r="F177" s="55" t="s">
        <v>175</v>
      </c>
      <c r="G177" s="55" t="s">
        <v>252</v>
      </c>
      <c r="H177" s="54" t="s">
        <v>253</v>
      </c>
      <c r="I177" s="53" t="s">
        <v>264</v>
      </c>
      <c r="J177" s="54" t="s">
        <v>265</v>
      </c>
      <c r="K177" s="0" t="n">
        <v>1</v>
      </c>
      <c r="L177" s="0" t="n">
        <v>32</v>
      </c>
      <c r="M177" s="0" t="n">
        <v>0</v>
      </c>
      <c r="N177" s="0" t="n">
        <v>32</v>
      </c>
      <c r="P177" s="0" t="n">
        <v>0</v>
      </c>
      <c r="Q177" s="0" t="n">
        <v>1396</v>
      </c>
      <c r="R177" s="54" t="s">
        <v>180</v>
      </c>
      <c r="S177" s="0" t="n">
        <v>0.08</v>
      </c>
      <c r="U177" s="31" t="n">
        <f aca="false">IF($B177&lt;&gt;'設定（最初に1回）'!$C$4,N(U176),IF(COUNTIFS(①今日の在庫を貼る!$B$6:$B$10005,$B177,①今日の在庫を貼る!$I$6:$I$10005,$I177)&gt;0,N(U176),N(U176)+1))</f>
        <v>2</v>
      </c>
    </row>
    <row r="178" customFormat="false" ht="15" hidden="false" customHeight="false" outlineLevel="0" collapsed="false">
      <c r="A178" s="0" t="n">
        <v>20260301</v>
      </c>
      <c r="B178" s="53" t="s">
        <v>486</v>
      </c>
      <c r="C178" s="54" t="s">
        <v>487</v>
      </c>
      <c r="D178" s="55" t="s">
        <v>191</v>
      </c>
      <c r="E178" s="54" t="s">
        <v>192</v>
      </c>
      <c r="F178" s="55" t="s">
        <v>175</v>
      </c>
      <c r="G178" s="55" t="s">
        <v>252</v>
      </c>
      <c r="H178" s="54" t="s">
        <v>253</v>
      </c>
      <c r="I178" s="53" t="s">
        <v>266</v>
      </c>
      <c r="J178" s="54" t="s">
        <v>267</v>
      </c>
      <c r="K178" s="0" t="n">
        <v>48</v>
      </c>
      <c r="L178" s="0" t="n">
        <v>32</v>
      </c>
      <c r="M178" s="0" t="n">
        <v>13</v>
      </c>
      <c r="N178" s="0" t="n">
        <v>1549</v>
      </c>
      <c r="P178" s="0" t="n">
        <v>0</v>
      </c>
      <c r="Q178" s="0" t="n">
        <v>114</v>
      </c>
      <c r="R178" s="54" t="s">
        <v>180</v>
      </c>
      <c r="S178" s="0" t="n">
        <v>0.08</v>
      </c>
      <c r="U178" s="31" t="n">
        <f aca="false">IF($B178&lt;&gt;'設定（最初に1回）'!$C$4,N(U177),IF(COUNTIFS(①今日の在庫を貼る!$B$6:$B$10005,$B178,①今日の在庫を貼る!$I$6:$I$10005,$I178)&gt;0,N(U177),N(U177)+1))</f>
        <v>2</v>
      </c>
    </row>
    <row r="179" customFormat="false" ht="15" hidden="false" customHeight="false" outlineLevel="0" collapsed="false">
      <c r="A179" s="0" t="n">
        <v>20260301</v>
      </c>
      <c r="B179" s="53" t="s">
        <v>486</v>
      </c>
      <c r="C179" s="54" t="s">
        <v>487</v>
      </c>
      <c r="D179" s="55" t="s">
        <v>191</v>
      </c>
      <c r="E179" s="54" t="s">
        <v>192</v>
      </c>
      <c r="F179" s="55" t="s">
        <v>175</v>
      </c>
      <c r="G179" s="55" t="s">
        <v>252</v>
      </c>
      <c r="H179" s="54" t="s">
        <v>253</v>
      </c>
      <c r="I179" s="53" t="s">
        <v>268</v>
      </c>
      <c r="J179" s="54" t="s">
        <v>269</v>
      </c>
      <c r="K179" s="0" t="n">
        <v>1</v>
      </c>
      <c r="L179" s="0" t="n">
        <v>433</v>
      </c>
      <c r="M179" s="0" t="n">
        <v>0</v>
      </c>
      <c r="N179" s="0" t="n">
        <v>433</v>
      </c>
      <c r="P179" s="0" t="n">
        <v>0</v>
      </c>
      <c r="Q179" s="0" t="n">
        <v>4420</v>
      </c>
      <c r="R179" s="54" t="s">
        <v>180</v>
      </c>
      <c r="S179" s="0" t="n">
        <v>0.08</v>
      </c>
      <c r="U179" s="31" t="n">
        <f aca="false">IF($B179&lt;&gt;'設定（最初に1回）'!$C$4,N(U178),IF(COUNTIFS(①今日の在庫を貼る!$B$6:$B$10005,$B179,①今日の在庫を貼る!$I$6:$I$10005,$I179)&gt;0,N(U178),N(U178)+1))</f>
        <v>2</v>
      </c>
    </row>
    <row r="180" customFormat="false" ht="15" hidden="false" customHeight="false" outlineLevel="0" collapsed="false">
      <c r="A180" s="0" t="n">
        <v>20260301</v>
      </c>
      <c r="B180" s="53" t="s">
        <v>486</v>
      </c>
      <c r="C180" s="54" t="s">
        <v>487</v>
      </c>
      <c r="D180" s="55" t="s">
        <v>191</v>
      </c>
      <c r="E180" s="54" t="s">
        <v>192</v>
      </c>
      <c r="F180" s="55" t="s">
        <v>175</v>
      </c>
      <c r="G180" s="55" t="s">
        <v>252</v>
      </c>
      <c r="H180" s="54" t="s">
        <v>253</v>
      </c>
      <c r="I180" s="53" t="s">
        <v>270</v>
      </c>
      <c r="J180" s="54" t="s">
        <v>271</v>
      </c>
      <c r="K180" s="0" t="n">
        <v>1</v>
      </c>
      <c r="L180" s="0" t="n">
        <v>32</v>
      </c>
      <c r="M180" s="0" t="n">
        <v>0</v>
      </c>
      <c r="N180" s="0" t="n">
        <v>32</v>
      </c>
      <c r="P180" s="0" t="n">
        <v>0</v>
      </c>
      <c r="Q180" s="0" t="n">
        <v>1099</v>
      </c>
      <c r="R180" s="54" t="s">
        <v>180</v>
      </c>
      <c r="S180" s="0" t="n">
        <v>0.08</v>
      </c>
      <c r="U180" s="31" t="n">
        <f aca="false">IF($B180&lt;&gt;'設定（最初に1回）'!$C$4,N(U179),IF(COUNTIFS(①今日の在庫を貼る!$B$6:$B$10005,$B180,①今日の在庫を貼る!$I$6:$I$10005,$I180)&gt;0,N(U179),N(U179)+1))</f>
        <v>2</v>
      </c>
    </row>
    <row r="181" customFormat="false" ht="15" hidden="false" customHeight="false" outlineLevel="0" collapsed="false">
      <c r="A181" s="0" t="n">
        <v>20260301</v>
      </c>
      <c r="B181" s="53" t="s">
        <v>486</v>
      </c>
      <c r="C181" s="54" t="s">
        <v>487</v>
      </c>
      <c r="D181" s="55" t="s">
        <v>191</v>
      </c>
      <c r="E181" s="54" t="s">
        <v>192</v>
      </c>
      <c r="F181" s="55" t="s">
        <v>175</v>
      </c>
      <c r="G181" s="55" t="s">
        <v>252</v>
      </c>
      <c r="H181" s="54" t="s">
        <v>253</v>
      </c>
      <c r="I181" s="53" t="s">
        <v>272</v>
      </c>
      <c r="J181" s="54" t="s">
        <v>273</v>
      </c>
      <c r="K181" s="0" t="n">
        <v>1</v>
      </c>
      <c r="L181" s="0" t="n">
        <v>53</v>
      </c>
      <c r="M181" s="0" t="n">
        <v>0</v>
      </c>
      <c r="N181" s="0" t="n">
        <v>53</v>
      </c>
      <c r="P181" s="0" t="n">
        <v>0</v>
      </c>
      <c r="Q181" s="0" t="n">
        <v>955</v>
      </c>
      <c r="R181" s="54" t="s">
        <v>180</v>
      </c>
      <c r="S181" s="0" t="n">
        <v>0.08</v>
      </c>
      <c r="U181" s="31" t="n">
        <f aca="false">IF($B181&lt;&gt;'設定（最初に1回）'!$C$4,N(U180),IF(COUNTIFS(①今日の在庫を貼る!$B$6:$B$10005,$B181,①今日の在庫を貼る!$I$6:$I$10005,$I181)&gt;0,N(U180),N(U180)+1))</f>
        <v>2</v>
      </c>
    </row>
    <row r="182" customFormat="false" ht="15" hidden="false" customHeight="false" outlineLevel="0" collapsed="false">
      <c r="A182" s="0" t="n">
        <v>20260301</v>
      </c>
      <c r="B182" s="53" t="s">
        <v>486</v>
      </c>
      <c r="C182" s="54" t="s">
        <v>487</v>
      </c>
      <c r="D182" s="55" t="s">
        <v>191</v>
      </c>
      <c r="E182" s="54" t="s">
        <v>192</v>
      </c>
      <c r="F182" s="55" t="s">
        <v>175</v>
      </c>
      <c r="G182" s="55" t="s">
        <v>252</v>
      </c>
      <c r="H182" s="54" t="s">
        <v>253</v>
      </c>
      <c r="I182" s="53" t="s">
        <v>274</v>
      </c>
      <c r="J182" s="54" t="s">
        <v>275</v>
      </c>
      <c r="K182" s="0" t="n">
        <v>1</v>
      </c>
      <c r="L182" s="0" t="n">
        <v>277</v>
      </c>
      <c r="M182" s="0" t="n">
        <v>0</v>
      </c>
      <c r="N182" s="0" t="n">
        <v>277</v>
      </c>
      <c r="P182" s="0" t="n">
        <v>0</v>
      </c>
      <c r="Q182" s="0" t="n">
        <v>6887</v>
      </c>
      <c r="R182" s="54" t="s">
        <v>180</v>
      </c>
      <c r="S182" s="0" t="n">
        <v>0.08</v>
      </c>
      <c r="U182" s="31" t="n">
        <f aca="false">IF($B182&lt;&gt;'設定（最初に1回）'!$C$4,N(U181),IF(COUNTIFS(①今日の在庫を貼る!$B$6:$B$10005,$B182,①今日の在庫を貼る!$I$6:$I$10005,$I182)&gt;0,N(U181),N(U181)+1))</f>
        <v>2</v>
      </c>
    </row>
    <row r="183" customFormat="false" ht="15" hidden="false" customHeight="false" outlineLevel="0" collapsed="false">
      <c r="A183" s="0" t="n">
        <v>20260301</v>
      </c>
      <c r="B183" s="53" t="s">
        <v>486</v>
      </c>
      <c r="C183" s="54" t="s">
        <v>487</v>
      </c>
      <c r="D183" s="55" t="s">
        <v>191</v>
      </c>
      <c r="E183" s="54" t="s">
        <v>192</v>
      </c>
      <c r="F183" s="55" t="s">
        <v>175</v>
      </c>
      <c r="G183" s="55" t="s">
        <v>252</v>
      </c>
      <c r="H183" s="54" t="s">
        <v>253</v>
      </c>
      <c r="I183" s="53" t="s">
        <v>276</v>
      </c>
      <c r="J183" s="54" t="s">
        <v>277</v>
      </c>
      <c r="K183" s="0" t="n">
        <v>1</v>
      </c>
      <c r="L183" s="0" t="n">
        <v>79</v>
      </c>
      <c r="M183" s="0" t="n">
        <v>0</v>
      </c>
      <c r="N183" s="0" t="n">
        <v>79</v>
      </c>
      <c r="P183" s="0" t="n">
        <v>0</v>
      </c>
      <c r="Q183" s="0" t="n">
        <v>1180</v>
      </c>
      <c r="R183" s="54" t="s">
        <v>180</v>
      </c>
      <c r="S183" s="0" t="n">
        <v>0.08</v>
      </c>
      <c r="U183" s="31" t="n">
        <f aca="false">IF($B183&lt;&gt;'設定（最初に1回）'!$C$4,N(U182),IF(COUNTIFS(①今日の在庫を貼る!$B$6:$B$10005,$B183,①今日の在庫を貼る!$I$6:$I$10005,$I183)&gt;0,N(U182),N(U182)+1))</f>
        <v>2</v>
      </c>
    </row>
    <row r="184" customFormat="false" ht="15" hidden="false" customHeight="false" outlineLevel="0" collapsed="false">
      <c r="A184" s="0" t="n">
        <v>20260301</v>
      </c>
      <c r="B184" s="53" t="s">
        <v>486</v>
      </c>
      <c r="C184" s="54" t="s">
        <v>487</v>
      </c>
      <c r="D184" s="55" t="s">
        <v>191</v>
      </c>
      <c r="E184" s="54" t="s">
        <v>192</v>
      </c>
      <c r="F184" s="55" t="s">
        <v>175</v>
      </c>
      <c r="G184" s="55" t="s">
        <v>252</v>
      </c>
      <c r="H184" s="54" t="s">
        <v>253</v>
      </c>
      <c r="I184" s="53" t="s">
        <v>278</v>
      </c>
      <c r="J184" s="54" t="s">
        <v>279</v>
      </c>
      <c r="K184" s="0" t="n">
        <v>1</v>
      </c>
      <c r="L184" s="0" t="n">
        <v>57</v>
      </c>
      <c r="M184" s="0" t="n">
        <v>0</v>
      </c>
      <c r="N184" s="0" t="n">
        <v>57</v>
      </c>
      <c r="P184" s="0" t="n">
        <v>0</v>
      </c>
      <c r="Q184" s="0" t="n">
        <v>1294</v>
      </c>
      <c r="R184" s="54" t="s">
        <v>180</v>
      </c>
      <c r="S184" s="0" t="n">
        <v>0.08</v>
      </c>
      <c r="U184" s="31" t="n">
        <f aca="false">IF($B184&lt;&gt;'設定（最初に1回）'!$C$4,N(U183),IF(COUNTIFS(①今日の在庫を貼る!$B$6:$B$10005,$B184,①今日の在庫を貼る!$I$6:$I$10005,$I184)&gt;0,N(U183),N(U183)+1))</f>
        <v>2</v>
      </c>
    </row>
    <row r="185" customFormat="false" ht="15" hidden="false" customHeight="false" outlineLevel="0" collapsed="false">
      <c r="A185" s="0" t="n">
        <v>20260301</v>
      </c>
      <c r="B185" s="53" t="s">
        <v>486</v>
      </c>
      <c r="C185" s="54" t="s">
        <v>487</v>
      </c>
      <c r="D185" s="55" t="s">
        <v>191</v>
      </c>
      <c r="E185" s="54" t="s">
        <v>192</v>
      </c>
      <c r="F185" s="55" t="s">
        <v>175</v>
      </c>
      <c r="G185" s="55" t="s">
        <v>280</v>
      </c>
      <c r="H185" s="54" t="s">
        <v>281</v>
      </c>
      <c r="I185" s="53" t="s">
        <v>282</v>
      </c>
      <c r="J185" s="54" t="s">
        <v>283</v>
      </c>
      <c r="K185" s="0" t="n">
        <v>96</v>
      </c>
      <c r="L185" s="0" t="n">
        <v>40</v>
      </c>
      <c r="M185" s="0" t="n">
        <v>60</v>
      </c>
      <c r="N185" s="0" t="n">
        <v>3900</v>
      </c>
      <c r="P185" s="0" t="n">
        <v>0</v>
      </c>
      <c r="Q185" s="0" t="n">
        <v>176</v>
      </c>
      <c r="R185" s="54" t="s">
        <v>180</v>
      </c>
      <c r="S185" s="0" t="n">
        <v>0.08</v>
      </c>
      <c r="U185" s="31" t="n">
        <f aca="false">IF($B185&lt;&gt;'設定（最初に1回）'!$C$4,N(U184),IF(COUNTIFS(①今日の在庫を貼る!$B$6:$B$10005,$B185,①今日の在庫を貼る!$I$6:$I$10005,$I185)&gt;0,N(U184),N(U184)+1))</f>
        <v>2</v>
      </c>
    </row>
    <row r="186" customFormat="false" ht="15" hidden="false" customHeight="false" outlineLevel="0" collapsed="false">
      <c r="A186" s="0" t="n">
        <v>20260301</v>
      </c>
      <c r="B186" s="53" t="s">
        <v>486</v>
      </c>
      <c r="C186" s="54" t="s">
        <v>487</v>
      </c>
      <c r="D186" s="55" t="s">
        <v>191</v>
      </c>
      <c r="E186" s="54" t="s">
        <v>192</v>
      </c>
      <c r="F186" s="55" t="s">
        <v>175</v>
      </c>
      <c r="G186" s="55" t="s">
        <v>280</v>
      </c>
      <c r="H186" s="54" t="s">
        <v>281</v>
      </c>
      <c r="I186" s="53" t="s">
        <v>284</v>
      </c>
      <c r="J186" s="54" t="s">
        <v>285</v>
      </c>
      <c r="K186" s="0" t="n">
        <v>96</v>
      </c>
      <c r="L186" s="0" t="n">
        <v>4</v>
      </c>
      <c r="M186" s="0" t="n">
        <v>52</v>
      </c>
      <c r="N186" s="0" t="n">
        <v>436</v>
      </c>
      <c r="P186" s="0" t="n">
        <v>0</v>
      </c>
      <c r="Q186" s="0" t="n">
        <v>242</v>
      </c>
      <c r="R186" s="54" t="s">
        <v>180</v>
      </c>
      <c r="S186" s="0" t="n">
        <v>0.08</v>
      </c>
      <c r="U186" s="31" t="n">
        <f aca="false">IF($B186&lt;&gt;'設定（最初に1回）'!$C$4,N(U185),IF(COUNTIFS(①今日の在庫を貼る!$B$6:$B$10005,$B186,①今日の在庫を貼る!$I$6:$I$10005,$I186)&gt;0,N(U185),N(U185)+1))</f>
        <v>2</v>
      </c>
    </row>
    <row r="187" customFormat="false" ht="15" hidden="false" customHeight="false" outlineLevel="0" collapsed="false">
      <c r="A187" s="0" t="n">
        <v>20260301</v>
      </c>
      <c r="B187" s="53" t="s">
        <v>486</v>
      </c>
      <c r="C187" s="54" t="s">
        <v>487</v>
      </c>
      <c r="D187" s="55" t="s">
        <v>191</v>
      </c>
      <c r="E187" s="54" t="s">
        <v>192</v>
      </c>
      <c r="F187" s="55" t="s">
        <v>175</v>
      </c>
      <c r="G187" s="55" t="s">
        <v>280</v>
      </c>
      <c r="H187" s="54" t="s">
        <v>281</v>
      </c>
      <c r="I187" s="53" t="s">
        <v>286</v>
      </c>
      <c r="J187" s="54" t="s">
        <v>287</v>
      </c>
      <c r="K187" s="0" t="n">
        <v>96</v>
      </c>
      <c r="L187" s="0" t="n">
        <v>8</v>
      </c>
      <c r="M187" s="0" t="n">
        <v>34</v>
      </c>
      <c r="N187" s="0" t="n">
        <v>802</v>
      </c>
      <c r="P187" s="0" t="n">
        <v>0</v>
      </c>
      <c r="Q187" s="0" t="n">
        <v>239</v>
      </c>
      <c r="R187" s="54" t="s">
        <v>180</v>
      </c>
      <c r="S187" s="0" t="n">
        <v>0.08</v>
      </c>
      <c r="U187" s="31" t="n">
        <f aca="false">IF($B187&lt;&gt;'設定（最初に1回）'!$C$4,N(U186),IF(COUNTIFS(①今日の在庫を貼る!$B$6:$B$10005,$B187,①今日の在庫を貼る!$I$6:$I$10005,$I187)&gt;0,N(U186),N(U186)+1))</f>
        <v>2</v>
      </c>
    </row>
    <row r="188" customFormat="false" ht="15" hidden="false" customHeight="false" outlineLevel="0" collapsed="false">
      <c r="A188" s="0" t="n">
        <v>20260301</v>
      </c>
      <c r="B188" s="53" t="s">
        <v>486</v>
      </c>
      <c r="C188" s="54" t="s">
        <v>487</v>
      </c>
      <c r="D188" s="55" t="s">
        <v>191</v>
      </c>
      <c r="E188" s="54" t="s">
        <v>192</v>
      </c>
      <c r="F188" s="55" t="s">
        <v>175</v>
      </c>
      <c r="G188" s="55" t="s">
        <v>280</v>
      </c>
      <c r="H188" s="54" t="s">
        <v>281</v>
      </c>
      <c r="I188" s="53" t="s">
        <v>288</v>
      </c>
      <c r="J188" s="54" t="s">
        <v>289</v>
      </c>
      <c r="K188" s="0" t="n">
        <v>96</v>
      </c>
      <c r="L188" s="0" t="n">
        <v>11</v>
      </c>
      <c r="M188" s="0" t="n">
        <v>63</v>
      </c>
      <c r="N188" s="0" t="n">
        <v>1119</v>
      </c>
      <c r="P188" s="0" t="n">
        <v>0</v>
      </c>
      <c r="Q188" s="0" t="n">
        <v>244</v>
      </c>
      <c r="R188" s="54" t="s">
        <v>180</v>
      </c>
      <c r="S188" s="0" t="n">
        <v>0.08</v>
      </c>
      <c r="U188" s="31" t="n">
        <f aca="false">IF($B188&lt;&gt;'設定（最初に1回）'!$C$4,N(U187),IF(COUNTIFS(①今日の在庫を貼る!$B$6:$B$10005,$B188,①今日の在庫を貼る!$I$6:$I$10005,$I188)&gt;0,N(U187),N(U187)+1))</f>
        <v>2</v>
      </c>
    </row>
    <row r="189" customFormat="false" ht="15" hidden="false" customHeight="false" outlineLevel="0" collapsed="false">
      <c r="A189" s="0" t="n">
        <v>20260301</v>
      </c>
      <c r="B189" s="53" t="s">
        <v>486</v>
      </c>
      <c r="C189" s="54" t="s">
        <v>487</v>
      </c>
      <c r="D189" s="55" t="s">
        <v>191</v>
      </c>
      <c r="E189" s="54" t="s">
        <v>192</v>
      </c>
      <c r="F189" s="55" t="s">
        <v>175</v>
      </c>
      <c r="G189" s="55" t="s">
        <v>290</v>
      </c>
      <c r="H189" s="54" t="s">
        <v>291</v>
      </c>
      <c r="I189" s="53" t="s">
        <v>292</v>
      </c>
      <c r="J189" s="54" t="s">
        <v>293</v>
      </c>
      <c r="K189" s="0" t="n">
        <v>1</v>
      </c>
      <c r="L189" s="0" t="n">
        <v>2</v>
      </c>
      <c r="M189" s="0" t="n">
        <v>0</v>
      </c>
      <c r="N189" s="0" t="n">
        <v>2</v>
      </c>
      <c r="P189" s="0" t="n">
        <v>0</v>
      </c>
      <c r="Q189" s="0" t="n">
        <v>1755</v>
      </c>
      <c r="R189" s="54" t="s">
        <v>180</v>
      </c>
      <c r="S189" s="0" t="n">
        <v>0.08</v>
      </c>
      <c r="U189" s="31" t="n">
        <f aca="false">IF($B189&lt;&gt;'設定（最初に1回）'!$C$4,N(U188),IF(COUNTIFS(①今日の在庫を貼る!$B$6:$B$10005,$B189,①今日の在庫を貼る!$I$6:$I$10005,$I189)&gt;0,N(U188),N(U188)+1))</f>
        <v>2</v>
      </c>
    </row>
    <row r="190" customFormat="false" ht="15" hidden="false" customHeight="false" outlineLevel="0" collapsed="false">
      <c r="A190" s="0" t="n">
        <v>20260301</v>
      </c>
      <c r="B190" s="53" t="s">
        <v>486</v>
      </c>
      <c r="C190" s="54" t="s">
        <v>487</v>
      </c>
      <c r="D190" s="55" t="s">
        <v>191</v>
      </c>
      <c r="E190" s="54" t="s">
        <v>192</v>
      </c>
      <c r="F190" s="55" t="s">
        <v>175</v>
      </c>
      <c r="G190" s="55" t="s">
        <v>290</v>
      </c>
      <c r="H190" s="54" t="s">
        <v>291</v>
      </c>
      <c r="I190" s="53" t="s">
        <v>294</v>
      </c>
      <c r="J190" s="54" t="s">
        <v>295</v>
      </c>
      <c r="K190" s="0" t="n">
        <v>40</v>
      </c>
      <c r="L190" s="0" t="n">
        <v>61</v>
      </c>
      <c r="M190" s="0" t="n">
        <v>31</v>
      </c>
      <c r="N190" s="0" t="n">
        <v>2471</v>
      </c>
      <c r="P190" s="0" t="n">
        <v>0</v>
      </c>
      <c r="Q190" s="0" t="n">
        <v>96.25</v>
      </c>
      <c r="R190" s="54" t="s">
        <v>180</v>
      </c>
      <c r="S190" s="0" t="n">
        <v>0.08</v>
      </c>
      <c r="U190" s="31" t="n">
        <f aca="false">IF($B190&lt;&gt;'設定（最初に1回）'!$C$4,N(U189),IF(COUNTIFS(①今日の在庫を貼る!$B$6:$B$10005,$B190,①今日の在庫を貼る!$I$6:$I$10005,$I190)&gt;0,N(U189),N(U189)+1))</f>
        <v>2</v>
      </c>
    </row>
    <row r="191" customFormat="false" ht="15" hidden="false" customHeight="false" outlineLevel="0" collapsed="false">
      <c r="A191" s="0" t="n">
        <v>20260301</v>
      </c>
      <c r="B191" s="53" t="s">
        <v>486</v>
      </c>
      <c r="C191" s="54" t="s">
        <v>487</v>
      </c>
      <c r="D191" s="55" t="s">
        <v>191</v>
      </c>
      <c r="E191" s="54" t="s">
        <v>192</v>
      </c>
      <c r="F191" s="55" t="s">
        <v>175</v>
      </c>
      <c r="G191" s="55" t="s">
        <v>290</v>
      </c>
      <c r="H191" s="54" t="s">
        <v>291</v>
      </c>
      <c r="I191" s="53" t="s">
        <v>296</v>
      </c>
      <c r="J191" s="54" t="s">
        <v>297</v>
      </c>
      <c r="K191" s="0" t="n">
        <v>96</v>
      </c>
      <c r="L191" s="0" t="n">
        <v>17</v>
      </c>
      <c r="M191" s="0" t="n">
        <v>47</v>
      </c>
      <c r="N191" s="0" t="n">
        <v>1679</v>
      </c>
      <c r="P191" s="0" t="n">
        <v>0</v>
      </c>
      <c r="Q191" s="0" t="n">
        <v>164</v>
      </c>
      <c r="R191" s="54" t="s">
        <v>180</v>
      </c>
      <c r="S191" s="0" t="n">
        <v>0.08</v>
      </c>
      <c r="U191" s="31" t="n">
        <f aca="false">IF($B191&lt;&gt;'設定（最初に1回）'!$C$4,N(U190),IF(COUNTIFS(①今日の在庫を貼る!$B$6:$B$10005,$B191,①今日の在庫を貼る!$I$6:$I$10005,$I191)&gt;0,N(U190),N(U190)+1))</f>
        <v>2</v>
      </c>
    </row>
    <row r="192" customFormat="false" ht="15" hidden="false" customHeight="false" outlineLevel="0" collapsed="false">
      <c r="A192" s="0" t="n">
        <v>20260301</v>
      </c>
      <c r="B192" s="53" t="s">
        <v>486</v>
      </c>
      <c r="C192" s="54" t="s">
        <v>487</v>
      </c>
      <c r="D192" s="55" t="s">
        <v>191</v>
      </c>
      <c r="E192" s="54" t="s">
        <v>192</v>
      </c>
      <c r="F192" s="55" t="s">
        <v>175</v>
      </c>
      <c r="G192" s="55" t="s">
        <v>298</v>
      </c>
      <c r="H192" s="54" t="s">
        <v>299</v>
      </c>
      <c r="I192" s="53" t="s">
        <v>300</v>
      </c>
      <c r="J192" s="54" t="s">
        <v>301</v>
      </c>
      <c r="K192" s="0" t="n">
        <v>100</v>
      </c>
      <c r="L192" s="0" t="n">
        <v>38</v>
      </c>
      <c r="M192" s="0" t="n">
        <v>74</v>
      </c>
      <c r="N192" s="0" t="n">
        <v>3874</v>
      </c>
      <c r="P192" s="0" t="n">
        <v>0</v>
      </c>
      <c r="Q192" s="0" t="n">
        <v>109</v>
      </c>
      <c r="R192" s="54" t="s">
        <v>180</v>
      </c>
      <c r="S192" s="0" t="n">
        <v>0.08</v>
      </c>
      <c r="U192" s="31" t="n">
        <f aca="false">IF($B192&lt;&gt;'設定（最初に1回）'!$C$4,N(U191),IF(COUNTIFS(①今日の在庫を貼る!$B$6:$B$10005,$B192,①今日の在庫を貼る!$I$6:$I$10005,$I192)&gt;0,N(U191),N(U191)+1))</f>
        <v>2</v>
      </c>
    </row>
    <row r="193" customFormat="false" ht="15" hidden="false" customHeight="false" outlineLevel="0" collapsed="false">
      <c r="A193" s="0" t="n">
        <v>20260301</v>
      </c>
      <c r="B193" s="53" t="s">
        <v>486</v>
      </c>
      <c r="C193" s="54" t="s">
        <v>487</v>
      </c>
      <c r="D193" s="55" t="s">
        <v>191</v>
      </c>
      <c r="E193" s="54" t="s">
        <v>192</v>
      </c>
      <c r="F193" s="55" t="s">
        <v>175</v>
      </c>
      <c r="G193" s="55" t="s">
        <v>298</v>
      </c>
      <c r="H193" s="54" t="s">
        <v>299</v>
      </c>
      <c r="I193" s="53" t="s">
        <v>302</v>
      </c>
      <c r="J193" s="54" t="s">
        <v>303</v>
      </c>
      <c r="K193" s="0" t="n">
        <v>100</v>
      </c>
      <c r="L193" s="0" t="n">
        <v>31</v>
      </c>
      <c r="M193" s="0" t="n">
        <v>49</v>
      </c>
      <c r="N193" s="0" t="n">
        <v>3149</v>
      </c>
      <c r="P193" s="0" t="n">
        <v>0</v>
      </c>
      <c r="Q193" s="0" t="n">
        <v>107</v>
      </c>
      <c r="R193" s="54" t="s">
        <v>180</v>
      </c>
      <c r="S193" s="0" t="n">
        <v>0.08</v>
      </c>
      <c r="U193" s="31" t="n">
        <f aca="false">IF($B193&lt;&gt;'設定（最初に1回）'!$C$4,N(U192),IF(COUNTIFS(①今日の在庫を貼る!$B$6:$B$10005,$B193,①今日の在庫を貼る!$I$6:$I$10005,$I193)&gt;0,N(U192),N(U192)+1))</f>
        <v>2</v>
      </c>
    </row>
    <row r="194" customFormat="false" ht="15" hidden="false" customHeight="false" outlineLevel="0" collapsed="false">
      <c r="A194" s="0" t="n">
        <v>20260301</v>
      </c>
      <c r="B194" s="53" t="s">
        <v>486</v>
      </c>
      <c r="C194" s="54" t="s">
        <v>487</v>
      </c>
      <c r="D194" s="55" t="s">
        <v>191</v>
      </c>
      <c r="E194" s="54" t="s">
        <v>192</v>
      </c>
      <c r="F194" s="55" t="s">
        <v>175</v>
      </c>
      <c r="G194" s="55" t="s">
        <v>298</v>
      </c>
      <c r="H194" s="54" t="s">
        <v>299</v>
      </c>
      <c r="I194" s="53" t="s">
        <v>304</v>
      </c>
      <c r="J194" s="54" t="s">
        <v>305</v>
      </c>
      <c r="K194" s="0" t="n">
        <v>1</v>
      </c>
      <c r="L194" s="0" t="n">
        <v>20</v>
      </c>
      <c r="M194" s="0" t="n">
        <v>0</v>
      </c>
      <c r="N194" s="0" t="n">
        <v>20</v>
      </c>
      <c r="P194" s="0" t="n">
        <v>0</v>
      </c>
      <c r="Q194" s="0" t="n">
        <v>1181</v>
      </c>
      <c r="R194" s="54" t="s">
        <v>180</v>
      </c>
      <c r="S194" s="0" t="n">
        <v>0.08</v>
      </c>
      <c r="U194" s="31" t="n">
        <f aca="false">IF($B194&lt;&gt;'設定（最初に1回）'!$C$4,N(U193),IF(COUNTIFS(①今日の在庫を貼る!$B$6:$B$10005,$B194,①今日の在庫を貼る!$I$6:$I$10005,$I194)&gt;0,N(U193),N(U193)+1))</f>
        <v>2</v>
      </c>
    </row>
    <row r="195" customFormat="false" ht="15" hidden="false" customHeight="false" outlineLevel="0" collapsed="false">
      <c r="A195" s="0" t="n">
        <v>20260301</v>
      </c>
      <c r="B195" s="53" t="s">
        <v>486</v>
      </c>
      <c r="C195" s="54" t="s">
        <v>487</v>
      </c>
      <c r="D195" s="55" t="s">
        <v>191</v>
      </c>
      <c r="E195" s="54" t="s">
        <v>192</v>
      </c>
      <c r="F195" s="55" t="s">
        <v>175</v>
      </c>
      <c r="G195" s="55" t="s">
        <v>298</v>
      </c>
      <c r="H195" s="54" t="s">
        <v>299</v>
      </c>
      <c r="I195" s="53" t="s">
        <v>306</v>
      </c>
      <c r="J195" s="54" t="s">
        <v>307</v>
      </c>
      <c r="K195" s="0" t="n">
        <v>1</v>
      </c>
      <c r="L195" s="0" t="n">
        <v>46</v>
      </c>
      <c r="M195" s="0" t="n">
        <v>0</v>
      </c>
      <c r="N195" s="0" t="n">
        <v>46</v>
      </c>
      <c r="P195" s="0" t="n">
        <v>0</v>
      </c>
      <c r="Q195" s="0" t="n">
        <v>1181</v>
      </c>
      <c r="R195" s="54" t="s">
        <v>180</v>
      </c>
      <c r="S195" s="0" t="n">
        <v>0.08</v>
      </c>
      <c r="U195" s="31" t="n">
        <f aca="false">IF($B195&lt;&gt;'設定（最初に1回）'!$C$4,N(U194),IF(COUNTIFS(①今日の在庫を貼る!$B$6:$B$10005,$B195,①今日の在庫を貼る!$I$6:$I$10005,$I195)&gt;0,N(U194),N(U194)+1))</f>
        <v>2</v>
      </c>
    </row>
    <row r="196" customFormat="false" ht="15" hidden="false" customHeight="false" outlineLevel="0" collapsed="false">
      <c r="A196" s="0" t="n">
        <v>20260301</v>
      </c>
      <c r="B196" s="53" t="s">
        <v>486</v>
      </c>
      <c r="C196" s="54" t="s">
        <v>487</v>
      </c>
      <c r="D196" s="55" t="s">
        <v>191</v>
      </c>
      <c r="E196" s="54" t="s">
        <v>192</v>
      </c>
      <c r="F196" s="55" t="s">
        <v>175</v>
      </c>
      <c r="G196" s="55" t="s">
        <v>298</v>
      </c>
      <c r="H196" s="54" t="s">
        <v>299</v>
      </c>
      <c r="I196" s="53" t="s">
        <v>308</v>
      </c>
      <c r="J196" s="54" t="s">
        <v>309</v>
      </c>
      <c r="K196" s="0" t="n">
        <v>1</v>
      </c>
      <c r="L196" s="0" t="n">
        <v>18</v>
      </c>
      <c r="M196" s="0" t="n">
        <v>0</v>
      </c>
      <c r="N196" s="0" t="n">
        <v>18</v>
      </c>
      <c r="P196" s="0" t="n">
        <v>0</v>
      </c>
      <c r="Q196" s="0" t="n">
        <v>1181</v>
      </c>
      <c r="R196" s="54" t="s">
        <v>180</v>
      </c>
      <c r="S196" s="0" t="n">
        <v>0.08</v>
      </c>
      <c r="U196" s="31" t="n">
        <f aca="false">IF($B196&lt;&gt;'設定（最初に1回）'!$C$4,N(U195),IF(COUNTIFS(①今日の在庫を貼る!$B$6:$B$10005,$B196,①今日の在庫を貼る!$I$6:$I$10005,$I196)&gt;0,N(U195),N(U195)+1))</f>
        <v>2</v>
      </c>
    </row>
    <row r="197" customFormat="false" ht="15" hidden="false" customHeight="false" outlineLevel="0" collapsed="false">
      <c r="A197" s="0" t="n">
        <v>20260301</v>
      </c>
      <c r="B197" s="53" t="s">
        <v>486</v>
      </c>
      <c r="C197" s="54" t="s">
        <v>487</v>
      </c>
      <c r="D197" s="55" t="s">
        <v>191</v>
      </c>
      <c r="E197" s="54" t="s">
        <v>192</v>
      </c>
      <c r="F197" s="55" t="s">
        <v>175</v>
      </c>
      <c r="G197" s="55" t="s">
        <v>298</v>
      </c>
      <c r="H197" s="54" t="s">
        <v>299</v>
      </c>
      <c r="I197" s="53" t="s">
        <v>310</v>
      </c>
      <c r="J197" s="54" t="s">
        <v>311</v>
      </c>
      <c r="K197" s="0" t="n">
        <v>1</v>
      </c>
      <c r="L197" s="0" t="n">
        <v>42</v>
      </c>
      <c r="M197" s="0" t="n">
        <v>0</v>
      </c>
      <c r="N197" s="0" t="n">
        <v>42</v>
      </c>
      <c r="P197" s="0" t="n">
        <v>0</v>
      </c>
      <c r="Q197" s="0" t="n">
        <v>1181</v>
      </c>
      <c r="R197" s="54" t="s">
        <v>180</v>
      </c>
      <c r="S197" s="0" t="n">
        <v>0.08</v>
      </c>
      <c r="U197" s="31" t="n">
        <f aca="false">IF($B197&lt;&gt;'設定（最初に1回）'!$C$4,N(U196),IF(COUNTIFS(①今日の在庫を貼る!$B$6:$B$10005,$B197,①今日の在庫を貼る!$I$6:$I$10005,$I197)&gt;0,N(U196),N(U196)+1))</f>
        <v>2</v>
      </c>
    </row>
    <row r="198" customFormat="false" ht="15" hidden="false" customHeight="false" outlineLevel="0" collapsed="false">
      <c r="A198" s="0" t="n">
        <v>20260301</v>
      </c>
      <c r="B198" s="53" t="s">
        <v>486</v>
      </c>
      <c r="C198" s="54" t="s">
        <v>487</v>
      </c>
      <c r="D198" s="55" t="s">
        <v>191</v>
      </c>
      <c r="E198" s="54" t="s">
        <v>192</v>
      </c>
      <c r="F198" s="55" t="s">
        <v>175</v>
      </c>
      <c r="G198" s="55" t="s">
        <v>298</v>
      </c>
      <c r="H198" s="54" t="s">
        <v>299</v>
      </c>
      <c r="I198" s="53" t="s">
        <v>312</v>
      </c>
      <c r="J198" s="54" t="s">
        <v>313</v>
      </c>
      <c r="K198" s="0" t="n">
        <v>1</v>
      </c>
      <c r="L198" s="0" t="n">
        <v>79</v>
      </c>
      <c r="M198" s="0" t="n">
        <v>0</v>
      </c>
      <c r="N198" s="0" t="n">
        <v>79</v>
      </c>
      <c r="P198" s="0" t="n">
        <v>0</v>
      </c>
      <c r="Q198" s="0" t="n">
        <v>1181</v>
      </c>
      <c r="R198" s="54" t="s">
        <v>180</v>
      </c>
      <c r="S198" s="0" t="n">
        <v>0.08</v>
      </c>
      <c r="U198" s="31" t="n">
        <f aca="false">IF($B198&lt;&gt;'設定（最初に1回）'!$C$4,N(U197),IF(COUNTIFS(①今日の在庫を貼る!$B$6:$B$10005,$B198,①今日の在庫を貼る!$I$6:$I$10005,$I198)&gt;0,N(U197),N(U197)+1))</f>
        <v>2</v>
      </c>
    </row>
    <row r="199" customFormat="false" ht="15" hidden="false" customHeight="false" outlineLevel="0" collapsed="false">
      <c r="A199" s="0" t="n">
        <v>20260301</v>
      </c>
      <c r="B199" s="53" t="s">
        <v>486</v>
      </c>
      <c r="C199" s="54" t="s">
        <v>487</v>
      </c>
      <c r="D199" s="55" t="s">
        <v>191</v>
      </c>
      <c r="E199" s="54" t="s">
        <v>192</v>
      </c>
      <c r="F199" s="55" t="s">
        <v>175</v>
      </c>
      <c r="G199" s="55" t="s">
        <v>298</v>
      </c>
      <c r="H199" s="54" t="s">
        <v>299</v>
      </c>
      <c r="I199" s="53" t="s">
        <v>314</v>
      </c>
      <c r="J199" s="54" t="s">
        <v>315</v>
      </c>
      <c r="K199" s="0" t="n">
        <v>1</v>
      </c>
      <c r="L199" s="0" t="n">
        <v>6</v>
      </c>
      <c r="M199" s="0" t="n">
        <v>0</v>
      </c>
      <c r="N199" s="0" t="n">
        <v>6</v>
      </c>
      <c r="P199" s="0" t="n">
        <v>0</v>
      </c>
      <c r="Q199" s="0" t="n">
        <v>1181</v>
      </c>
      <c r="R199" s="54" t="s">
        <v>180</v>
      </c>
      <c r="S199" s="0" t="n">
        <v>0.08</v>
      </c>
      <c r="U199" s="31" t="n">
        <f aca="false">IF($B199&lt;&gt;'設定（最初に1回）'!$C$4,N(U198),IF(COUNTIFS(①今日の在庫を貼る!$B$6:$B$10005,$B199,①今日の在庫を貼る!$I$6:$I$10005,$I199)&gt;0,N(U198),N(U198)+1))</f>
        <v>2</v>
      </c>
    </row>
    <row r="200" customFormat="false" ht="15" hidden="false" customHeight="false" outlineLevel="0" collapsed="false">
      <c r="A200" s="0" t="n">
        <v>20260301</v>
      </c>
      <c r="B200" s="53" t="s">
        <v>486</v>
      </c>
      <c r="C200" s="54" t="s">
        <v>487</v>
      </c>
      <c r="D200" s="55" t="s">
        <v>191</v>
      </c>
      <c r="E200" s="54" t="s">
        <v>192</v>
      </c>
      <c r="F200" s="55" t="s">
        <v>175</v>
      </c>
      <c r="G200" s="55" t="s">
        <v>298</v>
      </c>
      <c r="H200" s="54" t="s">
        <v>299</v>
      </c>
      <c r="I200" s="53" t="s">
        <v>316</v>
      </c>
      <c r="J200" s="54" t="s">
        <v>317</v>
      </c>
      <c r="K200" s="0" t="n">
        <v>1</v>
      </c>
      <c r="L200" s="0" t="n">
        <v>4</v>
      </c>
      <c r="M200" s="0" t="n">
        <v>0</v>
      </c>
      <c r="N200" s="0" t="n">
        <v>4</v>
      </c>
      <c r="P200" s="0" t="n">
        <v>0</v>
      </c>
      <c r="Q200" s="0" t="n">
        <v>1181</v>
      </c>
      <c r="R200" s="54" t="s">
        <v>180</v>
      </c>
      <c r="S200" s="0" t="n">
        <v>0.08</v>
      </c>
      <c r="U200" s="31" t="n">
        <f aca="false">IF($B200&lt;&gt;'設定（最初に1回）'!$C$4,N(U199),IF(COUNTIFS(①今日の在庫を貼る!$B$6:$B$10005,$B200,①今日の在庫を貼る!$I$6:$I$10005,$I200)&gt;0,N(U199),N(U199)+1))</f>
        <v>2</v>
      </c>
    </row>
    <row r="201" customFormat="false" ht="15" hidden="false" customHeight="false" outlineLevel="0" collapsed="false">
      <c r="A201" s="0" t="n">
        <v>20260301</v>
      </c>
      <c r="B201" s="53" t="s">
        <v>486</v>
      </c>
      <c r="C201" s="54" t="s">
        <v>487</v>
      </c>
      <c r="D201" s="55" t="s">
        <v>191</v>
      </c>
      <c r="E201" s="54" t="s">
        <v>192</v>
      </c>
      <c r="F201" s="55" t="s">
        <v>175</v>
      </c>
      <c r="G201" s="55" t="s">
        <v>298</v>
      </c>
      <c r="H201" s="54" t="s">
        <v>299</v>
      </c>
      <c r="I201" s="53" t="s">
        <v>318</v>
      </c>
      <c r="J201" s="54" t="s">
        <v>319</v>
      </c>
      <c r="K201" s="0" t="n">
        <v>1</v>
      </c>
      <c r="L201" s="0" t="n">
        <v>129</v>
      </c>
      <c r="M201" s="0" t="n">
        <v>0</v>
      </c>
      <c r="N201" s="0" t="n">
        <v>129</v>
      </c>
      <c r="P201" s="0" t="n">
        <v>0</v>
      </c>
      <c r="Q201" s="0" t="n">
        <v>730</v>
      </c>
      <c r="R201" s="54" t="s">
        <v>180</v>
      </c>
      <c r="S201" s="0" t="n">
        <v>0.08</v>
      </c>
      <c r="U201" s="31" t="n">
        <f aca="false">IF($B201&lt;&gt;'設定（最初に1回）'!$C$4,N(U200),IF(COUNTIFS(①今日の在庫を貼る!$B$6:$B$10005,$B201,①今日の在庫を貼る!$I$6:$I$10005,$I201)&gt;0,N(U200),N(U200)+1))</f>
        <v>2</v>
      </c>
    </row>
    <row r="202" customFormat="false" ht="15" hidden="false" customHeight="false" outlineLevel="0" collapsed="false">
      <c r="A202" s="0" t="n">
        <v>20260301</v>
      </c>
      <c r="B202" s="53" t="s">
        <v>486</v>
      </c>
      <c r="C202" s="54" t="s">
        <v>487</v>
      </c>
      <c r="D202" s="55" t="s">
        <v>191</v>
      </c>
      <c r="E202" s="54" t="s">
        <v>192</v>
      </c>
      <c r="F202" s="55" t="s">
        <v>175</v>
      </c>
      <c r="G202" s="55" t="s">
        <v>298</v>
      </c>
      <c r="H202" s="54" t="s">
        <v>299</v>
      </c>
      <c r="I202" s="53" t="s">
        <v>320</v>
      </c>
      <c r="J202" s="54" t="s">
        <v>321</v>
      </c>
      <c r="K202" s="0" t="n">
        <v>1</v>
      </c>
      <c r="L202" s="0" t="n">
        <v>123</v>
      </c>
      <c r="M202" s="0" t="n">
        <v>0</v>
      </c>
      <c r="N202" s="0" t="n">
        <v>123</v>
      </c>
      <c r="P202" s="0" t="n">
        <v>0</v>
      </c>
      <c r="Q202" s="0" t="n">
        <v>804</v>
      </c>
      <c r="R202" s="54" t="s">
        <v>180</v>
      </c>
      <c r="S202" s="0" t="n">
        <v>0.08</v>
      </c>
      <c r="U202" s="31" t="n">
        <f aca="false">IF($B202&lt;&gt;'設定（最初に1回）'!$C$4,N(U201),IF(COUNTIFS(①今日の在庫を貼る!$B$6:$B$10005,$B202,①今日の在庫を貼る!$I$6:$I$10005,$I202)&gt;0,N(U201),N(U201)+1))</f>
        <v>2</v>
      </c>
    </row>
    <row r="203" customFormat="false" ht="15" hidden="false" customHeight="false" outlineLevel="0" collapsed="false">
      <c r="A203" s="0" t="n">
        <v>20260301</v>
      </c>
      <c r="B203" s="53" t="s">
        <v>486</v>
      </c>
      <c r="C203" s="54" t="s">
        <v>487</v>
      </c>
      <c r="D203" s="55" t="s">
        <v>191</v>
      </c>
      <c r="E203" s="54" t="s">
        <v>192</v>
      </c>
      <c r="F203" s="55" t="s">
        <v>175</v>
      </c>
      <c r="G203" s="55" t="s">
        <v>298</v>
      </c>
      <c r="H203" s="54" t="s">
        <v>299</v>
      </c>
      <c r="I203" s="53" t="s">
        <v>322</v>
      </c>
      <c r="J203" s="54" t="s">
        <v>323</v>
      </c>
      <c r="K203" s="0" t="n">
        <v>1</v>
      </c>
      <c r="L203" s="0" t="n">
        <v>51</v>
      </c>
      <c r="M203" s="0" t="n">
        <v>0</v>
      </c>
      <c r="N203" s="0" t="n">
        <v>51</v>
      </c>
      <c r="P203" s="0" t="n">
        <v>0</v>
      </c>
      <c r="Q203" s="0" t="n">
        <v>1181</v>
      </c>
      <c r="R203" s="54" t="s">
        <v>180</v>
      </c>
      <c r="S203" s="0" t="n">
        <v>0.08</v>
      </c>
      <c r="U203" s="31" t="n">
        <f aca="false">IF($B203&lt;&gt;'設定（最初に1回）'!$C$4,N(U202),IF(COUNTIFS(①今日の在庫を貼る!$B$6:$B$10005,$B203,①今日の在庫を貼る!$I$6:$I$10005,$I203)&gt;0,N(U202),N(U202)+1))</f>
        <v>2</v>
      </c>
    </row>
    <row r="204" customFormat="false" ht="15" hidden="false" customHeight="false" outlineLevel="0" collapsed="false">
      <c r="A204" s="0" t="n">
        <v>20260301</v>
      </c>
      <c r="B204" s="53" t="s">
        <v>486</v>
      </c>
      <c r="C204" s="54" t="s">
        <v>487</v>
      </c>
      <c r="D204" s="55" t="s">
        <v>191</v>
      </c>
      <c r="E204" s="54" t="s">
        <v>192</v>
      </c>
      <c r="F204" s="55" t="s">
        <v>175</v>
      </c>
      <c r="G204" s="55" t="s">
        <v>324</v>
      </c>
      <c r="H204" s="54" t="s">
        <v>325</v>
      </c>
      <c r="I204" s="53" t="s">
        <v>326</v>
      </c>
      <c r="J204" s="54" t="s">
        <v>327</v>
      </c>
      <c r="K204" s="0" t="n">
        <v>120</v>
      </c>
      <c r="L204" s="0" t="n">
        <v>4</v>
      </c>
      <c r="M204" s="0" t="n">
        <v>52</v>
      </c>
      <c r="N204" s="0" t="n">
        <v>532</v>
      </c>
      <c r="P204" s="0" t="n">
        <v>0</v>
      </c>
      <c r="Q204" s="0" t="n">
        <v>174</v>
      </c>
      <c r="R204" s="54" t="s">
        <v>180</v>
      </c>
      <c r="S204" s="0" t="n">
        <v>0.08</v>
      </c>
      <c r="U204" s="31" t="n">
        <f aca="false">IF($B204&lt;&gt;'設定（最初に1回）'!$C$4,N(U203),IF(COUNTIFS(①今日の在庫を貼る!$B$6:$B$10005,$B204,①今日の在庫を貼る!$I$6:$I$10005,$I204)&gt;0,N(U203),N(U203)+1))</f>
        <v>2</v>
      </c>
    </row>
    <row r="205" customFormat="false" ht="15" hidden="false" customHeight="false" outlineLevel="0" collapsed="false">
      <c r="A205" s="0" t="n">
        <v>20260301</v>
      </c>
      <c r="B205" s="53" t="s">
        <v>486</v>
      </c>
      <c r="C205" s="54" t="s">
        <v>487</v>
      </c>
      <c r="D205" s="55" t="s">
        <v>191</v>
      </c>
      <c r="E205" s="54" t="s">
        <v>192</v>
      </c>
      <c r="F205" s="55" t="s">
        <v>175</v>
      </c>
      <c r="G205" s="55" t="s">
        <v>324</v>
      </c>
      <c r="H205" s="54" t="s">
        <v>325</v>
      </c>
      <c r="I205" s="53" t="s">
        <v>328</v>
      </c>
      <c r="J205" s="54" t="s">
        <v>329</v>
      </c>
      <c r="K205" s="0" t="n">
        <v>120</v>
      </c>
      <c r="L205" s="0" t="n">
        <v>15</v>
      </c>
      <c r="M205" s="0" t="n">
        <v>16</v>
      </c>
      <c r="N205" s="0" t="n">
        <v>1816</v>
      </c>
      <c r="P205" s="0" t="n">
        <v>0</v>
      </c>
      <c r="Q205" s="0" t="n">
        <v>162</v>
      </c>
      <c r="R205" s="54" t="s">
        <v>180</v>
      </c>
      <c r="S205" s="0" t="n">
        <v>0.08</v>
      </c>
      <c r="U205" s="31" t="n">
        <f aca="false">IF($B205&lt;&gt;'設定（最初に1回）'!$C$4,N(U204),IF(COUNTIFS(①今日の在庫を貼る!$B$6:$B$10005,$B205,①今日の在庫を貼る!$I$6:$I$10005,$I205)&gt;0,N(U204),N(U204)+1))</f>
        <v>2</v>
      </c>
    </row>
    <row r="206" customFormat="false" ht="15" hidden="false" customHeight="false" outlineLevel="0" collapsed="false">
      <c r="A206" s="0" t="n">
        <v>20260301</v>
      </c>
      <c r="B206" s="53" t="s">
        <v>486</v>
      </c>
      <c r="C206" s="54" t="s">
        <v>487</v>
      </c>
      <c r="D206" s="55" t="s">
        <v>191</v>
      </c>
      <c r="E206" s="54" t="s">
        <v>192</v>
      </c>
      <c r="F206" s="55" t="s">
        <v>175</v>
      </c>
      <c r="G206" s="55" t="s">
        <v>330</v>
      </c>
      <c r="H206" s="54" t="s">
        <v>331</v>
      </c>
      <c r="I206" s="53" t="s">
        <v>332</v>
      </c>
      <c r="J206" s="54" t="s">
        <v>333</v>
      </c>
      <c r="K206" s="0" t="n">
        <v>1</v>
      </c>
      <c r="L206" s="0" t="n">
        <v>483</v>
      </c>
      <c r="M206" s="0" t="n">
        <v>0</v>
      </c>
      <c r="N206" s="0" t="n">
        <v>483</v>
      </c>
      <c r="P206" s="0" t="n">
        <v>0</v>
      </c>
      <c r="Q206" s="0" t="n">
        <v>458</v>
      </c>
      <c r="R206" s="54" t="s">
        <v>180</v>
      </c>
      <c r="S206" s="0" t="n">
        <v>0.08</v>
      </c>
      <c r="U206" s="31" t="n">
        <f aca="false">IF($B206&lt;&gt;'設定（最初に1回）'!$C$4,N(U205),IF(COUNTIFS(①今日の在庫を貼る!$B$6:$B$10005,$B206,①今日の在庫を貼る!$I$6:$I$10005,$I206)&gt;0,N(U205),N(U205)+1))</f>
        <v>2</v>
      </c>
    </row>
    <row r="207" customFormat="false" ht="15" hidden="false" customHeight="false" outlineLevel="0" collapsed="false">
      <c r="A207" s="0" t="n">
        <v>20260301</v>
      </c>
      <c r="B207" s="53" t="s">
        <v>486</v>
      </c>
      <c r="C207" s="54" t="s">
        <v>487</v>
      </c>
      <c r="D207" s="55" t="s">
        <v>191</v>
      </c>
      <c r="E207" s="54" t="s">
        <v>192</v>
      </c>
      <c r="F207" s="55" t="s">
        <v>175</v>
      </c>
      <c r="G207" s="55" t="s">
        <v>330</v>
      </c>
      <c r="H207" s="54" t="s">
        <v>331</v>
      </c>
      <c r="I207" s="53" t="s">
        <v>334</v>
      </c>
      <c r="J207" s="54" t="s">
        <v>335</v>
      </c>
      <c r="K207" s="0" t="n">
        <v>1</v>
      </c>
      <c r="L207" s="0" t="n">
        <v>31</v>
      </c>
      <c r="M207" s="0" t="n">
        <v>0</v>
      </c>
      <c r="N207" s="0" t="n">
        <v>31</v>
      </c>
      <c r="P207" s="0" t="n">
        <v>0</v>
      </c>
      <c r="Q207" s="0" t="n">
        <v>452</v>
      </c>
      <c r="R207" s="54" t="s">
        <v>180</v>
      </c>
      <c r="S207" s="0" t="n">
        <v>0.08</v>
      </c>
      <c r="U207" s="31" t="n">
        <f aca="false">IF($B207&lt;&gt;'設定（最初に1回）'!$C$4,N(U206),IF(COUNTIFS(①今日の在庫を貼る!$B$6:$B$10005,$B207,①今日の在庫を貼る!$I$6:$I$10005,$I207)&gt;0,N(U206),N(U206)+1))</f>
        <v>2</v>
      </c>
    </row>
    <row r="208" customFormat="false" ht="15" hidden="false" customHeight="false" outlineLevel="0" collapsed="false">
      <c r="A208" s="0" t="n">
        <v>20260301</v>
      </c>
      <c r="B208" s="53" t="s">
        <v>486</v>
      </c>
      <c r="C208" s="54" t="s">
        <v>487</v>
      </c>
      <c r="D208" s="55" t="s">
        <v>191</v>
      </c>
      <c r="E208" s="54" t="s">
        <v>192</v>
      </c>
      <c r="F208" s="55" t="s">
        <v>175</v>
      </c>
      <c r="G208" s="55" t="s">
        <v>330</v>
      </c>
      <c r="H208" s="54" t="s">
        <v>331</v>
      </c>
      <c r="I208" s="53" t="s">
        <v>336</v>
      </c>
      <c r="J208" s="54" t="s">
        <v>337</v>
      </c>
      <c r="K208" s="0" t="n">
        <v>1</v>
      </c>
      <c r="L208" s="0" t="n">
        <v>120</v>
      </c>
      <c r="M208" s="0" t="n">
        <v>0</v>
      </c>
      <c r="N208" s="0" t="n">
        <v>120</v>
      </c>
      <c r="P208" s="0" t="n">
        <v>0</v>
      </c>
      <c r="Q208" s="0" t="n">
        <v>371</v>
      </c>
      <c r="R208" s="54" t="s">
        <v>180</v>
      </c>
      <c r="S208" s="0" t="n">
        <v>0.08</v>
      </c>
      <c r="U208" s="31" t="n">
        <f aca="false">IF($B208&lt;&gt;'設定（最初に1回）'!$C$4,N(U207),IF(COUNTIFS(①今日の在庫を貼る!$B$6:$B$10005,$B208,①今日の在庫を貼る!$I$6:$I$10005,$I208)&gt;0,N(U207),N(U207)+1))</f>
        <v>2</v>
      </c>
    </row>
    <row r="209" customFormat="false" ht="15" hidden="false" customHeight="false" outlineLevel="0" collapsed="false">
      <c r="A209" s="0" t="n">
        <v>20260301</v>
      </c>
      <c r="B209" s="53" t="s">
        <v>486</v>
      </c>
      <c r="C209" s="54" t="s">
        <v>487</v>
      </c>
      <c r="D209" s="55" t="s">
        <v>191</v>
      </c>
      <c r="E209" s="54" t="s">
        <v>192</v>
      </c>
      <c r="F209" s="55" t="s">
        <v>175</v>
      </c>
      <c r="G209" s="55" t="s">
        <v>330</v>
      </c>
      <c r="H209" s="54" t="s">
        <v>331</v>
      </c>
      <c r="I209" s="53" t="s">
        <v>338</v>
      </c>
      <c r="J209" s="54" t="s">
        <v>339</v>
      </c>
      <c r="K209" s="0" t="n">
        <v>1</v>
      </c>
      <c r="L209" s="0" t="n">
        <v>63</v>
      </c>
      <c r="M209" s="0" t="n">
        <v>0</v>
      </c>
      <c r="N209" s="0" t="n">
        <v>63</v>
      </c>
      <c r="P209" s="0" t="n">
        <v>0</v>
      </c>
      <c r="Q209" s="0" t="n">
        <v>822</v>
      </c>
      <c r="R209" s="54" t="s">
        <v>180</v>
      </c>
      <c r="S209" s="0" t="n">
        <v>0.08</v>
      </c>
      <c r="U209" s="31" t="n">
        <f aca="false">IF($B209&lt;&gt;'設定（最初に1回）'!$C$4,N(U208),IF(COUNTIFS(①今日の在庫を貼る!$B$6:$B$10005,$B209,①今日の在庫を貼る!$I$6:$I$10005,$I209)&gt;0,N(U208),N(U208)+1))</f>
        <v>2</v>
      </c>
    </row>
    <row r="210" customFormat="false" ht="15" hidden="false" customHeight="false" outlineLevel="0" collapsed="false">
      <c r="A210" s="0" t="n">
        <v>20260301</v>
      </c>
      <c r="B210" s="53" t="s">
        <v>486</v>
      </c>
      <c r="C210" s="54" t="s">
        <v>487</v>
      </c>
      <c r="D210" s="55" t="s">
        <v>191</v>
      </c>
      <c r="E210" s="54" t="s">
        <v>192</v>
      </c>
      <c r="F210" s="55" t="s">
        <v>175</v>
      </c>
      <c r="G210" s="55" t="s">
        <v>340</v>
      </c>
      <c r="H210" s="54" t="s">
        <v>341</v>
      </c>
      <c r="I210" s="53" t="s">
        <v>342</v>
      </c>
      <c r="J210" s="54" t="s">
        <v>343</v>
      </c>
      <c r="K210" s="0" t="n">
        <v>50</v>
      </c>
      <c r="L210" s="0" t="n">
        <v>0</v>
      </c>
      <c r="M210" s="0" t="n">
        <v>5</v>
      </c>
      <c r="N210" s="0" t="n">
        <v>5</v>
      </c>
      <c r="P210" s="0" t="n">
        <v>0</v>
      </c>
      <c r="Q210" s="0" t="n">
        <v>274</v>
      </c>
      <c r="R210" s="54" t="s">
        <v>180</v>
      </c>
      <c r="S210" s="0" t="n">
        <v>0.1</v>
      </c>
      <c r="U210" s="31" t="n">
        <f aca="false">IF($B210&lt;&gt;'設定（最初に1回）'!$C$4,N(U209),IF(COUNTIFS(①今日の在庫を貼る!$B$6:$B$10005,$B210,①今日の在庫を貼る!$I$6:$I$10005,$I210)&gt;0,N(U209),N(U209)+1))</f>
        <v>2</v>
      </c>
    </row>
    <row r="211" customFormat="false" ht="15" hidden="false" customHeight="false" outlineLevel="0" collapsed="false">
      <c r="A211" s="0" t="n">
        <v>20260301</v>
      </c>
      <c r="B211" s="53" t="s">
        <v>486</v>
      </c>
      <c r="C211" s="54" t="s">
        <v>487</v>
      </c>
      <c r="D211" s="55" t="s">
        <v>191</v>
      </c>
      <c r="E211" s="54" t="s">
        <v>192</v>
      </c>
      <c r="F211" s="55" t="s">
        <v>175</v>
      </c>
      <c r="G211" s="55" t="s">
        <v>340</v>
      </c>
      <c r="H211" s="54" t="s">
        <v>341</v>
      </c>
      <c r="I211" s="53" t="s">
        <v>344</v>
      </c>
      <c r="J211" s="54" t="s">
        <v>345</v>
      </c>
      <c r="K211" s="0" t="n">
        <v>50</v>
      </c>
      <c r="L211" s="0" t="n">
        <v>0</v>
      </c>
      <c r="M211" s="0" t="n">
        <v>11</v>
      </c>
      <c r="N211" s="0" t="n">
        <v>11</v>
      </c>
      <c r="P211" s="0" t="n">
        <v>0</v>
      </c>
      <c r="Q211" s="0" t="n">
        <v>393</v>
      </c>
      <c r="R211" s="54" t="s">
        <v>180</v>
      </c>
      <c r="S211" s="0" t="n">
        <v>0.1</v>
      </c>
      <c r="U211" s="31" t="n">
        <f aca="false">IF($B211&lt;&gt;'設定（最初に1回）'!$C$4,N(U210),IF(COUNTIFS(①今日の在庫を貼る!$B$6:$B$10005,$B211,①今日の在庫を貼る!$I$6:$I$10005,$I211)&gt;0,N(U210),N(U210)+1))</f>
        <v>2</v>
      </c>
    </row>
    <row r="212" customFormat="false" ht="15" hidden="false" customHeight="false" outlineLevel="0" collapsed="false">
      <c r="A212" s="0" t="n">
        <v>20260301</v>
      </c>
      <c r="B212" s="53" t="s">
        <v>486</v>
      </c>
      <c r="C212" s="54" t="s">
        <v>487</v>
      </c>
      <c r="D212" s="55" t="s">
        <v>191</v>
      </c>
      <c r="E212" s="54" t="s">
        <v>192</v>
      </c>
      <c r="F212" s="55" t="s">
        <v>175</v>
      </c>
      <c r="G212" s="55" t="s">
        <v>346</v>
      </c>
      <c r="H212" s="54" t="s">
        <v>347</v>
      </c>
      <c r="I212" s="53" t="s">
        <v>348</v>
      </c>
      <c r="J212" s="54" t="s">
        <v>349</v>
      </c>
      <c r="K212" s="0" t="n">
        <v>1000</v>
      </c>
      <c r="L212" s="0" t="n">
        <v>21</v>
      </c>
      <c r="M212" s="0" t="n">
        <v>330</v>
      </c>
      <c r="N212" s="0" t="n">
        <v>21330</v>
      </c>
      <c r="P212" s="0" t="n">
        <v>0</v>
      </c>
      <c r="Q212" s="0" t="n">
        <v>9</v>
      </c>
      <c r="R212" s="54" t="s">
        <v>180</v>
      </c>
      <c r="S212" s="0" t="n">
        <v>0.1</v>
      </c>
      <c r="U212" s="31" t="n">
        <f aca="false">IF($B212&lt;&gt;'設定（最初に1回）'!$C$4,N(U211),IF(COUNTIFS(①今日の在庫を貼る!$B$6:$B$10005,$B212,①今日の在庫を貼る!$I$6:$I$10005,$I212)&gt;0,N(U211),N(U211)+1))</f>
        <v>2</v>
      </c>
    </row>
    <row r="213" customFormat="false" ht="15" hidden="false" customHeight="false" outlineLevel="0" collapsed="false">
      <c r="A213" s="0" t="n">
        <v>20260301</v>
      </c>
      <c r="B213" s="53" t="s">
        <v>486</v>
      </c>
      <c r="C213" s="54" t="s">
        <v>487</v>
      </c>
      <c r="D213" s="55" t="s">
        <v>191</v>
      </c>
      <c r="E213" s="54" t="s">
        <v>192</v>
      </c>
      <c r="F213" s="55" t="s">
        <v>175</v>
      </c>
      <c r="G213" s="55" t="s">
        <v>346</v>
      </c>
      <c r="H213" s="54" t="s">
        <v>347</v>
      </c>
      <c r="I213" s="53" t="s">
        <v>350</v>
      </c>
      <c r="J213" s="54" t="s">
        <v>351</v>
      </c>
      <c r="K213" s="0" t="n">
        <v>2000</v>
      </c>
      <c r="L213" s="0" t="n">
        <v>14</v>
      </c>
      <c r="M213" s="0" t="n">
        <v>164</v>
      </c>
      <c r="N213" s="0" t="n">
        <v>28164</v>
      </c>
      <c r="P213" s="0" t="n">
        <v>0</v>
      </c>
      <c r="Q213" s="0" t="n">
        <v>5.6</v>
      </c>
      <c r="R213" s="54" t="s">
        <v>180</v>
      </c>
      <c r="S213" s="0" t="n">
        <v>0.1</v>
      </c>
      <c r="U213" s="31" t="n">
        <f aca="false">IF($B213&lt;&gt;'設定（最初に1回）'!$C$4,N(U212),IF(COUNTIFS(①今日の在庫を貼る!$B$6:$B$10005,$B213,①今日の在庫を貼る!$I$6:$I$10005,$I213)&gt;0,N(U212),N(U212)+1))</f>
        <v>2</v>
      </c>
    </row>
    <row r="214" customFormat="false" ht="15" hidden="false" customHeight="false" outlineLevel="0" collapsed="false">
      <c r="A214" s="0" t="n">
        <v>20260301</v>
      </c>
      <c r="B214" s="53" t="s">
        <v>486</v>
      </c>
      <c r="C214" s="54" t="s">
        <v>487</v>
      </c>
      <c r="D214" s="55" t="s">
        <v>191</v>
      </c>
      <c r="E214" s="54" t="s">
        <v>192</v>
      </c>
      <c r="F214" s="55" t="s">
        <v>175</v>
      </c>
      <c r="G214" s="55" t="s">
        <v>346</v>
      </c>
      <c r="H214" s="54" t="s">
        <v>347</v>
      </c>
      <c r="I214" s="53" t="s">
        <v>352</v>
      </c>
      <c r="J214" s="54" t="s">
        <v>353</v>
      </c>
      <c r="K214" s="0" t="n">
        <v>1500</v>
      </c>
      <c r="L214" s="0" t="n">
        <v>3</v>
      </c>
      <c r="M214" s="0" t="n">
        <v>834</v>
      </c>
      <c r="N214" s="0" t="n">
        <v>5334</v>
      </c>
      <c r="P214" s="0" t="n">
        <v>0</v>
      </c>
      <c r="Q214" s="0" t="n">
        <v>9</v>
      </c>
      <c r="R214" s="54" t="s">
        <v>180</v>
      </c>
      <c r="S214" s="0" t="n">
        <v>0.1</v>
      </c>
      <c r="U214" s="31" t="n">
        <f aca="false">IF($B214&lt;&gt;'設定（最初に1回）'!$C$4,N(U213),IF(COUNTIFS(①今日の在庫を貼る!$B$6:$B$10005,$B214,①今日の在庫を貼る!$I$6:$I$10005,$I214)&gt;0,N(U213),N(U213)+1))</f>
        <v>2</v>
      </c>
    </row>
    <row r="215" customFormat="false" ht="15" hidden="false" customHeight="false" outlineLevel="0" collapsed="false">
      <c r="A215" s="0" t="n">
        <v>20260301</v>
      </c>
      <c r="B215" s="53" t="s">
        <v>486</v>
      </c>
      <c r="C215" s="54" t="s">
        <v>487</v>
      </c>
      <c r="D215" s="55" t="s">
        <v>191</v>
      </c>
      <c r="E215" s="54" t="s">
        <v>192</v>
      </c>
      <c r="F215" s="55" t="s">
        <v>175</v>
      </c>
      <c r="G215" s="55" t="s">
        <v>346</v>
      </c>
      <c r="H215" s="54" t="s">
        <v>347</v>
      </c>
      <c r="I215" s="53" t="s">
        <v>354</v>
      </c>
      <c r="J215" s="54" t="s">
        <v>355</v>
      </c>
      <c r="K215" s="0" t="n">
        <v>3000</v>
      </c>
      <c r="L215" s="0" t="n">
        <v>4</v>
      </c>
      <c r="M215" s="0" t="n">
        <v>65</v>
      </c>
      <c r="N215" s="0" t="n">
        <v>12065</v>
      </c>
      <c r="P215" s="0" t="n">
        <v>0</v>
      </c>
      <c r="Q215" s="0" t="n">
        <v>3.26</v>
      </c>
      <c r="R215" s="54" t="s">
        <v>180</v>
      </c>
      <c r="S215" s="0" t="n">
        <v>0.1</v>
      </c>
      <c r="U215" s="31" t="n">
        <f aca="false">IF($B215&lt;&gt;'設定（最初に1回）'!$C$4,N(U214),IF(COUNTIFS(①今日の在庫を貼る!$B$6:$B$10005,$B215,①今日の在庫を貼る!$I$6:$I$10005,$I215)&gt;0,N(U214),N(U214)+1))</f>
        <v>2</v>
      </c>
    </row>
    <row r="216" customFormat="false" ht="15" hidden="false" customHeight="false" outlineLevel="0" collapsed="false">
      <c r="A216" s="0" t="n">
        <v>20260301</v>
      </c>
      <c r="B216" s="53" t="s">
        <v>486</v>
      </c>
      <c r="C216" s="54" t="s">
        <v>487</v>
      </c>
      <c r="D216" s="55" t="s">
        <v>191</v>
      </c>
      <c r="E216" s="54" t="s">
        <v>192</v>
      </c>
      <c r="F216" s="55" t="s">
        <v>175</v>
      </c>
      <c r="G216" s="55" t="s">
        <v>346</v>
      </c>
      <c r="H216" s="54" t="s">
        <v>347</v>
      </c>
      <c r="I216" s="53" t="s">
        <v>356</v>
      </c>
      <c r="J216" s="54" t="s">
        <v>357</v>
      </c>
      <c r="K216" s="0" t="n">
        <v>10000</v>
      </c>
      <c r="L216" s="0" t="n">
        <v>0</v>
      </c>
      <c r="M216" s="0" t="n">
        <v>4</v>
      </c>
      <c r="N216" s="0" t="n">
        <v>4</v>
      </c>
      <c r="P216" s="0" t="n">
        <v>0</v>
      </c>
      <c r="Q216" s="0" t="n">
        <v>1.05</v>
      </c>
      <c r="R216" s="54" t="s">
        <v>180</v>
      </c>
      <c r="S216" s="0" t="n">
        <v>0.1</v>
      </c>
      <c r="U216" s="31" t="n">
        <f aca="false">IF($B216&lt;&gt;'設定（最初に1回）'!$C$4,N(U215),IF(COUNTIFS(①今日の在庫を貼る!$B$6:$B$10005,$B216,①今日の在庫を貼る!$I$6:$I$10005,$I216)&gt;0,N(U215),N(U215)+1))</f>
        <v>2</v>
      </c>
    </row>
    <row r="217" customFormat="false" ht="15" hidden="false" customHeight="false" outlineLevel="0" collapsed="false">
      <c r="A217" s="0" t="n">
        <v>20260301</v>
      </c>
      <c r="B217" s="53" t="s">
        <v>486</v>
      </c>
      <c r="C217" s="54" t="s">
        <v>487</v>
      </c>
      <c r="D217" s="55" t="s">
        <v>191</v>
      </c>
      <c r="E217" s="54" t="s">
        <v>192</v>
      </c>
      <c r="F217" s="55" t="s">
        <v>175</v>
      </c>
      <c r="G217" s="55" t="s">
        <v>346</v>
      </c>
      <c r="H217" s="54" t="s">
        <v>347</v>
      </c>
      <c r="I217" s="53" t="s">
        <v>358</v>
      </c>
      <c r="J217" s="54" t="s">
        <v>359</v>
      </c>
      <c r="K217" s="0" t="n">
        <v>10000</v>
      </c>
      <c r="L217" s="0" t="n">
        <v>0</v>
      </c>
      <c r="M217" s="0" t="n">
        <v>1</v>
      </c>
      <c r="N217" s="0" t="n">
        <v>1</v>
      </c>
      <c r="P217" s="0" t="n">
        <v>0</v>
      </c>
      <c r="Q217" s="0" t="n">
        <v>1.05</v>
      </c>
      <c r="R217" s="54" t="s">
        <v>180</v>
      </c>
      <c r="S217" s="0" t="n">
        <v>0.1</v>
      </c>
      <c r="U217" s="31" t="n">
        <f aca="false">IF($B217&lt;&gt;'設定（最初に1回）'!$C$4,N(U216),IF(COUNTIFS(①今日の在庫を貼る!$B$6:$B$10005,$B217,①今日の在庫を貼る!$I$6:$I$10005,$I217)&gt;0,N(U216),N(U216)+1))</f>
        <v>2</v>
      </c>
    </row>
    <row r="218" customFormat="false" ht="15" hidden="false" customHeight="false" outlineLevel="0" collapsed="false">
      <c r="A218" s="0" t="n">
        <v>20260301</v>
      </c>
      <c r="B218" s="53" t="s">
        <v>486</v>
      </c>
      <c r="C218" s="54" t="s">
        <v>487</v>
      </c>
      <c r="D218" s="55" t="s">
        <v>191</v>
      </c>
      <c r="E218" s="54" t="s">
        <v>192</v>
      </c>
      <c r="F218" s="55" t="s">
        <v>175</v>
      </c>
      <c r="G218" s="55" t="s">
        <v>346</v>
      </c>
      <c r="H218" s="54" t="s">
        <v>347</v>
      </c>
      <c r="I218" s="53" t="s">
        <v>360</v>
      </c>
      <c r="J218" s="54" t="s">
        <v>361</v>
      </c>
      <c r="K218" s="0" t="n">
        <v>200</v>
      </c>
      <c r="L218" s="0" t="n">
        <v>43</v>
      </c>
      <c r="M218" s="0" t="n">
        <v>63</v>
      </c>
      <c r="N218" s="0" t="n">
        <v>8663</v>
      </c>
      <c r="P218" s="0" t="n">
        <v>0</v>
      </c>
      <c r="Q218" s="0" t="n">
        <v>5.03</v>
      </c>
      <c r="R218" s="54" t="s">
        <v>180</v>
      </c>
      <c r="S218" s="0" t="n">
        <v>0.1</v>
      </c>
      <c r="U218" s="31" t="n">
        <f aca="false">IF($B218&lt;&gt;'設定（最初に1回）'!$C$4,N(U217),IF(COUNTIFS(①今日の在庫を貼る!$B$6:$B$10005,$B218,①今日の在庫を貼る!$I$6:$I$10005,$I218)&gt;0,N(U217),N(U217)+1))</f>
        <v>2</v>
      </c>
    </row>
    <row r="219" customFormat="false" ht="15" hidden="false" customHeight="false" outlineLevel="0" collapsed="false">
      <c r="A219" s="0" t="n">
        <v>20260301</v>
      </c>
      <c r="B219" s="53" t="s">
        <v>486</v>
      </c>
      <c r="C219" s="54" t="s">
        <v>487</v>
      </c>
      <c r="D219" s="55" t="s">
        <v>191</v>
      </c>
      <c r="E219" s="54" t="s">
        <v>192</v>
      </c>
      <c r="F219" s="55" t="s">
        <v>175</v>
      </c>
      <c r="G219" s="55" t="s">
        <v>346</v>
      </c>
      <c r="H219" s="54" t="s">
        <v>347</v>
      </c>
      <c r="I219" s="53" t="s">
        <v>362</v>
      </c>
      <c r="J219" s="54" t="s">
        <v>363</v>
      </c>
      <c r="K219" s="0" t="n">
        <v>1000</v>
      </c>
      <c r="L219" s="0" t="n">
        <v>5</v>
      </c>
      <c r="M219" s="0" t="n">
        <v>383</v>
      </c>
      <c r="N219" s="0" t="n">
        <v>5383</v>
      </c>
      <c r="P219" s="0" t="n">
        <v>0</v>
      </c>
      <c r="Q219" s="0" t="n">
        <v>4.56</v>
      </c>
      <c r="R219" s="54" t="s">
        <v>180</v>
      </c>
      <c r="S219" s="0" t="n">
        <v>0.1</v>
      </c>
      <c r="U219" s="31" t="n">
        <f aca="false">IF($B219&lt;&gt;'設定（最初に1回）'!$C$4,N(U218),IF(COUNTIFS(①今日の在庫を貼る!$B$6:$B$10005,$B219,①今日の在庫を貼る!$I$6:$I$10005,$I219)&gt;0,N(U218),N(U218)+1))</f>
        <v>2</v>
      </c>
    </row>
    <row r="220" customFormat="false" ht="15" hidden="false" customHeight="false" outlineLevel="0" collapsed="false">
      <c r="A220" s="0" t="n">
        <v>20260301</v>
      </c>
      <c r="B220" s="53" t="s">
        <v>486</v>
      </c>
      <c r="C220" s="54" t="s">
        <v>487</v>
      </c>
      <c r="D220" s="55" t="s">
        <v>191</v>
      </c>
      <c r="E220" s="54" t="s">
        <v>192</v>
      </c>
      <c r="F220" s="55" t="s">
        <v>175</v>
      </c>
      <c r="G220" s="55" t="s">
        <v>346</v>
      </c>
      <c r="H220" s="54" t="s">
        <v>347</v>
      </c>
      <c r="I220" s="53" t="s">
        <v>364</v>
      </c>
      <c r="J220" s="54" t="s">
        <v>365</v>
      </c>
      <c r="K220" s="0" t="n">
        <v>600</v>
      </c>
      <c r="L220" s="0" t="n">
        <v>37</v>
      </c>
      <c r="M220" s="0" t="n">
        <v>220</v>
      </c>
      <c r="N220" s="0" t="n">
        <v>22420</v>
      </c>
      <c r="P220" s="0" t="n">
        <v>0</v>
      </c>
      <c r="Q220" s="0" t="n">
        <v>8.93</v>
      </c>
      <c r="R220" s="54" t="s">
        <v>180</v>
      </c>
      <c r="S220" s="0" t="n">
        <v>0.1</v>
      </c>
      <c r="U220" s="31" t="n">
        <f aca="false">IF($B220&lt;&gt;'設定（最初に1回）'!$C$4,N(U219),IF(COUNTIFS(①今日の在庫を貼る!$B$6:$B$10005,$B220,①今日の在庫を貼る!$I$6:$I$10005,$I220)&gt;0,N(U219),N(U219)+1))</f>
        <v>2</v>
      </c>
    </row>
    <row r="221" customFormat="false" ht="15" hidden="false" customHeight="false" outlineLevel="0" collapsed="false">
      <c r="A221" s="0" t="n">
        <v>20260301</v>
      </c>
      <c r="B221" s="53" t="s">
        <v>486</v>
      </c>
      <c r="C221" s="54" t="s">
        <v>487</v>
      </c>
      <c r="D221" s="55" t="s">
        <v>191</v>
      </c>
      <c r="E221" s="54" t="s">
        <v>192</v>
      </c>
      <c r="F221" s="55" t="s">
        <v>175</v>
      </c>
      <c r="G221" s="55" t="s">
        <v>346</v>
      </c>
      <c r="H221" s="54" t="s">
        <v>347</v>
      </c>
      <c r="I221" s="53" t="s">
        <v>366</v>
      </c>
      <c r="J221" s="54" t="s">
        <v>367</v>
      </c>
      <c r="K221" s="0" t="n">
        <v>300</v>
      </c>
      <c r="L221" s="0" t="n">
        <v>97</v>
      </c>
      <c r="M221" s="0" t="n">
        <v>28</v>
      </c>
      <c r="N221" s="0" t="n">
        <v>29128</v>
      </c>
      <c r="P221" s="0" t="n">
        <v>0</v>
      </c>
      <c r="Q221" s="0" t="n">
        <v>15.66</v>
      </c>
      <c r="R221" s="54" t="s">
        <v>180</v>
      </c>
      <c r="S221" s="0" t="n">
        <v>0.1</v>
      </c>
      <c r="U221" s="31" t="n">
        <f aca="false">IF($B221&lt;&gt;'設定（最初に1回）'!$C$4,N(U220),IF(COUNTIFS(①今日の在庫を貼る!$B$6:$B$10005,$B221,①今日の在庫を貼る!$I$6:$I$10005,$I221)&gt;0,N(U220),N(U220)+1))</f>
        <v>2</v>
      </c>
    </row>
    <row r="222" customFormat="false" ht="15" hidden="false" customHeight="false" outlineLevel="0" collapsed="false">
      <c r="A222" s="0" t="n">
        <v>20260301</v>
      </c>
      <c r="B222" s="53" t="s">
        <v>486</v>
      </c>
      <c r="C222" s="54" t="s">
        <v>487</v>
      </c>
      <c r="D222" s="55" t="s">
        <v>191</v>
      </c>
      <c r="E222" s="54" t="s">
        <v>192</v>
      </c>
      <c r="F222" s="55" t="s">
        <v>175</v>
      </c>
      <c r="G222" s="55" t="s">
        <v>346</v>
      </c>
      <c r="H222" s="54" t="s">
        <v>347</v>
      </c>
      <c r="I222" s="53" t="s">
        <v>368</v>
      </c>
      <c r="J222" s="54" t="s">
        <v>369</v>
      </c>
      <c r="K222" s="0" t="n">
        <v>300</v>
      </c>
      <c r="L222" s="0" t="n">
        <v>82</v>
      </c>
      <c r="M222" s="0" t="n">
        <v>167</v>
      </c>
      <c r="N222" s="0" t="n">
        <v>24767</v>
      </c>
      <c r="P222" s="0" t="n">
        <v>0</v>
      </c>
      <c r="Q222" s="0" t="n">
        <v>18.55</v>
      </c>
      <c r="R222" s="54" t="s">
        <v>180</v>
      </c>
      <c r="S222" s="0" t="n">
        <v>0.1</v>
      </c>
      <c r="U222" s="31" t="n">
        <f aca="false">IF($B222&lt;&gt;'設定（最初に1回）'!$C$4,N(U221),IF(COUNTIFS(①今日の在庫を貼る!$B$6:$B$10005,$B222,①今日の在庫を貼る!$I$6:$I$10005,$I222)&gt;0,N(U221),N(U221)+1))</f>
        <v>2</v>
      </c>
    </row>
    <row r="223" customFormat="false" ht="15" hidden="false" customHeight="false" outlineLevel="0" collapsed="false">
      <c r="A223" s="0" t="n">
        <v>20260301</v>
      </c>
      <c r="B223" s="53" t="s">
        <v>486</v>
      </c>
      <c r="C223" s="54" t="s">
        <v>487</v>
      </c>
      <c r="D223" s="55" t="s">
        <v>191</v>
      </c>
      <c r="E223" s="54" t="s">
        <v>192</v>
      </c>
      <c r="F223" s="55" t="s">
        <v>175</v>
      </c>
      <c r="G223" s="55" t="s">
        <v>346</v>
      </c>
      <c r="H223" s="54" t="s">
        <v>347</v>
      </c>
      <c r="I223" s="53" t="s">
        <v>370</v>
      </c>
      <c r="J223" s="54" t="s">
        <v>371</v>
      </c>
      <c r="K223" s="0" t="n">
        <v>240</v>
      </c>
      <c r="L223" s="0" t="n">
        <v>8</v>
      </c>
      <c r="M223" s="0" t="n">
        <v>57</v>
      </c>
      <c r="N223" s="0" t="n">
        <v>1977</v>
      </c>
      <c r="P223" s="0" t="n">
        <v>0</v>
      </c>
      <c r="Q223" s="0" t="n">
        <v>57.35</v>
      </c>
      <c r="R223" s="54" t="s">
        <v>180</v>
      </c>
      <c r="S223" s="0" t="n">
        <v>0.1</v>
      </c>
      <c r="U223" s="31" t="n">
        <f aca="false">IF($B223&lt;&gt;'設定（最初に1回）'!$C$4,N(U222),IF(COUNTIFS(①今日の在庫を貼る!$B$6:$B$10005,$B223,①今日の在庫を貼る!$I$6:$I$10005,$I223)&gt;0,N(U222),N(U222)+1))</f>
        <v>2</v>
      </c>
    </row>
    <row r="224" customFormat="false" ht="15" hidden="false" customHeight="false" outlineLevel="0" collapsed="false">
      <c r="A224" s="0" t="n">
        <v>20260301</v>
      </c>
      <c r="B224" s="53" t="s">
        <v>486</v>
      </c>
      <c r="C224" s="54" t="s">
        <v>487</v>
      </c>
      <c r="D224" s="55" t="s">
        <v>191</v>
      </c>
      <c r="E224" s="54" t="s">
        <v>192</v>
      </c>
      <c r="F224" s="55" t="s">
        <v>175</v>
      </c>
      <c r="G224" s="55" t="s">
        <v>346</v>
      </c>
      <c r="H224" s="54" t="s">
        <v>347</v>
      </c>
      <c r="I224" s="53" t="s">
        <v>372</v>
      </c>
      <c r="J224" s="54" t="s">
        <v>373</v>
      </c>
      <c r="K224" s="0" t="n">
        <v>100</v>
      </c>
      <c r="L224" s="0" t="n">
        <v>13</v>
      </c>
      <c r="M224" s="0" t="n">
        <v>62</v>
      </c>
      <c r="N224" s="0" t="n">
        <v>1362</v>
      </c>
      <c r="P224" s="0" t="n">
        <v>0</v>
      </c>
      <c r="Q224" s="0" t="n">
        <v>6.67</v>
      </c>
      <c r="R224" s="54" t="s">
        <v>180</v>
      </c>
      <c r="S224" s="0" t="n">
        <v>0.1</v>
      </c>
      <c r="U224" s="31" t="n">
        <f aca="false">IF($B224&lt;&gt;'設定（最初に1回）'!$C$4,N(U223),IF(COUNTIFS(①今日の在庫を貼る!$B$6:$B$10005,$B224,①今日の在庫を貼る!$I$6:$I$10005,$I224)&gt;0,N(U223),N(U223)+1))</f>
        <v>2</v>
      </c>
    </row>
    <row r="225" customFormat="false" ht="15" hidden="false" customHeight="false" outlineLevel="0" collapsed="false">
      <c r="A225" s="0" t="n">
        <v>20260301</v>
      </c>
      <c r="B225" s="53" t="s">
        <v>486</v>
      </c>
      <c r="C225" s="54" t="s">
        <v>487</v>
      </c>
      <c r="D225" s="55" t="s">
        <v>191</v>
      </c>
      <c r="E225" s="54" t="s">
        <v>192</v>
      </c>
      <c r="F225" s="55" t="s">
        <v>175</v>
      </c>
      <c r="G225" s="55" t="s">
        <v>346</v>
      </c>
      <c r="H225" s="54" t="s">
        <v>347</v>
      </c>
      <c r="I225" s="53" t="s">
        <v>374</v>
      </c>
      <c r="J225" s="54" t="s">
        <v>375</v>
      </c>
      <c r="K225" s="0" t="n">
        <v>1500</v>
      </c>
      <c r="L225" s="0" t="n">
        <v>5</v>
      </c>
      <c r="M225" s="0" t="n">
        <v>786</v>
      </c>
      <c r="N225" s="0" t="n">
        <v>8286</v>
      </c>
      <c r="P225" s="0" t="n">
        <v>0</v>
      </c>
      <c r="Q225" s="0" t="n">
        <v>5.71</v>
      </c>
      <c r="R225" s="54" t="s">
        <v>180</v>
      </c>
      <c r="S225" s="0" t="n">
        <v>0.1</v>
      </c>
      <c r="U225" s="31" t="n">
        <f aca="false">IF($B225&lt;&gt;'設定（最初に1回）'!$C$4,N(U224),IF(COUNTIFS(①今日の在庫を貼る!$B$6:$B$10005,$B225,①今日の在庫を貼る!$I$6:$I$10005,$I225)&gt;0,N(U224),N(U224)+1))</f>
        <v>2</v>
      </c>
    </row>
    <row r="226" customFormat="false" ht="15" hidden="false" customHeight="false" outlineLevel="0" collapsed="false">
      <c r="A226" s="0" t="n">
        <v>20260301</v>
      </c>
      <c r="B226" s="53" t="s">
        <v>486</v>
      </c>
      <c r="C226" s="54" t="s">
        <v>487</v>
      </c>
      <c r="D226" s="55" t="s">
        <v>191</v>
      </c>
      <c r="E226" s="54" t="s">
        <v>192</v>
      </c>
      <c r="F226" s="55" t="s">
        <v>175</v>
      </c>
      <c r="G226" s="55" t="s">
        <v>346</v>
      </c>
      <c r="H226" s="54" t="s">
        <v>347</v>
      </c>
      <c r="I226" s="53" t="s">
        <v>376</v>
      </c>
      <c r="J226" s="54" t="s">
        <v>377</v>
      </c>
      <c r="K226" s="0" t="n">
        <v>2000</v>
      </c>
      <c r="L226" s="0" t="n">
        <v>10</v>
      </c>
      <c r="M226" s="0" t="n">
        <v>624</v>
      </c>
      <c r="N226" s="0" t="n">
        <v>20624</v>
      </c>
      <c r="P226" s="0" t="n">
        <v>0</v>
      </c>
      <c r="Q226" s="0" t="n">
        <v>8.26</v>
      </c>
      <c r="R226" s="54" t="s">
        <v>180</v>
      </c>
      <c r="S226" s="0" t="n">
        <v>0.1</v>
      </c>
      <c r="U226" s="31" t="n">
        <f aca="false">IF($B226&lt;&gt;'設定（最初に1回）'!$C$4,N(U225),IF(COUNTIFS(①今日の在庫を貼る!$B$6:$B$10005,$B226,①今日の在庫を貼る!$I$6:$I$10005,$I226)&gt;0,N(U225),N(U225)+1))</f>
        <v>2</v>
      </c>
    </row>
    <row r="227" customFormat="false" ht="15" hidden="false" customHeight="false" outlineLevel="0" collapsed="false">
      <c r="A227" s="0" t="n">
        <v>20260301</v>
      </c>
      <c r="B227" s="53" t="s">
        <v>486</v>
      </c>
      <c r="C227" s="54" t="s">
        <v>487</v>
      </c>
      <c r="D227" s="55" t="s">
        <v>191</v>
      </c>
      <c r="E227" s="54" t="s">
        <v>192</v>
      </c>
      <c r="F227" s="55" t="s">
        <v>175</v>
      </c>
      <c r="G227" s="55" t="s">
        <v>346</v>
      </c>
      <c r="H227" s="54" t="s">
        <v>347</v>
      </c>
      <c r="I227" s="53" t="s">
        <v>378</v>
      </c>
      <c r="J227" s="54" t="s">
        <v>379</v>
      </c>
      <c r="K227" s="0" t="n">
        <v>300</v>
      </c>
      <c r="L227" s="0" t="n">
        <v>7</v>
      </c>
      <c r="M227" s="0" t="n">
        <v>15</v>
      </c>
      <c r="N227" s="0" t="n">
        <v>2115</v>
      </c>
      <c r="P227" s="0" t="n">
        <v>0</v>
      </c>
      <c r="Q227" s="0" t="n">
        <v>23.2</v>
      </c>
      <c r="R227" s="54" t="s">
        <v>180</v>
      </c>
      <c r="S227" s="0" t="n">
        <v>0.1</v>
      </c>
      <c r="U227" s="31" t="n">
        <f aca="false">IF($B227&lt;&gt;'設定（最初に1回）'!$C$4,N(U226),IF(COUNTIFS(①今日の在庫を貼る!$B$6:$B$10005,$B227,①今日の在庫を貼る!$I$6:$I$10005,$I227)&gt;0,N(U226),N(U226)+1))</f>
        <v>2</v>
      </c>
    </row>
    <row r="228" customFormat="false" ht="15" hidden="false" customHeight="false" outlineLevel="0" collapsed="false">
      <c r="A228" s="0" t="n">
        <v>20260301</v>
      </c>
      <c r="B228" s="53" t="s">
        <v>486</v>
      </c>
      <c r="C228" s="54" t="s">
        <v>487</v>
      </c>
      <c r="D228" s="55" t="s">
        <v>191</v>
      </c>
      <c r="E228" s="54" t="s">
        <v>192</v>
      </c>
      <c r="F228" s="55" t="s">
        <v>175</v>
      </c>
      <c r="G228" s="55" t="s">
        <v>346</v>
      </c>
      <c r="H228" s="54" t="s">
        <v>347</v>
      </c>
      <c r="I228" s="53" t="s">
        <v>380</v>
      </c>
      <c r="J228" s="54" t="s">
        <v>381</v>
      </c>
      <c r="K228" s="0" t="n">
        <v>2000</v>
      </c>
      <c r="L228" s="0" t="n">
        <v>9</v>
      </c>
      <c r="M228" s="0" t="n">
        <v>182</v>
      </c>
      <c r="N228" s="0" t="n">
        <v>18182</v>
      </c>
      <c r="P228" s="0" t="n">
        <v>0</v>
      </c>
      <c r="Q228" s="0" t="n">
        <v>4.41</v>
      </c>
      <c r="R228" s="54" t="s">
        <v>180</v>
      </c>
      <c r="S228" s="0" t="n">
        <v>0.1</v>
      </c>
      <c r="U228" s="31" t="n">
        <f aca="false">IF($B228&lt;&gt;'設定（最初に1回）'!$C$4,N(U227),IF(COUNTIFS(①今日の在庫を貼る!$B$6:$B$10005,$B228,①今日の在庫を貼る!$I$6:$I$10005,$I228)&gt;0,N(U227),N(U227)+1))</f>
        <v>2</v>
      </c>
    </row>
    <row r="229" customFormat="false" ht="15" hidden="false" customHeight="false" outlineLevel="0" collapsed="false">
      <c r="A229" s="0" t="n">
        <v>20260301</v>
      </c>
      <c r="B229" s="53" t="s">
        <v>486</v>
      </c>
      <c r="C229" s="54" t="s">
        <v>487</v>
      </c>
      <c r="D229" s="55" t="s">
        <v>191</v>
      </c>
      <c r="E229" s="54" t="s">
        <v>192</v>
      </c>
      <c r="F229" s="55" t="s">
        <v>175</v>
      </c>
      <c r="G229" s="55" t="s">
        <v>346</v>
      </c>
      <c r="H229" s="54" t="s">
        <v>347</v>
      </c>
      <c r="I229" s="53" t="s">
        <v>382</v>
      </c>
      <c r="J229" s="54" t="s">
        <v>383</v>
      </c>
      <c r="K229" s="0" t="n">
        <v>1000</v>
      </c>
      <c r="L229" s="0" t="n">
        <v>2</v>
      </c>
      <c r="M229" s="0" t="n">
        <v>393</v>
      </c>
      <c r="N229" s="0" t="n">
        <v>2393</v>
      </c>
      <c r="P229" s="0" t="n">
        <v>0</v>
      </c>
      <c r="Q229" s="0" t="n">
        <v>19.69</v>
      </c>
      <c r="R229" s="54" t="s">
        <v>180</v>
      </c>
      <c r="S229" s="0" t="n">
        <v>0.1</v>
      </c>
      <c r="U229" s="31" t="n">
        <f aca="false">IF($B229&lt;&gt;'設定（最初に1回）'!$C$4,N(U228),IF(COUNTIFS(①今日の在庫を貼る!$B$6:$B$10005,$B229,①今日の在庫を貼る!$I$6:$I$10005,$I229)&gt;0,N(U228),N(U228)+1))</f>
        <v>2</v>
      </c>
    </row>
    <row r="230" customFormat="false" ht="15" hidden="false" customHeight="false" outlineLevel="0" collapsed="false">
      <c r="A230" s="0" t="n">
        <v>20260301</v>
      </c>
      <c r="B230" s="53" t="s">
        <v>486</v>
      </c>
      <c r="C230" s="54" t="s">
        <v>487</v>
      </c>
      <c r="D230" s="55" t="s">
        <v>191</v>
      </c>
      <c r="E230" s="54" t="s">
        <v>192</v>
      </c>
      <c r="F230" s="55" t="s">
        <v>175</v>
      </c>
      <c r="G230" s="55" t="s">
        <v>346</v>
      </c>
      <c r="H230" s="54" t="s">
        <v>347</v>
      </c>
      <c r="I230" s="53" t="s">
        <v>384</v>
      </c>
      <c r="J230" s="54" t="s">
        <v>385</v>
      </c>
      <c r="K230" s="0" t="n">
        <v>1000</v>
      </c>
      <c r="L230" s="0" t="n">
        <v>15</v>
      </c>
      <c r="M230" s="0" t="n">
        <v>326</v>
      </c>
      <c r="N230" s="0" t="n">
        <v>15326</v>
      </c>
      <c r="P230" s="0" t="n">
        <v>0</v>
      </c>
      <c r="Q230" s="0" t="n">
        <v>10.58</v>
      </c>
      <c r="R230" s="54" t="s">
        <v>180</v>
      </c>
      <c r="S230" s="0" t="n">
        <v>0.1</v>
      </c>
      <c r="U230" s="31" t="n">
        <f aca="false">IF($B230&lt;&gt;'設定（最初に1回）'!$C$4,N(U229),IF(COUNTIFS(①今日の在庫を貼る!$B$6:$B$10005,$B230,①今日の在庫を貼る!$I$6:$I$10005,$I230)&gt;0,N(U229),N(U229)+1))</f>
        <v>2</v>
      </c>
    </row>
    <row r="231" customFormat="false" ht="15" hidden="false" customHeight="false" outlineLevel="0" collapsed="false">
      <c r="A231" s="0" t="n">
        <v>20260301</v>
      </c>
      <c r="B231" s="53" t="s">
        <v>486</v>
      </c>
      <c r="C231" s="54" t="s">
        <v>487</v>
      </c>
      <c r="D231" s="55" t="s">
        <v>191</v>
      </c>
      <c r="E231" s="54" t="s">
        <v>192</v>
      </c>
      <c r="F231" s="55" t="s">
        <v>175</v>
      </c>
      <c r="G231" s="55" t="s">
        <v>346</v>
      </c>
      <c r="H231" s="54" t="s">
        <v>347</v>
      </c>
      <c r="I231" s="53" t="s">
        <v>386</v>
      </c>
      <c r="J231" s="54" t="s">
        <v>387</v>
      </c>
      <c r="K231" s="0" t="n">
        <v>5000</v>
      </c>
      <c r="L231" s="0" t="n">
        <v>6</v>
      </c>
      <c r="M231" s="0" t="n">
        <v>499</v>
      </c>
      <c r="N231" s="0" t="n">
        <v>30499</v>
      </c>
      <c r="P231" s="0" t="n">
        <v>0</v>
      </c>
      <c r="Q231" s="0" t="n">
        <v>5.39</v>
      </c>
      <c r="R231" s="54" t="s">
        <v>180</v>
      </c>
      <c r="S231" s="0" t="n">
        <v>0.1</v>
      </c>
      <c r="U231" s="31" t="n">
        <f aca="false">IF($B231&lt;&gt;'設定（最初に1回）'!$C$4,N(U230),IF(COUNTIFS(①今日の在庫を貼る!$B$6:$B$10005,$B231,①今日の在庫を貼る!$I$6:$I$10005,$I231)&gt;0,N(U230),N(U230)+1))</f>
        <v>2</v>
      </c>
    </row>
    <row r="232" customFormat="false" ht="15" hidden="false" customHeight="false" outlineLevel="0" collapsed="false">
      <c r="A232" s="0" t="n">
        <v>20260301</v>
      </c>
      <c r="B232" s="53" t="s">
        <v>486</v>
      </c>
      <c r="C232" s="54" t="s">
        <v>487</v>
      </c>
      <c r="D232" s="55" t="s">
        <v>191</v>
      </c>
      <c r="E232" s="54" t="s">
        <v>192</v>
      </c>
      <c r="F232" s="55" t="s">
        <v>175</v>
      </c>
      <c r="G232" s="55" t="s">
        <v>346</v>
      </c>
      <c r="H232" s="54" t="s">
        <v>347</v>
      </c>
      <c r="I232" s="53" t="s">
        <v>388</v>
      </c>
      <c r="J232" s="54" t="s">
        <v>389</v>
      </c>
      <c r="K232" s="0" t="n">
        <v>400</v>
      </c>
      <c r="L232" s="0" t="n">
        <v>65</v>
      </c>
      <c r="M232" s="0" t="n">
        <v>237</v>
      </c>
      <c r="N232" s="0" t="n">
        <v>26237</v>
      </c>
      <c r="P232" s="0" t="n">
        <v>0</v>
      </c>
      <c r="Q232" s="0" t="n">
        <v>52.02</v>
      </c>
      <c r="R232" s="54" t="s">
        <v>180</v>
      </c>
      <c r="S232" s="0" t="n">
        <v>0.1</v>
      </c>
      <c r="U232" s="31" t="n">
        <f aca="false">IF($B232&lt;&gt;'設定（最初に1回）'!$C$4,N(U231),IF(COUNTIFS(①今日の在庫を貼る!$B$6:$B$10005,$B232,①今日の在庫を貼る!$I$6:$I$10005,$I232)&gt;0,N(U231),N(U231)+1))</f>
        <v>2</v>
      </c>
    </row>
    <row r="233" customFormat="false" ht="15" hidden="false" customHeight="false" outlineLevel="0" collapsed="false">
      <c r="A233" s="0" t="n">
        <v>20260301</v>
      </c>
      <c r="B233" s="53" t="s">
        <v>486</v>
      </c>
      <c r="C233" s="54" t="s">
        <v>487</v>
      </c>
      <c r="D233" s="55" t="s">
        <v>191</v>
      </c>
      <c r="E233" s="54" t="s">
        <v>192</v>
      </c>
      <c r="F233" s="55" t="s">
        <v>175</v>
      </c>
      <c r="G233" s="55" t="s">
        <v>346</v>
      </c>
      <c r="H233" s="54" t="s">
        <v>347</v>
      </c>
      <c r="I233" s="53" t="s">
        <v>390</v>
      </c>
      <c r="J233" s="54" t="s">
        <v>391</v>
      </c>
      <c r="K233" s="0" t="n">
        <v>300</v>
      </c>
      <c r="L233" s="0" t="n">
        <v>7</v>
      </c>
      <c r="M233" s="0" t="n">
        <v>51</v>
      </c>
      <c r="N233" s="0" t="n">
        <v>2151</v>
      </c>
      <c r="P233" s="0" t="n">
        <v>0</v>
      </c>
      <c r="Q233" s="0" t="n">
        <v>82.02</v>
      </c>
      <c r="R233" s="54" t="s">
        <v>180</v>
      </c>
      <c r="S233" s="0" t="n">
        <v>0.1</v>
      </c>
      <c r="U233" s="31" t="n">
        <f aca="false">IF($B233&lt;&gt;'設定（最初に1回）'!$C$4,N(U232),IF(COUNTIFS(①今日の在庫を貼る!$B$6:$B$10005,$B233,①今日の在庫を貼る!$I$6:$I$10005,$I233)&gt;0,N(U232),N(U232)+1))</f>
        <v>2</v>
      </c>
    </row>
    <row r="234" customFormat="false" ht="15" hidden="false" customHeight="false" outlineLevel="0" collapsed="false">
      <c r="A234" s="0" t="n">
        <v>20260301</v>
      </c>
      <c r="B234" s="53" t="s">
        <v>486</v>
      </c>
      <c r="C234" s="54" t="s">
        <v>487</v>
      </c>
      <c r="D234" s="55" t="s">
        <v>191</v>
      </c>
      <c r="E234" s="54" t="s">
        <v>192</v>
      </c>
      <c r="F234" s="55" t="s">
        <v>175</v>
      </c>
      <c r="G234" s="55" t="s">
        <v>346</v>
      </c>
      <c r="H234" s="54" t="s">
        <v>347</v>
      </c>
      <c r="I234" s="53" t="s">
        <v>392</v>
      </c>
      <c r="J234" s="54" t="s">
        <v>393</v>
      </c>
      <c r="K234" s="0" t="n">
        <v>50</v>
      </c>
      <c r="L234" s="0" t="n">
        <v>93</v>
      </c>
      <c r="M234" s="0" t="n">
        <v>44</v>
      </c>
      <c r="N234" s="0" t="n">
        <v>4694</v>
      </c>
      <c r="P234" s="0" t="n">
        <v>0</v>
      </c>
      <c r="Q234" s="0" t="n">
        <v>14.5</v>
      </c>
      <c r="R234" s="54" t="s">
        <v>180</v>
      </c>
      <c r="S234" s="0" t="n">
        <v>0.1</v>
      </c>
      <c r="U234" s="31" t="n">
        <f aca="false">IF($B234&lt;&gt;'設定（最初に1回）'!$C$4,N(U233),IF(COUNTIFS(①今日の在庫を貼る!$B$6:$B$10005,$B234,①今日の在庫を貼る!$I$6:$I$10005,$I234)&gt;0,N(U233),N(U233)+1))</f>
        <v>2</v>
      </c>
    </row>
    <row r="235" customFormat="false" ht="15" hidden="false" customHeight="false" outlineLevel="0" collapsed="false">
      <c r="A235" s="0" t="n">
        <v>20260301</v>
      </c>
      <c r="B235" s="53" t="s">
        <v>486</v>
      </c>
      <c r="C235" s="54" t="s">
        <v>487</v>
      </c>
      <c r="D235" s="55" t="s">
        <v>173</v>
      </c>
      <c r="E235" s="54" t="s">
        <v>174</v>
      </c>
      <c r="F235" s="55" t="s">
        <v>175</v>
      </c>
      <c r="G235" s="55" t="s">
        <v>176</v>
      </c>
      <c r="H235" s="54" t="s">
        <v>177</v>
      </c>
      <c r="I235" s="53" t="s">
        <v>544</v>
      </c>
      <c r="J235" s="54" t="s">
        <v>541</v>
      </c>
      <c r="K235" s="0" t="n">
        <v>1</v>
      </c>
      <c r="L235" s="0" t="n">
        <v>90</v>
      </c>
      <c r="M235" s="0" t="n">
        <v>0</v>
      </c>
      <c r="N235" s="0" t="n">
        <v>90</v>
      </c>
      <c r="P235" s="0" t="n">
        <v>0</v>
      </c>
      <c r="Q235" s="0" t="n">
        <v>357</v>
      </c>
      <c r="R235" s="54" t="s">
        <v>180</v>
      </c>
      <c r="S235" s="0" t="n">
        <v>0.1</v>
      </c>
      <c r="U235" s="31" t="n">
        <f aca="false">IF($B235&lt;&gt;'設定（最初に1回）'!$C$4,N(U234),IF(COUNTIFS(①今日の在庫を貼る!$B$6:$B$10005,$B235,①今日の在庫を貼る!$I$6:$I$10005,$I235)&gt;0,N(U234),N(U234)+1))</f>
        <v>2</v>
      </c>
    </row>
    <row r="236" customFormat="false" ht="15" hidden="false" customHeight="false" outlineLevel="0" collapsed="false">
      <c r="A236" s="0" t="n">
        <v>20260301</v>
      </c>
      <c r="B236" s="53" t="s">
        <v>486</v>
      </c>
      <c r="C236" s="54" t="s">
        <v>487</v>
      </c>
      <c r="D236" s="55" t="s">
        <v>173</v>
      </c>
      <c r="E236" s="54" t="s">
        <v>174</v>
      </c>
      <c r="F236" s="55" t="s">
        <v>175</v>
      </c>
      <c r="G236" s="55" t="s">
        <v>176</v>
      </c>
      <c r="H236" s="54" t="s">
        <v>177</v>
      </c>
      <c r="I236" s="53" t="s">
        <v>545</v>
      </c>
      <c r="J236" s="54" t="s">
        <v>543</v>
      </c>
      <c r="K236" s="0" t="n">
        <v>1</v>
      </c>
      <c r="L236" s="0" t="n">
        <v>90</v>
      </c>
      <c r="M236" s="0" t="n">
        <v>0</v>
      </c>
      <c r="N236" s="0" t="n">
        <v>90</v>
      </c>
      <c r="P236" s="0" t="n">
        <v>0</v>
      </c>
      <c r="Q236" s="0" t="n">
        <v>357</v>
      </c>
      <c r="R236" s="54" t="s">
        <v>180</v>
      </c>
      <c r="S236" s="0" t="n">
        <v>0.1</v>
      </c>
      <c r="U236" s="31" t="n">
        <f aca="false">IF($B236&lt;&gt;'設定（最初に1回）'!$C$4,N(U235),IF(COUNTIFS(①今日の在庫を貼る!$B$6:$B$10005,$B236,①今日の在庫を貼る!$I$6:$I$10005,$I236)&gt;0,N(U235),N(U235)+1))</f>
        <v>2</v>
      </c>
    </row>
    <row r="237" customFormat="false" ht="15" hidden="false" customHeight="false" outlineLevel="0" collapsed="false">
      <c r="A237" s="0" t="n">
        <v>20260301</v>
      </c>
      <c r="B237" s="53" t="s">
        <v>490</v>
      </c>
      <c r="C237" s="54" t="s">
        <v>491</v>
      </c>
      <c r="D237" s="55" t="s">
        <v>173</v>
      </c>
      <c r="E237" s="54" t="s">
        <v>174</v>
      </c>
      <c r="F237" s="55" t="s">
        <v>175</v>
      </c>
      <c r="G237" s="55" t="s">
        <v>176</v>
      </c>
      <c r="H237" s="54" t="s">
        <v>177</v>
      </c>
      <c r="I237" s="53" t="s">
        <v>178</v>
      </c>
      <c r="J237" s="54" t="s">
        <v>179</v>
      </c>
      <c r="K237" s="0" t="n">
        <v>1</v>
      </c>
      <c r="L237" s="0" t="n">
        <v>495</v>
      </c>
      <c r="M237" s="0" t="n">
        <v>0</v>
      </c>
      <c r="N237" s="0" t="n">
        <v>495</v>
      </c>
      <c r="P237" s="0" t="n">
        <v>0</v>
      </c>
      <c r="Q237" s="0" t="n">
        <v>11300</v>
      </c>
      <c r="R237" s="54" t="s">
        <v>180</v>
      </c>
      <c r="S237" s="0" t="n">
        <v>0.1</v>
      </c>
      <c r="U237" s="31" t="n">
        <f aca="false">IF($B237&lt;&gt;'設定（最初に1回）'!$C$4,N(U236),IF(COUNTIFS(①今日の在庫を貼る!$B$6:$B$10005,$B237,①今日の在庫を貼る!$I$6:$I$10005,$I237)&gt;0,N(U236),N(U236)+1))</f>
        <v>2</v>
      </c>
    </row>
    <row r="238" customFormat="false" ht="15" hidden="false" customHeight="false" outlineLevel="0" collapsed="false">
      <c r="A238" s="0" t="n">
        <v>20260301</v>
      </c>
      <c r="B238" s="53" t="s">
        <v>490</v>
      </c>
      <c r="C238" s="54" t="s">
        <v>491</v>
      </c>
      <c r="D238" s="55" t="s">
        <v>173</v>
      </c>
      <c r="E238" s="54" t="s">
        <v>174</v>
      </c>
      <c r="F238" s="55" t="s">
        <v>175</v>
      </c>
      <c r="G238" s="55" t="s">
        <v>176</v>
      </c>
      <c r="H238" s="54" t="s">
        <v>177</v>
      </c>
      <c r="I238" s="53" t="s">
        <v>181</v>
      </c>
      <c r="J238" s="54" t="s">
        <v>182</v>
      </c>
      <c r="K238" s="0" t="n">
        <v>24</v>
      </c>
      <c r="L238" s="0" t="n">
        <v>0</v>
      </c>
      <c r="M238" s="0" t="n">
        <v>3</v>
      </c>
      <c r="N238" s="0" t="n">
        <v>3</v>
      </c>
      <c r="P238" s="0" t="n">
        <v>0</v>
      </c>
      <c r="Q238" s="0" t="n">
        <v>587</v>
      </c>
      <c r="R238" s="54" t="s">
        <v>180</v>
      </c>
      <c r="S238" s="0" t="n">
        <v>0.1</v>
      </c>
      <c r="U238" s="31" t="n">
        <f aca="false">IF($B238&lt;&gt;'設定（最初に1回）'!$C$4,N(U237),IF(COUNTIFS(①今日の在庫を貼る!$B$6:$B$10005,$B238,①今日の在庫を貼る!$I$6:$I$10005,$I238)&gt;0,N(U237),N(U237)+1))</f>
        <v>2</v>
      </c>
    </row>
    <row r="239" customFormat="false" ht="15" hidden="false" customHeight="false" outlineLevel="0" collapsed="false">
      <c r="A239" s="0" t="n">
        <v>20260301</v>
      </c>
      <c r="B239" s="53" t="s">
        <v>490</v>
      </c>
      <c r="C239" s="54" t="s">
        <v>491</v>
      </c>
      <c r="D239" s="55" t="s">
        <v>173</v>
      </c>
      <c r="E239" s="54" t="s">
        <v>174</v>
      </c>
      <c r="F239" s="55" t="s">
        <v>175</v>
      </c>
      <c r="G239" s="55" t="s">
        <v>176</v>
      </c>
      <c r="H239" s="54" t="s">
        <v>177</v>
      </c>
      <c r="I239" s="53" t="s">
        <v>183</v>
      </c>
      <c r="J239" s="54" t="s">
        <v>184</v>
      </c>
      <c r="K239" s="0" t="n">
        <v>48</v>
      </c>
      <c r="L239" s="0" t="n">
        <v>3</v>
      </c>
      <c r="M239" s="0" t="n">
        <v>14</v>
      </c>
      <c r="N239" s="0" t="n">
        <v>158</v>
      </c>
      <c r="P239" s="0" t="n">
        <v>0</v>
      </c>
      <c r="Q239" s="0" t="n">
        <v>357</v>
      </c>
      <c r="R239" s="54" t="s">
        <v>180</v>
      </c>
      <c r="S239" s="0" t="n">
        <v>0.1</v>
      </c>
      <c r="U239" s="31" t="n">
        <f aca="false">IF($B239&lt;&gt;'設定（最初に1回）'!$C$4,N(U238),IF(COUNTIFS(①今日の在庫を貼る!$B$6:$B$10005,$B239,①今日の在庫を貼る!$I$6:$I$10005,$I239)&gt;0,N(U238),N(U238)+1))</f>
        <v>2</v>
      </c>
    </row>
    <row r="240" customFormat="false" ht="15" hidden="false" customHeight="false" outlineLevel="0" collapsed="false">
      <c r="A240" s="0" t="n">
        <v>20260301</v>
      </c>
      <c r="B240" s="53" t="s">
        <v>490</v>
      </c>
      <c r="C240" s="54" t="s">
        <v>491</v>
      </c>
      <c r="D240" s="55" t="s">
        <v>173</v>
      </c>
      <c r="E240" s="54" t="s">
        <v>174</v>
      </c>
      <c r="F240" s="55" t="s">
        <v>175</v>
      </c>
      <c r="G240" s="55" t="s">
        <v>176</v>
      </c>
      <c r="H240" s="54" t="s">
        <v>177</v>
      </c>
      <c r="I240" s="53" t="s">
        <v>185</v>
      </c>
      <c r="J240" s="54" t="s">
        <v>186</v>
      </c>
      <c r="K240" s="0" t="n">
        <v>48</v>
      </c>
      <c r="L240" s="0" t="n">
        <v>5</v>
      </c>
      <c r="M240" s="0" t="n">
        <v>42</v>
      </c>
      <c r="N240" s="0" t="n">
        <v>282</v>
      </c>
      <c r="P240" s="0" t="n">
        <v>0</v>
      </c>
      <c r="Q240" s="0" t="n">
        <v>357</v>
      </c>
      <c r="R240" s="54" t="s">
        <v>180</v>
      </c>
      <c r="S240" s="0" t="n">
        <v>0.1</v>
      </c>
      <c r="U240" s="31" t="n">
        <f aca="false">IF($B240&lt;&gt;'設定（最初に1回）'!$C$4,N(U239),IF(COUNTIFS(①今日の在庫を貼る!$B$6:$B$10005,$B240,①今日の在庫を貼る!$I$6:$I$10005,$I240)&gt;0,N(U239),N(U239)+1))</f>
        <v>2</v>
      </c>
    </row>
    <row r="241" customFormat="false" ht="15" hidden="false" customHeight="false" outlineLevel="0" collapsed="false">
      <c r="A241" s="0" t="n">
        <v>20260301</v>
      </c>
      <c r="B241" s="53" t="s">
        <v>490</v>
      </c>
      <c r="C241" s="54" t="s">
        <v>491</v>
      </c>
      <c r="D241" s="55" t="s">
        <v>173</v>
      </c>
      <c r="E241" s="54" t="s">
        <v>174</v>
      </c>
      <c r="F241" s="55" t="s">
        <v>175</v>
      </c>
      <c r="G241" s="55" t="s">
        <v>176</v>
      </c>
      <c r="H241" s="54" t="s">
        <v>177</v>
      </c>
      <c r="I241" s="53" t="s">
        <v>187</v>
      </c>
      <c r="J241" s="54" t="s">
        <v>188</v>
      </c>
      <c r="K241" s="0" t="n">
        <v>24</v>
      </c>
      <c r="L241" s="0" t="n">
        <v>7</v>
      </c>
      <c r="M241" s="0" t="n">
        <v>0</v>
      </c>
      <c r="N241" s="0" t="n">
        <v>168</v>
      </c>
      <c r="P241" s="0" t="n">
        <v>0</v>
      </c>
      <c r="Q241" s="0" t="n">
        <v>585</v>
      </c>
      <c r="R241" s="54" t="s">
        <v>180</v>
      </c>
      <c r="S241" s="0" t="n">
        <v>0.1</v>
      </c>
      <c r="U241" s="31" t="n">
        <f aca="false">IF($B241&lt;&gt;'設定（最初に1回）'!$C$4,N(U240),IF(COUNTIFS(①今日の在庫を貼る!$B$6:$B$10005,$B241,①今日の在庫を貼る!$I$6:$I$10005,$I241)&gt;0,N(U240),N(U240)+1))</f>
        <v>2</v>
      </c>
    </row>
    <row r="242" customFormat="false" ht="15" hidden="false" customHeight="false" outlineLevel="0" collapsed="false">
      <c r="A242" s="0" t="n">
        <v>20260301</v>
      </c>
      <c r="B242" s="53" t="s">
        <v>490</v>
      </c>
      <c r="C242" s="54" t="s">
        <v>491</v>
      </c>
      <c r="D242" s="55" t="s">
        <v>173</v>
      </c>
      <c r="E242" s="54" t="s">
        <v>174</v>
      </c>
      <c r="F242" s="55" t="s">
        <v>175</v>
      </c>
      <c r="G242" s="55" t="s">
        <v>176</v>
      </c>
      <c r="H242" s="54" t="s">
        <v>177</v>
      </c>
      <c r="I242" s="53" t="s">
        <v>189</v>
      </c>
      <c r="J242" s="54" t="s">
        <v>190</v>
      </c>
      <c r="K242" s="0" t="n">
        <v>30</v>
      </c>
      <c r="L242" s="0" t="n">
        <v>58</v>
      </c>
      <c r="M242" s="0" t="n">
        <v>1</v>
      </c>
      <c r="N242" s="0" t="n">
        <v>1741</v>
      </c>
      <c r="P242" s="0" t="n">
        <v>0</v>
      </c>
      <c r="Q242" s="0" t="n">
        <v>118</v>
      </c>
      <c r="R242" s="54" t="s">
        <v>180</v>
      </c>
      <c r="S242" s="0" t="n">
        <v>0.1</v>
      </c>
      <c r="U242" s="31" t="n">
        <f aca="false">IF($B242&lt;&gt;'設定（最初に1回）'!$C$4,N(U241),IF(COUNTIFS(①今日の在庫を貼る!$B$6:$B$10005,$B242,①今日の在庫を貼る!$I$6:$I$10005,$I242)&gt;0,N(U241),N(U241)+1))</f>
        <v>2</v>
      </c>
    </row>
    <row r="243" customFormat="false" ht="15" hidden="false" customHeight="false" outlineLevel="0" collapsed="false">
      <c r="A243" s="0" t="n">
        <v>20260301</v>
      </c>
      <c r="B243" s="53" t="s">
        <v>490</v>
      </c>
      <c r="C243" s="54" t="s">
        <v>491</v>
      </c>
      <c r="D243" s="55" t="s">
        <v>191</v>
      </c>
      <c r="E243" s="54" t="s">
        <v>192</v>
      </c>
      <c r="F243" s="55" t="s">
        <v>175</v>
      </c>
      <c r="G243" s="55" t="s">
        <v>175</v>
      </c>
      <c r="H243" s="54" t="s">
        <v>193</v>
      </c>
      <c r="I243" s="53" t="s">
        <v>194</v>
      </c>
      <c r="J243" s="54" t="s">
        <v>195</v>
      </c>
      <c r="K243" s="0" t="n">
        <v>1</v>
      </c>
      <c r="L243" s="0" t="n">
        <v>142</v>
      </c>
      <c r="M243" s="0" t="n">
        <v>0</v>
      </c>
      <c r="N243" s="0" t="n">
        <v>142</v>
      </c>
      <c r="P243" s="0" t="n">
        <v>0</v>
      </c>
      <c r="Q243" s="0" t="n">
        <v>3756</v>
      </c>
      <c r="R243" s="54" t="s">
        <v>180</v>
      </c>
      <c r="S243" s="0" t="n">
        <v>0.08</v>
      </c>
      <c r="U243" s="31" t="n">
        <f aca="false">IF($B243&lt;&gt;'設定（最初に1回）'!$C$4,N(U242),IF(COUNTIFS(①今日の在庫を貼る!$B$6:$B$10005,$B243,①今日の在庫を貼る!$I$6:$I$10005,$I243)&gt;0,N(U242),N(U242)+1))</f>
        <v>2</v>
      </c>
    </row>
    <row r="244" customFormat="false" ht="15" hidden="false" customHeight="false" outlineLevel="0" collapsed="false">
      <c r="A244" s="0" t="n">
        <v>20260301</v>
      </c>
      <c r="B244" s="53" t="s">
        <v>490</v>
      </c>
      <c r="C244" s="54" t="s">
        <v>491</v>
      </c>
      <c r="D244" s="55" t="s">
        <v>191</v>
      </c>
      <c r="E244" s="54" t="s">
        <v>192</v>
      </c>
      <c r="F244" s="55" t="s">
        <v>175</v>
      </c>
      <c r="G244" s="55" t="s">
        <v>175</v>
      </c>
      <c r="H244" s="54" t="s">
        <v>193</v>
      </c>
      <c r="I244" s="53" t="s">
        <v>196</v>
      </c>
      <c r="J244" s="54" t="s">
        <v>197</v>
      </c>
      <c r="K244" s="0" t="n">
        <v>1</v>
      </c>
      <c r="L244" s="0" t="n">
        <v>303</v>
      </c>
      <c r="M244" s="0" t="n">
        <v>0</v>
      </c>
      <c r="N244" s="0" t="n">
        <v>303</v>
      </c>
      <c r="P244" s="0" t="n">
        <v>0</v>
      </c>
      <c r="Q244" s="0" t="n">
        <v>4382</v>
      </c>
      <c r="R244" s="54" t="s">
        <v>180</v>
      </c>
      <c r="S244" s="0" t="n">
        <v>0.08</v>
      </c>
      <c r="U244" s="31" t="n">
        <f aca="false">IF($B244&lt;&gt;'設定（最初に1回）'!$C$4,N(U243),IF(COUNTIFS(①今日の在庫を貼る!$B$6:$B$10005,$B244,①今日の在庫を貼る!$I$6:$I$10005,$I244)&gt;0,N(U243),N(U243)+1))</f>
        <v>2</v>
      </c>
    </row>
    <row r="245" customFormat="false" ht="15" hidden="false" customHeight="false" outlineLevel="0" collapsed="false">
      <c r="A245" s="0" t="n">
        <v>20260301</v>
      </c>
      <c r="B245" s="53" t="s">
        <v>490</v>
      </c>
      <c r="C245" s="54" t="s">
        <v>491</v>
      </c>
      <c r="D245" s="55" t="s">
        <v>191</v>
      </c>
      <c r="E245" s="54" t="s">
        <v>192</v>
      </c>
      <c r="F245" s="55" t="s">
        <v>175</v>
      </c>
      <c r="G245" s="55" t="s">
        <v>175</v>
      </c>
      <c r="H245" s="54" t="s">
        <v>193</v>
      </c>
      <c r="I245" s="53" t="s">
        <v>198</v>
      </c>
      <c r="J245" s="54" t="s">
        <v>199</v>
      </c>
      <c r="K245" s="0" t="n">
        <v>1</v>
      </c>
      <c r="L245" s="0" t="n">
        <v>2</v>
      </c>
      <c r="M245" s="0" t="n">
        <v>0</v>
      </c>
      <c r="N245" s="0" t="n">
        <v>2</v>
      </c>
      <c r="P245" s="0" t="n">
        <v>0</v>
      </c>
      <c r="Q245" s="0" t="n">
        <v>2890</v>
      </c>
      <c r="R245" s="54" t="s">
        <v>180</v>
      </c>
      <c r="S245" s="0" t="n">
        <v>0.08</v>
      </c>
      <c r="U245" s="31" t="n">
        <f aca="false">IF($B245&lt;&gt;'設定（最初に1回）'!$C$4,N(U244),IF(COUNTIFS(①今日の在庫を貼る!$B$6:$B$10005,$B245,①今日の在庫を貼る!$I$6:$I$10005,$I245)&gt;0,N(U244),N(U244)+1))</f>
        <v>2</v>
      </c>
    </row>
    <row r="246" customFormat="false" ht="15" hidden="false" customHeight="false" outlineLevel="0" collapsed="false">
      <c r="A246" s="0" t="n">
        <v>20260301</v>
      </c>
      <c r="B246" s="53" t="s">
        <v>490</v>
      </c>
      <c r="C246" s="54" t="s">
        <v>491</v>
      </c>
      <c r="D246" s="55" t="s">
        <v>191</v>
      </c>
      <c r="E246" s="54" t="s">
        <v>192</v>
      </c>
      <c r="F246" s="55" t="s">
        <v>175</v>
      </c>
      <c r="G246" s="55" t="s">
        <v>175</v>
      </c>
      <c r="H246" s="54" t="s">
        <v>193</v>
      </c>
      <c r="I246" s="53" t="s">
        <v>200</v>
      </c>
      <c r="J246" s="54" t="s">
        <v>201</v>
      </c>
      <c r="K246" s="0" t="n">
        <v>1</v>
      </c>
      <c r="L246" s="0" t="n">
        <v>4</v>
      </c>
      <c r="M246" s="0" t="n">
        <v>0</v>
      </c>
      <c r="N246" s="0" t="n">
        <v>4</v>
      </c>
      <c r="P246" s="0" t="n">
        <v>0</v>
      </c>
      <c r="Q246" s="0" t="n">
        <v>3636</v>
      </c>
      <c r="R246" s="54" t="s">
        <v>180</v>
      </c>
      <c r="S246" s="0" t="n">
        <v>0.08</v>
      </c>
      <c r="U246" s="31" t="n">
        <f aca="false">IF($B246&lt;&gt;'設定（最初に1回）'!$C$4,N(U245),IF(COUNTIFS(①今日の在庫を貼る!$B$6:$B$10005,$B246,①今日の在庫を貼る!$I$6:$I$10005,$I246)&gt;0,N(U245),N(U245)+1))</f>
        <v>2</v>
      </c>
    </row>
    <row r="247" customFormat="false" ht="15" hidden="false" customHeight="false" outlineLevel="0" collapsed="false">
      <c r="A247" s="0" t="n">
        <v>20260301</v>
      </c>
      <c r="B247" s="53" t="s">
        <v>490</v>
      </c>
      <c r="C247" s="54" t="s">
        <v>491</v>
      </c>
      <c r="D247" s="55" t="s">
        <v>191</v>
      </c>
      <c r="E247" s="54" t="s">
        <v>192</v>
      </c>
      <c r="F247" s="55" t="s">
        <v>175</v>
      </c>
      <c r="G247" s="55" t="s">
        <v>175</v>
      </c>
      <c r="H247" s="54" t="s">
        <v>193</v>
      </c>
      <c r="I247" s="53" t="s">
        <v>202</v>
      </c>
      <c r="J247" s="54" t="s">
        <v>203</v>
      </c>
      <c r="K247" s="0" t="n">
        <v>1</v>
      </c>
      <c r="L247" s="0" t="n">
        <v>76</v>
      </c>
      <c r="M247" s="0" t="n">
        <v>0</v>
      </c>
      <c r="N247" s="0" t="n">
        <v>76</v>
      </c>
      <c r="P247" s="0" t="n">
        <v>0</v>
      </c>
      <c r="Q247" s="0" t="n">
        <v>3756</v>
      </c>
      <c r="R247" s="54" t="s">
        <v>180</v>
      </c>
      <c r="S247" s="0" t="n">
        <v>0.08</v>
      </c>
      <c r="U247" s="31" t="n">
        <f aca="false">IF($B247&lt;&gt;'設定（最初に1回）'!$C$4,N(U246),IF(COUNTIFS(①今日の在庫を貼る!$B$6:$B$10005,$B247,①今日の在庫を貼る!$I$6:$I$10005,$I247)&gt;0,N(U246),N(U246)+1))</f>
        <v>2</v>
      </c>
    </row>
    <row r="248" customFormat="false" ht="15" hidden="false" customHeight="false" outlineLevel="0" collapsed="false">
      <c r="A248" s="0" t="n">
        <v>20260301</v>
      </c>
      <c r="B248" s="53" t="s">
        <v>490</v>
      </c>
      <c r="C248" s="54" t="s">
        <v>491</v>
      </c>
      <c r="D248" s="55" t="s">
        <v>191</v>
      </c>
      <c r="E248" s="54" t="s">
        <v>192</v>
      </c>
      <c r="F248" s="55" t="s">
        <v>175</v>
      </c>
      <c r="G248" s="55" t="s">
        <v>175</v>
      </c>
      <c r="H248" s="54" t="s">
        <v>193</v>
      </c>
      <c r="I248" s="53" t="s">
        <v>204</v>
      </c>
      <c r="J248" s="54" t="s">
        <v>205</v>
      </c>
      <c r="K248" s="0" t="n">
        <v>1</v>
      </c>
      <c r="L248" s="0" t="n">
        <v>75</v>
      </c>
      <c r="M248" s="0" t="n">
        <v>0</v>
      </c>
      <c r="N248" s="0" t="n">
        <v>75</v>
      </c>
      <c r="P248" s="0" t="n">
        <v>0</v>
      </c>
      <c r="Q248" s="0" t="n">
        <v>7510</v>
      </c>
      <c r="R248" s="54" t="s">
        <v>180</v>
      </c>
      <c r="S248" s="0" t="n">
        <v>0.08</v>
      </c>
      <c r="U248" s="31" t="n">
        <f aca="false">IF($B248&lt;&gt;'設定（最初に1回）'!$C$4,N(U247),IF(COUNTIFS(①今日の在庫を貼る!$B$6:$B$10005,$B248,①今日の在庫を貼る!$I$6:$I$10005,$I248)&gt;0,N(U247),N(U247)+1))</f>
        <v>2</v>
      </c>
    </row>
    <row r="249" customFormat="false" ht="15" hidden="false" customHeight="false" outlineLevel="0" collapsed="false">
      <c r="A249" s="0" t="n">
        <v>20260301</v>
      </c>
      <c r="B249" s="53" t="s">
        <v>490</v>
      </c>
      <c r="C249" s="54" t="s">
        <v>491</v>
      </c>
      <c r="D249" s="55" t="s">
        <v>191</v>
      </c>
      <c r="E249" s="54" t="s">
        <v>192</v>
      </c>
      <c r="F249" s="55" t="s">
        <v>175</v>
      </c>
      <c r="G249" s="55" t="s">
        <v>175</v>
      </c>
      <c r="H249" s="54" t="s">
        <v>193</v>
      </c>
      <c r="I249" s="53" t="s">
        <v>206</v>
      </c>
      <c r="J249" s="54" t="s">
        <v>207</v>
      </c>
      <c r="K249" s="0" t="n">
        <v>1</v>
      </c>
      <c r="L249" s="0" t="n">
        <v>195</v>
      </c>
      <c r="M249" s="0" t="n">
        <v>0</v>
      </c>
      <c r="N249" s="0" t="n">
        <v>195</v>
      </c>
      <c r="P249" s="0" t="n">
        <v>0</v>
      </c>
      <c r="Q249" s="0" t="n">
        <v>8136</v>
      </c>
      <c r="R249" s="54" t="s">
        <v>180</v>
      </c>
      <c r="S249" s="0" t="n">
        <v>0.08</v>
      </c>
      <c r="U249" s="31" t="n">
        <f aca="false">IF($B249&lt;&gt;'設定（最初に1回）'!$C$4,N(U248),IF(COUNTIFS(①今日の在庫を貼る!$B$6:$B$10005,$B249,①今日の在庫を貼る!$I$6:$I$10005,$I249)&gt;0,N(U248),N(U248)+1))</f>
        <v>2</v>
      </c>
    </row>
    <row r="250" customFormat="false" ht="15" hidden="false" customHeight="false" outlineLevel="0" collapsed="false">
      <c r="A250" s="0" t="n">
        <v>20260301</v>
      </c>
      <c r="B250" s="53" t="s">
        <v>490</v>
      </c>
      <c r="C250" s="54" t="s">
        <v>491</v>
      </c>
      <c r="D250" s="55" t="s">
        <v>191</v>
      </c>
      <c r="E250" s="54" t="s">
        <v>192</v>
      </c>
      <c r="F250" s="55" t="s">
        <v>175</v>
      </c>
      <c r="G250" s="55" t="s">
        <v>175</v>
      </c>
      <c r="H250" s="54" t="s">
        <v>193</v>
      </c>
      <c r="I250" s="53" t="s">
        <v>208</v>
      </c>
      <c r="J250" s="54" t="s">
        <v>209</v>
      </c>
      <c r="K250" s="0" t="n">
        <v>1</v>
      </c>
      <c r="L250" s="0" t="n">
        <v>68</v>
      </c>
      <c r="M250" s="0" t="n">
        <v>0</v>
      </c>
      <c r="N250" s="0" t="n">
        <v>68</v>
      </c>
      <c r="P250" s="0" t="n">
        <v>0</v>
      </c>
      <c r="Q250" s="0" t="n">
        <v>8136</v>
      </c>
      <c r="R250" s="54" t="s">
        <v>180</v>
      </c>
      <c r="S250" s="0" t="n">
        <v>0.08</v>
      </c>
      <c r="U250" s="31" t="n">
        <f aca="false">IF($B250&lt;&gt;'設定（最初に1回）'!$C$4,N(U249),IF(COUNTIFS(①今日の在庫を貼る!$B$6:$B$10005,$B250,①今日の在庫を貼る!$I$6:$I$10005,$I250)&gt;0,N(U249),N(U249)+1))</f>
        <v>2</v>
      </c>
    </row>
    <row r="251" customFormat="false" ht="15" hidden="false" customHeight="false" outlineLevel="0" collapsed="false">
      <c r="A251" s="0" t="n">
        <v>20260301</v>
      </c>
      <c r="B251" s="53" t="s">
        <v>490</v>
      </c>
      <c r="C251" s="54" t="s">
        <v>491</v>
      </c>
      <c r="D251" s="55" t="s">
        <v>191</v>
      </c>
      <c r="E251" s="54" t="s">
        <v>192</v>
      </c>
      <c r="F251" s="55" t="s">
        <v>175</v>
      </c>
      <c r="G251" s="55" t="s">
        <v>175</v>
      </c>
      <c r="H251" s="54" t="s">
        <v>193</v>
      </c>
      <c r="I251" s="53" t="s">
        <v>210</v>
      </c>
      <c r="J251" s="54" t="s">
        <v>211</v>
      </c>
      <c r="K251" s="0" t="n">
        <v>1</v>
      </c>
      <c r="L251" s="0" t="n">
        <v>42</v>
      </c>
      <c r="M251" s="0" t="n">
        <v>0</v>
      </c>
      <c r="N251" s="0" t="n">
        <v>42</v>
      </c>
      <c r="P251" s="0" t="n">
        <v>0</v>
      </c>
      <c r="Q251" s="0" t="n">
        <v>8136</v>
      </c>
      <c r="R251" s="54" t="s">
        <v>180</v>
      </c>
      <c r="S251" s="0" t="n">
        <v>0.08</v>
      </c>
      <c r="U251" s="31" t="n">
        <f aca="false">IF($B251&lt;&gt;'設定（最初に1回）'!$C$4,N(U250),IF(COUNTIFS(①今日の在庫を貼る!$B$6:$B$10005,$B251,①今日の在庫を貼る!$I$6:$I$10005,$I251)&gt;0,N(U250),N(U250)+1))</f>
        <v>2</v>
      </c>
    </row>
    <row r="252" customFormat="false" ht="15" hidden="false" customHeight="false" outlineLevel="0" collapsed="false">
      <c r="A252" s="0" t="n">
        <v>20260301</v>
      </c>
      <c r="B252" s="53" t="s">
        <v>490</v>
      </c>
      <c r="C252" s="54" t="s">
        <v>491</v>
      </c>
      <c r="D252" s="55" t="s">
        <v>191</v>
      </c>
      <c r="E252" s="54" t="s">
        <v>192</v>
      </c>
      <c r="F252" s="55" t="s">
        <v>175</v>
      </c>
      <c r="G252" s="55" t="s">
        <v>175</v>
      </c>
      <c r="H252" s="54" t="s">
        <v>193</v>
      </c>
      <c r="I252" s="53" t="s">
        <v>212</v>
      </c>
      <c r="J252" s="54" t="s">
        <v>213</v>
      </c>
      <c r="K252" s="0" t="n">
        <v>1</v>
      </c>
      <c r="L252" s="0" t="n">
        <v>131</v>
      </c>
      <c r="M252" s="0" t="n">
        <v>0</v>
      </c>
      <c r="N252" s="0" t="n">
        <v>131</v>
      </c>
      <c r="P252" s="0" t="n">
        <v>0</v>
      </c>
      <c r="Q252" s="0" t="n">
        <v>8136</v>
      </c>
      <c r="R252" s="54" t="s">
        <v>180</v>
      </c>
      <c r="S252" s="0" t="n">
        <v>0.08</v>
      </c>
      <c r="U252" s="31" t="n">
        <f aca="false">IF($B252&lt;&gt;'設定（最初に1回）'!$C$4,N(U251),IF(COUNTIFS(①今日の在庫を貼る!$B$6:$B$10005,$B252,①今日の在庫を貼る!$I$6:$I$10005,$I252)&gt;0,N(U251),N(U251)+1))</f>
        <v>2</v>
      </c>
    </row>
    <row r="253" customFormat="false" ht="15" hidden="false" customHeight="false" outlineLevel="0" collapsed="false">
      <c r="A253" s="0" t="n">
        <v>20260301</v>
      </c>
      <c r="B253" s="53" t="s">
        <v>490</v>
      </c>
      <c r="C253" s="54" t="s">
        <v>491</v>
      </c>
      <c r="D253" s="55" t="s">
        <v>191</v>
      </c>
      <c r="E253" s="54" t="s">
        <v>192</v>
      </c>
      <c r="F253" s="55" t="s">
        <v>175</v>
      </c>
      <c r="G253" s="55" t="s">
        <v>175</v>
      </c>
      <c r="H253" s="54" t="s">
        <v>193</v>
      </c>
      <c r="I253" s="53" t="s">
        <v>214</v>
      </c>
      <c r="J253" s="54" t="s">
        <v>215</v>
      </c>
      <c r="K253" s="0" t="n">
        <v>1</v>
      </c>
      <c r="L253" s="0" t="n">
        <v>140</v>
      </c>
      <c r="M253" s="0" t="n">
        <v>0</v>
      </c>
      <c r="N253" s="0" t="n">
        <v>140</v>
      </c>
      <c r="P253" s="0" t="n">
        <v>0</v>
      </c>
      <c r="Q253" s="0" t="n">
        <v>8638</v>
      </c>
      <c r="R253" s="54" t="s">
        <v>180</v>
      </c>
      <c r="S253" s="0" t="n">
        <v>0.08</v>
      </c>
      <c r="U253" s="31" t="n">
        <f aca="false">IF($B253&lt;&gt;'設定（最初に1回）'!$C$4,N(U252),IF(COUNTIFS(①今日の在庫を貼る!$B$6:$B$10005,$B253,①今日の在庫を貼る!$I$6:$I$10005,$I253)&gt;0,N(U252),N(U252)+1))</f>
        <v>2</v>
      </c>
    </row>
    <row r="254" customFormat="false" ht="15" hidden="false" customHeight="false" outlineLevel="0" collapsed="false">
      <c r="A254" s="0" t="n">
        <v>20260301</v>
      </c>
      <c r="B254" s="53" t="s">
        <v>490</v>
      </c>
      <c r="C254" s="54" t="s">
        <v>491</v>
      </c>
      <c r="D254" s="55" t="s">
        <v>191</v>
      </c>
      <c r="E254" s="54" t="s">
        <v>192</v>
      </c>
      <c r="F254" s="55" t="s">
        <v>175</v>
      </c>
      <c r="G254" s="55" t="s">
        <v>216</v>
      </c>
      <c r="H254" s="54" t="s">
        <v>217</v>
      </c>
      <c r="I254" s="53" t="s">
        <v>218</v>
      </c>
      <c r="J254" s="54" t="s">
        <v>219</v>
      </c>
      <c r="K254" s="0" t="n">
        <v>10</v>
      </c>
      <c r="L254" s="0" t="n">
        <v>14</v>
      </c>
      <c r="M254" s="0" t="n">
        <v>3</v>
      </c>
      <c r="N254" s="0" t="n">
        <v>143</v>
      </c>
      <c r="P254" s="0" t="n">
        <v>0</v>
      </c>
      <c r="Q254" s="0" t="n">
        <v>4503.2</v>
      </c>
      <c r="R254" s="54" t="s">
        <v>180</v>
      </c>
      <c r="S254" s="0" t="n">
        <v>0.08</v>
      </c>
      <c r="U254" s="31" t="n">
        <f aca="false">IF($B254&lt;&gt;'設定（最初に1回）'!$C$4,N(U253),IF(COUNTIFS(①今日の在庫を貼る!$B$6:$B$10005,$B254,①今日の在庫を貼る!$I$6:$I$10005,$I254)&gt;0,N(U253),N(U253)+1))</f>
        <v>2</v>
      </c>
    </row>
    <row r="255" customFormat="false" ht="15" hidden="false" customHeight="false" outlineLevel="0" collapsed="false">
      <c r="A255" s="0" t="n">
        <v>20260301</v>
      </c>
      <c r="B255" s="53" t="s">
        <v>490</v>
      </c>
      <c r="C255" s="54" t="s">
        <v>491</v>
      </c>
      <c r="D255" s="55" t="s">
        <v>191</v>
      </c>
      <c r="E255" s="54" t="s">
        <v>192</v>
      </c>
      <c r="F255" s="55" t="s">
        <v>175</v>
      </c>
      <c r="G255" s="55" t="s">
        <v>216</v>
      </c>
      <c r="H255" s="54" t="s">
        <v>217</v>
      </c>
      <c r="I255" s="53" t="s">
        <v>220</v>
      </c>
      <c r="J255" s="54" t="s">
        <v>221</v>
      </c>
      <c r="K255" s="0" t="n">
        <v>12</v>
      </c>
      <c r="L255" s="0" t="n">
        <v>220</v>
      </c>
      <c r="M255" s="0" t="n">
        <v>0</v>
      </c>
      <c r="N255" s="0" t="n">
        <v>2640</v>
      </c>
      <c r="P255" s="0" t="n">
        <v>0</v>
      </c>
      <c r="Q255" s="0" t="n">
        <v>332</v>
      </c>
      <c r="R255" s="54" t="s">
        <v>180</v>
      </c>
      <c r="S255" s="0" t="n">
        <v>0.08</v>
      </c>
      <c r="U255" s="31" t="n">
        <f aca="false">IF($B255&lt;&gt;'設定（最初に1回）'!$C$4,N(U254),IF(COUNTIFS(①今日の在庫を貼る!$B$6:$B$10005,$B255,①今日の在庫を貼る!$I$6:$I$10005,$I255)&gt;0,N(U254),N(U254)+1))</f>
        <v>2</v>
      </c>
    </row>
    <row r="256" customFormat="false" ht="15" hidden="false" customHeight="false" outlineLevel="0" collapsed="false">
      <c r="A256" s="0" t="n">
        <v>20260301</v>
      </c>
      <c r="B256" s="53" t="s">
        <v>490</v>
      </c>
      <c r="C256" s="54" t="s">
        <v>491</v>
      </c>
      <c r="D256" s="55" t="s">
        <v>191</v>
      </c>
      <c r="E256" s="54" t="s">
        <v>192</v>
      </c>
      <c r="F256" s="55" t="s">
        <v>175</v>
      </c>
      <c r="G256" s="55" t="s">
        <v>222</v>
      </c>
      <c r="H256" s="54" t="s">
        <v>223</v>
      </c>
      <c r="I256" s="53" t="s">
        <v>224</v>
      </c>
      <c r="J256" s="54" t="s">
        <v>225</v>
      </c>
      <c r="K256" s="0" t="n">
        <v>1</v>
      </c>
      <c r="L256" s="0" t="n">
        <v>114</v>
      </c>
      <c r="M256" s="0" t="n">
        <v>0</v>
      </c>
      <c r="N256" s="0" t="n">
        <v>114</v>
      </c>
      <c r="P256" s="0" t="n">
        <v>0</v>
      </c>
      <c r="Q256" s="0" t="n">
        <v>2254</v>
      </c>
      <c r="R256" s="54" t="s">
        <v>180</v>
      </c>
      <c r="S256" s="0" t="n">
        <v>0.08</v>
      </c>
      <c r="U256" s="31" t="n">
        <f aca="false">IF($B256&lt;&gt;'設定（最初に1回）'!$C$4,N(U255),IF(COUNTIFS(①今日の在庫を貼る!$B$6:$B$10005,$B256,①今日の在庫を貼る!$I$6:$I$10005,$I256)&gt;0,N(U255),N(U255)+1))</f>
        <v>2</v>
      </c>
    </row>
    <row r="257" customFormat="false" ht="15" hidden="false" customHeight="false" outlineLevel="0" collapsed="false">
      <c r="A257" s="0" t="n">
        <v>20260301</v>
      </c>
      <c r="B257" s="53" t="s">
        <v>490</v>
      </c>
      <c r="C257" s="54" t="s">
        <v>491</v>
      </c>
      <c r="D257" s="55" t="s">
        <v>191</v>
      </c>
      <c r="E257" s="54" t="s">
        <v>192</v>
      </c>
      <c r="F257" s="55" t="s">
        <v>175</v>
      </c>
      <c r="G257" s="55" t="s">
        <v>222</v>
      </c>
      <c r="H257" s="54" t="s">
        <v>223</v>
      </c>
      <c r="I257" s="53" t="s">
        <v>226</v>
      </c>
      <c r="J257" s="54" t="s">
        <v>227</v>
      </c>
      <c r="K257" s="0" t="n">
        <v>1</v>
      </c>
      <c r="L257" s="0" t="n">
        <v>47</v>
      </c>
      <c r="M257" s="0" t="n">
        <v>0</v>
      </c>
      <c r="N257" s="0" t="n">
        <v>47</v>
      </c>
      <c r="P257" s="0" t="n">
        <v>0</v>
      </c>
      <c r="Q257" s="0" t="n">
        <v>2309</v>
      </c>
      <c r="R257" s="54" t="s">
        <v>180</v>
      </c>
      <c r="S257" s="0" t="n">
        <v>0.08</v>
      </c>
      <c r="U257" s="31" t="n">
        <f aca="false">IF($B257&lt;&gt;'設定（最初に1回）'!$C$4,N(U256),IF(COUNTIFS(①今日の在庫を貼る!$B$6:$B$10005,$B257,①今日の在庫を貼る!$I$6:$I$10005,$I257)&gt;0,N(U256),N(U256)+1))</f>
        <v>2</v>
      </c>
    </row>
    <row r="258" customFormat="false" ht="15" hidden="false" customHeight="false" outlineLevel="0" collapsed="false">
      <c r="A258" s="0" t="n">
        <v>20260301</v>
      </c>
      <c r="B258" s="53" t="s">
        <v>490</v>
      </c>
      <c r="C258" s="54" t="s">
        <v>491</v>
      </c>
      <c r="D258" s="55" t="s">
        <v>191</v>
      </c>
      <c r="E258" s="54" t="s">
        <v>192</v>
      </c>
      <c r="F258" s="55" t="s">
        <v>175</v>
      </c>
      <c r="G258" s="55" t="s">
        <v>222</v>
      </c>
      <c r="H258" s="54" t="s">
        <v>223</v>
      </c>
      <c r="I258" s="53" t="s">
        <v>228</v>
      </c>
      <c r="J258" s="54" t="s">
        <v>229</v>
      </c>
      <c r="K258" s="0" t="n">
        <v>1</v>
      </c>
      <c r="L258" s="0" t="n">
        <v>163</v>
      </c>
      <c r="M258" s="0" t="n">
        <v>0</v>
      </c>
      <c r="N258" s="0" t="n">
        <v>163</v>
      </c>
      <c r="P258" s="0" t="n">
        <v>0</v>
      </c>
      <c r="Q258" s="0" t="n">
        <v>2705</v>
      </c>
      <c r="R258" s="54" t="s">
        <v>180</v>
      </c>
      <c r="S258" s="0" t="n">
        <v>0.08</v>
      </c>
      <c r="U258" s="31" t="n">
        <f aca="false">IF($B258&lt;&gt;'設定（最初に1回）'!$C$4,N(U257),IF(COUNTIFS(①今日の在庫を貼る!$B$6:$B$10005,$B258,①今日の在庫を貼る!$I$6:$I$10005,$I258)&gt;0,N(U257),N(U257)+1))</f>
        <v>2</v>
      </c>
    </row>
    <row r="259" customFormat="false" ht="15" hidden="false" customHeight="false" outlineLevel="0" collapsed="false">
      <c r="A259" s="0" t="n">
        <v>20260301</v>
      </c>
      <c r="B259" s="53" t="s">
        <v>490</v>
      </c>
      <c r="C259" s="54" t="s">
        <v>491</v>
      </c>
      <c r="D259" s="55" t="s">
        <v>191</v>
      </c>
      <c r="E259" s="54" t="s">
        <v>192</v>
      </c>
      <c r="F259" s="55" t="s">
        <v>175</v>
      </c>
      <c r="G259" s="55" t="s">
        <v>230</v>
      </c>
      <c r="H259" s="54" t="s">
        <v>231</v>
      </c>
      <c r="I259" s="53" t="s">
        <v>232</v>
      </c>
      <c r="J259" s="54" t="s">
        <v>233</v>
      </c>
      <c r="K259" s="0" t="n">
        <v>120</v>
      </c>
      <c r="L259" s="0" t="n">
        <v>1</v>
      </c>
      <c r="M259" s="0" t="n">
        <v>41</v>
      </c>
      <c r="N259" s="0" t="n">
        <v>161</v>
      </c>
      <c r="P259" s="0" t="n">
        <v>0</v>
      </c>
      <c r="Q259" s="0" t="n">
        <v>142</v>
      </c>
      <c r="R259" s="54" t="s">
        <v>180</v>
      </c>
      <c r="S259" s="0" t="n">
        <v>0.08</v>
      </c>
      <c r="U259" s="31" t="n">
        <f aca="false">IF($B259&lt;&gt;'設定（最初に1回）'!$C$4,N(U258),IF(COUNTIFS(①今日の在庫を貼る!$B$6:$B$10005,$B259,①今日の在庫を貼る!$I$6:$I$10005,$I259)&gt;0,N(U258),N(U258)+1))</f>
        <v>2</v>
      </c>
    </row>
    <row r="260" customFormat="false" ht="15" hidden="false" customHeight="false" outlineLevel="0" collapsed="false">
      <c r="A260" s="0" t="n">
        <v>20260301</v>
      </c>
      <c r="B260" s="53" t="s">
        <v>490</v>
      </c>
      <c r="C260" s="54" t="s">
        <v>491</v>
      </c>
      <c r="D260" s="55" t="s">
        <v>191</v>
      </c>
      <c r="E260" s="54" t="s">
        <v>192</v>
      </c>
      <c r="F260" s="55" t="s">
        <v>175</v>
      </c>
      <c r="G260" s="55" t="s">
        <v>230</v>
      </c>
      <c r="H260" s="54" t="s">
        <v>231</v>
      </c>
      <c r="I260" s="53" t="s">
        <v>234</v>
      </c>
      <c r="J260" s="54" t="s">
        <v>235</v>
      </c>
      <c r="K260" s="0" t="n">
        <v>120</v>
      </c>
      <c r="L260" s="0" t="n">
        <v>13</v>
      </c>
      <c r="M260" s="0" t="n">
        <v>47</v>
      </c>
      <c r="N260" s="0" t="n">
        <v>1607</v>
      </c>
      <c r="P260" s="0" t="n">
        <v>0</v>
      </c>
      <c r="Q260" s="0" t="n">
        <v>107</v>
      </c>
      <c r="R260" s="54" t="s">
        <v>180</v>
      </c>
      <c r="S260" s="0" t="n">
        <v>0.08</v>
      </c>
      <c r="U260" s="31" t="n">
        <f aca="false">IF($B260&lt;&gt;'設定（最初に1回）'!$C$4,N(U259),IF(COUNTIFS(①今日の在庫を貼る!$B$6:$B$10005,$B260,①今日の在庫を貼る!$I$6:$I$10005,$I260)&gt;0,N(U259),N(U259)+1))</f>
        <v>2</v>
      </c>
    </row>
    <row r="261" customFormat="false" ht="15" hidden="false" customHeight="false" outlineLevel="0" collapsed="false">
      <c r="A261" s="0" t="n">
        <v>20260301</v>
      </c>
      <c r="B261" s="53" t="s">
        <v>490</v>
      </c>
      <c r="C261" s="54" t="s">
        <v>491</v>
      </c>
      <c r="D261" s="55" t="s">
        <v>191</v>
      </c>
      <c r="E261" s="54" t="s">
        <v>192</v>
      </c>
      <c r="F261" s="55" t="s">
        <v>175</v>
      </c>
      <c r="G261" s="55" t="s">
        <v>230</v>
      </c>
      <c r="H261" s="54" t="s">
        <v>231</v>
      </c>
      <c r="I261" s="53" t="s">
        <v>236</v>
      </c>
      <c r="J261" s="54" t="s">
        <v>237</v>
      </c>
      <c r="K261" s="0" t="n">
        <v>90</v>
      </c>
      <c r="L261" s="0" t="n">
        <v>0</v>
      </c>
      <c r="M261" s="0" t="n">
        <v>3</v>
      </c>
      <c r="N261" s="0" t="n">
        <v>3</v>
      </c>
      <c r="P261" s="0" t="n">
        <v>0</v>
      </c>
      <c r="Q261" s="0" t="n">
        <v>166</v>
      </c>
      <c r="R261" s="54" t="s">
        <v>180</v>
      </c>
      <c r="S261" s="0" t="n">
        <v>0.08</v>
      </c>
      <c r="U261" s="31" t="n">
        <f aca="false">IF($B261&lt;&gt;'設定（最初に1回）'!$C$4,N(U260),IF(COUNTIFS(①今日の在庫を貼る!$B$6:$B$10005,$B261,①今日の在庫を貼る!$I$6:$I$10005,$I261)&gt;0,N(U260),N(U260)+1))</f>
        <v>2</v>
      </c>
    </row>
    <row r="262" customFormat="false" ht="15" hidden="false" customHeight="false" outlineLevel="0" collapsed="false">
      <c r="A262" s="0" t="n">
        <v>20260301</v>
      </c>
      <c r="B262" s="53" t="s">
        <v>490</v>
      </c>
      <c r="C262" s="54" t="s">
        <v>491</v>
      </c>
      <c r="D262" s="55" t="s">
        <v>191</v>
      </c>
      <c r="E262" s="54" t="s">
        <v>192</v>
      </c>
      <c r="F262" s="55" t="s">
        <v>175</v>
      </c>
      <c r="G262" s="55" t="s">
        <v>230</v>
      </c>
      <c r="H262" s="54" t="s">
        <v>231</v>
      </c>
      <c r="I262" s="53" t="s">
        <v>238</v>
      </c>
      <c r="J262" s="54" t="s">
        <v>239</v>
      </c>
      <c r="K262" s="0" t="n">
        <v>80</v>
      </c>
      <c r="L262" s="0" t="n">
        <v>3</v>
      </c>
      <c r="M262" s="0" t="n">
        <v>59</v>
      </c>
      <c r="N262" s="0" t="n">
        <v>299</v>
      </c>
      <c r="P262" s="0" t="n">
        <v>0</v>
      </c>
      <c r="Q262" s="0" t="n">
        <v>203</v>
      </c>
      <c r="R262" s="54" t="s">
        <v>180</v>
      </c>
      <c r="S262" s="0" t="n">
        <v>0.08</v>
      </c>
      <c r="U262" s="31" t="n">
        <f aca="false">IF($B262&lt;&gt;'設定（最初に1回）'!$C$4,N(U261),IF(COUNTIFS(①今日の在庫を貼る!$B$6:$B$10005,$B262,①今日の在庫を貼る!$I$6:$I$10005,$I262)&gt;0,N(U261),N(U261)+1))</f>
        <v>2</v>
      </c>
    </row>
    <row r="263" customFormat="false" ht="15" hidden="false" customHeight="false" outlineLevel="0" collapsed="false">
      <c r="A263" s="0" t="n">
        <v>20260301</v>
      </c>
      <c r="B263" s="53" t="s">
        <v>490</v>
      </c>
      <c r="C263" s="54" t="s">
        <v>491</v>
      </c>
      <c r="D263" s="55" t="s">
        <v>191</v>
      </c>
      <c r="E263" s="54" t="s">
        <v>192</v>
      </c>
      <c r="F263" s="55" t="s">
        <v>175</v>
      </c>
      <c r="G263" s="55" t="s">
        <v>230</v>
      </c>
      <c r="H263" s="54" t="s">
        <v>231</v>
      </c>
      <c r="I263" s="53" t="s">
        <v>240</v>
      </c>
      <c r="J263" s="54" t="s">
        <v>241</v>
      </c>
      <c r="K263" s="0" t="n">
        <v>80</v>
      </c>
      <c r="L263" s="0" t="n">
        <v>7</v>
      </c>
      <c r="M263" s="0" t="n">
        <v>17</v>
      </c>
      <c r="N263" s="0" t="n">
        <v>577</v>
      </c>
      <c r="P263" s="0" t="n">
        <v>0</v>
      </c>
      <c r="Q263" s="0" t="n">
        <v>203</v>
      </c>
      <c r="R263" s="54" t="s">
        <v>180</v>
      </c>
      <c r="S263" s="0" t="n">
        <v>0.08</v>
      </c>
      <c r="U263" s="31" t="n">
        <f aca="false">IF($B263&lt;&gt;'設定（最初に1回）'!$C$4,N(U262),IF(COUNTIFS(①今日の在庫を貼る!$B$6:$B$10005,$B263,①今日の在庫を貼る!$I$6:$I$10005,$I263)&gt;0,N(U262),N(U262)+1))</f>
        <v>2</v>
      </c>
    </row>
    <row r="264" customFormat="false" ht="15" hidden="false" customHeight="false" outlineLevel="0" collapsed="false">
      <c r="A264" s="0" t="n">
        <v>20260301</v>
      </c>
      <c r="B264" s="53" t="s">
        <v>490</v>
      </c>
      <c r="C264" s="54" t="s">
        <v>491</v>
      </c>
      <c r="D264" s="55" t="s">
        <v>191</v>
      </c>
      <c r="E264" s="54" t="s">
        <v>192</v>
      </c>
      <c r="F264" s="55" t="s">
        <v>175</v>
      </c>
      <c r="G264" s="55" t="s">
        <v>230</v>
      </c>
      <c r="H264" s="54" t="s">
        <v>231</v>
      </c>
      <c r="I264" s="53" t="s">
        <v>242</v>
      </c>
      <c r="J264" s="54" t="s">
        <v>243</v>
      </c>
      <c r="K264" s="0" t="n">
        <v>1</v>
      </c>
      <c r="L264" s="0" t="n">
        <v>38</v>
      </c>
      <c r="M264" s="0" t="n">
        <v>0</v>
      </c>
      <c r="N264" s="0" t="n">
        <v>38</v>
      </c>
      <c r="P264" s="0" t="n">
        <v>0</v>
      </c>
      <c r="Q264" s="0" t="n">
        <v>26884</v>
      </c>
      <c r="R264" s="54" t="s">
        <v>180</v>
      </c>
      <c r="S264" s="0" t="n">
        <v>0.08</v>
      </c>
      <c r="U264" s="31" t="n">
        <f aca="false">IF($B264&lt;&gt;'設定（最初に1回）'!$C$4,N(U263),IF(COUNTIFS(①今日の在庫を貼る!$B$6:$B$10005,$B264,①今日の在庫を貼る!$I$6:$I$10005,$I264)&gt;0,N(U263),N(U263)+1))</f>
        <v>2</v>
      </c>
    </row>
    <row r="265" customFormat="false" ht="15" hidden="false" customHeight="false" outlineLevel="0" collapsed="false">
      <c r="A265" s="0" t="n">
        <v>20260301</v>
      </c>
      <c r="B265" s="53" t="s">
        <v>490</v>
      </c>
      <c r="C265" s="54" t="s">
        <v>491</v>
      </c>
      <c r="D265" s="55" t="s">
        <v>191</v>
      </c>
      <c r="E265" s="54" t="s">
        <v>192</v>
      </c>
      <c r="F265" s="55" t="s">
        <v>175</v>
      </c>
      <c r="G265" s="55" t="s">
        <v>230</v>
      </c>
      <c r="H265" s="54" t="s">
        <v>231</v>
      </c>
      <c r="I265" s="53" t="s">
        <v>244</v>
      </c>
      <c r="J265" s="54" t="s">
        <v>245</v>
      </c>
      <c r="K265" s="0" t="n">
        <v>1</v>
      </c>
      <c r="L265" s="0" t="n">
        <v>35</v>
      </c>
      <c r="M265" s="0" t="n">
        <v>0</v>
      </c>
      <c r="N265" s="0" t="n">
        <v>35</v>
      </c>
      <c r="P265" s="0" t="n">
        <v>0</v>
      </c>
      <c r="Q265" s="0" t="n">
        <v>26884</v>
      </c>
      <c r="R265" s="54" t="s">
        <v>180</v>
      </c>
      <c r="S265" s="0" t="n">
        <v>0.08</v>
      </c>
      <c r="U265" s="31" t="n">
        <f aca="false">IF($B265&lt;&gt;'設定（最初に1回）'!$C$4,N(U264),IF(COUNTIFS(①今日の在庫を貼る!$B$6:$B$10005,$B265,①今日の在庫を貼る!$I$6:$I$10005,$I265)&gt;0,N(U264),N(U264)+1))</f>
        <v>2</v>
      </c>
    </row>
    <row r="266" customFormat="false" ht="15" hidden="false" customHeight="false" outlineLevel="0" collapsed="false">
      <c r="A266" s="0" t="n">
        <v>20260301</v>
      </c>
      <c r="B266" s="53" t="s">
        <v>490</v>
      </c>
      <c r="C266" s="54" t="s">
        <v>491</v>
      </c>
      <c r="D266" s="55" t="s">
        <v>191</v>
      </c>
      <c r="E266" s="54" t="s">
        <v>192</v>
      </c>
      <c r="F266" s="55" t="s">
        <v>175</v>
      </c>
      <c r="G266" s="55" t="s">
        <v>230</v>
      </c>
      <c r="H266" s="54" t="s">
        <v>231</v>
      </c>
      <c r="I266" s="53" t="s">
        <v>246</v>
      </c>
      <c r="J266" s="54" t="s">
        <v>247</v>
      </c>
      <c r="K266" s="0" t="n">
        <v>1</v>
      </c>
      <c r="L266" s="0" t="n">
        <v>19</v>
      </c>
      <c r="M266" s="0" t="n">
        <v>0</v>
      </c>
      <c r="N266" s="0" t="n">
        <v>19</v>
      </c>
      <c r="P266" s="0" t="n">
        <v>0</v>
      </c>
      <c r="Q266" s="0" t="n">
        <v>26884</v>
      </c>
      <c r="R266" s="54" t="s">
        <v>180</v>
      </c>
      <c r="S266" s="0" t="n">
        <v>0.08</v>
      </c>
      <c r="U266" s="31" t="n">
        <f aca="false">IF($B266&lt;&gt;'設定（最初に1回）'!$C$4,N(U265),IF(COUNTIFS(①今日の在庫を貼る!$B$6:$B$10005,$B266,①今日の在庫を貼る!$I$6:$I$10005,$I266)&gt;0,N(U265),N(U265)+1))</f>
        <v>2</v>
      </c>
    </row>
    <row r="267" customFormat="false" ht="15" hidden="false" customHeight="false" outlineLevel="0" collapsed="false">
      <c r="A267" s="0" t="n">
        <v>20260301</v>
      </c>
      <c r="B267" s="53" t="s">
        <v>490</v>
      </c>
      <c r="C267" s="54" t="s">
        <v>491</v>
      </c>
      <c r="D267" s="55" t="s">
        <v>191</v>
      </c>
      <c r="E267" s="54" t="s">
        <v>192</v>
      </c>
      <c r="F267" s="55" t="s">
        <v>175</v>
      </c>
      <c r="G267" s="55" t="s">
        <v>230</v>
      </c>
      <c r="H267" s="54" t="s">
        <v>231</v>
      </c>
      <c r="I267" s="53" t="s">
        <v>248</v>
      </c>
      <c r="J267" s="54" t="s">
        <v>249</v>
      </c>
      <c r="K267" s="0" t="n">
        <v>1</v>
      </c>
      <c r="L267" s="0" t="n">
        <v>35</v>
      </c>
      <c r="M267" s="0" t="n">
        <v>0</v>
      </c>
      <c r="N267" s="0" t="n">
        <v>35</v>
      </c>
      <c r="P267" s="0" t="n">
        <v>0</v>
      </c>
      <c r="Q267" s="0" t="n">
        <v>1386</v>
      </c>
      <c r="R267" s="54" t="s">
        <v>180</v>
      </c>
      <c r="S267" s="0" t="n">
        <v>0.08</v>
      </c>
      <c r="U267" s="31" t="n">
        <f aca="false">IF($B267&lt;&gt;'設定（最初に1回）'!$C$4,N(U266),IF(COUNTIFS(①今日の在庫を貼る!$B$6:$B$10005,$B267,①今日の在庫を貼る!$I$6:$I$10005,$I267)&gt;0,N(U266),N(U266)+1))</f>
        <v>2</v>
      </c>
    </row>
    <row r="268" customFormat="false" ht="15" hidden="false" customHeight="false" outlineLevel="0" collapsed="false">
      <c r="A268" s="0" t="n">
        <v>20260301</v>
      </c>
      <c r="B268" s="53" t="s">
        <v>490</v>
      </c>
      <c r="C268" s="54" t="s">
        <v>491</v>
      </c>
      <c r="D268" s="55" t="s">
        <v>191</v>
      </c>
      <c r="E268" s="54" t="s">
        <v>192</v>
      </c>
      <c r="F268" s="55" t="s">
        <v>175</v>
      </c>
      <c r="G268" s="55" t="s">
        <v>230</v>
      </c>
      <c r="H268" s="54" t="s">
        <v>231</v>
      </c>
      <c r="I268" s="53" t="s">
        <v>250</v>
      </c>
      <c r="J268" s="54" t="s">
        <v>251</v>
      </c>
      <c r="K268" s="0" t="n">
        <v>24</v>
      </c>
      <c r="L268" s="0" t="n">
        <v>11</v>
      </c>
      <c r="M268" s="0" t="n">
        <v>14</v>
      </c>
      <c r="N268" s="0" t="n">
        <v>278</v>
      </c>
      <c r="P268" s="0" t="n">
        <v>0</v>
      </c>
      <c r="Q268" s="0" t="n">
        <v>87</v>
      </c>
      <c r="R268" s="54" t="s">
        <v>180</v>
      </c>
      <c r="S268" s="0" t="n">
        <v>0.08</v>
      </c>
      <c r="U268" s="31" t="n">
        <f aca="false">IF($B268&lt;&gt;'設定（最初に1回）'!$C$4,N(U267),IF(COUNTIFS(①今日の在庫を貼る!$B$6:$B$10005,$B268,①今日の在庫を貼る!$I$6:$I$10005,$I268)&gt;0,N(U267),N(U267)+1))</f>
        <v>2</v>
      </c>
    </row>
    <row r="269" customFormat="false" ht="15" hidden="false" customHeight="false" outlineLevel="0" collapsed="false">
      <c r="A269" s="0" t="n">
        <v>20260301</v>
      </c>
      <c r="B269" s="53" t="s">
        <v>490</v>
      </c>
      <c r="C269" s="54" t="s">
        <v>491</v>
      </c>
      <c r="D269" s="55" t="s">
        <v>191</v>
      </c>
      <c r="E269" s="54" t="s">
        <v>192</v>
      </c>
      <c r="F269" s="55" t="s">
        <v>175</v>
      </c>
      <c r="G269" s="55" t="s">
        <v>252</v>
      </c>
      <c r="H269" s="54" t="s">
        <v>253</v>
      </c>
      <c r="I269" s="53" t="s">
        <v>254</v>
      </c>
      <c r="J269" s="54" t="s">
        <v>255</v>
      </c>
      <c r="K269" s="0" t="n">
        <v>1</v>
      </c>
      <c r="L269" s="0" t="n">
        <v>495</v>
      </c>
      <c r="M269" s="0" t="n">
        <v>0</v>
      </c>
      <c r="N269" s="0" t="n">
        <v>495</v>
      </c>
      <c r="P269" s="0" t="n">
        <v>0</v>
      </c>
      <c r="Q269" s="0" t="n">
        <v>12046</v>
      </c>
      <c r="R269" s="54" t="s">
        <v>180</v>
      </c>
      <c r="S269" s="0" t="n">
        <v>0.08</v>
      </c>
      <c r="U269" s="31" t="n">
        <f aca="false">IF($B269&lt;&gt;'設定（最初に1回）'!$C$4,N(U268),IF(COUNTIFS(①今日の在庫を貼る!$B$6:$B$10005,$B269,①今日の在庫を貼る!$I$6:$I$10005,$I269)&gt;0,N(U268),N(U268)+1))</f>
        <v>2</v>
      </c>
    </row>
    <row r="270" customFormat="false" ht="15" hidden="false" customHeight="false" outlineLevel="0" collapsed="false">
      <c r="A270" s="0" t="n">
        <v>20260301</v>
      </c>
      <c r="B270" s="53" t="s">
        <v>490</v>
      </c>
      <c r="C270" s="54" t="s">
        <v>491</v>
      </c>
      <c r="D270" s="55" t="s">
        <v>191</v>
      </c>
      <c r="E270" s="54" t="s">
        <v>192</v>
      </c>
      <c r="F270" s="55" t="s">
        <v>175</v>
      </c>
      <c r="G270" s="55" t="s">
        <v>252</v>
      </c>
      <c r="H270" s="54" t="s">
        <v>253</v>
      </c>
      <c r="I270" s="53" t="s">
        <v>256</v>
      </c>
      <c r="J270" s="54" t="s">
        <v>257</v>
      </c>
      <c r="K270" s="0" t="n">
        <v>1</v>
      </c>
      <c r="L270" s="0" t="n">
        <v>60</v>
      </c>
      <c r="M270" s="0" t="n">
        <v>0</v>
      </c>
      <c r="N270" s="0" t="n">
        <v>60</v>
      </c>
      <c r="P270" s="0" t="n">
        <v>0</v>
      </c>
      <c r="Q270" s="0" t="n">
        <v>5841</v>
      </c>
      <c r="R270" s="54" t="s">
        <v>180</v>
      </c>
      <c r="S270" s="0" t="n">
        <v>0.08</v>
      </c>
      <c r="U270" s="31" t="n">
        <f aca="false">IF($B270&lt;&gt;'設定（最初に1回）'!$C$4,N(U269),IF(COUNTIFS(①今日の在庫を貼る!$B$6:$B$10005,$B270,①今日の在庫を貼る!$I$6:$I$10005,$I270)&gt;0,N(U269),N(U269)+1))</f>
        <v>2</v>
      </c>
    </row>
    <row r="271" customFormat="false" ht="15" hidden="false" customHeight="false" outlineLevel="0" collapsed="false">
      <c r="A271" s="0" t="n">
        <v>20260301</v>
      </c>
      <c r="B271" s="53" t="s">
        <v>490</v>
      </c>
      <c r="C271" s="54" t="s">
        <v>491</v>
      </c>
      <c r="D271" s="55" t="s">
        <v>191</v>
      </c>
      <c r="E271" s="54" t="s">
        <v>192</v>
      </c>
      <c r="F271" s="55" t="s">
        <v>175</v>
      </c>
      <c r="G271" s="55" t="s">
        <v>252</v>
      </c>
      <c r="H271" s="54" t="s">
        <v>253</v>
      </c>
      <c r="I271" s="53" t="s">
        <v>258</v>
      </c>
      <c r="J271" s="54" t="s">
        <v>259</v>
      </c>
      <c r="K271" s="0" t="n">
        <v>6</v>
      </c>
      <c r="L271" s="0" t="n">
        <v>128</v>
      </c>
      <c r="M271" s="0" t="n">
        <v>1</v>
      </c>
      <c r="N271" s="0" t="n">
        <v>769</v>
      </c>
      <c r="P271" s="0" t="n">
        <v>0</v>
      </c>
      <c r="Q271" s="0" t="n">
        <v>786</v>
      </c>
      <c r="R271" s="54" t="s">
        <v>180</v>
      </c>
      <c r="S271" s="0" t="n">
        <v>0.08</v>
      </c>
      <c r="U271" s="31" t="n">
        <f aca="false">IF($B271&lt;&gt;'設定（最初に1回）'!$C$4,N(U270),IF(COUNTIFS(①今日の在庫を貼る!$B$6:$B$10005,$B271,①今日の在庫を貼る!$I$6:$I$10005,$I271)&gt;0,N(U270),N(U270)+1))</f>
        <v>2</v>
      </c>
    </row>
    <row r="272" customFormat="false" ht="15" hidden="false" customHeight="false" outlineLevel="0" collapsed="false">
      <c r="A272" s="0" t="n">
        <v>20260301</v>
      </c>
      <c r="B272" s="53" t="s">
        <v>490</v>
      </c>
      <c r="C272" s="54" t="s">
        <v>491</v>
      </c>
      <c r="D272" s="55" t="s">
        <v>191</v>
      </c>
      <c r="E272" s="54" t="s">
        <v>192</v>
      </c>
      <c r="F272" s="55" t="s">
        <v>175</v>
      </c>
      <c r="G272" s="55" t="s">
        <v>252</v>
      </c>
      <c r="H272" s="54" t="s">
        <v>253</v>
      </c>
      <c r="I272" s="53" t="s">
        <v>260</v>
      </c>
      <c r="J272" s="54" t="s">
        <v>261</v>
      </c>
      <c r="K272" s="0" t="n">
        <v>1</v>
      </c>
      <c r="L272" s="0" t="n">
        <v>168</v>
      </c>
      <c r="M272" s="0" t="n">
        <v>0</v>
      </c>
      <c r="N272" s="0" t="n">
        <v>168</v>
      </c>
      <c r="P272" s="0" t="n">
        <v>0</v>
      </c>
      <c r="Q272" s="0" t="n">
        <v>1024</v>
      </c>
      <c r="R272" s="54" t="s">
        <v>180</v>
      </c>
      <c r="S272" s="0" t="n">
        <v>0.08</v>
      </c>
      <c r="U272" s="31" t="n">
        <f aca="false">IF($B272&lt;&gt;'設定（最初に1回）'!$C$4,N(U271),IF(COUNTIFS(①今日の在庫を貼る!$B$6:$B$10005,$B272,①今日の在庫を貼る!$I$6:$I$10005,$I272)&gt;0,N(U271),N(U271)+1))</f>
        <v>2</v>
      </c>
    </row>
    <row r="273" customFormat="false" ht="15" hidden="false" customHeight="false" outlineLevel="0" collapsed="false">
      <c r="A273" s="0" t="n">
        <v>20260301</v>
      </c>
      <c r="B273" s="53" t="s">
        <v>490</v>
      </c>
      <c r="C273" s="54" t="s">
        <v>491</v>
      </c>
      <c r="D273" s="55" t="s">
        <v>191</v>
      </c>
      <c r="E273" s="54" t="s">
        <v>192</v>
      </c>
      <c r="F273" s="55" t="s">
        <v>175</v>
      </c>
      <c r="G273" s="55" t="s">
        <v>252</v>
      </c>
      <c r="H273" s="54" t="s">
        <v>253</v>
      </c>
      <c r="I273" s="53" t="s">
        <v>262</v>
      </c>
      <c r="J273" s="54" t="s">
        <v>263</v>
      </c>
      <c r="K273" s="0" t="n">
        <v>1</v>
      </c>
      <c r="L273" s="0" t="n">
        <v>488</v>
      </c>
      <c r="M273" s="0" t="n">
        <v>0</v>
      </c>
      <c r="N273" s="0" t="n">
        <v>488</v>
      </c>
      <c r="P273" s="0" t="n">
        <v>0</v>
      </c>
      <c r="Q273" s="0" t="n">
        <v>1074</v>
      </c>
      <c r="R273" s="54" t="s">
        <v>180</v>
      </c>
      <c r="S273" s="0" t="n">
        <v>0.08</v>
      </c>
      <c r="U273" s="31" t="n">
        <f aca="false">IF($B273&lt;&gt;'設定（最初に1回）'!$C$4,N(U272),IF(COUNTIFS(①今日の在庫を貼る!$B$6:$B$10005,$B273,①今日の在庫を貼る!$I$6:$I$10005,$I273)&gt;0,N(U272),N(U272)+1))</f>
        <v>2</v>
      </c>
    </row>
    <row r="274" customFormat="false" ht="15" hidden="false" customHeight="false" outlineLevel="0" collapsed="false">
      <c r="A274" s="0" t="n">
        <v>20260301</v>
      </c>
      <c r="B274" s="53" t="s">
        <v>490</v>
      </c>
      <c r="C274" s="54" t="s">
        <v>491</v>
      </c>
      <c r="D274" s="55" t="s">
        <v>191</v>
      </c>
      <c r="E274" s="54" t="s">
        <v>192</v>
      </c>
      <c r="F274" s="55" t="s">
        <v>175</v>
      </c>
      <c r="G274" s="55" t="s">
        <v>252</v>
      </c>
      <c r="H274" s="54" t="s">
        <v>253</v>
      </c>
      <c r="I274" s="53" t="s">
        <v>264</v>
      </c>
      <c r="J274" s="54" t="s">
        <v>265</v>
      </c>
      <c r="K274" s="0" t="n">
        <v>1</v>
      </c>
      <c r="L274" s="0" t="n">
        <v>38</v>
      </c>
      <c r="M274" s="0" t="n">
        <v>0</v>
      </c>
      <c r="N274" s="0" t="n">
        <v>38</v>
      </c>
      <c r="P274" s="0" t="n">
        <v>0</v>
      </c>
      <c r="Q274" s="0" t="n">
        <v>1396</v>
      </c>
      <c r="R274" s="54" t="s">
        <v>180</v>
      </c>
      <c r="S274" s="0" t="n">
        <v>0.08</v>
      </c>
      <c r="U274" s="31" t="n">
        <f aca="false">IF($B274&lt;&gt;'設定（最初に1回）'!$C$4,N(U273),IF(COUNTIFS(①今日の在庫を貼る!$B$6:$B$10005,$B274,①今日の在庫を貼る!$I$6:$I$10005,$I274)&gt;0,N(U273),N(U273)+1))</f>
        <v>2</v>
      </c>
    </row>
    <row r="275" customFormat="false" ht="15" hidden="false" customHeight="false" outlineLevel="0" collapsed="false">
      <c r="A275" s="0" t="n">
        <v>20260301</v>
      </c>
      <c r="B275" s="53" t="s">
        <v>490</v>
      </c>
      <c r="C275" s="54" t="s">
        <v>491</v>
      </c>
      <c r="D275" s="55" t="s">
        <v>191</v>
      </c>
      <c r="E275" s="54" t="s">
        <v>192</v>
      </c>
      <c r="F275" s="55" t="s">
        <v>175</v>
      </c>
      <c r="G275" s="55" t="s">
        <v>252</v>
      </c>
      <c r="H275" s="54" t="s">
        <v>253</v>
      </c>
      <c r="I275" s="53" t="s">
        <v>266</v>
      </c>
      <c r="J275" s="54" t="s">
        <v>267</v>
      </c>
      <c r="K275" s="0" t="n">
        <v>48</v>
      </c>
      <c r="L275" s="0" t="n">
        <v>23</v>
      </c>
      <c r="M275" s="0" t="n">
        <v>28</v>
      </c>
      <c r="N275" s="0" t="n">
        <v>1132</v>
      </c>
      <c r="P275" s="0" t="n">
        <v>0</v>
      </c>
      <c r="Q275" s="0" t="n">
        <v>114</v>
      </c>
      <c r="R275" s="54" t="s">
        <v>180</v>
      </c>
      <c r="S275" s="0" t="n">
        <v>0.08</v>
      </c>
      <c r="U275" s="31" t="n">
        <f aca="false">IF($B275&lt;&gt;'設定（最初に1回）'!$C$4,N(U274),IF(COUNTIFS(①今日の在庫を貼る!$B$6:$B$10005,$B275,①今日の在庫を貼る!$I$6:$I$10005,$I275)&gt;0,N(U274),N(U274)+1))</f>
        <v>2</v>
      </c>
    </row>
    <row r="276" customFormat="false" ht="15" hidden="false" customHeight="false" outlineLevel="0" collapsed="false">
      <c r="A276" s="0" t="n">
        <v>20260301</v>
      </c>
      <c r="B276" s="53" t="s">
        <v>490</v>
      </c>
      <c r="C276" s="54" t="s">
        <v>491</v>
      </c>
      <c r="D276" s="55" t="s">
        <v>191</v>
      </c>
      <c r="E276" s="54" t="s">
        <v>192</v>
      </c>
      <c r="F276" s="55" t="s">
        <v>175</v>
      </c>
      <c r="G276" s="55" t="s">
        <v>252</v>
      </c>
      <c r="H276" s="54" t="s">
        <v>253</v>
      </c>
      <c r="I276" s="53" t="s">
        <v>268</v>
      </c>
      <c r="J276" s="54" t="s">
        <v>269</v>
      </c>
      <c r="K276" s="0" t="n">
        <v>1</v>
      </c>
      <c r="L276" s="0" t="n">
        <v>1411</v>
      </c>
      <c r="M276" s="0" t="n">
        <v>0</v>
      </c>
      <c r="N276" s="0" t="n">
        <v>1411</v>
      </c>
      <c r="P276" s="0" t="n">
        <v>0</v>
      </c>
      <c r="Q276" s="0" t="n">
        <v>4420</v>
      </c>
      <c r="R276" s="54" t="s">
        <v>180</v>
      </c>
      <c r="S276" s="0" t="n">
        <v>0.08</v>
      </c>
      <c r="U276" s="31" t="n">
        <f aca="false">IF($B276&lt;&gt;'設定（最初に1回）'!$C$4,N(U275),IF(COUNTIFS(①今日の在庫を貼る!$B$6:$B$10005,$B276,①今日の在庫を貼る!$I$6:$I$10005,$I276)&gt;0,N(U275),N(U275)+1))</f>
        <v>2</v>
      </c>
    </row>
    <row r="277" customFormat="false" ht="15" hidden="false" customHeight="false" outlineLevel="0" collapsed="false">
      <c r="A277" s="0" t="n">
        <v>20260301</v>
      </c>
      <c r="B277" s="53" t="s">
        <v>490</v>
      </c>
      <c r="C277" s="54" t="s">
        <v>491</v>
      </c>
      <c r="D277" s="55" t="s">
        <v>191</v>
      </c>
      <c r="E277" s="54" t="s">
        <v>192</v>
      </c>
      <c r="F277" s="55" t="s">
        <v>175</v>
      </c>
      <c r="G277" s="55" t="s">
        <v>252</v>
      </c>
      <c r="H277" s="54" t="s">
        <v>253</v>
      </c>
      <c r="I277" s="53" t="s">
        <v>270</v>
      </c>
      <c r="J277" s="54" t="s">
        <v>271</v>
      </c>
      <c r="K277" s="0" t="n">
        <v>1</v>
      </c>
      <c r="L277" s="0" t="n">
        <v>118</v>
      </c>
      <c r="M277" s="0" t="n">
        <v>0</v>
      </c>
      <c r="N277" s="0" t="n">
        <v>118</v>
      </c>
      <c r="P277" s="0" t="n">
        <v>0</v>
      </c>
      <c r="Q277" s="0" t="n">
        <v>1099</v>
      </c>
      <c r="R277" s="54" t="s">
        <v>180</v>
      </c>
      <c r="S277" s="0" t="n">
        <v>0.08</v>
      </c>
      <c r="U277" s="31" t="n">
        <f aca="false">IF($B277&lt;&gt;'設定（最初に1回）'!$C$4,N(U276),IF(COUNTIFS(①今日の在庫を貼る!$B$6:$B$10005,$B277,①今日の在庫を貼る!$I$6:$I$10005,$I277)&gt;0,N(U276),N(U276)+1))</f>
        <v>2</v>
      </c>
    </row>
    <row r="278" customFormat="false" ht="15" hidden="false" customHeight="false" outlineLevel="0" collapsed="false">
      <c r="A278" s="0" t="n">
        <v>20260301</v>
      </c>
      <c r="B278" s="53" t="s">
        <v>490</v>
      </c>
      <c r="C278" s="54" t="s">
        <v>491</v>
      </c>
      <c r="D278" s="55" t="s">
        <v>191</v>
      </c>
      <c r="E278" s="54" t="s">
        <v>192</v>
      </c>
      <c r="F278" s="55" t="s">
        <v>175</v>
      </c>
      <c r="G278" s="55" t="s">
        <v>252</v>
      </c>
      <c r="H278" s="54" t="s">
        <v>253</v>
      </c>
      <c r="I278" s="53" t="s">
        <v>272</v>
      </c>
      <c r="J278" s="54" t="s">
        <v>273</v>
      </c>
      <c r="K278" s="0" t="n">
        <v>1</v>
      </c>
      <c r="L278" s="0" t="n">
        <v>193</v>
      </c>
      <c r="M278" s="0" t="n">
        <v>0</v>
      </c>
      <c r="N278" s="0" t="n">
        <v>193</v>
      </c>
      <c r="P278" s="0" t="n">
        <v>0</v>
      </c>
      <c r="Q278" s="0" t="n">
        <v>955</v>
      </c>
      <c r="R278" s="54" t="s">
        <v>180</v>
      </c>
      <c r="S278" s="0" t="n">
        <v>0.08</v>
      </c>
      <c r="U278" s="31" t="n">
        <f aca="false">IF($B278&lt;&gt;'設定（最初に1回）'!$C$4,N(U277),IF(COUNTIFS(①今日の在庫を貼る!$B$6:$B$10005,$B278,①今日の在庫を貼る!$I$6:$I$10005,$I278)&gt;0,N(U277),N(U277)+1))</f>
        <v>2</v>
      </c>
    </row>
    <row r="279" customFormat="false" ht="15" hidden="false" customHeight="false" outlineLevel="0" collapsed="false">
      <c r="A279" s="0" t="n">
        <v>20260301</v>
      </c>
      <c r="B279" s="53" t="s">
        <v>490</v>
      </c>
      <c r="C279" s="54" t="s">
        <v>491</v>
      </c>
      <c r="D279" s="55" t="s">
        <v>191</v>
      </c>
      <c r="E279" s="54" t="s">
        <v>192</v>
      </c>
      <c r="F279" s="55" t="s">
        <v>175</v>
      </c>
      <c r="G279" s="55" t="s">
        <v>252</v>
      </c>
      <c r="H279" s="54" t="s">
        <v>253</v>
      </c>
      <c r="I279" s="53" t="s">
        <v>274</v>
      </c>
      <c r="J279" s="54" t="s">
        <v>275</v>
      </c>
      <c r="K279" s="0" t="n">
        <v>1</v>
      </c>
      <c r="L279" s="0" t="n">
        <v>470</v>
      </c>
      <c r="M279" s="0" t="n">
        <v>0</v>
      </c>
      <c r="N279" s="0" t="n">
        <v>470</v>
      </c>
      <c r="P279" s="0" t="n">
        <v>0</v>
      </c>
      <c r="Q279" s="0" t="n">
        <v>6887</v>
      </c>
      <c r="R279" s="54" t="s">
        <v>180</v>
      </c>
      <c r="S279" s="0" t="n">
        <v>0.08</v>
      </c>
      <c r="U279" s="31" t="n">
        <f aca="false">IF($B279&lt;&gt;'設定（最初に1回）'!$C$4,N(U278),IF(COUNTIFS(①今日の在庫を貼る!$B$6:$B$10005,$B279,①今日の在庫を貼る!$I$6:$I$10005,$I279)&gt;0,N(U278),N(U278)+1))</f>
        <v>2</v>
      </c>
    </row>
    <row r="280" customFormat="false" ht="15" hidden="false" customHeight="false" outlineLevel="0" collapsed="false">
      <c r="A280" s="0" t="n">
        <v>20260301</v>
      </c>
      <c r="B280" s="53" t="s">
        <v>490</v>
      </c>
      <c r="C280" s="54" t="s">
        <v>491</v>
      </c>
      <c r="D280" s="55" t="s">
        <v>191</v>
      </c>
      <c r="E280" s="54" t="s">
        <v>192</v>
      </c>
      <c r="F280" s="55" t="s">
        <v>175</v>
      </c>
      <c r="G280" s="55" t="s">
        <v>252</v>
      </c>
      <c r="H280" s="54" t="s">
        <v>253</v>
      </c>
      <c r="I280" s="53" t="s">
        <v>276</v>
      </c>
      <c r="J280" s="54" t="s">
        <v>277</v>
      </c>
      <c r="K280" s="0" t="n">
        <v>1</v>
      </c>
      <c r="L280" s="0" t="n">
        <v>74</v>
      </c>
      <c r="M280" s="0" t="n">
        <v>0</v>
      </c>
      <c r="N280" s="0" t="n">
        <v>74</v>
      </c>
      <c r="P280" s="0" t="n">
        <v>0</v>
      </c>
      <c r="Q280" s="0" t="n">
        <v>1180</v>
      </c>
      <c r="R280" s="54" t="s">
        <v>180</v>
      </c>
      <c r="S280" s="0" t="n">
        <v>0.08</v>
      </c>
      <c r="U280" s="31" t="n">
        <f aca="false">IF($B280&lt;&gt;'設定（最初に1回）'!$C$4,N(U279),IF(COUNTIFS(①今日の在庫を貼る!$B$6:$B$10005,$B280,①今日の在庫を貼る!$I$6:$I$10005,$I280)&gt;0,N(U279),N(U279)+1))</f>
        <v>2</v>
      </c>
    </row>
    <row r="281" customFormat="false" ht="15" hidden="false" customHeight="false" outlineLevel="0" collapsed="false">
      <c r="A281" s="0" t="n">
        <v>20260301</v>
      </c>
      <c r="B281" s="53" t="s">
        <v>490</v>
      </c>
      <c r="C281" s="54" t="s">
        <v>491</v>
      </c>
      <c r="D281" s="55" t="s">
        <v>191</v>
      </c>
      <c r="E281" s="54" t="s">
        <v>192</v>
      </c>
      <c r="F281" s="55" t="s">
        <v>175</v>
      </c>
      <c r="G281" s="55" t="s">
        <v>252</v>
      </c>
      <c r="H281" s="54" t="s">
        <v>253</v>
      </c>
      <c r="I281" s="53" t="s">
        <v>278</v>
      </c>
      <c r="J281" s="54" t="s">
        <v>279</v>
      </c>
      <c r="K281" s="0" t="n">
        <v>1</v>
      </c>
      <c r="L281" s="0" t="n">
        <v>118</v>
      </c>
      <c r="M281" s="0" t="n">
        <v>0</v>
      </c>
      <c r="N281" s="0" t="n">
        <v>118</v>
      </c>
      <c r="P281" s="0" t="n">
        <v>0</v>
      </c>
      <c r="Q281" s="0" t="n">
        <v>1294</v>
      </c>
      <c r="R281" s="54" t="s">
        <v>180</v>
      </c>
      <c r="S281" s="0" t="n">
        <v>0.08</v>
      </c>
      <c r="U281" s="31" t="n">
        <f aca="false">IF($B281&lt;&gt;'設定（最初に1回）'!$C$4,N(U280),IF(COUNTIFS(①今日の在庫を貼る!$B$6:$B$10005,$B281,①今日の在庫を貼る!$I$6:$I$10005,$I281)&gt;0,N(U280),N(U280)+1))</f>
        <v>2</v>
      </c>
    </row>
    <row r="282" customFormat="false" ht="15" hidden="false" customHeight="false" outlineLevel="0" collapsed="false">
      <c r="A282" s="0" t="n">
        <v>20260301</v>
      </c>
      <c r="B282" s="53" t="s">
        <v>490</v>
      </c>
      <c r="C282" s="54" t="s">
        <v>491</v>
      </c>
      <c r="D282" s="55" t="s">
        <v>191</v>
      </c>
      <c r="E282" s="54" t="s">
        <v>192</v>
      </c>
      <c r="F282" s="55" t="s">
        <v>175</v>
      </c>
      <c r="G282" s="55" t="s">
        <v>280</v>
      </c>
      <c r="H282" s="54" t="s">
        <v>281</v>
      </c>
      <c r="I282" s="53" t="s">
        <v>282</v>
      </c>
      <c r="J282" s="54" t="s">
        <v>283</v>
      </c>
      <c r="K282" s="0" t="n">
        <v>96</v>
      </c>
      <c r="L282" s="0" t="n">
        <v>53</v>
      </c>
      <c r="M282" s="0" t="n">
        <v>46</v>
      </c>
      <c r="N282" s="0" t="n">
        <v>5134</v>
      </c>
      <c r="P282" s="0" t="n">
        <v>0</v>
      </c>
      <c r="Q282" s="0" t="n">
        <v>176</v>
      </c>
      <c r="R282" s="54" t="s">
        <v>180</v>
      </c>
      <c r="S282" s="0" t="n">
        <v>0.08</v>
      </c>
      <c r="U282" s="31" t="n">
        <f aca="false">IF($B282&lt;&gt;'設定（最初に1回）'!$C$4,N(U281),IF(COUNTIFS(①今日の在庫を貼る!$B$6:$B$10005,$B282,①今日の在庫を貼る!$I$6:$I$10005,$I282)&gt;0,N(U281),N(U281)+1))</f>
        <v>2</v>
      </c>
    </row>
    <row r="283" customFormat="false" ht="15" hidden="false" customHeight="false" outlineLevel="0" collapsed="false">
      <c r="A283" s="0" t="n">
        <v>20260301</v>
      </c>
      <c r="B283" s="53" t="s">
        <v>490</v>
      </c>
      <c r="C283" s="54" t="s">
        <v>491</v>
      </c>
      <c r="D283" s="55" t="s">
        <v>191</v>
      </c>
      <c r="E283" s="54" t="s">
        <v>192</v>
      </c>
      <c r="F283" s="55" t="s">
        <v>175</v>
      </c>
      <c r="G283" s="55" t="s">
        <v>280</v>
      </c>
      <c r="H283" s="54" t="s">
        <v>281</v>
      </c>
      <c r="I283" s="53" t="s">
        <v>284</v>
      </c>
      <c r="J283" s="54" t="s">
        <v>285</v>
      </c>
      <c r="K283" s="0" t="n">
        <v>96</v>
      </c>
      <c r="L283" s="0" t="n">
        <v>7</v>
      </c>
      <c r="M283" s="0" t="n">
        <v>43</v>
      </c>
      <c r="N283" s="0" t="n">
        <v>715</v>
      </c>
      <c r="P283" s="0" t="n">
        <v>0</v>
      </c>
      <c r="Q283" s="0" t="n">
        <v>242</v>
      </c>
      <c r="R283" s="54" t="s">
        <v>180</v>
      </c>
      <c r="S283" s="0" t="n">
        <v>0.08</v>
      </c>
      <c r="U283" s="31" t="n">
        <f aca="false">IF($B283&lt;&gt;'設定（最初に1回）'!$C$4,N(U282),IF(COUNTIFS(①今日の在庫を貼る!$B$6:$B$10005,$B283,①今日の在庫を貼る!$I$6:$I$10005,$I283)&gt;0,N(U282),N(U282)+1))</f>
        <v>2</v>
      </c>
    </row>
    <row r="284" customFormat="false" ht="15" hidden="false" customHeight="false" outlineLevel="0" collapsed="false">
      <c r="A284" s="0" t="n">
        <v>20260301</v>
      </c>
      <c r="B284" s="53" t="s">
        <v>490</v>
      </c>
      <c r="C284" s="54" t="s">
        <v>491</v>
      </c>
      <c r="D284" s="55" t="s">
        <v>191</v>
      </c>
      <c r="E284" s="54" t="s">
        <v>192</v>
      </c>
      <c r="F284" s="55" t="s">
        <v>175</v>
      </c>
      <c r="G284" s="55" t="s">
        <v>280</v>
      </c>
      <c r="H284" s="54" t="s">
        <v>281</v>
      </c>
      <c r="I284" s="53" t="s">
        <v>286</v>
      </c>
      <c r="J284" s="54" t="s">
        <v>287</v>
      </c>
      <c r="K284" s="0" t="n">
        <v>96</v>
      </c>
      <c r="L284" s="0" t="n">
        <v>27</v>
      </c>
      <c r="M284" s="0" t="n">
        <v>60</v>
      </c>
      <c r="N284" s="0" t="n">
        <v>2652</v>
      </c>
      <c r="P284" s="0" t="n">
        <v>0</v>
      </c>
      <c r="Q284" s="0" t="n">
        <v>239</v>
      </c>
      <c r="R284" s="54" t="s">
        <v>180</v>
      </c>
      <c r="S284" s="0" t="n">
        <v>0.08</v>
      </c>
      <c r="U284" s="31" t="n">
        <f aca="false">IF($B284&lt;&gt;'設定（最初に1回）'!$C$4,N(U283),IF(COUNTIFS(①今日の在庫を貼る!$B$6:$B$10005,$B284,①今日の在庫を貼る!$I$6:$I$10005,$I284)&gt;0,N(U283),N(U283)+1))</f>
        <v>2</v>
      </c>
    </row>
    <row r="285" customFormat="false" ht="15" hidden="false" customHeight="false" outlineLevel="0" collapsed="false">
      <c r="A285" s="0" t="n">
        <v>20260301</v>
      </c>
      <c r="B285" s="53" t="s">
        <v>490</v>
      </c>
      <c r="C285" s="54" t="s">
        <v>491</v>
      </c>
      <c r="D285" s="55" t="s">
        <v>191</v>
      </c>
      <c r="E285" s="54" t="s">
        <v>192</v>
      </c>
      <c r="F285" s="55" t="s">
        <v>175</v>
      </c>
      <c r="G285" s="55" t="s">
        <v>280</v>
      </c>
      <c r="H285" s="54" t="s">
        <v>281</v>
      </c>
      <c r="I285" s="53" t="s">
        <v>288</v>
      </c>
      <c r="J285" s="54" t="s">
        <v>289</v>
      </c>
      <c r="K285" s="0" t="n">
        <v>96</v>
      </c>
      <c r="L285" s="0" t="n">
        <v>17</v>
      </c>
      <c r="M285" s="0" t="n">
        <v>62</v>
      </c>
      <c r="N285" s="0" t="n">
        <v>1694</v>
      </c>
      <c r="P285" s="0" t="n">
        <v>0</v>
      </c>
      <c r="Q285" s="0" t="n">
        <v>244</v>
      </c>
      <c r="R285" s="54" t="s">
        <v>180</v>
      </c>
      <c r="S285" s="0" t="n">
        <v>0.08</v>
      </c>
      <c r="U285" s="31" t="n">
        <f aca="false">IF($B285&lt;&gt;'設定（最初に1回）'!$C$4,N(U284),IF(COUNTIFS(①今日の在庫を貼る!$B$6:$B$10005,$B285,①今日の在庫を貼る!$I$6:$I$10005,$I285)&gt;0,N(U284),N(U284)+1))</f>
        <v>2</v>
      </c>
    </row>
    <row r="286" customFormat="false" ht="15" hidden="false" customHeight="false" outlineLevel="0" collapsed="false">
      <c r="A286" s="0" t="n">
        <v>20260301</v>
      </c>
      <c r="B286" s="53" t="s">
        <v>490</v>
      </c>
      <c r="C286" s="54" t="s">
        <v>491</v>
      </c>
      <c r="D286" s="55" t="s">
        <v>191</v>
      </c>
      <c r="E286" s="54" t="s">
        <v>192</v>
      </c>
      <c r="F286" s="55" t="s">
        <v>175</v>
      </c>
      <c r="G286" s="55" t="s">
        <v>290</v>
      </c>
      <c r="H286" s="54" t="s">
        <v>291</v>
      </c>
      <c r="I286" s="53" t="s">
        <v>292</v>
      </c>
      <c r="J286" s="54" t="s">
        <v>293</v>
      </c>
      <c r="K286" s="0" t="n">
        <v>1</v>
      </c>
      <c r="L286" s="0" t="n">
        <v>2</v>
      </c>
      <c r="M286" s="0" t="n">
        <v>0</v>
      </c>
      <c r="N286" s="0" t="n">
        <v>2</v>
      </c>
      <c r="P286" s="0" t="n">
        <v>0</v>
      </c>
      <c r="Q286" s="0" t="n">
        <v>1755</v>
      </c>
      <c r="R286" s="54" t="s">
        <v>180</v>
      </c>
      <c r="S286" s="0" t="n">
        <v>0.08</v>
      </c>
      <c r="U286" s="31" t="n">
        <f aca="false">IF($B286&lt;&gt;'設定（最初に1回）'!$C$4,N(U285),IF(COUNTIFS(①今日の在庫を貼る!$B$6:$B$10005,$B286,①今日の在庫を貼る!$I$6:$I$10005,$I286)&gt;0,N(U285),N(U285)+1))</f>
        <v>2</v>
      </c>
    </row>
    <row r="287" customFormat="false" ht="15" hidden="false" customHeight="false" outlineLevel="0" collapsed="false">
      <c r="A287" s="0" t="n">
        <v>20260301</v>
      </c>
      <c r="B287" s="53" t="s">
        <v>490</v>
      </c>
      <c r="C287" s="54" t="s">
        <v>491</v>
      </c>
      <c r="D287" s="55" t="s">
        <v>191</v>
      </c>
      <c r="E287" s="54" t="s">
        <v>192</v>
      </c>
      <c r="F287" s="55" t="s">
        <v>175</v>
      </c>
      <c r="G287" s="55" t="s">
        <v>290</v>
      </c>
      <c r="H287" s="54" t="s">
        <v>291</v>
      </c>
      <c r="I287" s="53" t="s">
        <v>294</v>
      </c>
      <c r="J287" s="54" t="s">
        <v>295</v>
      </c>
      <c r="K287" s="0" t="n">
        <v>40</v>
      </c>
      <c r="L287" s="0" t="n">
        <v>58</v>
      </c>
      <c r="M287" s="0" t="n">
        <v>34</v>
      </c>
      <c r="N287" s="0" t="n">
        <v>2354</v>
      </c>
      <c r="P287" s="0" t="n">
        <v>0</v>
      </c>
      <c r="Q287" s="0" t="n">
        <v>96.25</v>
      </c>
      <c r="R287" s="54" t="s">
        <v>180</v>
      </c>
      <c r="S287" s="0" t="n">
        <v>0.08</v>
      </c>
      <c r="U287" s="31" t="n">
        <f aca="false">IF($B287&lt;&gt;'設定（最初に1回）'!$C$4,N(U286),IF(COUNTIFS(①今日の在庫を貼る!$B$6:$B$10005,$B287,①今日の在庫を貼る!$I$6:$I$10005,$I287)&gt;0,N(U286),N(U286)+1))</f>
        <v>2</v>
      </c>
    </row>
    <row r="288" customFormat="false" ht="15" hidden="false" customHeight="false" outlineLevel="0" collapsed="false">
      <c r="A288" s="0" t="n">
        <v>20260301</v>
      </c>
      <c r="B288" s="53" t="s">
        <v>490</v>
      </c>
      <c r="C288" s="54" t="s">
        <v>491</v>
      </c>
      <c r="D288" s="55" t="s">
        <v>191</v>
      </c>
      <c r="E288" s="54" t="s">
        <v>192</v>
      </c>
      <c r="F288" s="55" t="s">
        <v>175</v>
      </c>
      <c r="G288" s="55" t="s">
        <v>290</v>
      </c>
      <c r="H288" s="54" t="s">
        <v>291</v>
      </c>
      <c r="I288" s="53" t="s">
        <v>296</v>
      </c>
      <c r="J288" s="54" t="s">
        <v>297</v>
      </c>
      <c r="K288" s="0" t="n">
        <v>96</v>
      </c>
      <c r="L288" s="0" t="n">
        <v>10</v>
      </c>
      <c r="M288" s="0" t="n">
        <v>31</v>
      </c>
      <c r="N288" s="0" t="n">
        <v>991</v>
      </c>
      <c r="P288" s="0" t="n">
        <v>0</v>
      </c>
      <c r="Q288" s="0" t="n">
        <v>164</v>
      </c>
      <c r="R288" s="54" t="s">
        <v>180</v>
      </c>
      <c r="S288" s="0" t="n">
        <v>0.08</v>
      </c>
      <c r="U288" s="31" t="n">
        <f aca="false">IF($B288&lt;&gt;'設定（最初に1回）'!$C$4,N(U287),IF(COUNTIFS(①今日の在庫を貼る!$B$6:$B$10005,$B288,①今日の在庫を貼る!$I$6:$I$10005,$I288)&gt;0,N(U287),N(U287)+1))</f>
        <v>2</v>
      </c>
    </row>
    <row r="289" customFormat="false" ht="15" hidden="false" customHeight="false" outlineLevel="0" collapsed="false">
      <c r="A289" s="0" t="n">
        <v>20260301</v>
      </c>
      <c r="B289" s="53" t="s">
        <v>490</v>
      </c>
      <c r="C289" s="54" t="s">
        <v>491</v>
      </c>
      <c r="D289" s="55" t="s">
        <v>191</v>
      </c>
      <c r="E289" s="54" t="s">
        <v>192</v>
      </c>
      <c r="F289" s="55" t="s">
        <v>175</v>
      </c>
      <c r="G289" s="55" t="s">
        <v>298</v>
      </c>
      <c r="H289" s="54" t="s">
        <v>299</v>
      </c>
      <c r="I289" s="53" t="s">
        <v>300</v>
      </c>
      <c r="J289" s="54" t="s">
        <v>301</v>
      </c>
      <c r="K289" s="0" t="n">
        <v>100</v>
      </c>
      <c r="L289" s="0" t="n">
        <v>46</v>
      </c>
      <c r="M289" s="0" t="n">
        <v>14</v>
      </c>
      <c r="N289" s="0" t="n">
        <v>4614</v>
      </c>
      <c r="P289" s="0" t="n">
        <v>0</v>
      </c>
      <c r="Q289" s="0" t="n">
        <v>109</v>
      </c>
      <c r="R289" s="54" t="s">
        <v>180</v>
      </c>
      <c r="S289" s="0" t="n">
        <v>0.08</v>
      </c>
      <c r="U289" s="31" t="n">
        <f aca="false">IF($B289&lt;&gt;'設定（最初に1回）'!$C$4,N(U288),IF(COUNTIFS(①今日の在庫を貼る!$B$6:$B$10005,$B289,①今日の在庫を貼る!$I$6:$I$10005,$I289)&gt;0,N(U288),N(U288)+1))</f>
        <v>2</v>
      </c>
    </row>
    <row r="290" customFormat="false" ht="15" hidden="false" customHeight="false" outlineLevel="0" collapsed="false">
      <c r="A290" s="0" t="n">
        <v>20260301</v>
      </c>
      <c r="B290" s="53" t="s">
        <v>490</v>
      </c>
      <c r="C290" s="54" t="s">
        <v>491</v>
      </c>
      <c r="D290" s="55" t="s">
        <v>191</v>
      </c>
      <c r="E290" s="54" t="s">
        <v>192</v>
      </c>
      <c r="F290" s="55" t="s">
        <v>175</v>
      </c>
      <c r="G290" s="55" t="s">
        <v>298</v>
      </c>
      <c r="H290" s="54" t="s">
        <v>299</v>
      </c>
      <c r="I290" s="53" t="s">
        <v>302</v>
      </c>
      <c r="J290" s="54" t="s">
        <v>303</v>
      </c>
      <c r="K290" s="0" t="n">
        <v>100</v>
      </c>
      <c r="L290" s="0" t="n">
        <v>48</v>
      </c>
      <c r="M290" s="0" t="n">
        <v>58</v>
      </c>
      <c r="N290" s="0" t="n">
        <v>4858</v>
      </c>
      <c r="P290" s="0" t="n">
        <v>0</v>
      </c>
      <c r="Q290" s="0" t="n">
        <v>107</v>
      </c>
      <c r="R290" s="54" t="s">
        <v>180</v>
      </c>
      <c r="S290" s="0" t="n">
        <v>0.08</v>
      </c>
      <c r="U290" s="31" t="n">
        <f aca="false">IF($B290&lt;&gt;'設定（最初に1回）'!$C$4,N(U289),IF(COUNTIFS(①今日の在庫を貼る!$B$6:$B$10005,$B290,①今日の在庫を貼る!$I$6:$I$10005,$I290)&gt;0,N(U289),N(U289)+1))</f>
        <v>2</v>
      </c>
    </row>
    <row r="291" customFormat="false" ht="15" hidden="false" customHeight="false" outlineLevel="0" collapsed="false">
      <c r="A291" s="0" t="n">
        <v>20260301</v>
      </c>
      <c r="B291" s="53" t="s">
        <v>490</v>
      </c>
      <c r="C291" s="54" t="s">
        <v>491</v>
      </c>
      <c r="D291" s="55" t="s">
        <v>191</v>
      </c>
      <c r="E291" s="54" t="s">
        <v>192</v>
      </c>
      <c r="F291" s="55" t="s">
        <v>175</v>
      </c>
      <c r="G291" s="55" t="s">
        <v>298</v>
      </c>
      <c r="H291" s="54" t="s">
        <v>299</v>
      </c>
      <c r="I291" s="53" t="s">
        <v>304</v>
      </c>
      <c r="J291" s="54" t="s">
        <v>305</v>
      </c>
      <c r="K291" s="0" t="n">
        <v>1</v>
      </c>
      <c r="L291" s="0" t="n">
        <v>28</v>
      </c>
      <c r="M291" s="0" t="n">
        <v>0</v>
      </c>
      <c r="N291" s="0" t="n">
        <v>28</v>
      </c>
      <c r="P291" s="0" t="n">
        <v>0</v>
      </c>
      <c r="Q291" s="0" t="n">
        <v>1181</v>
      </c>
      <c r="R291" s="54" t="s">
        <v>180</v>
      </c>
      <c r="S291" s="0" t="n">
        <v>0.08</v>
      </c>
      <c r="U291" s="31" t="n">
        <f aca="false">IF($B291&lt;&gt;'設定（最初に1回）'!$C$4,N(U290),IF(COUNTIFS(①今日の在庫を貼る!$B$6:$B$10005,$B291,①今日の在庫を貼る!$I$6:$I$10005,$I291)&gt;0,N(U290),N(U290)+1))</f>
        <v>2</v>
      </c>
    </row>
    <row r="292" customFormat="false" ht="15" hidden="false" customHeight="false" outlineLevel="0" collapsed="false">
      <c r="A292" s="0" t="n">
        <v>20260301</v>
      </c>
      <c r="B292" s="53" t="s">
        <v>490</v>
      </c>
      <c r="C292" s="54" t="s">
        <v>491</v>
      </c>
      <c r="D292" s="55" t="s">
        <v>191</v>
      </c>
      <c r="E292" s="54" t="s">
        <v>192</v>
      </c>
      <c r="F292" s="55" t="s">
        <v>175</v>
      </c>
      <c r="G292" s="55" t="s">
        <v>298</v>
      </c>
      <c r="H292" s="54" t="s">
        <v>299</v>
      </c>
      <c r="I292" s="53" t="s">
        <v>306</v>
      </c>
      <c r="J292" s="54" t="s">
        <v>307</v>
      </c>
      <c r="K292" s="0" t="n">
        <v>1</v>
      </c>
      <c r="L292" s="0" t="n">
        <v>104</v>
      </c>
      <c r="M292" s="0" t="n">
        <v>0</v>
      </c>
      <c r="N292" s="0" t="n">
        <v>104</v>
      </c>
      <c r="P292" s="0" t="n">
        <v>0</v>
      </c>
      <c r="Q292" s="0" t="n">
        <v>1181</v>
      </c>
      <c r="R292" s="54" t="s">
        <v>180</v>
      </c>
      <c r="S292" s="0" t="n">
        <v>0.08</v>
      </c>
      <c r="U292" s="31" t="n">
        <f aca="false">IF($B292&lt;&gt;'設定（最初に1回）'!$C$4,N(U291),IF(COUNTIFS(①今日の在庫を貼る!$B$6:$B$10005,$B292,①今日の在庫を貼る!$I$6:$I$10005,$I292)&gt;0,N(U291),N(U291)+1))</f>
        <v>2</v>
      </c>
    </row>
    <row r="293" customFormat="false" ht="15" hidden="false" customHeight="false" outlineLevel="0" collapsed="false">
      <c r="A293" s="0" t="n">
        <v>20260301</v>
      </c>
      <c r="B293" s="53" t="s">
        <v>490</v>
      </c>
      <c r="C293" s="54" t="s">
        <v>491</v>
      </c>
      <c r="D293" s="55" t="s">
        <v>191</v>
      </c>
      <c r="E293" s="54" t="s">
        <v>192</v>
      </c>
      <c r="F293" s="55" t="s">
        <v>175</v>
      </c>
      <c r="G293" s="55" t="s">
        <v>298</v>
      </c>
      <c r="H293" s="54" t="s">
        <v>299</v>
      </c>
      <c r="I293" s="53" t="s">
        <v>308</v>
      </c>
      <c r="J293" s="54" t="s">
        <v>309</v>
      </c>
      <c r="K293" s="0" t="n">
        <v>1</v>
      </c>
      <c r="L293" s="0" t="n">
        <v>4</v>
      </c>
      <c r="M293" s="0" t="n">
        <v>0</v>
      </c>
      <c r="N293" s="0" t="n">
        <v>4</v>
      </c>
      <c r="P293" s="0" t="n">
        <v>0</v>
      </c>
      <c r="Q293" s="0" t="n">
        <v>1181</v>
      </c>
      <c r="R293" s="54" t="s">
        <v>180</v>
      </c>
      <c r="S293" s="0" t="n">
        <v>0.08</v>
      </c>
      <c r="U293" s="31" t="n">
        <f aca="false">IF($B293&lt;&gt;'設定（最初に1回）'!$C$4,N(U292),IF(COUNTIFS(①今日の在庫を貼る!$B$6:$B$10005,$B293,①今日の在庫を貼る!$I$6:$I$10005,$I293)&gt;0,N(U292),N(U292)+1))</f>
        <v>2</v>
      </c>
    </row>
    <row r="294" customFormat="false" ht="15" hidden="false" customHeight="false" outlineLevel="0" collapsed="false">
      <c r="A294" s="0" t="n">
        <v>20260301</v>
      </c>
      <c r="B294" s="53" t="s">
        <v>490</v>
      </c>
      <c r="C294" s="54" t="s">
        <v>491</v>
      </c>
      <c r="D294" s="55" t="s">
        <v>191</v>
      </c>
      <c r="E294" s="54" t="s">
        <v>192</v>
      </c>
      <c r="F294" s="55" t="s">
        <v>175</v>
      </c>
      <c r="G294" s="55" t="s">
        <v>298</v>
      </c>
      <c r="H294" s="54" t="s">
        <v>299</v>
      </c>
      <c r="I294" s="53" t="s">
        <v>310</v>
      </c>
      <c r="J294" s="54" t="s">
        <v>311</v>
      </c>
      <c r="K294" s="0" t="n">
        <v>1</v>
      </c>
      <c r="L294" s="0" t="n">
        <v>30</v>
      </c>
      <c r="M294" s="0" t="n">
        <v>0</v>
      </c>
      <c r="N294" s="0" t="n">
        <v>30</v>
      </c>
      <c r="P294" s="0" t="n">
        <v>0</v>
      </c>
      <c r="Q294" s="0" t="n">
        <v>1181</v>
      </c>
      <c r="R294" s="54" t="s">
        <v>180</v>
      </c>
      <c r="S294" s="0" t="n">
        <v>0.08</v>
      </c>
      <c r="U294" s="31" t="n">
        <f aca="false">IF($B294&lt;&gt;'設定（最初に1回）'!$C$4,N(U293),IF(COUNTIFS(①今日の在庫を貼る!$B$6:$B$10005,$B294,①今日の在庫を貼る!$I$6:$I$10005,$I294)&gt;0,N(U293),N(U293)+1))</f>
        <v>2</v>
      </c>
    </row>
    <row r="295" customFormat="false" ht="15" hidden="false" customHeight="false" outlineLevel="0" collapsed="false">
      <c r="A295" s="0" t="n">
        <v>20260301</v>
      </c>
      <c r="B295" s="53" t="s">
        <v>490</v>
      </c>
      <c r="C295" s="54" t="s">
        <v>491</v>
      </c>
      <c r="D295" s="55" t="s">
        <v>191</v>
      </c>
      <c r="E295" s="54" t="s">
        <v>192</v>
      </c>
      <c r="F295" s="55" t="s">
        <v>175</v>
      </c>
      <c r="G295" s="55" t="s">
        <v>298</v>
      </c>
      <c r="H295" s="54" t="s">
        <v>299</v>
      </c>
      <c r="I295" s="53" t="s">
        <v>312</v>
      </c>
      <c r="J295" s="54" t="s">
        <v>313</v>
      </c>
      <c r="K295" s="0" t="n">
        <v>1</v>
      </c>
      <c r="L295" s="0" t="n">
        <v>165</v>
      </c>
      <c r="M295" s="0" t="n">
        <v>0</v>
      </c>
      <c r="N295" s="0" t="n">
        <v>165</v>
      </c>
      <c r="P295" s="0" t="n">
        <v>0</v>
      </c>
      <c r="Q295" s="0" t="n">
        <v>1181</v>
      </c>
      <c r="R295" s="54" t="s">
        <v>180</v>
      </c>
      <c r="S295" s="0" t="n">
        <v>0.08</v>
      </c>
      <c r="U295" s="31" t="n">
        <f aca="false">IF($B295&lt;&gt;'設定（最初に1回）'!$C$4,N(U294),IF(COUNTIFS(①今日の在庫を貼る!$B$6:$B$10005,$B295,①今日の在庫を貼る!$I$6:$I$10005,$I295)&gt;0,N(U294),N(U294)+1))</f>
        <v>2</v>
      </c>
    </row>
    <row r="296" customFormat="false" ht="15" hidden="false" customHeight="false" outlineLevel="0" collapsed="false">
      <c r="A296" s="0" t="n">
        <v>20260301</v>
      </c>
      <c r="B296" s="53" t="s">
        <v>490</v>
      </c>
      <c r="C296" s="54" t="s">
        <v>491</v>
      </c>
      <c r="D296" s="55" t="s">
        <v>191</v>
      </c>
      <c r="E296" s="54" t="s">
        <v>192</v>
      </c>
      <c r="F296" s="55" t="s">
        <v>175</v>
      </c>
      <c r="G296" s="55" t="s">
        <v>298</v>
      </c>
      <c r="H296" s="54" t="s">
        <v>299</v>
      </c>
      <c r="I296" s="53" t="s">
        <v>314</v>
      </c>
      <c r="J296" s="54" t="s">
        <v>315</v>
      </c>
      <c r="K296" s="0" t="n">
        <v>1</v>
      </c>
      <c r="L296" s="0" t="n">
        <v>9</v>
      </c>
      <c r="M296" s="0" t="n">
        <v>0</v>
      </c>
      <c r="N296" s="0" t="n">
        <v>9</v>
      </c>
      <c r="P296" s="0" t="n">
        <v>0</v>
      </c>
      <c r="Q296" s="0" t="n">
        <v>1181</v>
      </c>
      <c r="R296" s="54" t="s">
        <v>180</v>
      </c>
      <c r="S296" s="0" t="n">
        <v>0.08</v>
      </c>
      <c r="U296" s="31" t="n">
        <f aca="false">IF($B296&lt;&gt;'設定（最初に1回）'!$C$4,N(U295),IF(COUNTIFS(①今日の在庫を貼る!$B$6:$B$10005,$B296,①今日の在庫を貼る!$I$6:$I$10005,$I296)&gt;0,N(U295),N(U295)+1))</f>
        <v>2</v>
      </c>
    </row>
    <row r="297" customFormat="false" ht="15" hidden="false" customHeight="false" outlineLevel="0" collapsed="false">
      <c r="A297" s="0" t="n">
        <v>20260301</v>
      </c>
      <c r="B297" s="53" t="s">
        <v>490</v>
      </c>
      <c r="C297" s="54" t="s">
        <v>491</v>
      </c>
      <c r="D297" s="55" t="s">
        <v>191</v>
      </c>
      <c r="E297" s="54" t="s">
        <v>192</v>
      </c>
      <c r="F297" s="55" t="s">
        <v>175</v>
      </c>
      <c r="G297" s="55" t="s">
        <v>298</v>
      </c>
      <c r="H297" s="54" t="s">
        <v>299</v>
      </c>
      <c r="I297" s="53" t="s">
        <v>316</v>
      </c>
      <c r="J297" s="54" t="s">
        <v>317</v>
      </c>
      <c r="K297" s="0" t="n">
        <v>1</v>
      </c>
      <c r="L297" s="0" t="n">
        <v>11</v>
      </c>
      <c r="M297" s="0" t="n">
        <v>0</v>
      </c>
      <c r="N297" s="0" t="n">
        <v>11</v>
      </c>
      <c r="P297" s="0" t="n">
        <v>0</v>
      </c>
      <c r="Q297" s="0" t="n">
        <v>1181</v>
      </c>
      <c r="R297" s="54" t="s">
        <v>180</v>
      </c>
      <c r="S297" s="0" t="n">
        <v>0.08</v>
      </c>
      <c r="U297" s="31" t="n">
        <f aca="false">IF($B297&lt;&gt;'設定（最初に1回）'!$C$4,N(U296),IF(COUNTIFS(①今日の在庫を貼る!$B$6:$B$10005,$B297,①今日の在庫を貼る!$I$6:$I$10005,$I297)&gt;0,N(U296),N(U296)+1))</f>
        <v>2</v>
      </c>
    </row>
    <row r="298" customFormat="false" ht="15" hidden="false" customHeight="false" outlineLevel="0" collapsed="false">
      <c r="A298" s="0" t="n">
        <v>20260301</v>
      </c>
      <c r="B298" s="53" t="s">
        <v>490</v>
      </c>
      <c r="C298" s="54" t="s">
        <v>491</v>
      </c>
      <c r="D298" s="55" t="s">
        <v>191</v>
      </c>
      <c r="E298" s="54" t="s">
        <v>192</v>
      </c>
      <c r="F298" s="55" t="s">
        <v>175</v>
      </c>
      <c r="G298" s="55" t="s">
        <v>298</v>
      </c>
      <c r="H298" s="54" t="s">
        <v>299</v>
      </c>
      <c r="I298" s="53" t="s">
        <v>318</v>
      </c>
      <c r="J298" s="54" t="s">
        <v>319</v>
      </c>
      <c r="K298" s="0" t="n">
        <v>1</v>
      </c>
      <c r="L298" s="0" t="n">
        <v>290</v>
      </c>
      <c r="M298" s="0" t="n">
        <v>0</v>
      </c>
      <c r="N298" s="0" t="n">
        <v>290</v>
      </c>
      <c r="P298" s="0" t="n">
        <v>0</v>
      </c>
      <c r="Q298" s="0" t="n">
        <v>730</v>
      </c>
      <c r="R298" s="54" t="s">
        <v>180</v>
      </c>
      <c r="S298" s="0" t="n">
        <v>0.08</v>
      </c>
      <c r="U298" s="31" t="n">
        <f aca="false">IF($B298&lt;&gt;'設定（最初に1回）'!$C$4,N(U297),IF(COUNTIFS(①今日の在庫を貼る!$B$6:$B$10005,$B298,①今日の在庫を貼る!$I$6:$I$10005,$I298)&gt;0,N(U297),N(U297)+1))</f>
        <v>2</v>
      </c>
    </row>
    <row r="299" customFormat="false" ht="15" hidden="false" customHeight="false" outlineLevel="0" collapsed="false">
      <c r="A299" s="0" t="n">
        <v>20260301</v>
      </c>
      <c r="B299" s="53" t="s">
        <v>490</v>
      </c>
      <c r="C299" s="54" t="s">
        <v>491</v>
      </c>
      <c r="D299" s="55" t="s">
        <v>191</v>
      </c>
      <c r="E299" s="54" t="s">
        <v>192</v>
      </c>
      <c r="F299" s="55" t="s">
        <v>175</v>
      </c>
      <c r="G299" s="55" t="s">
        <v>298</v>
      </c>
      <c r="H299" s="54" t="s">
        <v>299</v>
      </c>
      <c r="I299" s="53" t="s">
        <v>320</v>
      </c>
      <c r="J299" s="54" t="s">
        <v>321</v>
      </c>
      <c r="K299" s="0" t="n">
        <v>1</v>
      </c>
      <c r="L299" s="0" t="n">
        <v>86</v>
      </c>
      <c r="M299" s="0" t="n">
        <v>0</v>
      </c>
      <c r="N299" s="0" t="n">
        <v>86</v>
      </c>
      <c r="P299" s="0" t="n">
        <v>0</v>
      </c>
      <c r="Q299" s="0" t="n">
        <v>804</v>
      </c>
      <c r="R299" s="54" t="s">
        <v>180</v>
      </c>
      <c r="S299" s="0" t="n">
        <v>0.08</v>
      </c>
      <c r="U299" s="31" t="n">
        <f aca="false">IF($B299&lt;&gt;'設定（最初に1回）'!$C$4,N(U298),IF(COUNTIFS(①今日の在庫を貼る!$B$6:$B$10005,$B299,①今日の在庫を貼る!$I$6:$I$10005,$I299)&gt;0,N(U298),N(U298)+1))</f>
        <v>2</v>
      </c>
    </row>
    <row r="300" customFormat="false" ht="15" hidden="false" customHeight="false" outlineLevel="0" collapsed="false">
      <c r="A300" s="0" t="n">
        <v>20260301</v>
      </c>
      <c r="B300" s="53" t="s">
        <v>490</v>
      </c>
      <c r="C300" s="54" t="s">
        <v>491</v>
      </c>
      <c r="D300" s="55" t="s">
        <v>191</v>
      </c>
      <c r="E300" s="54" t="s">
        <v>192</v>
      </c>
      <c r="F300" s="55" t="s">
        <v>175</v>
      </c>
      <c r="G300" s="55" t="s">
        <v>298</v>
      </c>
      <c r="H300" s="54" t="s">
        <v>299</v>
      </c>
      <c r="I300" s="53" t="s">
        <v>322</v>
      </c>
      <c r="J300" s="54" t="s">
        <v>323</v>
      </c>
      <c r="K300" s="0" t="n">
        <v>1</v>
      </c>
      <c r="L300" s="0" t="n">
        <v>51</v>
      </c>
      <c r="M300" s="0" t="n">
        <v>0</v>
      </c>
      <c r="N300" s="0" t="n">
        <v>51</v>
      </c>
      <c r="P300" s="0" t="n">
        <v>0</v>
      </c>
      <c r="Q300" s="0" t="n">
        <v>1181</v>
      </c>
      <c r="R300" s="54" t="s">
        <v>180</v>
      </c>
      <c r="S300" s="0" t="n">
        <v>0.08</v>
      </c>
      <c r="U300" s="31" t="n">
        <f aca="false">IF($B300&lt;&gt;'設定（最初に1回）'!$C$4,N(U299),IF(COUNTIFS(①今日の在庫を貼る!$B$6:$B$10005,$B300,①今日の在庫を貼る!$I$6:$I$10005,$I300)&gt;0,N(U299),N(U299)+1))</f>
        <v>2</v>
      </c>
    </row>
    <row r="301" customFormat="false" ht="15" hidden="false" customHeight="false" outlineLevel="0" collapsed="false">
      <c r="A301" s="0" t="n">
        <v>20260301</v>
      </c>
      <c r="B301" s="53" t="s">
        <v>490</v>
      </c>
      <c r="C301" s="54" t="s">
        <v>491</v>
      </c>
      <c r="D301" s="55" t="s">
        <v>191</v>
      </c>
      <c r="E301" s="54" t="s">
        <v>192</v>
      </c>
      <c r="F301" s="55" t="s">
        <v>175</v>
      </c>
      <c r="G301" s="55" t="s">
        <v>324</v>
      </c>
      <c r="H301" s="54" t="s">
        <v>325</v>
      </c>
      <c r="I301" s="53" t="s">
        <v>326</v>
      </c>
      <c r="J301" s="54" t="s">
        <v>327</v>
      </c>
      <c r="K301" s="0" t="n">
        <v>120</v>
      </c>
      <c r="L301" s="0" t="n">
        <v>7</v>
      </c>
      <c r="M301" s="0" t="n">
        <v>24</v>
      </c>
      <c r="N301" s="0" t="n">
        <v>864</v>
      </c>
      <c r="P301" s="0" t="n">
        <v>0</v>
      </c>
      <c r="Q301" s="0" t="n">
        <v>174</v>
      </c>
      <c r="R301" s="54" t="s">
        <v>180</v>
      </c>
      <c r="S301" s="0" t="n">
        <v>0.08</v>
      </c>
      <c r="U301" s="31" t="n">
        <f aca="false">IF($B301&lt;&gt;'設定（最初に1回）'!$C$4,N(U300),IF(COUNTIFS(①今日の在庫を貼る!$B$6:$B$10005,$B301,①今日の在庫を貼る!$I$6:$I$10005,$I301)&gt;0,N(U300),N(U300)+1))</f>
        <v>2</v>
      </c>
    </row>
    <row r="302" customFormat="false" ht="15" hidden="false" customHeight="false" outlineLevel="0" collapsed="false">
      <c r="A302" s="0" t="n">
        <v>20260301</v>
      </c>
      <c r="B302" s="53" t="s">
        <v>490</v>
      </c>
      <c r="C302" s="54" t="s">
        <v>491</v>
      </c>
      <c r="D302" s="55" t="s">
        <v>191</v>
      </c>
      <c r="E302" s="54" t="s">
        <v>192</v>
      </c>
      <c r="F302" s="55" t="s">
        <v>175</v>
      </c>
      <c r="G302" s="55" t="s">
        <v>324</v>
      </c>
      <c r="H302" s="54" t="s">
        <v>325</v>
      </c>
      <c r="I302" s="53" t="s">
        <v>328</v>
      </c>
      <c r="J302" s="54" t="s">
        <v>329</v>
      </c>
      <c r="K302" s="0" t="n">
        <v>120</v>
      </c>
      <c r="L302" s="0" t="n">
        <v>13</v>
      </c>
      <c r="M302" s="0" t="n">
        <v>20</v>
      </c>
      <c r="N302" s="0" t="n">
        <v>1580</v>
      </c>
      <c r="P302" s="0" t="n">
        <v>0</v>
      </c>
      <c r="Q302" s="0" t="n">
        <v>162</v>
      </c>
      <c r="R302" s="54" t="s">
        <v>180</v>
      </c>
      <c r="S302" s="0" t="n">
        <v>0.08</v>
      </c>
      <c r="U302" s="31" t="n">
        <f aca="false">IF($B302&lt;&gt;'設定（最初に1回）'!$C$4,N(U301),IF(COUNTIFS(①今日の在庫を貼る!$B$6:$B$10005,$B302,①今日の在庫を貼る!$I$6:$I$10005,$I302)&gt;0,N(U301),N(U301)+1))</f>
        <v>2</v>
      </c>
    </row>
    <row r="303" customFormat="false" ht="15" hidden="false" customHeight="false" outlineLevel="0" collapsed="false">
      <c r="A303" s="0" t="n">
        <v>20260301</v>
      </c>
      <c r="B303" s="53" t="s">
        <v>490</v>
      </c>
      <c r="C303" s="54" t="s">
        <v>491</v>
      </c>
      <c r="D303" s="55" t="s">
        <v>191</v>
      </c>
      <c r="E303" s="54" t="s">
        <v>192</v>
      </c>
      <c r="F303" s="55" t="s">
        <v>175</v>
      </c>
      <c r="G303" s="55" t="s">
        <v>330</v>
      </c>
      <c r="H303" s="54" t="s">
        <v>331</v>
      </c>
      <c r="I303" s="53" t="s">
        <v>332</v>
      </c>
      <c r="J303" s="54" t="s">
        <v>333</v>
      </c>
      <c r="K303" s="0" t="n">
        <v>1</v>
      </c>
      <c r="L303" s="0" t="n">
        <v>246</v>
      </c>
      <c r="M303" s="0" t="n">
        <v>0</v>
      </c>
      <c r="N303" s="0" t="n">
        <v>246</v>
      </c>
      <c r="P303" s="0" t="n">
        <v>0</v>
      </c>
      <c r="Q303" s="0" t="n">
        <v>458</v>
      </c>
      <c r="R303" s="54" t="s">
        <v>180</v>
      </c>
      <c r="S303" s="0" t="n">
        <v>0.08</v>
      </c>
      <c r="U303" s="31" t="n">
        <f aca="false">IF($B303&lt;&gt;'設定（最初に1回）'!$C$4,N(U302),IF(COUNTIFS(①今日の在庫を貼る!$B$6:$B$10005,$B303,①今日の在庫を貼る!$I$6:$I$10005,$I303)&gt;0,N(U302),N(U302)+1))</f>
        <v>2</v>
      </c>
    </row>
    <row r="304" customFormat="false" ht="15" hidden="false" customHeight="false" outlineLevel="0" collapsed="false">
      <c r="A304" s="0" t="n">
        <v>20260301</v>
      </c>
      <c r="B304" s="53" t="s">
        <v>490</v>
      </c>
      <c r="C304" s="54" t="s">
        <v>491</v>
      </c>
      <c r="D304" s="55" t="s">
        <v>191</v>
      </c>
      <c r="E304" s="54" t="s">
        <v>192</v>
      </c>
      <c r="F304" s="55" t="s">
        <v>175</v>
      </c>
      <c r="G304" s="55" t="s">
        <v>330</v>
      </c>
      <c r="H304" s="54" t="s">
        <v>331</v>
      </c>
      <c r="I304" s="53" t="s">
        <v>334</v>
      </c>
      <c r="J304" s="54" t="s">
        <v>335</v>
      </c>
      <c r="K304" s="0" t="n">
        <v>1</v>
      </c>
      <c r="L304" s="0" t="n">
        <v>46</v>
      </c>
      <c r="M304" s="0" t="n">
        <v>0</v>
      </c>
      <c r="N304" s="0" t="n">
        <v>46</v>
      </c>
      <c r="P304" s="0" t="n">
        <v>0</v>
      </c>
      <c r="Q304" s="0" t="n">
        <v>452</v>
      </c>
      <c r="R304" s="54" t="s">
        <v>180</v>
      </c>
      <c r="S304" s="0" t="n">
        <v>0.08</v>
      </c>
      <c r="U304" s="31" t="n">
        <f aca="false">IF($B304&lt;&gt;'設定（最初に1回）'!$C$4,N(U303),IF(COUNTIFS(①今日の在庫を貼る!$B$6:$B$10005,$B304,①今日の在庫を貼る!$I$6:$I$10005,$I304)&gt;0,N(U303),N(U303)+1))</f>
        <v>2</v>
      </c>
    </row>
    <row r="305" customFormat="false" ht="15" hidden="false" customHeight="false" outlineLevel="0" collapsed="false">
      <c r="A305" s="0" t="n">
        <v>20260301</v>
      </c>
      <c r="B305" s="53" t="s">
        <v>490</v>
      </c>
      <c r="C305" s="54" t="s">
        <v>491</v>
      </c>
      <c r="D305" s="55" t="s">
        <v>191</v>
      </c>
      <c r="E305" s="54" t="s">
        <v>192</v>
      </c>
      <c r="F305" s="55" t="s">
        <v>175</v>
      </c>
      <c r="G305" s="55" t="s">
        <v>330</v>
      </c>
      <c r="H305" s="54" t="s">
        <v>331</v>
      </c>
      <c r="I305" s="53" t="s">
        <v>336</v>
      </c>
      <c r="J305" s="54" t="s">
        <v>337</v>
      </c>
      <c r="K305" s="0" t="n">
        <v>1</v>
      </c>
      <c r="L305" s="0" t="n">
        <v>126</v>
      </c>
      <c r="M305" s="0" t="n">
        <v>0</v>
      </c>
      <c r="N305" s="0" t="n">
        <v>126</v>
      </c>
      <c r="P305" s="0" t="n">
        <v>0</v>
      </c>
      <c r="Q305" s="0" t="n">
        <v>371</v>
      </c>
      <c r="R305" s="54" t="s">
        <v>180</v>
      </c>
      <c r="S305" s="0" t="n">
        <v>0.08</v>
      </c>
      <c r="U305" s="31" t="n">
        <f aca="false">IF($B305&lt;&gt;'設定（最初に1回）'!$C$4,N(U304),IF(COUNTIFS(①今日の在庫を貼る!$B$6:$B$10005,$B305,①今日の在庫を貼る!$I$6:$I$10005,$I305)&gt;0,N(U304),N(U304)+1))</f>
        <v>2</v>
      </c>
    </row>
    <row r="306" customFormat="false" ht="15" hidden="false" customHeight="false" outlineLevel="0" collapsed="false">
      <c r="A306" s="0" t="n">
        <v>20260301</v>
      </c>
      <c r="B306" s="53" t="s">
        <v>490</v>
      </c>
      <c r="C306" s="54" t="s">
        <v>491</v>
      </c>
      <c r="D306" s="55" t="s">
        <v>191</v>
      </c>
      <c r="E306" s="54" t="s">
        <v>192</v>
      </c>
      <c r="F306" s="55" t="s">
        <v>175</v>
      </c>
      <c r="G306" s="55" t="s">
        <v>330</v>
      </c>
      <c r="H306" s="54" t="s">
        <v>331</v>
      </c>
      <c r="I306" s="53" t="s">
        <v>338</v>
      </c>
      <c r="J306" s="54" t="s">
        <v>339</v>
      </c>
      <c r="K306" s="0" t="n">
        <v>1</v>
      </c>
      <c r="L306" s="0" t="n">
        <v>151</v>
      </c>
      <c r="M306" s="0" t="n">
        <v>0</v>
      </c>
      <c r="N306" s="0" t="n">
        <v>151</v>
      </c>
      <c r="P306" s="0" t="n">
        <v>0</v>
      </c>
      <c r="Q306" s="0" t="n">
        <v>822</v>
      </c>
      <c r="R306" s="54" t="s">
        <v>180</v>
      </c>
      <c r="S306" s="0" t="n">
        <v>0.08</v>
      </c>
      <c r="U306" s="31" t="n">
        <f aca="false">IF($B306&lt;&gt;'設定（最初に1回）'!$C$4,N(U305),IF(COUNTIFS(①今日の在庫を貼る!$B$6:$B$10005,$B306,①今日の在庫を貼る!$I$6:$I$10005,$I306)&gt;0,N(U305),N(U305)+1))</f>
        <v>2</v>
      </c>
    </row>
    <row r="307" customFormat="false" ht="15" hidden="false" customHeight="false" outlineLevel="0" collapsed="false">
      <c r="A307" s="0" t="n">
        <v>20260301</v>
      </c>
      <c r="B307" s="53" t="s">
        <v>490</v>
      </c>
      <c r="C307" s="54" t="s">
        <v>491</v>
      </c>
      <c r="D307" s="55" t="s">
        <v>191</v>
      </c>
      <c r="E307" s="54" t="s">
        <v>192</v>
      </c>
      <c r="F307" s="55" t="s">
        <v>175</v>
      </c>
      <c r="G307" s="55" t="s">
        <v>340</v>
      </c>
      <c r="H307" s="54" t="s">
        <v>341</v>
      </c>
      <c r="I307" s="53" t="s">
        <v>342</v>
      </c>
      <c r="J307" s="54" t="s">
        <v>343</v>
      </c>
      <c r="K307" s="0" t="n">
        <v>50</v>
      </c>
      <c r="L307" s="0" t="n">
        <v>0</v>
      </c>
      <c r="M307" s="0" t="n">
        <v>13</v>
      </c>
      <c r="N307" s="0" t="n">
        <v>13</v>
      </c>
      <c r="P307" s="0" t="n">
        <v>0</v>
      </c>
      <c r="Q307" s="0" t="n">
        <v>274</v>
      </c>
      <c r="R307" s="54" t="s">
        <v>180</v>
      </c>
      <c r="S307" s="0" t="n">
        <v>0.1</v>
      </c>
      <c r="U307" s="31" t="n">
        <f aca="false">IF($B307&lt;&gt;'設定（最初に1回）'!$C$4,N(U306),IF(COUNTIFS(①今日の在庫を貼る!$B$6:$B$10005,$B307,①今日の在庫を貼る!$I$6:$I$10005,$I307)&gt;0,N(U306),N(U306)+1))</f>
        <v>2</v>
      </c>
    </row>
    <row r="308" customFormat="false" ht="15" hidden="false" customHeight="false" outlineLevel="0" collapsed="false">
      <c r="A308" s="0" t="n">
        <v>20260301</v>
      </c>
      <c r="B308" s="53" t="s">
        <v>490</v>
      </c>
      <c r="C308" s="54" t="s">
        <v>491</v>
      </c>
      <c r="D308" s="55" t="s">
        <v>191</v>
      </c>
      <c r="E308" s="54" t="s">
        <v>192</v>
      </c>
      <c r="F308" s="55" t="s">
        <v>175</v>
      </c>
      <c r="G308" s="55" t="s">
        <v>340</v>
      </c>
      <c r="H308" s="54" t="s">
        <v>341</v>
      </c>
      <c r="I308" s="53" t="s">
        <v>344</v>
      </c>
      <c r="J308" s="54" t="s">
        <v>345</v>
      </c>
      <c r="K308" s="0" t="n">
        <v>50</v>
      </c>
      <c r="L308" s="0" t="n">
        <v>0</v>
      </c>
      <c r="M308" s="0" t="n">
        <v>9</v>
      </c>
      <c r="N308" s="0" t="n">
        <v>9</v>
      </c>
      <c r="P308" s="0" t="n">
        <v>0</v>
      </c>
      <c r="Q308" s="0" t="n">
        <v>393</v>
      </c>
      <c r="R308" s="54" t="s">
        <v>180</v>
      </c>
      <c r="S308" s="0" t="n">
        <v>0.1</v>
      </c>
      <c r="U308" s="31" t="n">
        <f aca="false">IF($B308&lt;&gt;'設定（最初に1回）'!$C$4,N(U307),IF(COUNTIFS(①今日の在庫を貼る!$B$6:$B$10005,$B308,①今日の在庫を貼る!$I$6:$I$10005,$I308)&gt;0,N(U307),N(U307)+1))</f>
        <v>2</v>
      </c>
    </row>
    <row r="309" customFormat="false" ht="15" hidden="false" customHeight="false" outlineLevel="0" collapsed="false">
      <c r="A309" s="0" t="n">
        <v>20260301</v>
      </c>
      <c r="B309" s="53" t="s">
        <v>490</v>
      </c>
      <c r="C309" s="54" t="s">
        <v>491</v>
      </c>
      <c r="D309" s="55" t="s">
        <v>173</v>
      </c>
      <c r="E309" s="54" t="s">
        <v>174</v>
      </c>
      <c r="F309" s="55" t="s">
        <v>175</v>
      </c>
      <c r="G309" s="55" t="s">
        <v>176</v>
      </c>
      <c r="H309" s="54" t="s">
        <v>177</v>
      </c>
      <c r="I309" s="53" t="s">
        <v>546</v>
      </c>
      <c r="J309" s="54" t="s">
        <v>541</v>
      </c>
      <c r="K309" s="0" t="n">
        <v>1</v>
      </c>
      <c r="L309" s="0" t="n">
        <v>90</v>
      </c>
      <c r="M309" s="0" t="n">
        <v>0</v>
      </c>
      <c r="N309" s="0" t="n">
        <v>90</v>
      </c>
      <c r="P309" s="0" t="n">
        <v>0</v>
      </c>
      <c r="Q309" s="0" t="n">
        <v>357</v>
      </c>
      <c r="R309" s="54" t="s">
        <v>180</v>
      </c>
      <c r="S309" s="0" t="n">
        <v>0.1</v>
      </c>
      <c r="U309" s="31" t="n">
        <f aca="false">IF($B309&lt;&gt;'設定（最初に1回）'!$C$4,N(U308),IF(COUNTIFS(①今日の在庫を貼る!$B$6:$B$10005,$B309,①今日の在庫を貼る!$I$6:$I$10005,$I309)&gt;0,N(U308),N(U308)+1))</f>
        <v>2</v>
      </c>
    </row>
    <row r="310" customFormat="false" ht="15" hidden="false" customHeight="false" outlineLevel="0" collapsed="false">
      <c r="A310" s="0" t="n">
        <v>20260301</v>
      </c>
      <c r="B310" s="53" t="s">
        <v>490</v>
      </c>
      <c r="C310" s="54" t="s">
        <v>491</v>
      </c>
      <c r="D310" s="55" t="s">
        <v>173</v>
      </c>
      <c r="E310" s="54" t="s">
        <v>174</v>
      </c>
      <c r="F310" s="55" t="s">
        <v>175</v>
      </c>
      <c r="G310" s="55" t="s">
        <v>176</v>
      </c>
      <c r="H310" s="54" t="s">
        <v>177</v>
      </c>
      <c r="I310" s="53" t="s">
        <v>547</v>
      </c>
      <c r="J310" s="54" t="s">
        <v>543</v>
      </c>
      <c r="K310" s="0" t="n">
        <v>1</v>
      </c>
      <c r="L310" s="0" t="n">
        <v>90</v>
      </c>
      <c r="M310" s="0" t="n">
        <v>0</v>
      </c>
      <c r="N310" s="0" t="n">
        <v>90</v>
      </c>
      <c r="P310" s="0" t="n">
        <v>0</v>
      </c>
      <c r="Q310" s="0" t="n">
        <v>357</v>
      </c>
      <c r="R310" s="54" t="s">
        <v>180</v>
      </c>
      <c r="S310" s="0" t="n">
        <v>0.1</v>
      </c>
      <c r="U310" s="31" t="n">
        <f aca="false">IF($B310&lt;&gt;'設定（最初に1回）'!$C$4,N(U309),IF(COUNTIFS(①今日の在庫を貼る!$B$6:$B$10005,$B310,①今日の在庫を貼る!$I$6:$I$10005,$I310)&gt;0,N(U309),N(U309)+1))</f>
        <v>2</v>
      </c>
    </row>
    <row r="311" customFormat="false" ht="15" hidden="false" customHeight="false" outlineLevel="0" collapsed="false">
      <c r="B311" s="53"/>
      <c r="I311" s="53"/>
      <c r="U311" s="31" t="n">
        <f aca="false">IF($B311&lt;&gt;'設定（最初に1回）'!$C$4,N(U310),IF(COUNTIFS(①今日の在庫を貼る!$B$6:$B$10005,$B311,①今日の在庫を貼る!$I$6:$I$10005,$I311)&gt;0,N(U310),N(U310)+1))</f>
        <v>2</v>
      </c>
    </row>
    <row r="312" customFormat="false" ht="15" hidden="false" customHeight="false" outlineLevel="0" collapsed="false">
      <c r="B312" s="53"/>
      <c r="I312" s="53"/>
      <c r="U312" s="31" t="n">
        <f aca="false">IF($B312&lt;&gt;'設定（最初に1回）'!$C$4,N(U311),IF(COUNTIFS(①今日の在庫を貼る!$B$6:$B$10005,$B312,①今日の在庫を貼る!$I$6:$I$10005,$I312)&gt;0,N(U311),N(U311)+1))</f>
        <v>2</v>
      </c>
    </row>
    <row r="313" customFormat="false" ht="15" hidden="false" customHeight="false" outlineLevel="0" collapsed="false">
      <c r="B313" s="53"/>
      <c r="I313" s="53"/>
      <c r="U313" s="31" t="n">
        <f aca="false">IF($B313&lt;&gt;'設定（最初に1回）'!$C$4,N(U312),IF(COUNTIFS(①今日の在庫を貼る!$B$6:$B$10005,$B313,①今日の在庫を貼る!$I$6:$I$10005,$I313)&gt;0,N(U312),N(U312)+1))</f>
        <v>2</v>
      </c>
    </row>
    <row r="314" customFormat="false" ht="15" hidden="false" customHeight="false" outlineLevel="0" collapsed="false">
      <c r="B314" s="53"/>
      <c r="I314" s="53"/>
      <c r="U314" s="31" t="n">
        <f aca="false">IF($B314&lt;&gt;'設定（最初に1回）'!$C$4,N(U313),IF(COUNTIFS(①今日の在庫を貼る!$B$6:$B$10005,$B314,①今日の在庫を貼る!$I$6:$I$10005,$I314)&gt;0,N(U313),N(U313)+1))</f>
        <v>2</v>
      </c>
    </row>
    <row r="315" customFormat="false" ht="15" hidden="false" customHeight="false" outlineLevel="0" collapsed="false">
      <c r="B315" s="53"/>
      <c r="I315" s="53"/>
      <c r="U315" s="31" t="n">
        <f aca="false">IF($B315&lt;&gt;'設定（最初に1回）'!$C$4,N(U314),IF(COUNTIFS(①今日の在庫を貼る!$B$6:$B$10005,$B315,①今日の在庫を貼る!$I$6:$I$10005,$I315)&gt;0,N(U314),N(U314)+1))</f>
        <v>2</v>
      </c>
    </row>
    <row r="316" customFormat="false" ht="15" hidden="false" customHeight="false" outlineLevel="0" collapsed="false">
      <c r="B316" s="53"/>
      <c r="I316" s="53"/>
      <c r="U316" s="31" t="n">
        <f aca="false">IF($B316&lt;&gt;'設定（最初に1回）'!$C$4,N(U315),IF(COUNTIFS(①今日の在庫を貼る!$B$6:$B$10005,$B316,①今日の在庫を貼る!$I$6:$I$10005,$I316)&gt;0,N(U315),N(U315)+1))</f>
        <v>2</v>
      </c>
    </row>
    <row r="317" customFormat="false" ht="15" hidden="false" customHeight="false" outlineLevel="0" collapsed="false">
      <c r="B317" s="53"/>
      <c r="I317" s="53"/>
      <c r="U317" s="31" t="n">
        <f aca="false">IF($B317&lt;&gt;'設定（最初に1回）'!$C$4,N(U316),IF(COUNTIFS(①今日の在庫を貼る!$B$6:$B$10005,$B317,①今日の在庫を貼る!$I$6:$I$10005,$I317)&gt;0,N(U316),N(U316)+1))</f>
        <v>2</v>
      </c>
    </row>
    <row r="318" customFormat="false" ht="15" hidden="false" customHeight="false" outlineLevel="0" collapsed="false">
      <c r="B318" s="53"/>
      <c r="I318" s="53"/>
      <c r="U318" s="31" t="n">
        <f aca="false">IF($B318&lt;&gt;'設定（最初に1回）'!$C$4,N(U317),IF(COUNTIFS(①今日の在庫を貼る!$B$6:$B$10005,$B318,①今日の在庫を貼る!$I$6:$I$10005,$I318)&gt;0,N(U317),N(U317)+1))</f>
        <v>2</v>
      </c>
    </row>
    <row r="319" customFormat="false" ht="15" hidden="false" customHeight="false" outlineLevel="0" collapsed="false">
      <c r="B319" s="53"/>
      <c r="I319" s="53"/>
      <c r="U319" s="31" t="n">
        <f aca="false">IF($B319&lt;&gt;'設定（最初に1回）'!$C$4,N(U318),IF(COUNTIFS(①今日の在庫を貼る!$B$6:$B$10005,$B319,①今日の在庫を貼る!$I$6:$I$10005,$I319)&gt;0,N(U318),N(U318)+1))</f>
        <v>2</v>
      </c>
    </row>
    <row r="320" customFormat="false" ht="15" hidden="false" customHeight="false" outlineLevel="0" collapsed="false">
      <c r="B320" s="53"/>
      <c r="I320" s="53"/>
      <c r="U320" s="31" t="n">
        <f aca="false">IF($B320&lt;&gt;'設定（最初に1回）'!$C$4,N(U319),IF(COUNTIFS(①今日の在庫を貼る!$B$6:$B$10005,$B320,①今日の在庫を貼る!$I$6:$I$10005,$I320)&gt;0,N(U319),N(U319)+1))</f>
        <v>2</v>
      </c>
    </row>
    <row r="321" customFormat="false" ht="15" hidden="false" customHeight="false" outlineLevel="0" collapsed="false">
      <c r="B321" s="53"/>
      <c r="I321" s="53"/>
      <c r="U321" s="31" t="n">
        <f aca="false">IF($B321&lt;&gt;'設定（最初に1回）'!$C$4,N(U320),IF(COUNTIFS(①今日の在庫を貼る!$B$6:$B$10005,$B321,①今日の在庫を貼る!$I$6:$I$10005,$I321)&gt;0,N(U320),N(U320)+1))</f>
        <v>2</v>
      </c>
    </row>
    <row r="322" customFormat="false" ht="15" hidden="false" customHeight="false" outlineLevel="0" collapsed="false">
      <c r="B322" s="53"/>
      <c r="I322" s="53"/>
      <c r="U322" s="31" t="n">
        <f aca="false">IF($B322&lt;&gt;'設定（最初に1回）'!$C$4,N(U321),IF(COUNTIFS(①今日の在庫を貼る!$B$6:$B$10005,$B322,①今日の在庫を貼る!$I$6:$I$10005,$I322)&gt;0,N(U321),N(U321)+1))</f>
        <v>2</v>
      </c>
    </row>
    <row r="323" customFormat="false" ht="15" hidden="false" customHeight="false" outlineLevel="0" collapsed="false">
      <c r="B323" s="53"/>
      <c r="I323" s="53"/>
      <c r="U323" s="31" t="n">
        <f aca="false">IF($B323&lt;&gt;'設定（最初に1回）'!$C$4,N(U322),IF(COUNTIFS(①今日の在庫を貼る!$B$6:$B$10005,$B323,①今日の在庫を貼る!$I$6:$I$10005,$I323)&gt;0,N(U322),N(U322)+1))</f>
        <v>2</v>
      </c>
    </row>
    <row r="324" customFormat="false" ht="15" hidden="false" customHeight="false" outlineLevel="0" collapsed="false">
      <c r="B324" s="53"/>
      <c r="I324" s="53"/>
      <c r="U324" s="31" t="n">
        <f aca="false">IF($B324&lt;&gt;'設定（最初に1回）'!$C$4,N(U323),IF(COUNTIFS(①今日の在庫を貼る!$B$6:$B$10005,$B324,①今日の在庫を貼る!$I$6:$I$10005,$I324)&gt;0,N(U323),N(U323)+1))</f>
        <v>2</v>
      </c>
    </row>
    <row r="325" customFormat="false" ht="15" hidden="false" customHeight="false" outlineLevel="0" collapsed="false">
      <c r="B325" s="53"/>
      <c r="I325" s="53"/>
      <c r="U325" s="31" t="n">
        <f aca="false">IF($B325&lt;&gt;'設定（最初に1回）'!$C$4,N(U324),IF(COUNTIFS(①今日の在庫を貼る!$B$6:$B$10005,$B325,①今日の在庫を貼る!$I$6:$I$10005,$I325)&gt;0,N(U324),N(U324)+1))</f>
        <v>2</v>
      </c>
    </row>
    <row r="326" customFormat="false" ht="15" hidden="false" customHeight="false" outlineLevel="0" collapsed="false">
      <c r="B326" s="53"/>
      <c r="I326" s="53"/>
      <c r="U326" s="31" t="n">
        <f aca="false">IF($B326&lt;&gt;'設定（最初に1回）'!$C$4,N(U325),IF(COUNTIFS(①今日の在庫を貼る!$B$6:$B$10005,$B326,①今日の在庫を貼る!$I$6:$I$10005,$I326)&gt;0,N(U325),N(U325)+1))</f>
        <v>2</v>
      </c>
    </row>
    <row r="327" customFormat="false" ht="15" hidden="false" customHeight="false" outlineLevel="0" collapsed="false">
      <c r="B327" s="53"/>
      <c r="I327" s="53"/>
      <c r="U327" s="31" t="n">
        <f aca="false">IF($B327&lt;&gt;'設定（最初に1回）'!$C$4,N(U326),IF(COUNTIFS(①今日の在庫を貼る!$B$6:$B$10005,$B327,①今日の在庫を貼る!$I$6:$I$10005,$I327)&gt;0,N(U326),N(U326)+1))</f>
        <v>2</v>
      </c>
    </row>
    <row r="328" customFormat="false" ht="15" hidden="false" customHeight="false" outlineLevel="0" collapsed="false">
      <c r="B328" s="53"/>
      <c r="I328" s="53"/>
      <c r="U328" s="31" t="n">
        <f aca="false">IF($B328&lt;&gt;'設定（最初に1回）'!$C$4,N(U327),IF(COUNTIFS(①今日の在庫を貼る!$B$6:$B$10005,$B328,①今日の在庫を貼る!$I$6:$I$10005,$I328)&gt;0,N(U327),N(U327)+1))</f>
        <v>2</v>
      </c>
    </row>
    <row r="329" customFormat="false" ht="15" hidden="false" customHeight="false" outlineLevel="0" collapsed="false">
      <c r="B329" s="53"/>
      <c r="I329" s="53"/>
      <c r="U329" s="31" t="n">
        <f aca="false">IF($B329&lt;&gt;'設定（最初に1回）'!$C$4,N(U328),IF(COUNTIFS(①今日の在庫を貼る!$B$6:$B$10005,$B329,①今日の在庫を貼る!$I$6:$I$10005,$I329)&gt;0,N(U328),N(U328)+1))</f>
        <v>2</v>
      </c>
    </row>
    <row r="330" customFormat="false" ht="15" hidden="false" customHeight="false" outlineLevel="0" collapsed="false">
      <c r="B330" s="53"/>
      <c r="I330" s="53"/>
      <c r="U330" s="31" t="n">
        <f aca="false">IF($B330&lt;&gt;'設定（最初に1回）'!$C$4,N(U329),IF(COUNTIFS(①今日の在庫を貼る!$B$6:$B$10005,$B330,①今日の在庫を貼る!$I$6:$I$10005,$I330)&gt;0,N(U329),N(U329)+1))</f>
        <v>2</v>
      </c>
    </row>
    <row r="331" customFormat="false" ht="15" hidden="false" customHeight="false" outlineLevel="0" collapsed="false">
      <c r="B331" s="53"/>
      <c r="I331" s="53"/>
      <c r="U331" s="31" t="n">
        <f aca="false">IF($B331&lt;&gt;'設定（最初に1回）'!$C$4,N(U330),IF(COUNTIFS(①今日の在庫を貼る!$B$6:$B$10005,$B331,①今日の在庫を貼る!$I$6:$I$10005,$I331)&gt;0,N(U330),N(U330)+1))</f>
        <v>2</v>
      </c>
    </row>
    <row r="332" customFormat="false" ht="15" hidden="false" customHeight="false" outlineLevel="0" collapsed="false">
      <c r="B332" s="53"/>
      <c r="I332" s="53"/>
      <c r="U332" s="31" t="n">
        <f aca="false">IF($B332&lt;&gt;'設定（最初に1回）'!$C$4,N(U331),IF(COUNTIFS(①今日の在庫を貼る!$B$6:$B$10005,$B332,①今日の在庫を貼る!$I$6:$I$10005,$I332)&gt;0,N(U331),N(U331)+1))</f>
        <v>2</v>
      </c>
    </row>
    <row r="333" customFormat="false" ht="15" hidden="false" customHeight="false" outlineLevel="0" collapsed="false">
      <c r="B333" s="53"/>
      <c r="I333" s="53"/>
      <c r="U333" s="31" t="n">
        <f aca="false">IF($B333&lt;&gt;'設定（最初に1回）'!$C$4,N(U332),IF(COUNTIFS(①今日の在庫を貼る!$B$6:$B$10005,$B333,①今日の在庫を貼る!$I$6:$I$10005,$I333)&gt;0,N(U332),N(U332)+1))</f>
        <v>2</v>
      </c>
    </row>
    <row r="334" customFormat="false" ht="15" hidden="false" customHeight="false" outlineLevel="0" collapsed="false">
      <c r="B334" s="53"/>
      <c r="I334" s="53"/>
      <c r="U334" s="31" t="n">
        <f aca="false">IF($B334&lt;&gt;'設定（最初に1回）'!$C$4,N(U333),IF(COUNTIFS(①今日の在庫を貼る!$B$6:$B$10005,$B334,①今日の在庫を貼る!$I$6:$I$10005,$I334)&gt;0,N(U333),N(U333)+1))</f>
        <v>2</v>
      </c>
    </row>
    <row r="335" customFormat="false" ht="15" hidden="false" customHeight="false" outlineLevel="0" collapsed="false">
      <c r="B335" s="53"/>
      <c r="I335" s="53"/>
      <c r="U335" s="31" t="n">
        <f aca="false">IF($B335&lt;&gt;'設定（最初に1回）'!$C$4,N(U334),IF(COUNTIFS(①今日の在庫を貼る!$B$6:$B$10005,$B335,①今日の在庫を貼る!$I$6:$I$10005,$I335)&gt;0,N(U334),N(U334)+1))</f>
        <v>2</v>
      </c>
    </row>
    <row r="336" customFormat="false" ht="15" hidden="false" customHeight="false" outlineLevel="0" collapsed="false">
      <c r="B336" s="53"/>
      <c r="I336" s="53"/>
      <c r="U336" s="31" t="n">
        <f aca="false">IF($B336&lt;&gt;'設定（最初に1回）'!$C$4,N(U335),IF(COUNTIFS(①今日の在庫を貼る!$B$6:$B$10005,$B336,①今日の在庫を貼る!$I$6:$I$10005,$I336)&gt;0,N(U335),N(U335)+1))</f>
        <v>2</v>
      </c>
    </row>
    <row r="337" customFormat="false" ht="15" hidden="false" customHeight="false" outlineLevel="0" collapsed="false">
      <c r="B337" s="53"/>
      <c r="I337" s="53"/>
      <c r="U337" s="31" t="n">
        <f aca="false">IF($B337&lt;&gt;'設定（最初に1回）'!$C$4,N(U336),IF(COUNTIFS(①今日の在庫を貼る!$B$6:$B$10005,$B337,①今日の在庫を貼る!$I$6:$I$10005,$I337)&gt;0,N(U336),N(U336)+1))</f>
        <v>2</v>
      </c>
    </row>
    <row r="338" customFormat="false" ht="15" hidden="false" customHeight="false" outlineLevel="0" collapsed="false">
      <c r="B338" s="53"/>
      <c r="I338" s="53"/>
      <c r="U338" s="31" t="n">
        <f aca="false">IF($B338&lt;&gt;'設定（最初に1回）'!$C$4,N(U337),IF(COUNTIFS(①今日の在庫を貼る!$B$6:$B$10005,$B338,①今日の在庫を貼る!$I$6:$I$10005,$I338)&gt;0,N(U337),N(U337)+1))</f>
        <v>2</v>
      </c>
    </row>
    <row r="339" customFormat="false" ht="15" hidden="false" customHeight="false" outlineLevel="0" collapsed="false">
      <c r="B339" s="53"/>
      <c r="I339" s="53"/>
      <c r="U339" s="31" t="n">
        <f aca="false">IF($B339&lt;&gt;'設定（最初に1回）'!$C$4,N(U338),IF(COUNTIFS(①今日の在庫を貼る!$B$6:$B$10005,$B339,①今日の在庫を貼る!$I$6:$I$10005,$I339)&gt;0,N(U338),N(U338)+1))</f>
        <v>2</v>
      </c>
    </row>
    <row r="340" customFormat="false" ht="15" hidden="false" customHeight="false" outlineLevel="0" collapsed="false">
      <c r="B340" s="53"/>
      <c r="I340" s="53"/>
      <c r="U340" s="31" t="n">
        <f aca="false">IF($B340&lt;&gt;'設定（最初に1回）'!$C$4,N(U339),IF(COUNTIFS(①今日の在庫を貼る!$B$6:$B$10005,$B340,①今日の在庫を貼る!$I$6:$I$10005,$I340)&gt;0,N(U339),N(U339)+1))</f>
        <v>2</v>
      </c>
    </row>
    <row r="341" customFormat="false" ht="15" hidden="false" customHeight="false" outlineLevel="0" collapsed="false">
      <c r="B341" s="53"/>
      <c r="I341" s="53"/>
      <c r="U341" s="31" t="n">
        <f aca="false">IF($B341&lt;&gt;'設定（最初に1回）'!$C$4,N(U340),IF(COUNTIFS(①今日の在庫を貼る!$B$6:$B$10005,$B341,①今日の在庫を貼る!$I$6:$I$10005,$I341)&gt;0,N(U340),N(U340)+1))</f>
        <v>2</v>
      </c>
    </row>
    <row r="342" customFormat="false" ht="15" hidden="false" customHeight="false" outlineLevel="0" collapsed="false">
      <c r="B342" s="53"/>
      <c r="I342" s="53"/>
      <c r="U342" s="31" t="n">
        <f aca="false">IF($B342&lt;&gt;'設定（最初に1回）'!$C$4,N(U341),IF(COUNTIFS(①今日の在庫を貼る!$B$6:$B$10005,$B342,①今日の在庫を貼る!$I$6:$I$10005,$I342)&gt;0,N(U341),N(U341)+1))</f>
        <v>2</v>
      </c>
    </row>
    <row r="343" customFormat="false" ht="15" hidden="false" customHeight="false" outlineLevel="0" collapsed="false">
      <c r="B343" s="53"/>
      <c r="I343" s="53"/>
      <c r="U343" s="31" t="n">
        <f aca="false">IF($B343&lt;&gt;'設定（最初に1回）'!$C$4,N(U342),IF(COUNTIFS(①今日の在庫を貼る!$B$6:$B$10005,$B343,①今日の在庫を貼る!$I$6:$I$10005,$I343)&gt;0,N(U342),N(U342)+1))</f>
        <v>2</v>
      </c>
    </row>
    <row r="344" customFormat="false" ht="15" hidden="false" customHeight="false" outlineLevel="0" collapsed="false">
      <c r="B344" s="53"/>
      <c r="I344" s="53"/>
      <c r="U344" s="31" t="n">
        <f aca="false">IF($B344&lt;&gt;'設定（最初に1回）'!$C$4,N(U343),IF(COUNTIFS(①今日の在庫を貼る!$B$6:$B$10005,$B344,①今日の在庫を貼る!$I$6:$I$10005,$I344)&gt;0,N(U343),N(U343)+1))</f>
        <v>2</v>
      </c>
    </row>
    <row r="345" customFormat="false" ht="15" hidden="false" customHeight="false" outlineLevel="0" collapsed="false">
      <c r="B345" s="53"/>
      <c r="I345" s="53"/>
      <c r="U345" s="31" t="n">
        <f aca="false">IF($B345&lt;&gt;'設定（最初に1回）'!$C$4,N(U344),IF(COUNTIFS(①今日の在庫を貼る!$B$6:$B$10005,$B345,①今日の在庫を貼る!$I$6:$I$10005,$I345)&gt;0,N(U344),N(U344)+1))</f>
        <v>2</v>
      </c>
    </row>
    <row r="346" customFormat="false" ht="15" hidden="false" customHeight="false" outlineLevel="0" collapsed="false">
      <c r="B346" s="53"/>
      <c r="I346" s="53"/>
      <c r="U346" s="31" t="n">
        <f aca="false">IF($B346&lt;&gt;'設定（最初に1回）'!$C$4,N(U345),IF(COUNTIFS(①今日の在庫を貼る!$B$6:$B$10005,$B346,①今日の在庫を貼る!$I$6:$I$10005,$I346)&gt;0,N(U345),N(U345)+1))</f>
        <v>2</v>
      </c>
    </row>
    <row r="347" customFormat="false" ht="15" hidden="false" customHeight="false" outlineLevel="0" collapsed="false">
      <c r="B347" s="53"/>
      <c r="I347" s="53"/>
      <c r="U347" s="31" t="n">
        <f aca="false">IF($B347&lt;&gt;'設定（最初に1回）'!$C$4,N(U346),IF(COUNTIFS(①今日の在庫を貼る!$B$6:$B$10005,$B347,①今日の在庫を貼る!$I$6:$I$10005,$I347)&gt;0,N(U346),N(U346)+1))</f>
        <v>2</v>
      </c>
    </row>
    <row r="348" customFormat="false" ht="15" hidden="false" customHeight="false" outlineLevel="0" collapsed="false">
      <c r="B348" s="53"/>
      <c r="I348" s="53"/>
      <c r="U348" s="31" t="n">
        <f aca="false">IF($B348&lt;&gt;'設定（最初に1回）'!$C$4,N(U347),IF(COUNTIFS(①今日の在庫を貼る!$B$6:$B$10005,$B348,①今日の在庫を貼る!$I$6:$I$10005,$I348)&gt;0,N(U347),N(U347)+1))</f>
        <v>2</v>
      </c>
    </row>
    <row r="349" customFormat="false" ht="15" hidden="false" customHeight="false" outlineLevel="0" collapsed="false">
      <c r="B349" s="53"/>
      <c r="I349" s="53"/>
      <c r="U349" s="31" t="n">
        <f aca="false">IF($B349&lt;&gt;'設定（最初に1回）'!$C$4,N(U348),IF(COUNTIFS(①今日の在庫を貼る!$B$6:$B$10005,$B349,①今日の在庫を貼る!$I$6:$I$10005,$I349)&gt;0,N(U348),N(U348)+1))</f>
        <v>2</v>
      </c>
    </row>
    <row r="350" customFormat="false" ht="15" hidden="false" customHeight="false" outlineLevel="0" collapsed="false">
      <c r="B350" s="53"/>
      <c r="I350" s="53"/>
      <c r="U350" s="31" t="n">
        <f aca="false">IF($B350&lt;&gt;'設定（最初に1回）'!$C$4,N(U349),IF(COUNTIFS(①今日の在庫を貼る!$B$6:$B$10005,$B350,①今日の在庫を貼る!$I$6:$I$10005,$I350)&gt;0,N(U349),N(U349)+1))</f>
        <v>2</v>
      </c>
    </row>
    <row r="351" customFormat="false" ht="15" hidden="false" customHeight="false" outlineLevel="0" collapsed="false">
      <c r="B351" s="53"/>
      <c r="I351" s="53"/>
      <c r="U351" s="31" t="n">
        <f aca="false">IF($B351&lt;&gt;'設定（最初に1回）'!$C$4,N(U350),IF(COUNTIFS(①今日の在庫を貼る!$B$6:$B$10005,$B351,①今日の在庫を貼る!$I$6:$I$10005,$I351)&gt;0,N(U350),N(U350)+1))</f>
        <v>2</v>
      </c>
    </row>
    <row r="352" customFormat="false" ht="15" hidden="false" customHeight="false" outlineLevel="0" collapsed="false">
      <c r="B352" s="53"/>
      <c r="I352" s="53"/>
      <c r="U352" s="31" t="n">
        <f aca="false">IF($B352&lt;&gt;'設定（最初に1回）'!$C$4,N(U351),IF(COUNTIFS(①今日の在庫を貼る!$B$6:$B$10005,$B352,①今日の在庫を貼る!$I$6:$I$10005,$I352)&gt;0,N(U351),N(U351)+1))</f>
        <v>2</v>
      </c>
    </row>
    <row r="353" customFormat="false" ht="15" hidden="false" customHeight="false" outlineLevel="0" collapsed="false">
      <c r="B353" s="53"/>
      <c r="I353" s="53"/>
      <c r="U353" s="31" t="n">
        <f aca="false">IF($B353&lt;&gt;'設定（最初に1回）'!$C$4,N(U352),IF(COUNTIFS(①今日の在庫を貼る!$B$6:$B$10005,$B353,①今日の在庫を貼る!$I$6:$I$10005,$I353)&gt;0,N(U352),N(U352)+1))</f>
        <v>2</v>
      </c>
    </row>
    <row r="354" customFormat="false" ht="15" hidden="false" customHeight="false" outlineLevel="0" collapsed="false">
      <c r="B354" s="53"/>
      <c r="I354" s="53"/>
      <c r="U354" s="31" t="n">
        <f aca="false">IF($B354&lt;&gt;'設定（最初に1回）'!$C$4,N(U353),IF(COUNTIFS(①今日の在庫を貼る!$B$6:$B$10005,$B354,①今日の在庫を貼る!$I$6:$I$10005,$I354)&gt;0,N(U353),N(U353)+1))</f>
        <v>2</v>
      </c>
    </row>
    <row r="355" customFormat="false" ht="15" hidden="false" customHeight="false" outlineLevel="0" collapsed="false">
      <c r="B355" s="53"/>
      <c r="I355" s="53"/>
      <c r="U355" s="31" t="n">
        <f aca="false">IF($B355&lt;&gt;'設定（最初に1回）'!$C$4,N(U354),IF(COUNTIFS(①今日の在庫を貼る!$B$6:$B$10005,$B355,①今日の在庫を貼る!$I$6:$I$10005,$I355)&gt;0,N(U354),N(U354)+1))</f>
        <v>2</v>
      </c>
    </row>
    <row r="356" customFormat="false" ht="15" hidden="false" customHeight="false" outlineLevel="0" collapsed="false">
      <c r="B356" s="53"/>
      <c r="I356" s="53"/>
      <c r="U356" s="31" t="n">
        <f aca="false">IF($B356&lt;&gt;'設定（最初に1回）'!$C$4,N(U355),IF(COUNTIFS(①今日の在庫を貼る!$B$6:$B$10005,$B356,①今日の在庫を貼る!$I$6:$I$10005,$I356)&gt;0,N(U355),N(U355)+1))</f>
        <v>2</v>
      </c>
    </row>
    <row r="357" customFormat="false" ht="15" hidden="false" customHeight="false" outlineLevel="0" collapsed="false">
      <c r="B357" s="53"/>
      <c r="I357" s="53"/>
      <c r="U357" s="31" t="n">
        <f aca="false">IF($B357&lt;&gt;'設定（最初に1回）'!$C$4,N(U356),IF(COUNTIFS(①今日の在庫を貼る!$B$6:$B$10005,$B357,①今日の在庫を貼る!$I$6:$I$10005,$I357)&gt;0,N(U356),N(U356)+1))</f>
        <v>2</v>
      </c>
    </row>
    <row r="358" customFormat="false" ht="15" hidden="false" customHeight="false" outlineLevel="0" collapsed="false">
      <c r="B358" s="53"/>
      <c r="I358" s="53"/>
      <c r="U358" s="31" t="n">
        <f aca="false">IF($B358&lt;&gt;'設定（最初に1回）'!$C$4,N(U357),IF(COUNTIFS(①今日の在庫を貼る!$B$6:$B$10005,$B358,①今日の在庫を貼る!$I$6:$I$10005,$I358)&gt;0,N(U357),N(U357)+1))</f>
        <v>2</v>
      </c>
    </row>
    <row r="359" customFormat="false" ht="15" hidden="false" customHeight="false" outlineLevel="0" collapsed="false">
      <c r="B359" s="53"/>
      <c r="I359" s="53"/>
      <c r="U359" s="31" t="n">
        <f aca="false">IF($B359&lt;&gt;'設定（最初に1回）'!$C$4,N(U358),IF(COUNTIFS(①今日の在庫を貼る!$B$6:$B$10005,$B359,①今日の在庫を貼る!$I$6:$I$10005,$I359)&gt;0,N(U358),N(U358)+1))</f>
        <v>2</v>
      </c>
    </row>
    <row r="360" customFormat="false" ht="15" hidden="false" customHeight="false" outlineLevel="0" collapsed="false">
      <c r="B360" s="53"/>
      <c r="I360" s="53"/>
      <c r="U360" s="31" t="n">
        <f aca="false">IF($B360&lt;&gt;'設定（最初に1回）'!$C$4,N(U359),IF(COUNTIFS(①今日の在庫を貼る!$B$6:$B$10005,$B360,①今日の在庫を貼る!$I$6:$I$10005,$I360)&gt;0,N(U359),N(U359)+1))</f>
        <v>2</v>
      </c>
    </row>
    <row r="361" customFormat="false" ht="15" hidden="false" customHeight="false" outlineLevel="0" collapsed="false">
      <c r="B361" s="53"/>
      <c r="I361" s="53"/>
      <c r="U361" s="31" t="n">
        <f aca="false">IF($B361&lt;&gt;'設定（最初に1回）'!$C$4,N(U360),IF(COUNTIFS(①今日の在庫を貼る!$B$6:$B$10005,$B361,①今日の在庫を貼る!$I$6:$I$10005,$I361)&gt;0,N(U360),N(U360)+1))</f>
        <v>2</v>
      </c>
    </row>
    <row r="362" customFormat="false" ht="15" hidden="false" customHeight="false" outlineLevel="0" collapsed="false">
      <c r="B362" s="53"/>
      <c r="I362" s="53"/>
      <c r="U362" s="31" t="n">
        <f aca="false">IF($B362&lt;&gt;'設定（最初に1回）'!$C$4,N(U361),IF(COUNTIFS(①今日の在庫を貼る!$B$6:$B$10005,$B362,①今日の在庫を貼る!$I$6:$I$10005,$I362)&gt;0,N(U361),N(U361)+1))</f>
        <v>2</v>
      </c>
    </row>
    <row r="363" customFormat="false" ht="15" hidden="false" customHeight="false" outlineLevel="0" collapsed="false">
      <c r="B363" s="53"/>
      <c r="I363" s="53"/>
      <c r="U363" s="31" t="n">
        <f aca="false">IF($B363&lt;&gt;'設定（最初に1回）'!$C$4,N(U362),IF(COUNTIFS(①今日の在庫を貼る!$B$6:$B$10005,$B363,①今日の在庫を貼る!$I$6:$I$10005,$I363)&gt;0,N(U362),N(U362)+1))</f>
        <v>2</v>
      </c>
    </row>
    <row r="364" customFormat="false" ht="15" hidden="false" customHeight="false" outlineLevel="0" collapsed="false">
      <c r="B364" s="53"/>
      <c r="I364" s="53"/>
      <c r="U364" s="31" t="n">
        <f aca="false">IF($B364&lt;&gt;'設定（最初に1回）'!$C$4,N(U363),IF(COUNTIFS(①今日の在庫を貼る!$B$6:$B$10005,$B364,①今日の在庫を貼る!$I$6:$I$10005,$I364)&gt;0,N(U363),N(U363)+1))</f>
        <v>2</v>
      </c>
    </row>
    <row r="365" customFormat="false" ht="15" hidden="false" customHeight="false" outlineLevel="0" collapsed="false">
      <c r="B365" s="53"/>
      <c r="I365" s="53"/>
      <c r="U365" s="31" t="n">
        <f aca="false">IF($B365&lt;&gt;'設定（最初に1回）'!$C$4,N(U364),IF(COUNTIFS(①今日の在庫を貼る!$B$6:$B$10005,$B365,①今日の在庫を貼る!$I$6:$I$10005,$I365)&gt;0,N(U364),N(U364)+1))</f>
        <v>2</v>
      </c>
    </row>
    <row r="366" customFormat="false" ht="15" hidden="false" customHeight="false" outlineLevel="0" collapsed="false">
      <c r="B366" s="53"/>
      <c r="I366" s="53"/>
      <c r="U366" s="31" t="n">
        <f aca="false">IF($B366&lt;&gt;'設定（最初に1回）'!$C$4,N(U365),IF(COUNTIFS(①今日の在庫を貼る!$B$6:$B$10005,$B366,①今日の在庫を貼る!$I$6:$I$10005,$I366)&gt;0,N(U365),N(U365)+1))</f>
        <v>2</v>
      </c>
    </row>
    <row r="367" customFormat="false" ht="15" hidden="false" customHeight="false" outlineLevel="0" collapsed="false">
      <c r="B367" s="53"/>
      <c r="I367" s="53"/>
      <c r="U367" s="31" t="n">
        <f aca="false">IF($B367&lt;&gt;'設定（最初に1回）'!$C$4,N(U366),IF(COUNTIFS(①今日の在庫を貼る!$B$6:$B$10005,$B367,①今日の在庫を貼る!$I$6:$I$10005,$I367)&gt;0,N(U366),N(U366)+1))</f>
        <v>2</v>
      </c>
    </row>
    <row r="368" customFormat="false" ht="15" hidden="false" customHeight="false" outlineLevel="0" collapsed="false">
      <c r="B368" s="53"/>
      <c r="I368" s="53"/>
      <c r="U368" s="31" t="n">
        <f aca="false">IF($B368&lt;&gt;'設定（最初に1回）'!$C$4,N(U367),IF(COUNTIFS(①今日の在庫を貼る!$B$6:$B$10005,$B368,①今日の在庫を貼る!$I$6:$I$10005,$I368)&gt;0,N(U367),N(U367)+1))</f>
        <v>2</v>
      </c>
    </row>
    <row r="369" customFormat="false" ht="15" hidden="false" customHeight="false" outlineLevel="0" collapsed="false">
      <c r="B369" s="53"/>
      <c r="I369" s="53"/>
      <c r="U369" s="31" t="n">
        <f aca="false">IF($B369&lt;&gt;'設定（最初に1回）'!$C$4,N(U368),IF(COUNTIFS(①今日の在庫を貼る!$B$6:$B$10005,$B369,①今日の在庫を貼る!$I$6:$I$10005,$I369)&gt;0,N(U368),N(U368)+1))</f>
        <v>2</v>
      </c>
    </row>
    <row r="370" customFormat="false" ht="15" hidden="false" customHeight="false" outlineLevel="0" collapsed="false">
      <c r="B370" s="53"/>
      <c r="I370" s="53"/>
      <c r="U370" s="31" t="n">
        <f aca="false">IF($B370&lt;&gt;'設定（最初に1回）'!$C$4,N(U369),IF(COUNTIFS(①今日の在庫を貼る!$B$6:$B$10005,$B370,①今日の在庫を貼る!$I$6:$I$10005,$I370)&gt;0,N(U369),N(U369)+1))</f>
        <v>2</v>
      </c>
    </row>
    <row r="371" customFormat="false" ht="15" hidden="false" customHeight="false" outlineLevel="0" collapsed="false">
      <c r="B371" s="53"/>
      <c r="I371" s="53"/>
      <c r="U371" s="31" t="n">
        <f aca="false">IF($B371&lt;&gt;'設定（最初に1回）'!$C$4,N(U370),IF(COUNTIFS(①今日の在庫を貼る!$B$6:$B$10005,$B371,①今日の在庫を貼る!$I$6:$I$10005,$I371)&gt;0,N(U370),N(U370)+1))</f>
        <v>2</v>
      </c>
    </row>
    <row r="372" customFormat="false" ht="15" hidden="false" customHeight="false" outlineLevel="0" collapsed="false">
      <c r="B372" s="53"/>
      <c r="I372" s="53"/>
      <c r="U372" s="31" t="n">
        <f aca="false">IF($B372&lt;&gt;'設定（最初に1回）'!$C$4,N(U371),IF(COUNTIFS(①今日の在庫を貼る!$B$6:$B$10005,$B372,①今日の在庫を貼る!$I$6:$I$10005,$I372)&gt;0,N(U371),N(U371)+1))</f>
        <v>2</v>
      </c>
    </row>
    <row r="373" customFormat="false" ht="15" hidden="false" customHeight="false" outlineLevel="0" collapsed="false">
      <c r="B373" s="53"/>
      <c r="I373" s="53"/>
      <c r="U373" s="31" t="n">
        <f aca="false">IF($B373&lt;&gt;'設定（最初に1回）'!$C$4,N(U372),IF(COUNTIFS(①今日の在庫を貼る!$B$6:$B$10005,$B373,①今日の在庫を貼る!$I$6:$I$10005,$I373)&gt;0,N(U372),N(U372)+1))</f>
        <v>2</v>
      </c>
    </row>
    <row r="374" customFormat="false" ht="15" hidden="false" customHeight="false" outlineLevel="0" collapsed="false">
      <c r="B374" s="53"/>
      <c r="I374" s="53"/>
      <c r="U374" s="31" t="n">
        <f aca="false">IF($B374&lt;&gt;'設定（最初に1回）'!$C$4,N(U373),IF(COUNTIFS(①今日の在庫を貼る!$B$6:$B$10005,$B374,①今日の在庫を貼る!$I$6:$I$10005,$I374)&gt;0,N(U373),N(U373)+1))</f>
        <v>2</v>
      </c>
    </row>
    <row r="375" customFormat="false" ht="15" hidden="false" customHeight="false" outlineLevel="0" collapsed="false">
      <c r="B375" s="53"/>
      <c r="I375" s="53"/>
      <c r="U375" s="31" t="n">
        <f aca="false">IF($B375&lt;&gt;'設定（最初に1回）'!$C$4,N(U374),IF(COUNTIFS(①今日の在庫を貼る!$B$6:$B$10005,$B375,①今日の在庫を貼る!$I$6:$I$10005,$I375)&gt;0,N(U374),N(U374)+1))</f>
        <v>2</v>
      </c>
    </row>
    <row r="376" customFormat="false" ht="15" hidden="false" customHeight="false" outlineLevel="0" collapsed="false">
      <c r="B376" s="53"/>
      <c r="I376" s="53"/>
      <c r="U376" s="31" t="n">
        <f aca="false">IF($B376&lt;&gt;'設定（最初に1回）'!$C$4,N(U375),IF(COUNTIFS(①今日の在庫を貼る!$B$6:$B$10005,$B376,①今日の在庫を貼る!$I$6:$I$10005,$I376)&gt;0,N(U375),N(U375)+1))</f>
        <v>2</v>
      </c>
    </row>
    <row r="377" customFormat="false" ht="15" hidden="false" customHeight="false" outlineLevel="0" collapsed="false">
      <c r="B377" s="53"/>
      <c r="I377" s="53"/>
      <c r="U377" s="31" t="n">
        <f aca="false">IF($B377&lt;&gt;'設定（最初に1回）'!$C$4,N(U376),IF(COUNTIFS(①今日の在庫を貼る!$B$6:$B$10005,$B377,①今日の在庫を貼る!$I$6:$I$10005,$I377)&gt;0,N(U376),N(U376)+1))</f>
        <v>2</v>
      </c>
    </row>
    <row r="378" customFormat="false" ht="15" hidden="false" customHeight="false" outlineLevel="0" collapsed="false">
      <c r="B378" s="53"/>
      <c r="I378" s="53"/>
      <c r="U378" s="31" t="n">
        <f aca="false">IF($B378&lt;&gt;'設定（最初に1回）'!$C$4,N(U377),IF(COUNTIFS(①今日の在庫を貼る!$B$6:$B$10005,$B378,①今日の在庫を貼る!$I$6:$I$10005,$I378)&gt;0,N(U377),N(U377)+1))</f>
        <v>2</v>
      </c>
    </row>
    <row r="379" customFormat="false" ht="15" hidden="false" customHeight="false" outlineLevel="0" collapsed="false">
      <c r="B379" s="53"/>
      <c r="I379" s="53"/>
      <c r="U379" s="31" t="n">
        <f aca="false">IF($B379&lt;&gt;'設定（最初に1回）'!$C$4,N(U378),IF(COUNTIFS(①今日の在庫を貼る!$B$6:$B$10005,$B379,①今日の在庫を貼る!$I$6:$I$10005,$I379)&gt;0,N(U378),N(U378)+1))</f>
        <v>2</v>
      </c>
    </row>
    <row r="380" customFormat="false" ht="15" hidden="false" customHeight="false" outlineLevel="0" collapsed="false">
      <c r="B380" s="53"/>
      <c r="I380" s="53"/>
      <c r="U380" s="31" t="n">
        <f aca="false">IF($B380&lt;&gt;'設定（最初に1回）'!$C$4,N(U379),IF(COUNTIFS(①今日の在庫を貼る!$B$6:$B$10005,$B380,①今日の在庫を貼る!$I$6:$I$10005,$I380)&gt;0,N(U379),N(U379)+1))</f>
        <v>2</v>
      </c>
    </row>
    <row r="381" customFormat="false" ht="15" hidden="false" customHeight="false" outlineLevel="0" collapsed="false">
      <c r="B381" s="53"/>
      <c r="I381" s="53"/>
      <c r="U381" s="31" t="n">
        <f aca="false">IF($B381&lt;&gt;'設定（最初に1回）'!$C$4,N(U380),IF(COUNTIFS(①今日の在庫を貼る!$B$6:$B$10005,$B381,①今日の在庫を貼る!$I$6:$I$10005,$I381)&gt;0,N(U380),N(U380)+1))</f>
        <v>2</v>
      </c>
    </row>
    <row r="382" customFormat="false" ht="15" hidden="false" customHeight="false" outlineLevel="0" collapsed="false">
      <c r="B382" s="53"/>
      <c r="I382" s="53"/>
      <c r="U382" s="31" t="n">
        <f aca="false">IF($B382&lt;&gt;'設定（最初に1回）'!$C$4,N(U381),IF(COUNTIFS(①今日の在庫を貼る!$B$6:$B$10005,$B382,①今日の在庫を貼る!$I$6:$I$10005,$I382)&gt;0,N(U381),N(U381)+1))</f>
        <v>2</v>
      </c>
    </row>
    <row r="383" customFormat="false" ht="15" hidden="false" customHeight="false" outlineLevel="0" collapsed="false">
      <c r="B383" s="53"/>
      <c r="I383" s="53"/>
      <c r="U383" s="31" t="n">
        <f aca="false">IF($B383&lt;&gt;'設定（最初に1回）'!$C$4,N(U382),IF(COUNTIFS(①今日の在庫を貼る!$B$6:$B$10005,$B383,①今日の在庫を貼る!$I$6:$I$10005,$I383)&gt;0,N(U382),N(U382)+1))</f>
        <v>2</v>
      </c>
    </row>
    <row r="384" customFormat="false" ht="15" hidden="false" customHeight="false" outlineLevel="0" collapsed="false">
      <c r="B384" s="53"/>
      <c r="I384" s="53"/>
      <c r="U384" s="31" t="n">
        <f aca="false">IF($B384&lt;&gt;'設定（最初に1回）'!$C$4,N(U383),IF(COUNTIFS(①今日の在庫を貼る!$B$6:$B$10005,$B384,①今日の在庫を貼る!$I$6:$I$10005,$I384)&gt;0,N(U383),N(U383)+1))</f>
        <v>2</v>
      </c>
    </row>
    <row r="385" customFormat="false" ht="15" hidden="false" customHeight="false" outlineLevel="0" collapsed="false">
      <c r="B385" s="53"/>
      <c r="I385" s="53"/>
      <c r="U385" s="31" t="n">
        <f aca="false">IF($B385&lt;&gt;'設定（最初に1回）'!$C$4,N(U384),IF(COUNTIFS(①今日の在庫を貼る!$B$6:$B$10005,$B385,①今日の在庫を貼る!$I$6:$I$10005,$I385)&gt;0,N(U384),N(U384)+1))</f>
        <v>2</v>
      </c>
    </row>
    <row r="386" customFormat="false" ht="15" hidden="false" customHeight="false" outlineLevel="0" collapsed="false">
      <c r="B386" s="53"/>
      <c r="I386" s="53"/>
      <c r="U386" s="31" t="n">
        <f aca="false">IF($B386&lt;&gt;'設定（最初に1回）'!$C$4,N(U385),IF(COUNTIFS(①今日の在庫を貼る!$B$6:$B$10005,$B386,①今日の在庫を貼る!$I$6:$I$10005,$I386)&gt;0,N(U385),N(U385)+1))</f>
        <v>2</v>
      </c>
    </row>
    <row r="387" customFormat="false" ht="15" hidden="false" customHeight="false" outlineLevel="0" collapsed="false">
      <c r="B387" s="53"/>
      <c r="I387" s="53"/>
      <c r="U387" s="31" t="n">
        <f aca="false">IF($B387&lt;&gt;'設定（最初に1回）'!$C$4,N(U386),IF(COUNTIFS(①今日の在庫を貼る!$B$6:$B$10005,$B387,①今日の在庫を貼る!$I$6:$I$10005,$I387)&gt;0,N(U386),N(U386)+1))</f>
        <v>2</v>
      </c>
    </row>
    <row r="388" customFormat="false" ht="15" hidden="false" customHeight="false" outlineLevel="0" collapsed="false">
      <c r="B388" s="53"/>
      <c r="I388" s="53"/>
      <c r="U388" s="31" t="n">
        <f aca="false">IF($B388&lt;&gt;'設定（最初に1回）'!$C$4,N(U387),IF(COUNTIFS(①今日の在庫を貼る!$B$6:$B$10005,$B388,①今日の在庫を貼る!$I$6:$I$10005,$I388)&gt;0,N(U387),N(U387)+1))</f>
        <v>2</v>
      </c>
    </row>
    <row r="389" customFormat="false" ht="15" hidden="false" customHeight="false" outlineLevel="0" collapsed="false">
      <c r="B389" s="53"/>
      <c r="I389" s="53"/>
      <c r="U389" s="31" t="n">
        <f aca="false">IF($B389&lt;&gt;'設定（最初に1回）'!$C$4,N(U388),IF(COUNTIFS(①今日の在庫を貼る!$B$6:$B$10005,$B389,①今日の在庫を貼る!$I$6:$I$10005,$I389)&gt;0,N(U388),N(U388)+1))</f>
        <v>2</v>
      </c>
    </row>
    <row r="390" customFormat="false" ht="15" hidden="false" customHeight="false" outlineLevel="0" collapsed="false">
      <c r="B390" s="53"/>
      <c r="I390" s="53"/>
      <c r="U390" s="31" t="n">
        <f aca="false">IF($B390&lt;&gt;'設定（最初に1回）'!$C$4,N(U389),IF(COUNTIFS(①今日の在庫を貼る!$B$6:$B$10005,$B390,①今日の在庫を貼る!$I$6:$I$10005,$I390)&gt;0,N(U389),N(U389)+1))</f>
        <v>2</v>
      </c>
    </row>
    <row r="391" customFormat="false" ht="15" hidden="false" customHeight="false" outlineLevel="0" collapsed="false">
      <c r="B391" s="53"/>
      <c r="I391" s="53"/>
      <c r="U391" s="31" t="n">
        <f aca="false">IF($B391&lt;&gt;'設定（最初に1回）'!$C$4,N(U390),IF(COUNTIFS(①今日の在庫を貼る!$B$6:$B$10005,$B391,①今日の在庫を貼る!$I$6:$I$10005,$I391)&gt;0,N(U390),N(U390)+1))</f>
        <v>2</v>
      </c>
    </row>
    <row r="392" customFormat="false" ht="15" hidden="false" customHeight="false" outlineLevel="0" collapsed="false">
      <c r="B392" s="53"/>
      <c r="I392" s="53"/>
      <c r="U392" s="31" t="n">
        <f aca="false">IF($B392&lt;&gt;'設定（最初に1回）'!$C$4,N(U391),IF(COUNTIFS(①今日の在庫を貼る!$B$6:$B$10005,$B392,①今日の在庫を貼る!$I$6:$I$10005,$I392)&gt;0,N(U391),N(U391)+1))</f>
        <v>2</v>
      </c>
    </row>
    <row r="393" customFormat="false" ht="15" hidden="false" customHeight="false" outlineLevel="0" collapsed="false">
      <c r="B393" s="53"/>
      <c r="I393" s="53"/>
      <c r="U393" s="31" t="n">
        <f aca="false">IF($B393&lt;&gt;'設定（最初に1回）'!$C$4,N(U392),IF(COUNTIFS(①今日の在庫を貼る!$B$6:$B$10005,$B393,①今日の在庫を貼る!$I$6:$I$10005,$I393)&gt;0,N(U392),N(U392)+1))</f>
        <v>2</v>
      </c>
    </row>
    <row r="394" customFormat="false" ht="15" hidden="false" customHeight="false" outlineLevel="0" collapsed="false">
      <c r="B394" s="53"/>
      <c r="I394" s="53"/>
      <c r="U394" s="31" t="n">
        <f aca="false">IF($B394&lt;&gt;'設定（最初に1回）'!$C$4,N(U393),IF(COUNTIFS(①今日の在庫を貼る!$B$6:$B$10005,$B394,①今日の在庫を貼る!$I$6:$I$10005,$I394)&gt;0,N(U393),N(U393)+1))</f>
        <v>2</v>
      </c>
    </row>
    <row r="395" customFormat="false" ht="15" hidden="false" customHeight="false" outlineLevel="0" collapsed="false">
      <c r="B395" s="53"/>
      <c r="I395" s="53"/>
      <c r="U395" s="31" t="n">
        <f aca="false">IF($B395&lt;&gt;'設定（最初に1回）'!$C$4,N(U394),IF(COUNTIFS(①今日の在庫を貼る!$B$6:$B$10005,$B395,①今日の在庫を貼る!$I$6:$I$10005,$I395)&gt;0,N(U394),N(U394)+1))</f>
        <v>2</v>
      </c>
    </row>
    <row r="396" customFormat="false" ht="15" hidden="false" customHeight="false" outlineLevel="0" collapsed="false">
      <c r="B396" s="53"/>
      <c r="I396" s="53"/>
      <c r="U396" s="31" t="n">
        <f aca="false">IF($B396&lt;&gt;'設定（最初に1回）'!$C$4,N(U395),IF(COUNTIFS(①今日の在庫を貼る!$B$6:$B$10005,$B396,①今日の在庫を貼る!$I$6:$I$10005,$I396)&gt;0,N(U395),N(U395)+1))</f>
        <v>2</v>
      </c>
    </row>
    <row r="397" customFormat="false" ht="15" hidden="false" customHeight="false" outlineLevel="0" collapsed="false">
      <c r="B397" s="53"/>
      <c r="I397" s="53"/>
      <c r="U397" s="31" t="n">
        <f aca="false">IF($B397&lt;&gt;'設定（最初に1回）'!$C$4,N(U396),IF(COUNTIFS(①今日の在庫を貼る!$B$6:$B$10005,$B397,①今日の在庫を貼る!$I$6:$I$10005,$I397)&gt;0,N(U396),N(U396)+1))</f>
        <v>2</v>
      </c>
    </row>
    <row r="398" customFormat="false" ht="15" hidden="false" customHeight="false" outlineLevel="0" collapsed="false">
      <c r="B398" s="53"/>
      <c r="I398" s="53"/>
      <c r="U398" s="31" t="n">
        <f aca="false">IF($B398&lt;&gt;'設定（最初に1回）'!$C$4,N(U397),IF(COUNTIFS(①今日の在庫を貼る!$B$6:$B$10005,$B398,①今日の在庫を貼る!$I$6:$I$10005,$I398)&gt;0,N(U397),N(U397)+1))</f>
        <v>2</v>
      </c>
    </row>
    <row r="399" customFormat="false" ht="15" hidden="false" customHeight="false" outlineLevel="0" collapsed="false">
      <c r="B399" s="53"/>
      <c r="I399" s="53"/>
      <c r="U399" s="31" t="n">
        <f aca="false">IF($B399&lt;&gt;'設定（最初に1回）'!$C$4,N(U398),IF(COUNTIFS(①今日の在庫を貼る!$B$6:$B$10005,$B399,①今日の在庫を貼る!$I$6:$I$10005,$I399)&gt;0,N(U398),N(U398)+1))</f>
        <v>2</v>
      </c>
    </row>
    <row r="400" customFormat="false" ht="15" hidden="false" customHeight="false" outlineLevel="0" collapsed="false">
      <c r="B400" s="53"/>
      <c r="I400" s="53"/>
      <c r="U400" s="31" t="n">
        <f aca="false">IF($B400&lt;&gt;'設定（最初に1回）'!$C$4,N(U399),IF(COUNTIFS(①今日の在庫を貼る!$B$6:$B$10005,$B400,①今日の在庫を貼る!$I$6:$I$10005,$I400)&gt;0,N(U399),N(U399)+1))</f>
        <v>2</v>
      </c>
    </row>
    <row r="401" customFormat="false" ht="15" hidden="false" customHeight="false" outlineLevel="0" collapsed="false">
      <c r="B401" s="53"/>
      <c r="I401" s="53"/>
      <c r="U401" s="31" t="n">
        <f aca="false">IF($B401&lt;&gt;'設定（最初に1回）'!$C$4,N(U400),IF(COUNTIFS(①今日の在庫を貼る!$B$6:$B$10005,$B401,①今日の在庫を貼る!$I$6:$I$10005,$I401)&gt;0,N(U400),N(U400)+1))</f>
        <v>2</v>
      </c>
    </row>
    <row r="402" customFormat="false" ht="15" hidden="false" customHeight="false" outlineLevel="0" collapsed="false">
      <c r="B402" s="53"/>
      <c r="I402" s="53"/>
      <c r="U402" s="31" t="n">
        <f aca="false">IF($B402&lt;&gt;'設定（最初に1回）'!$C$4,N(U401),IF(COUNTIFS(①今日の在庫を貼る!$B$6:$B$10005,$B402,①今日の在庫を貼る!$I$6:$I$10005,$I402)&gt;0,N(U401),N(U401)+1))</f>
        <v>2</v>
      </c>
    </row>
    <row r="403" customFormat="false" ht="15" hidden="false" customHeight="false" outlineLevel="0" collapsed="false">
      <c r="B403" s="53"/>
      <c r="I403" s="53"/>
      <c r="U403" s="31" t="n">
        <f aca="false">IF($B403&lt;&gt;'設定（最初に1回）'!$C$4,N(U402),IF(COUNTIFS(①今日の在庫を貼る!$B$6:$B$10005,$B403,①今日の在庫を貼る!$I$6:$I$10005,$I403)&gt;0,N(U402),N(U402)+1))</f>
        <v>2</v>
      </c>
    </row>
    <row r="404" customFormat="false" ht="15" hidden="false" customHeight="false" outlineLevel="0" collapsed="false">
      <c r="B404" s="53"/>
      <c r="I404" s="53"/>
      <c r="U404" s="31" t="n">
        <f aca="false">IF($B404&lt;&gt;'設定（最初に1回）'!$C$4,N(U403),IF(COUNTIFS(①今日の在庫を貼る!$B$6:$B$10005,$B404,①今日の在庫を貼る!$I$6:$I$10005,$I404)&gt;0,N(U403),N(U403)+1))</f>
        <v>2</v>
      </c>
    </row>
    <row r="405" customFormat="false" ht="15" hidden="false" customHeight="false" outlineLevel="0" collapsed="false">
      <c r="B405" s="53"/>
      <c r="I405" s="53"/>
      <c r="U405" s="31" t="n">
        <f aca="false">IF($B405&lt;&gt;'設定（最初に1回）'!$C$4,N(U404),IF(COUNTIFS(①今日の在庫を貼る!$B$6:$B$10005,$B405,①今日の在庫を貼る!$I$6:$I$10005,$I405)&gt;0,N(U404),N(U404)+1))</f>
        <v>2</v>
      </c>
    </row>
    <row r="406" customFormat="false" ht="15" hidden="false" customHeight="false" outlineLevel="0" collapsed="false">
      <c r="B406" s="53"/>
      <c r="I406" s="53"/>
      <c r="U406" s="31" t="n">
        <f aca="false">IF($B406&lt;&gt;'設定（最初に1回）'!$C$4,N(U405),IF(COUNTIFS(①今日の在庫を貼る!$B$6:$B$10005,$B406,①今日の在庫を貼る!$I$6:$I$10005,$I406)&gt;0,N(U405),N(U405)+1))</f>
        <v>2</v>
      </c>
    </row>
    <row r="407" customFormat="false" ht="15" hidden="false" customHeight="false" outlineLevel="0" collapsed="false">
      <c r="B407" s="53"/>
      <c r="I407" s="53"/>
      <c r="U407" s="31" t="n">
        <f aca="false">IF($B407&lt;&gt;'設定（最初に1回）'!$C$4,N(U406),IF(COUNTIFS(①今日の在庫を貼る!$B$6:$B$10005,$B407,①今日の在庫を貼る!$I$6:$I$10005,$I407)&gt;0,N(U406),N(U406)+1))</f>
        <v>2</v>
      </c>
    </row>
    <row r="408" customFormat="false" ht="15" hidden="false" customHeight="false" outlineLevel="0" collapsed="false">
      <c r="B408" s="53"/>
      <c r="I408" s="53"/>
      <c r="U408" s="31" t="n">
        <f aca="false">IF($B408&lt;&gt;'設定（最初に1回）'!$C$4,N(U407),IF(COUNTIFS(①今日の在庫を貼る!$B$6:$B$10005,$B408,①今日の在庫を貼る!$I$6:$I$10005,$I408)&gt;0,N(U407),N(U407)+1))</f>
        <v>2</v>
      </c>
    </row>
    <row r="409" customFormat="false" ht="15" hidden="false" customHeight="false" outlineLevel="0" collapsed="false">
      <c r="B409" s="53"/>
      <c r="I409" s="53"/>
      <c r="U409" s="31" t="n">
        <f aca="false">IF($B409&lt;&gt;'設定（最初に1回）'!$C$4,N(U408),IF(COUNTIFS(①今日の在庫を貼る!$B$6:$B$10005,$B409,①今日の在庫を貼る!$I$6:$I$10005,$I409)&gt;0,N(U408),N(U408)+1))</f>
        <v>2</v>
      </c>
    </row>
    <row r="410" customFormat="false" ht="15" hidden="false" customHeight="false" outlineLevel="0" collapsed="false">
      <c r="B410" s="53"/>
      <c r="I410" s="53"/>
      <c r="U410" s="31" t="n">
        <f aca="false">IF($B410&lt;&gt;'設定（最初に1回）'!$C$4,N(U409),IF(COUNTIFS(①今日の在庫を貼る!$B$6:$B$10005,$B410,①今日の在庫を貼る!$I$6:$I$10005,$I410)&gt;0,N(U409),N(U409)+1))</f>
        <v>2</v>
      </c>
    </row>
    <row r="411" customFormat="false" ht="15" hidden="false" customHeight="false" outlineLevel="0" collapsed="false">
      <c r="B411" s="53"/>
      <c r="I411" s="53"/>
      <c r="U411" s="31" t="n">
        <f aca="false">IF($B411&lt;&gt;'設定（最初に1回）'!$C$4,N(U410),IF(COUNTIFS(①今日の在庫を貼る!$B$6:$B$10005,$B411,①今日の在庫を貼る!$I$6:$I$10005,$I411)&gt;0,N(U410),N(U410)+1))</f>
        <v>2</v>
      </c>
    </row>
    <row r="412" customFormat="false" ht="15" hidden="false" customHeight="false" outlineLevel="0" collapsed="false">
      <c r="B412" s="53"/>
      <c r="I412" s="53"/>
      <c r="U412" s="31" t="n">
        <f aca="false">IF($B412&lt;&gt;'設定（最初に1回）'!$C$4,N(U411),IF(COUNTIFS(①今日の在庫を貼る!$B$6:$B$10005,$B412,①今日の在庫を貼る!$I$6:$I$10005,$I412)&gt;0,N(U411),N(U411)+1))</f>
        <v>2</v>
      </c>
    </row>
    <row r="413" customFormat="false" ht="15" hidden="false" customHeight="false" outlineLevel="0" collapsed="false">
      <c r="B413" s="53"/>
      <c r="I413" s="53"/>
      <c r="U413" s="31" t="n">
        <f aca="false">IF($B413&lt;&gt;'設定（最初に1回）'!$C$4,N(U412),IF(COUNTIFS(①今日の在庫を貼る!$B$6:$B$10005,$B413,①今日の在庫を貼る!$I$6:$I$10005,$I413)&gt;0,N(U412),N(U412)+1))</f>
        <v>2</v>
      </c>
    </row>
    <row r="414" customFormat="false" ht="15" hidden="false" customHeight="false" outlineLevel="0" collapsed="false">
      <c r="B414" s="53"/>
      <c r="I414" s="53"/>
      <c r="U414" s="31" t="n">
        <f aca="false">IF($B414&lt;&gt;'設定（最初に1回）'!$C$4,N(U413),IF(COUNTIFS(①今日の在庫を貼る!$B$6:$B$10005,$B414,①今日の在庫を貼る!$I$6:$I$10005,$I414)&gt;0,N(U413),N(U413)+1))</f>
        <v>2</v>
      </c>
    </row>
    <row r="415" customFormat="false" ht="15" hidden="false" customHeight="false" outlineLevel="0" collapsed="false">
      <c r="B415" s="53"/>
      <c r="I415" s="53"/>
      <c r="U415" s="31" t="n">
        <f aca="false">IF($B415&lt;&gt;'設定（最初に1回）'!$C$4,N(U414),IF(COUNTIFS(①今日の在庫を貼る!$B$6:$B$10005,$B415,①今日の在庫を貼る!$I$6:$I$10005,$I415)&gt;0,N(U414),N(U414)+1))</f>
        <v>2</v>
      </c>
    </row>
    <row r="416" customFormat="false" ht="15" hidden="false" customHeight="false" outlineLevel="0" collapsed="false">
      <c r="B416" s="53"/>
      <c r="I416" s="53"/>
      <c r="U416" s="31" t="n">
        <f aca="false">IF($B416&lt;&gt;'設定（最初に1回）'!$C$4,N(U415),IF(COUNTIFS(①今日の在庫を貼る!$B$6:$B$10005,$B416,①今日の在庫を貼る!$I$6:$I$10005,$I416)&gt;0,N(U415),N(U415)+1))</f>
        <v>2</v>
      </c>
    </row>
    <row r="417" customFormat="false" ht="15" hidden="false" customHeight="false" outlineLevel="0" collapsed="false">
      <c r="B417" s="53"/>
      <c r="I417" s="53"/>
      <c r="U417" s="31" t="n">
        <f aca="false">IF($B417&lt;&gt;'設定（最初に1回）'!$C$4,N(U416),IF(COUNTIFS(①今日の在庫を貼る!$B$6:$B$10005,$B417,①今日の在庫を貼る!$I$6:$I$10005,$I417)&gt;0,N(U416),N(U416)+1))</f>
        <v>2</v>
      </c>
    </row>
    <row r="418" customFormat="false" ht="15" hidden="false" customHeight="false" outlineLevel="0" collapsed="false">
      <c r="B418" s="53"/>
      <c r="I418" s="53"/>
      <c r="U418" s="31" t="n">
        <f aca="false">IF($B418&lt;&gt;'設定（最初に1回）'!$C$4,N(U417),IF(COUNTIFS(①今日の在庫を貼る!$B$6:$B$10005,$B418,①今日の在庫を貼る!$I$6:$I$10005,$I418)&gt;0,N(U417),N(U417)+1))</f>
        <v>2</v>
      </c>
    </row>
    <row r="419" customFormat="false" ht="15" hidden="false" customHeight="false" outlineLevel="0" collapsed="false">
      <c r="B419" s="53"/>
      <c r="I419" s="53"/>
      <c r="U419" s="31" t="n">
        <f aca="false">IF($B419&lt;&gt;'設定（最初に1回）'!$C$4,N(U418),IF(COUNTIFS(①今日の在庫を貼る!$B$6:$B$10005,$B419,①今日の在庫を貼る!$I$6:$I$10005,$I419)&gt;0,N(U418),N(U418)+1))</f>
        <v>2</v>
      </c>
    </row>
    <row r="420" customFormat="false" ht="15" hidden="false" customHeight="false" outlineLevel="0" collapsed="false">
      <c r="B420" s="53"/>
      <c r="I420" s="53"/>
      <c r="U420" s="31" t="n">
        <f aca="false">IF($B420&lt;&gt;'設定（最初に1回）'!$C$4,N(U419),IF(COUNTIFS(①今日の在庫を貼る!$B$6:$B$10005,$B420,①今日の在庫を貼る!$I$6:$I$10005,$I420)&gt;0,N(U419),N(U419)+1))</f>
        <v>2</v>
      </c>
    </row>
    <row r="421" customFormat="false" ht="15" hidden="false" customHeight="false" outlineLevel="0" collapsed="false">
      <c r="B421" s="53"/>
      <c r="I421" s="53"/>
      <c r="U421" s="31" t="n">
        <f aca="false">IF($B421&lt;&gt;'設定（最初に1回）'!$C$4,N(U420),IF(COUNTIFS(①今日の在庫を貼る!$B$6:$B$10005,$B421,①今日の在庫を貼る!$I$6:$I$10005,$I421)&gt;0,N(U420),N(U420)+1))</f>
        <v>2</v>
      </c>
    </row>
    <row r="422" customFormat="false" ht="15" hidden="false" customHeight="false" outlineLevel="0" collapsed="false">
      <c r="B422" s="53"/>
      <c r="I422" s="53"/>
      <c r="U422" s="31" t="n">
        <f aca="false">IF($B422&lt;&gt;'設定（最初に1回）'!$C$4,N(U421),IF(COUNTIFS(①今日の在庫を貼る!$B$6:$B$10005,$B422,①今日の在庫を貼る!$I$6:$I$10005,$I422)&gt;0,N(U421),N(U421)+1))</f>
        <v>2</v>
      </c>
    </row>
    <row r="423" customFormat="false" ht="15" hidden="false" customHeight="false" outlineLevel="0" collapsed="false">
      <c r="B423" s="53"/>
      <c r="I423" s="53"/>
      <c r="U423" s="31" t="n">
        <f aca="false">IF($B423&lt;&gt;'設定（最初に1回）'!$C$4,N(U422),IF(COUNTIFS(①今日の在庫を貼る!$B$6:$B$10005,$B423,①今日の在庫を貼る!$I$6:$I$10005,$I423)&gt;0,N(U422),N(U422)+1))</f>
        <v>2</v>
      </c>
    </row>
    <row r="424" customFormat="false" ht="15" hidden="false" customHeight="false" outlineLevel="0" collapsed="false">
      <c r="B424" s="53"/>
      <c r="I424" s="53"/>
      <c r="U424" s="31" t="n">
        <f aca="false">IF($B424&lt;&gt;'設定（最初に1回）'!$C$4,N(U423),IF(COUNTIFS(①今日の在庫を貼る!$B$6:$B$10005,$B424,①今日の在庫を貼る!$I$6:$I$10005,$I424)&gt;0,N(U423),N(U423)+1))</f>
        <v>2</v>
      </c>
    </row>
    <row r="425" customFormat="false" ht="15" hidden="false" customHeight="false" outlineLevel="0" collapsed="false">
      <c r="B425" s="53"/>
      <c r="I425" s="53"/>
      <c r="U425" s="31" t="n">
        <f aca="false">IF($B425&lt;&gt;'設定（最初に1回）'!$C$4,N(U424),IF(COUNTIFS(①今日の在庫を貼る!$B$6:$B$10005,$B425,①今日の在庫を貼る!$I$6:$I$10005,$I425)&gt;0,N(U424),N(U424)+1))</f>
        <v>2</v>
      </c>
    </row>
    <row r="426" customFormat="false" ht="15" hidden="false" customHeight="false" outlineLevel="0" collapsed="false">
      <c r="B426" s="53"/>
      <c r="I426" s="53"/>
      <c r="U426" s="31" t="n">
        <f aca="false">IF($B426&lt;&gt;'設定（最初に1回）'!$C$4,N(U425),IF(COUNTIFS(①今日の在庫を貼る!$B$6:$B$10005,$B426,①今日の在庫を貼る!$I$6:$I$10005,$I426)&gt;0,N(U425),N(U425)+1))</f>
        <v>2</v>
      </c>
    </row>
    <row r="427" customFormat="false" ht="15" hidden="false" customHeight="false" outlineLevel="0" collapsed="false">
      <c r="B427" s="53"/>
      <c r="I427" s="53"/>
      <c r="U427" s="31" t="n">
        <f aca="false">IF($B427&lt;&gt;'設定（最初に1回）'!$C$4,N(U426),IF(COUNTIFS(①今日の在庫を貼る!$B$6:$B$10005,$B427,①今日の在庫を貼る!$I$6:$I$10005,$I427)&gt;0,N(U426),N(U426)+1))</f>
        <v>2</v>
      </c>
    </row>
    <row r="428" customFormat="false" ht="15" hidden="false" customHeight="false" outlineLevel="0" collapsed="false">
      <c r="B428" s="53"/>
      <c r="I428" s="53"/>
      <c r="U428" s="31" t="n">
        <f aca="false">IF($B428&lt;&gt;'設定（最初に1回）'!$C$4,N(U427),IF(COUNTIFS(①今日の在庫を貼る!$B$6:$B$10005,$B428,①今日の在庫を貼る!$I$6:$I$10005,$I428)&gt;0,N(U427),N(U427)+1))</f>
        <v>2</v>
      </c>
    </row>
    <row r="429" customFormat="false" ht="15" hidden="false" customHeight="false" outlineLevel="0" collapsed="false">
      <c r="B429" s="53"/>
      <c r="I429" s="53"/>
      <c r="U429" s="31" t="n">
        <f aca="false">IF($B429&lt;&gt;'設定（最初に1回）'!$C$4,N(U428),IF(COUNTIFS(①今日の在庫を貼る!$B$6:$B$10005,$B429,①今日の在庫を貼る!$I$6:$I$10005,$I429)&gt;0,N(U428),N(U428)+1))</f>
        <v>2</v>
      </c>
    </row>
    <row r="430" customFormat="false" ht="15" hidden="false" customHeight="false" outlineLevel="0" collapsed="false">
      <c r="B430" s="53"/>
      <c r="I430" s="53"/>
      <c r="U430" s="31" t="n">
        <f aca="false">IF($B430&lt;&gt;'設定（最初に1回）'!$C$4,N(U429),IF(COUNTIFS(①今日の在庫を貼る!$B$6:$B$10005,$B430,①今日の在庫を貼る!$I$6:$I$10005,$I430)&gt;0,N(U429),N(U429)+1))</f>
        <v>2</v>
      </c>
    </row>
    <row r="431" customFormat="false" ht="15" hidden="false" customHeight="false" outlineLevel="0" collapsed="false">
      <c r="B431" s="53"/>
      <c r="I431" s="53"/>
      <c r="U431" s="31" t="n">
        <f aca="false">IF($B431&lt;&gt;'設定（最初に1回）'!$C$4,N(U430),IF(COUNTIFS(①今日の在庫を貼る!$B$6:$B$10005,$B431,①今日の在庫を貼る!$I$6:$I$10005,$I431)&gt;0,N(U430),N(U430)+1))</f>
        <v>2</v>
      </c>
    </row>
    <row r="432" customFormat="false" ht="15" hidden="false" customHeight="false" outlineLevel="0" collapsed="false">
      <c r="B432" s="53"/>
      <c r="I432" s="53"/>
      <c r="U432" s="31" t="n">
        <f aca="false">IF($B432&lt;&gt;'設定（最初に1回）'!$C$4,N(U431),IF(COUNTIFS(①今日の在庫を貼る!$B$6:$B$10005,$B432,①今日の在庫を貼る!$I$6:$I$10005,$I432)&gt;0,N(U431),N(U431)+1))</f>
        <v>2</v>
      </c>
    </row>
    <row r="433" customFormat="false" ht="15" hidden="false" customHeight="false" outlineLevel="0" collapsed="false">
      <c r="B433" s="53"/>
      <c r="I433" s="53"/>
      <c r="U433" s="31" t="n">
        <f aca="false">IF($B433&lt;&gt;'設定（最初に1回）'!$C$4,N(U432),IF(COUNTIFS(①今日の在庫を貼る!$B$6:$B$10005,$B433,①今日の在庫を貼る!$I$6:$I$10005,$I433)&gt;0,N(U432),N(U432)+1))</f>
        <v>2</v>
      </c>
    </row>
    <row r="434" customFormat="false" ht="15" hidden="false" customHeight="false" outlineLevel="0" collapsed="false">
      <c r="B434" s="53"/>
      <c r="I434" s="53"/>
      <c r="U434" s="31" t="n">
        <f aca="false">IF($B434&lt;&gt;'設定（最初に1回）'!$C$4,N(U433),IF(COUNTIFS(①今日の在庫を貼る!$B$6:$B$10005,$B434,①今日の在庫を貼る!$I$6:$I$10005,$I434)&gt;0,N(U433),N(U433)+1))</f>
        <v>2</v>
      </c>
    </row>
    <row r="435" customFormat="false" ht="15" hidden="false" customHeight="false" outlineLevel="0" collapsed="false">
      <c r="B435" s="53"/>
      <c r="I435" s="53"/>
      <c r="U435" s="31" t="n">
        <f aca="false">IF($B435&lt;&gt;'設定（最初に1回）'!$C$4,N(U434),IF(COUNTIFS(①今日の在庫を貼る!$B$6:$B$10005,$B435,①今日の在庫を貼る!$I$6:$I$10005,$I435)&gt;0,N(U434),N(U434)+1))</f>
        <v>2</v>
      </c>
    </row>
    <row r="436" customFormat="false" ht="15" hidden="false" customHeight="false" outlineLevel="0" collapsed="false">
      <c r="B436" s="53"/>
      <c r="I436" s="53"/>
      <c r="U436" s="31" t="n">
        <f aca="false">IF($B436&lt;&gt;'設定（最初に1回）'!$C$4,N(U435),IF(COUNTIFS(①今日の在庫を貼る!$B$6:$B$10005,$B436,①今日の在庫を貼る!$I$6:$I$10005,$I436)&gt;0,N(U435),N(U435)+1))</f>
        <v>2</v>
      </c>
    </row>
    <row r="437" customFormat="false" ht="15" hidden="false" customHeight="false" outlineLevel="0" collapsed="false">
      <c r="B437" s="53"/>
      <c r="I437" s="53"/>
      <c r="U437" s="31" t="n">
        <f aca="false">IF($B437&lt;&gt;'設定（最初に1回）'!$C$4,N(U436),IF(COUNTIFS(①今日の在庫を貼る!$B$6:$B$10005,$B437,①今日の在庫を貼る!$I$6:$I$10005,$I437)&gt;0,N(U436),N(U436)+1))</f>
        <v>2</v>
      </c>
    </row>
    <row r="438" customFormat="false" ht="15" hidden="false" customHeight="false" outlineLevel="0" collapsed="false">
      <c r="B438" s="53"/>
      <c r="I438" s="53"/>
      <c r="U438" s="31" t="n">
        <f aca="false">IF($B438&lt;&gt;'設定（最初に1回）'!$C$4,N(U437),IF(COUNTIFS(①今日の在庫を貼る!$B$6:$B$10005,$B438,①今日の在庫を貼る!$I$6:$I$10005,$I438)&gt;0,N(U437),N(U437)+1))</f>
        <v>2</v>
      </c>
    </row>
    <row r="439" customFormat="false" ht="15" hidden="false" customHeight="false" outlineLevel="0" collapsed="false">
      <c r="B439" s="53"/>
      <c r="I439" s="53"/>
      <c r="U439" s="31" t="n">
        <f aca="false">IF($B439&lt;&gt;'設定（最初に1回）'!$C$4,N(U438),IF(COUNTIFS(①今日の在庫を貼る!$B$6:$B$10005,$B439,①今日の在庫を貼る!$I$6:$I$10005,$I439)&gt;0,N(U438),N(U438)+1))</f>
        <v>2</v>
      </c>
    </row>
    <row r="440" customFormat="false" ht="15" hidden="false" customHeight="false" outlineLevel="0" collapsed="false">
      <c r="B440" s="53"/>
      <c r="I440" s="53"/>
      <c r="U440" s="31" t="n">
        <f aca="false">IF($B440&lt;&gt;'設定（最初に1回）'!$C$4,N(U439),IF(COUNTIFS(①今日の在庫を貼る!$B$6:$B$10005,$B440,①今日の在庫を貼る!$I$6:$I$10005,$I440)&gt;0,N(U439),N(U439)+1))</f>
        <v>2</v>
      </c>
    </row>
    <row r="441" customFormat="false" ht="15" hidden="false" customHeight="false" outlineLevel="0" collapsed="false">
      <c r="B441" s="53"/>
      <c r="I441" s="53"/>
      <c r="U441" s="31" t="n">
        <f aca="false">IF($B441&lt;&gt;'設定（最初に1回）'!$C$4,N(U440),IF(COUNTIFS(①今日の在庫を貼る!$B$6:$B$10005,$B441,①今日の在庫を貼る!$I$6:$I$10005,$I441)&gt;0,N(U440),N(U440)+1))</f>
        <v>2</v>
      </c>
    </row>
    <row r="442" customFormat="false" ht="15" hidden="false" customHeight="false" outlineLevel="0" collapsed="false">
      <c r="B442" s="53"/>
      <c r="I442" s="53"/>
      <c r="U442" s="31" t="n">
        <f aca="false">IF($B442&lt;&gt;'設定（最初に1回）'!$C$4,N(U441),IF(COUNTIFS(①今日の在庫を貼る!$B$6:$B$10005,$B442,①今日の在庫を貼る!$I$6:$I$10005,$I442)&gt;0,N(U441),N(U441)+1))</f>
        <v>2</v>
      </c>
    </row>
    <row r="443" customFormat="false" ht="15" hidden="false" customHeight="false" outlineLevel="0" collapsed="false">
      <c r="B443" s="53"/>
      <c r="I443" s="53"/>
      <c r="U443" s="31" t="n">
        <f aca="false">IF($B443&lt;&gt;'設定（最初に1回）'!$C$4,N(U442),IF(COUNTIFS(①今日の在庫を貼る!$B$6:$B$10005,$B443,①今日の在庫を貼る!$I$6:$I$10005,$I443)&gt;0,N(U442),N(U442)+1))</f>
        <v>2</v>
      </c>
    </row>
    <row r="444" customFormat="false" ht="15" hidden="false" customHeight="false" outlineLevel="0" collapsed="false">
      <c r="B444" s="53"/>
      <c r="I444" s="53"/>
      <c r="U444" s="31" t="n">
        <f aca="false">IF($B444&lt;&gt;'設定（最初に1回）'!$C$4,N(U443),IF(COUNTIFS(①今日の在庫を貼る!$B$6:$B$10005,$B444,①今日の在庫を貼る!$I$6:$I$10005,$I444)&gt;0,N(U443),N(U443)+1))</f>
        <v>2</v>
      </c>
    </row>
    <row r="445" customFormat="false" ht="15" hidden="false" customHeight="false" outlineLevel="0" collapsed="false">
      <c r="B445" s="53"/>
      <c r="I445" s="53"/>
      <c r="U445" s="31" t="n">
        <f aca="false">IF($B445&lt;&gt;'設定（最初に1回）'!$C$4,N(U444),IF(COUNTIFS(①今日の在庫を貼る!$B$6:$B$10005,$B445,①今日の在庫を貼る!$I$6:$I$10005,$I445)&gt;0,N(U444),N(U444)+1))</f>
        <v>2</v>
      </c>
    </row>
    <row r="446" customFormat="false" ht="15" hidden="false" customHeight="false" outlineLevel="0" collapsed="false">
      <c r="B446" s="53"/>
      <c r="I446" s="53"/>
      <c r="U446" s="31" t="n">
        <f aca="false">IF($B446&lt;&gt;'設定（最初に1回）'!$C$4,N(U445),IF(COUNTIFS(①今日の在庫を貼る!$B$6:$B$10005,$B446,①今日の在庫を貼る!$I$6:$I$10005,$I446)&gt;0,N(U445),N(U445)+1))</f>
        <v>2</v>
      </c>
    </row>
    <row r="447" customFormat="false" ht="15" hidden="false" customHeight="false" outlineLevel="0" collapsed="false">
      <c r="B447" s="53"/>
      <c r="I447" s="53"/>
      <c r="U447" s="31" t="n">
        <f aca="false">IF($B447&lt;&gt;'設定（最初に1回）'!$C$4,N(U446),IF(COUNTIFS(①今日の在庫を貼る!$B$6:$B$10005,$B447,①今日の在庫を貼る!$I$6:$I$10005,$I447)&gt;0,N(U446),N(U446)+1))</f>
        <v>2</v>
      </c>
    </row>
    <row r="448" customFormat="false" ht="15" hidden="false" customHeight="false" outlineLevel="0" collapsed="false">
      <c r="B448" s="53"/>
      <c r="I448" s="53"/>
      <c r="U448" s="31" t="n">
        <f aca="false">IF($B448&lt;&gt;'設定（最初に1回）'!$C$4,N(U447),IF(COUNTIFS(①今日の在庫を貼る!$B$6:$B$10005,$B448,①今日の在庫を貼る!$I$6:$I$10005,$I448)&gt;0,N(U447),N(U447)+1))</f>
        <v>2</v>
      </c>
    </row>
    <row r="449" customFormat="false" ht="15" hidden="false" customHeight="false" outlineLevel="0" collapsed="false">
      <c r="B449" s="53"/>
      <c r="I449" s="53"/>
      <c r="U449" s="31" t="n">
        <f aca="false">IF($B449&lt;&gt;'設定（最初に1回）'!$C$4,N(U448),IF(COUNTIFS(①今日の在庫を貼る!$B$6:$B$10005,$B449,①今日の在庫を貼る!$I$6:$I$10005,$I449)&gt;0,N(U448),N(U448)+1))</f>
        <v>2</v>
      </c>
    </row>
    <row r="450" customFormat="false" ht="15" hidden="false" customHeight="false" outlineLevel="0" collapsed="false">
      <c r="B450" s="53"/>
      <c r="I450" s="53"/>
      <c r="U450" s="31" t="n">
        <f aca="false">IF($B450&lt;&gt;'設定（最初に1回）'!$C$4,N(U449),IF(COUNTIFS(①今日の在庫を貼る!$B$6:$B$10005,$B450,①今日の在庫を貼る!$I$6:$I$10005,$I450)&gt;0,N(U449),N(U449)+1))</f>
        <v>2</v>
      </c>
    </row>
    <row r="451" customFormat="false" ht="15" hidden="false" customHeight="false" outlineLevel="0" collapsed="false">
      <c r="B451" s="53"/>
      <c r="I451" s="53"/>
      <c r="U451" s="31" t="n">
        <f aca="false">IF($B451&lt;&gt;'設定（最初に1回）'!$C$4,N(U450),IF(COUNTIFS(①今日の在庫を貼る!$B$6:$B$10005,$B451,①今日の在庫を貼る!$I$6:$I$10005,$I451)&gt;0,N(U450),N(U450)+1))</f>
        <v>2</v>
      </c>
    </row>
    <row r="452" customFormat="false" ht="15" hidden="false" customHeight="false" outlineLevel="0" collapsed="false">
      <c r="B452" s="53"/>
      <c r="I452" s="53"/>
      <c r="U452" s="31" t="n">
        <f aca="false">IF($B452&lt;&gt;'設定（最初に1回）'!$C$4,N(U451),IF(COUNTIFS(①今日の在庫を貼る!$B$6:$B$10005,$B452,①今日の在庫を貼る!$I$6:$I$10005,$I452)&gt;0,N(U451),N(U451)+1))</f>
        <v>2</v>
      </c>
    </row>
    <row r="453" customFormat="false" ht="15" hidden="false" customHeight="false" outlineLevel="0" collapsed="false">
      <c r="B453" s="53"/>
      <c r="I453" s="53"/>
      <c r="U453" s="31" t="n">
        <f aca="false">IF($B453&lt;&gt;'設定（最初に1回）'!$C$4,N(U452),IF(COUNTIFS(①今日の在庫を貼る!$B$6:$B$10005,$B453,①今日の在庫を貼る!$I$6:$I$10005,$I453)&gt;0,N(U452),N(U452)+1))</f>
        <v>2</v>
      </c>
    </row>
    <row r="454" customFormat="false" ht="15" hidden="false" customHeight="false" outlineLevel="0" collapsed="false">
      <c r="B454" s="53"/>
      <c r="I454" s="53"/>
      <c r="U454" s="31" t="n">
        <f aca="false">IF($B454&lt;&gt;'設定（最初に1回）'!$C$4,N(U453),IF(COUNTIFS(①今日の在庫を貼る!$B$6:$B$10005,$B454,①今日の在庫を貼る!$I$6:$I$10005,$I454)&gt;0,N(U453),N(U453)+1))</f>
        <v>2</v>
      </c>
    </row>
    <row r="455" customFormat="false" ht="15" hidden="false" customHeight="false" outlineLevel="0" collapsed="false">
      <c r="B455" s="53"/>
      <c r="I455" s="53"/>
      <c r="U455" s="31" t="n">
        <f aca="false">IF($B455&lt;&gt;'設定（最初に1回）'!$C$4,N(U454),IF(COUNTIFS(①今日の在庫を貼る!$B$6:$B$10005,$B455,①今日の在庫を貼る!$I$6:$I$10005,$I455)&gt;0,N(U454),N(U454)+1))</f>
        <v>2</v>
      </c>
    </row>
    <row r="456" customFormat="false" ht="15" hidden="false" customHeight="false" outlineLevel="0" collapsed="false">
      <c r="B456" s="53"/>
      <c r="I456" s="53"/>
      <c r="U456" s="31" t="n">
        <f aca="false">IF($B456&lt;&gt;'設定（最初に1回）'!$C$4,N(U455),IF(COUNTIFS(①今日の在庫を貼る!$B$6:$B$10005,$B456,①今日の在庫を貼る!$I$6:$I$10005,$I456)&gt;0,N(U455),N(U455)+1))</f>
        <v>2</v>
      </c>
    </row>
    <row r="457" customFormat="false" ht="15" hidden="false" customHeight="false" outlineLevel="0" collapsed="false">
      <c r="B457" s="53"/>
      <c r="I457" s="53"/>
      <c r="U457" s="31" t="n">
        <f aca="false">IF($B457&lt;&gt;'設定（最初に1回）'!$C$4,N(U456),IF(COUNTIFS(①今日の在庫を貼る!$B$6:$B$10005,$B457,①今日の在庫を貼る!$I$6:$I$10005,$I457)&gt;0,N(U456),N(U456)+1))</f>
        <v>2</v>
      </c>
    </row>
    <row r="458" customFormat="false" ht="15" hidden="false" customHeight="false" outlineLevel="0" collapsed="false">
      <c r="B458" s="53"/>
      <c r="I458" s="53"/>
      <c r="U458" s="31" t="n">
        <f aca="false">IF($B458&lt;&gt;'設定（最初に1回）'!$C$4,N(U457),IF(COUNTIFS(①今日の在庫を貼る!$B$6:$B$10005,$B458,①今日の在庫を貼る!$I$6:$I$10005,$I458)&gt;0,N(U457),N(U457)+1))</f>
        <v>2</v>
      </c>
    </row>
    <row r="459" customFormat="false" ht="15" hidden="false" customHeight="false" outlineLevel="0" collapsed="false">
      <c r="B459" s="53"/>
      <c r="I459" s="53"/>
      <c r="U459" s="31" t="n">
        <f aca="false">IF($B459&lt;&gt;'設定（最初に1回）'!$C$4,N(U458),IF(COUNTIFS(①今日の在庫を貼る!$B$6:$B$10005,$B459,①今日の在庫を貼る!$I$6:$I$10005,$I459)&gt;0,N(U458),N(U458)+1))</f>
        <v>2</v>
      </c>
    </row>
    <row r="460" customFormat="false" ht="15" hidden="false" customHeight="false" outlineLevel="0" collapsed="false">
      <c r="B460" s="53"/>
      <c r="I460" s="53"/>
      <c r="U460" s="31" t="n">
        <f aca="false">IF($B460&lt;&gt;'設定（最初に1回）'!$C$4,N(U459),IF(COUNTIFS(①今日の在庫を貼る!$B$6:$B$10005,$B460,①今日の在庫を貼る!$I$6:$I$10005,$I460)&gt;0,N(U459),N(U459)+1))</f>
        <v>2</v>
      </c>
    </row>
    <row r="461" customFormat="false" ht="15" hidden="false" customHeight="false" outlineLevel="0" collapsed="false">
      <c r="B461" s="53"/>
      <c r="I461" s="53"/>
      <c r="U461" s="31" t="n">
        <f aca="false">IF($B461&lt;&gt;'設定（最初に1回）'!$C$4,N(U460),IF(COUNTIFS(①今日の在庫を貼る!$B$6:$B$10005,$B461,①今日の在庫を貼る!$I$6:$I$10005,$I461)&gt;0,N(U460),N(U460)+1))</f>
        <v>2</v>
      </c>
    </row>
    <row r="462" customFormat="false" ht="15" hidden="false" customHeight="false" outlineLevel="0" collapsed="false">
      <c r="B462" s="53"/>
      <c r="I462" s="53"/>
      <c r="U462" s="31" t="n">
        <f aca="false">IF($B462&lt;&gt;'設定（最初に1回）'!$C$4,N(U461),IF(COUNTIFS(①今日の在庫を貼る!$B$6:$B$10005,$B462,①今日の在庫を貼る!$I$6:$I$10005,$I462)&gt;0,N(U461),N(U461)+1))</f>
        <v>2</v>
      </c>
    </row>
    <row r="463" customFormat="false" ht="15" hidden="false" customHeight="false" outlineLevel="0" collapsed="false">
      <c r="B463" s="53"/>
      <c r="I463" s="53"/>
      <c r="U463" s="31" t="n">
        <f aca="false">IF($B463&lt;&gt;'設定（最初に1回）'!$C$4,N(U462),IF(COUNTIFS(①今日の在庫を貼る!$B$6:$B$10005,$B463,①今日の在庫を貼る!$I$6:$I$10005,$I463)&gt;0,N(U462),N(U462)+1))</f>
        <v>2</v>
      </c>
    </row>
    <row r="464" customFormat="false" ht="15" hidden="false" customHeight="false" outlineLevel="0" collapsed="false">
      <c r="B464" s="53"/>
      <c r="I464" s="53"/>
      <c r="U464" s="31" t="n">
        <f aca="false">IF($B464&lt;&gt;'設定（最初に1回）'!$C$4,N(U463),IF(COUNTIFS(①今日の在庫を貼る!$B$6:$B$10005,$B464,①今日の在庫を貼る!$I$6:$I$10005,$I464)&gt;0,N(U463),N(U463)+1))</f>
        <v>2</v>
      </c>
    </row>
    <row r="465" customFormat="false" ht="15" hidden="false" customHeight="false" outlineLevel="0" collapsed="false">
      <c r="B465" s="53"/>
      <c r="I465" s="53"/>
      <c r="U465" s="31" t="n">
        <f aca="false">IF($B465&lt;&gt;'設定（最初に1回）'!$C$4,N(U464),IF(COUNTIFS(①今日の在庫を貼る!$B$6:$B$10005,$B465,①今日の在庫を貼る!$I$6:$I$10005,$I465)&gt;0,N(U464),N(U464)+1))</f>
        <v>2</v>
      </c>
    </row>
    <row r="466" customFormat="false" ht="15" hidden="false" customHeight="false" outlineLevel="0" collapsed="false">
      <c r="B466" s="53"/>
      <c r="I466" s="53"/>
      <c r="U466" s="31" t="n">
        <f aca="false">IF($B466&lt;&gt;'設定（最初に1回）'!$C$4,N(U465),IF(COUNTIFS(①今日の在庫を貼る!$B$6:$B$10005,$B466,①今日の在庫を貼る!$I$6:$I$10005,$I466)&gt;0,N(U465),N(U465)+1))</f>
        <v>2</v>
      </c>
    </row>
    <row r="467" customFormat="false" ht="15" hidden="false" customHeight="false" outlineLevel="0" collapsed="false">
      <c r="B467" s="53"/>
      <c r="I467" s="53"/>
      <c r="U467" s="31" t="n">
        <f aca="false">IF($B467&lt;&gt;'設定（最初に1回）'!$C$4,N(U466),IF(COUNTIFS(①今日の在庫を貼る!$B$6:$B$10005,$B467,①今日の在庫を貼る!$I$6:$I$10005,$I467)&gt;0,N(U466),N(U466)+1))</f>
        <v>2</v>
      </c>
    </row>
    <row r="468" customFormat="false" ht="15" hidden="false" customHeight="false" outlineLevel="0" collapsed="false">
      <c r="B468" s="53"/>
      <c r="I468" s="53"/>
      <c r="U468" s="31" t="n">
        <f aca="false">IF($B468&lt;&gt;'設定（最初に1回）'!$C$4,N(U467),IF(COUNTIFS(①今日の在庫を貼る!$B$6:$B$10005,$B468,①今日の在庫を貼る!$I$6:$I$10005,$I468)&gt;0,N(U467),N(U467)+1))</f>
        <v>2</v>
      </c>
    </row>
    <row r="469" customFormat="false" ht="15" hidden="false" customHeight="false" outlineLevel="0" collapsed="false">
      <c r="B469" s="53"/>
      <c r="I469" s="53"/>
      <c r="U469" s="31" t="n">
        <f aca="false">IF($B469&lt;&gt;'設定（最初に1回）'!$C$4,N(U468),IF(COUNTIFS(①今日の在庫を貼る!$B$6:$B$10005,$B469,①今日の在庫を貼る!$I$6:$I$10005,$I469)&gt;0,N(U468),N(U468)+1))</f>
        <v>2</v>
      </c>
    </row>
    <row r="470" customFormat="false" ht="15" hidden="false" customHeight="false" outlineLevel="0" collapsed="false">
      <c r="B470" s="53"/>
      <c r="I470" s="53"/>
      <c r="U470" s="31" t="n">
        <f aca="false">IF($B470&lt;&gt;'設定（最初に1回）'!$C$4,N(U469),IF(COUNTIFS(①今日の在庫を貼る!$B$6:$B$10005,$B470,①今日の在庫を貼る!$I$6:$I$10005,$I470)&gt;0,N(U469),N(U469)+1))</f>
        <v>2</v>
      </c>
    </row>
    <row r="471" customFormat="false" ht="15" hidden="false" customHeight="false" outlineLevel="0" collapsed="false">
      <c r="B471" s="53"/>
      <c r="I471" s="53"/>
      <c r="U471" s="31" t="n">
        <f aca="false">IF($B471&lt;&gt;'設定（最初に1回）'!$C$4,N(U470),IF(COUNTIFS(①今日の在庫を貼る!$B$6:$B$10005,$B471,①今日の在庫を貼る!$I$6:$I$10005,$I471)&gt;0,N(U470),N(U470)+1))</f>
        <v>2</v>
      </c>
    </row>
    <row r="472" customFormat="false" ht="15" hidden="false" customHeight="false" outlineLevel="0" collapsed="false">
      <c r="B472" s="53"/>
      <c r="I472" s="53"/>
      <c r="U472" s="31" t="n">
        <f aca="false">IF($B472&lt;&gt;'設定（最初に1回）'!$C$4,N(U471),IF(COUNTIFS(①今日の在庫を貼る!$B$6:$B$10005,$B472,①今日の在庫を貼る!$I$6:$I$10005,$I472)&gt;0,N(U471),N(U471)+1))</f>
        <v>2</v>
      </c>
    </row>
    <row r="473" customFormat="false" ht="15" hidden="false" customHeight="false" outlineLevel="0" collapsed="false">
      <c r="B473" s="53"/>
      <c r="I473" s="53"/>
      <c r="U473" s="31" t="n">
        <f aca="false">IF($B473&lt;&gt;'設定（最初に1回）'!$C$4,N(U472),IF(COUNTIFS(①今日の在庫を貼る!$B$6:$B$10005,$B473,①今日の在庫を貼る!$I$6:$I$10005,$I473)&gt;0,N(U472),N(U472)+1))</f>
        <v>2</v>
      </c>
    </row>
    <row r="474" customFormat="false" ht="15" hidden="false" customHeight="false" outlineLevel="0" collapsed="false">
      <c r="B474" s="53"/>
      <c r="I474" s="53"/>
      <c r="U474" s="31" t="n">
        <f aca="false">IF($B474&lt;&gt;'設定（最初に1回）'!$C$4,N(U473),IF(COUNTIFS(①今日の在庫を貼る!$B$6:$B$10005,$B474,①今日の在庫を貼る!$I$6:$I$10005,$I474)&gt;0,N(U473),N(U473)+1))</f>
        <v>2</v>
      </c>
    </row>
    <row r="475" customFormat="false" ht="15" hidden="false" customHeight="false" outlineLevel="0" collapsed="false">
      <c r="B475" s="53"/>
      <c r="I475" s="53"/>
      <c r="U475" s="31" t="n">
        <f aca="false">IF($B475&lt;&gt;'設定（最初に1回）'!$C$4,N(U474),IF(COUNTIFS(①今日の在庫を貼る!$B$6:$B$10005,$B475,①今日の在庫を貼る!$I$6:$I$10005,$I475)&gt;0,N(U474),N(U474)+1))</f>
        <v>2</v>
      </c>
    </row>
    <row r="476" customFormat="false" ht="15" hidden="false" customHeight="false" outlineLevel="0" collapsed="false">
      <c r="B476" s="53"/>
      <c r="I476" s="53"/>
      <c r="U476" s="31" t="n">
        <f aca="false">IF($B476&lt;&gt;'設定（最初に1回）'!$C$4,N(U475),IF(COUNTIFS(①今日の在庫を貼る!$B$6:$B$10005,$B476,①今日の在庫を貼る!$I$6:$I$10005,$I476)&gt;0,N(U475),N(U475)+1))</f>
        <v>2</v>
      </c>
    </row>
    <row r="477" customFormat="false" ht="15" hidden="false" customHeight="false" outlineLevel="0" collapsed="false">
      <c r="B477" s="53"/>
      <c r="I477" s="53"/>
      <c r="U477" s="31" t="n">
        <f aca="false">IF($B477&lt;&gt;'設定（最初に1回）'!$C$4,N(U476),IF(COUNTIFS(①今日の在庫を貼る!$B$6:$B$10005,$B477,①今日の在庫を貼る!$I$6:$I$10005,$I477)&gt;0,N(U476),N(U476)+1))</f>
        <v>2</v>
      </c>
    </row>
    <row r="478" customFormat="false" ht="15" hidden="false" customHeight="false" outlineLevel="0" collapsed="false">
      <c r="B478" s="53"/>
      <c r="I478" s="53"/>
      <c r="U478" s="31" t="n">
        <f aca="false">IF($B478&lt;&gt;'設定（最初に1回）'!$C$4,N(U477),IF(COUNTIFS(①今日の在庫を貼る!$B$6:$B$10005,$B478,①今日の在庫を貼る!$I$6:$I$10005,$I478)&gt;0,N(U477),N(U477)+1))</f>
        <v>2</v>
      </c>
    </row>
    <row r="479" customFormat="false" ht="15" hidden="false" customHeight="false" outlineLevel="0" collapsed="false">
      <c r="B479" s="53"/>
      <c r="I479" s="53"/>
      <c r="U479" s="31" t="n">
        <f aca="false">IF($B479&lt;&gt;'設定（最初に1回）'!$C$4,N(U478),IF(COUNTIFS(①今日の在庫を貼る!$B$6:$B$10005,$B479,①今日の在庫を貼る!$I$6:$I$10005,$I479)&gt;0,N(U478),N(U478)+1))</f>
        <v>2</v>
      </c>
    </row>
    <row r="480" customFormat="false" ht="15" hidden="false" customHeight="false" outlineLevel="0" collapsed="false">
      <c r="B480" s="53"/>
      <c r="I480" s="53"/>
      <c r="U480" s="31" t="n">
        <f aca="false">IF($B480&lt;&gt;'設定（最初に1回）'!$C$4,N(U479),IF(COUNTIFS(①今日の在庫を貼る!$B$6:$B$10005,$B480,①今日の在庫を貼る!$I$6:$I$10005,$I480)&gt;0,N(U479),N(U479)+1))</f>
        <v>2</v>
      </c>
    </row>
    <row r="481" customFormat="false" ht="15" hidden="false" customHeight="false" outlineLevel="0" collapsed="false">
      <c r="B481" s="53"/>
      <c r="I481" s="53"/>
      <c r="U481" s="31" t="n">
        <f aca="false">IF($B481&lt;&gt;'設定（最初に1回）'!$C$4,N(U480),IF(COUNTIFS(①今日の在庫を貼る!$B$6:$B$10005,$B481,①今日の在庫を貼る!$I$6:$I$10005,$I481)&gt;0,N(U480),N(U480)+1))</f>
        <v>2</v>
      </c>
    </row>
    <row r="482" customFormat="false" ht="15" hidden="false" customHeight="false" outlineLevel="0" collapsed="false">
      <c r="B482" s="53"/>
      <c r="I482" s="53"/>
      <c r="U482" s="31" t="n">
        <f aca="false">IF($B482&lt;&gt;'設定（最初に1回）'!$C$4,N(U481),IF(COUNTIFS(①今日の在庫を貼る!$B$6:$B$10005,$B482,①今日の在庫を貼る!$I$6:$I$10005,$I482)&gt;0,N(U481),N(U481)+1))</f>
        <v>2</v>
      </c>
    </row>
    <row r="483" customFormat="false" ht="15" hidden="false" customHeight="false" outlineLevel="0" collapsed="false">
      <c r="B483" s="53"/>
      <c r="I483" s="53"/>
      <c r="U483" s="31" t="n">
        <f aca="false">IF($B483&lt;&gt;'設定（最初に1回）'!$C$4,N(U482),IF(COUNTIFS(①今日の在庫を貼る!$B$6:$B$10005,$B483,①今日の在庫を貼る!$I$6:$I$10005,$I483)&gt;0,N(U482),N(U482)+1))</f>
        <v>2</v>
      </c>
    </row>
    <row r="484" customFormat="false" ht="15" hidden="false" customHeight="false" outlineLevel="0" collapsed="false">
      <c r="B484" s="53"/>
      <c r="I484" s="53"/>
      <c r="U484" s="31" t="n">
        <f aca="false">IF($B484&lt;&gt;'設定（最初に1回）'!$C$4,N(U483),IF(COUNTIFS(①今日の在庫を貼る!$B$6:$B$10005,$B484,①今日の在庫を貼る!$I$6:$I$10005,$I484)&gt;0,N(U483),N(U483)+1))</f>
        <v>2</v>
      </c>
    </row>
    <row r="485" customFormat="false" ht="15" hidden="false" customHeight="false" outlineLevel="0" collapsed="false">
      <c r="B485" s="53"/>
      <c r="I485" s="53"/>
      <c r="U485" s="31" t="n">
        <f aca="false">IF($B485&lt;&gt;'設定（最初に1回）'!$C$4,N(U484),IF(COUNTIFS(①今日の在庫を貼る!$B$6:$B$10005,$B485,①今日の在庫を貼る!$I$6:$I$10005,$I485)&gt;0,N(U484),N(U484)+1))</f>
        <v>2</v>
      </c>
    </row>
    <row r="486" customFormat="false" ht="15" hidden="false" customHeight="false" outlineLevel="0" collapsed="false">
      <c r="B486" s="53"/>
      <c r="I486" s="53"/>
      <c r="U486" s="31" t="n">
        <f aca="false">IF($B486&lt;&gt;'設定（最初に1回）'!$C$4,N(U485),IF(COUNTIFS(①今日の在庫を貼る!$B$6:$B$10005,$B486,①今日の在庫を貼る!$I$6:$I$10005,$I486)&gt;0,N(U485),N(U485)+1))</f>
        <v>2</v>
      </c>
    </row>
    <row r="487" customFormat="false" ht="15" hidden="false" customHeight="false" outlineLevel="0" collapsed="false">
      <c r="B487" s="53"/>
      <c r="I487" s="53"/>
      <c r="U487" s="31" t="n">
        <f aca="false">IF($B487&lt;&gt;'設定（最初に1回）'!$C$4,N(U486),IF(COUNTIFS(①今日の在庫を貼る!$B$6:$B$10005,$B487,①今日の在庫を貼る!$I$6:$I$10005,$I487)&gt;0,N(U486),N(U486)+1))</f>
        <v>2</v>
      </c>
    </row>
    <row r="488" customFormat="false" ht="15" hidden="false" customHeight="false" outlineLevel="0" collapsed="false">
      <c r="B488" s="53"/>
      <c r="I488" s="53"/>
      <c r="U488" s="31" t="n">
        <f aca="false">IF($B488&lt;&gt;'設定（最初に1回）'!$C$4,N(U487),IF(COUNTIFS(①今日の在庫を貼る!$B$6:$B$10005,$B488,①今日の在庫を貼る!$I$6:$I$10005,$I488)&gt;0,N(U487),N(U487)+1))</f>
        <v>2</v>
      </c>
    </row>
    <row r="489" customFormat="false" ht="15" hidden="false" customHeight="false" outlineLevel="0" collapsed="false">
      <c r="B489" s="53"/>
      <c r="I489" s="53"/>
      <c r="U489" s="31" t="n">
        <f aca="false">IF($B489&lt;&gt;'設定（最初に1回）'!$C$4,N(U488),IF(COUNTIFS(①今日の在庫を貼る!$B$6:$B$10005,$B489,①今日の在庫を貼る!$I$6:$I$10005,$I489)&gt;0,N(U488),N(U488)+1))</f>
        <v>2</v>
      </c>
    </row>
    <row r="490" customFormat="false" ht="15" hidden="false" customHeight="false" outlineLevel="0" collapsed="false">
      <c r="B490" s="53"/>
      <c r="I490" s="53"/>
      <c r="U490" s="31" t="n">
        <f aca="false">IF($B490&lt;&gt;'設定（最初に1回）'!$C$4,N(U489),IF(COUNTIFS(①今日の在庫を貼る!$B$6:$B$10005,$B490,①今日の在庫を貼る!$I$6:$I$10005,$I490)&gt;0,N(U489),N(U489)+1))</f>
        <v>2</v>
      </c>
    </row>
    <row r="491" customFormat="false" ht="15" hidden="false" customHeight="false" outlineLevel="0" collapsed="false">
      <c r="B491" s="53"/>
      <c r="I491" s="53"/>
      <c r="U491" s="31" t="n">
        <f aca="false">IF($B491&lt;&gt;'設定（最初に1回）'!$C$4,N(U490),IF(COUNTIFS(①今日の在庫を貼る!$B$6:$B$10005,$B491,①今日の在庫を貼る!$I$6:$I$10005,$I491)&gt;0,N(U490),N(U490)+1))</f>
        <v>2</v>
      </c>
    </row>
    <row r="492" customFormat="false" ht="15" hidden="false" customHeight="false" outlineLevel="0" collapsed="false">
      <c r="B492" s="53"/>
      <c r="I492" s="53"/>
      <c r="U492" s="31" t="n">
        <f aca="false">IF($B492&lt;&gt;'設定（最初に1回）'!$C$4,N(U491),IF(COUNTIFS(①今日の在庫を貼る!$B$6:$B$10005,$B492,①今日の在庫を貼る!$I$6:$I$10005,$I492)&gt;0,N(U491),N(U491)+1))</f>
        <v>2</v>
      </c>
    </row>
    <row r="493" customFormat="false" ht="15" hidden="false" customHeight="false" outlineLevel="0" collapsed="false">
      <c r="B493" s="53"/>
      <c r="I493" s="53"/>
      <c r="U493" s="31" t="n">
        <f aca="false">IF($B493&lt;&gt;'設定（最初に1回）'!$C$4,N(U492),IF(COUNTIFS(①今日の在庫を貼る!$B$6:$B$10005,$B493,①今日の在庫を貼る!$I$6:$I$10005,$I493)&gt;0,N(U492),N(U492)+1))</f>
        <v>2</v>
      </c>
    </row>
    <row r="494" customFormat="false" ht="15" hidden="false" customHeight="false" outlineLevel="0" collapsed="false">
      <c r="B494" s="53"/>
      <c r="I494" s="53"/>
      <c r="U494" s="31" t="n">
        <f aca="false">IF($B494&lt;&gt;'設定（最初に1回）'!$C$4,N(U493),IF(COUNTIFS(①今日の在庫を貼る!$B$6:$B$10005,$B494,①今日の在庫を貼る!$I$6:$I$10005,$I494)&gt;0,N(U493),N(U493)+1))</f>
        <v>2</v>
      </c>
    </row>
    <row r="495" customFormat="false" ht="15" hidden="false" customHeight="false" outlineLevel="0" collapsed="false">
      <c r="B495" s="53"/>
      <c r="I495" s="53"/>
      <c r="U495" s="31" t="n">
        <f aca="false">IF($B495&lt;&gt;'設定（最初に1回）'!$C$4,N(U494),IF(COUNTIFS(①今日の在庫を貼る!$B$6:$B$10005,$B495,①今日の在庫を貼る!$I$6:$I$10005,$I495)&gt;0,N(U494),N(U494)+1))</f>
        <v>2</v>
      </c>
    </row>
    <row r="496" customFormat="false" ht="15" hidden="false" customHeight="false" outlineLevel="0" collapsed="false">
      <c r="B496" s="53"/>
      <c r="I496" s="53"/>
      <c r="U496" s="31" t="n">
        <f aca="false">IF($B496&lt;&gt;'設定（最初に1回）'!$C$4,N(U495),IF(COUNTIFS(①今日の在庫を貼る!$B$6:$B$10005,$B496,①今日の在庫を貼る!$I$6:$I$10005,$I496)&gt;0,N(U495),N(U495)+1))</f>
        <v>2</v>
      </c>
    </row>
    <row r="497" customFormat="false" ht="15" hidden="false" customHeight="false" outlineLevel="0" collapsed="false">
      <c r="B497" s="53"/>
      <c r="I497" s="53"/>
      <c r="U497" s="31" t="n">
        <f aca="false">IF($B497&lt;&gt;'設定（最初に1回）'!$C$4,N(U496),IF(COUNTIFS(①今日の在庫を貼る!$B$6:$B$10005,$B497,①今日の在庫を貼る!$I$6:$I$10005,$I497)&gt;0,N(U496),N(U496)+1))</f>
        <v>2</v>
      </c>
    </row>
    <row r="498" customFormat="false" ht="15" hidden="false" customHeight="false" outlineLevel="0" collapsed="false">
      <c r="B498" s="53"/>
      <c r="I498" s="53"/>
      <c r="U498" s="31" t="n">
        <f aca="false">IF($B498&lt;&gt;'設定（最初に1回）'!$C$4,N(U497),IF(COUNTIFS(①今日の在庫を貼る!$B$6:$B$10005,$B498,①今日の在庫を貼る!$I$6:$I$10005,$I498)&gt;0,N(U497),N(U497)+1))</f>
        <v>2</v>
      </c>
    </row>
    <row r="499" customFormat="false" ht="15" hidden="false" customHeight="false" outlineLevel="0" collapsed="false">
      <c r="B499" s="53"/>
      <c r="I499" s="53"/>
      <c r="U499" s="31" t="n">
        <f aca="false">IF($B499&lt;&gt;'設定（最初に1回）'!$C$4,N(U498),IF(COUNTIFS(①今日の在庫を貼る!$B$6:$B$10005,$B499,①今日の在庫を貼る!$I$6:$I$10005,$I499)&gt;0,N(U498),N(U498)+1))</f>
        <v>2</v>
      </c>
    </row>
    <row r="500" customFormat="false" ht="15" hidden="false" customHeight="false" outlineLevel="0" collapsed="false">
      <c r="B500" s="53"/>
      <c r="I500" s="53"/>
      <c r="U500" s="31" t="n">
        <f aca="false">IF($B500&lt;&gt;'設定（最初に1回）'!$C$4,N(U499),IF(COUNTIFS(①今日の在庫を貼る!$B$6:$B$10005,$B500,①今日の在庫を貼る!$I$6:$I$10005,$I500)&gt;0,N(U499),N(U499)+1))</f>
        <v>2</v>
      </c>
    </row>
    <row r="501" customFormat="false" ht="15" hidden="false" customHeight="false" outlineLevel="0" collapsed="false">
      <c r="B501" s="53"/>
      <c r="I501" s="53"/>
      <c r="U501" s="31" t="n">
        <f aca="false">IF($B501&lt;&gt;'設定（最初に1回）'!$C$4,N(U500),IF(COUNTIFS(①今日の在庫を貼る!$B$6:$B$10005,$B501,①今日の在庫を貼る!$I$6:$I$10005,$I501)&gt;0,N(U500),N(U500)+1))</f>
        <v>2</v>
      </c>
    </row>
    <row r="502" customFormat="false" ht="15" hidden="false" customHeight="false" outlineLevel="0" collapsed="false">
      <c r="B502" s="53"/>
      <c r="I502" s="53"/>
      <c r="U502" s="31" t="n">
        <f aca="false">IF($B502&lt;&gt;'設定（最初に1回）'!$C$4,N(U501),IF(COUNTIFS(①今日の在庫を貼る!$B$6:$B$10005,$B502,①今日の在庫を貼る!$I$6:$I$10005,$I502)&gt;0,N(U501),N(U501)+1))</f>
        <v>2</v>
      </c>
    </row>
    <row r="503" customFormat="false" ht="15" hidden="false" customHeight="false" outlineLevel="0" collapsed="false">
      <c r="B503" s="53"/>
      <c r="I503" s="53"/>
      <c r="U503" s="31" t="n">
        <f aca="false">IF($B503&lt;&gt;'設定（最初に1回）'!$C$4,N(U502),IF(COUNTIFS(①今日の在庫を貼る!$B$6:$B$10005,$B503,①今日の在庫を貼る!$I$6:$I$10005,$I503)&gt;0,N(U502),N(U502)+1))</f>
        <v>2</v>
      </c>
    </row>
    <row r="504" customFormat="false" ht="15" hidden="false" customHeight="false" outlineLevel="0" collapsed="false">
      <c r="B504" s="53"/>
      <c r="I504" s="53"/>
      <c r="U504" s="31" t="n">
        <f aca="false">IF($B504&lt;&gt;'設定（最初に1回）'!$C$4,N(U503),IF(COUNTIFS(①今日の在庫を貼る!$B$6:$B$10005,$B504,①今日の在庫を貼る!$I$6:$I$10005,$I504)&gt;0,N(U503),N(U503)+1))</f>
        <v>2</v>
      </c>
    </row>
    <row r="505" customFormat="false" ht="15" hidden="false" customHeight="false" outlineLevel="0" collapsed="false">
      <c r="B505" s="53"/>
      <c r="I505" s="53"/>
      <c r="U505" s="31" t="n">
        <f aca="false">IF($B505&lt;&gt;'設定（最初に1回）'!$C$4,N(U504),IF(COUNTIFS(①今日の在庫を貼る!$B$6:$B$10005,$B505,①今日の在庫を貼る!$I$6:$I$10005,$I505)&gt;0,N(U504),N(U504)+1))</f>
        <v>2</v>
      </c>
    </row>
    <row r="506" customFormat="false" ht="15" hidden="false" customHeight="false" outlineLevel="0" collapsed="false">
      <c r="B506" s="53"/>
      <c r="I506" s="53"/>
      <c r="U506" s="31" t="n">
        <f aca="false">IF($B506&lt;&gt;'設定（最初に1回）'!$C$4,N(U505),IF(COUNTIFS(①今日の在庫を貼る!$B$6:$B$10005,$B506,①今日の在庫を貼る!$I$6:$I$10005,$I506)&gt;0,N(U505),N(U505)+1))</f>
        <v>2</v>
      </c>
    </row>
    <row r="507" customFormat="false" ht="15" hidden="false" customHeight="false" outlineLevel="0" collapsed="false">
      <c r="B507" s="53"/>
      <c r="I507" s="53"/>
      <c r="U507" s="31" t="n">
        <f aca="false">IF($B507&lt;&gt;'設定（最初に1回）'!$C$4,N(U506),IF(COUNTIFS(①今日の在庫を貼る!$B$6:$B$10005,$B507,①今日の在庫を貼る!$I$6:$I$10005,$I507)&gt;0,N(U506),N(U506)+1))</f>
        <v>2</v>
      </c>
    </row>
    <row r="508" customFormat="false" ht="15" hidden="false" customHeight="false" outlineLevel="0" collapsed="false">
      <c r="B508" s="53"/>
      <c r="I508" s="53"/>
      <c r="U508" s="31" t="n">
        <f aca="false">IF($B508&lt;&gt;'設定（最初に1回）'!$C$4,N(U507),IF(COUNTIFS(①今日の在庫を貼る!$B$6:$B$10005,$B508,①今日の在庫を貼る!$I$6:$I$10005,$I508)&gt;0,N(U507),N(U507)+1))</f>
        <v>2</v>
      </c>
    </row>
    <row r="509" customFormat="false" ht="15" hidden="false" customHeight="false" outlineLevel="0" collapsed="false">
      <c r="B509" s="53"/>
      <c r="I509" s="53"/>
      <c r="U509" s="31" t="n">
        <f aca="false">IF($B509&lt;&gt;'設定（最初に1回）'!$C$4,N(U508),IF(COUNTIFS(①今日の在庫を貼る!$B$6:$B$10005,$B509,①今日の在庫を貼る!$I$6:$I$10005,$I509)&gt;0,N(U508),N(U508)+1))</f>
        <v>2</v>
      </c>
    </row>
    <row r="510" customFormat="false" ht="15" hidden="false" customHeight="false" outlineLevel="0" collapsed="false">
      <c r="B510" s="53"/>
      <c r="I510" s="53"/>
      <c r="U510" s="31" t="n">
        <f aca="false">IF($B510&lt;&gt;'設定（最初に1回）'!$C$4,N(U509),IF(COUNTIFS(①今日の在庫を貼る!$B$6:$B$10005,$B510,①今日の在庫を貼る!$I$6:$I$10005,$I510)&gt;0,N(U509),N(U509)+1))</f>
        <v>2</v>
      </c>
    </row>
    <row r="511" customFormat="false" ht="15" hidden="false" customHeight="false" outlineLevel="0" collapsed="false">
      <c r="B511" s="53"/>
      <c r="I511" s="53"/>
      <c r="U511" s="31" t="n">
        <f aca="false">IF($B511&lt;&gt;'設定（最初に1回）'!$C$4,N(U510),IF(COUNTIFS(①今日の在庫を貼る!$B$6:$B$10005,$B511,①今日の在庫を貼る!$I$6:$I$10005,$I511)&gt;0,N(U510),N(U510)+1))</f>
        <v>2</v>
      </c>
    </row>
    <row r="512" customFormat="false" ht="15" hidden="false" customHeight="false" outlineLevel="0" collapsed="false">
      <c r="B512" s="53"/>
      <c r="I512" s="53"/>
      <c r="U512" s="31" t="n">
        <f aca="false">IF($B512&lt;&gt;'設定（最初に1回）'!$C$4,N(U511),IF(COUNTIFS(①今日の在庫を貼る!$B$6:$B$10005,$B512,①今日の在庫を貼る!$I$6:$I$10005,$I512)&gt;0,N(U511),N(U511)+1))</f>
        <v>2</v>
      </c>
    </row>
    <row r="513" customFormat="false" ht="15" hidden="false" customHeight="false" outlineLevel="0" collapsed="false">
      <c r="B513" s="53"/>
      <c r="I513" s="53"/>
      <c r="U513" s="31" t="n">
        <f aca="false">IF($B513&lt;&gt;'設定（最初に1回）'!$C$4,N(U512),IF(COUNTIFS(①今日の在庫を貼る!$B$6:$B$10005,$B513,①今日の在庫を貼る!$I$6:$I$10005,$I513)&gt;0,N(U512),N(U512)+1))</f>
        <v>2</v>
      </c>
    </row>
    <row r="514" customFormat="false" ht="15" hidden="false" customHeight="false" outlineLevel="0" collapsed="false">
      <c r="B514" s="53"/>
      <c r="I514" s="53"/>
      <c r="U514" s="31" t="n">
        <f aca="false">IF($B514&lt;&gt;'設定（最初に1回）'!$C$4,N(U513),IF(COUNTIFS(①今日の在庫を貼る!$B$6:$B$10005,$B514,①今日の在庫を貼る!$I$6:$I$10005,$I514)&gt;0,N(U513),N(U513)+1))</f>
        <v>2</v>
      </c>
    </row>
    <row r="515" customFormat="false" ht="15" hidden="false" customHeight="false" outlineLevel="0" collapsed="false">
      <c r="B515" s="53"/>
      <c r="I515" s="53"/>
      <c r="U515" s="31" t="n">
        <f aca="false">IF($B515&lt;&gt;'設定（最初に1回）'!$C$4,N(U514),IF(COUNTIFS(①今日の在庫を貼る!$B$6:$B$10005,$B515,①今日の在庫を貼る!$I$6:$I$10005,$I515)&gt;0,N(U514),N(U514)+1))</f>
        <v>2</v>
      </c>
    </row>
    <row r="516" customFormat="false" ht="15" hidden="false" customHeight="false" outlineLevel="0" collapsed="false">
      <c r="B516" s="53"/>
      <c r="I516" s="53"/>
      <c r="U516" s="31" t="n">
        <f aca="false">IF($B516&lt;&gt;'設定（最初に1回）'!$C$4,N(U515),IF(COUNTIFS(①今日の在庫を貼る!$B$6:$B$10005,$B516,①今日の在庫を貼る!$I$6:$I$10005,$I516)&gt;0,N(U515),N(U515)+1))</f>
        <v>2</v>
      </c>
    </row>
    <row r="517" customFormat="false" ht="15" hidden="false" customHeight="false" outlineLevel="0" collapsed="false">
      <c r="B517" s="53"/>
      <c r="I517" s="53"/>
      <c r="U517" s="31" t="n">
        <f aca="false">IF($B517&lt;&gt;'設定（最初に1回）'!$C$4,N(U516),IF(COUNTIFS(①今日の在庫を貼る!$B$6:$B$10005,$B517,①今日の在庫を貼る!$I$6:$I$10005,$I517)&gt;0,N(U516),N(U516)+1))</f>
        <v>2</v>
      </c>
    </row>
    <row r="518" customFormat="false" ht="15" hidden="false" customHeight="false" outlineLevel="0" collapsed="false">
      <c r="B518" s="53"/>
      <c r="I518" s="53"/>
      <c r="U518" s="31" t="n">
        <f aca="false">IF($B518&lt;&gt;'設定（最初に1回）'!$C$4,N(U517),IF(COUNTIFS(①今日の在庫を貼る!$B$6:$B$10005,$B518,①今日の在庫を貼る!$I$6:$I$10005,$I518)&gt;0,N(U517),N(U517)+1))</f>
        <v>2</v>
      </c>
    </row>
    <row r="519" customFormat="false" ht="15" hidden="false" customHeight="false" outlineLevel="0" collapsed="false">
      <c r="B519" s="53"/>
      <c r="I519" s="53"/>
      <c r="U519" s="31" t="n">
        <f aca="false">IF($B519&lt;&gt;'設定（最初に1回）'!$C$4,N(U518),IF(COUNTIFS(①今日の在庫を貼る!$B$6:$B$10005,$B519,①今日の在庫を貼る!$I$6:$I$10005,$I519)&gt;0,N(U518),N(U518)+1))</f>
        <v>2</v>
      </c>
    </row>
    <row r="520" customFormat="false" ht="15" hidden="false" customHeight="false" outlineLevel="0" collapsed="false">
      <c r="B520" s="53"/>
      <c r="I520" s="53"/>
      <c r="U520" s="31" t="n">
        <f aca="false">IF($B520&lt;&gt;'設定（最初に1回）'!$C$4,N(U519),IF(COUNTIFS(①今日の在庫を貼る!$B$6:$B$10005,$B520,①今日の在庫を貼る!$I$6:$I$10005,$I520)&gt;0,N(U519),N(U519)+1))</f>
        <v>2</v>
      </c>
    </row>
    <row r="521" customFormat="false" ht="15" hidden="false" customHeight="false" outlineLevel="0" collapsed="false">
      <c r="B521" s="53"/>
      <c r="I521" s="53"/>
      <c r="U521" s="31" t="n">
        <f aca="false">IF($B521&lt;&gt;'設定（最初に1回）'!$C$4,N(U520),IF(COUNTIFS(①今日の在庫を貼る!$B$6:$B$10005,$B521,①今日の在庫を貼る!$I$6:$I$10005,$I521)&gt;0,N(U520),N(U520)+1))</f>
        <v>2</v>
      </c>
    </row>
    <row r="522" customFormat="false" ht="15" hidden="false" customHeight="false" outlineLevel="0" collapsed="false">
      <c r="B522" s="53"/>
      <c r="I522" s="53"/>
      <c r="U522" s="31" t="n">
        <f aca="false">IF($B522&lt;&gt;'設定（最初に1回）'!$C$4,N(U521),IF(COUNTIFS(①今日の在庫を貼る!$B$6:$B$10005,$B522,①今日の在庫を貼る!$I$6:$I$10005,$I522)&gt;0,N(U521),N(U521)+1))</f>
        <v>2</v>
      </c>
    </row>
    <row r="523" customFormat="false" ht="15" hidden="false" customHeight="false" outlineLevel="0" collapsed="false">
      <c r="B523" s="53"/>
      <c r="I523" s="53"/>
      <c r="U523" s="31" t="n">
        <f aca="false">IF($B523&lt;&gt;'設定（最初に1回）'!$C$4,N(U522),IF(COUNTIFS(①今日の在庫を貼る!$B$6:$B$10005,$B523,①今日の在庫を貼る!$I$6:$I$10005,$I523)&gt;0,N(U522),N(U522)+1))</f>
        <v>2</v>
      </c>
    </row>
    <row r="524" customFormat="false" ht="15" hidden="false" customHeight="false" outlineLevel="0" collapsed="false">
      <c r="B524" s="53"/>
      <c r="I524" s="53"/>
      <c r="U524" s="31" t="n">
        <f aca="false">IF($B524&lt;&gt;'設定（最初に1回）'!$C$4,N(U523),IF(COUNTIFS(①今日の在庫を貼る!$B$6:$B$10005,$B524,①今日の在庫を貼る!$I$6:$I$10005,$I524)&gt;0,N(U523),N(U523)+1))</f>
        <v>2</v>
      </c>
    </row>
    <row r="525" customFormat="false" ht="15" hidden="false" customHeight="false" outlineLevel="0" collapsed="false">
      <c r="B525" s="53"/>
      <c r="I525" s="53"/>
      <c r="U525" s="31" t="n">
        <f aca="false">IF($B525&lt;&gt;'設定（最初に1回）'!$C$4,N(U524),IF(COUNTIFS(①今日の在庫を貼る!$B$6:$B$10005,$B525,①今日の在庫を貼る!$I$6:$I$10005,$I525)&gt;0,N(U524),N(U524)+1))</f>
        <v>2</v>
      </c>
    </row>
    <row r="526" customFormat="false" ht="15" hidden="false" customHeight="false" outlineLevel="0" collapsed="false">
      <c r="B526" s="53"/>
      <c r="I526" s="53"/>
      <c r="U526" s="31" t="n">
        <f aca="false">IF($B526&lt;&gt;'設定（最初に1回）'!$C$4,N(U525),IF(COUNTIFS(①今日の在庫を貼る!$B$6:$B$10005,$B526,①今日の在庫を貼る!$I$6:$I$10005,$I526)&gt;0,N(U525),N(U525)+1))</f>
        <v>2</v>
      </c>
    </row>
    <row r="527" customFormat="false" ht="15" hidden="false" customHeight="false" outlineLevel="0" collapsed="false">
      <c r="B527" s="53"/>
      <c r="I527" s="53"/>
      <c r="U527" s="31" t="n">
        <f aca="false">IF($B527&lt;&gt;'設定（最初に1回）'!$C$4,N(U526),IF(COUNTIFS(①今日の在庫を貼る!$B$6:$B$10005,$B527,①今日の在庫を貼る!$I$6:$I$10005,$I527)&gt;0,N(U526),N(U526)+1))</f>
        <v>2</v>
      </c>
    </row>
    <row r="528" customFormat="false" ht="15" hidden="false" customHeight="false" outlineLevel="0" collapsed="false">
      <c r="B528" s="53"/>
      <c r="I528" s="53"/>
      <c r="U528" s="31" t="n">
        <f aca="false">IF($B528&lt;&gt;'設定（最初に1回）'!$C$4,N(U527),IF(COUNTIFS(①今日の在庫を貼る!$B$6:$B$10005,$B528,①今日の在庫を貼る!$I$6:$I$10005,$I528)&gt;0,N(U527),N(U527)+1))</f>
        <v>2</v>
      </c>
    </row>
    <row r="529" customFormat="false" ht="15" hidden="false" customHeight="false" outlineLevel="0" collapsed="false">
      <c r="B529" s="53"/>
      <c r="I529" s="53"/>
      <c r="U529" s="31" t="n">
        <f aca="false">IF($B529&lt;&gt;'設定（最初に1回）'!$C$4,N(U528),IF(COUNTIFS(①今日の在庫を貼る!$B$6:$B$10005,$B529,①今日の在庫を貼る!$I$6:$I$10005,$I529)&gt;0,N(U528),N(U528)+1))</f>
        <v>2</v>
      </c>
    </row>
    <row r="530" customFormat="false" ht="15" hidden="false" customHeight="false" outlineLevel="0" collapsed="false">
      <c r="B530" s="53"/>
      <c r="I530" s="53"/>
      <c r="U530" s="31" t="n">
        <f aca="false">IF($B530&lt;&gt;'設定（最初に1回）'!$C$4,N(U529),IF(COUNTIFS(①今日の在庫を貼る!$B$6:$B$10005,$B530,①今日の在庫を貼る!$I$6:$I$10005,$I530)&gt;0,N(U529),N(U529)+1))</f>
        <v>2</v>
      </c>
    </row>
    <row r="531" customFormat="false" ht="15" hidden="false" customHeight="false" outlineLevel="0" collapsed="false">
      <c r="B531" s="53"/>
      <c r="I531" s="53"/>
      <c r="U531" s="31" t="n">
        <f aca="false">IF($B531&lt;&gt;'設定（最初に1回）'!$C$4,N(U530),IF(COUNTIFS(①今日の在庫を貼る!$B$6:$B$10005,$B531,①今日の在庫を貼る!$I$6:$I$10005,$I531)&gt;0,N(U530),N(U530)+1))</f>
        <v>2</v>
      </c>
    </row>
    <row r="532" customFormat="false" ht="15" hidden="false" customHeight="false" outlineLevel="0" collapsed="false">
      <c r="B532" s="53"/>
      <c r="I532" s="53"/>
      <c r="U532" s="31" t="n">
        <f aca="false">IF($B532&lt;&gt;'設定（最初に1回）'!$C$4,N(U531),IF(COUNTIFS(①今日の在庫を貼る!$B$6:$B$10005,$B532,①今日の在庫を貼る!$I$6:$I$10005,$I532)&gt;0,N(U531),N(U531)+1))</f>
        <v>2</v>
      </c>
    </row>
    <row r="533" customFormat="false" ht="15" hidden="false" customHeight="false" outlineLevel="0" collapsed="false">
      <c r="B533" s="53"/>
      <c r="I533" s="53"/>
      <c r="U533" s="31" t="n">
        <f aca="false">IF($B533&lt;&gt;'設定（最初に1回）'!$C$4,N(U532),IF(COUNTIFS(①今日の在庫を貼る!$B$6:$B$10005,$B533,①今日の在庫を貼る!$I$6:$I$10005,$I533)&gt;0,N(U532),N(U532)+1))</f>
        <v>2</v>
      </c>
    </row>
    <row r="534" customFormat="false" ht="15" hidden="false" customHeight="false" outlineLevel="0" collapsed="false">
      <c r="B534" s="53"/>
      <c r="I534" s="53"/>
      <c r="U534" s="31" t="n">
        <f aca="false">IF($B534&lt;&gt;'設定（最初に1回）'!$C$4,N(U533),IF(COUNTIFS(①今日の在庫を貼る!$B$6:$B$10005,$B534,①今日の在庫を貼る!$I$6:$I$10005,$I534)&gt;0,N(U533),N(U533)+1))</f>
        <v>2</v>
      </c>
    </row>
    <row r="535" customFormat="false" ht="15" hidden="false" customHeight="false" outlineLevel="0" collapsed="false">
      <c r="B535" s="53"/>
      <c r="I535" s="53"/>
      <c r="U535" s="31" t="n">
        <f aca="false">IF($B535&lt;&gt;'設定（最初に1回）'!$C$4,N(U534),IF(COUNTIFS(①今日の在庫を貼る!$B$6:$B$10005,$B535,①今日の在庫を貼る!$I$6:$I$10005,$I535)&gt;0,N(U534),N(U534)+1))</f>
        <v>2</v>
      </c>
    </row>
    <row r="536" customFormat="false" ht="15" hidden="false" customHeight="false" outlineLevel="0" collapsed="false">
      <c r="B536" s="53"/>
      <c r="I536" s="53"/>
      <c r="U536" s="31" t="n">
        <f aca="false">IF($B536&lt;&gt;'設定（最初に1回）'!$C$4,N(U535),IF(COUNTIFS(①今日の在庫を貼る!$B$6:$B$10005,$B536,①今日の在庫を貼る!$I$6:$I$10005,$I536)&gt;0,N(U535),N(U535)+1))</f>
        <v>2</v>
      </c>
    </row>
    <row r="537" customFormat="false" ht="15" hidden="false" customHeight="false" outlineLevel="0" collapsed="false">
      <c r="B537" s="53"/>
      <c r="I537" s="53"/>
      <c r="U537" s="31" t="n">
        <f aca="false">IF($B537&lt;&gt;'設定（最初に1回）'!$C$4,N(U536),IF(COUNTIFS(①今日の在庫を貼る!$B$6:$B$10005,$B537,①今日の在庫を貼る!$I$6:$I$10005,$I537)&gt;0,N(U536),N(U536)+1))</f>
        <v>2</v>
      </c>
    </row>
    <row r="538" customFormat="false" ht="15" hidden="false" customHeight="false" outlineLevel="0" collapsed="false">
      <c r="B538" s="53"/>
      <c r="I538" s="53"/>
      <c r="U538" s="31" t="n">
        <f aca="false">IF($B538&lt;&gt;'設定（最初に1回）'!$C$4,N(U537),IF(COUNTIFS(①今日の在庫を貼る!$B$6:$B$10005,$B538,①今日の在庫を貼る!$I$6:$I$10005,$I538)&gt;0,N(U537),N(U537)+1))</f>
        <v>2</v>
      </c>
    </row>
    <row r="539" customFormat="false" ht="15" hidden="false" customHeight="false" outlineLevel="0" collapsed="false">
      <c r="B539" s="53"/>
      <c r="I539" s="53"/>
      <c r="U539" s="31" t="n">
        <f aca="false">IF($B539&lt;&gt;'設定（最初に1回）'!$C$4,N(U538),IF(COUNTIFS(①今日の在庫を貼る!$B$6:$B$10005,$B539,①今日の在庫を貼る!$I$6:$I$10005,$I539)&gt;0,N(U538),N(U538)+1))</f>
        <v>2</v>
      </c>
    </row>
    <row r="540" customFormat="false" ht="15" hidden="false" customHeight="false" outlineLevel="0" collapsed="false">
      <c r="B540" s="53"/>
      <c r="I540" s="53"/>
      <c r="U540" s="31" t="n">
        <f aca="false">IF($B540&lt;&gt;'設定（最初に1回）'!$C$4,N(U539),IF(COUNTIFS(①今日の在庫を貼る!$B$6:$B$10005,$B540,①今日の在庫を貼る!$I$6:$I$10005,$I540)&gt;0,N(U539),N(U539)+1))</f>
        <v>2</v>
      </c>
    </row>
    <row r="541" customFormat="false" ht="15" hidden="false" customHeight="false" outlineLevel="0" collapsed="false">
      <c r="B541" s="53"/>
      <c r="I541" s="53"/>
      <c r="U541" s="31" t="n">
        <f aca="false">IF($B541&lt;&gt;'設定（最初に1回）'!$C$4,N(U540),IF(COUNTIFS(①今日の在庫を貼る!$B$6:$B$10005,$B541,①今日の在庫を貼る!$I$6:$I$10005,$I541)&gt;0,N(U540),N(U540)+1))</f>
        <v>2</v>
      </c>
    </row>
    <row r="542" customFormat="false" ht="15" hidden="false" customHeight="false" outlineLevel="0" collapsed="false">
      <c r="B542" s="53"/>
      <c r="I542" s="53"/>
      <c r="U542" s="31" t="n">
        <f aca="false">IF($B542&lt;&gt;'設定（最初に1回）'!$C$4,N(U541),IF(COUNTIFS(①今日の在庫を貼る!$B$6:$B$10005,$B542,①今日の在庫を貼る!$I$6:$I$10005,$I542)&gt;0,N(U541),N(U541)+1))</f>
        <v>2</v>
      </c>
    </row>
    <row r="543" customFormat="false" ht="15" hidden="false" customHeight="false" outlineLevel="0" collapsed="false">
      <c r="B543" s="53"/>
      <c r="I543" s="53"/>
      <c r="U543" s="31" t="n">
        <f aca="false">IF($B543&lt;&gt;'設定（最初に1回）'!$C$4,N(U542),IF(COUNTIFS(①今日の在庫を貼る!$B$6:$B$10005,$B543,①今日の在庫を貼る!$I$6:$I$10005,$I543)&gt;0,N(U542),N(U542)+1))</f>
        <v>2</v>
      </c>
    </row>
    <row r="544" customFormat="false" ht="15" hidden="false" customHeight="false" outlineLevel="0" collapsed="false">
      <c r="B544" s="53"/>
      <c r="I544" s="53"/>
      <c r="U544" s="31" t="n">
        <f aca="false">IF($B544&lt;&gt;'設定（最初に1回）'!$C$4,N(U543),IF(COUNTIFS(①今日の在庫を貼る!$B$6:$B$10005,$B544,①今日の在庫を貼る!$I$6:$I$10005,$I544)&gt;0,N(U543),N(U543)+1))</f>
        <v>2</v>
      </c>
    </row>
    <row r="545" customFormat="false" ht="15" hidden="false" customHeight="false" outlineLevel="0" collapsed="false">
      <c r="B545" s="53"/>
      <c r="I545" s="53"/>
      <c r="U545" s="31" t="n">
        <f aca="false">IF($B545&lt;&gt;'設定（最初に1回）'!$C$4,N(U544),IF(COUNTIFS(①今日の在庫を貼る!$B$6:$B$10005,$B545,①今日の在庫を貼る!$I$6:$I$10005,$I545)&gt;0,N(U544),N(U544)+1))</f>
        <v>2</v>
      </c>
    </row>
    <row r="546" customFormat="false" ht="15" hidden="false" customHeight="false" outlineLevel="0" collapsed="false">
      <c r="B546" s="53"/>
      <c r="I546" s="53"/>
      <c r="U546" s="31" t="n">
        <f aca="false">IF($B546&lt;&gt;'設定（最初に1回）'!$C$4,N(U545),IF(COUNTIFS(①今日の在庫を貼る!$B$6:$B$10005,$B546,①今日の在庫を貼る!$I$6:$I$10005,$I546)&gt;0,N(U545),N(U545)+1))</f>
        <v>2</v>
      </c>
    </row>
    <row r="547" customFormat="false" ht="15" hidden="false" customHeight="false" outlineLevel="0" collapsed="false">
      <c r="B547" s="53"/>
      <c r="I547" s="53"/>
      <c r="U547" s="31" t="n">
        <f aca="false">IF($B547&lt;&gt;'設定（最初に1回）'!$C$4,N(U546),IF(COUNTIFS(①今日の在庫を貼る!$B$6:$B$10005,$B547,①今日の在庫を貼る!$I$6:$I$10005,$I547)&gt;0,N(U546),N(U546)+1))</f>
        <v>2</v>
      </c>
    </row>
    <row r="548" customFormat="false" ht="15" hidden="false" customHeight="false" outlineLevel="0" collapsed="false">
      <c r="B548" s="53"/>
      <c r="I548" s="53"/>
      <c r="U548" s="31" t="n">
        <f aca="false">IF($B548&lt;&gt;'設定（最初に1回）'!$C$4,N(U547),IF(COUNTIFS(①今日の在庫を貼る!$B$6:$B$10005,$B548,①今日の在庫を貼る!$I$6:$I$10005,$I548)&gt;0,N(U547),N(U547)+1))</f>
        <v>2</v>
      </c>
    </row>
    <row r="549" customFormat="false" ht="15" hidden="false" customHeight="false" outlineLevel="0" collapsed="false">
      <c r="B549" s="53"/>
      <c r="I549" s="53"/>
      <c r="U549" s="31" t="n">
        <f aca="false">IF($B549&lt;&gt;'設定（最初に1回）'!$C$4,N(U548),IF(COUNTIFS(①今日の在庫を貼る!$B$6:$B$10005,$B549,①今日の在庫を貼る!$I$6:$I$10005,$I549)&gt;0,N(U548),N(U548)+1))</f>
        <v>2</v>
      </c>
    </row>
    <row r="550" customFormat="false" ht="15" hidden="false" customHeight="false" outlineLevel="0" collapsed="false">
      <c r="B550" s="53"/>
      <c r="I550" s="53"/>
      <c r="U550" s="31" t="n">
        <f aca="false">IF($B550&lt;&gt;'設定（最初に1回）'!$C$4,N(U549),IF(COUNTIFS(①今日の在庫を貼る!$B$6:$B$10005,$B550,①今日の在庫を貼る!$I$6:$I$10005,$I550)&gt;0,N(U549),N(U549)+1))</f>
        <v>2</v>
      </c>
    </row>
    <row r="551" customFormat="false" ht="15" hidden="false" customHeight="false" outlineLevel="0" collapsed="false">
      <c r="B551" s="53"/>
      <c r="I551" s="53"/>
      <c r="U551" s="31" t="n">
        <f aca="false">IF($B551&lt;&gt;'設定（最初に1回）'!$C$4,N(U550),IF(COUNTIFS(①今日の在庫を貼る!$B$6:$B$10005,$B551,①今日の在庫を貼る!$I$6:$I$10005,$I551)&gt;0,N(U550),N(U550)+1))</f>
        <v>2</v>
      </c>
    </row>
    <row r="552" customFormat="false" ht="15" hidden="false" customHeight="false" outlineLevel="0" collapsed="false">
      <c r="B552" s="53"/>
      <c r="I552" s="53"/>
      <c r="U552" s="31" t="n">
        <f aca="false">IF($B552&lt;&gt;'設定（最初に1回）'!$C$4,N(U551),IF(COUNTIFS(①今日の在庫を貼る!$B$6:$B$10005,$B552,①今日の在庫を貼る!$I$6:$I$10005,$I552)&gt;0,N(U551),N(U551)+1))</f>
        <v>2</v>
      </c>
    </row>
    <row r="553" customFormat="false" ht="15" hidden="false" customHeight="false" outlineLevel="0" collapsed="false">
      <c r="B553" s="53"/>
      <c r="I553" s="53"/>
      <c r="U553" s="31" t="n">
        <f aca="false">IF($B553&lt;&gt;'設定（最初に1回）'!$C$4,N(U552),IF(COUNTIFS(①今日の在庫を貼る!$B$6:$B$10005,$B553,①今日の在庫を貼る!$I$6:$I$10005,$I553)&gt;0,N(U552),N(U552)+1))</f>
        <v>2</v>
      </c>
    </row>
    <row r="554" customFormat="false" ht="15" hidden="false" customHeight="false" outlineLevel="0" collapsed="false">
      <c r="B554" s="53"/>
      <c r="I554" s="53"/>
      <c r="U554" s="31" t="n">
        <f aca="false">IF($B554&lt;&gt;'設定（最初に1回）'!$C$4,N(U553),IF(COUNTIFS(①今日の在庫を貼る!$B$6:$B$10005,$B554,①今日の在庫を貼る!$I$6:$I$10005,$I554)&gt;0,N(U553),N(U553)+1))</f>
        <v>2</v>
      </c>
    </row>
    <row r="555" customFormat="false" ht="15" hidden="false" customHeight="false" outlineLevel="0" collapsed="false">
      <c r="B555" s="53"/>
      <c r="I555" s="53"/>
      <c r="U555" s="31" t="n">
        <f aca="false">IF($B555&lt;&gt;'設定（最初に1回）'!$C$4,N(U554),IF(COUNTIFS(①今日の在庫を貼る!$B$6:$B$10005,$B555,①今日の在庫を貼る!$I$6:$I$10005,$I555)&gt;0,N(U554),N(U554)+1))</f>
        <v>2</v>
      </c>
    </row>
    <row r="556" customFormat="false" ht="15" hidden="false" customHeight="false" outlineLevel="0" collapsed="false">
      <c r="B556" s="53"/>
      <c r="I556" s="53"/>
      <c r="U556" s="31" t="n">
        <f aca="false">IF($B556&lt;&gt;'設定（最初に1回）'!$C$4,N(U555),IF(COUNTIFS(①今日の在庫を貼る!$B$6:$B$10005,$B556,①今日の在庫を貼る!$I$6:$I$10005,$I556)&gt;0,N(U555),N(U555)+1))</f>
        <v>2</v>
      </c>
    </row>
    <row r="557" customFormat="false" ht="15" hidden="false" customHeight="false" outlineLevel="0" collapsed="false">
      <c r="B557" s="53"/>
      <c r="I557" s="53"/>
      <c r="U557" s="31" t="n">
        <f aca="false">IF($B557&lt;&gt;'設定（最初に1回）'!$C$4,N(U556),IF(COUNTIFS(①今日の在庫を貼る!$B$6:$B$10005,$B557,①今日の在庫を貼る!$I$6:$I$10005,$I557)&gt;0,N(U556),N(U556)+1))</f>
        <v>2</v>
      </c>
    </row>
    <row r="558" customFormat="false" ht="15" hidden="false" customHeight="false" outlineLevel="0" collapsed="false">
      <c r="B558" s="53"/>
      <c r="I558" s="53"/>
      <c r="U558" s="31" t="n">
        <f aca="false">IF($B558&lt;&gt;'設定（最初に1回）'!$C$4,N(U557),IF(COUNTIFS(①今日の在庫を貼る!$B$6:$B$10005,$B558,①今日の在庫を貼る!$I$6:$I$10005,$I558)&gt;0,N(U557),N(U557)+1))</f>
        <v>2</v>
      </c>
    </row>
    <row r="559" customFormat="false" ht="15" hidden="false" customHeight="false" outlineLevel="0" collapsed="false">
      <c r="B559" s="53"/>
      <c r="I559" s="53"/>
      <c r="U559" s="31" t="n">
        <f aca="false">IF($B559&lt;&gt;'設定（最初に1回）'!$C$4,N(U558),IF(COUNTIFS(①今日の在庫を貼る!$B$6:$B$10005,$B559,①今日の在庫を貼る!$I$6:$I$10005,$I559)&gt;0,N(U558),N(U558)+1))</f>
        <v>2</v>
      </c>
    </row>
    <row r="560" customFormat="false" ht="15" hidden="false" customHeight="false" outlineLevel="0" collapsed="false">
      <c r="B560" s="53"/>
      <c r="I560" s="53"/>
      <c r="U560" s="31" t="n">
        <f aca="false">IF($B560&lt;&gt;'設定（最初に1回）'!$C$4,N(U559),IF(COUNTIFS(①今日の在庫を貼る!$B$6:$B$10005,$B560,①今日の在庫を貼る!$I$6:$I$10005,$I560)&gt;0,N(U559),N(U559)+1))</f>
        <v>2</v>
      </c>
    </row>
    <row r="561" customFormat="false" ht="15" hidden="false" customHeight="false" outlineLevel="0" collapsed="false">
      <c r="B561" s="53"/>
      <c r="I561" s="53"/>
      <c r="U561" s="31" t="n">
        <f aca="false">IF($B561&lt;&gt;'設定（最初に1回）'!$C$4,N(U560),IF(COUNTIFS(①今日の在庫を貼る!$B$6:$B$10005,$B561,①今日の在庫を貼る!$I$6:$I$10005,$I561)&gt;0,N(U560),N(U560)+1))</f>
        <v>2</v>
      </c>
    </row>
    <row r="562" customFormat="false" ht="15" hidden="false" customHeight="false" outlineLevel="0" collapsed="false">
      <c r="B562" s="53"/>
      <c r="I562" s="53"/>
      <c r="U562" s="31" t="n">
        <f aca="false">IF($B562&lt;&gt;'設定（最初に1回）'!$C$4,N(U561),IF(COUNTIFS(①今日の在庫を貼る!$B$6:$B$10005,$B562,①今日の在庫を貼る!$I$6:$I$10005,$I562)&gt;0,N(U561),N(U561)+1))</f>
        <v>2</v>
      </c>
    </row>
    <row r="563" customFormat="false" ht="15" hidden="false" customHeight="false" outlineLevel="0" collapsed="false">
      <c r="B563" s="53"/>
      <c r="I563" s="53"/>
      <c r="U563" s="31" t="n">
        <f aca="false">IF($B563&lt;&gt;'設定（最初に1回）'!$C$4,N(U562),IF(COUNTIFS(①今日の在庫を貼る!$B$6:$B$10005,$B563,①今日の在庫を貼る!$I$6:$I$10005,$I563)&gt;0,N(U562),N(U562)+1))</f>
        <v>2</v>
      </c>
    </row>
    <row r="564" customFormat="false" ht="15" hidden="false" customHeight="false" outlineLevel="0" collapsed="false">
      <c r="B564" s="53"/>
      <c r="I564" s="53"/>
      <c r="U564" s="31" t="n">
        <f aca="false">IF($B564&lt;&gt;'設定（最初に1回）'!$C$4,N(U563),IF(COUNTIFS(①今日の在庫を貼る!$B$6:$B$10005,$B564,①今日の在庫を貼る!$I$6:$I$10005,$I564)&gt;0,N(U563),N(U563)+1))</f>
        <v>2</v>
      </c>
    </row>
    <row r="565" customFormat="false" ht="15" hidden="false" customHeight="false" outlineLevel="0" collapsed="false">
      <c r="B565" s="53"/>
      <c r="I565" s="53"/>
      <c r="U565" s="31" t="n">
        <f aca="false">IF($B565&lt;&gt;'設定（最初に1回）'!$C$4,N(U564),IF(COUNTIFS(①今日の在庫を貼る!$B$6:$B$10005,$B565,①今日の在庫を貼る!$I$6:$I$10005,$I565)&gt;0,N(U564),N(U564)+1))</f>
        <v>2</v>
      </c>
    </row>
    <row r="566" customFormat="false" ht="15" hidden="false" customHeight="false" outlineLevel="0" collapsed="false">
      <c r="B566" s="53"/>
      <c r="I566" s="53"/>
      <c r="U566" s="31" t="n">
        <f aca="false">IF($B566&lt;&gt;'設定（最初に1回）'!$C$4,N(U565),IF(COUNTIFS(①今日の在庫を貼る!$B$6:$B$10005,$B566,①今日の在庫を貼る!$I$6:$I$10005,$I566)&gt;0,N(U565),N(U565)+1))</f>
        <v>2</v>
      </c>
    </row>
    <row r="567" customFormat="false" ht="15" hidden="false" customHeight="false" outlineLevel="0" collapsed="false">
      <c r="B567" s="53"/>
      <c r="I567" s="53"/>
      <c r="U567" s="31" t="n">
        <f aca="false">IF($B567&lt;&gt;'設定（最初に1回）'!$C$4,N(U566),IF(COUNTIFS(①今日の在庫を貼る!$B$6:$B$10005,$B567,①今日の在庫を貼る!$I$6:$I$10005,$I567)&gt;0,N(U566),N(U566)+1))</f>
        <v>2</v>
      </c>
    </row>
    <row r="568" customFormat="false" ht="15" hidden="false" customHeight="false" outlineLevel="0" collapsed="false">
      <c r="B568" s="53"/>
      <c r="I568" s="53"/>
      <c r="U568" s="31" t="n">
        <f aca="false">IF($B568&lt;&gt;'設定（最初に1回）'!$C$4,N(U567),IF(COUNTIFS(①今日の在庫を貼る!$B$6:$B$10005,$B568,①今日の在庫を貼る!$I$6:$I$10005,$I568)&gt;0,N(U567),N(U567)+1))</f>
        <v>2</v>
      </c>
    </row>
    <row r="569" customFormat="false" ht="15" hidden="false" customHeight="false" outlineLevel="0" collapsed="false">
      <c r="B569" s="53"/>
      <c r="I569" s="53"/>
      <c r="U569" s="31" t="n">
        <f aca="false">IF($B569&lt;&gt;'設定（最初に1回）'!$C$4,N(U568),IF(COUNTIFS(①今日の在庫を貼る!$B$6:$B$10005,$B569,①今日の在庫を貼る!$I$6:$I$10005,$I569)&gt;0,N(U568),N(U568)+1))</f>
        <v>2</v>
      </c>
    </row>
    <row r="570" customFormat="false" ht="15" hidden="false" customHeight="false" outlineLevel="0" collapsed="false">
      <c r="B570" s="53"/>
      <c r="I570" s="53"/>
      <c r="U570" s="31" t="n">
        <f aca="false">IF($B570&lt;&gt;'設定（最初に1回）'!$C$4,N(U569),IF(COUNTIFS(①今日の在庫を貼る!$B$6:$B$10005,$B570,①今日の在庫を貼る!$I$6:$I$10005,$I570)&gt;0,N(U569),N(U569)+1))</f>
        <v>2</v>
      </c>
    </row>
    <row r="571" customFormat="false" ht="15" hidden="false" customHeight="false" outlineLevel="0" collapsed="false">
      <c r="B571" s="53"/>
      <c r="I571" s="53"/>
      <c r="U571" s="31" t="n">
        <f aca="false">IF($B571&lt;&gt;'設定（最初に1回）'!$C$4,N(U570),IF(COUNTIFS(①今日の在庫を貼る!$B$6:$B$10005,$B571,①今日の在庫を貼る!$I$6:$I$10005,$I571)&gt;0,N(U570),N(U570)+1))</f>
        <v>2</v>
      </c>
    </row>
    <row r="572" customFormat="false" ht="15" hidden="false" customHeight="false" outlineLevel="0" collapsed="false">
      <c r="B572" s="53"/>
      <c r="I572" s="53"/>
      <c r="U572" s="31" t="n">
        <f aca="false">IF($B572&lt;&gt;'設定（最初に1回）'!$C$4,N(U571),IF(COUNTIFS(①今日の在庫を貼る!$B$6:$B$10005,$B572,①今日の在庫を貼る!$I$6:$I$10005,$I572)&gt;0,N(U571),N(U571)+1))</f>
        <v>2</v>
      </c>
    </row>
    <row r="573" customFormat="false" ht="15" hidden="false" customHeight="false" outlineLevel="0" collapsed="false">
      <c r="B573" s="53"/>
      <c r="I573" s="53"/>
      <c r="U573" s="31" t="n">
        <f aca="false">IF($B573&lt;&gt;'設定（最初に1回）'!$C$4,N(U572),IF(COUNTIFS(①今日の在庫を貼る!$B$6:$B$10005,$B573,①今日の在庫を貼る!$I$6:$I$10005,$I573)&gt;0,N(U572),N(U572)+1))</f>
        <v>2</v>
      </c>
    </row>
    <row r="574" customFormat="false" ht="15" hidden="false" customHeight="false" outlineLevel="0" collapsed="false">
      <c r="B574" s="53"/>
      <c r="I574" s="53"/>
      <c r="U574" s="31" t="n">
        <f aca="false">IF($B574&lt;&gt;'設定（最初に1回）'!$C$4,N(U573),IF(COUNTIFS(①今日の在庫を貼る!$B$6:$B$10005,$B574,①今日の在庫を貼る!$I$6:$I$10005,$I574)&gt;0,N(U573),N(U573)+1))</f>
        <v>2</v>
      </c>
    </row>
    <row r="575" customFormat="false" ht="15" hidden="false" customHeight="false" outlineLevel="0" collapsed="false">
      <c r="B575" s="53"/>
      <c r="I575" s="53"/>
      <c r="U575" s="31" t="n">
        <f aca="false">IF($B575&lt;&gt;'設定（最初に1回）'!$C$4,N(U574),IF(COUNTIFS(①今日の在庫を貼る!$B$6:$B$10005,$B575,①今日の在庫を貼る!$I$6:$I$10005,$I575)&gt;0,N(U574),N(U574)+1))</f>
        <v>2</v>
      </c>
    </row>
    <row r="576" customFormat="false" ht="15" hidden="false" customHeight="false" outlineLevel="0" collapsed="false">
      <c r="B576" s="53"/>
      <c r="I576" s="53"/>
      <c r="U576" s="31" t="n">
        <f aca="false">IF($B576&lt;&gt;'設定（最初に1回）'!$C$4,N(U575),IF(COUNTIFS(①今日の在庫を貼る!$B$6:$B$10005,$B576,①今日の在庫を貼る!$I$6:$I$10005,$I576)&gt;0,N(U575),N(U575)+1))</f>
        <v>2</v>
      </c>
    </row>
    <row r="577" customFormat="false" ht="15" hidden="false" customHeight="false" outlineLevel="0" collapsed="false">
      <c r="B577" s="53"/>
      <c r="I577" s="53"/>
      <c r="U577" s="31" t="n">
        <f aca="false">IF($B577&lt;&gt;'設定（最初に1回）'!$C$4,N(U576),IF(COUNTIFS(①今日の在庫を貼る!$B$6:$B$10005,$B577,①今日の在庫を貼る!$I$6:$I$10005,$I577)&gt;0,N(U576),N(U576)+1))</f>
        <v>2</v>
      </c>
    </row>
    <row r="578" customFormat="false" ht="15" hidden="false" customHeight="false" outlineLevel="0" collapsed="false">
      <c r="B578" s="53"/>
      <c r="I578" s="53"/>
      <c r="U578" s="31" t="n">
        <f aca="false">IF($B578&lt;&gt;'設定（最初に1回）'!$C$4,N(U577),IF(COUNTIFS(①今日の在庫を貼る!$B$6:$B$10005,$B578,①今日の在庫を貼る!$I$6:$I$10005,$I578)&gt;0,N(U577),N(U577)+1))</f>
        <v>2</v>
      </c>
    </row>
    <row r="579" customFormat="false" ht="15" hidden="false" customHeight="false" outlineLevel="0" collapsed="false">
      <c r="B579" s="53"/>
      <c r="I579" s="53"/>
      <c r="U579" s="31" t="n">
        <f aca="false">IF($B579&lt;&gt;'設定（最初に1回）'!$C$4,N(U578),IF(COUNTIFS(①今日の在庫を貼る!$B$6:$B$10005,$B579,①今日の在庫を貼る!$I$6:$I$10005,$I579)&gt;0,N(U578),N(U578)+1))</f>
        <v>2</v>
      </c>
    </row>
    <row r="580" customFormat="false" ht="15" hidden="false" customHeight="false" outlineLevel="0" collapsed="false">
      <c r="B580" s="53"/>
      <c r="I580" s="53"/>
      <c r="U580" s="31" t="n">
        <f aca="false">IF($B580&lt;&gt;'設定（最初に1回）'!$C$4,N(U579),IF(COUNTIFS(①今日の在庫を貼る!$B$6:$B$10005,$B580,①今日の在庫を貼る!$I$6:$I$10005,$I580)&gt;0,N(U579),N(U579)+1))</f>
        <v>2</v>
      </c>
    </row>
    <row r="581" customFormat="false" ht="15" hidden="false" customHeight="false" outlineLevel="0" collapsed="false">
      <c r="B581" s="53"/>
      <c r="I581" s="53"/>
      <c r="U581" s="31" t="n">
        <f aca="false">IF($B581&lt;&gt;'設定（最初に1回）'!$C$4,N(U580),IF(COUNTIFS(①今日の在庫を貼る!$B$6:$B$10005,$B581,①今日の在庫を貼る!$I$6:$I$10005,$I581)&gt;0,N(U580),N(U580)+1))</f>
        <v>2</v>
      </c>
    </row>
    <row r="582" customFormat="false" ht="15" hidden="false" customHeight="false" outlineLevel="0" collapsed="false">
      <c r="B582" s="53"/>
      <c r="I582" s="53"/>
      <c r="U582" s="31" t="n">
        <f aca="false">IF($B582&lt;&gt;'設定（最初に1回）'!$C$4,N(U581),IF(COUNTIFS(①今日の在庫を貼る!$B$6:$B$10005,$B582,①今日の在庫を貼る!$I$6:$I$10005,$I582)&gt;0,N(U581),N(U581)+1))</f>
        <v>2</v>
      </c>
    </row>
    <row r="583" customFormat="false" ht="15" hidden="false" customHeight="false" outlineLevel="0" collapsed="false">
      <c r="B583" s="53"/>
      <c r="I583" s="53"/>
      <c r="U583" s="31" t="n">
        <f aca="false">IF($B583&lt;&gt;'設定（最初に1回）'!$C$4,N(U582),IF(COUNTIFS(①今日の在庫を貼る!$B$6:$B$10005,$B583,①今日の在庫を貼る!$I$6:$I$10005,$I583)&gt;0,N(U582),N(U582)+1))</f>
        <v>2</v>
      </c>
    </row>
    <row r="584" customFormat="false" ht="15" hidden="false" customHeight="false" outlineLevel="0" collapsed="false">
      <c r="B584" s="53"/>
      <c r="I584" s="53"/>
      <c r="U584" s="31" t="n">
        <f aca="false">IF($B584&lt;&gt;'設定（最初に1回）'!$C$4,N(U583),IF(COUNTIFS(①今日の在庫を貼る!$B$6:$B$10005,$B584,①今日の在庫を貼る!$I$6:$I$10005,$I584)&gt;0,N(U583),N(U583)+1))</f>
        <v>2</v>
      </c>
    </row>
    <row r="585" customFormat="false" ht="15" hidden="false" customHeight="false" outlineLevel="0" collapsed="false">
      <c r="B585" s="53"/>
      <c r="I585" s="53"/>
      <c r="U585" s="31" t="n">
        <f aca="false">IF($B585&lt;&gt;'設定（最初に1回）'!$C$4,N(U584),IF(COUNTIFS(①今日の在庫を貼る!$B$6:$B$10005,$B585,①今日の在庫を貼る!$I$6:$I$10005,$I585)&gt;0,N(U584),N(U584)+1))</f>
        <v>2</v>
      </c>
    </row>
    <row r="586" customFormat="false" ht="15" hidden="false" customHeight="false" outlineLevel="0" collapsed="false">
      <c r="B586" s="53"/>
      <c r="I586" s="53"/>
      <c r="U586" s="31" t="n">
        <f aca="false">IF($B586&lt;&gt;'設定（最初に1回）'!$C$4,N(U585),IF(COUNTIFS(①今日の在庫を貼る!$B$6:$B$10005,$B586,①今日の在庫を貼る!$I$6:$I$10005,$I586)&gt;0,N(U585),N(U585)+1))</f>
        <v>2</v>
      </c>
    </row>
    <row r="587" customFormat="false" ht="15" hidden="false" customHeight="false" outlineLevel="0" collapsed="false">
      <c r="B587" s="53"/>
      <c r="I587" s="53"/>
      <c r="U587" s="31" t="n">
        <f aca="false">IF($B587&lt;&gt;'設定（最初に1回）'!$C$4,N(U586),IF(COUNTIFS(①今日の在庫を貼る!$B$6:$B$10005,$B587,①今日の在庫を貼る!$I$6:$I$10005,$I587)&gt;0,N(U586),N(U586)+1))</f>
        <v>2</v>
      </c>
    </row>
    <row r="588" customFormat="false" ht="15" hidden="false" customHeight="false" outlineLevel="0" collapsed="false">
      <c r="B588" s="53"/>
      <c r="I588" s="53"/>
      <c r="U588" s="31" t="n">
        <f aca="false">IF($B588&lt;&gt;'設定（最初に1回）'!$C$4,N(U587),IF(COUNTIFS(①今日の在庫を貼る!$B$6:$B$10005,$B588,①今日の在庫を貼る!$I$6:$I$10005,$I588)&gt;0,N(U587),N(U587)+1))</f>
        <v>2</v>
      </c>
    </row>
    <row r="589" customFormat="false" ht="15" hidden="false" customHeight="false" outlineLevel="0" collapsed="false">
      <c r="B589" s="53"/>
      <c r="I589" s="53"/>
      <c r="U589" s="31" t="n">
        <f aca="false">IF($B589&lt;&gt;'設定（最初に1回）'!$C$4,N(U588),IF(COUNTIFS(①今日の在庫を貼る!$B$6:$B$10005,$B589,①今日の在庫を貼る!$I$6:$I$10005,$I589)&gt;0,N(U588),N(U588)+1))</f>
        <v>2</v>
      </c>
    </row>
    <row r="590" customFormat="false" ht="15" hidden="false" customHeight="false" outlineLevel="0" collapsed="false">
      <c r="B590" s="53"/>
      <c r="I590" s="53"/>
      <c r="U590" s="31" t="n">
        <f aca="false">IF($B590&lt;&gt;'設定（最初に1回）'!$C$4,N(U589),IF(COUNTIFS(①今日の在庫を貼る!$B$6:$B$10005,$B590,①今日の在庫を貼る!$I$6:$I$10005,$I590)&gt;0,N(U589),N(U589)+1))</f>
        <v>2</v>
      </c>
    </row>
    <row r="591" customFormat="false" ht="15" hidden="false" customHeight="false" outlineLevel="0" collapsed="false">
      <c r="B591" s="53"/>
      <c r="I591" s="53"/>
      <c r="U591" s="31" t="n">
        <f aca="false">IF($B591&lt;&gt;'設定（最初に1回）'!$C$4,N(U590),IF(COUNTIFS(①今日の在庫を貼る!$B$6:$B$10005,$B591,①今日の在庫を貼る!$I$6:$I$10005,$I591)&gt;0,N(U590),N(U590)+1))</f>
        <v>2</v>
      </c>
    </row>
    <row r="592" customFormat="false" ht="15" hidden="false" customHeight="false" outlineLevel="0" collapsed="false">
      <c r="B592" s="53"/>
      <c r="I592" s="53"/>
      <c r="U592" s="31" t="n">
        <f aca="false">IF($B592&lt;&gt;'設定（最初に1回）'!$C$4,N(U591),IF(COUNTIFS(①今日の在庫を貼る!$B$6:$B$10005,$B592,①今日の在庫を貼る!$I$6:$I$10005,$I592)&gt;0,N(U591),N(U591)+1))</f>
        <v>2</v>
      </c>
    </row>
    <row r="593" customFormat="false" ht="15" hidden="false" customHeight="false" outlineLevel="0" collapsed="false">
      <c r="B593" s="53"/>
      <c r="I593" s="53"/>
      <c r="U593" s="31" t="n">
        <f aca="false">IF($B593&lt;&gt;'設定（最初に1回）'!$C$4,N(U592),IF(COUNTIFS(①今日の在庫を貼る!$B$6:$B$10005,$B593,①今日の在庫を貼る!$I$6:$I$10005,$I593)&gt;0,N(U592),N(U592)+1))</f>
        <v>2</v>
      </c>
    </row>
    <row r="594" customFormat="false" ht="15" hidden="false" customHeight="false" outlineLevel="0" collapsed="false">
      <c r="B594" s="53"/>
      <c r="I594" s="53"/>
      <c r="U594" s="31" t="n">
        <f aca="false">IF($B594&lt;&gt;'設定（最初に1回）'!$C$4,N(U593),IF(COUNTIFS(①今日の在庫を貼る!$B$6:$B$10005,$B594,①今日の在庫を貼る!$I$6:$I$10005,$I594)&gt;0,N(U593),N(U593)+1))</f>
        <v>2</v>
      </c>
    </row>
    <row r="595" customFormat="false" ht="15" hidden="false" customHeight="false" outlineLevel="0" collapsed="false">
      <c r="B595" s="53"/>
      <c r="I595" s="53"/>
      <c r="U595" s="31" t="n">
        <f aca="false">IF($B595&lt;&gt;'設定（最初に1回）'!$C$4,N(U594),IF(COUNTIFS(①今日の在庫を貼る!$B$6:$B$10005,$B595,①今日の在庫を貼る!$I$6:$I$10005,$I595)&gt;0,N(U594),N(U594)+1))</f>
        <v>2</v>
      </c>
    </row>
    <row r="596" customFormat="false" ht="15" hidden="false" customHeight="false" outlineLevel="0" collapsed="false">
      <c r="B596" s="53"/>
      <c r="I596" s="53"/>
      <c r="U596" s="31" t="n">
        <f aca="false">IF($B596&lt;&gt;'設定（最初に1回）'!$C$4,N(U595),IF(COUNTIFS(①今日の在庫を貼る!$B$6:$B$10005,$B596,①今日の在庫を貼る!$I$6:$I$10005,$I596)&gt;0,N(U595),N(U595)+1))</f>
        <v>2</v>
      </c>
    </row>
    <row r="597" customFormat="false" ht="15" hidden="false" customHeight="false" outlineLevel="0" collapsed="false">
      <c r="B597" s="53"/>
      <c r="I597" s="53"/>
      <c r="U597" s="31" t="n">
        <f aca="false">IF($B597&lt;&gt;'設定（最初に1回）'!$C$4,N(U596),IF(COUNTIFS(①今日の在庫を貼る!$B$6:$B$10005,$B597,①今日の在庫を貼る!$I$6:$I$10005,$I597)&gt;0,N(U596),N(U596)+1))</f>
        <v>2</v>
      </c>
    </row>
    <row r="598" customFormat="false" ht="15" hidden="false" customHeight="false" outlineLevel="0" collapsed="false">
      <c r="B598" s="53"/>
      <c r="I598" s="53"/>
      <c r="U598" s="31" t="n">
        <f aca="false">IF($B598&lt;&gt;'設定（最初に1回）'!$C$4,N(U597),IF(COUNTIFS(①今日の在庫を貼る!$B$6:$B$10005,$B598,①今日の在庫を貼る!$I$6:$I$10005,$I598)&gt;0,N(U597),N(U597)+1))</f>
        <v>2</v>
      </c>
    </row>
    <row r="599" customFormat="false" ht="15" hidden="false" customHeight="false" outlineLevel="0" collapsed="false">
      <c r="B599" s="53"/>
      <c r="I599" s="53"/>
      <c r="U599" s="31" t="n">
        <f aca="false">IF($B599&lt;&gt;'設定（最初に1回）'!$C$4,N(U598),IF(COUNTIFS(①今日の在庫を貼る!$B$6:$B$10005,$B599,①今日の在庫を貼る!$I$6:$I$10005,$I599)&gt;0,N(U598),N(U598)+1))</f>
        <v>2</v>
      </c>
    </row>
    <row r="600" customFormat="false" ht="15" hidden="false" customHeight="false" outlineLevel="0" collapsed="false">
      <c r="B600" s="53"/>
      <c r="I600" s="53"/>
      <c r="U600" s="31" t="n">
        <f aca="false">IF($B600&lt;&gt;'設定（最初に1回）'!$C$4,N(U599),IF(COUNTIFS(①今日の在庫を貼る!$B$6:$B$10005,$B600,①今日の在庫を貼る!$I$6:$I$10005,$I600)&gt;0,N(U599),N(U599)+1))</f>
        <v>2</v>
      </c>
    </row>
    <row r="601" customFormat="false" ht="15" hidden="false" customHeight="false" outlineLevel="0" collapsed="false">
      <c r="B601" s="53"/>
      <c r="I601" s="53"/>
      <c r="U601" s="31" t="n">
        <f aca="false">IF($B601&lt;&gt;'設定（最初に1回）'!$C$4,N(U600),IF(COUNTIFS(①今日の在庫を貼る!$B$6:$B$10005,$B601,①今日の在庫を貼る!$I$6:$I$10005,$I601)&gt;0,N(U600),N(U600)+1))</f>
        <v>2</v>
      </c>
    </row>
    <row r="602" customFormat="false" ht="15" hidden="false" customHeight="false" outlineLevel="0" collapsed="false">
      <c r="B602" s="53"/>
      <c r="I602" s="53"/>
      <c r="U602" s="31" t="n">
        <f aca="false">IF($B602&lt;&gt;'設定（最初に1回）'!$C$4,N(U601),IF(COUNTIFS(①今日の在庫を貼る!$B$6:$B$10005,$B602,①今日の在庫を貼る!$I$6:$I$10005,$I602)&gt;0,N(U601),N(U601)+1))</f>
        <v>2</v>
      </c>
    </row>
    <row r="603" customFormat="false" ht="15" hidden="false" customHeight="false" outlineLevel="0" collapsed="false">
      <c r="B603" s="53"/>
      <c r="I603" s="53"/>
      <c r="U603" s="31" t="n">
        <f aca="false">IF($B603&lt;&gt;'設定（最初に1回）'!$C$4,N(U602),IF(COUNTIFS(①今日の在庫を貼る!$B$6:$B$10005,$B603,①今日の在庫を貼る!$I$6:$I$10005,$I603)&gt;0,N(U602),N(U602)+1))</f>
        <v>2</v>
      </c>
    </row>
    <row r="604" customFormat="false" ht="15" hidden="false" customHeight="false" outlineLevel="0" collapsed="false">
      <c r="B604" s="53"/>
      <c r="I604" s="53"/>
      <c r="U604" s="31" t="n">
        <f aca="false">IF($B604&lt;&gt;'設定（最初に1回）'!$C$4,N(U603),IF(COUNTIFS(①今日の在庫を貼る!$B$6:$B$10005,$B604,①今日の在庫を貼る!$I$6:$I$10005,$I604)&gt;0,N(U603),N(U603)+1))</f>
        <v>2</v>
      </c>
    </row>
    <row r="605" customFormat="false" ht="15" hidden="false" customHeight="false" outlineLevel="0" collapsed="false">
      <c r="B605" s="53"/>
      <c r="I605" s="53"/>
      <c r="U605" s="31" t="n">
        <f aca="false">IF($B605&lt;&gt;'設定（最初に1回）'!$C$4,N(U604),IF(COUNTIFS(①今日の在庫を貼る!$B$6:$B$10005,$B605,①今日の在庫を貼る!$I$6:$I$10005,$I605)&gt;0,N(U604),N(U604)+1))</f>
        <v>2</v>
      </c>
    </row>
    <row r="606" customFormat="false" ht="15" hidden="false" customHeight="false" outlineLevel="0" collapsed="false">
      <c r="B606" s="53"/>
      <c r="I606" s="53"/>
      <c r="U606" s="31" t="n">
        <f aca="false">IF($B606&lt;&gt;'設定（最初に1回）'!$C$4,N(U605),IF(COUNTIFS(①今日の在庫を貼る!$B$6:$B$10005,$B606,①今日の在庫を貼る!$I$6:$I$10005,$I606)&gt;0,N(U605),N(U605)+1))</f>
        <v>2</v>
      </c>
    </row>
    <row r="607" customFormat="false" ht="15" hidden="false" customHeight="false" outlineLevel="0" collapsed="false">
      <c r="B607" s="53"/>
      <c r="I607" s="53"/>
      <c r="U607" s="31" t="n">
        <f aca="false">IF($B607&lt;&gt;'設定（最初に1回）'!$C$4,N(U606),IF(COUNTIFS(①今日の在庫を貼る!$B$6:$B$10005,$B607,①今日の在庫を貼る!$I$6:$I$10005,$I607)&gt;0,N(U606),N(U606)+1))</f>
        <v>2</v>
      </c>
    </row>
    <row r="608" customFormat="false" ht="15" hidden="false" customHeight="false" outlineLevel="0" collapsed="false">
      <c r="B608" s="53"/>
      <c r="I608" s="53"/>
      <c r="U608" s="31" t="n">
        <f aca="false">IF($B608&lt;&gt;'設定（最初に1回）'!$C$4,N(U607),IF(COUNTIFS(①今日の在庫を貼る!$B$6:$B$10005,$B608,①今日の在庫を貼る!$I$6:$I$10005,$I608)&gt;0,N(U607),N(U607)+1))</f>
        <v>2</v>
      </c>
    </row>
    <row r="609" customFormat="false" ht="15" hidden="false" customHeight="false" outlineLevel="0" collapsed="false">
      <c r="B609" s="53"/>
      <c r="I609" s="53"/>
      <c r="U609" s="31" t="n">
        <f aca="false">IF($B609&lt;&gt;'設定（最初に1回）'!$C$4,N(U608),IF(COUNTIFS(①今日の在庫を貼る!$B$6:$B$10005,$B609,①今日の在庫を貼る!$I$6:$I$10005,$I609)&gt;0,N(U608),N(U608)+1))</f>
        <v>2</v>
      </c>
    </row>
    <row r="610" customFormat="false" ht="15" hidden="false" customHeight="false" outlineLevel="0" collapsed="false">
      <c r="B610" s="53"/>
      <c r="I610" s="53"/>
      <c r="U610" s="31" t="n">
        <f aca="false">IF($B610&lt;&gt;'設定（最初に1回）'!$C$4,N(U609),IF(COUNTIFS(①今日の在庫を貼る!$B$6:$B$10005,$B610,①今日の在庫を貼る!$I$6:$I$10005,$I610)&gt;0,N(U609),N(U609)+1))</f>
        <v>2</v>
      </c>
    </row>
    <row r="611" customFormat="false" ht="15" hidden="false" customHeight="false" outlineLevel="0" collapsed="false">
      <c r="B611" s="53"/>
      <c r="I611" s="53"/>
      <c r="U611" s="31" t="n">
        <f aca="false">IF($B611&lt;&gt;'設定（最初に1回）'!$C$4,N(U610),IF(COUNTIFS(①今日の在庫を貼る!$B$6:$B$10005,$B611,①今日の在庫を貼る!$I$6:$I$10005,$I611)&gt;0,N(U610),N(U610)+1))</f>
        <v>2</v>
      </c>
    </row>
    <row r="612" customFormat="false" ht="15" hidden="false" customHeight="false" outlineLevel="0" collapsed="false">
      <c r="B612" s="53"/>
      <c r="I612" s="53"/>
      <c r="U612" s="31" t="n">
        <f aca="false">IF($B612&lt;&gt;'設定（最初に1回）'!$C$4,N(U611),IF(COUNTIFS(①今日の在庫を貼る!$B$6:$B$10005,$B612,①今日の在庫を貼る!$I$6:$I$10005,$I612)&gt;0,N(U611),N(U611)+1))</f>
        <v>2</v>
      </c>
    </row>
    <row r="613" customFormat="false" ht="15" hidden="false" customHeight="false" outlineLevel="0" collapsed="false">
      <c r="B613" s="53"/>
      <c r="I613" s="53"/>
      <c r="U613" s="31" t="n">
        <f aca="false">IF($B613&lt;&gt;'設定（最初に1回）'!$C$4,N(U612),IF(COUNTIFS(①今日の在庫を貼る!$B$6:$B$10005,$B613,①今日の在庫を貼る!$I$6:$I$10005,$I613)&gt;0,N(U612),N(U612)+1))</f>
        <v>2</v>
      </c>
    </row>
    <row r="614" customFormat="false" ht="15" hidden="false" customHeight="false" outlineLevel="0" collapsed="false">
      <c r="B614" s="53"/>
      <c r="I614" s="53"/>
      <c r="U614" s="31" t="n">
        <f aca="false">IF($B614&lt;&gt;'設定（最初に1回）'!$C$4,N(U613),IF(COUNTIFS(①今日の在庫を貼る!$B$6:$B$10005,$B614,①今日の在庫を貼る!$I$6:$I$10005,$I614)&gt;0,N(U613),N(U613)+1))</f>
        <v>2</v>
      </c>
    </row>
    <row r="615" customFormat="false" ht="15" hidden="false" customHeight="false" outlineLevel="0" collapsed="false">
      <c r="B615" s="53"/>
      <c r="I615" s="53"/>
      <c r="U615" s="31" t="n">
        <f aca="false">IF($B615&lt;&gt;'設定（最初に1回）'!$C$4,N(U614),IF(COUNTIFS(①今日の在庫を貼る!$B$6:$B$10005,$B615,①今日の在庫を貼る!$I$6:$I$10005,$I615)&gt;0,N(U614),N(U614)+1))</f>
        <v>2</v>
      </c>
    </row>
    <row r="616" customFormat="false" ht="15" hidden="false" customHeight="false" outlineLevel="0" collapsed="false">
      <c r="B616" s="53"/>
      <c r="I616" s="53"/>
      <c r="U616" s="31" t="n">
        <f aca="false">IF($B616&lt;&gt;'設定（最初に1回）'!$C$4,N(U615),IF(COUNTIFS(①今日の在庫を貼る!$B$6:$B$10005,$B616,①今日の在庫を貼る!$I$6:$I$10005,$I616)&gt;0,N(U615),N(U615)+1))</f>
        <v>2</v>
      </c>
    </row>
    <row r="617" customFormat="false" ht="15" hidden="false" customHeight="false" outlineLevel="0" collapsed="false">
      <c r="B617" s="53"/>
      <c r="I617" s="53"/>
      <c r="U617" s="31" t="n">
        <f aca="false">IF($B617&lt;&gt;'設定（最初に1回）'!$C$4,N(U616),IF(COUNTIFS(①今日の在庫を貼る!$B$6:$B$10005,$B617,①今日の在庫を貼る!$I$6:$I$10005,$I617)&gt;0,N(U616),N(U616)+1))</f>
        <v>2</v>
      </c>
    </row>
    <row r="618" customFormat="false" ht="15" hidden="false" customHeight="false" outlineLevel="0" collapsed="false">
      <c r="B618" s="53"/>
      <c r="I618" s="53"/>
      <c r="U618" s="31" t="n">
        <f aca="false">IF($B618&lt;&gt;'設定（最初に1回）'!$C$4,N(U617),IF(COUNTIFS(①今日の在庫を貼る!$B$6:$B$10005,$B618,①今日の在庫を貼る!$I$6:$I$10005,$I618)&gt;0,N(U617),N(U617)+1))</f>
        <v>2</v>
      </c>
    </row>
    <row r="619" customFormat="false" ht="15" hidden="false" customHeight="false" outlineLevel="0" collapsed="false">
      <c r="B619" s="53"/>
      <c r="I619" s="53"/>
      <c r="U619" s="31" t="n">
        <f aca="false">IF($B619&lt;&gt;'設定（最初に1回）'!$C$4,N(U618),IF(COUNTIFS(①今日の在庫を貼る!$B$6:$B$10005,$B619,①今日の在庫を貼る!$I$6:$I$10005,$I619)&gt;0,N(U618),N(U618)+1))</f>
        <v>2</v>
      </c>
    </row>
    <row r="620" customFormat="false" ht="15" hidden="false" customHeight="false" outlineLevel="0" collapsed="false">
      <c r="B620" s="53"/>
      <c r="I620" s="53"/>
      <c r="U620" s="31" t="n">
        <f aca="false">IF($B620&lt;&gt;'設定（最初に1回）'!$C$4,N(U619),IF(COUNTIFS(①今日の在庫を貼る!$B$6:$B$10005,$B620,①今日の在庫を貼る!$I$6:$I$10005,$I620)&gt;0,N(U619),N(U619)+1))</f>
        <v>2</v>
      </c>
    </row>
    <row r="621" customFormat="false" ht="15" hidden="false" customHeight="false" outlineLevel="0" collapsed="false">
      <c r="B621" s="53"/>
      <c r="I621" s="53"/>
      <c r="U621" s="31" t="n">
        <f aca="false">IF($B621&lt;&gt;'設定（最初に1回）'!$C$4,N(U620),IF(COUNTIFS(①今日の在庫を貼る!$B$6:$B$10005,$B621,①今日の在庫を貼る!$I$6:$I$10005,$I621)&gt;0,N(U620),N(U620)+1))</f>
        <v>2</v>
      </c>
    </row>
    <row r="622" customFormat="false" ht="15" hidden="false" customHeight="false" outlineLevel="0" collapsed="false">
      <c r="B622" s="53"/>
      <c r="I622" s="53"/>
      <c r="U622" s="31" t="n">
        <f aca="false">IF($B622&lt;&gt;'設定（最初に1回）'!$C$4,N(U621),IF(COUNTIFS(①今日の在庫を貼る!$B$6:$B$10005,$B622,①今日の在庫を貼る!$I$6:$I$10005,$I622)&gt;0,N(U621),N(U621)+1))</f>
        <v>2</v>
      </c>
    </row>
    <row r="623" customFormat="false" ht="15" hidden="false" customHeight="false" outlineLevel="0" collapsed="false">
      <c r="B623" s="53"/>
      <c r="I623" s="53"/>
      <c r="U623" s="31" t="n">
        <f aca="false">IF($B623&lt;&gt;'設定（最初に1回）'!$C$4,N(U622),IF(COUNTIFS(①今日の在庫を貼る!$B$6:$B$10005,$B623,①今日の在庫を貼る!$I$6:$I$10005,$I623)&gt;0,N(U622),N(U622)+1))</f>
        <v>2</v>
      </c>
    </row>
    <row r="624" customFormat="false" ht="15" hidden="false" customHeight="false" outlineLevel="0" collapsed="false">
      <c r="B624" s="53"/>
      <c r="I624" s="53"/>
      <c r="U624" s="31" t="n">
        <f aca="false">IF($B624&lt;&gt;'設定（最初に1回）'!$C$4,N(U623),IF(COUNTIFS(①今日の在庫を貼る!$B$6:$B$10005,$B624,①今日の在庫を貼る!$I$6:$I$10005,$I624)&gt;0,N(U623),N(U623)+1))</f>
        <v>2</v>
      </c>
    </row>
    <row r="625" customFormat="false" ht="15" hidden="false" customHeight="false" outlineLevel="0" collapsed="false">
      <c r="B625" s="53"/>
      <c r="I625" s="53"/>
      <c r="U625" s="31" t="n">
        <f aca="false">IF($B625&lt;&gt;'設定（最初に1回）'!$C$4,N(U624),IF(COUNTIFS(①今日の在庫を貼る!$B$6:$B$10005,$B625,①今日の在庫を貼る!$I$6:$I$10005,$I625)&gt;0,N(U624),N(U624)+1))</f>
        <v>2</v>
      </c>
    </row>
    <row r="626" customFormat="false" ht="15" hidden="false" customHeight="false" outlineLevel="0" collapsed="false">
      <c r="B626" s="53"/>
      <c r="I626" s="53"/>
      <c r="U626" s="31" t="n">
        <f aca="false">IF($B626&lt;&gt;'設定（最初に1回）'!$C$4,N(U625),IF(COUNTIFS(①今日の在庫を貼る!$B$6:$B$10005,$B626,①今日の在庫を貼る!$I$6:$I$10005,$I626)&gt;0,N(U625),N(U625)+1))</f>
        <v>2</v>
      </c>
    </row>
    <row r="627" customFormat="false" ht="15" hidden="false" customHeight="false" outlineLevel="0" collapsed="false">
      <c r="B627" s="53"/>
      <c r="I627" s="53"/>
      <c r="U627" s="31" t="n">
        <f aca="false">IF($B627&lt;&gt;'設定（最初に1回）'!$C$4,N(U626),IF(COUNTIFS(①今日の在庫を貼る!$B$6:$B$10005,$B627,①今日の在庫を貼る!$I$6:$I$10005,$I627)&gt;0,N(U626),N(U626)+1))</f>
        <v>2</v>
      </c>
    </row>
    <row r="628" customFormat="false" ht="15" hidden="false" customHeight="false" outlineLevel="0" collapsed="false">
      <c r="B628" s="53"/>
      <c r="I628" s="53"/>
      <c r="U628" s="31" t="n">
        <f aca="false">IF($B628&lt;&gt;'設定（最初に1回）'!$C$4,N(U627),IF(COUNTIFS(①今日の在庫を貼る!$B$6:$B$10005,$B628,①今日の在庫を貼る!$I$6:$I$10005,$I628)&gt;0,N(U627),N(U627)+1))</f>
        <v>2</v>
      </c>
    </row>
    <row r="629" customFormat="false" ht="15" hidden="false" customHeight="false" outlineLevel="0" collapsed="false">
      <c r="B629" s="53"/>
      <c r="I629" s="53"/>
      <c r="U629" s="31" t="n">
        <f aca="false">IF($B629&lt;&gt;'設定（最初に1回）'!$C$4,N(U628),IF(COUNTIFS(①今日の在庫を貼る!$B$6:$B$10005,$B629,①今日の在庫を貼る!$I$6:$I$10005,$I629)&gt;0,N(U628),N(U628)+1))</f>
        <v>2</v>
      </c>
    </row>
    <row r="630" customFormat="false" ht="15" hidden="false" customHeight="false" outlineLevel="0" collapsed="false">
      <c r="B630" s="53"/>
      <c r="I630" s="53"/>
      <c r="U630" s="31" t="n">
        <f aca="false">IF($B630&lt;&gt;'設定（最初に1回）'!$C$4,N(U629),IF(COUNTIFS(①今日の在庫を貼る!$B$6:$B$10005,$B630,①今日の在庫を貼る!$I$6:$I$10005,$I630)&gt;0,N(U629),N(U629)+1))</f>
        <v>2</v>
      </c>
    </row>
    <row r="631" customFormat="false" ht="15" hidden="false" customHeight="false" outlineLevel="0" collapsed="false">
      <c r="B631" s="53"/>
      <c r="I631" s="53"/>
      <c r="U631" s="31" t="n">
        <f aca="false">IF($B631&lt;&gt;'設定（最初に1回）'!$C$4,N(U630),IF(COUNTIFS(①今日の在庫を貼る!$B$6:$B$10005,$B631,①今日の在庫を貼る!$I$6:$I$10005,$I631)&gt;0,N(U630),N(U630)+1))</f>
        <v>2</v>
      </c>
    </row>
    <row r="632" customFormat="false" ht="15" hidden="false" customHeight="false" outlineLevel="0" collapsed="false">
      <c r="B632" s="53"/>
      <c r="I632" s="53"/>
      <c r="U632" s="31" t="n">
        <f aca="false">IF($B632&lt;&gt;'設定（最初に1回）'!$C$4,N(U631),IF(COUNTIFS(①今日の在庫を貼る!$B$6:$B$10005,$B632,①今日の在庫を貼る!$I$6:$I$10005,$I632)&gt;0,N(U631),N(U631)+1))</f>
        <v>2</v>
      </c>
    </row>
    <row r="633" customFormat="false" ht="15" hidden="false" customHeight="false" outlineLevel="0" collapsed="false">
      <c r="B633" s="53"/>
      <c r="I633" s="53"/>
      <c r="U633" s="31" t="n">
        <f aca="false">IF($B633&lt;&gt;'設定（最初に1回）'!$C$4,N(U632),IF(COUNTIFS(①今日の在庫を貼る!$B$6:$B$10005,$B633,①今日の在庫を貼る!$I$6:$I$10005,$I633)&gt;0,N(U632),N(U632)+1))</f>
        <v>2</v>
      </c>
    </row>
    <row r="634" customFormat="false" ht="15" hidden="false" customHeight="false" outlineLevel="0" collapsed="false">
      <c r="B634" s="53"/>
      <c r="I634" s="53"/>
      <c r="U634" s="31" t="n">
        <f aca="false">IF($B634&lt;&gt;'設定（最初に1回）'!$C$4,N(U633),IF(COUNTIFS(①今日の在庫を貼る!$B$6:$B$10005,$B634,①今日の在庫を貼る!$I$6:$I$10005,$I634)&gt;0,N(U633),N(U633)+1))</f>
        <v>2</v>
      </c>
    </row>
    <row r="635" customFormat="false" ht="15" hidden="false" customHeight="false" outlineLevel="0" collapsed="false">
      <c r="B635" s="53"/>
      <c r="I635" s="53"/>
      <c r="U635" s="31" t="n">
        <f aca="false">IF($B635&lt;&gt;'設定（最初に1回）'!$C$4,N(U634),IF(COUNTIFS(①今日の在庫を貼る!$B$6:$B$10005,$B635,①今日の在庫を貼る!$I$6:$I$10005,$I635)&gt;0,N(U634),N(U634)+1))</f>
        <v>2</v>
      </c>
    </row>
    <row r="636" customFormat="false" ht="15" hidden="false" customHeight="false" outlineLevel="0" collapsed="false">
      <c r="B636" s="53"/>
      <c r="I636" s="53"/>
      <c r="U636" s="31" t="n">
        <f aca="false">IF($B636&lt;&gt;'設定（最初に1回）'!$C$4,N(U635),IF(COUNTIFS(①今日の在庫を貼る!$B$6:$B$10005,$B636,①今日の在庫を貼る!$I$6:$I$10005,$I636)&gt;0,N(U635),N(U635)+1))</f>
        <v>2</v>
      </c>
    </row>
    <row r="637" customFormat="false" ht="15" hidden="false" customHeight="false" outlineLevel="0" collapsed="false">
      <c r="B637" s="53"/>
      <c r="I637" s="53"/>
      <c r="U637" s="31" t="n">
        <f aca="false">IF($B637&lt;&gt;'設定（最初に1回）'!$C$4,N(U636),IF(COUNTIFS(①今日の在庫を貼る!$B$6:$B$10005,$B637,①今日の在庫を貼る!$I$6:$I$10005,$I637)&gt;0,N(U636),N(U636)+1))</f>
        <v>2</v>
      </c>
    </row>
    <row r="638" customFormat="false" ht="15" hidden="false" customHeight="false" outlineLevel="0" collapsed="false">
      <c r="B638" s="53"/>
      <c r="I638" s="53"/>
      <c r="U638" s="31" t="n">
        <f aca="false">IF($B638&lt;&gt;'設定（最初に1回）'!$C$4,N(U637),IF(COUNTIFS(①今日の在庫を貼る!$B$6:$B$10005,$B638,①今日の在庫を貼る!$I$6:$I$10005,$I638)&gt;0,N(U637),N(U637)+1))</f>
        <v>2</v>
      </c>
    </row>
    <row r="639" customFormat="false" ht="15" hidden="false" customHeight="false" outlineLevel="0" collapsed="false">
      <c r="B639" s="53"/>
      <c r="I639" s="53"/>
      <c r="U639" s="31" t="n">
        <f aca="false">IF($B639&lt;&gt;'設定（最初に1回）'!$C$4,N(U638),IF(COUNTIFS(①今日の在庫を貼る!$B$6:$B$10005,$B639,①今日の在庫を貼る!$I$6:$I$10005,$I639)&gt;0,N(U638),N(U638)+1))</f>
        <v>2</v>
      </c>
    </row>
    <row r="640" customFormat="false" ht="15" hidden="false" customHeight="false" outlineLevel="0" collapsed="false">
      <c r="B640" s="53"/>
      <c r="I640" s="53"/>
      <c r="U640" s="31" t="n">
        <f aca="false">IF($B640&lt;&gt;'設定（最初に1回）'!$C$4,N(U639),IF(COUNTIFS(①今日の在庫を貼る!$B$6:$B$10005,$B640,①今日の在庫を貼る!$I$6:$I$10005,$I640)&gt;0,N(U639),N(U639)+1))</f>
        <v>2</v>
      </c>
    </row>
    <row r="641" customFormat="false" ht="15" hidden="false" customHeight="false" outlineLevel="0" collapsed="false">
      <c r="B641" s="53"/>
      <c r="I641" s="53"/>
      <c r="U641" s="31" t="n">
        <f aca="false">IF($B641&lt;&gt;'設定（最初に1回）'!$C$4,N(U640),IF(COUNTIFS(①今日の在庫を貼る!$B$6:$B$10005,$B641,①今日の在庫を貼る!$I$6:$I$10005,$I641)&gt;0,N(U640),N(U640)+1))</f>
        <v>2</v>
      </c>
    </row>
    <row r="642" customFormat="false" ht="15" hidden="false" customHeight="false" outlineLevel="0" collapsed="false">
      <c r="B642" s="53"/>
      <c r="I642" s="53"/>
      <c r="U642" s="31" t="n">
        <f aca="false">IF($B642&lt;&gt;'設定（最初に1回）'!$C$4,N(U641),IF(COUNTIFS(①今日の在庫を貼る!$B$6:$B$10005,$B642,①今日の在庫を貼る!$I$6:$I$10005,$I642)&gt;0,N(U641),N(U641)+1))</f>
        <v>2</v>
      </c>
    </row>
    <row r="643" customFormat="false" ht="15" hidden="false" customHeight="false" outlineLevel="0" collapsed="false">
      <c r="B643" s="53"/>
      <c r="I643" s="53"/>
      <c r="U643" s="31" t="n">
        <f aca="false">IF($B643&lt;&gt;'設定（最初に1回）'!$C$4,N(U642),IF(COUNTIFS(①今日の在庫を貼る!$B$6:$B$10005,$B643,①今日の在庫を貼る!$I$6:$I$10005,$I643)&gt;0,N(U642),N(U642)+1))</f>
        <v>2</v>
      </c>
    </row>
    <row r="644" customFormat="false" ht="15" hidden="false" customHeight="false" outlineLevel="0" collapsed="false">
      <c r="B644" s="53"/>
      <c r="I644" s="53"/>
      <c r="U644" s="31" t="n">
        <f aca="false">IF($B644&lt;&gt;'設定（最初に1回）'!$C$4,N(U643),IF(COUNTIFS(①今日の在庫を貼る!$B$6:$B$10005,$B644,①今日の在庫を貼る!$I$6:$I$10005,$I644)&gt;0,N(U643),N(U643)+1))</f>
        <v>2</v>
      </c>
    </row>
    <row r="645" customFormat="false" ht="15" hidden="false" customHeight="false" outlineLevel="0" collapsed="false">
      <c r="B645" s="53"/>
      <c r="I645" s="53"/>
      <c r="U645" s="31" t="n">
        <f aca="false">IF($B645&lt;&gt;'設定（最初に1回）'!$C$4,N(U644),IF(COUNTIFS(①今日の在庫を貼る!$B$6:$B$10005,$B645,①今日の在庫を貼る!$I$6:$I$10005,$I645)&gt;0,N(U644),N(U644)+1))</f>
        <v>2</v>
      </c>
    </row>
    <row r="646" customFormat="false" ht="15" hidden="false" customHeight="false" outlineLevel="0" collapsed="false">
      <c r="B646" s="53"/>
      <c r="I646" s="53"/>
      <c r="U646" s="31" t="n">
        <f aca="false">IF($B646&lt;&gt;'設定（最初に1回）'!$C$4,N(U645),IF(COUNTIFS(①今日の在庫を貼る!$B$6:$B$10005,$B646,①今日の在庫を貼る!$I$6:$I$10005,$I646)&gt;0,N(U645),N(U645)+1))</f>
        <v>2</v>
      </c>
    </row>
    <row r="647" customFormat="false" ht="15" hidden="false" customHeight="false" outlineLevel="0" collapsed="false">
      <c r="B647" s="53"/>
      <c r="I647" s="53"/>
      <c r="U647" s="31" t="n">
        <f aca="false">IF($B647&lt;&gt;'設定（最初に1回）'!$C$4,N(U646),IF(COUNTIFS(①今日の在庫を貼る!$B$6:$B$10005,$B647,①今日の在庫を貼る!$I$6:$I$10005,$I647)&gt;0,N(U646),N(U646)+1))</f>
        <v>2</v>
      </c>
    </row>
    <row r="648" customFormat="false" ht="15" hidden="false" customHeight="false" outlineLevel="0" collapsed="false">
      <c r="B648" s="53"/>
      <c r="I648" s="53"/>
      <c r="U648" s="31" t="n">
        <f aca="false">IF($B648&lt;&gt;'設定（最初に1回）'!$C$4,N(U647),IF(COUNTIFS(①今日の在庫を貼る!$B$6:$B$10005,$B648,①今日の在庫を貼る!$I$6:$I$10005,$I648)&gt;0,N(U647),N(U647)+1))</f>
        <v>2</v>
      </c>
    </row>
    <row r="649" customFormat="false" ht="15" hidden="false" customHeight="false" outlineLevel="0" collapsed="false">
      <c r="B649" s="53"/>
      <c r="I649" s="53"/>
      <c r="U649" s="31" t="n">
        <f aca="false">IF($B649&lt;&gt;'設定（最初に1回）'!$C$4,N(U648),IF(COUNTIFS(①今日の在庫を貼る!$B$6:$B$10005,$B649,①今日の在庫を貼る!$I$6:$I$10005,$I649)&gt;0,N(U648),N(U648)+1))</f>
        <v>2</v>
      </c>
    </row>
    <row r="650" customFormat="false" ht="15" hidden="false" customHeight="false" outlineLevel="0" collapsed="false">
      <c r="B650" s="53"/>
      <c r="I650" s="53"/>
      <c r="U650" s="31" t="n">
        <f aca="false">IF($B650&lt;&gt;'設定（最初に1回）'!$C$4,N(U649),IF(COUNTIFS(①今日の在庫を貼る!$B$6:$B$10005,$B650,①今日の在庫を貼る!$I$6:$I$10005,$I650)&gt;0,N(U649),N(U649)+1))</f>
        <v>2</v>
      </c>
    </row>
    <row r="651" customFormat="false" ht="15" hidden="false" customHeight="false" outlineLevel="0" collapsed="false">
      <c r="B651" s="53"/>
      <c r="I651" s="53"/>
      <c r="U651" s="31" t="n">
        <f aca="false">IF($B651&lt;&gt;'設定（最初に1回）'!$C$4,N(U650),IF(COUNTIFS(①今日の在庫を貼る!$B$6:$B$10005,$B651,①今日の在庫を貼る!$I$6:$I$10005,$I651)&gt;0,N(U650),N(U650)+1))</f>
        <v>2</v>
      </c>
    </row>
    <row r="652" customFormat="false" ht="15" hidden="false" customHeight="false" outlineLevel="0" collapsed="false">
      <c r="B652" s="53"/>
      <c r="I652" s="53"/>
      <c r="U652" s="31" t="n">
        <f aca="false">IF($B652&lt;&gt;'設定（最初に1回）'!$C$4,N(U651),IF(COUNTIFS(①今日の在庫を貼る!$B$6:$B$10005,$B652,①今日の在庫を貼る!$I$6:$I$10005,$I652)&gt;0,N(U651),N(U651)+1))</f>
        <v>2</v>
      </c>
    </row>
    <row r="653" customFormat="false" ht="15" hidden="false" customHeight="false" outlineLevel="0" collapsed="false">
      <c r="B653" s="53"/>
      <c r="I653" s="53"/>
      <c r="U653" s="31" t="n">
        <f aca="false">IF($B653&lt;&gt;'設定（最初に1回）'!$C$4,N(U652),IF(COUNTIFS(①今日の在庫を貼る!$B$6:$B$10005,$B653,①今日の在庫を貼る!$I$6:$I$10005,$I653)&gt;0,N(U652),N(U652)+1))</f>
        <v>2</v>
      </c>
    </row>
    <row r="654" customFormat="false" ht="15" hidden="false" customHeight="false" outlineLevel="0" collapsed="false">
      <c r="B654" s="53"/>
      <c r="I654" s="53"/>
      <c r="U654" s="31" t="n">
        <f aca="false">IF($B654&lt;&gt;'設定（最初に1回）'!$C$4,N(U653),IF(COUNTIFS(①今日の在庫を貼る!$B$6:$B$10005,$B654,①今日の在庫を貼る!$I$6:$I$10005,$I654)&gt;0,N(U653),N(U653)+1))</f>
        <v>2</v>
      </c>
    </row>
    <row r="655" customFormat="false" ht="15" hidden="false" customHeight="false" outlineLevel="0" collapsed="false">
      <c r="B655" s="53"/>
      <c r="I655" s="53"/>
      <c r="U655" s="31" t="n">
        <f aca="false">IF($B655&lt;&gt;'設定（最初に1回）'!$C$4,N(U654),IF(COUNTIFS(①今日の在庫を貼る!$B$6:$B$10005,$B655,①今日の在庫を貼る!$I$6:$I$10005,$I655)&gt;0,N(U654),N(U654)+1))</f>
        <v>2</v>
      </c>
    </row>
    <row r="656" customFormat="false" ht="15" hidden="false" customHeight="false" outlineLevel="0" collapsed="false">
      <c r="B656" s="53"/>
      <c r="I656" s="53"/>
      <c r="U656" s="31" t="n">
        <f aca="false">IF($B656&lt;&gt;'設定（最初に1回）'!$C$4,N(U655),IF(COUNTIFS(①今日の在庫を貼る!$B$6:$B$10005,$B656,①今日の在庫を貼る!$I$6:$I$10005,$I656)&gt;0,N(U655),N(U655)+1))</f>
        <v>2</v>
      </c>
    </row>
    <row r="657" customFormat="false" ht="15" hidden="false" customHeight="false" outlineLevel="0" collapsed="false">
      <c r="B657" s="53"/>
      <c r="I657" s="53"/>
      <c r="U657" s="31" t="n">
        <f aca="false">IF($B657&lt;&gt;'設定（最初に1回）'!$C$4,N(U656),IF(COUNTIFS(①今日の在庫を貼る!$B$6:$B$10005,$B657,①今日の在庫を貼る!$I$6:$I$10005,$I657)&gt;0,N(U656),N(U656)+1))</f>
        <v>2</v>
      </c>
    </row>
    <row r="658" customFormat="false" ht="15" hidden="false" customHeight="false" outlineLevel="0" collapsed="false">
      <c r="B658" s="53"/>
      <c r="I658" s="53"/>
      <c r="U658" s="31" t="n">
        <f aca="false">IF($B658&lt;&gt;'設定（最初に1回）'!$C$4,N(U657),IF(COUNTIFS(①今日の在庫を貼る!$B$6:$B$10005,$B658,①今日の在庫を貼る!$I$6:$I$10005,$I658)&gt;0,N(U657),N(U657)+1))</f>
        <v>2</v>
      </c>
    </row>
    <row r="659" customFormat="false" ht="15" hidden="false" customHeight="false" outlineLevel="0" collapsed="false">
      <c r="B659" s="53"/>
      <c r="I659" s="53"/>
      <c r="U659" s="31" t="n">
        <f aca="false">IF($B659&lt;&gt;'設定（最初に1回）'!$C$4,N(U658),IF(COUNTIFS(①今日の在庫を貼る!$B$6:$B$10005,$B659,①今日の在庫を貼る!$I$6:$I$10005,$I659)&gt;0,N(U658),N(U658)+1))</f>
        <v>2</v>
      </c>
    </row>
    <row r="660" customFormat="false" ht="15" hidden="false" customHeight="false" outlineLevel="0" collapsed="false">
      <c r="B660" s="53"/>
      <c r="I660" s="53"/>
      <c r="U660" s="31" t="n">
        <f aca="false">IF($B660&lt;&gt;'設定（最初に1回）'!$C$4,N(U659),IF(COUNTIFS(①今日の在庫を貼る!$B$6:$B$10005,$B660,①今日の在庫を貼る!$I$6:$I$10005,$I660)&gt;0,N(U659),N(U659)+1))</f>
        <v>2</v>
      </c>
    </row>
    <row r="661" customFormat="false" ht="15" hidden="false" customHeight="false" outlineLevel="0" collapsed="false">
      <c r="B661" s="53"/>
      <c r="I661" s="53"/>
      <c r="U661" s="31" t="n">
        <f aca="false">IF($B661&lt;&gt;'設定（最初に1回）'!$C$4,N(U660),IF(COUNTIFS(①今日の在庫を貼る!$B$6:$B$10005,$B661,①今日の在庫を貼る!$I$6:$I$10005,$I661)&gt;0,N(U660),N(U660)+1))</f>
        <v>2</v>
      </c>
    </row>
    <row r="662" customFormat="false" ht="15" hidden="false" customHeight="false" outlineLevel="0" collapsed="false">
      <c r="B662" s="53"/>
      <c r="I662" s="53"/>
      <c r="U662" s="31" t="n">
        <f aca="false">IF($B662&lt;&gt;'設定（最初に1回）'!$C$4,N(U661),IF(COUNTIFS(①今日の在庫を貼る!$B$6:$B$10005,$B662,①今日の在庫を貼る!$I$6:$I$10005,$I662)&gt;0,N(U661),N(U661)+1))</f>
        <v>2</v>
      </c>
    </row>
    <row r="663" customFormat="false" ht="15" hidden="false" customHeight="false" outlineLevel="0" collapsed="false">
      <c r="B663" s="53"/>
      <c r="I663" s="53"/>
      <c r="U663" s="31" t="n">
        <f aca="false">IF($B663&lt;&gt;'設定（最初に1回）'!$C$4,N(U662),IF(COUNTIFS(①今日の在庫を貼る!$B$6:$B$10005,$B663,①今日の在庫を貼る!$I$6:$I$10005,$I663)&gt;0,N(U662),N(U662)+1))</f>
        <v>2</v>
      </c>
    </row>
    <row r="664" customFormat="false" ht="15" hidden="false" customHeight="false" outlineLevel="0" collapsed="false">
      <c r="B664" s="53"/>
      <c r="I664" s="53"/>
      <c r="U664" s="31" t="n">
        <f aca="false">IF($B664&lt;&gt;'設定（最初に1回）'!$C$4,N(U663),IF(COUNTIFS(①今日の在庫を貼る!$B$6:$B$10005,$B664,①今日の在庫を貼る!$I$6:$I$10005,$I664)&gt;0,N(U663),N(U663)+1))</f>
        <v>2</v>
      </c>
    </row>
    <row r="665" customFormat="false" ht="15" hidden="false" customHeight="false" outlineLevel="0" collapsed="false">
      <c r="B665" s="53"/>
      <c r="I665" s="53"/>
      <c r="U665" s="31" t="n">
        <f aca="false">IF($B665&lt;&gt;'設定（最初に1回）'!$C$4,N(U664),IF(COUNTIFS(①今日の在庫を貼る!$B$6:$B$10005,$B665,①今日の在庫を貼る!$I$6:$I$10005,$I665)&gt;0,N(U664),N(U664)+1))</f>
        <v>2</v>
      </c>
    </row>
    <row r="666" customFormat="false" ht="15" hidden="false" customHeight="false" outlineLevel="0" collapsed="false">
      <c r="B666" s="53"/>
      <c r="I666" s="53"/>
      <c r="U666" s="31" t="n">
        <f aca="false">IF($B666&lt;&gt;'設定（最初に1回）'!$C$4,N(U665),IF(COUNTIFS(①今日の在庫を貼る!$B$6:$B$10005,$B666,①今日の在庫を貼る!$I$6:$I$10005,$I666)&gt;0,N(U665),N(U665)+1))</f>
        <v>2</v>
      </c>
    </row>
    <row r="667" customFormat="false" ht="15" hidden="false" customHeight="false" outlineLevel="0" collapsed="false">
      <c r="B667" s="53"/>
      <c r="I667" s="53"/>
      <c r="U667" s="31" t="n">
        <f aca="false">IF($B667&lt;&gt;'設定（最初に1回）'!$C$4,N(U666),IF(COUNTIFS(①今日の在庫を貼る!$B$6:$B$10005,$B667,①今日の在庫を貼る!$I$6:$I$10005,$I667)&gt;0,N(U666),N(U666)+1))</f>
        <v>2</v>
      </c>
    </row>
    <row r="668" customFormat="false" ht="15" hidden="false" customHeight="false" outlineLevel="0" collapsed="false">
      <c r="B668" s="53"/>
      <c r="I668" s="53"/>
      <c r="U668" s="31" t="n">
        <f aca="false">IF($B668&lt;&gt;'設定（最初に1回）'!$C$4,N(U667),IF(COUNTIFS(①今日の在庫を貼る!$B$6:$B$10005,$B668,①今日の在庫を貼る!$I$6:$I$10005,$I668)&gt;0,N(U667),N(U667)+1))</f>
        <v>2</v>
      </c>
    </row>
    <row r="669" customFormat="false" ht="15" hidden="false" customHeight="false" outlineLevel="0" collapsed="false">
      <c r="B669" s="53"/>
      <c r="I669" s="53"/>
      <c r="U669" s="31" t="n">
        <f aca="false">IF($B669&lt;&gt;'設定（最初に1回）'!$C$4,N(U668),IF(COUNTIFS(①今日の在庫を貼る!$B$6:$B$10005,$B669,①今日の在庫を貼る!$I$6:$I$10005,$I669)&gt;0,N(U668),N(U668)+1))</f>
        <v>2</v>
      </c>
    </row>
    <row r="670" customFormat="false" ht="15" hidden="false" customHeight="false" outlineLevel="0" collapsed="false">
      <c r="B670" s="53"/>
      <c r="I670" s="53"/>
      <c r="U670" s="31" t="n">
        <f aca="false">IF($B670&lt;&gt;'設定（最初に1回）'!$C$4,N(U669),IF(COUNTIFS(①今日の在庫を貼る!$B$6:$B$10005,$B670,①今日の在庫を貼る!$I$6:$I$10005,$I670)&gt;0,N(U669),N(U669)+1))</f>
        <v>2</v>
      </c>
    </row>
    <row r="671" customFormat="false" ht="15" hidden="false" customHeight="false" outlineLevel="0" collapsed="false">
      <c r="B671" s="53"/>
      <c r="I671" s="53"/>
      <c r="U671" s="31" t="n">
        <f aca="false">IF($B671&lt;&gt;'設定（最初に1回）'!$C$4,N(U670),IF(COUNTIFS(①今日の在庫を貼る!$B$6:$B$10005,$B671,①今日の在庫を貼る!$I$6:$I$10005,$I671)&gt;0,N(U670),N(U670)+1))</f>
        <v>2</v>
      </c>
    </row>
    <row r="672" customFormat="false" ht="15" hidden="false" customHeight="false" outlineLevel="0" collapsed="false">
      <c r="B672" s="53"/>
      <c r="I672" s="53"/>
      <c r="U672" s="31" t="n">
        <f aca="false">IF($B672&lt;&gt;'設定（最初に1回）'!$C$4,N(U671),IF(COUNTIFS(①今日の在庫を貼る!$B$6:$B$10005,$B672,①今日の在庫を貼る!$I$6:$I$10005,$I672)&gt;0,N(U671),N(U671)+1))</f>
        <v>2</v>
      </c>
    </row>
    <row r="673" customFormat="false" ht="15" hidden="false" customHeight="false" outlineLevel="0" collapsed="false">
      <c r="B673" s="53"/>
      <c r="I673" s="53"/>
      <c r="U673" s="31" t="n">
        <f aca="false">IF($B673&lt;&gt;'設定（最初に1回）'!$C$4,N(U672),IF(COUNTIFS(①今日の在庫を貼る!$B$6:$B$10005,$B673,①今日の在庫を貼る!$I$6:$I$10005,$I673)&gt;0,N(U672),N(U672)+1))</f>
        <v>2</v>
      </c>
    </row>
    <row r="674" customFormat="false" ht="15" hidden="false" customHeight="false" outlineLevel="0" collapsed="false">
      <c r="B674" s="53"/>
      <c r="I674" s="53"/>
      <c r="U674" s="31" t="n">
        <f aca="false">IF($B674&lt;&gt;'設定（最初に1回）'!$C$4,N(U673),IF(COUNTIFS(①今日の在庫を貼る!$B$6:$B$10005,$B674,①今日の在庫を貼る!$I$6:$I$10005,$I674)&gt;0,N(U673),N(U673)+1))</f>
        <v>2</v>
      </c>
    </row>
    <row r="675" customFormat="false" ht="15" hidden="false" customHeight="false" outlineLevel="0" collapsed="false">
      <c r="B675" s="53"/>
      <c r="I675" s="53"/>
      <c r="U675" s="31" t="n">
        <f aca="false">IF($B675&lt;&gt;'設定（最初に1回）'!$C$4,N(U674),IF(COUNTIFS(①今日の在庫を貼る!$B$6:$B$10005,$B675,①今日の在庫を貼る!$I$6:$I$10005,$I675)&gt;0,N(U674),N(U674)+1))</f>
        <v>2</v>
      </c>
    </row>
    <row r="676" customFormat="false" ht="15" hidden="false" customHeight="false" outlineLevel="0" collapsed="false">
      <c r="B676" s="53"/>
      <c r="I676" s="53"/>
      <c r="U676" s="31" t="n">
        <f aca="false">IF($B676&lt;&gt;'設定（最初に1回）'!$C$4,N(U675),IF(COUNTIFS(①今日の在庫を貼る!$B$6:$B$10005,$B676,①今日の在庫を貼る!$I$6:$I$10005,$I676)&gt;0,N(U675),N(U675)+1))</f>
        <v>2</v>
      </c>
    </row>
    <row r="677" customFormat="false" ht="15" hidden="false" customHeight="false" outlineLevel="0" collapsed="false">
      <c r="B677" s="53"/>
      <c r="I677" s="53"/>
      <c r="U677" s="31" t="n">
        <f aca="false">IF($B677&lt;&gt;'設定（最初に1回）'!$C$4,N(U676),IF(COUNTIFS(①今日の在庫を貼る!$B$6:$B$10005,$B677,①今日の在庫を貼る!$I$6:$I$10005,$I677)&gt;0,N(U676),N(U676)+1))</f>
        <v>2</v>
      </c>
    </row>
    <row r="678" customFormat="false" ht="15" hidden="false" customHeight="false" outlineLevel="0" collapsed="false">
      <c r="B678" s="53"/>
      <c r="I678" s="53"/>
      <c r="U678" s="31" t="n">
        <f aca="false">IF($B678&lt;&gt;'設定（最初に1回）'!$C$4,N(U677),IF(COUNTIFS(①今日の在庫を貼る!$B$6:$B$10005,$B678,①今日の在庫を貼る!$I$6:$I$10005,$I678)&gt;0,N(U677),N(U677)+1))</f>
        <v>2</v>
      </c>
    </row>
    <row r="679" customFormat="false" ht="15" hidden="false" customHeight="false" outlineLevel="0" collapsed="false">
      <c r="B679" s="53"/>
      <c r="I679" s="53"/>
      <c r="U679" s="31" t="n">
        <f aca="false">IF($B679&lt;&gt;'設定（最初に1回）'!$C$4,N(U678),IF(COUNTIFS(①今日の在庫を貼る!$B$6:$B$10005,$B679,①今日の在庫を貼る!$I$6:$I$10005,$I679)&gt;0,N(U678),N(U678)+1))</f>
        <v>2</v>
      </c>
    </row>
    <row r="680" customFormat="false" ht="15" hidden="false" customHeight="false" outlineLevel="0" collapsed="false">
      <c r="B680" s="53"/>
      <c r="I680" s="53"/>
      <c r="U680" s="31" t="n">
        <f aca="false">IF($B680&lt;&gt;'設定（最初に1回）'!$C$4,N(U679),IF(COUNTIFS(①今日の在庫を貼る!$B$6:$B$10005,$B680,①今日の在庫を貼る!$I$6:$I$10005,$I680)&gt;0,N(U679),N(U679)+1))</f>
        <v>2</v>
      </c>
    </row>
    <row r="681" customFormat="false" ht="15" hidden="false" customHeight="false" outlineLevel="0" collapsed="false">
      <c r="B681" s="53"/>
      <c r="I681" s="53"/>
      <c r="U681" s="31" t="n">
        <f aca="false">IF($B681&lt;&gt;'設定（最初に1回）'!$C$4,N(U680),IF(COUNTIFS(①今日の在庫を貼る!$B$6:$B$10005,$B681,①今日の在庫を貼る!$I$6:$I$10005,$I681)&gt;0,N(U680),N(U680)+1))</f>
        <v>2</v>
      </c>
    </row>
    <row r="682" customFormat="false" ht="15" hidden="false" customHeight="false" outlineLevel="0" collapsed="false">
      <c r="B682" s="53"/>
      <c r="I682" s="53"/>
      <c r="U682" s="31" t="n">
        <f aca="false">IF($B682&lt;&gt;'設定（最初に1回）'!$C$4,N(U681),IF(COUNTIFS(①今日の在庫を貼る!$B$6:$B$10005,$B682,①今日の在庫を貼る!$I$6:$I$10005,$I682)&gt;0,N(U681),N(U681)+1))</f>
        <v>2</v>
      </c>
    </row>
    <row r="683" customFormat="false" ht="15" hidden="false" customHeight="false" outlineLevel="0" collapsed="false">
      <c r="B683" s="53"/>
      <c r="I683" s="53"/>
      <c r="U683" s="31" t="n">
        <f aca="false">IF($B683&lt;&gt;'設定（最初に1回）'!$C$4,N(U682),IF(COUNTIFS(①今日の在庫を貼る!$B$6:$B$10005,$B683,①今日の在庫を貼る!$I$6:$I$10005,$I683)&gt;0,N(U682),N(U682)+1))</f>
        <v>2</v>
      </c>
    </row>
    <row r="684" customFormat="false" ht="15" hidden="false" customHeight="false" outlineLevel="0" collapsed="false">
      <c r="B684" s="53"/>
      <c r="I684" s="53"/>
      <c r="U684" s="31" t="n">
        <f aca="false">IF($B684&lt;&gt;'設定（最初に1回）'!$C$4,N(U683),IF(COUNTIFS(①今日の在庫を貼る!$B$6:$B$10005,$B684,①今日の在庫を貼る!$I$6:$I$10005,$I684)&gt;0,N(U683),N(U683)+1))</f>
        <v>2</v>
      </c>
    </row>
    <row r="685" customFormat="false" ht="15" hidden="false" customHeight="false" outlineLevel="0" collapsed="false">
      <c r="B685" s="53"/>
      <c r="I685" s="53"/>
      <c r="U685" s="31" t="n">
        <f aca="false">IF($B685&lt;&gt;'設定（最初に1回）'!$C$4,N(U684),IF(COUNTIFS(①今日の在庫を貼る!$B$6:$B$10005,$B685,①今日の在庫を貼る!$I$6:$I$10005,$I685)&gt;0,N(U684),N(U684)+1))</f>
        <v>2</v>
      </c>
    </row>
    <row r="686" customFormat="false" ht="15" hidden="false" customHeight="false" outlineLevel="0" collapsed="false">
      <c r="B686" s="53"/>
      <c r="I686" s="53"/>
      <c r="U686" s="31" t="n">
        <f aca="false">IF($B686&lt;&gt;'設定（最初に1回）'!$C$4,N(U685),IF(COUNTIFS(①今日の在庫を貼る!$B$6:$B$10005,$B686,①今日の在庫を貼る!$I$6:$I$10005,$I686)&gt;0,N(U685),N(U685)+1))</f>
        <v>2</v>
      </c>
    </row>
    <row r="687" customFormat="false" ht="15" hidden="false" customHeight="false" outlineLevel="0" collapsed="false">
      <c r="B687" s="53"/>
      <c r="I687" s="53"/>
      <c r="U687" s="31" t="n">
        <f aca="false">IF($B687&lt;&gt;'設定（最初に1回）'!$C$4,N(U686),IF(COUNTIFS(①今日の在庫を貼る!$B$6:$B$10005,$B687,①今日の在庫を貼る!$I$6:$I$10005,$I687)&gt;0,N(U686),N(U686)+1))</f>
        <v>2</v>
      </c>
    </row>
    <row r="688" customFormat="false" ht="15" hidden="false" customHeight="false" outlineLevel="0" collapsed="false">
      <c r="B688" s="53"/>
      <c r="I688" s="53"/>
      <c r="U688" s="31" t="n">
        <f aca="false">IF($B688&lt;&gt;'設定（最初に1回）'!$C$4,N(U687),IF(COUNTIFS(①今日の在庫を貼る!$B$6:$B$10005,$B688,①今日の在庫を貼る!$I$6:$I$10005,$I688)&gt;0,N(U687),N(U687)+1))</f>
        <v>2</v>
      </c>
    </row>
    <row r="689" customFormat="false" ht="15" hidden="false" customHeight="false" outlineLevel="0" collapsed="false">
      <c r="B689" s="53"/>
      <c r="I689" s="53"/>
      <c r="U689" s="31" t="n">
        <f aca="false">IF($B689&lt;&gt;'設定（最初に1回）'!$C$4,N(U688),IF(COUNTIFS(①今日の在庫を貼る!$B$6:$B$10005,$B689,①今日の在庫を貼る!$I$6:$I$10005,$I689)&gt;0,N(U688),N(U688)+1))</f>
        <v>2</v>
      </c>
    </row>
    <row r="690" customFormat="false" ht="15" hidden="false" customHeight="false" outlineLevel="0" collapsed="false">
      <c r="B690" s="53"/>
      <c r="I690" s="53"/>
      <c r="U690" s="31" t="n">
        <f aca="false">IF($B690&lt;&gt;'設定（最初に1回）'!$C$4,N(U689),IF(COUNTIFS(①今日の在庫を貼る!$B$6:$B$10005,$B690,①今日の在庫を貼る!$I$6:$I$10005,$I690)&gt;0,N(U689),N(U689)+1))</f>
        <v>2</v>
      </c>
    </row>
    <row r="691" customFormat="false" ht="15" hidden="false" customHeight="false" outlineLevel="0" collapsed="false">
      <c r="B691" s="53"/>
      <c r="I691" s="53"/>
      <c r="U691" s="31" t="n">
        <f aca="false">IF($B691&lt;&gt;'設定（最初に1回）'!$C$4,N(U690),IF(COUNTIFS(①今日の在庫を貼る!$B$6:$B$10005,$B691,①今日の在庫を貼る!$I$6:$I$10005,$I691)&gt;0,N(U690),N(U690)+1))</f>
        <v>2</v>
      </c>
    </row>
    <row r="692" customFormat="false" ht="15" hidden="false" customHeight="false" outlineLevel="0" collapsed="false">
      <c r="B692" s="53"/>
      <c r="I692" s="53"/>
      <c r="U692" s="31" t="n">
        <f aca="false">IF($B692&lt;&gt;'設定（最初に1回）'!$C$4,N(U691),IF(COUNTIFS(①今日の在庫を貼る!$B$6:$B$10005,$B692,①今日の在庫を貼る!$I$6:$I$10005,$I692)&gt;0,N(U691),N(U691)+1))</f>
        <v>2</v>
      </c>
    </row>
    <row r="693" customFormat="false" ht="15" hidden="false" customHeight="false" outlineLevel="0" collapsed="false">
      <c r="B693" s="53"/>
      <c r="I693" s="53"/>
      <c r="U693" s="31" t="n">
        <f aca="false">IF($B693&lt;&gt;'設定（最初に1回）'!$C$4,N(U692),IF(COUNTIFS(①今日の在庫を貼る!$B$6:$B$10005,$B693,①今日の在庫を貼る!$I$6:$I$10005,$I693)&gt;0,N(U692),N(U692)+1))</f>
        <v>2</v>
      </c>
    </row>
    <row r="694" customFormat="false" ht="15" hidden="false" customHeight="false" outlineLevel="0" collapsed="false">
      <c r="B694" s="53"/>
      <c r="I694" s="53"/>
      <c r="U694" s="31" t="n">
        <f aca="false">IF($B694&lt;&gt;'設定（最初に1回）'!$C$4,N(U693),IF(COUNTIFS(①今日の在庫を貼る!$B$6:$B$10005,$B694,①今日の在庫を貼る!$I$6:$I$10005,$I694)&gt;0,N(U693),N(U693)+1))</f>
        <v>2</v>
      </c>
    </row>
    <row r="695" customFormat="false" ht="15" hidden="false" customHeight="false" outlineLevel="0" collapsed="false">
      <c r="B695" s="53"/>
      <c r="I695" s="53"/>
      <c r="U695" s="31" t="n">
        <f aca="false">IF($B695&lt;&gt;'設定（最初に1回）'!$C$4,N(U694),IF(COUNTIFS(①今日の在庫を貼る!$B$6:$B$10005,$B695,①今日の在庫を貼る!$I$6:$I$10005,$I695)&gt;0,N(U694),N(U694)+1))</f>
        <v>2</v>
      </c>
    </row>
    <row r="696" customFormat="false" ht="15" hidden="false" customHeight="false" outlineLevel="0" collapsed="false">
      <c r="B696" s="53"/>
      <c r="I696" s="53"/>
      <c r="U696" s="31" t="n">
        <f aca="false">IF($B696&lt;&gt;'設定（最初に1回）'!$C$4,N(U695),IF(COUNTIFS(①今日の在庫を貼る!$B$6:$B$10005,$B696,①今日の在庫を貼る!$I$6:$I$10005,$I696)&gt;0,N(U695),N(U695)+1))</f>
        <v>2</v>
      </c>
    </row>
    <row r="697" customFormat="false" ht="15" hidden="false" customHeight="false" outlineLevel="0" collapsed="false">
      <c r="B697" s="53"/>
      <c r="I697" s="53"/>
      <c r="U697" s="31" t="n">
        <f aca="false">IF($B697&lt;&gt;'設定（最初に1回）'!$C$4,N(U696),IF(COUNTIFS(①今日の在庫を貼る!$B$6:$B$10005,$B697,①今日の在庫を貼る!$I$6:$I$10005,$I697)&gt;0,N(U696),N(U696)+1))</f>
        <v>2</v>
      </c>
    </row>
    <row r="698" customFormat="false" ht="15" hidden="false" customHeight="false" outlineLevel="0" collapsed="false">
      <c r="B698" s="53"/>
      <c r="I698" s="53"/>
      <c r="U698" s="31" t="n">
        <f aca="false">IF($B698&lt;&gt;'設定（最初に1回）'!$C$4,N(U697),IF(COUNTIFS(①今日の在庫を貼る!$B$6:$B$10005,$B698,①今日の在庫を貼る!$I$6:$I$10005,$I698)&gt;0,N(U697),N(U697)+1))</f>
        <v>2</v>
      </c>
    </row>
    <row r="699" customFormat="false" ht="15" hidden="false" customHeight="false" outlineLevel="0" collapsed="false">
      <c r="B699" s="53"/>
      <c r="I699" s="53"/>
      <c r="U699" s="31" t="n">
        <f aca="false">IF($B699&lt;&gt;'設定（最初に1回）'!$C$4,N(U698),IF(COUNTIFS(①今日の在庫を貼る!$B$6:$B$10005,$B699,①今日の在庫を貼る!$I$6:$I$10005,$I699)&gt;0,N(U698),N(U698)+1))</f>
        <v>2</v>
      </c>
    </row>
    <row r="700" customFormat="false" ht="15" hidden="false" customHeight="false" outlineLevel="0" collapsed="false">
      <c r="B700" s="53"/>
      <c r="I700" s="53"/>
      <c r="U700" s="31" t="n">
        <f aca="false">IF($B700&lt;&gt;'設定（最初に1回）'!$C$4,N(U699),IF(COUNTIFS(①今日の在庫を貼る!$B$6:$B$10005,$B700,①今日の在庫を貼る!$I$6:$I$10005,$I700)&gt;0,N(U699),N(U699)+1))</f>
        <v>2</v>
      </c>
    </row>
    <row r="701" customFormat="false" ht="15" hidden="false" customHeight="false" outlineLevel="0" collapsed="false">
      <c r="B701" s="53"/>
      <c r="I701" s="53"/>
      <c r="U701" s="31" t="n">
        <f aca="false">IF($B701&lt;&gt;'設定（最初に1回）'!$C$4,N(U700),IF(COUNTIFS(①今日の在庫を貼る!$B$6:$B$10005,$B701,①今日の在庫を貼る!$I$6:$I$10005,$I701)&gt;0,N(U700),N(U700)+1))</f>
        <v>2</v>
      </c>
    </row>
    <row r="702" customFormat="false" ht="15" hidden="false" customHeight="false" outlineLevel="0" collapsed="false">
      <c r="B702" s="53"/>
      <c r="I702" s="53"/>
      <c r="U702" s="31" t="n">
        <f aca="false">IF($B702&lt;&gt;'設定（最初に1回）'!$C$4,N(U701),IF(COUNTIFS(①今日の在庫を貼る!$B$6:$B$10005,$B702,①今日の在庫を貼る!$I$6:$I$10005,$I702)&gt;0,N(U701),N(U701)+1))</f>
        <v>2</v>
      </c>
    </row>
    <row r="703" customFormat="false" ht="15" hidden="false" customHeight="false" outlineLevel="0" collapsed="false">
      <c r="B703" s="53"/>
      <c r="I703" s="53"/>
      <c r="U703" s="31" t="n">
        <f aca="false">IF($B703&lt;&gt;'設定（最初に1回）'!$C$4,N(U702),IF(COUNTIFS(①今日の在庫を貼る!$B$6:$B$10005,$B703,①今日の在庫を貼る!$I$6:$I$10005,$I703)&gt;0,N(U702),N(U702)+1))</f>
        <v>2</v>
      </c>
    </row>
    <row r="704" customFormat="false" ht="15" hidden="false" customHeight="false" outlineLevel="0" collapsed="false">
      <c r="B704" s="53"/>
      <c r="I704" s="53"/>
      <c r="U704" s="31" t="n">
        <f aca="false">IF($B704&lt;&gt;'設定（最初に1回）'!$C$4,N(U703),IF(COUNTIFS(①今日の在庫を貼る!$B$6:$B$10005,$B704,①今日の在庫を貼る!$I$6:$I$10005,$I704)&gt;0,N(U703),N(U703)+1))</f>
        <v>2</v>
      </c>
    </row>
    <row r="705" customFormat="false" ht="15" hidden="false" customHeight="false" outlineLevel="0" collapsed="false">
      <c r="B705" s="53"/>
      <c r="I705" s="53"/>
      <c r="U705" s="31" t="n">
        <f aca="false">IF($B705&lt;&gt;'設定（最初に1回）'!$C$4,N(U704),IF(COUNTIFS(①今日の在庫を貼る!$B$6:$B$10005,$B705,①今日の在庫を貼る!$I$6:$I$10005,$I705)&gt;0,N(U704),N(U704)+1))</f>
        <v>2</v>
      </c>
    </row>
    <row r="706" customFormat="false" ht="15" hidden="false" customHeight="false" outlineLevel="0" collapsed="false">
      <c r="B706" s="53"/>
      <c r="I706" s="53"/>
      <c r="U706" s="31" t="n">
        <f aca="false">IF($B706&lt;&gt;'設定（最初に1回）'!$C$4,N(U705),IF(COUNTIFS(①今日の在庫を貼る!$B$6:$B$10005,$B706,①今日の在庫を貼る!$I$6:$I$10005,$I706)&gt;0,N(U705),N(U705)+1))</f>
        <v>2</v>
      </c>
    </row>
    <row r="707" customFormat="false" ht="15" hidden="false" customHeight="false" outlineLevel="0" collapsed="false">
      <c r="B707" s="53"/>
      <c r="I707" s="53"/>
      <c r="U707" s="31" t="n">
        <f aca="false">IF($B707&lt;&gt;'設定（最初に1回）'!$C$4,N(U706),IF(COUNTIFS(①今日の在庫を貼る!$B$6:$B$10005,$B707,①今日の在庫を貼る!$I$6:$I$10005,$I707)&gt;0,N(U706),N(U706)+1))</f>
        <v>2</v>
      </c>
    </row>
    <row r="708" customFormat="false" ht="15" hidden="false" customHeight="false" outlineLevel="0" collapsed="false">
      <c r="B708" s="53"/>
      <c r="I708" s="53"/>
      <c r="U708" s="31" t="n">
        <f aca="false">IF($B708&lt;&gt;'設定（最初に1回）'!$C$4,N(U707),IF(COUNTIFS(①今日の在庫を貼る!$B$6:$B$10005,$B708,①今日の在庫を貼る!$I$6:$I$10005,$I708)&gt;0,N(U707),N(U707)+1))</f>
        <v>2</v>
      </c>
    </row>
    <row r="709" customFormat="false" ht="15" hidden="false" customHeight="false" outlineLevel="0" collapsed="false">
      <c r="B709" s="53"/>
      <c r="I709" s="53"/>
      <c r="U709" s="31" t="n">
        <f aca="false">IF($B709&lt;&gt;'設定（最初に1回）'!$C$4,N(U708),IF(COUNTIFS(①今日の在庫を貼る!$B$6:$B$10005,$B709,①今日の在庫を貼る!$I$6:$I$10005,$I709)&gt;0,N(U708),N(U708)+1))</f>
        <v>2</v>
      </c>
    </row>
    <row r="710" customFormat="false" ht="15" hidden="false" customHeight="false" outlineLevel="0" collapsed="false">
      <c r="B710" s="53"/>
      <c r="I710" s="53"/>
      <c r="U710" s="31" t="n">
        <f aca="false">IF($B710&lt;&gt;'設定（最初に1回）'!$C$4,N(U709),IF(COUNTIFS(①今日の在庫を貼る!$B$6:$B$10005,$B710,①今日の在庫を貼る!$I$6:$I$10005,$I710)&gt;0,N(U709),N(U709)+1))</f>
        <v>2</v>
      </c>
    </row>
    <row r="711" customFormat="false" ht="15" hidden="false" customHeight="false" outlineLevel="0" collapsed="false">
      <c r="B711" s="53"/>
      <c r="I711" s="53"/>
      <c r="U711" s="31" t="n">
        <f aca="false">IF($B711&lt;&gt;'設定（最初に1回）'!$C$4,N(U710),IF(COUNTIFS(①今日の在庫を貼る!$B$6:$B$10005,$B711,①今日の在庫を貼る!$I$6:$I$10005,$I711)&gt;0,N(U710),N(U710)+1))</f>
        <v>2</v>
      </c>
    </row>
    <row r="712" customFormat="false" ht="15" hidden="false" customHeight="false" outlineLevel="0" collapsed="false">
      <c r="B712" s="53"/>
      <c r="I712" s="53"/>
      <c r="U712" s="31" t="n">
        <f aca="false">IF($B712&lt;&gt;'設定（最初に1回）'!$C$4,N(U711),IF(COUNTIFS(①今日の在庫を貼る!$B$6:$B$10005,$B712,①今日の在庫を貼る!$I$6:$I$10005,$I712)&gt;0,N(U711),N(U711)+1))</f>
        <v>2</v>
      </c>
    </row>
    <row r="713" customFormat="false" ht="15" hidden="false" customHeight="false" outlineLevel="0" collapsed="false">
      <c r="B713" s="53"/>
      <c r="I713" s="53"/>
      <c r="U713" s="31" t="n">
        <f aca="false">IF($B713&lt;&gt;'設定（最初に1回）'!$C$4,N(U712),IF(COUNTIFS(①今日の在庫を貼る!$B$6:$B$10005,$B713,①今日の在庫を貼る!$I$6:$I$10005,$I713)&gt;0,N(U712),N(U712)+1))</f>
        <v>2</v>
      </c>
    </row>
    <row r="714" customFormat="false" ht="15" hidden="false" customHeight="false" outlineLevel="0" collapsed="false">
      <c r="B714" s="53"/>
      <c r="I714" s="53"/>
      <c r="U714" s="31" t="n">
        <f aca="false">IF($B714&lt;&gt;'設定（最初に1回）'!$C$4,N(U713),IF(COUNTIFS(①今日の在庫を貼る!$B$6:$B$10005,$B714,①今日の在庫を貼る!$I$6:$I$10005,$I714)&gt;0,N(U713),N(U713)+1))</f>
        <v>2</v>
      </c>
    </row>
    <row r="715" customFormat="false" ht="15" hidden="false" customHeight="false" outlineLevel="0" collapsed="false">
      <c r="B715" s="53"/>
      <c r="I715" s="53"/>
      <c r="U715" s="31" t="n">
        <f aca="false">IF($B715&lt;&gt;'設定（最初に1回）'!$C$4,N(U714),IF(COUNTIFS(①今日の在庫を貼る!$B$6:$B$10005,$B715,①今日の在庫を貼る!$I$6:$I$10005,$I715)&gt;0,N(U714),N(U714)+1))</f>
        <v>2</v>
      </c>
    </row>
    <row r="716" customFormat="false" ht="15" hidden="false" customHeight="false" outlineLevel="0" collapsed="false">
      <c r="B716" s="53"/>
      <c r="I716" s="53"/>
      <c r="U716" s="31" t="n">
        <f aca="false">IF($B716&lt;&gt;'設定（最初に1回）'!$C$4,N(U715),IF(COUNTIFS(①今日の在庫を貼る!$B$6:$B$10005,$B716,①今日の在庫を貼る!$I$6:$I$10005,$I716)&gt;0,N(U715),N(U715)+1))</f>
        <v>2</v>
      </c>
    </row>
    <row r="717" customFormat="false" ht="15" hidden="false" customHeight="false" outlineLevel="0" collapsed="false">
      <c r="B717" s="53"/>
      <c r="I717" s="53"/>
      <c r="U717" s="31" t="n">
        <f aca="false">IF($B717&lt;&gt;'設定（最初に1回）'!$C$4,N(U716),IF(COUNTIFS(①今日の在庫を貼る!$B$6:$B$10005,$B717,①今日の在庫を貼る!$I$6:$I$10005,$I717)&gt;0,N(U716),N(U716)+1))</f>
        <v>2</v>
      </c>
    </row>
    <row r="718" customFormat="false" ht="15" hidden="false" customHeight="false" outlineLevel="0" collapsed="false">
      <c r="B718" s="53"/>
      <c r="I718" s="53"/>
      <c r="U718" s="31" t="n">
        <f aca="false">IF($B718&lt;&gt;'設定（最初に1回）'!$C$4,N(U717),IF(COUNTIFS(①今日の在庫を貼る!$B$6:$B$10005,$B718,①今日の在庫を貼る!$I$6:$I$10005,$I718)&gt;0,N(U717),N(U717)+1))</f>
        <v>2</v>
      </c>
    </row>
    <row r="719" customFormat="false" ht="15" hidden="false" customHeight="false" outlineLevel="0" collapsed="false">
      <c r="B719" s="53"/>
      <c r="I719" s="53"/>
      <c r="U719" s="31" t="n">
        <f aca="false">IF($B719&lt;&gt;'設定（最初に1回）'!$C$4,N(U718),IF(COUNTIFS(①今日の在庫を貼る!$B$6:$B$10005,$B719,①今日の在庫を貼る!$I$6:$I$10005,$I719)&gt;0,N(U718),N(U718)+1))</f>
        <v>2</v>
      </c>
    </row>
    <row r="720" customFormat="false" ht="15" hidden="false" customHeight="false" outlineLevel="0" collapsed="false">
      <c r="B720" s="53"/>
      <c r="I720" s="53"/>
      <c r="U720" s="31" t="n">
        <f aca="false">IF($B720&lt;&gt;'設定（最初に1回）'!$C$4,N(U719),IF(COUNTIFS(①今日の在庫を貼る!$B$6:$B$10005,$B720,①今日の在庫を貼る!$I$6:$I$10005,$I720)&gt;0,N(U719),N(U719)+1))</f>
        <v>2</v>
      </c>
    </row>
    <row r="721" customFormat="false" ht="15" hidden="false" customHeight="false" outlineLevel="0" collapsed="false">
      <c r="B721" s="53"/>
      <c r="I721" s="53"/>
      <c r="U721" s="31" t="n">
        <f aca="false">IF($B721&lt;&gt;'設定（最初に1回）'!$C$4,N(U720),IF(COUNTIFS(①今日の在庫を貼る!$B$6:$B$10005,$B721,①今日の在庫を貼る!$I$6:$I$10005,$I721)&gt;0,N(U720),N(U720)+1))</f>
        <v>2</v>
      </c>
    </row>
    <row r="722" customFormat="false" ht="15" hidden="false" customHeight="false" outlineLevel="0" collapsed="false">
      <c r="B722" s="53"/>
      <c r="I722" s="53"/>
      <c r="U722" s="31" t="n">
        <f aca="false">IF($B722&lt;&gt;'設定（最初に1回）'!$C$4,N(U721),IF(COUNTIFS(①今日の在庫を貼る!$B$6:$B$10005,$B722,①今日の在庫を貼る!$I$6:$I$10005,$I722)&gt;0,N(U721),N(U721)+1))</f>
        <v>2</v>
      </c>
    </row>
    <row r="723" customFormat="false" ht="15" hidden="false" customHeight="false" outlineLevel="0" collapsed="false">
      <c r="B723" s="53"/>
      <c r="I723" s="53"/>
      <c r="U723" s="31" t="n">
        <f aca="false">IF($B723&lt;&gt;'設定（最初に1回）'!$C$4,N(U722),IF(COUNTIFS(①今日の在庫を貼る!$B$6:$B$10005,$B723,①今日の在庫を貼る!$I$6:$I$10005,$I723)&gt;0,N(U722),N(U722)+1))</f>
        <v>2</v>
      </c>
    </row>
    <row r="724" customFormat="false" ht="15" hidden="false" customHeight="false" outlineLevel="0" collapsed="false">
      <c r="B724" s="53"/>
      <c r="I724" s="53"/>
      <c r="U724" s="31" t="n">
        <f aca="false">IF($B724&lt;&gt;'設定（最初に1回）'!$C$4,N(U723),IF(COUNTIFS(①今日の在庫を貼る!$B$6:$B$10005,$B724,①今日の在庫を貼る!$I$6:$I$10005,$I724)&gt;0,N(U723),N(U723)+1))</f>
        <v>2</v>
      </c>
    </row>
    <row r="725" customFormat="false" ht="15" hidden="false" customHeight="false" outlineLevel="0" collapsed="false">
      <c r="B725" s="53"/>
      <c r="I725" s="53"/>
      <c r="U725" s="31" t="n">
        <f aca="false">IF($B725&lt;&gt;'設定（最初に1回）'!$C$4,N(U724),IF(COUNTIFS(①今日の在庫を貼る!$B$6:$B$10005,$B725,①今日の在庫を貼る!$I$6:$I$10005,$I725)&gt;0,N(U724),N(U724)+1))</f>
        <v>2</v>
      </c>
    </row>
    <row r="726" customFormat="false" ht="15" hidden="false" customHeight="false" outlineLevel="0" collapsed="false">
      <c r="B726" s="53"/>
      <c r="I726" s="53"/>
      <c r="U726" s="31" t="n">
        <f aca="false">IF($B726&lt;&gt;'設定（最初に1回）'!$C$4,N(U725),IF(COUNTIFS(①今日の在庫を貼る!$B$6:$B$10005,$B726,①今日の在庫を貼る!$I$6:$I$10005,$I726)&gt;0,N(U725),N(U725)+1))</f>
        <v>2</v>
      </c>
    </row>
    <row r="727" customFormat="false" ht="15" hidden="false" customHeight="false" outlineLevel="0" collapsed="false">
      <c r="B727" s="53"/>
      <c r="I727" s="53"/>
      <c r="U727" s="31" t="n">
        <f aca="false">IF($B727&lt;&gt;'設定（最初に1回）'!$C$4,N(U726),IF(COUNTIFS(①今日の在庫を貼る!$B$6:$B$10005,$B727,①今日の在庫を貼る!$I$6:$I$10005,$I727)&gt;0,N(U726),N(U726)+1))</f>
        <v>2</v>
      </c>
    </row>
    <row r="728" customFormat="false" ht="15" hidden="false" customHeight="false" outlineLevel="0" collapsed="false">
      <c r="B728" s="53"/>
      <c r="I728" s="53"/>
      <c r="U728" s="31" t="n">
        <f aca="false">IF($B728&lt;&gt;'設定（最初に1回）'!$C$4,N(U727),IF(COUNTIFS(①今日の在庫を貼る!$B$6:$B$10005,$B728,①今日の在庫を貼る!$I$6:$I$10005,$I728)&gt;0,N(U727),N(U727)+1))</f>
        <v>2</v>
      </c>
    </row>
    <row r="729" customFormat="false" ht="15" hidden="false" customHeight="false" outlineLevel="0" collapsed="false">
      <c r="B729" s="53"/>
      <c r="I729" s="53"/>
      <c r="U729" s="31" t="n">
        <f aca="false">IF($B729&lt;&gt;'設定（最初に1回）'!$C$4,N(U728),IF(COUNTIFS(①今日の在庫を貼る!$B$6:$B$10005,$B729,①今日の在庫を貼る!$I$6:$I$10005,$I729)&gt;0,N(U728),N(U728)+1))</f>
        <v>2</v>
      </c>
    </row>
    <row r="730" customFormat="false" ht="15" hidden="false" customHeight="false" outlineLevel="0" collapsed="false">
      <c r="B730" s="53"/>
      <c r="I730" s="53"/>
      <c r="U730" s="31" t="n">
        <f aca="false">IF($B730&lt;&gt;'設定（最初に1回）'!$C$4,N(U729),IF(COUNTIFS(①今日の在庫を貼る!$B$6:$B$10005,$B730,①今日の在庫を貼る!$I$6:$I$10005,$I730)&gt;0,N(U729),N(U729)+1))</f>
        <v>2</v>
      </c>
    </row>
    <row r="731" customFormat="false" ht="15" hidden="false" customHeight="false" outlineLevel="0" collapsed="false">
      <c r="B731" s="53"/>
      <c r="I731" s="53"/>
      <c r="U731" s="31" t="n">
        <f aca="false">IF($B731&lt;&gt;'設定（最初に1回）'!$C$4,N(U730),IF(COUNTIFS(①今日の在庫を貼る!$B$6:$B$10005,$B731,①今日の在庫を貼る!$I$6:$I$10005,$I731)&gt;0,N(U730),N(U730)+1))</f>
        <v>2</v>
      </c>
    </row>
    <row r="732" customFormat="false" ht="15" hidden="false" customHeight="false" outlineLevel="0" collapsed="false">
      <c r="B732" s="53"/>
      <c r="I732" s="53"/>
      <c r="U732" s="31" t="n">
        <f aca="false">IF($B732&lt;&gt;'設定（最初に1回）'!$C$4,N(U731),IF(COUNTIFS(①今日の在庫を貼る!$B$6:$B$10005,$B732,①今日の在庫を貼る!$I$6:$I$10005,$I732)&gt;0,N(U731),N(U731)+1))</f>
        <v>2</v>
      </c>
    </row>
    <row r="733" customFormat="false" ht="15" hidden="false" customHeight="false" outlineLevel="0" collapsed="false">
      <c r="B733" s="53"/>
      <c r="I733" s="53"/>
      <c r="U733" s="31" t="n">
        <f aca="false">IF($B733&lt;&gt;'設定（最初に1回）'!$C$4,N(U732),IF(COUNTIFS(①今日の在庫を貼る!$B$6:$B$10005,$B733,①今日の在庫を貼る!$I$6:$I$10005,$I733)&gt;0,N(U732),N(U732)+1))</f>
        <v>2</v>
      </c>
    </row>
    <row r="734" customFormat="false" ht="15" hidden="false" customHeight="false" outlineLevel="0" collapsed="false">
      <c r="B734" s="53"/>
      <c r="I734" s="53"/>
      <c r="U734" s="31" t="n">
        <f aca="false">IF($B734&lt;&gt;'設定（最初に1回）'!$C$4,N(U733),IF(COUNTIFS(①今日の在庫を貼る!$B$6:$B$10005,$B734,①今日の在庫を貼る!$I$6:$I$10005,$I734)&gt;0,N(U733),N(U733)+1))</f>
        <v>2</v>
      </c>
    </row>
    <row r="735" customFormat="false" ht="15" hidden="false" customHeight="false" outlineLevel="0" collapsed="false">
      <c r="B735" s="53"/>
      <c r="I735" s="53"/>
      <c r="U735" s="31" t="n">
        <f aca="false">IF($B735&lt;&gt;'設定（最初に1回）'!$C$4,N(U734),IF(COUNTIFS(①今日の在庫を貼る!$B$6:$B$10005,$B735,①今日の在庫を貼る!$I$6:$I$10005,$I735)&gt;0,N(U734),N(U734)+1))</f>
        <v>2</v>
      </c>
    </row>
    <row r="736" customFormat="false" ht="15" hidden="false" customHeight="false" outlineLevel="0" collapsed="false">
      <c r="B736" s="53"/>
      <c r="I736" s="53"/>
      <c r="U736" s="31" t="n">
        <f aca="false">IF($B736&lt;&gt;'設定（最初に1回）'!$C$4,N(U735),IF(COUNTIFS(①今日の在庫を貼る!$B$6:$B$10005,$B736,①今日の在庫を貼る!$I$6:$I$10005,$I736)&gt;0,N(U735),N(U735)+1))</f>
        <v>2</v>
      </c>
    </row>
    <row r="737" customFormat="false" ht="15" hidden="false" customHeight="false" outlineLevel="0" collapsed="false">
      <c r="B737" s="53"/>
      <c r="I737" s="53"/>
      <c r="U737" s="31" t="n">
        <f aca="false">IF($B737&lt;&gt;'設定（最初に1回）'!$C$4,N(U736),IF(COUNTIFS(①今日の在庫を貼る!$B$6:$B$10005,$B737,①今日の在庫を貼る!$I$6:$I$10005,$I737)&gt;0,N(U736),N(U736)+1))</f>
        <v>2</v>
      </c>
    </row>
    <row r="738" customFormat="false" ht="15" hidden="false" customHeight="false" outlineLevel="0" collapsed="false">
      <c r="B738" s="53"/>
      <c r="I738" s="53"/>
      <c r="U738" s="31" t="n">
        <f aca="false">IF($B738&lt;&gt;'設定（最初に1回）'!$C$4,N(U737),IF(COUNTIFS(①今日の在庫を貼る!$B$6:$B$10005,$B738,①今日の在庫を貼る!$I$6:$I$10005,$I738)&gt;0,N(U737),N(U737)+1))</f>
        <v>2</v>
      </c>
    </row>
    <row r="739" customFormat="false" ht="15" hidden="false" customHeight="false" outlineLevel="0" collapsed="false">
      <c r="B739" s="53"/>
      <c r="I739" s="53"/>
      <c r="U739" s="31" t="n">
        <f aca="false">IF($B739&lt;&gt;'設定（最初に1回）'!$C$4,N(U738),IF(COUNTIFS(①今日の在庫を貼る!$B$6:$B$10005,$B739,①今日の在庫を貼る!$I$6:$I$10005,$I739)&gt;0,N(U738),N(U738)+1))</f>
        <v>2</v>
      </c>
    </row>
    <row r="740" customFormat="false" ht="15" hidden="false" customHeight="false" outlineLevel="0" collapsed="false">
      <c r="B740" s="53"/>
      <c r="I740" s="53"/>
      <c r="U740" s="31" t="n">
        <f aca="false">IF($B740&lt;&gt;'設定（最初に1回）'!$C$4,N(U739),IF(COUNTIFS(①今日の在庫を貼る!$B$6:$B$10005,$B740,①今日の在庫を貼る!$I$6:$I$10005,$I740)&gt;0,N(U739),N(U739)+1))</f>
        <v>2</v>
      </c>
    </row>
    <row r="741" customFormat="false" ht="15" hidden="false" customHeight="false" outlineLevel="0" collapsed="false">
      <c r="B741" s="53"/>
      <c r="I741" s="53"/>
      <c r="U741" s="31" t="n">
        <f aca="false">IF($B741&lt;&gt;'設定（最初に1回）'!$C$4,N(U740),IF(COUNTIFS(①今日の在庫を貼る!$B$6:$B$10005,$B741,①今日の在庫を貼る!$I$6:$I$10005,$I741)&gt;0,N(U740),N(U740)+1))</f>
        <v>2</v>
      </c>
    </row>
    <row r="742" customFormat="false" ht="15" hidden="false" customHeight="false" outlineLevel="0" collapsed="false">
      <c r="B742" s="53"/>
      <c r="I742" s="53"/>
      <c r="U742" s="31" t="n">
        <f aca="false">IF($B742&lt;&gt;'設定（最初に1回）'!$C$4,N(U741),IF(COUNTIFS(①今日の在庫を貼る!$B$6:$B$10005,$B742,①今日の在庫を貼る!$I$6:$I$10005,$I742)&gt;0,N(U741),N(U741)+1))</f>
        <v>2</v>
      </c>
    </row>
    <row r="743" customFormat="false" ht="15" hidden="false" customHeight="false" outlineLevel="0" collapsed="false">
      <c r="B743" s="53"/>
      <c r="I743" s="53"/>
      <c r="U743" s="31" t="n">
        <f aca="false">IF($B743&lt;&gt;'設定（最初に1回）'!$C$4,N(U742),IF(COUNTIFS(①今日の在庫を貼る!$B$6:$B$10005,$B743,①今日の在庫を貼る!$I$6:$I$10005,$I743)&gt;0,N(U742),N(U742)+1))</f>
        <v>2</v>
      </c>
    </row>
    <row r="744" customFormat="false" ht="15" hidden="false" customHeight="false" outlineLevel="0" collapsed="false">
      <c r="B744" s="53"/>
      <c r="I744" s="53"/>
      <c r="U744" s="31" t="n">
        <f aca="false">IF($B744&lt;&gt;'設定（最初に1回）'!$C$4,N(U743),IF(COUNTIFS(①今日の在庫を貼る!$B$6:$B$10005,$B744,①今日の在庫を貼る!$I$6:$I$10005,$I744)&gt;0,N(U743),N(U743)+1))</f>
        <v>2</v>
      </c>
    </row>
    <row r="745" customFormat="false" ht="15" hidden="false" customHeight="false" outlineLevel="0" collapsed="false">
      <c r="B745" s="53"/>
      <c r="I745" s="53"/>
      <c r="U745" s="31" t="n">
        <f aca="false">IF($B745&lt;&gt;'設定（最初に1回）'!$C$4,N(U744),IF(COUNTIFS(①今日の在庫を貼る!$B$6:$B$10005,$B745,①今日の在庫を貼る!$I$6:$I$10005,$I745)&gt;0,N(U744),N(U744)+1))</f>
        <v>2</v>
      </c>
    </row>
    <row r="746" customFormat="false" ht="15" hidden="false" customHeight="false" outlineLevel="0" collapsed="false">
      <c r="B746" s="53"/>
      <c r="I746" s="53"/>
      <c r="U746" s="31" t="n">
        <f aca="false">IF($B746&lt;&gt;'設定（最初に1回）'!$C$4,N(U745),IF(COUNTIFS(①今日の在庫を貼る!$B$6:$B$10005,$B746,①今日の在庫を貼る!$I$6:$I$10005,$I746)&gt;0,N(U745),N(U745)+1))</f>
        <v>2</v>
      </c>
    </row>
    <row r="747" customFormat="false" ht="15" hidden="false" customHeight="false" outlineLevel="0" collapsed="false">
      <c r="B747" s="53"/>
      <c r="I747" s="53"/>
      <c r="U747" s="31" t="n">
        <f aca="false">IF($B747&lt;&gt;'設定（最初に1回）'!$C$4,N(U746),IF(COUNTIFS(①今日の在庫を貼る!$B$6:$B$10005,$B747,①今日の在庫を貼る!$I$6:$I$10005,$I747)&gt;0,N(U746),N(U746)+1))</f>
        <v>2</v>
      </c>
    </row>
    <row r="748" customFormat="false" ht="15" hidden="false" customHeight="false" outlineLevel="0" collapsed="false">
      <c r="B748" s="53"/>
      <c r="I748" s="53"/>
      <c r="U748" s="31" t="n">
        <f aca="false">IF($B748&lt;&gt;'設定（最初に1回）'!$C$4,N(U747),IF(COUNTIFS(①今日の在庫を貼る!$B$6:$B$10005,$B748,①今日の在庫を貼る!$I$6:$I$10005,$I748)&gt;0,N(U747),N(U747)+1))</f>
        <v>2</v>
      </c>
    </row>
    <row r="749" customFormat="false" ht="15" hidden="false" customHeight="false" outlineLevel="0" collapsed="false">
      <c r="B749" s="53"/>
      <c r="I749" s="53"/>
      <c r="U749" s="31" t="n">
        <f aca="false">IF($B749&lt;&gt;'設定（最初に1回）'!$C$4,N(U748),IF(COUNTIFS(①今日の在庫を貼る!$B$6:$B$10005,$B749,①今日の在庫を貼る!$I$6:$I$10005,$I749)&gt;0,N(U748),N(U748)+1))</f>
        <v>2</v>
      </c>
    </row>
    <row r="750" customFormat="false" ht="15" hidden="false" customHeight="false" outlineLevel="0" collapsed="false">
      <c r="B750" s="53"/>
      <c r="I750" s="53"/>
      <c r="U750" s="31" t="n">
        <f aca="false">IF($B750&lt;&gt;'設定（最初に1回）'!$C$4,N(U749),IF(COUNTIFS(①今日の在庫を貼る!$B$6:$B$10005,$B750,①今日の在庫を貼る!$I$6:$I$10005,$I750)&gt;0,N(U749),N(U749)+1))</f>
        <v>2</v>
      </c>
    </row>
    <row r="751" customFormat="false" ht="15" hidden="false" customHeight="false" outlineLevel="0" collapsed="false">
      <c r="B751" s="53"/>
      <c r="I751" s="53"/>
      <c r="U751" s="31" t="n">
        <f aca="false">IF($B751&lt;&gt;'設定（最初に1回）'!$C$4,N(U750),IF(COUNTIFS(①今日の在庫を貼る!$B$6:$B$10005,$B751,①今日の在庫を貼る!$I$6:$I$10005,$I751)&gt;0,N(U750),N(U750)+1))</f>
        <v>2</v>
      </c>
    </row>
    <row r="752" customFormat="false" ht="15" hidden="false" customHeight="false" outlineLevel="0" collapsed="false">
      <c r="B752" s="53"/>
      <c r="I752" s="53"/>
      <c r="U752" s="31" t="n">
        <f aca="false">IF($B752&lt;&gt;'設定（最初に1回）'!$C$4,N(U751),IF(COUNTIFS(①今日の在庫を貼る!$B$6:$B$10005,$B752,①今日の在庫を貼る!$I$6:$I$10005,$I752)&gt;0,N(U751),N(U751)+1))</f>
        <v>2</v>
      </c>
    </row>
    <row r="753" customFormat="false" ht="15" hidden="false" customHeight="false" outlineLevel="0" collapsed="false">
      <c r="B753" s="53"/>
      <c r="I753" s="53"/>
      <c r="U753" s="31" t="n">
        <f aca="false">IF($B753&lt;&gt;'設定（最初に1回）'!$C$4,N(U752),IF(COUNTIFS(①今日の在庫を貼る!$B$6:$B$10005,$B753,①今日の在庫を貼る!$I$6:$I$10005,$I753)&gt;0,N(U752),N(U752)+1))</f>
        <v>2</v>
      </c>
    </row>
    <row r="754" customFormat="false" ht="15" hidden="false" customHeight="false" outlineLevel="0" collapsed="false">
      <c r="B754" s="53"/>
      <c r="I754" s="53"/>
      <c r="U754" s="31" t="n">
        <f aca="false">IF($B754&lt;&gt;'設定（最初に1回）'!$C$4,N(U753),IF(COUNTIFS(①今日の在庫を貼る!$B$6:$B$10005,$B754,①今日の在庫を貼る!$I$6:$I$10005,$I754)&gt;0,N(U753),N(U753)+1))</f>
        <v>2</v>
      </c>
    </row>
    <row r="755" customFormat="false" ht="15" hidden="false" customHeight="false" outlineLevel="0" collapsed="false">
      <c r="B755" s="53"/>
      <c r="I755" s="53"/>
      <c r="U755" s="31" t="n">
        <f aca="false">IF($B755&lt;&gt;'設定（最初に1回）'!$C$4,N(U754),IF(COUNTIFS(①今日の在庫を貼る!$B$6:$B$10005,$B755,①今日の在庫を貼る!$I$6:$I$10005,$I755)&gt;0,N(U754),N(U754)+1))</f>
        <v>2</v>
      </c>
    </row>
    <row r="756" customFormat="false" ht="15" hidden="false" customHeight="false" outlineLevel="0" collapsed="false">
      <c r="B756" s="53"/>
      <c r="I756" s="53"/>
      <c r="U756" s="31" t="n">
        <f aca="false">IF($B756&lt;&gt;'設定（最初に1回）'!$C$4,N(U755),IF(COUNTIFS(①今日の在庫を貼る!$B$6:$B$10005,$B756,①今日の在庫を貼る!$I$6:$I$10005,$I756)&gt;0,N(U755),N(U755)+1))</f>
        <v>2</v>
      </c>
    </row>
    <row r="757" customFormat="false" ht="15" hidden="false" customHeight="false" outlineLevel="0" collapsed="false">
      <c r="B757" s="53"/>
      <c r="I757" s="53"/>
      <c r="U757" s="31" t="n">
        <f aca="false">IF($B757&lt;&gt;'設定（最初に1回）'!$C$4,N(U756),IF(COUNTIFS(①今日の在庫を貼る!$B$6:$B$10005,$B757,①今日の在庫を貼る!$I$6:$I$10005,$I757)&gt;0,N(U756),N(U756)+1))</f>
        <v>2</v>
      </c>
    </row>
    <row r="758" customFormat="false" ht="15" hidden="false" customHeight="false" outlineLevel="0" collapsed="false">
      <c r="B758" s="53"/>
      <c r="I758" s="53"/>
      <c r="U758" s="31" t="n">
        <f aca="false">IF($B758&lt;&gt;'設定（最初に1回）'!$C$4,N(U757),IF(COUNTIFS(①今日の在庫を貼る!$B$6:$B$10005,$B758,①今日の在庫を貼る!$I$6:$I$10005,$I758)&gt;0,N(U757),N(U757)+1))</f>
        <v>2</v>
      </c>
    </row>
    <row r="759" customFormat="false" ht="15" hidden="false" customHeight="false" outlineLevel="0" collapsed="false">
      <c r="B759" s="53"/>
      <c r="I759" s="53"/>
      <c r="U759" s="31" t="n">
        <f aca="false">IF($B759&lt;&gt;'設定（最初に1回）'!$C$4,N(U758),IF(COUNTIFS(①今日の在庫を貼る!$B$6:$B$10005,$B759,①今日の在庫を貼る!$I$6:$I$10005,$I759)&gt;0,N(U758),N(U758)+1))</f>
        <v>2</v>
      </c>
    </row>
    <row r="760" customFormat="false" ht="15" hidden="false" customHeight="false" outlineLevel="0" collapsed="false">
      <c r="B760" s="53"/>
      <c r="I760" s="53"/>
      <c r="U760" s="31" t="n">
        <f aca="false">IF($B760&lt;&gt;'設定（最初に1回）'!$C$4,N(U759),IF(COUNTIFS(①今日の在庫を貼る!$B$6:$B$10005,$B760,①今日の在庫を貼る!$I$6:$I$10005,$I760)&gt;0,N(U759),N(U759)+1))</f>
        <v>2</v>
      </c>
    </row>
    <row r="761" customFormat="false" ht="15" hidden="false" customHeight="false" outlineLevel="0" collapsed="false">
      <c r="B761" s="53"/>
      <c r="I761" s="53"/>
      <c r="U761" s="31" t="n">
        <f aca="false">IF($B761&lt;&gt;'設定（最初に1回）'!$C$4,N(U760),IF(COUNTIFS(①今日の在庫を貼る!$B$6:$B$10005,$B761,①今日の在庫を貼る!$I$6:$I$10005,$I761)&gt;0,N(U760),N(U760)+1))</f>
        <v>2</v>
      </c>
    </row>
    <row r="762" customFormat="false" ht="15" hidden="false" customHeight="false" outlineLevel="0" collapsed="false">
      <c r="B762" s="53"/>
      <c r="I762" s="53"/>
      <c r="U762" s="31" t="n">
        <f aca="false">IF($B762&lt;&gt;'設定（最初に1回）'!$C$4,N(U761),IF(COUNTIFS(①今日の在庫を貼る!$B$6:$B$10005,$B762,①今日の在庫を貼る!$I$6:$I$10005,$I762)&gt;0,N(U761),N(U761)+1))</f>
        <v>2</v>
      </c>
    </row>
    <row r="763" customFormat="false" ht="15" hidden="false" customHeight="false" outlineLevel="0" collapsed="false">
      <c r="B763" s="53"/>
      <c r="I763" s="53"/>
      <c r="U763" s="31" t="n">
        <f aca="false">IF($B763&lt;&gt;'設定（最初に1回）'!$C$4,N(U762),IF(COUNTIFS(①今日の在庫を貼る!$B$6:$B$10005,$B763,①今日の在庫を貼る!$I$6:$I$10005,$I763)&gt;0,N(U762),N(U762)+1))</f>
        <v>2</v>
      </c>
    </row>
    <row r="764" customFormat="false" ht="15" hidden="false" customHeight="false" outlineLevel="0" collapsed="false">
      <c r="B764" s="53"/>
      <c r="I764" s="53"/>
      <c r="U764" s="31" t="n">
        <f aca="false">IF($B764&lt;&gt;'設定（最初に1回）'!$C$4,N(U763),IF(COUNTIFS(①今日の在庫を貼る!$B$6:$B$10005,$B764,①今日の在庫を貼る!$I$6:$I$10005,$I764)&gt;0,N(U763),N(U763)+1))</f>
        <v>2</v>
      </c>
    </row>
    <row r="765" customFormat="false" ht="15" hidden="false" customHeight="false" outlineLevel="0" collapsed="false">
      <c r="B765" s="53"/>
      <c r="I765" s="53"/>
      <c r="U765" s="31" t="n">
        <f aca="false">IF($B765&lt;&gt;'設定（最初に1回）'!$C$4,N(U764),IF(COUNTIFS(①今日の在庫を貼る!$B$6:$B$10005,$B765,①今日の在庫を貼る!$I$6:$I$10005,$I765)&gt;0,N(U764),N(U764)+1))</f>
        <v>2</v>
      </c>
    </row>
    <row r="766" customFormat="false" ht="15" hidden="false" customHeight="false" outlineLevel="0" collapsed="false">
      <c r="B766" s="53"/>
      <c r="I766" s="53"/>
      <c r="U766" s="31" t="n">
        <f aca="false">IF($B766&lt;&gt;'設定（最初に1回）'!$C$4,N(U765),IF(COUNTIFS(①今日の在庫を貼る!$B$6:$B$10005,$B766,①今日の在庫を貼る!$I$6:$I$10005,$I766)&gt;0,N(U765),N(U765)+1))</f>
        <v>2</v>
      </c>
    </row>
    <row r="767" customFormat="false" ht="15" hidden="false" customHeight="false" outlineLevel="0" collapsed="false">
      <c r="B767" s="53"/>
      <c r="I767" s="53"/>
      <c r="U767" s="31" t="n">
        <f aca="false">IF($B767&lt;&gt;'設定（最初に1回）'!$C$4,N(U766),IF(COUNTIFS(①今日の在庫を貼る!$B$6:$B$10005,$B767,①今日の在庫を貼る!$I$6:$I$10005,$I767)&gt;0,N(U766),N(U766)+1))</f>
        <v>2</v>
      </c>
    </row>
    <row r="768" customFormat="false" ht="15" hidden="false" customHeight="false" outlineLevel="0" collapsed="false">
      <c r="B768" s="53"/>
      <c r="I768" s="53"/>
      <c r="U768" s="31" t="n">
        <f aca="false">IF($B768&lt;&gt;'設定（最初に1回）'!$C$4,N(U767),IF(COUNTIFS(①今日の在庫を貼る!$B$6:$B$10005,$B768,①今日の在庫を貼る!$I$6:$I$10005,$I768)&gt;0,N(U767),N(U767)+1))</f>
        <v>2</v>
      </c>
    </row>
    <row r="769" customFormat="false" ht="15" hidden="false" customHeight="false" outlineLevel="0" collapsed="false">
      <c r="B769" s="53"/>
      <c r="I769" s="53"/>
      <c r="U769" s="31" t="n">
        <f aca="false">IF($B769&lt;&gt;'設定（最初に1回）'!$C$4,N(U768),IF(COUNTIFS(①今日の在庫を貼る!$B$6:$B$10005,$B769,①今日の在庫を貼る!$I$6:$I$10005,$I769)&gt;0,N(U768),N(U768)+1))</f>
        <v>2</v>
      </c>
    </row>
    <row r="770" customFormat="false" ht="15" hidden="false" customHeight="false" outlineLevel="0" collapsed="false">
      <c r="B770" s="53"/>
      <c r="I770" s="53"/>
      <c r="U770" s="31" t="n">
        <f aca="false">IF($B770&lt;&gt;'設定（最初に1回）'!$C$4,N(U769),IF(COUNTIFS(①今日の在庫を貼る!$B$6:$B$10005,$B770,①今日の在庫を貼る!$I$6:$I$10005,$I770)&gt;0,N(U769),N(U769)+1))</f>
        <v>2</v>
      </c>
    </row>
    <row r="771" customFormat="false" ht="15" hidden="false" customHeight="false" outlineLevel="0" collapsed="false">
      <c r="B771" s="53"/>
      <c r="I771" s="53"/>
      <c r="U771" s="31" t="n">
        <f aca="false">IF($B771&lt;&gt;'設定（最初に1回）'!$C$4,N(U770),IF(COUNTIFS(①今日の在庫を貼る!$B$6:$B$10005,$B771,①今日の在庫を貼る!$I$6:$I$10005,$I771)&gt;0,N(U770),N(U770)+1))</f>
        <v>2</v>
      </c>
    </row>
    <row r="772" customFormat="false" ht="15" hidden="false" customHeight="false" outlineLevel="0" collapsed="false">
      <c r="B772" s="53"/>
      <c r="I772" s="53"/>
      <c r="U772" s="31" t="n">
        <f aca="false">IF($B772&lt;&gt;'設定（最初に1回）'!$C$4,N(U771),IF(COUNTIFS(①今日の在庫を貼る!$B$6:$B$10005,$B772,①今日の在庫を貼る!$I$6:$I$10005,$I772)&gt;0,N(U771),N(U771)+1))</f>
        <v>2</v>
      </c>
    </row>
    <row r="773" customFormat="false" ht="15" hidden="false" customHeight="false" outlineLevel="0" collapsed="false">
      <c r="B773" s="53"/>
      <c r="I773" s="53"/>
      <c r="U773" s="31" t="n">
        <f aca="false">IF($B773&lt;&gt;'設定（最初に1回）'!$C$4,N(U772),IF(COUNTIFS(①今日の在庫を貼る!$B$6:$B$10005,$B773,①今日の在庫を貼る!$I$6:$I$10005,$I773)&gt;0,N(U772),N(U772)+1))</f>
        <v>2</v>
      </c>
    </row>
    <row r="774" customFormat="false" ht="15" hidden="false" customHeight="false" outlineLevel="0" collapsed="false">
      <c r="B774" s="53"/>
      <c r="I774" s="53"/>
      <c r="U774" s="31" t="n">
        <f aca="false">IF($B774&lt;&gt;'設定（最初に1回）'!$C$4,N(U773),IF(COUNTIFS(①今日の在庫を貼る!$B$6:$B$10005,$B774,①今日の在庫を貼る!$I$6:$I$10005,$I774)&gt;0,N(U773),N(U773)+1))</f>
        <v>2</v>
      </c>
    </row>
    <row r="775" customFormat="false" ht="15" hidden="false" customHeight="false" outlineLevel="0" collapsed="false">
      <c r="B775" s="53"/>
      <c r="I775" s="53"/>
      <c r="U775" s="31" t="n">
        <f aca="false">IF($B775&lt;&gt;'設定（最初に1回）'!$C$4,N(U774),IF(COUNTIFS(①今日の在庫を貼る!$B$6:$B$10005,$B775,①今日の在庫を貼る!$I$6:$I$10005,$I775)&gt;0,N(U774),N(U774)+1))</f>
        <v>2</v>
      </c>
    </row>
    <row r="776" customFormat="false" ht="15" hidden="false" customHeight="false" outlineLevel="0" collapsed="false">
      <c r="B776" s="53"/>
      <c r="I776" s="53"/>
      <c r="U776" s="31" t="n">
        <f aca="false">IF($B776&lt;&gt;'設定（最初に1回）'!$C$4,N(U775),IF(COUNTIFS(①今日の在庫を貼る!$B$6:$B$10005,$B776,①今日の在庫を貼る!$I$6:$I$10005,$I776)&gt;0,N(U775),N(U775)+1))</f>
        <v>2</v>
      </c>
    </row>
    <row r="777" customFormat="false" ht="15" hidden="false" customHeight="false" outlineLevel="0" collapsed="false">
      <c r="B777" s="53"/>
      <c r="I777" s="53"/>
      <c r="U777" s="31" t="n">
        <f aca="false">IF($B777&lt;&gt;'設定（最初に1回）'!$C$4,N(U776),IF(COUNTIFS(①今日の在庫を貼る!$B$6:$B$10005,$B777,①今日の在庫を貼る!$I$6:$I$10005,$I777)&gt;0,N(U776),N(U776)+1))</f>
        <v>2</v>
      </c>
    </row>
    <row r="778" customFormat="false" ht="15" hidden="false" customHeight="false" outlineLevel="0" collapsed="false">
      <c r="B778" s="53"/>
      <c r="I778" s="53"/>
      <c r="U778" s="31" t="n">
        <f aca="false">IF($B778&lt;&gt;'設定（最初に1回）'!$C$4,N(U777),IF(COUNTIFS(①今日の在庫を貼る!$B$6:$B$10005,$B778,①今日の在庫を貼る!$I$6:$I$10005,$I778)&gt;0,N(U777),N(U777)+1))</f>
        <v>2</v>
      </c>
    </row>
    <row r="779" customFormat="false" ht="15" hidden="false" customHeight="false" outlineLevel="0" collapsed="false">
      <c r="B779" s="53"/>
      <c r="I779" s="53"/>
      <c r="U779" s="31" t="n">
        <f aca="false">IF($B779&lt;&gt;'設定（最初に1回）'!$C$4,N(U778),IF(COUNTIFS(①今日の在庫を貼る!$B$6:$B$10005,$B779,①今日の在庫を貼る!$I$6:$I$10005,$I779)&gt;0,N(U778),N(U778)+1))</f>
        <v>2</v>
      </c>
    </row>
    <row r="780" customFormat="false" ht="15" hidden="false" customHeight="false" outlineLevel="0" collapsed="false">
      <c r="B780" s="53"/>
      <c r="I780" s="53"/>
      <c r="U780" s="31" t="n">
        <f aca="false">IF($B780&lt;&gt;'設定（最初に1回）'!$C$4,N(U779),IF(COUNTIFS(①今日の在庫を貼る!$B$6:$B$10005,$B780,①今日の在庫を貼る!$I$6:$I$10005,$I780)&gt;0,N(U779),N(U779)+1))</f>
        <v>2</v>
      </c>
    </row>
    <row r="781" customFormat="false" ht="15" hidden="false" customHeight="false" outlineLevel="0" collapsed="false">
      <c r="B781" s="53"/>
      <c r="I781" s="53"/>
      <c r="U781" s="31" t="n">
        <f aca="false">IF($B781&lt;&gt;'設定（最初に1回）'!$C$4,N(U780),IF(COUNTIFS(①今日の在庫を貼る!$B$6:$B$10005,$B781,①今日の在庫を貼る!$I$6:$I$10005,$I781)&gt;0,N(U780),N(U780)+1))</f>
        <v>2</v>
      </c>
    </row>
    <row r="782" customFormat="false" ht="15" hidden="false" customHeight="false" outlineLevel="0" collapsed="false">
      <c r="B782" s="53"/>
      <c r="I782" s="53"/>
      <c r="U782" s="31" t="n">
        <f aca="false">IF($B782&lt;&gt;'設定（最初に1回）'!$C$4,N(U781),IF(COUNTIFS(①今日の在庫を貼る!$B$6:$B$10005,$B782,①今日の在庫を貼る!$I$6:$I$10005,$I782)&gt;0,N(U781),N(U781)+1))</f>
        <v>2</v>
      </c>
    </row>
    <row r="783" customFormat="false" ht="15" hidden="false" customHeight="false" outlineLevel="0" collapsed="false">
      <c r="B783" s="53"/>
      <c r="I783" s="53"/>
      <c r="U783" s="31" t="n">
        <f aca="false">IF($B783&lt;&gt;'設定（最初に1回）'!$C$4,N(U782),IF(COUNTIFS(①今日の在庫を貼る!$B$6:$B$10005,$B783,①今日の在庫を貼る!$I$6:$I$10005,$I783)&gt;0,N(U782),N(U782)+1))</f>
        <v>2</v>
      </c>
    </row>
    <row r="784" customFormat="false" ht="15" hidden="false" customHeight="false" outlineLevel="0" collapsed="false">
      <c r="B784" s="53"/>
      <c r="I784" s="53"/>
      <c r="U784" s="31" t="n">
        <f aca="false">IF($B784&lt;&gt;'設定（最初に1回）'!$C$4,N(U783),IF(COUNTIFS(①今日の在庫を貼る!$B$6:$B$10005,$B784,①今日の在庫を貼る!$I$6:$I$10005,$I784)&gt;0,N(U783),N(U783)+1))</f>
        <v>2</v>
      </c>
    </row>
    <row r="785" customFormat="false" ht="15" hidden="false" customHeight="false" outlineLevel="0" collapsed="false">
      <c r="B785" s="53"/>
      <c r="I785" s="53"/>
      <c r="U785" s="31" t="n">
        <f aca="false">IF($B785&lt;&gt;'設定（最初に1回）'!$C$4,N(U784),IF(COUNTIFS(①今日の在庫を貼る!$B$6:$B$10005,$B785,①今日の在庫を貼る!$I$6:$I$10005,$I785)&gt;0,N(U784),N(U784)+1))</f>
        <v>2</v>
      </c>
    </row>
    <row r="786" customFormat="false" ht="15" hidden="false" customHeight="false" outlineLevel="0" collapsed="false">
      <c r="B786" s="53"/>
      <c r="I786" s="53"/>
      <c r="U786" s="31" t="n">
        <f aca="false">IF($B786&lt;&gt;'設定（最初に1回）'!$C$4,N(U785),IF(COUNTIFS(①今日の在庫を貼る!$B$6:$B$10005,$B786,①今日の在庫を貼る!$I$6:$I$10005,$I786)&gt;0,N(U785),N(U785)+1))</f>
        <v>2</v>
      </c>
    </row>
    <row r="787" customFormat="false" ht="15" hidden="false" customHeight="false" outlineLevel="0" collapsed="false">
      <c r="B787" s="53"/>
      <c r="I787" s="53"/>
      <c r="U787" s="31" t="n">
        <f aca="false">IF($B787&lt;&gt;'設定（最初に1回）'!$C$4,N(U786),IF(COUNTIFS(①今日の在庫を貼る!$B$6:$B$10005,$B787,①今日の在庫を貼る!$I$6:$I$10005,$I787)&gt;0,N(U786),N(U786)+1))</f>
        <v>2</v>
      </c>
    </row>
    <row r="788" customFormat="false" ht="15" hidden="false" customHeight="false" outlineLevel="0" collapsed="false">
      <c r="B788" s="53"/>
      <c r="I788" s="53"/>
      <c r="U788" s="31" t="n">
        <f aca="false">IF($B788&lt;&gt;'設定（最初に1回）'!$C$4,N(U787),IF(COUNTIFS(①今日の在庫を貼る!$B$6:$B$10005,$B788,①今日の在庫を貼る!$I$6:$I$10005,$I788)&gt;0,N(U787),N(U787)+1))</f>
        <v>2</v>
      </c>
    </row>
    <row r="789" customFormat="false" ht="15" hidden="false" customHeight="false" outlineLevel="0" collapsed="false">
      <c r="B789" s="53"/>
      <c r="I789" s="53"/>
      <c r="U789" s="31" t="n">
        <f aca="false">IF($B789&lt;&gt;'設定（最初に1回）'!$C$4,N(U788),IF(COUNTIFS(①今日の在庫を貼る!$B$6:$B$10005,$B789,①今日の在庫を貼る!$I$6:$I$10005,$I789)&gt;0,N(U788),N(U788)+1))</f>
        <v>2</v>
      </c>
    </row>
    <row r="790" customFormat="false" ht="15" hidden="false" customHeight="false" outlineLevel="0" collapsed="false">
      <c r="B790" s="53"/>
      <c r="I790" s="53"/>
      <c r="U790" s="31" t="n">
        <f aca="false">IF($B790&lt;&gt;'設定（最初に1回）'!$C$4,N(U789),IF(COUNTIFS(①今日の在庫を貼る!$B$6:$B$10005,$B790,①今日の在庫を貼る!$I$6:$I$10005,$I790)&gt;0,N(U789),N(U789)+1))</f>
        <v>2</v>
      </c>
    </row>
    <row r="791" customFormat="false" ht="15" hidden="false" customHeight="false" outlineLevel="0" collapsed="false">
      <c r="B791" s="53"/>
      <c r="I791" s="53"/>
      <c r="U791" s="31" t="n">
        <f aca="false">IF($B791&lt;&gt;'設定（最初に1回）'!$C$4,N(U790),IF(COUNTIFS(①今日の在庫を貼る!$B$6:$B$10005,$B791,①今日の在庫を貼る!$I$6:$I$10005,$I791)&gt;0,N(U790),N(U790)+1))</f>
        <v>2</v>
      </c>
    </row>
    <row r="792" customFormat="false" ht="15" hidden="false" customHeight="false" outlineLevel="0" collapsed="false">
      <c r="B792" s="53"/>
      <c r="I792" s="53"/>
      <c r="U792" s="31" t="n">
        <f aca="false">IF($B792&lt;&gt;'設定（最初に1回）'!$C$4,N(U791),IF(COUNTIFS(①今日の在庫を貼る!$B$6:$B$10005,$B792,①今日の在庫を貼る!$I$6:$I$10005,$I792)&gt;0,N(U791),N(U791)+1))</f>
        <v>2</v>
      </c>
    </row>
    <row r="793" customFormat="false" ht="15" hidden="false" customHeight="false" outlineLevel="0" collapsed="false">
      <c r="B793" s="53"/>
      <c r="I793" s="53"/>
      <c r="U793" s="31" t="n">
        <f aca="false">IF($B793&lt;&gt;'設定（最初に1回）'!$C$4,N(U792),IF(COUNTIFS(①今日の在庫を貼る!$B$6:$B$10005,$B793,①今日の在庫を貼る!$I$6:$I$10005,$I793)&gt;0,N(U792),N(U792)+1))</f>
        <v>2</v>
      </c>
    </row>
    <row r="794" customFormat="false" ht="15" hidden="false" customHeight="false" outlineLevel="0" collapsed="false">
      <c r="B794" s="53"/>
      <c r="I794" s="53"/>
      <c r="U794" s="31" t="n">
        <f aca="false">IF($B794&lt;&gt;'設定（最初に1回）'!$C$4,N(U793),IF(COUNTIFS(①今日の在庫を貼る!$B$6:$B$10005,$B794,①今日の在庫を貼る!$I$6:$I$10005,$I794)&gt;0,N(U793),N(U793)+1))</f>
        <v>2</v>
      </c>
    </row>
    <row r="795" customFormat="false" ht="15" hidden="false" customHeight="false" outlineLevel="0" collapsed="false">
      <c r="B795" s="53"/>
      <c r="I795" s="53"/>
      <c r="U795" s="31" t="n">
        <f aca="false">IF($B795&lt;&gt;'設定（最初に1回）'!$C$4,N(U794),IF(COUNTIFS(①今日の在庫を貼る!$B$6:$B$10005,$B795,①今日の在庫を貼る!$I$6:$I$10005,$I795)&gt;0,N(U794),N(U794)+1))</f>
        <v>2</v>
      </c>
    </row>
    <row r="796" customFormat="false" ht="15" hidden="false" customHeight="false" outlineLevel="0" collapsed="false">
      <c r="B796" s="53"/>
      <c r="I796" s="53"/>
      <c r="U796" s="31" t="n">
        <f aca="false">IF($B796&lt;&gt;'設定（最初に1回）'!$C$4,N(U795),IF(COUNTIFS(①今日の在庫を貼る!$B$6:$B$10005,$B796,①今日の在庫を貼る!$I$6:$I$10005,$I796)&gt;0,N(U795),N(U795)+1))</f>
        <v>2</v>
      </c>
    </row>
    <row r="797" customFormat="false" ht="15" hidden="false" customHeight="false" outlineLevel="0" collapsed="false">
      <c r="B797" s="53"/>
      <c r="I797" s="53"/>
      <c r="U797" s="31" t="n">
        <f aca="false">IF($B797&lt;&gt;'設定（最初に1回）'!$C$4,N(U796),IF(COUNTIFS(①今日の在庫を貼る!$B$6:$B$10005,$B797,①今日の在庫を貼る!$I$6:$I$10005,$I797)&gt;0,N(U796),N(U796)+1))</f>
        <v>2</v>
      </c>
    </row>
    <row r="798" customFormat="false" ht="15" hidden="false" customHeight="false" outlineLevel="0" collapsed="false">
      <c r="B798" s="53"/>
      <c r="I798" s="53"/>
      <c r="U798" s="31" t="n">
        <f aca="false">IF($B798&lt;&gt;'設定（最初に1回）'!$C$4,N(U797),IF(COUNTIFS(①今日の在庫を貼る!$B$6:$B$10005,$B798,①今日の在庫を貼る!$I$6:$I$10005,$I798)&gt;0,N(U797),N(U797)+1))</f>
        <v>2</v>
      </c>
    </row>
    <row r="799" customFormat="false" ht="15" hidden="false" customHeight="false" outlineLevel="0" collapsed="false">
      <c r="B799" s="53"/>
      <c r="I799" s="53"/>
      <c r="U799" s="31" t="n">
        <f aca="false">IF($B799&lt;&gt;'設定（最初に1回）'!$C$4,N(U798),IF(COUNTIFS(①今日の在庫を貼る!$B$6:$B$10005,$B799,①今日の在庫を貼る!$I$6:$I$10005,$I799)&gt;0,N(U798),N(U798)+1))</f>
        <v>2</v>
      </c>
    </row>
    <row r="800" customFormat="false" ht="15" hidden="false" customHeight="false" outlineLevel="0" collapsed="false">
      <c r="B800" s="53"/>
      <c r="I800" s="53"/>
      <c r="U800" s="31" t="n">
        <f aca="false">IF($B800&lt;&gt;'設定（最初に1回）'!$C$4,N(U799),IF(COUNTIFS(①今日の在庫を貼る!$B$6:$B$10005,$B800,①今日の在庫を貼る!$I$6:$I$10005,$I800)&gt;0,N(U799),N(U799)+1))</f>
        <v>2</v>
      </c>
    </row>
    <row r="801" customFormat="false" ht="15" hidden="false" customHeight="false" outlineLevel="0" collapsed="false">
      <c r="B801" s="53"/>
      <c r="I801" s="53"/>
      <c r="U801" s="31" t="n">
        <f aca="false">IF($B801&lt;&gt;'設定（最初に1回）'!$C$4,N(U800),IF(COUNTIFS(①今日の在庫を貼る!$B$6:$B$10005,$B801,①今日の在庫を貼る!$I$6:$I$10005,$I801)&gt;0,N(U800),N(U800)+1))</f>
        <v>2</v>
      </c>
    </row>
    <row r="802" customFormat="false" ht="15" hidden="false" customHeight="false" outlineLevel="0" collapsed="false">
      <c r="B802" s="53"/>
      <c r="I802" s="53"/>
      <c r="U802" s="31" t="n">
        <f aca="false">IF($B802&lt;&gt;'設定（最初に1回）'!$C$4,N(U801),IF(COUNTIFS(①今日の在庫を貼る!$B$6:$B$10005,$B802,①今日の在庫を貼る!$I$6:$I$10005,$I802)&gt;0,N(U801),N(U801)+1))</f>
        <v>2</v>
      </c>
    </row>
    <row r="803" customFormat="false" ht="15" hidden="false" customHeight="false" outlineLevel="0" collapsed="false">
      <c r="B803" s="53"/>
      <c r="I803" s="53"/>
      <c r="U803" s="31" t="n">
        <f aca="false">IF($B803&lt;&gt;'設定（最初に1回）'!$C$4,N(U802),IF(COUNTIFS(①今日の在庫を貼る!$B$6:$B$10005,$B803,①今日の在庫を貼る!$I$6:$I$10005,$I803)&gt;0,N(U802),N(U802)+1))</f>
        <v>2</v>
      </c>
    </row>
    <row r="804" customFormat="false" ht="15" hidden="false" customHeight="false" outlineLevel="0" collapsed="false">
      <c r="B804" s="53"/>
      <c r="I804" s="53"/>
      <c r="U804" s="31" t="n">
        <f aca="false">IF($B804&lt;&gt;'設定（最初に1回）'!$C$4,N(U803),IF(COUNTIFS(①今日の在庫を貼る!$B$6:$B$10005,$B804,①今日の在庫を貼る!$I$6:$I$10005,$I804)&gt;0,N(U803),N(U803)+1))</f>
        <v>2</v>
      </c>
    </row>
    <row r="805" customFormat="false" ht="15" hidden="false" customHeight="false" outlineLevel="0" collapsed="false">
      <c r="B805" s="53"/>
      <c r="I805" s="53"/>
      <c r="U805" s="31" t="n">
        <f aca="false">IF($B805&lt;&gt;'設定（最初に1回）'!$C$4,N(U804),IF(COUNTIFS(①今日の在庫を貼る!$B$6:$B$10005,$B805,①今日の在庫を貼る!$I$6:$I$10005,$I805)&gt;0,N(U804),N(U804)+1))</f>
        <v>2</v>
      </c>
    </row>
    <row r="806" customFormat="false" ht="15" hidden="false" customHeight="false" outlineLevel="0" collapsed="false">
      <c r="B806" s="53"/>
      <c r="I806" s="53"/>
      <c r="U806" s="31" t="n">
        <f aca="false">IF($B806&lt;&gt;'設定（最初に1回）'!$C$4,N(U805),IF(COUNTIFS(①今日の在庫を貼る!$B$6:$B$10005,$B806,①今日の在庫を貼る!$I$6:$I$10005,$I806)&gt;0,N(U805),N(U805)+1))</f>
        <v>2</v>
      </c>
    </row>
    <row r="807" customFormat="false" ht="15" hidden="false" customHeight="false" outlineLevel="0" collapsed="false">
      <c r="B807" s="53"/>
      <c r="I807" s="53"/>
      <c r="U807" s="31" t="n">
        <f aca="false">IF($B807&lt;&gt;'設定（最初に1回）'!$C$4,N(U806),IF(COUNTIFS(①今日の在庫を貼る!$B$6:$B$10005,$B807,①今日の在庫を貼る!$I$6:$I$10005,$I807)&gt;0,N(U806),N(U806)+1))</f>
        <v>2</v>
      </c>
    </row>
    <row r="808" customFormat="false" ht="15" hidden="false" customHeight="false" outlineLevel="0" collapsed="false">
      <c r="B808" s="53"/>
      <c r="I808" s="53"/>
      <c r="U808" s="31" t="n">
        <f aca="false">IF($B808&lt;&gt;'設定（最初に1回）'!$C$4,N(U807),IF(COUNTIFS(①今日の在庫を貼る!$B$6:$B$10005,$B808,①今日の在庫を貼る!$I$6:$I$10005,$I808)&gt;0,N(U807),N(U807)+1))</f>
        <v>2</v>
      </c>
    </row>
    <row r="809" customFormat="false" ht="15" hidden="false" customHeight="false" outlineLevel="0" collapsed="false">
      <c r="B809" s="53"/>
      <c r="I809" s="53"/>
      <c r="U809" s="31" t="n">
        <f aca="false">IF($B809&lt;&gt;'設定（最初に1回）'!$C$4,N(U808),IF(COUNTIFS(①今日の在庫を貼る!$B$6:$B$10005,$B809,①今日の在庫を貼る!$I$6:$I$10005,$I809)&gt;0,N(U808),N(U808)+1))</f>
        <v>2</v>
      </c>
    </row>
    <row r="810" customFormat="false" ht="15" hidden="false" customHeight="false" outlineLevel="0" collapsed="false">
      <c r="B810" s="53"/>
      <c r="I810" s="53"/>
      <c r="U810" s="31" t="n">
        <f aca="false">IF($B810&lt;&gt;'設定（最初に1回）'!$C$4,N(U809),IF(COUNTIFS(①今日の在庫を貼る!$B$6:$B$10005,$B810,①今日の在庫を貼る!$I$6:$I$10005,$I810)&gt;0,N(U809),N(U809)+1))</f>
        <v>2</v>
      </c>
    </row>
    <row r="811" customFormat="false" ht="15" hidden="false" customHeight="false" outlineLevel="0" collapsed="false">
      <c r="B811" s="53"/>
      <c r="I811" s="53"/>
      <c r="U811" s="31" t="n">
        <f aca="false">IF($B811&lt;&gt;'設定（最初に1回）'!$C$4,N(U810),IF(COUNTIFS(①今日の在庫を貼る!$B$6:$B$10005,$B811,①今日の在庫を貼る!$I$6:$I$10005,$I811)&gt;0,N(U810),N(U810)+1))</f>
        <v>2</v>
      </c>
    </row>
    <row r="812" customFormat="false" ht="15" hidden="false" customHeight="false" outlineLevel="0" collapsed="false">
      <c r="B812" s="53"/>
      <c r="I812" s="53"/>
      <c r="U812" s="31" t="n">
        <f aca="false">IF($B812&lt;&gt;'設定（最初に1回）'!$C$4,N(U811),IF(COUNTIFS(①今日の在庫を貼る!$B$6:$B$10005,$B812,①今日の在庫を貼る!$I$6:$I$10005,$I812)&gt;0,N(U811),N(U811)+1))</f>
        <v>2</v>
      </c>
    </row>
    <row r="813" customFormat="false" ht="15" hidden="false" customHeight="false" outlineLevel="0" collapsed="false">
      <c r="B813" s="53"/>
      <c r="I813" s="53"/>
      <c r="U813" s="31" t="n">
        <f aca="false">IF($B813&lt;&gt;'設定（最初に1回）'!$C$4,N(U812),IF(COUNTIFS(①今日の在庫を貼る!$B$6:$B$10005,$B813,①今日の在庫を貼る!$I$6:$I$10005,$I813)&gt;0,N(U812),N(U812)+1))</f>
        <v>2</v>
      </c>
    </row>
    <row r="814" customFormat="false" ht="15" hidden="false" customHeight="false" outlineLevel="0" collapsed="false">
      <c r="B814" s="53"/>
      <c r="I814" s="53"/>
      <c r="U814" s="31" t="n">
        <f aca="false">IF($B814&lt;&gt;'設定（最初に1回）'!$C$4,N(U813),IF(COUNTIFS(①今日の在庫を貼る!$B$6:$B$10005,$B814,①今日の在庫を貼る!$I$6:$I$10005,$I814)&gt;0,N(U813),N(U813)+1))</f>
        <v>2</v>
      </c>
    </row>
    <row r="815" customFormat="false" ht="15" hidden="false" customHeight="false" outlineLevel="0" collapsed="false">
      <c r="B815" s="53"/>
      <c r="I815" s="53"/>
      <c r="U815" s="31" t="n">
        <f aca="false">IF($B815&lt;&gt;'設定（最初に1回）'!$C$4,N(U814),IF(COUNTIFS(①今日の在庫を貼る!$B$6:$B$10005,$B815,①今日の在庫を貼る!$I$6:$I$10005,$I815)&gt;0,N(U814),N(U814)+1))</f>
        <v>2</v>
      </c>
    </row>
    <row r="816" customFormat="false" ht="15" hidden="false" customHeight="false" outlineLevel="0" collapsed="false">
      <c r="B816" s="53"/>
      <c r="I816" s="53"/>
      <c r="U816" s="31" t="n">
        <f aca="false">IF($B816&lt;&gt;'設定（最初に1回）'!$C$4,N(U815),IF(COUNTIFS(①今日の在庫を貼る!$B$6:$B$10005,$B816,①今日の在庫を貼る!$I$6:$I$10005,$I816)&gt;0,N(U815),N(U815)+1))</f>
        <v>2</v>
      </c>
    </row>
    <row r="817" customFormat="false" ht="15" hidden="false" customHeight="false" outlineLevel="0" collapsed="false">
      <c r="B817" s="53"/>
      <c r="I817" s="53"/>
      <c r="U817" s="31" t="n">
        <f aca="false">IF($B817&lt;&gt;'設定（最初に1回）'!$C$4,N(U816),IF(COUNTIFS(①今日の在庫を貼る!$B$6:$B$10005,$B817,①今日の在庫を貼る!$I$6:$I$10005,$I817)&gt;0,N(U816),N(U816)+1))</f>
        <v>2</v>
      </c>
    </row>
    <row r="818" customFormat="false" ht="15" hidden="false" customHeight="false" outlineLevel="0" collapsed="false">
      <c r="B818" s="53"/>
      <c r="I818" s="53"/>
      <c r="U818" s="31" t="n">
        <f aca="false">IF($B818&lt;&gt;'設定（最初に1回）'!$C$4,N(U817),IF(COUNTIFS(①今日の在庫を貼る!$B$6:$B$10005,$B818,①今日の在庫を貼る!$I$6:$I$10005,$I818)&gt;0,N(U817),N(U817)+1))</f>
        <v>2</v>
      </c>
    </row>
    <row r="819" customFormat="false" ht="15" hidden="false" customHeight="false" outlineLevel="0" collapsed="false">
      <c r="B819" s="53"/>
      <c r="I819" s="53"/>
      <c r="U819" s="31" t="n">
        <f aca="false">IF($B819&lt;&gt;'設定（最初に1回）'!$C$4,N(U818),IF(COUNTIFS(①今日の在庫を貼る!$B$6:$B$10005,$B819,①今日の在庫を貼る!$I$6:$I$10005,$I819)&gt;0,N(U818),N(U818)+1))</f>
        <v>2</v>
      </c>
    </row>
    <row r="820" customFormat="false" ht="15" hidden="false" customHeight="false" outlineLevel="0" collapsed="false">
      <c r="B820" s="53"/>
      <c r="I820" s="53"/>
      <c r="U820" s="31" t="n">
        <f aca="false">IF($B820&lt;&gt;'設定（最初に1回）'!$C$4,N(U819),IF(COUNTIFS(①今日の在庫を貼る!$B$6:$B$10005,$B820,①今日の在庫を貼る!$I$6:$I$10005,$I820)&gt;0,N(U819),N(U819)+1))</f>
        <v>2</v>
      </c>
    </row>
    <row r="821" customFormat="false" ht="15" hidden="false" customHeight="false" outlineLevel="0" collapsed="false">
      <c r="B821" s="53"/>
      <c r="I821" s="53"/>
      <c r="U821" s="31" t="n">
        <f aca="false">IF($B821&lt;&gt;'設定（最初に1回）'!$C$4,N(U820),IF(COUNTIFS(①今日の在庫を貼る!$B$6:$B$10005,$B821,①今日の在庫を貼る!$I$6:$I$10005,$I821)&gt;0,N(U820),N(U820)+1))</f>
        <v>2</v>
      </c>
    </row>
    <row r="822" customFormat="false" ht="15" hidden="false" customHeight="false" outlineLevel="0" collapsed="false">
      <c r="B822" s="53"/>
      <c r="I822" s="53"/>
      <c r="U822" s="31" t="n">
        <f aca="false">IF($B822&lt;&gt;'設定（最初に1回）'!$C$4,N(U821),IF(COUNTIFS(①今日の在庫を貼る!$B$6:$B$10005,$B822,①今日の在庫を貼る!$I$6:$I$10005,$I822)&gt;0,N(U821),N(U821)+1))</f>
        <v>2</v>
      </c>
    </row>
    <row r="823" customFormat="false" ht="15" hidden="false" customHeight="false" outlineLevel="0" collapsed="false">
      <c r="B823" s="53"/>
      <c r="I823" s="53"/>
      <c r="U823" s="31" t="n">
        <f aca="false">IF($B823&lt;&gt;'設定（最初に1回）'!$C$4,N(U822),IF(COUNTIFS(①今日の在庫を貼る!$B$6:$B$10005,$B823,①今日の在庫を貼る!$I$6:$I$10005,$I823)&gt;0,N(U822),N(U822)+1))</f>
        <v>2</v>
      </c>
    </row>
    <row r="824" customFormat="false" ht="15" hidden="false" customHeight="false" outlineLevel="0" collapsed="false">
      <c r="B824" s="53"/>
      <c r="I824" s="53"/>
      <c r="U824" s="31" t="n">
        <f aca="false">IF($B824&lt;&gt;'設定（最初に1回）'!$C$4,N(U823),IF(COUNTIFS(①今日の在庫を貼る!$B$6:$B$10005,$B824,①今日の在庫を貼る!$I$6:$I$10005,$I824)&gt;0,N(U823),N(U823)+1))</f>
        <v>2</v>
      </c>
    </row>
    <row r="825" customFormat="false" ht="15" hidden="false" customHeight="false" outlineLevel="0" collapsed="false">
      <c r="B825" s="53"/>
      <c r="I825" s="53"/>
      <c r="U825" s="31" t="n">
        <f aca="false">IF($B825&lt;&gt;'設定（最初に1回）'!$C$4,N(U824),IF(COUNTIFS(①今日の在庫を貼る!$B$6:$B$10005,$B825,①今日の在庫を貼る!$I$6:$I$10005,$I825)&gt;0,N(U824),N(U824)+1))</f>
        <v>2</v>
      </c>
    </row>
    <row r="826" customFormat="false" ht="15" hidden="false" customHeight="false" outlineLevel="0" collapsed="false">
      <c r="B826" s="53"/>
      <c r="I826" s="53"/>
      <c r="U826" s="31" t="n">
        <f aca="false">IF($B826&lt;&gt;'設定（最初に1回）'!$C$4,N(U825),IF(COUNTIFS(①今日の在庫を貼る!$B$6:$B$10005,$B826,①今日の在庫を貼る!$I$6:$I$10005,$I826)&gt;0,N(U825),N(U825)+1))</f>
        <v>2</v>
      </c>
    </row>
    <row r="827" customFormat="false" ht="15" hidden="false" customHeight="false" outlineLevel="0" collapsed="false">
      <c r="B827" s="53"/>
      <c r="I827" s="53"/>
      <c r="U827" s="31" t="n">
        <f aca="false">IF($B827&lt;&gt;'設定（最初に1回）'!$C$4,N(U826),IF(COUNTIFS(①今日の在庫を貼る!$B$6:$B$10005,$B827,①今日の在庫を貼る!$I$6:$I$10005,$I827)&gt;0,N(U826),N(U826)+1))</f>
        <v>2</v>
      </c>
    </row>
    <row r="828" customFormat="false" ht="15" hidden="false" customHeight="false" outlineLevel="0" collapsed="false">
      <c r="B828" s="53"/>
      <c r="I828" s="53"/>
      <c r="U828" s="31" t="n">
        <f aca="false">IF($B828&lt;&gt;'設定（最初に1回）'!$C$4,N(U827),IF(COUNTIFS(①今日の在庫を貼る!$B$6:$B$10005,$B828,①今日の在庫を貼る!$I$6:$I$10005,$I828)&gt;0,N(U827),N(U827)+1))</f>
        <v>2</v>
      </c>
    </row>
    <row r="829" customFormat="false" ht="15" hidden="false" customHeight="false" outlineLevel="0" collapsed="false">
      <c r="B829" s="53"/>
      <c r="I829" s="53"/>
      <c r="U829" s="31" t="n">
        <f aca="false">IF($B829&lt;&gt;'設定（最初に1回）'!$C$4,N(U828),IF(COUNTIFS(①今日の在庫を貼る!$B$6:$B$10005,$B829,①今日の在庫を貼る!$I$6:$I$10005,$I829)&gt;0,N(U828),N(U828)+1))</f>
        <v>2</v>
      </c>
    </row>
    <row r="830" customFormat="false" ht="15" hidden="false" customHeight="false" outlineLevel="0" collapsed="false">
      <c r="B830" s="53"/>
      <c r="I830" s="53"/>
      <c r="U830" s="31" t="n">
        <f aca="false">IF($B830&lt;&gt;'設定（最初に1回）'!$C$4,N(U829),IF(COUNTIFS(①今日の在庫を貼る!$B$6:$B$10005,$B830,①今日の在庫を貼る!$I$6:$I$10005,$I830)&gt;0,N(U829),N(U829)+1))</f>
        <v>2</v>
      </c>
    </row>
    <row r="831" customFormat="false" ht="15" hidden="false" customHeight="false" outlineLevel="0" collapsed="false">
      <c r="B831" s="53"/>
      <c r="I831" s="53"/>
      <c r="U831" s="31" t="n">
        <f aca="false">IF($B831&lt;&gt;'設定（最初に1回）'!$C$4,N(U830),IF(COUNTIFS(①今日の在庫を貼る!$B$6:$B$10005,$B831,①今日の在庫を貼る!$I$6:$I$10005,$I831)&gt;0,N(U830),N(U830)+1))</f>
        <v>2</v>
      </c>
    </row>
    <row r="832" customFormat="false" ht="15" hidden="false" customHeight="false" outlineLevel="0" collapsed="false">
      <c r="B832" s="53"/>
      <c r="I832" s="53"/>
      <c r="U832" s="31" t="n">
        <f aca="false">IF($B832&lt;&gt;'設定（最初に1回）'!$C$4,N(U831),IF(COUNTIFS(①今日の在庫を貼る!$B$6:$B$10005,$B832,①今日の在庫を貼る!$I$6:$I$10005,$I832)&gt;0,N(U831),N(U831)+1))</f>
        <v>2</v>
      </c>
    </row>
    <row r="833" customFormat="false" ht="15" hidden="false" customHeight="false" outlineLevel="0" collapsed="false">
      <c r="B833" s="53"/>
      <c r="I833" s="53"/>
      <c r="U833" s="31" t="n">
        <f aca="false">IF($B833&lt;&gt;'設定（最初に1回）'!$C$4,N(U832),IF(COUNTIFS(①今日の在庫を貼る!$B$6:$B$10005,$B833,①今日の在庫を貼る!$I$6:$I$10005,$I833)&gt;0,N(U832),N(U832)+1))</f>
        <v>2</v>
      </c>
    </row>
    <row r="834" customFormat="false" ht="15" hidden="false" customHeight="false" outlineLevel="0" collapsed="false">
      <c r="B834" s="53"/>
      <c r="I834" s="53"/>
      <c r="U834" s="31" t="n">
        <f aca="false">IF($B834&lt;&gt;'設定（最初に1回）'!$C$4,N(U833),IF(COUNTIFS(①今日の在庫を貼る!$B$6:$B$10005,$B834,①今日の在庫を貼る!$I$6:$I$10005,$I834)&gt;0,N(U833),N(U833)+1))</f>
        <v>2</v>
      </c>
    </row>
    <row r="835" customFormat="false" ht="15" hidden="false" customHeight="false" outlineLevel="0" collapsed="false">
      <c r="B835" s="53"/>
      <c r="I835" s="53"/>
      <c r="U835" s="31" t="n">
        <f aca="false">IF($B835&lt;&gt;'設定（最初に1回）'!$C$4,N(U834),IF(COUNTIFS(①今日の在庫を貼る!$B$6:$B$10005,$B835,①今日の在庫を貼る!$I$6:$I$10005,$I835)&gt;0,N(U834),N(U834)+1))</f>
        <v>2</v>
      </c>
    </row>
    <row r="836" customFormat="false" ht="15" hidden="false" customHeight="false" outlineLevel="0" collapsed="false">
      <c r="B836" s="53"/>
      <c r="I836" s="53"/>
      <c r="U836" s="31" t="n">
        <f aca="false">IF($B836&lt;&gt;'設定（最初に1回）'!$C$4,N(U835),IF(COUNTIFS(①今日の在庫を貼る!$B$6:$B$10005,$B836,①今日の在庫を貼る!$I$6:$I$10005,$I836)&gt;0,N(U835),N(U835)+1))</f>
        <v>2</v>
      </c>
    </row>
    <row r="837" customFormat="false" ht="15" hidden="false" customHeight="false" outlineLevel="0" collapsed="false">
      <c r="B837" s="53"/>
      <c r="I837" s="53"/>
      <c r="U837" s="31" t="n">
        <f aca="false">IF($B837&lt;&gt;'設定（最初に1回）'!$C$4,N(U836),IF(COUNTIFS(①今日の在庫を貼る!$B$6:$B$10005,$B837,①今日の在庫を貼る!$I$6:$I$10005,$I837)&gt;0,N(U836),N(U836)+1))</f>
        <v>2</v>
      </c>
    </row>
    <row r="838" customFormat="false" ht="15" hidden="false" customHeight="false" outlineLevel="0" collapsed="false">
      <c r="B838" s="53"/>
      <c r="I838" s="53"/>
      <c r="U838" s="31" t="n">
        <f aca="false">IF($B838&lt;&gt;'設定（最初に1回）'!$C$4,N(U837),IF(COUNTIFS(①今日の在庫を貼る!$B$6:$B$10005,$B838,①今日の在庫を貼る!$I$6:$I$10005,$I838)&gt;0,N(U837),N(U837)+1))</f>
        <v>2</v>
      </c>
    </row>
    <row r="839" customFormat="false" ht="15" hidden="false" customHeight="false" outlineLevel="0" collapsed="false">
      <c r="B839" s="53"/>
      <c r="I839" s="53"/>
      <c r="U839" s="31" t="n">
        <f aca="false">IF($B839&lt;&gt;'設定（最初に1回）'!$C$4,N(U838),IF(COUNTIFS(①今日の在庫を貼る!$B$6:$B$10005,$B839,①今日の在庫を貼る!$I$6:$I$10005,$I839)&gt;0,N(U838),N(U838)+1))</f>
        <v>2</v>
      </c>
    </row>
    <row r="840" customFormat="false" ht="15" hidden="false" customHeight="false" outlineLevel="0" collapsed="false">
      <c r="B840" s="53"/>
      <c r="I840" s="53"/>
      <c r="U840" s="31" t="n">
        <f aca="false">IF($B840&lt;&gt;'設定（最初に1回）'!$C$4,N(U839),IF(COUNTIFS(①今日の在庫を貼る!$B$6:$B$10005,$B840,①今日の在庫を貼る!$I$6:$I$10005,$I840)&gt;0,N(U839),N(U839)+1))</f>
        <v>2</v>
      </c>
    </row>
    <row r="841" customFormat="false" ht="15" hidden="false" customHeight="false" outlineLevel="0" collapsed="false">
      <c r="B841" s="53"/>
      <c r="I841" s="53"/>
      <c r="U841" s="31" t="n">
        <f aca="false">IF($B841&lt;&gt;'設定（最初に1回）'!$C$4,N(U840),IF(COUNTIFS(①今日の在庫を貼る!$B$6:$B$10005,$B841,①今日の在庫を貼る!$I$6:$I$10005,$I841)&gt;0,N(U840),N(U840)+1))</f>
        <v>2</v>
      </c>
    </row>
    <row r="842" customFormat="false" ht="15" hidden="false" customHeight="false" outlineLevel="0" collapsed="false">
      <c r="B842" s="53"/>
      <c r="I842" s="53"/>
      <c r="U842" s="31" t="n">
        <f aca="false">IF($B842&lt;&gt;'設定（最初に1回）'!$C$4,N(U841),IF(COUNTIFS(①今日の在庫を貼る!$B$6:$B$10005,$B842,①今日の在庫を貼る!$I$6:$I$10005,$I842)&gt;0,N(U841),N(U841)+1))</f>
        <v>2</v>
      </c>
    </row>
    <row r="843" customFormat="false" ht="15" hidden="false" customHeight="false" outlineLevel="0" collapsed="false">
      <c r="B843" s="53"/>
      <c r="I843" s="53"/>
      <c r="U843" s="31" t="n">
        <f aca="false">IF($B843&lt;&gt;'設定（最初に1回）'!$C$4,N(U842),IF(COUNTIFS(①今日の在庫を貼る!$B$6:$B$10005,$B843,①今日の在庫を貼る!$I$6:$I$10005,$I843)&gt;0,N(U842),N(U842)+1))</f>
        <v>2</v>
      </c>
    </row>
    <row r="844" customFormat="false" ht="15" hidden="false" customHeight="false" outlineLevel="0" collapsed="false">
      <c r="B844" s="53"/>
      <c r="I844" s="53"/>
      <c r="U844" s="31" t="n">
        <f aca="false">IF($B844&lt;&gt;'設定（最初に1回）'!$C$4,N(U843),IF(COUNTIFS(①今日の在庫を貼る!$B$6:$B$10005,$B844,①今日の在庫を貼る!$I$6:$I$10005,$I844)&gt;0,N(U843),N(U843)+1))</f>
        <v>2</v>
      </c>
    </row>
    <row r="845" customFormat="false" ht="15" hidden="false" customHeight="false" outlineLevel="0" collapsed="false">
      <c r="B845" s="53"/>
      <c r="I845" s="53"/>
      <c r="U845" s="31" t="n">
        <f aca="false">IF($B845&lt;&gt;'設定（最初に1回）'!$C$4,N(U844),IF(COUNTIFS(①今日の在庫を貼る!$B$6:$B$10005,$B845,①今日の在庫を貼る!$I$6:$I$10005,$I845)&gt;0,N(U844),N(U844)+1))</f>
        <v>2</v>
      </c>
    </row>
    <row r="846" customFormat="false" ht="15" hidden="false" customHeight="false" outlineLevel="0" collapsed="false">
      <c r="B846" s="53"/>
      <c r="I846" s="53"/>
      <c r="U846" s="31" t="n">
        <f aca="false">IF($B846&lt;&gt;'設定（最初に1回）'!$C$4,N(U845),IF(COUNTIFS(①今日の在庫を貼る!$B$6:$B$10005,$B846,①今日の在庫を貼る!$I$6:$I$10005,$I846)&gt;0,N(U845),N(U845)+1))</f>
        <v>2</v>
      </c>
    </row>
    <row r="847" customFormat="false" ht="15" hidden="false" customHeight="false" outlineLevel="0" collapsed="false">
      <c r="B847" s="53"/>
      <c r="I847" s="53"/>
      <c r="U847" s="31" t="n">
        <f aca="false">IF($B847&lt;&gt;'設定（最初に1回）'!$C$4,N(U846),IF(COUNTIFS(①今日の在庫を貼る!$B$6:$B$10005,$B847,①今日の在庫を貼る!$I$6:$I$10005,$I847)&gt;0,N(U846),N(U846)+1))</f>
        <v>2</v>
      </c>
    </row>
    <row r="848" customFormat="false" ht="15" hidden="false" customHeight="false" outlineLevel="0" collapsed="false">
      <c r="B848" s="53"/>
      <c r="I848" s="53"/>
      <c r="U848" s="31" t="n">
        <f aca="false">IF($B848&lt;&gt;'設定（最初に1回）'!$C$4,N(U847),IF(COUNTIFS(①今日の在庫を貼る!$B$6:$B$10005,$B848,①今日の在庫を貼る!$I$6:$I$10005,$I848)&gt;0,N(U847),N(U847)+1))</f>
        <v>2</v>
      </c>
    </row>
    <row r="849" customFormat="false" ht="15" hidden="false" customHeight="false" outlineLevel="0" collapsed="false">
      <c r="B849" s="53"/>
      <c r="I849" s="53"/>
      <c r="U849" s="31" t="n">
        <f aca="false">IF($B849&lt;&gt;'設定（最初に1回）'!$C$4,N(U848),IF(COUNTIFS(①今日の在庫を貼る!$B$6:$B$10005,$B849,①今日の在庫を貼る!$I$6:$I$10005,$I849)&gt;0,N(U848),N(U848)+1))</f>
        <v>2</v>
      </c>
    </row>
    <row r="850" customFormat="false" ht="15" hidden="false" customHeight="false" outlineLevel="0" collapsed="false">
      <c r="B850" s="53"/>
      <c r="I850" s="53"/>
      <c r="U850" s="31" t="n">
        <f aca="false">IF($B850&lt;&gt;'設定（最初に1回）'!$C$4,N(U849),IF(COUNTIFS(①今日の在庫を貼る!$B$6:$B$10005,$B850,①今日の在庫を貼る!$I$6:$I$10005,$I850)&gt;0,N(U849),N(U849)+1))</f>
        <v>2</v>
      </c>
    </row>
    <row r="851" customFormat="false" ht="15" hidden="false" customHeight="false" outlineLevel="0" collapsed="false">
      <c r="B851" s="53"/>
      <c r="I851" s="53"/>
      <c r="U851" s="31" t="n">
        <f aca="false">IF($B851&lt;&gt;'設定（最初に1回）'!$C$4,N(U850),IF(COUNTIFS(①今日の在庫を貼る!$B$6:$B$10005,$B851,①今日の在庫を貼る!$I$6:$I$10005,$I851)&gt;0,N(U850),N(U850)+1))</f>
        <v>2</v>
      </c>
    </row>
    <row r="852" customFormat="false" ht="15" hidden="false" customHeight="false" outlineLevel="0" collapsed="false">
      <c r="B852" s="53"/>
      <c r="I852" s="53"/>
      <c r="U852" s="31" t="n">
        <f aca="false">IF($B852&lt;&gt;'設定（最初に1回）'!$C$4,N(U851),IF(COUNTIFS(①今日の在庫を貼る!$B$6:$B$10005,$B852,①今日の在庫を貼る!$I$6:$I$10005,$I852)&gt;0,N(U851),N(U851)+1))</f>
        <v>2</v>
      </c>
    </row>
    <row r="853" customFormat="false" ht="15" hidden="false" customHeight="false" outlineLevel="0" collapsed="false">
      <c r="B853" s="53"/>
      <c r="I853" s="53"/>
      <c r="U853" s="31" t="n">
        <f aca="false">IF($B853&lt;&gt;'設定（最初に1回）'!$C$4,N(U852),IF(COUNTIFS(①今日の在庫を貼る!$B$6:$B$10005,$B853,①今日の在庫を貼る!$I$6:$I$10005,$I853)&gt;0,N(U852),N(U852)+1))</f>
        <v>2</v>
      </c>
    </row>
    <row r="854" customFormat="false" ht="15" hidden="false" customHeight="false" outlineLevel="0" collapsed="false">
      <c r="B854" s="53"/>
      <c r="I854" s="53"/>
      <c r="U854" s="31" t="n">
        <f aca="false">IF($B854&lt;&gt;'設定（最初に1回）'!$C$4,N(U853),IF(COUNTIFS(①今日の在庫を貼る!$B$6:$B$10005,$B854,①今日の在庫を貼る!$I$6:$I$10005,$I854)&gt;0,N(U853),N(U853)+1))</f>
        <v>2</v>
      </c>
    </row>
    <row r="855" customFormat="false" ht="15" hidden="false" customHeight="false" outlineLevel="0" collapsed="false">
      <c r="B855" s="53"/>
      <c r="I855" s="53"/>
      <c r="U855" s="31" t="n">
        <f aca="false">IF($B855&lt;&gt;'設定（最初に1回）'!$C$4,N(U854),IF(COUNTIFS(①今日の在庫を貼る!$B$6:$B$10005,$B855,①今日の在庫を貼る!$I$6:$I$10005,$I855)&gt;0,N(U854),N(U854)+1))</f>
        <v>2</v>
      </c>
    </row>
    <row r="856" customFormat="false" ht="15" hidden="false" customHeight="false" outlineLevel="0" collapsed="false">
      <c r="B856" s="53"/>
      <c r="I856" s="53"/>
      <c r="U856" s="31" t="n">
        <f aca="false">IF($B856&lt;&gt;'設定（最初に1回）'!$C$4,N(U855),IF(COUNTIFS(①今日の在庫を貼る!$B$6:$B$10005,$B856,①今日の在庫を貼る!$I$6:$I$10005,$I856)&gt;0,N(U855),N(U855)+1))</f>
        <v>2</v>
      </c>
    </row>
    <row r="857" customFormat="false" ht="15" hidden="false" customHeight="false" outlineLevel="0" collapsed="false">
      <c r="B857" s="53"/>
      <c r="I857" s="53"/>
      <c r="U857" s="31" t="n">
        <f aca="false">IF($B857&lt;&gt;'設定（最初に1回）'!$C$4,N(U856),IF(COUNTIFS(①今日の在庫を貼る!$B$6:$B$10005,$B857,①今日の在庫を貼る!$I$6:$I$10005,$I857)&gt;0,N(U856),N(U856)+1))</f>
        <v>2</v>
      </c>
    </row>
    <row r="858" customFormat="false" ht="15" hidden="false" customHeight="false" outlineLevel="0" collapsed="false">
      <c r="B858" s="53"/>
      <c r="I858" s="53"/>
      <c r="U858" s="31" t="n">
        <f aca="false">IF($B858&lt;&gt;'設定（最初に1回）'!$C$4,N(U857),IF(COUNTIFS(①今日の在庫を貼る!$B$6:$B$10005,$B858,①今日の在庫を貼る!$I$6:$I$10005,$I858)&gt;0,N(U857),N(U857)+1))</f>
        <v>2</v>
      </c>
    </row>
    <row r="859" customFormat="false" ht="15" hidden="false" customHeight="false" outlineLevel="0" collapsed="false">
      <c r="B859" s="53"/>
      <c r="I859" s="53"/>
      <c r="U859" s="31" t="n">
        <f aca="false">IF($B859&lt;&gt;'設定（最初に1回）'!$C$4,N(U858),IF(COUNTIFS(①今日の在庫を貼る!$B$6:$B$10005,$B859,①今日の在庫を貼る!$I$6:$I$10005,$I859)&gt;0,N(U858),N(U858)+1))</f>
        <v>2</v>
      </c>
    </row>
    <row r="860" customFormat="false" ht="15" hidden="false" customHeight="false" outlineLevel="0" collapsed="false">
      <c r="B860" s="53"/>
      <c r="I860" s="53"/>
      <c r="U860" s="31" t="n">
        <f aca="false">IF($B860&lt;&gt;'設定（最初に1回）'!$C$4,N(U859),IF(COUNTIFS(①今日の在庫を貼る!$B$6:$B$10005,$B860,①今日の在庫を貼る!$I$6:$I$10005,$I860)&gt;0,N(U859),N(U859)+1))</f>
        <v>2</v>
      </c>
    </row>
    <row r="861" customFormat="false" ht="15" hidden="false" customHeight="false" outlineLevel="0" collapsed="false">
      <c r="B861" s="53"/>
      <c r="I861" s="53"/>
      <c r="U861" s="31" t="n">
        <f aca="false">IF($B861&lt;&gt;'設定（最初に1回）'!$C$4,N(U860),IF(COUNTIFS(①今日の在庫を貼る!$B$6:$B$10005,$B861,①今日の在庫を貼る!$I$6:$I$10005,$I861)&gt;0,N(U860),N(U860)+1))</f>
        <v>2</v>
      </c>
    </row>
    <row r="862" customFormat="false" ht="15" hidden="false" customHeight="false" outlineLevel="0" collapsed="false">
      <c r="B862" s="53"/>
      <c r="I862" s="53"/>
      <c r="U862" s="31" t="n">
        <f aca="false">IF($B862&lt;&gt;'設定（最初に1回）'!$C$4,N(U861),IF(COUNTIFS(①今日の在庫を貼る!$B$6:$B$10005,$B862,①今日の在庫を貼る!$I$6:$I$10005,$I862)&gt;0,N(U861),N(U861)+1))</f>
        <v>2</v>
      </c>
    </row>
    <row r="863" customFormat="false" ht="15" hidden="false" customHeight="false" outlineLevel="0" collapsed="false">
      <c r="B863" s="53"/>
      <c r="I863" s="53"/>
      <c r="U863" s="31" t="n">
        <f aca="false">IF($B863&lt;&gt;'設定（最初に1回）'!$C$4,N(U862),IF(COUNTIFS(①今日の在庫を貼る!$B$6:$B$10005,$B863,①今日の在庫を貼る!$I$6:$I$10005,$I863)&gt;0,N(U862),N(U862)+1))</f>
        <v>2</v>
      </c>
    </row>
    <row r="864" customFormat="false" ht="15" hidden="false" customHeight="false" outlineLevel="0" collapsed="false">
      <c r="B864" s="53"/>
      <c r="I864" s="53"/>
      <c r="U864" s="31" t="n">
        <f aca="false">IF($B864&lt;&gt;'設定（最初に1回）'!$C$4,N(U863),IF(COUNTIFS(①今日の在庫を貼る!$B$6:$B$10005,$B864,①今日の在庫を貼る!$I$6:$I$10005,$I864)&gt;0,N(U863),N(U863)+1))</f>
        <v>2</v>
      </c>
    </row>
    <row r="865" customFormat="false" ht="15" hidden="false" customHeight="false" outlineLevel="0" collapsed="false">
      <c r="B865" s="53"/>
      <c r="I865" s="53"/>
      <c r="U865" s="31" t="n">
        <f aca="false">IF($B865&lt;&gt;'設定（最初に1回）'!$C$4,N(U864),IF(COUNTIFS(①今日の在庫を貼る!$B$6:$B$10005,$B865,①今日の在庫を貼る!$I$6:$I$10005,$I865)&gt;0,N(U864),N(U864)+1))</f>
        <v>2</v>
      </c>
    </row>
    <row r="866" customFormat="false" ht="15" hidden="false" customHeight="false" outlineLevel="0" collapsed="false">
      <c r="B866" s="53"/>
      <c r="I866" s="53"/>
      <c r="U866" s="31" t="n">
        <f aca="false">IF($B866&lt;&gt;'設定（最初に1回）'!$C$4,N(U865),IF(COUNTIFS(①今日の在庫を貼る!$B$6:$B$10005,$B866,①今日の在庫を貼る!$I$6:$I$10005,$I866)&gt;0,N(U865),N(U865)+1))</f>
        <v>2</v>
      </c>
    </row>
    <row r="867" customFormat="false" ht="15" hidden="false" customHeight="false" outlineLevel="0" collapsed="false">
      <c r="B867" s="53"/>
      <c r="I867" s="53"/>
      <c r="U867" s="31" t="n">
        <f aca="false">IF($B867&lt;&gt;'設定（最初に1回）'!$C$4,N(U866),IF(COUNTIFS(①今日の在庫を貼る!$B$6:$B$10005,$B867,①今日の在庫を貼る!$I$6:$I$10005,$I867)&gt;0,N(U866),N(U866)+1))</f>
        <v>2</v>
      </c>
    </row>
    <row r="868" customFormat="false" ht="15" hidden="false" customHeight="false" outlineLevel="0" collapsed="false">
      <c r="B868" s="53"/>
      <c r="I868" s="53"/>
      <c r="U868" s="31" t="n">
        <f aca="false">IF($B868&lt;&gt;'設定（最初に1回）'!$C$4,N(U867),IF(COUNTIFS(①今日の在庫を貼る!$B$6:$B$10005,$B868,①今日の在庫を貼る!$I$6:$I$10005,$I868)&gt;0,N(U867),N(U867)+1))</f>
        <v>2</v>
      </c>
    </row>
    <row r="869" customFormat="false" ht="15" hidden="false" customHeight="false" outlineLevel="0" collapsed="false">
      <c r="B869" s="53"/>
      <c r="I869" s="53"/>
      <c r="U869" s="31" t="n">
        <f aca="false">IF($B869&lt;&gt;'設定（最初に1回）'!$C$4,N(U868),IF(COUNTIFS(①今日の在庫を貼る!$B$6:$B$10005,$B869,①今日の在庫を貼る!$I$6:$I$10005,$I869)&gt;0,N(U868),N(U868)+1))</f>
        <v>2</v>
      </c>
    </row>
    <row r="870" customFormat="false" ht="15" hidden="false" customHeight="false" outlineLevel="0" collapsed="false">
      <c r="B870" s="53"/>
      <c r="I870" s="53"/>
      <c r="U870" s="31" t="n">
        <f aca="false">IF($B870&lt;&gt;'設定（最初に1回）'!$C$4,N(U869),IF(COUNTIFS(①今日の在庫を貼る!$B$6:$B$10005,$B870,①今日の在庫を貼る!$I$6:$I$10005,$I870)&gt;0,N(U869),N(U869)+1))</f>
        <v>2</v>
      </c>
    </row>
    <row r="871" customFormat="false" ht="15" hidden="false" customHeight="false" outlineLevel="0" collapsed="false">
      <c r="B871" s="53"/>
      <c r="I871" s="53"/>
      <c r="U871" s="31" t="n">
        <f aca="false">IF($B871&lt;&gt;'設定（最初に1回）'!$C$4,N(U870),IF(COUNTIFS(①今日の在庫を貼る!$B$6:$B$10005,$B871,①今日の在庫を貼る!$I$6:$I$10005,$I871)&gt;0,N(U870),N(U870)+1))</f>
        <v>2</v>
      </c>
    </row>
    <row r="872" customFormat="false" ht="15" hidden="false" customHeight="false" outlineLevel="0" collapsed="false">
      <c r="B872" s="53"/>
      <c r="I872" s="53"/>
      <c r="U872" s="31" t="n">
        <f aca="false">IF($B872&lt;&gt;'設定（最初に1回）'!$C$4,N(U871),IF(COUNTIFS(①今日の在庫を貼る!$B$6:$B$10005,$B872,①今日の在庫を貼る!$I$6:$I$10005,$I872)&gt;0,N(U871),N(U871)+1))</f>
        <v>2</v>
      </c>
    </row>
    <row r="873" customFormat="false" ht="15" hidden="false" customHeight="false" outlineLevel="0" collapsed="false">
      <c r="B873" s="53"/>
      <c r="I873" s="53"/>
      <c r="U873" s="31" t="n">
        <f aca="false">IF($B873&lt;&gt;'設定（最初に1回）'!$C$4,N(U872),IF(COUNTIFS(①今日の在庫を貼る!$B$6:$B$10005,$B873,①今日の在庫を貼る!$I$6:$I$10005,$I873)&gt;0,N(U872),N(U872)+1))</f>
        <v>2</v>
      </c>
    </row>
    <row r="874" customFormat="false" ht="15" hidden="false" customHeight="false" outlineLevel="0" collapsed="false">
      <c r="B874" s="53"/>
      <c r="I874" s="53"/>
      <c r="U874" s="31" t="n">
        <f aca="false">IF($B874&lt;&gt;'設定（最初に1回）'!$C$4,N(U873),IF(COUNTIFS(①今日の在庫を貼る!$B$6:$B$10005,$B874,①今日の在庫を貼る!$I$6:$I$10005,$I874)&gt;0,N(U873),N(U873)+1))</f>
        <v>2</v>
      </c>
    </row>
    <row r="875" customFormat="false" ht="15" hidden="false" customHeight="false" outlineLevel="0" collapsed="false">
      <c r="B875" s="53"/>
      <c r="I875" s="53"/>
      <c r="U875" s="31" t="n">
        <f aca="false">IF($B875&lt;&gt;'設定（最初に1回）'!$C$4,N(U874),IF(COUNTIFS(①今日の在庫を貼る!$B$6:$B$10005,$B875,①今日の在庫を貼る!$I$6:$I$10005,$I875)&gt;0,N(U874),N(U874)+1))</f>
        <v>2</v>
      </c>
    </row>
    <row r="876" customFormat="false" ht="15" hidden="false" customHeight="false" outlineLevel="0" collapsed="false">
      <c r="B876" s="53"/>
      <c r="I876" s="53"/>
      <c r="U876" s="31" t="n">
        <f aca="false">IF($B876&lt;&gt;'設定（最初に1回）'!$C$4,N(U875),IF(COUNTIFS(①今日の在庫を貼る!$B$6:$B$10005,$B876,①今日の在庫を貼る!$I$6:$I$10005,$I876)&gt;0,N(U875),N(U875)+1))</f>
        <v>2</v>
      </c>
    </row>
    <row r="877" customFormat="false" ht="15" hidden="false" customHeight="false" outlineLevel="0" collapsed="false">
      <c r="B877" s="53"/>
      <c r="I877" s="53"/>
      <c r="U877" s="31" t="n">
        <f aca="false">IF($B877&lt;&gt;'設定（最初に1回）'!$C$4,N(U876),IF(COUNTIFS(①今日の在庫を貼る!$B$6:$B$10005,$B877,①今日の在庫を貼る!$I$6:$I$10005,$I877)&gt;0,N(U876),N(U876)+1))</f>
        <v>2</v>
      </c>
    </row>
    <row r="878" customFormat="false" ht="15" hidden="false" customHeight="false" outlineLevel="0" collapsed="false">
      <c r="B878" s="53"/>
      <c r="I878" s="53"/>
      <c r="U878" s="31" t="n">
        <f aca="false">IF($B878&lt;&gt;'設定（最初に1回）'!$C$4,N(U877),IF(COUNTIFS(①今日の在庫を貼る!$B$6:$B$10005,$B878,①今日の在庫を貼る!$I$6:$I$10005,$I878)&gt;0,N(U877),N(U877)+1))</f>
        <v>2</v>
      </c>
    </row>
    <row r="879" customFormat="false" ht="15" hidden="false" customHeight="false" outlineLevel="0" collapsed="false">
      <c r="B879" s="53"/>
      <c r="I879" s="53"/>
      <c r="U879" s="31" t="n">
        <f aca="false">IF($B879&lt;&gt;'設定（最初に1回）'!$C$4,N(U878),IF(COUNTIFS(①今日の在庫を貼る!$B$6:$B$10005,$B879,①今日の在庫を貼る!$I$6:$I$10005,$I879)&gt;0,N(U878),N(U878)+1))</f>
        <v>2</v>
      </c>
    </row>
    <row r="880" customFormat="false" ht="15" hidden="false" customHeight="false" outlineLevel="0" collapsed="false">
      <c r="B880" s="53"/>
      <c r="I880" s="53"/>
      <c r="U880" s="31" t="n">
        <f aca="false">IF($B880&lt;&gt;'設定（最初に1回）'!$C$4,N(U879),IF(COUNTIFS(①今日の在庫を貼る!$B$6:$B$10005,$B880,①今日の在庫を貼る!$I$6:$I$10005,$I880)&gt;0,N(U879),N(U879)+1))</f>
        <v>2</v>
      </c>
    </row>
    <row r="881" customFormat="false" ht="15" hidden="false" customHeight="false" outlineLevel="0" collapsed="false">
      <c r="B881" s="53"/>
      <c r="I881" s="53"/>
      <c r="U881" s="31" t="n">
        <f aca="false">IF($B881&lt;&gt;'設定（最初に1回）'!$C$4,N(U880),IF(COUNTIFS(①今日の在庫を貼る!$B$6:$B$10005,$B881,①今日の在庫を貼る!$I$6:$I$10005,$I881)&gt;0,N(U880),N(U880)+1))</f>
        <v>2</v>
      </c>
    </row>
    <row r="882" customFormat="false" ht="15" hidden="false" customHeight="false" outlineLevel="0" collapsed="false">
      <c r="B882" s="53"/>
      <c r="I882" s="53"/>
      <c r="U882" s="31" t="n">
        <f aca="false">IF($B882&lt;&gt;'設定（最初に1回）'!$C$4,N(U881),IF(COUNTIFS(①今日の在庫を貼る!$B$6:$B$10005,$B882,①今日の在庫を貼る!$I$6:$I$10005,$I882)&gt;0,N(U881),N(U881)+1))</f>
        <v>2</v>
      </c>
    </row>
    <row r="883" customFormat="false" ht="15" hidden="false" customHeight="false" outlineLevel="0" collapsed="false">
      <c r="B883" s="53"/>
      <c r="I883" s="53"/>
      <c r="U883" s="31" t="n">
        <f aca="false">IF($B883&lt;&gt;'設定（最初に1回）'!$C$4,N(U882),IF(COUNTIFS(①今日の在庫を貼る!$B$6:$B$10005,$B883,①今日の在庫を貼る!$I$6:$I$10005,$I883)&gt;0,N(U882),N(U882)+1))</f>
        <v>2</v>
      </c>
    </row>
    <row r="884" customFormat="false" ht="15" hidden="false" customHeight="false" outlineLevel="0" collapsed="false">
      <c r="B884" s="53"/>
      <c r="I884" s="53"/>
      <c r="U884" s="31" t="n">
        <f aca="false">IF($B884&lt;&gt;'設定（最初に1回）'!$C$4,N(U883),IF(COUNTIFS(①今日の在庫を貼る!$B$6:$B$10005,$B884,①今日の在庫を貼る!$I$6:$I$10005,$I884)&gt;0,N(U883),N(U883)+1))</f>
        <v>2</v>
      </c>
    </row>
    <row r="885" customFormat="false" ht="15" hidden="false" customHeight="false" outlineLevel="0" collapsed="false">
      <c r="B885" s="53"/>
      <c r="I885" s="53"/>
      <c r="U885" s="31" t="n">
        <f aca="false">IF($B885&lt;&gt;'設定（最初に1回）'!$C$4,N(U884),IF(COUNTIFS(①今日の在庫を貼る!$B$6:$B$10005,$B885,①今日の在庫を貼る!$I$6:$I$10005,$I885)&gt;0,N(U884),N(U884)+1))</f>
        <v>2</v>
      </c>
    </row>
    <row r="886" customFormat="false" ht="15" hidden="false" customHeight="false" outlineLevel="0" collapsed="false">
      <c r="B886" s="53"/>
      <c r="I886" s="53"/>
      <c r="U886" s="31" t="n">
        <f aca="false">IF($B886&lt;&gt;'設定（最初に1回）'!$C$4,N(U885),IF(COUNTIFS(①今日の在庫を貼る!$B$6:$B$10005,$B886,①今日の在庫を貼る!$I$6:$I$10005,$I886)&gt;0,N(U885),N(U885)+1))</f>
        <v>2</v>
      </c>
    </row>
    <row r="887" customFormat="false" ht="15" hidden="false" customHeight="false" outlineLevel="0" collapsed="false">
      <c r="B887" s="53"/>
      <c r="I887" s="53"/>
      <c r="U887" s="31" t="n">
        <f aca="false">IF($B887&lt;&gt;'設定（最初に1回）'!$C$4,N(U886),IF(COUNTIFS(①今日の在庫を貼る!$B$6:$B$10005,$B887,①今日の在庫を貼る!$I$6:$I$10005,$I887)&gt;0,N(U886),N(U886)+1))</f>
        <v>2</v>
      </c>
    </row>
    <row r="888" customFormat="false" ht="15" hidden="false" customHeight="false" outlineLevel="0" collapsed="false">
      <c r="B888" s="53"/>
      <c r="I888" s="53"/>
      <c r="U888" s="31" t="n">
        <f aca="false">IF($B888&lt;&gt;'設定（最初に1回）'!$C$4,N(U887),IF(COUNTIFS(①今日の在庫を貼る!$B$6:$B$10005,$B888,①今日の在庫を貼る!$I$6:$I$10005,$I888)&gt;0,N(U887),N(U887)+1))</f>
        <v>2</v>
      </c>
    </row>
    <row r="889" customFormat="false" ht="15" hidden="false" customHeight="false" outlineLevel="0" collapsed="false">
      <c r="B889" s="53"/>
      <c r="I889" s="53"/>
      <c r="U889" s="31" t="n">
        <f aca="false">IF($B889&lt;&gt;'設定（最初に1回）'!$C$4,N(U888),IF(COUNTIFS(①今日の在庫を貼る!$B$6:$B$10005,$B889,①今日の在庫を貼る!$I$6:$I$10005,$I889)&gt;0,N(U888),N(U888)+1))</f>
        <v>2</v>
      </c>
    </row>
    <row r="890" customFormat="false" ht="15" hidden="false" customHeight="false" outlineLevel="0" collapsed="false">
      <c r="B890" s="53"/>
      <c r="I890" s="53"/>
      <c r="U890" s="31" t="n">
        <f aca="false">IF($B890&lt;&gt;'設定（最初に1回）'!$C$4,N(U889),IF(COUNTIFS(①今日の在庫を貼る!$B$6:$B$10005,$B890,①今日の在庫を貼る!$I$6:$I$10005,$I890)&gt;0,N(U889),N(U889)+1))</f>
        <v>2</v>
      </c>
    </row>
    <row r="891" customFormat="false" ht="15" hidden="false" customHeight="false" outlineLevel="0" collapsed="false">
      <c r="B891" s="53"/>
      <c r="I891" s="53"/>
      <c r="U891" s="31" t="n">
        <f aca="false">IF($B891&lt;&gt;'設定（最初に1回）'!$C$4,N(U890),IF(COUNTIFS(①今日の在庫を貼る!$B$6:$B$10005,$B891,①今日の在庫を貼る!$I$6:$I$10005,$I891)&gt;0,N(U890),N(U890)+1))</f>
        <v>2</v>
      </c>
    </row>
    <row r="892" customFormat="false" ht="15" hidden="false" customHeight="false" outlineLevel="0" collapsed="false">
      <c r="B892" s="53"/>
      <c r="I892" s="53"/>
      <c r="U892" s="31" t="n">
        <f aca="false">IF($B892&lt;&gt;'設定（最初に1回）'!$C$4,N(U891),IF(COUNTIFS(①今日の在庫を貼る!$B$6:$B$10005,$B892,①今日の在庫を貼る!$I$6:$I$10005,$I892)&gt;0,N(U891),N(U891)+1))</f>
        <v>2</v>
      </c>
    </row>
    <row r="893" customFormat="false" ht="15" hidden="false" customHeight="false" outlineLevel="0" collapsed="false">
      <c r="B893" s="53"/>
      <c r="I893" s="53"/>
      <c r="U893" s="31" t="n">
        <f aca="false">IF($B893&lt;&gt;'設定（最初に1回）'!$C$4,N(U892),IF(COUNTIFS(①今日の在庫を貼る!$B$6:$B$10005,$B893,①今日の在庫を貼る!$I$6:$I$10005,$I893)&gt;0,N(U892),N(U892)+1))</f>
        <v>2</v>
      </c>
    </row>
    <row r="894" customFormat="false" ht="15" hidden="false" customHeight="false" outlineLevel="0" collapsed="false">
      <c r="B894" s="53"/>
      <c r="I894" s="53"/>
      <c r="U894" s="31" t="n">
        <f aca="false">IF($B894&lt;&gt;'設定（最初に1回）'!$C$4,N(U893),IF(COUNTIFS(①今日の在庫を貼る!$B$6:$B$10005,$B894,①今日の在庫を貼る!$I$6:$I$10005,$I894)&gt;0,N(U893),N(U893)+1))</f>
        <v>2</v>
      </c>
    </row>
    <row r="895" customFormat="false" ht="15" hidden="false" customHeight="false" outlineLevel="0" collapsed="false">
      <c r="B895" s="53"/>
      <c r="I895" s="53"/>
      <c r="U895" s="31" t="n">
        <f aca="false">IF($B895&lt;&gt;'設定（最初に1回）'!$C$4,N(U894),IF(COUNTIFS(①今日の在庫を貼る!$B$6:$B$10005,$B895,①今日の在庫を貼る!$I$6:$I$10005,$I895)&gt;0,N(U894),N(U894)+1))</f>
        <v>2</v>
      </c>
    </row>
    <row r="896" customFormat="false" ht="15" hidden="false" customHeight="false" outlineLevel="0" collapsed="false">
      <c r="B896" s="53"/>
      <c r="I896" s="53"/>
      <c r="U896" s="31" t="n">
        <f aca="false">IF($B896&lt;&gt;'設定（最初に1回）'!$C$4,N(U895),IF(COUNTIFS(①今日の在庫を貼る!$B$6:$B$10005,$B896,①今日の在庫を貼る!$I$6:$I$10005,$I896)&gt;0,N(U895),N(U895)+1))</f>
        <v>2</v>
      </c>
    </row>
    <row r="897" customFormat="false" ht="15" hidden="false" customHeight="false" outlineLevel="0" collapsed="false">
      <c r="B897" s="53"/>
      <c r="I897" s="53"/>
      <c r="U897" s="31" t="n">
        <f aca="false">IF($B897&lt;&gt;'設定（最初に1回）'!$C$4,N(U896),IF(COUNTIFS(①今日の在庫を貼る!$B$6:$B$10005,$B897,①今日の在庫を貼る!$I$6:$I$10005,$I897)&gt;0,N(U896),N(U896)+1))</f>
        <v>2</v>
      </c>
    </row>
    <row r="898" customFormat="false" ht="15" hidden="false" customHeight="false" outlineLevel="0" collapsed="false">
      <c r="B898" s="53"/>
      <c r="I898" s="53"/>
      <c r="U898" s="31" t="n">
        <f aca="false">IF($B898&lt;&gt;'設定（最初に1回）'!$C$4,N(U897),IF(COUNTIFS(①今日の在庫を貼る!$B$6:$B$10005,$B898,①今日の在庫を貼る!$I$6:$I$10005,$I898)&gt;0,N(U897),N(U897)+1))</f>
        <v>2</v>
      </c>
    </row>
    <row r="899" customFormat="false" ht="15" hidden="false" customHeight="false" outlineLevel="0" collapsed="false">
      <c r="B899" s="53"/>
      <c r="I899" s="53"/>
      <c r="U899" s="31" t="n">
        <f aca="false">IF($B899&lt;&gt;'設定（最初に1回）'!$C$4,N(U898),IF(COUNTIFS(①今日の在庫を貼る!$B$6:$B$10005,$B899,①今日の在庫を貼る!$I$6:$I$10005,$I899)&gt;0,N(U898),N(U898)+1))</f>
        <v>2</v>
      </c>
    </row>
    <row r="900" customFormat="false" ht="15" hidden="false" customHeight="false" outlineLevel="0" collapsed="false">
      <c r="B900" s="53"/>
      <c r="I900" s="53"/>
      <c r="U900" s="31" t="n">
        <f aca="false">IF($B900&lt;&gt;'設定（最初に1回）'!$C$4,N(U899),IF(COUNTIFS(①今日の在庫を貼る!$B$6:$B$10005,$B900,①今日の在庫を貼る!$I$6:$I$10005,$I900)&gt;0,N(U899),N(U899)+1))</f>
        <v>2</v>
      </c>
    </row>
    <row r="901" customFormat="false" ht="15" hidden="false" customHeight="false" outlineLevel="0" collapsed="false">
      <c r="B901" s="53"/>
      <c r="I901" s="53"/>
      <c r="U901" s="31" t="n">
        <f aca="false">IF($B901&lt;&gt;'設定（最初に1回）'!$C$4,N(U900),IF(COUNTIFS(①今日の在庫を貼る!$B$6:$B$10005,$B901,①今日の在庫を貼る!$I$6:$I$10005,$I901)&gt;0,N(U900),N(U900)+1))</f>
        <v>2</v>
      </c>
    </row>
    <row r="902" customFormat="false" ht="15" hidden="false" customHeight="false" outlineLevel="0" collapsed="false">
      <c r="B902" s="53"/>
      <c r="I902" s="53"/>
      <c r="U902" s="31" t="n">
        <f aca="false">IF($B902&lt;&gt;'設定（最初に1回）'!$C$4,N(U901),IF(COUNTIFS(①今日の在庫を貼る!$B$6:$B$10005,$B902,①今日の在庫を貼る!$I$6:$I$10005,$I902)&gt;0,N(U901),N(U901)+1))</f>
        <v>2</v>
      </c>
    </row>
    <row r="903" customFormat="false" ht="15" hidden="false" customHeight="false" outlineLevel="0" collapsed="false">
      <c r="B903" s="53"/>
      <c r="I903" s="53"/>
      <c r="U903" s="31" t="n">
        <f aca="false">IF($B903&lt;&gt;'設定（最初に1回）'!$C$4,N(U902),IF(COUNTIFS(①今日の在庫を貼る!$B$6:$B$10005,$B903,①今日の在庫を貼る!$I$6:$I$10005,$I903)&gt;0,N(U902),N(U902)+1))</f>
        <v>2</v>
      </c>
    </row>
    <row r="904" customFormat="false" ht="15" hidden="false" customHeight="false" outlineLevel="0" collapsed="false">
      <c r="B904" s="53"/>
      <c r="I904" s="53"/>
      <c r="U904" s="31" t="n">
        <f aca="false">IF($B904&lt;&gt;'設定（最初に1回）'!$C$4,N(U903),IF(COUNTIFS(①今日の在庫を貼る!$B$6:$B$10005,$B904,①今日の在庫を貼る!$I$6:$I$10005,$I904)&gt;0,N(U903),N(U903)+1))</f>
        <v>2</v>
      </c>
    </row>
    <row r="905" customFormat="false" ht="15" hidden="false" customHeight="false" outlineLevel="0" collapsed="false">
      <c r="B905" s="53"/>
      <c r="I905" s="53"/>
      <c r="U905" s="31" t="n">
        <f aca="false">IF($B905&lt;&gt;'設定（最初に1回）'!$C$4,N(U904),IF(COUNTIFS(①今日の在庫を貼る!$B$6:$B$10005,$B905,①今日の在庫を貼る!$I$6:$I$10005,$I905)&gt;0,N(U904),N(U904)+1))</f>
        <v>2</v>
      </c>
    </row>
    <row r="906" customFormat="false" ht="15" hidden="false" customHeight="false" outlineLevel="0" collapsed="false">
      <c r="B906" s="53"/>
      <c r="I906" s="53"/>
      <c r="U906" s="31" t="n">
        <f aca="false">IF($B906&lt;&gt;'設定（最初に1回）'!$C$4,N(U905),IF(COUNTIFS(①今日の在庫を貼る!$B$6:$B$10005,$B906,①今日の在庫を貼る!$I$6:$I$10005,$I906)&gt;0,N(U905),N(U905)+1))</f>
        <v>2</v>
      </c>
    </row>
    <row r="907" customFormat="false" ht="15" hidden="false" customHeight="false" outlineLevel="0" collapsed="false">
      <c r="B907" s="53"/>
      <c r="I907" s="53"/>
      <c r="U907" s="31" t="n">
        <f aca="false">IF($B907&lt;&gt;'設定（最初に1回）'!$C$4,N(U906),IF(COUNTIFS(①今日の在庫を貼る!$B$6:$B$10005,$B907,①今日の在庫を貼る!$I$6:$I$10005,$I907)&gt;0,N(U906),N(U906)+1))</f>
        <v>2</v>
      </c>
    </row>
    <row r="908" customFormat="false" ht="15" hidden="false" customHeight="false" outlineLevel="0" collapsed="false">
      <c r="B908" s="53"/>
      <c r="I908" s="53"/>
      <c r="U908" s="31" t="n">
        <f aca="false">IF($B908&lt;&gt;'設定（最初に1回）'!$C$4,N(U907),IF(COUNTIFS(①今日の在庫を貼る!$B$6:$B$10005,$B908,①今日の在庫を貼る!$I$6:$I$10005,$I908)&gt;0,N(U907),N(U907)+1))</f>
        <v>2</v>
      </c>
    </row>
    <row r="909" customFormat="false" ht="15" hidden="false" customHeight="false" outlineLevel="0" collapsed="false">
      <c r="B909" s="53"/>
      <c r="I909" s="53"/>
      <c r="U909" s="31" t="n">
        <f aca="false">IF($B909&lt;&gt;'設定（最初に1回）'!$C$4,N(U908),IF(COUNTIFS(①今日の在庫を貼る!$B$6:$B$10005,$B909,①今日の在庫を貼る!$I$6:$I$10005,$I909)&gt;0,N(U908),N(U908)+1))</f>
        <v>2</v>
      </c>
    </row>
    <row r="910" customFormat="false" ht="15" hidden="false" customHeight="false" outlineLevel="0" collapsed="false">
      <c r="B910" s="53"/>
      <c r="I910" s="53"/>
      <c r="U910" s="31" t="n">
        <f aca="false">IF($B910&lt;&gt;'設定（最初に1回）'!$C$4,N(U909),IF(COUNTIFS(①今日の在庫を貼る!$B$6:$B$10005,$B910,①今日の在庫を貼る!$I$6:$I$10005,$I910)&gt;0,N(U909),N(U909)+1))</f>
        <v>2</v>
      </c>
    </row>
    <row r="911" customFormat="false" ht="15" hidden="false" customHeight="false" outlineLevel="0" collapsed="false">
      <c r="B911" s="53"/>
      <c r="I911" s="53"/>
      <c r="U911" s="31" t="n">
        <f aca="false">IF($B911&lt;&gt;'設定（最初に1回）'!$C$4,N(U910),IF(COUNTIFS(①今日の在庫を貼る!$B$6:$B$10005,$B911,①今日の在庫を貼る!$I$6:$I$10005,$I911)&gt;0,N(U910),N(U910)+1))</f>
        <v>2</v>
      </c>
    </row>
    <row r="912" customFormat="false" ht="15" hidden="false" customHeight="false" outlineLevel="0" collapsed="false">
      <c r="B912" s="53"/>
      <c r="I912" s="53"/>
      <c r="U912" s="31" t="n">
        <f aca="false">IF($B912&lt;&gt;'設定（最初に1回）'!$C$4,N(U911),IF(COUNTIFS(①今日の在庫を貼る!$B$6:$B$10005,$B912,①今日の在庫を貼る!$I$6:$I$10005,$I912)&gt;0,N(U911),N(U911)+1))</f>
        <v>2</v>
      </c>
    </row>
    <row r="913" customFormat="false" ht="15" hidden="false" customHeight="false" outlineLevel="0" collapsed="false">
      <c r="B913" s="53"/>
      <c r="I913" s="53"/>
      <c r="U913" s="31" t="n">
        <f aca="false">IF($B913&lt;&gt;'設定（最初に1回）'!$C$4,N(U912),IF(COUNTIFS(①今日の在庫を貼る!$B$6:$B$10005,$B913,①今日の在庫を貼る!$I$6:$I$10005,$I913)&gt;0,N(U912),N(U912)+1))</f>
        <v>2</v>
      </c>
    </row>
    <row r="914" customFormat="false" ht="15" hidden="false" customHeight="false" outlineLevel="0" collapsed="false">
      <c r="B914" s="53"/>
      <c r="I914" s="53"/>
      <c r="U914" s="31" t="n">
        <f aca="false">IF($B914&lt;&gt;'設定（最初に1回）'!$C$4,N(U913),IF(COUNTIFS(①今日の在庫を貼る!$B$6:$B$10005,$B914,①今日の在庫を貼る!$I$6:$I$10005,$I914)&gt;0,N(U913),N(U913)+1))</f>
        <v>2</v>
      </c>
    </row>
    <row r="915" customFormat="false" ht="15" hidden="false" customHeight="false" outlineLevel="0" collapsed="false">
      <c r="B915" s="53"/>
      <c r="I915" s="53"/>
      <c r="U915" s="31" t="n">
        <f aca="false">IF($B915&lt;&gt;'設定（最初に1回）'!$C$4,N(U914),IF(COUNTIFS(①今日の在庫を貼る!$B$6:$B$10005,$B915,①今日の在庫を貼る!$I$6:$I$10005,$I915)&gt;0,N(U914),N(U914)+1))</f>
        <v>2</v>
      </c>
    </row>
    <row r="916" customFormat="false" ht="15" hidden="false" customHeight="false" outlineLevel="0" collapsed="false">
      <c r="B916" s="53"/>
      <c r="I916" s="53"/>
      <c r="U916" s="31" t="n">
        <f aca="false">IF($B916&lt;&gt;'設定（最初に1回）'!$C$4,N(U915),IF(COUNTIFS(①今日の在庫を貼る!$B$6:$B$10005,$B916,①今日の在庫を貼る!$I$6:$I$10005,$I916)&gt;0,N(U915),N(U915)+1))</f>
        <v>2</v>
      </c>
    </row>
    <row r="917" customFormat="false" ht="15" hidden="false" customHeight="false" outlineLevel="0" collapsed="false">
      <c r="B917" s="53"/>
      <c r="I917" s="53"/>
      <c r="U917" s="31" t="n">
        <f aca="false">IF($B917&lt;&gt;'設定（最初に1回）'!$C$4,N(U916),IF(COUNTIFS(①今日の在庫を貼る!$B$6:$B$10005,$B917,①今日の在庫を貼る!$I$6:$I$10005,$I917)&gt;0,N(U916),N(U916)+1))</f>
        <v>2</v>
      </c>
    </row>
    <row r="918" customFormat="false" ht="15" hidden="false" customHeight="false" outlineLevel="0" collapsed="false">
      <c r="B918" s="53"/>
      <c r="I918" s="53"/>
      <c r="U918" s="31" t="n">
        <f aca="false">IF($B918&lt;&gt;'設定（最初に1回）'!$C$4,N(U917),IF(COUNTIFS(①今日の在庫を貼る!$B$6:$B$10005,$B918,①今日の在庫を貼る!$I$6:$I$10005,$I918)&gt;0,N(U917),N(U917)+1))</f>
        <v>2</v>
      </c>
    </row>
    <row r="919" customFormat="false" ht="15" hidden="false" customHeight="false" outlineLevel="0" collapsed="false">
      <c r="B919" s="53"/>
      <c r="I919" s="53"/>
      <c r="U919" s="31" t="n">
        <f aca="false">IF($B919&lt;&gt;'設定（最初に1回）'!$C$4,N(U918),IF(COUNTIFS(①今日の在庫を貼る!$B$6:$B$10005,$B919,①今日の在庫を貼る!$I$6:$I$10005,$I919)&gt;0,N(U918),N(U918)+1))</f>
        <v>2</v>
      </c>
    </row>
    <row r="920" customFormat="false" ht="15" hidden="false" customHeight="false" outlineLevel="0" collapsed="false">
      <c r="B920" s="53"/>
      <c r="I920" s="53"/>
      <c r="U920" s="31" t="n">
        <f aca="false">IF($B920&lt;&gt;'設定（最初に1回）'!$C$4,N(U919),IF(COUNTIFS(①今日の在庫を貼る!$B$6:$B$10005,$B920,①今日の在庫を貼る!$I$6:$I$10005,$I920)&gt;0,N(U919),N(U919)+1))</f>
        <v>2</v>
      </c>
    </row>
    <row r="921" customFormat="false" ht="15" hidden="false" customHeight="false" outlineLevel="0" collapsed="false">
      <c r="B921" s="53"/>
      <c r="I921" s="53"/>
      <c r="U921" s="31" t="n">
        <f aca="false">IF($B921&lt;&gt;'設定（最初に1回）'!$C$4,N(U920),IF(COUNTIFS(①今日の在庫を貼る!$B$6:$B$10005,$B921,①今日の在庫を貼る!$I$6:$I$10005,$I921)&gt;0,N(U920),N(U920)+1))</f>
        <v>2</v>
      </c>
    </row>
    <row r="922" customFormat="false" ht="15" hidden="false" customHeight="false" outlineLevel="0" collapsed="false">
      <c r="B922" s="53"/>
      <c r="I922" s="53"/>
      <c r="U922" s="31" t="n">
        <f aca="false">IF($B922&lt;&gt;'設定（最初に1回）'!$C$4,N(U921),IF(COUNTIFS(①今日の在庫を貼る!$B$6:$B$10005,$B922,①今日の在庫を貼る!$I$6:$I$10005,$I922)&gt;0,N(U921),N(U921)+1))</f>
        <v>2</v>
      </c>
    </row>
    <row r="923" customFormat="false" ht="15" hidden="false" customHeight="false" outlineLevel="0" collapsed="false">
      <c r="B923" s="53"/>
      <c r="I923" s="53"/>
      <c r="U923" s="31" t="n">
        <f aca="false">IF($B923&lt;&gt;'設定（最初に1回）'!$C$4,N(U922),IF(COUNTIFS(①今日の在庫を貼る!$B$6:$B$10005,$B923,①今日の在庫を貼る!$I$6:$I$10005,$I923)&gt;0,N(U922),N(U922)+1))</f>
        <v>2</v>
      </c>
    </row>
    <row r="924" customFormat="false" ht="15" hidden="false" customHeight="false" outlineLevel="0" collapsed="false">
      <c r="B924" s="53"/>
      <c r="I924" s="53"/>
      <c r="U924" s="31" t="n">
        <f aca="false">IF($B924&lt;&gt;'設定（最初に1回）'!$C$4,N(U923),IF(COUNTIFS(①今日の在庫を貼る!$B$6:$B$10005,$B924,①今日の在庫を貼る!$I$6:$I$10005,$I924)&gt;0,N(U923),N(U923)+1))</f>
        <v>2</v>
      </c>
    </row>
    <row r="925" customFormat="false" ht="15" hidden="false" customHeight="false" outlineLevel="0" collapsed="false">
      <c r="B925" s="53"/>
      <c r="I925" s="53"/>
      <c r="U925" s="31" t="n">
        <f aca="false">IF($B925&lt;&gt;'設定（最初に1回）'!$C$4,N(U924),IF(COUNTIFS(①今日の在庫を貼る!$B$6:$B$10005,$B925,①今日の在庫を貼る!$I$6:$I$10005,$I925)&gt;0,N(U924),N(U924)+1))</f>
        <v>2</v>
      </c>
    </row>
    <row r="926" customFormat="false" ht="15" hidden="false" customHeight="false" outlineLevel="0" collapsed="false">
      <c r="B926" s="53"/>
      <c r="I926" s="53"/>
      <c r="U926" s="31" t="n">
        <f aca="false">IF($B926&lt;&gt;'設定（最初に1回）'!$C$4,N(U925),IF(COUNTIFS(①今日の在庫を貼る!$B$6:$B$10005,$B926,①今日の在庫を貼る!$I$6:$I$10005,$I926)&gt;0,N(U925),N(U925)+1))</f>
        <v>2</v>
      </c>
    </row>
    <row r="927" customFormat="false" ht="15" hidden="false" customHeight="false" outlineLevel="0" collapsed="false">
      <c r="B927" s="53"/>
      <c r="I927" s="53"/>
      <c r="U927" s="31" t="n">
        <f aca="false">IF($B927&lt;&gt;'設定（最初に1回）'!$C$4,N(U926),IF(COUNTIFS(①今日の在庫を貼る!$B$6:$B$10005,$B927,①今日の在庫を貼る!$I$6:$I$10005,$I927)&gt;0,N(U926),N(U926)+1))</f>
        <v>2</v>
      </c>
    </row>
    <row r="928" customFormat="false" ht="15" hidden="false" customHeight="false" outlineLevel="0" collapsed="false">
      <c r="B928" s="53"/>
      <c r="I928" s="53"/>
      <c r="U928" s="31" t="n">
        <f aca="false">IF($B928&lt;&gt;'設定（最初に1回）'!$C$4,N(U927),IF(COUNTIFS(①今日の在庫を貼る!$B$6:$B$10005,$B928,①今日の在庫を貼る!$I$6:$I$10005,$I928)&gt;0,N(U927),N(U927)+1))</f>
        <v>2</v>
      </c>
    </row>
    <row r="929" customFormat="false" ht="15" hidden="false" customHeight="false" outlineLevel="0" collapsed="false">
      <c r="B929" s="53"/>
      <c r="I929" s="53"/>
      <c r="U929" s="31" t="n">
        <f aca="false">IF($B929&lt;&gt;'設定（最初に1回）'!$C$4,N(U928),IF(COUNTIFS(①今日の在庫を貼る!$B$6:$B$10005,$B929,①今日の在庫を貼る!$I$6:$I$10005,$I929)&gt;0,N(U928),N(U928)+1))</f>
        <v>2</v>
      </c>
    </row>
    <row r="930" customFormat="false" ht="15" hidden="false" customHeight="false" outlineLevel="0" collapsed="false">
      <c r="B930" s="53"/>
      <c r="I930" s="53"/>
      <c r="U930" s="31" t="n">
        <f aca="false">IF($B930&lt;&gt;'設定（最初に1回）'!$C$4,N(U929),IF(COUNTIFS(①今日の在庫を貼る!$B$6:$B$10005,$B930,①今日の在庫を貼る!$I$6:$I$10005,$I930)&gt;0,N(U929),N(U929)+1))</f>
        <v>2</v>
      </c>
    </row>
    <row r="931" customFormat="false" ht="15" hidden="false" customHeight="false" outlineLevel="0" collapsed="false">
      <c r="B931" s="53"/>
      <c r="I931" s="53"/>
      <c r="U931" s="31" t="n">
        <f aca="false">IF($B931&lt;&gt;'設定（最初に1回）'!$C$4,N(U930),IF(COUNTIFS(①今日の在庫を貼る!$B$6:$B$10005,$B931,①今日の在庫を貼る!$I$6:$I$10005,$I931)&gt;0,N(U930),N(U930)+1))</f>
        <v>2</v>
      </c>
    </row>
    <row r="932" customFormat="false" ht="15" hidden="false" customHeight="false" outlineLevel="0" collapsed="false">
      <c r="B932" s="53"/>
      <c r="I932" s="53"/>
      <c r="U932" s="31" t="n">
        <f aca="false">IF($B932&lt;&gt;'設定（最初に1回）'!$C$4,N(U931),IF(COUNTIFS(①今日の在庫を貼る!$B$6:$B$10005,$B932,①今日の在庫を貼る!$I$6:$I$10005,$I932)&gt;0,N(U931),N(U931)+1))</f>
        <v>2</v>
      </c>
    </row>
    <row r="933" customFormat="false" ht="15" hidden="false" customHeight="false" outlineLevel="0" collapsed="false">
      <c r="B933" s="53"/>
      <c r="I933" s="53"/>
      <c r="U933" s="31" t="n">
        <f aca="false">IF($B933&lt;&gt;'設定（最初に1回）'!$C$4,N(U932),IF(COUNTIFS(①今日の在庫を貼る!$B$6:$B$10005,$B933,①今日の在庫を貼る!$I$6:$I$10005,$I933)&gt;0,N(U932),N(U932)+1))</f>
        <v>2</v>
      </c>
    </row>
    <row r="934" customFormat="false" ht="15" hidden="false" customHeight="false" outlineLevel="0" collapsed="false">
      <c r="B934" s="53"/>
      <c r="I934" s="53"/>
      <c r="U934" s="31" t="n">
        <f aca="false">IF($B934&lt;&gt;'設定（最初に1回）'!$C$4,N(U933),IF(COUNTIFS(①今日の在庫を貼る!$B$6:$B$10005,$B934,①今日の在庫を貼る!$I$6:$I$10005,$I934)&gt;0,N(U933),N(U933)+1))</f>
        <v>2</v>
      </c>
    </row>
    <row r="935" customFormat="false" ht="15" hidden="false" customHeight="false" outlineLevel="0" collapsed="false">
      <c r="B935" s="53"/>
      <c r="I935" s="53"/>
      <c r="U935" s="31" t="n">
        <f aca="false">IF($B935&lt;&gt;'設定（最初に1回）'!$C$4,N(U934),IF(COUNTIFS(①今日の在庫を貼る!$B$6:$B$10005,$B935,①今日の在庫を貼る!$I$6:$I$10005,$I935)&gt;0,N(U934),N(U934)+1))</f>
        <v>2</v>
      </c>
    </row>
    <row r="936" customFormat="false" ht="15" hidden="false" customHeight="false" outlineLevel="0" collapsed="false">
      <c r="B936" s="53"/>
      <c r="I936" s="53"/>
      <c r="U936" s="31" t="n">
        <f aca="false">IF($B936&lt;&gt;'設定（最初に1回）'!$C$4,N(U935),IF(COUNTIFS(①今日の在庫を貼る!$B$6:$B$10005,$B936,①今日の在庫を貼る!$I$6:$I$10005,$I936)&gt;0,N(U935),N(U935)+1))</f>
        <v>2</v>
      </c>
    </row>
    <row r="937" customFormat="false" ht="15" hidden="false" customHeight="false" outlineLevel="0" collapsed="false">
      <c r="B937" s="53"/>
      <c r="I937" s="53"/>
      <c r="U937" s="31" t="n">
        <f aca="false">IF($B937&lt;&gt;'設定（最初に1回）'!$C$4,N(U936),IF(COUNTIFS(①今日の在庫を貼る!$B$6:$B$10005,$B937,①今日の在庫を貼る!$I$6:$I$10005,$I937)&gt;0,N(U936),N(U936)+1))</f>
        <v>2</v>
      </c>
    </row>
    <row r="938" customFormat="false" ht="15" hidden="false" customHeight="false" outlineLevel="0" collapsed="false">
      <c r="B938" s="53"/>
      <c r="I938" s="53"/>
      <c r="U938" s="31" t="n">
        <f aca="false">IF($B938&lt;&gt;'設定（最初に1回）'!$C$4,N(U937),IF(COUNTIFS(①今日の在庫を貼る!$B$6:$B$10005,$B938,①今日の在庫を貼る!$I$6:$I$10005,$I938)&gt;0,N(U937),N(U937)+1))</f>
        <v>2</v>
      </c>
    </row>
    <row r="939" customFormat="false" ht="15" hidden="false" customHeight="false" outlineLevel="0" collapsed="false">
      <c r="B939" s="53"/>
      <c r="I939" s="53"/>
      <c r="U939" s="31" t="n">
        <f aca="false">IF($B939&lt;&gt;'設定（最初に1回）'!$C$4,N(U938),IF(COUNTIFS(①今日の在庫を貼る!$B$6:$B$10005,$B939,①今日の在庫を貼る!$I$6:$I$10005,$I939)&gt;0,N(U938),N(U938)+1))</f>
        <v>2</v>
      </c>
    </row>
    <row r="940" customFormat="false" ht="15" hidden="false" customHeight="false" outlineLevel="0" collapsed="false">
      <c r="B940" s="53"/>
      <c r="I940" s="53"/>
      <c r="U940" s="31" t="n">
        <f aca="false">IF($B940&lt;&gt;'設定（最初に1回）'!$C$4,N(U939),IF(COUNTIFS(①今日の在庫を貼る!$B$6:$B$10005,$B940,①今日の在庫を貼る!$I$6:$I$10005,$I940)&gt;0,N(U939),N(U939)+1))</f>
        <v>2</v>
      </c>
    </row>
    <row r="941" customFormat="false" ht="15" hidden="false" customHeight="false" outlineLevel="0" collapsed="false">
      <c r="B941" s="53"/>
      <c r="I941" s="53"/>
      <c r="U941" s="31" t="n">
        <f aca="false">IF($B941&lt;&gt;'設定（最初に1回）'!$C$4,N(U940),IF(COUNTIFS(①今日の在庫を貼る!$B$6:$B$10005,$B941,①今日の在庫を貼る!$I$6:$I$10005,$I941)&gt;0,N(U940),N(U940)+1))</f>
        <v>2</v>
      </c>
    </row>
    <row r="942" customFormat="false" ht="15" hidden="false" customHeight="false" outlineLevel="0" collapsed="false">
      <c r="B942" s="53"/>
      <c r="I942" s="53"/>
      <c r="U942" s="31" t="n">
        <f aca="false">IF($B942&lt;&gt;'設定（最初に1回）'!$C$4,N(U941),IF(COUNTIFS(①今日の在庫を貼る!$B$6:$B$10005,$B942,①今日の在庫を貼る!$I$6:$I$10005,$I942)&gt;0,N(U941),N(U941)+1))</f>
        <v>2</v>
      </c>
    </row>
    <row r="943" customFormat="false" ht="15" hidden="false" customHeight="false" outlineLevel="0" collapsed="false">
      <c r="B943" s="53"/>
      <c r="I943" s="53"/>
      <c r="U943" s="31" t="n">
        <f aca="false">IF($B943&lt;&gt;'設定（最初に1回）'!$C$4,N(U942),IF(COUNTIFS(①今日の在庫を貼る!$B$6:$B$10005,$B943,①今日の在庫を貼る!$I$6:$I$10005,$I943)&gt;0,N(U942),N(U942)+1))</f>
        <v>2</v>
      </c>
    </row>
    <row r="944" customFormat="false" ht="15" hidden="false" customHeight="false" outlineLevel="0" collapsed="false">
      <c r="B944" s="53"/>
      <c r="I944" s="53"/>
      <c r="U944" s="31" t="n">
        <f aca="false">IF($B944&lt;&gt;'設定（最初に1回）'!$C$4,N(U943),IF(COUNTIFS(①今日の在庫を貼る!$B$6:$B$10005,$B944,①今日の在庫を貼る!$I$6:$I$10005,$I944)&gt;0,N(U943),N(U943)+1))</f>
        <v>2</v>
      </c>
    </row>
    <row r="945" customFormat="false" ht="15" hidden="false" customHeight="false" outlineLevel="0" collapsed="false">
      <c r="B945" s="53"/>
      <c r="I945" s="53"/>
      <c r="U945" s="31" t="n">
        <f aca="false">IF($B945&lt;&gt;'設定（最初に1回）'!$C$4,N(U944),IF(COUNTIFS(①今日の在庫を貼る!$B$6:$B$10005,$B945,①今日の在庫を貼る!$I$6:$I$10005,$I945)&gt;0,N(U944),N(U944)+1))</f>
        <v>2</v>
      </c>
    </row>
    <row r="946" customFormat="false" ht="15" hidden="false" customHeight="false" outlineLevel="0" collapsed="false">
      <c r="B946" s="53"/>
      <c r="I946" s="53"/>
      <c r="U946" s="31" t="n">
        <f aca="false">IF($B946&lt;&gt;'設定（最初に1回）'!$C$4,N(U945),IF(COUNTIFS(①今日の在庫を貼る!$B$6:$B$10005,$B946,①今日の在庫を貼る!$I$6:$I$10005,$I946)&gt;0,N(U945),N(U945)+1))</f>
        <v>2</v>
      </c>
    </row>
    <row r="947" customFormat="false" ht="15" hidden="false" customHeight="false" outlineLevel="0" collapsed="false">
      <c r="B947" s="53"/>
      <c r="I947" s="53"/>
      <c r="U947" s="31" t="n">
        <f aca="false">IF($B947&lt;&gt;'設定（最初に1回）'!$C$4,N(U946),IF(COUNTIFS(①今日の在庫を貼る!$B$6:$B$10005,$B947,①今日の在庫を貼る!$I$6:$I$10005,$I947)&gt;0,N(U946),N(U946)+1))</f>
        <v>2</v>
      </c>
    </row>
    <row r="948" customFormat="false" ht="15" hidden="false" customHeight="false" outlineLevel="0" collapsed="false">
      <c r="B948" s="53"/>
      <c r="I948" s="53"/>
      <c r="U948" s="31" t="n">
        <f aca="false">IF($B948&lt;&gt;'設定（最初に1回）'!$C$4,N(U947),IF(COUNTIFS(①今日の在庫を貼る!$B$6:$B$10005,$B948,①今日の在庫を貼る!$I$6:$I$10005,$I948)&gt;0,N(U947),N(U947)+1))</f>
        <v>2</v>
      </c>
    </row>
    <row r="949" customFormat="false" ht="15" hidden="false" customHeight="false" outlineLevel="0" collapsed="false">
      <c r="B949" s="53"/>
      <c r="I949" s="53"/>
      <c r="U949" s="31" t="n">
        <f aca="false">IF($B949&lt;&gt;'設定（最初に1回）'!$C$4,N(U948),IF(COUNTIFS(①今日の在庫を貼る!$B$6:$B$10005,$B949,①今日の在庫を貼る!$I$6:$I$10005,$I949)&gt;0,N(U948),N(U948)+1))</f>
        <v>2</v>
      </c>
    </row>
    <row r="950" customFormat="false" ht="15" hidden="false" customHeight="false" outlineLevel="0" collapsed="false">
      <c r="B950" s="53"/>
      <c r="I950" s="53"/>
      <c r="U950" s="31" t="n">
        <f aca="false">IF($B950&lt;&gt;'設定（最初に1回）'!$C$4,N(U949),IF(COUNTIFS(①今日の在庫を貼る!$B$6:$B$10005,$B950,①今日の在庫を貼る!$I$6:$I$10005,$I950)&gt;0,N(U949),N(U949)+1))</f>
        <v>2</v>
      </c>
    </row>
    <row r="951" customFormat="false" ht="15" hidden="false" customHeight="false" outlineLevel="0" collapsed="false">
      <c r="B951" s="53"/>
      <c r="I951" s="53"/>
      <c r="U951" s="31" t="n">
        <f aca="false">IF($B951&lt;&gt;'設定（最初に1回）'!$C$4,N(U950),IF(COUNTIFS(①今日の在庫を貼る!$B$6:$B$10005,$B951,①今日の在庫を貼る!$I$6:$I$10005,$I951)&gt;0,N(U950),N(U950)+1))</f>
        <v>2</v>
      </c>
    </row>
    <row r="952" customFormat="false" ht="15" hidden="false" customHeight="false" outlineLevel="0" collapsed="false">
      <c r="B952" s="53"/>
      <c r="I952" s="53"/>
      <c r="U952" s="31" t="n">
        <f aca="false">IF($B952&lt;&gt;'設定（最初に1回）'!$C$4,N(U951),IF(COUNTIFS(①今日の在庫を貼る!$B$6:$B$10005,$B952,①今日の在庫を貼る!$I$6:$I$10005,$I952)&gt;0,N(U951),N(U951)+1))</f>
        <v>2</v>
      </c>
    </row>
    <row r="953" customFormat="false" ht="15" hidden="false" customHeight="false" outlineLevel="0" collapsed="false">
      <c r="B953" s="53"/>
      <c r="I953" s="53"/>
      <c r="U953" s="31" t="n">
        <f aca="false">IF($B953&lt;&gt;'設定（最初に1回）'!$C$4,N(U952),IF(COUNTIFS(①今日の在庫を貼る!$B$6:$B$10005,$B953,①今日の在庫を貼る!$I$6:$I$10005,$I953)&gt;0,N(U952),N(U952)+1))</f>
        <v>2</v>
      </c>
    </row>
    <row r="954" customFormat="false" ht="15" hidden="false" customHeight="false" outlineLevel="0" collapsed="false">
      <c r="B954" s="53"/>
      <c r="I954" s="53"/>
      <c r="U954" s="31" t="n">
        <f aca="false">IF($B954&lt;&gt;'設定（最初に1回）'!$C$4,N(U953),IF(COUNTIFS(①今日の在庫を貼る!$B$6:$B$10005,$B954,①今日の在庫を貼る!$I$6:$I$10005,$I954)&gt;0,N(U953),N(U953)+1))</f>
        <v>2</v>
      </c>
    </row>
    <row r="955" customFormat="false" ht="15" hidden="false" customHeight="false" outlineLevel="0" collapsed="false">
      <c r="B955" s="53"/>
      <c r="I955" s="53"/>
      <c r="U955" s="31" t="n">
        <f aca="false">IF($B955&lt;&gt;'設定（最初に1回）'!$C$4,N(U954),IF(COUNTIFS(①今日の在庫を貼る!$B$6:$B$10005,$B955,①今日の在庫を貼る!$I$6:$I$10005,$I955)&gt;0,N(U954),N(U954)+1))</f>
        <v>2</v>
      </c>
    </row>
    <row r="956" customFormat="false" ht="15" hidden="false" customHeight="false" outlineLevel="0" collapsed="false">
      <c r="B956" s="53"/>
      <c r="I956" s="53"/>
      <c r="U956" s="31" t="n">
        <f aca="false">IF($B956&lt;&gt;'設定（最初に1回）'!$C$4,N(U955),IF(COUNTIFS(①今日の在庫を貼る!$B$6:$B$10005,$B956,①今日の在庫を貼る!$I$6:$I$10005,$I956)&gt;0,N(U955),N(U955)+1))</f>
        <v>2</v>
      </c>
    </row>
    <row r="957" customFormat="false" ht="15" hidden="false" customHeight="false" outlineLevel="0" collapsed="false">
      <c r="B957" s="53"/>
      <c r="I957" s="53"/>
      <c r="U957" s="31" t="n">
        <f aca="false">IF($B957&lt;&gt;'設定（最初に1回）'!$C$4,N(U956),IF(COUNTIFS(①今日の在庫を貼る!$B$6:$B$10005,$B957,①今日の在庫を貼る!$I$6:$I$10005,$I957)&gt;0,N(U956),N(U956)+1))</f>
        <v>2</v>
      </c>
    </row>
    <row r="958" customFormat="false" ht="15" hidden="false" customHeight="false" outlineLevel="0" collapsed="false">
      <c r="B958" s="53"/>
      <c r="I958" s="53"/>
      <c r="U958" s="31" t="n">
        <f aca="false">IF($B958&lt;&gt;'設定（最初に1回）'!$C$4,N(U957),IF(COUNTIFS(①今日の在庫を貼る!$B$6:$B$10005,$B958,①今日の在庫を貼る!$I$6:$I$10005,$I958)&gt;0,N(U957),N(U957)+1))</f>
        <v>2</v>
      </c>
    </row>
    <row r="959" customFormat="false" ht="15" hidden="false" customHeight="false" outlineLevel="0" collapsed="false">
      <c r="B959" s="53"/>
      <c r="I959" s="53"/>
      <c r="U959" s="31" t="n">
        <f aca="false">IF($B959&lt;&gt;'設定（最初に1回）'!$C$4,N(U958),IF(COUNTIFS(①今日の在庫を貼る!$B$6:$B$10005,$B959,①今日の在庫を貼る!$I$6:$I$10005,$I959)&gt;0,N(U958),N(U958)+1))</f>
        <v>2</v>
      </c>
    </row>
    <row r="960" customFormat="false" ht="15" hidden="false" customHeight="false" outlineLevel="0" collapsed="false">
      <c r="B960" s="53"/>
      <c r="I960" s="53"/>
      <c r="U960" s="31" t="n">
        <f aca="false">IF($B960&lt;&gt;'設定（最初に1回）'!$C$4,N(U959),IF(COUNTIFS(①今日の在庫を貼る!$B$6:$B$10005,$B960,①今日の在庫を貼る!$I$6:$I$10005,$I960)&gt;0,N(U959),N(U959)+1))</f>
        <v>2</v>
      </c>
    </row>
    <row r="961" customFormat="false" ht="15" hidden="false" customHeight="false" outlineLevel="0" collapsed="false">
      <c r="B961" s="53"/>
      <c r="I961" s="53"/>
      <c r="U961" s="31" t="n">
        <f aca="false">IF($B961&lt;&gt;'設定（最初に1回）'!$C$4,N(U960),IF(COUNTIFS(①今日の在庫を貼る!$B$6:$B$10005,$B961,①今日の在庫を貼る!$I$6:$I$10005,$I961)&gt;0,N(U960),N(U960)+1))</f>
        <v>2</v>
      </c>
    </row>
    <row r="962" customFormat="false" ht="15" hidden="false" customHeight="false" outlineLevel="0" collapsed="false">
      <c r="B962" s="53"/>
      <c r="I962" s="53"/>
      <c r="U962" s="31" t="n">
        <f aca="false">IF($B962&lt;&gt;'設定（最初に1回）'!$C$4,N(U961),IF(COUNTIFS(①今日の在庫を貼る!$B$6:$B$10005,$B962,①今日の在庫を貼る!$I$6:$I$10005,$I962)&gt;0,N(U961),N(U961)+1))</f>
        <v>2</v>
      </c>
    </row>
    <row r="963" customFormat="false" ht="15" hidden="false" customHeight="false" outlineLevel="0" collapsed="false">
      <c r="B963" s="53"/>
      <c r="I963" s="53"/>
      <c r="U963" s="31" t="n">
        <f aca="false">IF($B963&lt;&gt;'設定（最初に1回）'!$C$4,N(U962),IF(COUNTIFS(①今日の在庫を貼る!$B$6:$B$10005,$B963,①今日の在庫を貼る!$I$6:$I$10005,$I963)&gt;0,N(U962),N(U962)+1))</f>
        <v>2</v>
      </c>
    </row>
    <row r="964" customFormat="false" ht="15" hidden="false" customHeight="false" outlineLevel="0" collapsed="false">
      <c r="B964" s="53"/>
      <c r="I964" s="53"/>
      <c r="U964" s="31" t="n">
        <f aca="false">IF($B964&lt;&gt;'設定（最初に1回）'!$C$4,N(U963),IF(COUNTIFS(①今日の在庫を貼る!$B$6:$B$10005,$B964,①今日の在庫を貼る!$I$6:$I$10005,$I964)&gt;0,N(U963),N(U963)+1))</f>
        <v>2</v>
      </c>
    </row>
    <row r="965" customFormat="false" ht="15" hidden="false" customHeight="false" outlineLevel="0" collapsed="false">
      <c r="B965" s="53"/>
      <c r="I965" s="53"/>
      <c r="U965" s="31" t="n">
        <f aca="false">IF($B965&lt;&gt;'設定（最初に1回）'!$C$4,N(U964),IF(COUNTIFS(①今日の在庫を貼る!$B$6:$B$10005,$B965,①今日の在庫を貼る!$I$6:$I$10005,$I965)&gt;0,N(U964),N(U964)+1))</f>
        <v>2</v>
      </c>
    </row>
    <row r="966" customFormat="false" ht="15" hidden="false" customHeight="false" outlineLevel="0" collapsed="false">
      <c r="B966" s="53"/>
      <c r="I966" s="53"/>
      <c r="U966" s="31" t="n">
        <f aca="false">IF($B966&lt;&gt;'設定（最初に1回）'!$C$4,N(U965),IF(COUNTIFS(①今日の在庫を貼る!$B$6:$B$10005,$B966,①今日の在庫を貼る!$I$6:$I$10005,$I966)&gt;0,N(U965),N(U965)+1))</f>
        <v>2</v>
      </c>
    </row>
    <row r="967" customFormat="false" ht="15" hidden="false" customHeight="false" outlineLevel="0" collapsed="false">
      <c r="B967" s="53"/>
      <c r="I967" s="53"/>
      <c r="U967" s="31" t="n">
        <f aca="false">IF($B967&lt;&gt;'設定（最初に1回）'!$C$4,N(U966),IF(COUNTIFS(①今日の在庫を貼る!$B$6:$B$10005,$B967,①今日の在庫を貼る!$I$6:$I$10005,$I967)&gt;0,N(U966),N(U966)+1))</f>
        <v>2</v>
      </c>
    </row>
    <row r="968" customFormat="false" ht="15" hidden="false" customHeight="false" outlineLevel="0" collapsed="false">
      <c r="B968" s="53"/>
      <c r="I968" s="53"/>
      <c r="U968" s="31" t="n">
        <f aca="false">IF($B968&lt;&gt;'設定（最初に1回）'!$C$4,N(U967),IF(COUNTIFS(①今日の在庫を貼る!$B$6:$B$10005,$B968,①今日の在庫を貼る!$I$6:$I$10005,$I968)&gt;0,N(U967),N(U967)+1))</f>
        <v>2</v>
      </c>
    </row>
    <row r="969" customFormat="false" ht="15" hidden="false" customHeight="false" outlineLevel="0" collapsed="false">
      <c r="B969" s="53"/>
      <c r="I969" s="53"/>
      <c r="U969" s="31" t="n">
        <f aca="false">IF($B969&lt;&gt;'設定（最初に1回）'!$C$4,N(U968),IF(COUNTIFS(①今日の在庫を貼る!$B$6:$B$10005,$B969,①今日の在庫を貼る!$I$6:$I$10005,$I969)&gt;0,N(U968),N(U968)+1))</f>
        <v>2</v>
      </c>
    </row>
    <row r="970" customFormat="false" ht="15" hidden="false" customHeight="false" outlineLevel="0" collapsed="false">
      <c r="B970" s="53"/>
      <c r="I970" s="53"/>
      <c r="U970" s="31" t="n">
        <f aca="false">IF($B970&lt;&gt;'設定（最初に1回）'!$C$4,N(U969),IF(COUNTIFS(①今日の在庫を貼る!$B$6:$B$10005,$B970,①今日の在庫を貼る!$I$6:$I$10005,$I970)&gt;0,N(U969),N(U969)+1))</f>
        <v>2</v>
      </c>
    </row>
    <row r="971" customFormat="false" ht="15" hidden="false" customHeight="false" outlineLevel="0" collapsed="false">
      <c r="B971" s="53"/>
      <c r="I971" s="53"/>
      <c r="U971" s="31" t="n">
        <f aca="false">IF($B971&lt;&gt;'設定（最初に1回）'!$C$4,N(U970),IF(COUNTIFS(①今日の在庫を貼る!$B$6:$B$10005,$B971,①今日の在庫を貼る!$I$6:$I$10005,$I971)&gt;0,N(U970),N(U970)+1))</f>
        <v>2</v>
      </c>
    </row>
    <row r="972" customFormat="false" ht="15" hidden="false" customHeight="false" outlineLevel="0" collapsed="false">
      <c r="B972" s="53"/>
      <c r="I972" s="53"/>
      <c r="U972" s="31" t="n">
        <f aca="false">IF($B972&lt;&gt;'設定（最初に1回）'!$C$4,N(U971),IF(COUNTIFS(①今日の在庫を貼る!$B$6:$B$10005,$B972,①今日の在庫を貼る!$I$6:$I$10005,$I972)&gt;0,N(U971),N(U971)+1))</f>
        <v>2</v>
      </c>
    </row>
    <row r="973" customFormat="false" ht="15" hidden="false" customHeight="false" outlineLevel="0" collapsed="false">
      <c r="B973" s="53"/>
      <c r="I973" s="53"/>
      <c r="U973" s="31" t="n">
        <f aca="false">IF($B973&lt;&gt;'設定（最初に1回）'!$C$4,N(U972),IF(COUNTIFS(①今日の在庫を貼る!$B$6:$B$10005,$B973,①今日の在庫を貼る!$I$6:$I$10005,$I973)&gt;0,N(U972),N(U972)+1))</f>
        <v>2</v>
      </c>
    </row>
    <row r="974" customFormat="false" ht="15" hidden="false" customHeight="false" outlineLevel="0" collapsed="false">
      <c r="B974" s="53"/>
      <c r="I974" s="53"/>
      <c r="U974" s="31" t="n">
        <f aca="false">IF($B974&lt;&gt;'設定（最初に1回）'!$C$4,N(U973),IF(COUNTIFS(①今日の在庫を貼る!$B$6:$B$10005,$B974,①今日の在庫を貼る!$I$6:$I$10005,$I974)&gt;0,N(U973),N(U973)+1))</f>
        <v>2</v>
      </c>
    </row>
    <row r="975" customFormat="false" ht="15" hidden="false" customHeight="false" outlineLevel="0" collapsed="false">
      <c r="B975" s="53"/>
      <c r="I975" s="53"/>
      <c r="U975" s="31" t="n">
        <f aca="false">IF($B975&lt;&gt;'設定（最初に1回）'!$C$4,N(U974),IF(COUNTIFS(①今日の在庫を貼る!$B$6:$B$10005,$B975,①今日の在庫を貼る!$I$6:$I$10005,$I975)&gt;0,N(U974),N(U974)+1))</f>
        <v>2</v>
      </c>
    </row>
    <row r="976" customFormat="false" ht="15" hidden="false" customHeight="false" outlineLevel="0" collapsed="false">
      <c r="B976" s="53"/>
      <c r="I976" s="53"/>
      <c r="U976" s="31" t="n">
        <f aca="false">IF($B976&lt;&gt;'設定（最初に1回）'!$C$4,N(U975),IF(COUNTIFS(①今日の在庫を貼る!$B$6:$B$10005,$B976,①今日の在庫を貼る!$I$6:$I$10005,$I976)&gt;0,N(U975),N(U975)+1))</f>
        <v>2</v>
      </c>
    </row>
    <row r="977" customFormat="false" ht="15" hidden="false" customHeight="false" outlineLevel="0" collapsed="false">
      <c r="B977" s="53"/>
      <c r="I977" s="53"/>
      <c r="U977" s="31" t="n">
        <f aca="false">IF($B977&lt;&gt;'設定（最初に1回）'!$C$4,N(U976),IF(COUNTIFS(①今日の在庫を貼る!$B$6:$B$10005,$B977,①今日の在庫を貼る!$I$6:$I$10005,$I977)&gt;0,N(U976),N(U976)+1))</f>
        <v>2</v>
      </c>
    </row>
    <row r="978" customFormat="false" ht="15" hidden="false" customHeight="false" outlineLevel="0" collapsed="false">
      <c r="B978" s="53"/>
      <c r="I978" s="53"/>
      <c r="U978" s="31" t="n">
        <f aca="false">IF($B978&lt;&gt;'設定（最初に1回）'!$C$4,N(U977),IF(COUNTIFS(①今日の在庫を貼る!$B$6:$B$10005,$B978,①今日の在庫を貼る!$I$6:$I$10005,$I978)&gt;0,N(U977),N(U977)+1))</f>
        <v>2</v>
      </c>
    </row>
    <row r="979" customFormat="false" ht="15" hidden="false" customHeight="false" outlineLevel="0" collapsed="false">
      <c r="B979" s="53"/>
      <c r="I979" s="53"/>
      <c r="U979" s="31" t="n">
        <f aca="false">IF($B979&lt;&gt;'設定（最初に1回）'!$C$4,N(U978),IF(COUNTIFS(①今日の在庫を貼る!$B$6:$B$10005,$B979,①今日の在庫を貼る!$I$6:$I$10005,$I979)&gt;0,N(U978),N(U978)+1))</f>
        <v>2</v>
      </c>
    </row>
    <row r="980" customFormat="false" ht="15" hidden="false" customHeight="false" outlineLevel="0" collapsed="false">
      <c r="B980" s="53"/>
      <c r="I980" s="53"/>
      <c r="U980" s="31" t="n">
        <f aca="false">IF($B980&lt;&gt;'設定（最初に1回）'!$C$4,N(U979),IF(COUNTIFS(①今日の在庫を貼る!$B$6:$B$10005,$B980,①今日の在庫を貼る!$I$6:$I$10005,$I980)&gt;0,N(U979),N(U979)+1))</f>
        <v>2</v>
      </c>
    </row>
    <row r="981" customFormat="false" ht="15" hidden="false" customHeight="false" outlineLevel="0" collapsed="false">
      <c r="B981" s="53"/>
      <c r="I981" s="53"/>
      <c r="U981" s="31" t="n">
        <f aca="false">IF($B981&lt;&gt;'設定（最初に1回）'!$C$4,N(U980),IF(COUNTIFS(①今日の在庫を貼る!$B$6:$B$10005,$B981,①今日の在庫を貼る!$I$6:$I$10005,$I981)&gt;0,N(U980),N(U980)+1))</f>
        <v>2</v>
      </c>
    </row>
    <row r="982" customFormat="false" ht="15" hidden="false" customHeight="false" outlineLevel="0" collapsed="false">
      <c r="B982" s="53"/>
      <c r="I982" s="53"/>
      <c r="U982" s="31" t="n">
        <f aca="false">IF($B982&lt;&gt;'設定（最初に1回）'!$C$4,N(U981),IF(COUNTIFS(①今日の在庫を貼る!$B$6:$B$10005,$B982,①今日の在庫を貼る!$I$6:$I$10005,$I982)&gt;0,N(U981),N(U981)+1))</f>
        <v>2</v>
      </c>
    </row>
    <row r="983" customFormat="false" ht="15" hidden="false" customHeight="false" outlineLevel="0" collapsed="false">
      <c r="B983" s="53"/>
      <c r="I983" s="53"/>
      <c r="U983" s="31" t="n">
        <f aca="false">IF($B983&lt;&gt;'設定（最初に1回）'!$C$4,N(U982),IF(COUNTIFS(①今日の在庫を貼る!$B$6:$B$10005,$B983,①今日の在庫を貼る!$I$6:$I$10005,$I983)&gt;0,N(U982),N(U982)+1))</f>
        <v>2</v>
      </c>
    </row>
    <row r="984" customFormat="false" ht="15" hidden="false" customHeight="false" outlineLevel="0" collapsed="false">
      <c r="B984" s="53"/>
      <c r="I984" s="53"/>
      <c r="U984" s="31" t="n">
        <f aca="false">IF($B984&lt;&gt;'設定（最初に1回）'!$C$4,N(U983),IF(COUNTIFS(①今日の在庫を貼る!$B$6:$B$10005,$B984,①今日の在庫を貼る!$I$6:$I$10005,$I984)&gt;0,N(U983),N(U983)+1))</f>
        <v>2</v>
      </c>
    </row>
    <row r="985" customFormat="false" ht="15" hidden="false" customHeight="false" outlineLevel="0" collapsed="false">
      <c r="B985" s="53"/>
      <c r="I985" s="53"/>
      <c r="U985" s="31" t="n">
        <f aca="false">IF($B985&lt;&gt;'設定（最初に1回）'!$C$4,N(U984),IF(COUNTIFS(①今日の在庫を貼る!$B$6:$B$10005,$B985,①今日の在庫を貼る!$I$6:$I$10005,$I985)&gt;0,N(U984),N(U984)+1))</f>
        <v>2</v>
      </c>
    </row>
    <row r="986" customFormat="false" ht="15" hidden="false" customHeight="false" outlineLevel="0" collapsed="false">
      <c r="B986" s="53"/>
      <c r="I986" s="53"/>
      <c r="U986" s="31" t="n">
        <f aca="false">IF($B986&lt;&gt;'設定（最初に1回）'!$C$4,N(U985),IF(COUNTIFS(①今日の在庫を貼る!$B$6:$B$10005,$B986,①今日の在庫を貼る!$I$6:$I$10005,$I986)&gt;0,N(U985),N(U985)+1))</f>
        <v>2</v>
      </c>
    </row>
    <row r="987" customFormat="false" ht="15" hidden="false" customHeight="false" outlineLevel="0" collapsed="false">
      <c r="B987" s="53"/>
      <c r="I987" s="53"/>
      <c r="U987" s="31" t="n">
        <f aca="false">IF($B987&lt;&gt;'設定（最初に1回）'!$C$4,N(U986),IF(COUNTIFS(①今日の在庫を貼る!$B$6:$B$10005,$B987,①今日の在庫を貼る!$I$6:$I$10005,$I987)&gt;0,N(U986),N(U986)+1))</f>
        <v>2</v>
      </c>
    </row>
    <row r="988" customFormat="false" ht="15" hidden="false" customHeight="false" outlineLevel="0" collapsed="false">
      <c r="B988" s="53"/>
      <c r="I988" s="53"/>
      <c r="U988" s="31" t="n">
        <f aca="false">IF($B988&lt;&gt;'設定（最初に1回）'!$C$4,N(U987),IF(COUNTIFS(①今日の在庫を貼る!$B$6:$B$10005,$B988,①今日の在庫を貼る!$I$6:$I$10005,$I988)&gt;0,N(U987),N(U987)+1))</f>
        <v>2</v>
      </c>
    </row>
    <row r="989" customFormat="false" ht="15" hidden="false" customHeight="false" outlineLevel="0" collapsed="false">
      <c r="B989" s="53"/>
      <c r="I989" s="53"/>
      <c r="U989" s="31" t="n">
        <f aca="false">IF($B989&lt;&gt;'設定（最初に1回）'!$C$4,N(U988),IF(COUNTIFS(①今日の在庫を貼る!$B$6:$B$10005,$B989,①今日の在庫を貼る!$I$6:$I$10005,$I989)&gt;0,N(U988),N(U988)+1))</f>
        <v>2</v>
      </c>
    </row>
    <row r="990" customFormat="false" ht="15" hidden="false" customHeight="false" outlineLevel="0" collapsed="false">
      <c r="B990" s="53"/>
      <c r="I990" s="53"/>
      <c r="U990" s="31" t="n">
        <f aca="false">IF($B990&lt;&gt;'設定（最初に1回）'!$C$4,N(U989),IF(COUNTIFS(①今日の在庫を貼る!$B$6:$B$10005,$B990,①今日の在庫を貼る!$I$6:$I$10005,$I990)&gt;0,N(U989),N(U989)+1))</f>
        <v>2</v>
      </c>
    </row>
    <row r="991" customFormat="false" ht="15" hidden="false" customHeight="false" outlineLevel="0" collapsed="false">
      <c r="B991" s="53"/>
      <c r="I991" s="53"/>
      <c r="U991" s="31" t="n">
        <f aca="false">IF($B991&lt;&gt;'設定（最初に1回）'!$C$4,N(U990),IF(COUNTIFS(①今日の在庫を貼る!$B$6:$B$10005,$B991,①今日の在庫を貼る!$I$6:$I$10005,$I991)&gt;0,N(U990),N(U990)+1))</f>
        <v>2</v>
      </c>
    </row>
    <row r="992" customFormat="false" ht="15" hidden="false" customHeight="false" outlineLevel="0" collapsed="false">
      <c r="B992" s="53"/>
      <c r="I992" s="53"/>
      <c r="U992" s="31" t="n">
        <f aca="false">IF($B992&lt;&gt;'設定（最初に1回）'!$C$4,N(U991),IF(COUNTIFS(①今日の在庫を貼る!$B$6:$B$10005,$B992,①今日の在庫を貼る!$I$6:$I$10005,$I992)&gt;0,N(U991),N(U991)+1))</f>
        <v>2</v>
      </c>
    </row>
    <row r="993" customFormat="false" ht="15" hidden="false" customHeight="false" outlineLevel="0" collapsed="false">
      <c r="B993" s="53"/>
      <c r="I993" s="53"/>
      <c r="U993" s="31" t="n">
        <f aca="false">IF($B993&lt;&gt;'設定（最初に1回）'!$C$4,N(U992),IF(COUNTIFS(①今日の在庫を貼る!$B$6:$B$10005,$B993,①今日の在庫を貼る!$I$6:$I$10005,$I993)&gt;0,N(U992),N(U992)+1))</f>
        <v>2</v>
      </c>
    </row>
    <row r="994" customFormat="false" ht="15" hidden="false" customHeight="false" outlineLevel="0" collapsed="false">
      <c r="B994" s="53"/>
      <c r="I994" s="53"/>
      <c r="U994" s="31" t="n">
        <f aca="false">IF($B994&lt;&gt;'設定（最初に1回）'!$C$4,N(U993),IF(COUNTIFS(①今日の在庫を貼る!$B$6:$B$10005,$B994,①今日の在庫を貼る!$I$6:$I$10005,$I994)&gt;0,N(U993),N(U993)+1))</f>
        <v>2</v>
      </c>
    </row>
    <row r="995" customFormat="false" ht="15" hidden="false" customHeight="false" outlineLevel="0" collapsed="false">
      <c r="B995" s="53"/>
      <c r="I995" s="53"/>
      <c r="U995" s="31" t="n">
        <f aca="false">IF($B995&lt;&gt;'設定（最初に1回）'!$C$4,N(U994),IF(COUNTIFS(①今日の在庫を貼る!$B$6:$B$10005,$B995,①今日の在庫を貼る!$I$6:$I$10005,$I995)&gt;0,N(U994),N(U994)+1))</f>
        <v>2</v>
      </c>
    </row>
    <row r="996" customFormat="false" ht="15" hidden="false" customHeight="false" outlineLevel="0" collapsed="false">
      <c r="B996" s="53"/>
      <c r="I996" s="53"/>
      <c r="U996" s="31" t="n">
        <f aca="false">IF($B996&lt;&gt;'設定（最初に1回）'!$C$4,N(U995),IF(COUNTIFS(①今日の在庫を貼る!$B$6:$B$10005,$B996,①今日の在庫を貼る!$I$6:$I$10005,$I996)&gt;0,N(U995),N(U995)+1))</f>
        <v>2</v>
      </c>
    </row>
    <row r="997" customFormat="false" ht="15" hidden="false" customHeight="false" outlineLevel="0" collapsed="false">
      <c r="B997" s="53"/>
      <c r="I997" s="53"/>
      <c r="U997" s="31" t="n">
        <f aca="false">IF($B997&lt;&gt;'設定（最初に1回）'!$C$4,N(U996),IF(COUNTIFS(①今日の在庫を貼る!$B$6:$B$10005,$B997,①今日の在庫を貼る!$I$6:$I$10005,$I997)&gt;0,N(U996),N(U996)+1))</f>
        <v>2</v>
      </c>
    </row>
    <row r="998" customFormat="false" ht="15" hidden="false" customHeight="false" outlineLevel="0" collapsed="false">
      <c r="B998" s="53"/>
      <c r="I998" s="53"/>
      <c r="U998" s="31" t="n">
        <f aca="false">IF($B998&lt;&gt;'設定（最初に1回）'!$C$4,N(U997),IF(COUNTIFS(①今日の在庫を貼る!$B$6:$B$10005,$B998,①今日の在庫を貼る!$I$6:$I$10005,$I998)&gt;0,N(U997),N(U997)+1))</f>
        <v>2</v>
      </c>
    </row>
    <row r="999" customFormat="false" ht="15" hidden="false" customHeight="false" outlineLevel="0" collapsed="false">
      <c r="B999" s="53"/>
      <c r="I999" s="53"/>
      <c r="U999" s="31" t="n">
        <f aca="false">IF($B999&lt;&gt;'設定（最初に1回）'!$C$4,N(U998),IF(COUNTIFS(①今日の在庫を貼る!$B$6:$B$10005,$B999,①今日の在庫を貼る!$I$6:$I$10005,$I999)&gt;0,N(U998),N(U998)+1))</f>
        <v>2</v>
      </c>
    </row>
    <row r="1000" customFormat="false" ht="15" hidden="false" customHeight="false" outlineLevel="0" collapsed="false">
      <c r="B1000" s="53"/>
      <c r="I1000" s="53"/>
      <c r="U1000" s="31" t="n">
        <f aca="false">IF($B1000&lt;&gt;'設定（最初に1回）'!$C$4,N(U999),IF(COUNTIFS(①今日の在庫を貼る!$B$6:$B$10005,$B1000,①今日の在庫を貼る!$I$6:$I$10005,$I1000)&gt;0,N(U999),N(U999)+1))</f>
        <v>2</v>
      </c>
    </row>
    <row r="1001" customFormat="false" ht="15" hidden="false" customHeight="false" outlineLevel="0" collapsed="false">
      <c r="B1001" s="53"/>
      <c r="I1001" s="53"/>
      <c r="U1001" s="31" t="n">
        <f aca="false">IF($B1001&lt;&gt;'設定（最初に1回）'!$C$4,N(U1000),IF(COUNTIFS(①今日の在庫を貼る!$B$6:$B$10005,$B1001,①今日の在庫を貼る!$I$6:$I$10005,$I1001)&gt;0,N(U1000),N(U1000)+1))</f>
        <v>2</v>
      </c>
    </row>
    <row r="1002" customFormat="false" ht="15" hidden="false" customHeight="false" outlineLevel="0" collapsed="false">
      <c r="B1002" s="53"/>
      <c r="I1002" s="53"/>
      <c r="U1002" s="31" t="n">
        <f aca="false">IF($B1002&lt;&gt;'設定（最初に1回）'!$C$4,N(U1001),IF(COUNTIFS(①今日の在庫を貼る!$B$6:$B$10005,$B1002,①今日の在庫を貼る!$I$6:$I$10005,$I1002)&gt;0,N(U1001),N(U1001)+1))</f>
        <v>2</v>
      </c>
    </row>
    <row r="1003" customFormat="false" ht="15" hidden="false" customHeight="false" outlineLevel="0" collapsed="false">
      <c r="B1003" s="53"/>
      <c r="I1003" s="53"/>
      <c r="U1003" s="31" t="n">
        <f aca="false">IF($B1003&lt;&gt;'設定（最初に1回）'!$C$4,N(U1002),IF(COUNTIFS(①今日の在庫を貼る!$B$6:$B$10005,$B1003,①今日の在庫を貼る!$I$6:$I$10005,$I1003)&gt;0,N(U1002),N(U1002)+1))</f>
        <v>2</v>
      </c>
    </row>
    <row r="1004" customFormat="false" ht="15" hidden="false" customHeight="false" outlineLevel="0" collapsed="false">
      <c r="B1004" s="53"/>
      <c r="I1004" s="53"/>
      <c r="U1004" s="31" t="n">
        <f aca="false">IF($B1004&lt;&gt;'設定（最初に1回）'!$C$4,N(U1003),IF(COUNTIFS(①今日の在庫を貼る!$B$6:$B$10005,$B1004,①今日の在庫を貼る!$I$6:$I$10005,$I1004)&gt;0,N(U1003),N(U1003)+1))</f>
        <v>2</v>
      </c>
    </row>
    <row r="1005" customFormat="false" ht="15" hidden="false" customHeight="false" outlineLevel="0" collapsed="false">
      <c r="B1005" s="53"/>
      <c r="I1005" s="53"/>
      <c r="U1005" s="31" t="n">
        <f aca="false">IF($B1005&lt;&gt;'設定（最初に1回）'!$C$4,N(U1004),IF(COUNTIFS(①今日の在庫を貼る!$B$6:$B$10005,$B1005,①今日の在庫を貼る!$I$6:$I$10005,$I1005)&gt;0,N(U1004),N(U1004)+1))</f>
        <v>2</v>
      </c>
    </row>
    <row r="1006" customFormat="false" ht="15" hidden="false" customHeight="false" outlineLevel="0" collapsed="false">
      <c r="B1006" s="53"/>
      <c r="I1006" s="53"/>
      <c r="U1006" s="31" t="n">
        <f aca="false">IF($B1006&lt;&gt;'設定（最初に1回）'!$C$4,N(U1005),IF(COUNTIFS(①今日の在庫を貼る!$B$6:$B$10005,$B1006,①今日の在庫を貼る!$I$6:$I$10005,$I1006)&gt;0,N(U1005),N(U1005)+1))</f>
        <v>2</v>
      </c>
    </row>
    <row r="1007" customFormat="false" ht="15" hidden="false" customHeight="false" outlineLevel="0" collapsed="false">
      <c r="B1007" s="53"/>
      <c r="I1007" s="53"/>
      <c r="U1007" s="31" t="n">
        <f aca="false">IF($B1007&lt;&gt;'設定（最初に1回）'!$C$4,N(U1006),IF(COUNTIFS(①今日の在庫を貼る!$B$6:$B$10005,$B1007,①今日の在庫を貼る!$I$6:$I$10005,$I1007)&gt;0,N(U1006),N(U1006)+1))</f>
        <v>2</v>
      </c>
    </row>
    <row r="1008" customFormat="false" ht="15" hidden="false" customHeight="false" outlineLevel="0" collapsed="false">
      <c r="B1008" s="53"/>
      <c r="I1008" s="53"/>
      <c r="U1008" s="31" t="n">
        <f aca="false">IF($B1008&lt;&gt;'設定（最初に1回）'!$C$4,N(U1007),IF(COUNTIFS(①今日の在庫を貼る!$B$6:$B$10005,$B1008,①今日の在庫を貼る!$I$6:$I$10005,$I1008)&gt;0,N(U1007),N(U1007)+1))</f>
        <v>2</v>
      </c>
    </row>
    <row r="1009" customFormat="false" ht="15" hidden="false" customHeight="false" outlineLevel="0" collapsed="false">
      <c r="B1009" s="53"/>
      <c r="I1009" s="53"/>
      <c r="U1009" s="31" t="n">
        <f aca="false">IF($B1009&lt;&gt;'設定（最初に1回）'!$C$4,N(U1008),IF(COUNTIFS(①今日の在庫を貼る!$B$6:$B$10005,$B1009,①今日の在庫を貼る!$I$6:$I$10005,$I1009)&gt;0,N(U1008),N(U1008)+1))</f>
        <v>2</v>
      </c>
    </row>
    <row r="1010" customFormat="false" ht="15" hidden="false" customHeight="false" outlineLevel="0" collapsed="false">
      <c r="B1010" s="53"/>
      <c r="I1010" s="53"/>
      <c r="U1010" s="31" t="n">
        <f aca="false">IF($B1010&lt;&gt;'設定（最初に1回）'!$C$4,N(U1009),IF(COUNTIFS(①今日の在庫を貼る!$B$6:$B$10005,$B1010,①今日の在庫を貼る!$I$6:$I$10005,$I1010)&gt;0,N(U1009),N(U1009)+1))</f>
        <v>2</v>
      </c>
    </row>
    <row r="1011" customFormat="false" ht="15" hidden="false" customHeight="false" outlineLevel="0" collapsed="false">
      <c r="B1011" s="53"/>
      <c r="I1011" s="53"/>
      <c r="U1011" s="31" t="n">
        <f aca="false">IF($B1011&lt;&gt;'設定（最初に1回）'!$C$4,N(U1010),IF(COUNTIFS(①今日の在庫を貼る!$B$6:$B$10005,$B1011,①今日の在庫を貼る!$I$6:$I$10005,$I1011)&gt;0,N(U1010),N(U1010)+1))</f>
        <v>2</v>
      </c>
    </row>
    <row r="1012" customFormat="false" ht="15" hidden="false" customHeight="false" outlineLevel="0" collapsed="false">
      <c r="B1012" s="53"/>
      <c r="I1012" s="53"/>
      <c r="U1012" s="31" t="n">
        <f aca="false">IF($B1012&lt;&gt;'設定（最初に1回）'!$C$4,N(U1011),IF(COUNTIFS(①今日の在庫を貼る!$B$6:$B$10005,$B1012,①今日の在庫を貼る!$I$6:$I$10005,$I1012)&gt;0,N(U1011),N(U1011)+1))</f>
        <v>2</v>
      </c>
    </row>
    <row r="1013" customFormat="false" ht="15" hidden="false" customHeight="false" outlineLevel="0" collapsed="false">
      <c r="B1013" s="53"/>
      <c r="I1013" s="53"/>
      <c r="U1013" s="31" t="n">
        <f aca="false">IF($B1013&lt;&gt;'設定（最初に1回）'!$C$4,N(U1012),IF(COUNTIFS(①今日の在庫を貼る!$B$6:$B$10005,$B1013,①今日の在庫を貼る!$I$6:$I$10005,$I1013)&gt;0,N(U1012),N(U1012)+1))</f>
        <v>2</v>
      </c>
    </row>
    <row r="1014" customFormat="false" ht="15" hidden="false" customHeight="false" outlineLevel="0" collapsed="false">
      <c r="B1014" s="53"/>
      <c r="I1014" s="53"/>
      <c r="U1014" s="31" t="n">
        <f aca="false">IF($B1014&lt;&gt;'設定（最初に1回）'!$C$4,N(U1013),IF(COUNTIFS(①今日の在庫を貼る!$B$6:$B$10005,$B1014,①今日の在庫を貼る!$I$6:$I$10005,$I1014)&gt;0,N(U1013),N(U1013)+1))</f>
        <v>2</v>
      </c>
    </row>
    <row r="1015" customFormat="false" ht="15" hidden="false" customHeight="false" outlineLevel="0" collapsed="false">
      <c r="B1015" s="53"/>
      <c r="I1015" s="53"/>
      <c r="U1015" s="31" t="n">
        <f aca="false">IF($B1015&lt;&gt;'設定（最初に1回）'!$C$4,N(U1014),IF(COUNTIFS(①今日の在庫を貼る!$B$6:$B$10005,$B1015,①今日の在庫を貼る!$I$6:$I$10005,$I1015)&gt;0,N(U1014),N(U1014)+1))</f>
        <v>2</v>
      </c>
    </row>
    <row r="1016" customFormat="false" ht="15" hidden="false" customHeight="false" outlineLevel="0" collapsed="false">
      <c r="B1016" s="53"/>
      <c r="I1016" s="53"/>
      <c r="U1016" s="31" t="n">
        <f aca="false">IF($B1016&lt;&gt;'設定（最初に1回）'!$C$4,N(U1015),IF(COUNTIFS(①今日の在庫を貼る!$B$6:$B$10005,$B1016,①今日の在庫を貼る!$I$6:$I$10005,$I1016)&gt;0,N(U1015),N(U1015)+1))</f>
        <v>2</v>
      </c>
    </row>
    <row r="1017" customFormat="false" ht="15" hidden="false" customHeight="false" outlineLevel="0" collapsed="false">
      <c r="B1017" s="53"/>
      <c r="I1017" s="53"/>
      <c r="U1017" s="31" t="n">
        <f aca="false">IF($B1017&lt;&gt;'設定（最初に1回）'!$C$4,N(U1016),IF(COUNTIFS(①今日の在庫を貼る!$B$6:$B$10005,$B1017,①今日の在庫を貼る!$I$6:$I$10005,$I1017)&gt;0,N(U1016),N(U1016)+1))</f>
        <v>2</v>
      </c>
    </row>
    <row r="1018" customFormat="false" ht="15" hidden="false" customHeight="false" outlineLevel="0" collapsed="false">
      <c r="B1018" s="53"/>
      <c r="I1018" s="53"/>
      <c r="U1018" s="31" t="n">
        <f aca="false">IF($B1018&lt;&gt;'設定（最初に1回）'!$C$4,N(U1017),IF(COUNTIFS(①今日の在庫を貼る!$B$6:$B$10005,$B1018,①今日の在庫を貼る!$I$6:$I$10005,$I1018)&gt;0,N(U1017),N(U1017)+1))</f>
        <v>2</v>
      </c>
    </row>
    <row r="1019" customFormat="false" ht="15" hidden="false" customHeight="false" outlineLevel="0" collapsed="false">
      <c r="B1019" s="53"/>
      <c r="I1019" s="53"/>
      <c r="U1019" s="31" t="n">
        <f aca="false">IF($B1019&lt;&gt;'設定（最初に1回）'!$C$4,N(U1018),IF(COUNTIFS(①今日の在庫を貼る!$B$6:$B$10005,$B1019,①今日の在庫を貼る!$I$6:$I$10005,$I1019)&gt;0,N(U1018),N(U1018)+1))</f>
        <v>2</v>
      </c>
    </row>
    <row r="1020" customFormat="false" ht="15" hidden="false" customHeight="false" outlineLevel="0" collapsed="false">
      <c r="B1020" s="53"/>
      <c r="I1020" s="53"/>
      <c r="U1020" s="31" t="n">
        <f aca="false">IF($B1020&lt;&gt;'設定（最初に1回）'!$C$4,N(U1019),IF(COUNTIFS(①今日の在庫を貼る!$B$6:$B$10005,$B1020,①今日の在庫を貼る!$I$6:$I$10005,$I1020)&gt;0,N(U1019),N(U1019)+1))</f>
        <v>2</v>
      </c>
    </row>
    <row r="1021" customFormat="false" ht="15" hidden="false" customHeight="false" outlineLevel="0" collapsed="false">
      <c r="B1021" s="53"/>
      <c r="I1021" s="53"/>
      <c r="U1021" s="31" t="n">
        <f aca="false">IF($B1021&lt;&gt;'設定（最初に1回）'!$C$4,N(U1020),IF(COUNTIFS(①今日の在庫を貼る!$B$6:$B$10005,$B1021,①今日の在庫を貼る!$I$6:$I$10005,$I1021)&gt;0,N(U1020),N(U1020)+1))</f>
        <v>2</v>
      </c>
    </row>
    <row r="1022" customFormat="false" ht="15" hidden="false" customHeight="false" outlineLevel="0" collapsed="false">
      <c r="B1022" s="53"/>
      <c r="I1022" s="53"/>
      <c r="U1022" s="31" t="n">
        <f aca="false">IF($B1022&lt;&gt;'設定（最初に1回）'!$C$4,N(U1021),IF(COUNTIFS(①今日の在庫を貼る!$B$6:$B$10005,$B1022,①今日の在庫を貼る!$I$6:$I$10005,$I1022)&gt;0,N(U1021),N(U1021)+1))</f>
        <v>2</v>
      </c>
    </row>
    <row r="1023" customFormat="false" ht="15" hidden="false" customHeight="false" outlineLevel="0" collapsed="false">
      <c r="B1023" s="53"/>
      <c r="I1023" s="53"/>
      <c r="U1023" s="31" t="n">
        <f aca="false">IF($B1023&lt;&gt;'設定（最初に1回）'!$C$4,N(U1022),IF(COUNTIFS(①今日の在庫を貼る!$B$6:$B$10005,$B1023,①今日の在庫を貼る!$I$6:$I$10005,$I1023)&gt;0,N(U1022),N(U1022)+1))</f>
        <v>2</v>
      </c>
    </row>
    <row r="1024" customFormat="false" ht="15" hidden="false" customHeight="false" outlineLevel="0" collapsed="false">
      <c r="B1024" s="53"/>
      <c r="I1024" s="53"/>
      <c r="U1024" s="31" t="n">
        <f aca="false">IF($B1024&lt;&gt;'設定（最初に1回）'!$C$4,N(U1023),IF(COUNTIFS(①今日の在庫を貼る!$B$6:$B$10005,$B1024,①今日の在庫を貼る!$I$6:$I$10005,$I1024)&gt;0,N(U1023),N(U1023)+1))</f>
        <v>2</v>
      </c>
    </row>
    <row r="1025" customFormat="false" ht="15" hidden="false" customHeight="false" outlineLevel="0" collapsed="false">
      <c r="B1025" s="53"/>
      <c r="I1025" s="53"/>
      <c r="U1025" s="31" t="n">
        <f aca="false">IF($B1025&lt;&gt;'設定（最初に1回）'!$C$4,N(U1024),IF(COUNTIFS(①今日の在庫を貼る!$B$6:$B$10005,$B1025,①今日の在庫を貼る!$I$6:$I$10005,$I1025)&gt;0,N(U1024),N(U1024)+1))</f>
        <v>2</v>
      </c>
    </row>
    <row r="1026" customFormat="false" ht="15" hidden="false" customHeight="false" outlineLevel="0" collapsed="false">
      <c r="B1026" s="53"/>
      <c r="I1026" s="53"/>
      <c r="U1026" s="31" t="n">
        <f aca="false">IF($B1026&lt;&gt;'設定（最初に1回）'!$C$4,N(U1025),IF(COUNTIFS(①今日の在庫を貼る!$B$6:$B$10005,$B1026,①今日の在庫を貼る!$I$6:$I$10005,$I1026)&gt;0,N(U1025),N(U1025)+1))</f>
        <v>2</v>
      </c>
    </row>
    <row r="1027" customFormat="false" ht="15" hidden="false" customHeight="false" outlineLevel="0" collapsed="false">
      <c r="B1027" s="53"/>
      <c r="I1027" s="53"/>
      <c r="U1027" s="31" t="n">
        <f aca="false">IF($B1027&lt;&gt;'設定（最初に1回）'!$C$4,N(U1026),IF(COUNTIFS(①今日の在庫を貼る!$B$6:$B$10005,$B1027,①今日の在庫を貼る!$I$6:$I$10005,$I1027)&gt;0,N(U1026),N(U1026)+1))</f>
        <v>2</v>
      </c>
    </row>
    <row r="1028" customFormat="false" ht="15" hidden="false" customHeight="false" outlineLevel="0" collapsed="false">
      <c r="B1028" s="53"/>
      <c r="I1028" s="53"/>
      <c r="U1028" s="31" t="n">
        <f aca="false">IF($B1028&lt;&gt;'設定（最初に1回）'!$C$4,N(U1027),IF(COUNTIFS(①今日の在庫を貼る!$B$6:$B$10005,$B1028,①今日の在庫を貼る!$I$6:$I$10005,$I1028)&gt;0,N(U1027),N(U1027)+1))</f>
        <v>2</v>
      </c>
    </row>
    <row r="1029" customFormat="false" ht="15" hidden="false" customHeight="false" outlineLevel="0" collapsed="false">
      <c r="B1029" s="53"/>
      <c r="I1029" s="53"/>
      <c r="U1029" s="31" t="n">
        <f aca="false">IF($B1029&lt;&gt;'設定（最初に1回）'!$C$4,N(U1028),IF(COUNTIFS(①今日の在庫を貼る!$B$6:$B$10005,$B1029,①今日の在庫を貼る!$I$6:$I$10005,$I1029)&gt;0,N(U1028),N(U1028)+1))</f>
        <v>2</v>
      </c>
    </row>
    <row r="1030" customFormat="false" ht="15" hidden="false" customHeight="false" outlineLevel="0" collapsed="false">
      <c r="B1030" s="53"/>
      <c r="I1030" s="53"/>
      <c r="U1030" s="31" t="n">
        <f aca="false">IF($B1030&lt;&gt;'設定（最初に1回）'!$C$4,N(U1029),IF(COUNTIFS(①今日の在庫を貼る!$B$6:$B$10005,$B1030,①今日の在庫を貼る!$I$6:$I$10005,$I1030)&gt;0,N(U1029),N(U1029)+1))</f>
        <v>2</v>
      </c>
    </row>
    <row r="1031" customFormat="false" ht="15" hidden="false" customHeight="false" outlineLevel="0" collapsed="false">
      <c r="B1031" s="53"/>
      <c r="I1031" s="53"/>
      <c r="U1031" s="31" t="n">
        <f aca="false">IF($B1031&lt;&gt;'設定（最初に1回）'!$C$4,N(U1030),IF(COUNTIFS(①今日の在庫を貼る!$B$6:$B$10005,$B1031,①今日の在庫を貼る!$I$6:$I$10005,$I1031)&gt;0,N(U1030),N(U1030)+1))</f>
        <v>2</v>
      </c>
    </row>
    <row r="1032" customFormat="false" ht="15" hidden="false" customHeight="false" outlineLevel="0" collapsed="false">
      <c r="B1032" s="53"/>
      <c r="I1032" s="53"/>
      <c r="U1032" s="31" t="n">
        <f aca="false">IF($B1032&lt;&gt;'設定（最初に1回）'!$C$4,N(U1031),IF(COUNTIFS(①今日の在庫を貼る!$B$6:$B$10005,$B1032,①今日の在庫を貼る!$I$6:$I$10005,$I1032)&gt;0,N(U1031),N(U1031)+1))</f>
        <v>2</v>
      </c>
    </row>
    <row r="1033" customFormat="false" ht="15" hidden="false" customHeight="false" outlineLevel="0" collapsed="false">
      <c r="B1033" s="53"/>
      <c r="I1033" s="53"/>
      <c r="U1033" s="31" t="n">
        <f aca="false">IF($B1033&lt;&gt;'設定（最初に1回）'!$C$4,N(U1032),IF(COUNTIFS(①今日の在庫を貼る!$B$6:$B$10005,$B1033,①今日の在庫を貼る!$I$6:$I$10005,$I1033)&gt;0,N(U1032),N(U1032)+1))</f>
        <v>2</v>
      </c>
    </row>
    <row r="1034" customFormat="false" ht="15" hidden="false" customHeight="false" outlineLevel="0" collapsed="false">
      <c r="B1034" s="53"/>
      <c r="I1034" s="53"/>
      <c r="U1034" s="31" t="n">
        <f aca="false">IF($B1034&lt;&gt;'設定（最初に1回）'!$C$4,N(U1033),IF(COUNTIFS(①今日の在庫を貼る!$B$6:$B$10005,$B1034,①今日の在庫を貼る!$I$6:$I$10005,$I1034)&gt;0,N(U1033),N(U1033)+1))</f>
        <v>2</v>
      </c>
    </row>
    <row r="1035" customFormat="false" ht="15" hidden="false" customHeight="false" outlineLevel="0" collapsed="false">
      <c r="B1035" s="53"/>
      <c r="I1035" s="53"/>
      <c r="U1035" s="31" t="n">
        <f aca="false">IF($B1035&lt;&gt;'設定（最初に1回）'!$C$4,N(U1034),IF(COUNTIFS(①今日の在庫を貼る!$B$6:$B$10005,$B1035,①今日の在庫を貼る!$I$6:$I$10005,$I1035)&gt;0,N(U1034),N(U1034)+1))</f>
        <v>2</v>
      </c>
    </row>
    <row r="1036" customFormat="false" ht="15" hidden="false" customHeight="false" outlineLevel="0" collapsed="false">
      <c r="B1036" s="53"/>
      <c r="I1036" s="53"/>
      <c r="U1036" s="31" t="n">
        <f aca="false">IF($B1036&lt;&gt;'設定（最初に1回）'!$C$4,N(U1035),IF(COUNTIFS(①今日の在庫を貼る!$B$6:$B$10005,$B1036,①今日の在庫を貼る!$I$6:$I$10005,$I1036)&gt;0,N(U1035),N(U1035)+1))</f>
        <v>2</v>
      </c>
    </row>
    <row r="1037" customFormat="false" ht="15" hidden="false" customHeight="false" outlineLevel="0" collapsed="false">
      <c r="B1037" s="53"/>
      <c r="I1037" s="53"/>
      <c r="U1037" s="31" t="n">
        <f aca="false">IF($B1037&lt;&gt;'設定（最初に1回）'!$C$4,N(U1036),IF(COUNTIFS(①今日の在庫を貼る!$B$6:$B$10005,$B1037,①今日の在庫を貼る!$I$6:$I$10005,$I1037)&gt;0,N(U1036),N(U1036)+1))</f>
        <v>2</v>
      </c>
    </row>
    <row r="1038" customFormat="false" ht="15" hidden="false" customHeight="false" outlineLevel="0" collapsed="false">
      <c r="B1038" s="53"/>
      <c r="I1038" s="53"/>
      <c r="U1038" s="31" t="n">
        <f aca="false">IF($B1038&lt;&gt;'設定（最初に1回）'!$C$4,N(U1037),IF(COUNTIFS(①今日の在庫を貼る!$B$6:$B$10005,$B1038,①今日の在庫を貼る!$I$6:$I$10005,$I1038)&gt;0,N(U1037),N(U1037)+1))</f>
        <v>2</v>
      </c>
    </row>
    <row r="1039" customFormat="false" ht="15" hidden="false" customHeight="false" outlineLevel="0" collapsed="false">
      <c r="B1039" s="53"/>
      <c r="I1039" s="53"/>
      <c r="U1039" s="31" t="n">
        <f aca="false">IF($B1039&lt;&gt;'設定（最初に1回）'!$C$4,N(U1038),IF(COUNTIFS(①今日の在庫を貼る!$B$6:$B$10005,$B1039,①今日の在庫を貼る!$I$6:$I$10005,$I1039)&gt;0,N(U1038),N(U1038)+1))</f>
        <v>2</v>
      </c>
    </row>
    <row r="1040" customFormat="false" ht="15" hidden="false" customHeight="false" outlineLevel="0" collapsed="false">
      <c r="B1040" s="53"/>
      <c r="I1040" s="53"/>
      <c r="U1040" s="31" t="n">
        <f aca="false">IF($B1040&lt;&gt;'設定（最初に1回）'!$C$4,N(U1039),IF(COUNTIFS(①今日の在庫を貼る!$B$6:$B$10005,$B1040,①今日の在庫を貼る!$I$6:$I$10005,$I1040)&gt;0,N(U1039),N(U1039)+1))</f>
        <v>2</v>
      </c>
    </row>
    <row r="1041" customFormat="false" ht="15" hidden="false" customHeight="false" outlineLevel="0" collapsed="false">
      <c r="B1041" s="53"/>
      <c r="I1041" s="53"/>
      <c r="U1041" s="31" t="n">
        <f aca="false">IF($B1041&lt;&gt;'設定（最初に1回）'!$C$4,N(U1040),IF(COUNTIFS(①今日の在庫を貼る!$B$6:$B$10005,$B1041,①今日の在庫を貼る!$I$6:$I$10005,$I1041)&gt;0,N(U1040),N(U1040)+1))</f>
        <v>2</v>
      </c>
    </row>
    <row r="1042" customFormat="false" ht="15" hidden="false" customHeight="false" outlineLevel="0" collapsed="false">
      <c r="B1042" s="53"/>
      <c r="I1042" s="53"/>
      <c r="U1042" s="31" t="n">
        <f aca="false">IF($B1042&lt;&gt;'設定（最初に1回）'!$C$4,N(U1041),IF(COUNTIFS(①今日の在庫を貼る!$B$6:$B$10005,$B1042,①今日の在庫を貼る!$I$6:$I$10005,$I1042)&gt;0,N(U1041),N(U1041)+1))</f>
        <v>2</v>
      </c>
    </row>
    <row r="1043" customFormat="false" ht="15" hidden="false" customHeight="false" outlineLevel="0" collapsed="false">
      <c r="B1043" s="53"/>
      <c r="I1043" s="53"/>
      <c r="U1043" s="31" t="n">
        <f aca="false">IF($B1043&lt;&gt;'設定（最初に1回）'!$C$4,N(U1042),IF(COUNTIFS(①今日の在庫を貼る!$B$6:$B$10005,$B1043,①今日の在庫を貼る!$I$6:$I$10005,$I1043)&gt;0,N(U1042),N(U1042)+1))</f>
        <v>2</v>
      </c>
    </row>
    <row r="1044" customFormat="false" ht="15" hidden="false" customHeight="false" outlineLevel="0" collapsed="false">
      <c r="B1044" s="53"/>
      <c r="I1044" s="53"/>
      <c r="U1044" s="31" t="n">
        <f aca="false">IF($B1044&lt;&gt;'設定（最初に1回）'!$C$4,N(U1043),IF(COUNTIFS(①今日の在庫を貼る!$B$6:$B$10005,$B1044,①今日の在庫を貼る!$I$6:$I$10005,$I1044)&gt;0,N(U1043),N(U1043)+1))</f>
        <v>2</v>
      </c>
    </row>
    <row r="1045" customFormat="false" ht="15" hidden="false" customHeight="false" outlineLevel="0" collapsed="false">
      <c r="B1045" s="53"/>
      <c r="I1045" s="53"/>
      <c r="U1045" s="31" t="n">
        <f aca="false">IF($B1045&lt;&gt;'設定（最初に1回）'!$C$4,N(U1044),IF(COUNTIFS(①今日の在庫を貼る!$B$6:$B$10005,$B1045,①今日の在庫を貼る!$I$6:$I$10005,$I1045)&gt;0,N(U1044),N(U1044)+1))</f>
        <v>2</v>
      </c>
    </row>
    <row r="1046" customFormat="false" ht="15" hidden="false" customHeight="false" outlineLevel="0" collapsed="false">
      <c r="B1046" s="53"/>
      <c r="I1046" s="53"/>
      <c r="U1046" s="31" t="n">
        <f aca="false">IF($B1046&lt;&gt;'設定（最初に1回）'!$C$4,N(U1045),IF(COUNTIFS(①今日の在庫を貼る!$B$6:$B$10005,$B1046,①今日の在庫を貼る!$I$6:$I$10005,$I1046)&gt;0,N(U1045),N(U1045)+1))</f>
        <v>2</v>
      </c>
    </row>
    <row r="1047" customFormat="false" ht="15" hidden="false" customHeight="false" outlineLevel="0" collapsed="false">
      <c r="B1047" s="53"/>
      <c r="I1047" s="53"/>
      <c r="U1047" s="31" t="n">
        <f aca="false">IF($B1047&lt;&gt;'設定（最初に1回）'!$C$4,N(U1046),IF(COUNTIFS(①今日の在庫を貼る!$B$6:$B$10005,$B1047,①今日の在庫を貼る!$I$6:$I$10005,$I1047)&gt;0,N(U1046),N(U1046)+1))</f>
        <v>2</v>
      </c>
    </row>
    <row r="1048" customFormat="false" ht="15" hidden="false" customHeight="false" outlineLevel="0" collapsed="false">
      <c r="B1048" s="53"/>
      <c r="I1048" s="53"/>
      <c r="U1048" s="31" t="n">
        <f aca="false">IF($B1048&lt;&gt;'設定（最初に1回）'!$C$4,N(U1047),IF(COUNTIFS(①今日の在庫を貼る!$B$6:$B$10005,$B1048,①今日の在庫を貼る!$I$6:$I$10005,$I1048)&gt;0,N(U1047),N(U1047)+1))</f>
        <v>2</v>
      </c>
    </row>
    <row r="1049" customFormat="false" ht="15" hidden="false" customHeight="false" outlineLevel="0" collapsed="false">
      <c r="B1049" s="53"/>
      <c r="I1049" s="53"/>
      <c r="U1049" s="31" t="n">
        <f aca="false">IF($B1049&lt;&gt;'設定（最初に1回）'!$C$4,N(U1048),IF(COUNTIFS(①今日の在庫を貼る!$B$6:$B$10005,$B1049,①今日の在庫を貼る!$I$6:$I$10005,$I1049)&gt;0,N(U1048),N(U1048)+1))</f>
        <v>2</v>
      </c>
    </row>
    <row r="1050" customFormat="false" ht="15" hidden="false" customHeight="false" outlineLevel="0" collapsed="false">
      <c r="B1050" s="53"/>
      <c r="I1050" s="53"/>
      <c r="U1050" s="31" t="n">
        <f aca="false">IF($B1050&lt;&gt;'設定（最初に1回）'!$C$4,N(U1049),IF(COUNTIFS(①今日の在庫を貼る!$B$6:$B$10005,$B1050,①今日の在庫を貼る!$I$6:$I$10005,$I1050)&gt;0,N(U1049),N(U1049)+1))</f>
        <v>2</v>
      </c>
    </row>
    <row r="1051" customFormat="false" ht="15" hidden="false" customHeight="false" outlineLevel="0" collapsed="false">
      <c r="B1051" s="53"/>
      <c r="I1051" s="53"/>
      <c r="U1051" s="31" t="n">
        <f aca="false">IF($B1051&lt;&gt;'設定（最初に1回）'!$C$4,N(U1050),IF(COUNTIFS(①今日の在庫を貼る!$B$6:$B$10005,$B1051,①今日の在庫を貼る!$I$6:$I$10005,$I1051)&gt;0,N(U1050),N(U1050)+1))</f>
        <v>2</v>
      </c>
    </row>
    <row r="1052" customFormat="false" ht="15" hidden="false" customHeight="false" outlineLevel="0" collapsed="false">
      <c r="B1052" s="53"/>
      <c r="I1052" s="53"/>
      <c r="U1052" s="31" t="n">
        <f aca="false">IF($B1052&lt;&gt;'設定（最初に1回）'!$C$4,N(U1051),IF(COUNTIFS(①今日の在庫を貼る!$B$6:$B$10005,$B1052,①今日の在庫を貼る!$I$6:$I$10005,$I1052)&gt;0,N(U1051),N(U1051)+1))</f>
        <v>2</v>
      </c>
    </row>
    <row r="1053" customFormat="false" ht="15" hidden="false" customHeight="false" outlineLevel="0" collapsed="false">
      <c r="B1053" s="53"/>
      <c r="I1053" s="53"/>
      <c r="U1053" s="31" t="n">
        <f aca="false">IF($B1053&lt;&gt;'設定（最初に1回）'!$C$4,N(U1052),IF(COUNTIFS(①今日の在庫を貼る!$B$6:$B$10005,$B1053,①今日の在庫を貼る!$I$6:$I$10005,$I1053)&gt;0,N(U1052),N(U1052)+1))</f>
        <v>2</v>
      </c>
    </row>
    <row r="1054" customFormat="false" ht="15" hidden="false" customHeight="false" outlineLevel="0" collapsed="false">
      <c r="B1054" s="53"/>
      <c r="I1054" s="53"/>
      <c r="U1054" s="31" t="n">
        <f aca="false">IF($B1054&lt;&gt;'設定（最初に1回）'!$C$4,N(U1053),IF(COUNTIFS(①今日の在庫を貼る!$B$6:$B$10005,$B1054,①今日の在庫を貼る!$I$6:$I$10005,$I1054)&gt;0,N(U1053),N(U1053)+1))</f>
        <v>2</v>
      </c>
    </row>
    <row r="1055" customFormat="false" ht="15" hidden="false" customHeight="false" outlineLevel="0" collapsed="false">
      <c r="B1055" s="53"/>
      <c r="I1055" s="53"/>
      <c r="U1055" s="31" t="n">
        <f aca="false">IF($B1055&lt;&gt;'設定（最初に1回）'!$C$4,N(U1054),IF(COUNTIFS(①今日の在庫を貼る!$B$6:$B$10005,$B1055,①今日の在庫を貼る!$I$6:$I$10005,$I1055)&gt;0,N(U1054),N(U1054)+1))</f>
        <v>2</v>
      </c>
    </row>
    <row r="1056" customFormat="false" ht="15" hidden="false" customHeight="false" outlineLevel="0" collapsed="false">
      <c r="B1056" s="53"/>
      <c r="I1056" s="53"/>
      <c r="U1056" s="31" t="n">
        <f aca="false">IF($B1056&lt;&gt;'設定（最初に1回）'!$C$4,N(U1055),IF(COUNTIFS(①今日の在庫を貼る!$B$6:$B$10005,$B1056,①今日の在庫を貼る!$I$6:$I$10005,$I1056)&gt;0,N(U1055),N(U1055)+1))</f>
        <v>2</v>
      </c>
    </row>
    <row r="1057" customFormat="false" ht="15" hidden="false" customHeight="false" outlineLevel="0" collapsed="false">
      <c r="B1057" s="53"/>
      <c r="I1057" s="53"/>
      <c r="U1057" s="31" t="n">
        <f aca="false">IF($B1057&lt;&gt;'設定（最初に1回）'!$C$4,N(U1056),IF(COUNTIFS(①今日の在庫を貼る!$B$6:$B$10005,$B1057,①今日の在庫を貼る!$I$6:$I$10005,$I1057)&gt;0,N(U1056),N(U1056)+1))</f>
        <v>2</v>
      </c>
    </row>
    <row r="1058" customFormat="false" ht="15" hidden="false" customHeight="false" outlineLevel="0" collapsed="false">
      <c r="B1058" s="53"/>
      <c r="I1058" s="53"/>
      <c r="U1058" s="31" t="n">
        <f aca="false">IF($B1058&lt;&gt;'設定（最初に1回）'!$C$4,N(U1057),IF(COUNTIFS(①今日の在庫を貼る!$B$6:$B$10005,$B1058,①今日の在庫を貼る!$I$6:$I$10005,$I1058)&gt;0,N(U1057),N(U1057)+1))</f>
        <v>2</v>
      </c>
    </row>
    <row r="1059" customFormat="false" ht="15" hidden="false" customHeight="false" outlineLevel="0" collapsed="false">
      <c r="B1059" s="53"/>
      <c r="I1059" s="53"/>
      <c r="U1059" s="31" t="n">
        <f aca="false">IF($B1059&lt;&gt;'設定（最初に1回）'!$C$4,N(U1058),IF(COUNTIFS(①今日の在庫を貼る!$B$6:$B$10005,$B1059,①今日の在庫を貼る!$I$6:$I$10005,$I1059)&gt;0,N(U1058),N(U1058)+1))</f>
        <v>2</v>
      </c>
    </row>
    <row r="1060" customFormat="false" ht="15" hidden="false" customHeight="false" outlineLevel="0" collapsed="false">
      <c r="B1060" s="53"/>
      <c r="I1060" s="53"/>
      <c r="U1060" s="31" t="n">
        <f aca="false">IF($B1060&lt;&gt;'設定（最初に1回）'!$C$4,N(U1059),IF(COUNTIFS(①今日の在庫を貼る!$B$6:$B$10005,$B1060,①今日の在庫を貼る!$I$6:$I$10005,$I1060)&gt;0,N(U1059),N(U1059)+1))</f>
        <v>2</v>
      </c>
    </row>
    <row r="1061" customFormat="false" ht="15" hidden="false" customHeight="false" outlineLevel="0" collapsed="false">
      <c r="B1061" s="53"/>
      <c r="I1061" s="53"/>
      <c r="U1061" s="31" t="n">
        <f aca="false">IF($B1061&lt;&gt;'設定（最初に1回）'!$C$4,N(U1060),IF(COUNTIFS(①今日の在庫を貼る!$B$6:$B$10005,$B1061,①今日の在庫を貼る!$I$6:$I$10005,$I1061)&gt;0,N(U1060),N(U1060)+1))</f>
        <v>2</v>
      </c>
    </row>
    <row r="1062" customFormat="false" ht="15" hidden="false" customHeight="false" outlineLevel="0" collapsed="false">
      <c r="B1062" s="53"/>
      <c r="I1062" s="53"/>
      <c r="U1062" s="31" t="n">
        <f aca="false">IF($B1062&lt;&gt;'設定（最初に1回）'!$C$4,N(U1061),IF(COUNTIFS(①今日の在庫を貼る!$B$6:$B$10005,$B1062,①今日の在庫を貼る!$I$6:$I$10005,$I1062)&gt;0,N(U1061),N(U1061)+1))</f>
        <v>2</v>
      </c>
    </row>
    <row r="1063" customFormat="false" ht="15" hidden="false" customHeight="false" outlineLevel="0" collapsed="false">
      <c r="B1063" s="53"/>
      <c r="I1063" s="53"/>
      <c r="U1063" s="31" t="n">
        <f aca="false">IF($B1063&lt;&gt;'設定（最初に1回）'!$C$4,N(U1062),IF(COUNTIFS(①今日の在庫を貼る!$B$6:$B$10005,$B1063,①今日の在庫を貼る!$I$6:$I$10005,$I1063)&gt;0,N(U1062),N(U1062)+1))</f>
        <v>2</v>
      </c>
    </row>
    <row r="1064" customFormat="false" ht="15" hidden="false" customHeight="false" outlineLevel="0" collapsed="false">
      <c r="B1064" s="53"/>
      <c r="I1064" s="53"/>
      <c r="U1064" s="31" t="n">
        <f aca="false">IF($B1064&lt;&gt;'設定（最初に1回）'!$C$4,N(U1063),IF(COUNTIFS(①今日の在庫を貼る!$B$6:$B$10005,$B1064,①今日の在庫を貼る!$I$6:$I$10005,$I1064)&gt;0,N(U1063),N(U1063)+1))</f>
        <v>2</v>
      </c>
    </row>
    <row r="1065" customFormat="false" ht="15" hidden="false" customHeight="false" outlineLevel="0" collapsed="false">
      <c r="B1065" s="53"/>
      <c r="I1065" s="53"/>
      <c r="U1065" s="31" t="n">
        <f aca="false">IF($B1065&lt;&gt;'設定（最初に1回）'!$C$4,N(U1064),IF(COUNTIFS(①今日の在庫を貼る!$B$6:$B$10005,$B1065,①今日の在庫を貼る!$I$6:$I$10005,$I1065)&gt;0,N(U1064),N(U1064)+1))</f>
        <v>2</v>
      </c>
    </row>
    <row r="1066" customFormat="false" ht="15" hidden="false" customHeight="false" outlineLevel="0" collapsed="false">
      <c r="B1066" s="53"/>
      <c r="I1066" s="53"/>
      <c r="U1066" s="31" t="n">
        <f aca="false">IF($B1066&lt;&gt;'設定（最初に1回）'!$C$4,N(U1065),IF(COUNTIFS(①今日の在庫を貼る!$B$6:$B$10005,$B1066,①今日の在庫を貼る!$I$6:$I$10005,$I1066)&gt;0,N(U1065),N(U1065)+1))</f>
        <v>2</v>
      </c>
    </row>
    <row r="1067" customFormat="false" ht="15" hidden="false" customHeight="false" outlineLevel="0" collapsed="false">
      <c r="B1067" s="53"/>
      <c r="I1067" s="53"/>
      <c r="U1067" s="31" t="n">
        <f aca="false">IF($B1067&lt;&gt;'設定（最初に1回）'!$C$4,N(U1066),IF(COUNTIFS(①今日の在庫を貼る!$B$6:$B$10005,$B1067,①今日の在庫を貼る!$I$6:$I$10005,$I1067)&gt;0,N(U1066),N(U1066)+1))</f>
        <v>2</v>
      </c>
    </row>
    <row r="1068" customFormat="false" ht="15" hidden="false" customHeight="false" outlineLevel="0" collapsed="false">
      <c r="B1068" s="53"/>
      <c r="I1068" s="53"/>
      <c r="U1068" s="31" t="n">
        <f aca="false">IF($B1068&lt;&gt;'設定（最初に1回）'!$C$4,N(U1067),IF(COUNTIFS(①今日の在庫を貼る!$B$6:$B$10005,$B1068,①今日の在庫を貼る!$I$6:$I$10005,$I1068)&gt;0,N(U1067),N(U1067)+1))</f>
        <v>2</v>
      </c>
    </row>
    <row r="1069" customFormat="false" ht="15" hidden="false" customHeight="false" outlineLevel="0" collapsed="false">
      <c r="B1069" s="53"/>
      <c r="I1069" s="53"/>
      <c r="U1069" s="31" t="n">
        <f aca="false">IF($B1069&lt;&gt;'設定（最初に1回）'!$C$4,N(U1068),IF(COUNTIFS(①今日の在庫を貼る!$B$6:$B$10005,$B1069,①今日の在庫を貼る!$I$6:$I$10005,$I1069)&gt;0,N(U1068),N(U1068)+1))</f>
        <v>2</v>
      </c>
    </row>
    <row r="1070" customFormat="false" ht="15" hidden="false" customHeight="false" outlineLevel="0" collapsed="false">
      <c r="B1070" s="53"/>
      <c r="I1070" s="53"/>
      <c r="U1070" s="31" t="n">
        <f aca="false">IF($B1070&lt;&gt;'設定（最初に1回）'!$C$4,N(U1069),IF(COUNTIFS(①今日の在庫を貼る!$B$6:$B$10005,$B1070,①今日の在庫を貼る!$I$6:$I$10005,$I1070)&gt;0,N(U1069),N(U1069)+1))</f>
        <v>2</v>
      </c>
    </row>
    <row r="1071" customFormat="false" ht="15" hidden="false" customHeight="false" outlineLevel="0" collapsed="false">
      <c r="B1071" s="53"/>
      <c r="I1071" s="53"/>
      <c r="U1071" s="31" t="n">
        <f aca="false">IF($B1071&lt;&gt;'設定（最初に1回）'!$C$4,N(U1070),IF(COUNTIFS(①今日の在庫を貼る!$B$6:$B$10005,$B1071,①今日の在庫を貼る!$I$6:$I$10005,$I1071)&gt;0,N(U1070),N(U1070)+1))</f>
        <v>2</v>
      </c>
    </row>
    <row r="1072" customFormat="false" ht="15" hidden="false" customHeight="false" outlineLevel="0" collapsed="false">
      <c r="B1072" s="53"/>
      <c r="I1072" s="53"/>
      <c r="U1072" s="31" t="n">
        <f aca="false">IF($B1072&lt;&gt;'設定（最初に1回）'!$C$4,N(U1071),IF(COUNTIFS(①今日の在庫を貼る!$B$6:$B$10005,$B1072,①今日の在庫を貼る!$I$6:$I$10005,$I1072)&gt;0,N(U1071),N(U1071)+1))</f>
        <v>2</v>
      </c>
    </row>
    <row r="1073" customFormat="false" ht="15" hidden="false" customHeight="false" outlineLevel="0" collapsed="false">
      <c r="B1073" s="53"/>
      <c r="I1073" s="53"/>
      <c r="U1073" s="31" t="n">
        <f aca="false">IF($B1073&lt;&gt;'設定（最初に1回）'!$C$4,N(U1072),IF(COUNTIFS(①今日の在庫を貼る!$B$6:$B$10005,$B1073,①今日の在庫を貼る!$I$6:$I$10005,$I1073)&gt;0,N(U1072),N(U1072)+1))</f>
        <v>2</v>
      </c>
    </row>
    <row r="1074" customFormat="false" ht="15" hidden="false" customHeight="false" outlineLevel="0" collapsed="false">
      <c r="B1074" s="53"/>
      <c r="I1074" s="53"/>
      <c r="U1074" s="31" t="n">
        <f aca="false">IF($B1074&lt;&gt;'設定（最初に1回）'!$C$4,N(U1073),IF(COUNTIFS(①今日の在庫を貼る!$B$6:$B$10005,$B1074,①今日の在庫を貼る!$I$6:$I$10005,$I1074)&gt;0,N(U1073),N(U1073)+1))</f>
        <v>2</v>
      </c>
    </row>
    <row r="1075" customFormat="false" ht="15" hidden="false" customHeight="false" outlineLevel="0" collapsed="false">
      <c r="B1075" s="53"/>
      <c r="I1075" s="53"/>
      <c r="U1075" s="31" t="n">
        <f aca="false">IF($B1075&lt;&gt;'設定（最初に1回）'!$C$4,N(U1074),IF(COUNTIFS(①今日の在庫を貼る!$B$6:$B$10005,$B1075,①今日の在庫を貼る!$I$6:$I$10005,$I1075)&gt;0,N(U1074),N(U1074)+1))</f>
        <v>2</v>
      </c>
    </row>
    <row r="1076" customFormat="false" ht="15" hidden="false" customHeight="false" outlineLevel="0" collapsed="false">
      <c r="B1076" s="53"/>
      <c r="I1076" s="53"/>
      <c r="U1076" s="31" t="n">
        <f aca="false">IF($B1076&lt;&gt;'設定（最初に1回）'!$C$4,N(U1075),IF(COUNTIFS(①今日の在庫を貼る!$B$6:$B$10005,$B1076,①今日の在庫を貼る!$I$6:$I$10005,$I1076)&gt;0,N(U1075),N(U1075)+1))</f>
        <v>2</v>
      </c>
    </row>
    <row r="1077" customFormat="false" ht="15" hidden="false" customHeight="false" outlineLevel="0" collapsed="false">
      <c r="B1077" s="53"/>
      <c r="I1077" s="53"/>
      <c r="U1077" s="31" t="n">
        <f aca="false">IF($B1077&lt;&gt;'設定（最初に1回）'!$C$4,N(U1076),IF(COUNTIFS(①今日の在庫を貼る!$B$6:$B$10005,$B1077,①今日の在庫を貼る!$I$6:$I$10005,$I1077)&gt;0,N(U1076),N(U1076)+1))</f>
        <v>2</v>
      </c>
    </row>
    <row r="1078" customFormat="false" ht="15" hidden="false" customHeight="false" outlineLevel="0" collapsed="false">
      <c r="B1078" s="53"/>
      <c r="I1078" s="53"/>
      <c r="U1078" s="31" t="n">
        <f aca="false">IF($B1078&lt;&gt;'設定（最初に1回）'!$C$4,N(U1077),IF(COUNTIFS(①今日の在庫を貼る!$B$6:$B$10005,$B1078,①今日の在庫を貼る!$I$6:$I$10005,$I1078)&gt;0,N(U1077),N(U1077)+1))</f>
        <v>2</v>
      </c>
    </row>
    <row r="1079" customFormat="false" ht="15" hidden="false" customHeight="false" outlineLevel="0" collapsed="false">
      <c r="B1079" s="53"/>
      <c r="I1079" s="53"/>
      <c r="U1079" s="31" t="n">
        <f aca="false">IF($B1079&lt;&gt;'設定（最初に1回）'!$C$4,N(U1078),IF(COUNTIFS(①今日の在庫を貼る!$B$6:$B$10005,$B1079,①今日の在庫を貼る!$I$6:$I$10005,$I1079)&gt;0,N(U1078),N(U1078)+1))</f>
        <v>2</v>
      </c>
    </row>
    <row r="1080" customFormat="false" ht="15" hidden="false" customHeight="false" outlineLevel="0" collapsed="false">
      <c r="B1080" s="53"/>
      <c r="I1080" s="53"/>
      <c r="U1080" s="31" t="n">
        <f aca="false">IF($B1080&lt;&gt;'設定（最初に1回）'!$C$4,N(U1079),IF(COUNTIFS(①今日の在庫を貼る!$B$6:$B$10005,$B1080,①今日の在庫を貼る!$I$6:$I$10005,$I1080)&gt;0,N(U1079),N(U1079)+1))</f>
        <v>2</v>
      </c>
    </row>
    <row r="1081" customFormat="false" ht="15" hidden="false" customHeight="false" outlineLevel="0" collapsed="false">
      <c r="B1081" s="53"/>
      <c r="I1081" s="53"/>
      <c r="U1081" s="31" t="n">
        <f aca="false">IF($B1081&lt;&gt;'設定（最初に1回）'!$C$4,N(U1080),IF(COUNTIFS(①今日の在庫を貼る!$B$6:$B$10005,$B1081,①今日の在庫を貼る!$I$6:$I$10005,$I1081)&gt;0,N(U1080),N(U1080)+1))</f>
        <v>2</v>
      </c>
    </row>
    <row r="1082" customFormat="false" ht="15" hidden="false" customHeight="false" outlineLevel="0" collapsed="false">
      <c r="B1082" s="53"/>
      <c r="I1082" s="53"/>
      <c r="U1082" s="31" t="n">
        <f aca="false">IF($B1082&lt;&gt;'設定（最初に1回）'!$C$4,N(U1081),IF(COUNTIFS(①今日の在庫を貼る!$B$6:$B$10005,$B1082,①今日の在庫を貼る!$I$6:$I$10005,$I1082)&gt;0,N(U1081),N(U1081)+1))</f>
        <v>2</v>
      </c>
    </row>
    <row r="1083" customFormat="false" ht="15" hidden="false" customHeight="false" outlineLevel="0" collapsed="false">
      <c r="B1083" s="53"/>
      <c r="I1083" s="53"/>
      <c r="U1083" s="31" t="n">
        <f aca="false">IF($B1083&lt;&gt;'設定（最初に1回）'!$C$4,N(U1082),IF(COUNTIFS(①今日の在庫を貼る!$B$6:$B$10005,$B1083,①今日の在庫を貼る!$I$6:$I$10005,$I1083)&gt;0,N(U1082),N(U1082)+1))</f>
        <v>2</v>
      </c>
    </row>
    <row r="1084" customFormat="false" ht="15" hidden="false" customHeight="false" outlineLevel="0" collapsed="false">
      <c r="B1084" s="53"/>
      <c r="I1084" s="53"/>
      <c r="U1084" s="31" t="n">
        <f aca="false">IF($B1084&lt;&gt;'設定（最初に1回）'!$C$4,N(U1083),IF(COUNTIFS(①今日の在庫を貼る!$B$6:$B$10005,$B1084,①今日の在庫を貼る!$I$6:$I$10005,$I1084)&gt;0,N(U1083),N(U1083)+1))</f>
        <v>2</v>
      </c>
    </row>
    <row r="1085" customFormat="false" ht="15" hidden="false" customHeight="false" outlineLevel="0" collapsed="false">
      <c r="B1085" s="53"/>
      <c r="I1085" s="53"/>
      <c r="U1085" s="31" t="n">
        <f aca="false">IF($B1085&lt;&gt;'設定（最初に1回）'!$C$4,N(U1084),IF(COUNTIFS(①今日の在庫を貼る!$B$6:$B$10005,$B1085,①今日の在庫を貼る!$I$6:$I$10005,$I1085)&gt;0,N(U1084),N(U1084)+1))</f>
        <v>2</v>
      </c>
    </row>
    <row r="1086" customFormat="false" ht="15" hidden="false" customHeight="false" outlineLevel="0" collapsed="false">
      <c r="B1086" s="53"/>
      <c r="I1086" s="53"/>
      <c r="U1086" s="31" t="n">
        <f aca="false">IF($B1086&lt;&gt;'設定（最初に1回）'!$C$4,N(U1085),IF(COUNTIFS(①今日の在庫を貼る!$B$6:$B$10005,$B1086,①今日の在庫を貼る!$I$6:$I$10005,$I1086)&gt;0,N(U1085),N(U1085)+1))</f>
        <v>2</v>
      </c>
    </row>
    <row r="1087" customFormat="false" ht="15" hidden="false" customHeight="false" outlineLevel="0" collapsed="false">
      <c r="B1087" s="53"/>
      <c r="I1087" s="53"/>
      <c r="U1087" s="31" t="n">
        <f aca="false">IF($B1087&lt;&gt;'設定（最初に1回）'!$C$4,N(U1086),IF(COUNTIFS(①今日の在庫を貼る!$B$6:$B$10005,$B1087,①今日の在庫を貼る!$I$6:$I$10005,$I1087)&gt;0,N(U1086),N(U1086)+1))</f>
        <v>2</v>
      </c>
    </row>
    <row r="1088" customFormat="false" ht="15" hidden="false" customHeight="false" outlineLevel="0" collapsed="false">
      <c r="B1088" s="53"/>
      <c r="I1088" s="53"/>
      <c r="U1088" s="31" t="n">
        <f aca="false">IF($B1088&lt;&gt;'設定（最初に1回）'!$C$4,N(U1087),IF(COUNTIFS(①今日の在庫を貼る!$B$6:$B$10005,$B1088,①今日の在庫を貼る!$I$6:$I$10005,$I1088)&gt;0,N(U1087),N(U1087)+1))</f>
        <v>2</v>
      </c>
    </row>
    <row r="1089" customFormat="false" ht="15" hidden="false" customHeight="false" outlineLevel="0" collapsed="false">
      <c r="B1089" s="53"/>
      <c r="I1089" s="53"/>
      <c r="U1089" s="31" t="n">
        <f aca="false">IF($B1089&lt;&gt;'設定（最初に1回）'!$C$4,N(U1088),IF(COUNTIFS(①今日の在庫を貼る!$B$6:$B$10005,$B1089,①今日の在庫を貼る!$I$6:$I$10005,$I1089)&gt;0,N(U1088),N(U1088)+1))</f>
        <v>2</v>
      </c>
    </row>
    <row r="1090" customFormat="false" ht="15" hidden="false" customHeight="false" outlineLevel="0" collapsed="false">
      <c r="B1090" s="53"/>
      <c r="I1090" s="53"/>
      <c r="U1090" s="31" t="n">
        <f aca="false">IF($B1090&lt;&gt;'設定（最初に1回）'!$C$4,N(U1089),IF(COUNTIFS(①今日の在庫を貼る!$B$6:$B$10005,$B1090,①今日の在庫を貼る!$I$6:$I$10005,$I1090)&gt;0,N(U1089),N(U1089)+1))</f>
        <v>2</v>
      </c>
    </row>
    <row r="1091" customFormat="false" ht="15" hidden="false" customHeight="false" outlineLevel="0" collapsed="false">
      <c r="B1091" s="53"/>
      <c r="I1091" s="53"/>
      <c r="U1091" s="31" t="n">
        <f aca="false">IF($B1091&lt;&gt;'設定（最初に1回）'!$C$4,N(U1090),IF(COUNTIFS(①今日の在庫を貼る!$B$6:$B$10005,$B1091,①今日の在庫を貼る!$I$6:$I$10005,$I1091)&gt;0,N(U1090),N(U1090)+1))</f>
        <v>2</v>
      </c>
    </row>
    <row r="1092" customFormat="false" ht="15" hidden="false" customHeight="false" outlineLevel="0" collapsed="false">
      <c r="B1092" s="53"/>
      <c r="I1092" s="53"/>
      <c r="U1092" s="31" t="n">
        <f aca="false">IF($B1092&lt;&gt;'設定（最初に1回）'!$C$4,N(U1091),IF(COUNTIFS(①今日の在庫を貼る!$B$6:$B$10005,$B1092,①今日の在庫を貼る!$I$6:$I$10005,$I1092)&gt;0,N(U1091),N(U1091)+1))</f>
        <v>2</v>
      </c>
    </row>
    <row r="1093" customFormat="false" ht="15" hidden="false" customHeight="false" outlineLevel="0" collapsed="false">
      <c r="B1093" s="53"/>
      <c r="I1093" s="53"/>
      <c r="U1093" s="31" t="n">
        <f aca="false">IF($B1093&lt;&gt;'設定（最初に1回）'!$C$4,N(U1092),IF(COUNTIFS(①今日の在庫を貼る!$B$6:$B$10005,$B1093,①今日の在庫を貼る!$I$6:$I$10005,$I1093)&gt;0,N(U1092),N(U1092)+1))</f>
        <v>2</v>
      </c>
    </row>
    <row r="1094" customFormat="false" ht="15" hidden="false" customHeight="false" outlineLevel="0" collapsed="false">
      <c r="B1094" s="53"/>
      <c r="I1094" s="53"/>
      <c r="U1094" s="31" t="n">
        <f aca="false">IF($B1094&lt;&gt;'設定（最初に1回）'!$C$4,N(U1093),IF(COUNTIFS(①今日の在庫を貼る!$B$6:$B$10005,$B1094,①今日の在庫を貼る!$I$6:$I$10005,$I1094)&gt;0,N(U1093),N(U1093)+1))</f>
        <v>2</v>
      </c>
    </row>
    <row r="1095" customFormat="false" ht="15" hidden="false" customHeight="false" outlineLevel="0" collapsed="false">
      <c r="B1095" s="53"/>
      <c r="I1095" s="53"/>
      <c r="U1095" s="31" t="n">
        <f aca="false">IF($B1095&lt;&gt;'設定（最初に1回）'!$C$4,N(U1094),IF(COUNTIFS(①今日の在庫を貼る!$B$6:$B$10005,$B1095,①今日の在庫を貼る!$I$6:$I$10005,$I1095)&gt;0,N(U1094),N(U1094)+1))</f>
        <v>2</v>
      </c>
    </row>
    <row r="1096" customFormat="false" ht="15" hidden="false" customHeight="false" outlineLevel="0" collapsed="false">
      <c r="B1096" s="53"/>
      <c r="I1096" s="53"/>
      <c r="U1096" s="31" t="n">
        <f aca="false">IF($B1096&lt;&gt;'設定（最初に1回）'!$C$4,N(U1095),IF(COUNTIFS(①今日の在庫を貼る!$B$6:$B$10005,$B1096,①今日の在庫を貼る!$I$6:$I$10005,$I1096)&gt;0,N(U1095),N(U1095)+1))</f>
        <v>2</v>
      </c>
    </row>
    <row r="1097" customFormat="false" ht="15" hidden="false" customHeight="false" outlineLevel="0" collapsed="false">
      <c r="B1097" s="53"/>
      <c r="I1097" s="53"/>
      <c r="U1097" s="31" t="n">
        <f aca="false">IF($B1097&lt;&gt;'設定（最初に1回）'!$C$4,N(U1096),IF(COUNTIFS(①今日の在庫を貼る!$B$6:$B$10005,$B1097,①今日の在庫を貼る!$I$6:$I$10005,$I1097)&gt;0,N(U1096),N(U1096)+1))</f>
        <v>2</v>
      </c>
    </row>
    <row r="1098" customFormat="false" ht="15" hidden="false" customHeight="false" outlineLevel="0" collapsed="false">
      <c r="B1098" s="53"/>
      <c r="I1098" s="53"/>
      <c r="U1098" s="31" t="n">
        <f aca="false">IF($B1098&lt;&gt;'設定（最初に1回）'!$C$4,N(U1097),IF(COUNTIFS(①今日の在庫を貼る!$B$6:$B$10005,$B1098,①今日の在庫を貼る!$I$6:$I$10005,$I1098)&gt;0,N(U1097),N(U1097)+1))</f>
        <v>2</v>
      </c>
    </row>
    <row r="1099" customFormat="false" ht="15" hidden="false" customHeight="false" outlineLevel="0" collapsed="false">
      <c r="B1099" s="53"/>
      <c r="I1099" s="53"/>
      <c r="U1099" s="31" t="n">
        <f aca="false">IF($B1099&lt;&gt;'設定（最初に1回）'!$C$4,N(U1098),IF(COUNTIFS(①今日の在庫を貼る!$B$6:$B$10005,$B1099,①今日の在庫を貼る!$I$6:$I$10005,$I1099)&gt;0,N(U1098),N(U1098)+1))</f>
        <v>2</v>
      </c>
    </row>
    <row r="1100" customFormat="false" ht="15" hidden="false" customHeight="false" outlineLevel="0" collapsed="false">
      <c r="B1100" s="53"/>
      <c r="I1100" s="53"/>
      <c r="U1100" s="31" t="n">
        <f aca="false">IF($B1100&lt;&gt;'設定（最初に1回）'!$C$4,N(U1099),IF(COUNTIFS(①今日の在庫を貼る!$B$6:$B$10005,$B1100,①今日の在庫を貼る!$I$6:$I$10005,$I1100)&gt;0,N(U1099),N(U1099)+1))</f>
        <v>2</v>
      </c>
    </row>
    <row r="1101" customFormat="false" ht="15" hidden="false" customHeight="false" outlineLevel="0" collapsed="false">
      <c r="B1101" s="53"/>
      <c r="I1101" s="53"/>
      <c r="U1101" s="31" t="n">
        <f aca="false">IF($B1101&lt;&gt;'設定（最初に1回）'!$C$4,N(U1100),IF(COUNTIFS(①今日の在庫を貼る!$B$6:$B$10005,$B1101,①今日の在庫を貼る!$I$6:$I$10005,$I1101)&gt;0,N(U1100),N(U1100)+1))</f>
        <v>2</v>
      </c>
    </row>
    <row r="1102" customFormat="false" ht="15" hidden="false" customHeight="false" outlineLevel="0" collapsed="false">
      <c r="B1102" s="53"/>
      <c r="I1102" s="53"/>
      <c r="U1102" s="31" t="n">
        <f aca="false">IF($B1102&lt;&gt;'設定（最初に1回）'!$C$4,N(U1101),IF(COUNTIFS(①今日の在庫を貼る!$B$6:$B$10005,$B1102,①今日の在庫を貼る!$I$6:$I$10005,$I1102)&gt;0,N(U1101),N(U1101)+1))</f>
        <v>2</v>
      </c>
    </row>
    <row r="1103" customFormat="false" ht="15" hidden="false" customHeight="false" outlineLevel="0" collapsed="false">
      <c r="B1103" s="53"/>
      <c r="I1103" s="53"/>
      <c r="U1103" s="31" t="n">
        <f aca="false">IF($B1103&lt;&gt;'設定（最初に1回）'!$C$4,N(U1102),IF(COUNTIFS(①今日の在庫を貼る!$B$6:$B$10005,$B1103,①今日の在庫を貼る!$I$6:$I$10005,$I1103)&gt;0,N(U1102),N(U1102)+1))</f>
        <v>2</v>
      </c>
    </row>
    <row r="1104" customFormat="false" ht="15" hidden="false" customHeight="false" outlineLevel="0" collapsed="false">
      <c r="B1104" s="53"/>
      <c r="I1104" s="53"/>
      <c r="U1104" s="31" t="n">
        <f aca="false">IF($B1104&lt;&gt;'設定（最初に1回）'!$C$4,N(U1103),IF(COUNTIFS(①今日の在庫を貼る!$B$6:$B$10005,$B1104,①今日の在庫を貼る!$I$6:$I$10005,$I1104)&gt;0,N(U1103),N(U1103)+1))</f>
        <v>2</v>
      </c>
    </row>
    <row r="1105" customFormat="false" ht="15" hidden="false" customHeight="false" outlineLevel="0" collapsed="false">
      <c r="B1105" s="53"/>
      <c r="I1105" s="53"/>
      <c r="U1105" s="31" t="n">
        <f aca="false">IF($B1105&lt;&gt;'設定（最初に1回）'!$C$4,N(U1104),IF(COUNTIFS(①今日の在庫を貼る!$B$6:$B$10005,$B1105,①今日の在庫を貼る!$I$6:$I$10005,$I1105)&gt;0,N(U1104),N(U1104)+1))</f>
        <v>2</v>
      </c>
    </row>
    <row r="1106" customFormat="false" ht="15" hidden="false" customHeight="false" outlineLevel="0" collapsed="false">
      <c r="B1106" s="53"/>
      <c r="I1106" s="53"/>
      <c r="U1106" s="31" t="n">
        <f aca="false">IF($B1106&lt;&gt;'設定（最初に1回）'!$C$4,N(U1105),IF(COUNTIFS(①今日の在庫を貼る!$B$6:$B$10005,$B1106,①今日の在庫を貼る!$I$6:$I$10005,$I1106)&gt;0,N(U1105),N(U1105)+1))</f>
        <v>2</v>
      </c>
    </row>
    <row r="1107" customFormat="false" ht="15" hidden="false" customHeight="false" outlineLevel="0" collapsed="false">
      <c r="B1107" s="53"/>
      <c r="I1107" s="53"/>
      <c r="U1107" s="31" t="n">
        <f aca="false">IF($B1107&lt;&gt;'設定（最初に1回）'!$C$4,N(U1106),IF(COUNTIFS(①今日の在庫を貼る!$B$6:$B$10005,$B1107,①今日の在庫を貼る!$I$6:$I$10005,$I1107)&gt;0,N(U1106),N(U1106)+1))</f>
        <v>2</v>
      </c>
    </row>
    <row r="1108" customFormat="false" ht="15" hidden="false" customHeight="false" outlineLevel="0" collapsed="false">
      <c r="B1108" s="53"/>
      <c r="I1108" s="53"/>
      <c r="U1108" s="31" t="n">
        <f aca="false">IF($B1108&lt;&gt;'設定（最初に1回）'!$C$4,N(U1107),IF(COUNTIFS(①今日の在庫を貼る!$B$6:$B$10005,$B1108,①今日の在庫を貼る!$I$6:$I$10005,$I1108)&gt;0,N(U1107),N(U1107)+1))</f>
        <v>2</v>
      </c>
    </row>
    <row r="1109" customFormat="false" ht="15" hidden="false" customHeight="false" outlineLevel="0" collapsed="false">
      <c r="B1109" s="53"/>
      <c r="I1109" s="53"/>
      <c r="U1109" s="31" t="n">
        <f aca="false">IF($B1109&lt;&gt;'設定（最初に1回）'!$C$4,N(U1108),IF(COUNTIFS(①今日の在庫を貼る!$B$6:$B$10005,$B1109,①今日の在庫を貼る!$I$6:$I$10005,$I1109)&gt;0,N(U1108),N(U1108)+1))</f>
        <v>2</v>
      </c>
    </row>
    <row r="1110" customFormat="false" ht="15" hidden="false" customHeight="false" outlineLevel="0" collapsed="false">
      <c r="B1110" s="53"/>
      <c r="I1110" s="53"/>
      <c r="U1110" s="31" t="n">
        <f aca="false">IF($B1110&lt;&gt;'設定（最初に1回）'!$C$4,N(U1109),IF(COUNTIFS(①今日の在庫を貼る!$B$6:$B$10005,$B1110,①今日の在庫を貼る!$I$6:$I$10005,$I1110)&gt;0,N(U1109),N(U1109)+1))</f>
        <v>2</v>
      </c>
    </row>
    <row r="1111" customFormat="false" ht="15" hidden="false" customHeight="false" outlineLevel="0" collapsed="false">
      <c r="B1111" s="53"/>
      <c r="I1111" s="53"/>
      <c r="U1111" s="31" t="n">
        <f aca="false">IF($B1111&lt;&gt;'設定（最初に1回）'!$C$4,N(U1110),IF(COUNTIFS(①今日の在庫を貼る!$B$6:$B$10005,$B1111,①今日の在庫を貼る!$I$6:$I$10005,$I1111)&gt;0,N(U1110),N(U1110)+1))</f>
        <v>2</v>
      </c>
    </row>
    <row r="1112" customFormat="false" ht="15" hidden="false" customHeight="false" outlineLevel="0" collapsed="false">
      <c r="B1112" s="53"/>
      <c r="I1112" s="53"/>
      <c r="U1112" s="31" t="n">
        <f aca="false">IF($B1112&lt;&gt;'設定（最初に1回）'!$C$4,N(U1111),IF(COUNTIFS(①今日の在庫を貼る!$B$6:$B$10005,$B1112,①今日の在庫を貼る!$I$6:$I$10005,$I1112)&gt;0,N(U1111),N(U1111)+1))</f>
        <v>2</v>
      </c>
    </row>
    <row r="1113" customFormat="false" ht="15" hidden="false" customHeight="false" outlineLevel="0" collapsed="false">
      <c r="B1113" s="53"/>
      <c r="I1113" s="53"/>
      <c r="U1113" s="31" t="n">
        <f aca="false">IF($B1113&lt;&gt;'設定（最初に1回）'!$C$4,N(U1112),IF(COUNTIFS(①今日の在庫を貼る!$B$6:$B$10005,$B1113,①今日の在庫を貼る!$I$6:$I$10005,$I1113)&gt;0,N(U1112),N(U1112)+1))</f>
        <v>2</v>
      </c>
    </row>
    <row r="1114" customFormat="false" ht="15" hidden="false" customHeight="false" outlineLevel="0" collapsed="false">
      <c r="B1114" s="53"/>
      <c r="I1114" s="53"/>
      <c r="U1114" s="31" t="n">
        <f aca="false">IF($B1114&lt;&gt;'設定（最初に1回）'!$C$4,N(U1113),IF(COUNTIFS(①今日の在庫を貼る!$B$6:$B$10005,$B1114,①今日の在庫を貼る!$I$6:$I$10005,$I1114)&gt;0,N(U1113),N(U1113)+1))</f>
        <v>2</v>
      </c>
    </row>
    <row r="1115" customFormat="false" ht="15" hidden="false" customHeight="false" outlineLevel="0" collapsed="false">
      <c r="B1115" s="53"/>
      <c r="I1115" s="53"/>
      <c r="U1115" s="31" t="n">
        <f aca="false">IF($B1115&lt;&gt;'設定（最初に1回）'!$C$4,N(U1114),IF(COUNTIFS(①今日の在庫を貼る!$B$6:$B$10005,$B1115,①今日の在庫を貼る!$I$6:$I$10005,$I1115)&gt;0,N(U1114),N(U1114)+1))</f>
        <v>2</v>
      </c>
    </row>
    <row r="1116" customFormat="false" ht="15" hidden="false" customHeight="false" outlineLevel="0" collapsed="false">
      <c r="B1116" s="53"/>
      <c r="I1116" s="53"/>
      <c r="U1116" s="31" t="n">
        <f aca="false">IF($B1116&lt;&gt;'設定（最初に1回）'!$C$4,N(U1115),IF(COUNTIFS(①今日の在庫を貼る!$B$6:$B$10005,$B1116,①今日の在庫を貼る!$I$6:$I$10005,$I1116)&gt;0,N(U1115),N(U1115)+1))</f>
        <v>2</v>
      </c>
    </row>
    <row r="1117" customFormat="false" ht="15" hidden="false" customHeight="false" outlineLevel="0" collapsed="false">
      <c r="B1117" s="53"/>
      <c r="I1117" s="53"/>
      <c r="U1117" s="31" t="n">
        <f aca="false">IF($B1117&lt;&gt;'設定（最初に1回）'!$C$4,N(U1116),IF(COUNTIFS(①今日の在庫を貼る!$B$6:$B$10005,$B1117,①今日の在庫を貼る!$I$6:$I$10005,$I1117)&gt;0,N(U1116),N(U1116)+1))</f>
        <v>2</v>
      </c>
    </row>
    <row r="1118" customFormat="false" ht="15" hidden="false" customHeight="false" outlineLevel="0" collapsed="false">
      <c r="B1118" s="53"/>
      <c r="I1118" s="53"/>
      <c r="U1118" s="31" t="n">
        <f aca="false">IF($B1118&lt;&gt;'設定（最初に1回）'!$C$4,N(U1117),IF(COUNTIFS(①今日の在庫を貼る!$B$6:$B$10005,$B1118,①今日の在庫を貼る!$I$6:$I$10005,$I1118)&gt;0,N(U1117),N(U1117)+1))</f>
        <v>2</v>
      </c>
    </row>
    <row r="1119" customFormat="false" ht="15" hidden="false" customHeight="false" outlineLevel="0" collapsed="false">
      <c r="B1119" s="53"/>
      <c r="I1119" s="53"/>
      <c r="U1119" s="31" t="n">
        <f aca="false">IF($B1119&lt;&gt;'設定（最初に1回）'!$C$4,N(U1118),IF(COUNTIFS(①今日の在庫を貼る!$B$6:$B$10005,$B1119,①今日の在庫を貼る!$I$6:$I$10005,$I1119)&gt;0,N(U1118),N(U1118)+1))</f>
        <v>2</v>
      </c>
    </row>
    <row r="1120" customFormat="false" ht="15" hidden="false" customHeight="false" outlineLevel="0" collapsed="false">
      <c r="B1120" s="53"/>
      <c r="I1120" s="53"/>
      <c r="U1120" s="31" t="n">
        <f aca="false">IF($B1120&lt;&gt;'設定（最初に1回）'!$C$4,N(U1119),IF(COUNTIFS(①今日の在庫を貼る!$B$6:$B$10005,$B1120,①今日の在庫を貼る!$I$6:$I$10005,$I1120)&gt;0,N(U1119),N(U1119)+1))</f>
        <v>2</v>
      </c>
    </row>
    <row r="1121" customFormat="false" ht="15" hidden="false" customHeight="false" outlineLevel="0" collapsed="false">
      <c r="B1121" s="53"/>
      <c r="I1121" s="53"/>
      <c r="U1121" s="31" t="n">
        <f aca="false">IF($B1121&lt;&gt;'設定（最初に1回）'!$C$4,N(U1120),IF(COUNTIFS(①今日の在庫を貼る!$B$6:$B$10005,$B1121,①今日の在庫を貼る!$I$6:$I$10005,$I1121)&gt;0,N(U1120),N(U1120)+1))</f>
        <v>2</v>
      </c>
    </row>
    <row r="1122" customFormat="false" ht="15" hidden="false" customHeight="false" outlineLevel="0" collapsed="false">
      <c r="B1122" s="53"/>
      <c r="I1122" s="53"/>
      <c r="U1122" s="31" t="n">
        <f aca="false">IF($B1122&lt;&gt;'設定（最初に1回）'!$C$4,N(U1121),IF(COUNTIFS(①今日の在庫を貼る!$B$6:$B$10005,$B1122,①今日の在庫を貼る!$I$6:$I$10005,$I1122)&gt;0,N(U1121),N(U1121)+1))</f>
        <v>2</v>
      </c>
    </row>
    <row r="1123" customFormat="false" ht="15" hidden="false" customHeight="false" outlineLevel="0" collapsed="false">
      <c r="B1123" s="53"/>
      <c r="I1123" s="53"/>
      <c r="U1123" s="31" t="n">
        <f aca="false">IF($B1123&lt;&gt;'設定（最初に1回）'!$C$4,N(U1122),IF(COUNTIFS(①今日の在庫を貼る!$B$6:$B$10005,$B1123,①今日の在庫を貼る!$I$6:$I$10005,$I1123)&gt;0,N(U1122),N(U1122)+1))</f>
        <v>2</v>
      </c>
    </row>
    <row r="1124" customFormat="false" ht="15" hidden="false" customHeight="false" outlineLevel="0" collapsed="false">
      <c r="B1124" s="53"/>
      <c r="I1124" s="53"/>
      <c r="U1124" s="31" t="n">
        <f aca="false">IF($B1124&lt;&gt;'設定（最初に1回）'!$C$4,N(U1123),IF(COUNTIFS(①今日の在庫を貼る!$B$6:$B$10005,$B1124,①今日の在庫を貼る!$I$6:$I$10005,$I1124)&gt;0,N(U1123),N(U1123)+1))</f>
        <v>2</v>
      </c>
    </row>
    <row r="1125" customFormat="false" ht="15" hidden="false" customHeight="false" outlineLevel="0" collapsed="false">
      <c r="B1125" s="53"/>
      <c r="I1125" s="53"/>
      <c r="U1125" s="31" t="n">
        <f aca="false">IF($B1125&lt;&gt;'設定（最初に1回）'!$C$4,N(U1124),IF(COUNTIFS(①今日の在庫を貼る!$B$6:$B$10005,$B1125,①今日の在庫を貼る!$I$6:$I$10005,$I1125)&gt;0,N(U1124),N(U1124)+1))</f>
        <v>2</v>
      </c>
    </row>
    <row r="1126" customFormat="false" ht="15" hidden="false" customHeight="false" outlineLevel="0" collapsed="false">
      <c r="B1126" s="53"/>
      <c r="I1126" s="53"/>
      <c r="U1126" s="31" t="n">
        <f aca="false">IF($B1126&lt;&gt;'設定（最初に1回）'!$C$4,N(U1125),IF(COUNTIFS(①今日の在庫を貼る!$B$6:$B$10005,$B1126,①今日の在庫を貼る!$I$6:$I$10005,$I1126)&gt;0,N(U1125),N(U1125)+1))</f>
        <v>2</v>
      </c>
    </row>
    <row r="1127" customFormat="false" ht="15" hidden="false" customHeight="false" outlineLevel="0" collapsed="false">
      <c r="B1127" s="53"/>
      <c r="I1127" s="53"/>
      <c r="U1127" s="31" t="n">
        <f aca="false">IF($B1127&lt;&gt;'設定（最初に1回）'!$C$4,N(U1126),IF(COUNTIFS(①今日の在庫を貼る!$B$6:$B$10005,$B1127,①今日の在庫を貼る!$I$6:$I$10005,$I1127)&gt;0,N(U1126),N(U1126)+1))</f>
        <v>2</v>
      </c>
    </row>
    <row r="1128" customFormat="false" ht="15" hidden="false" customHeight="false" outlineLevel="0" collapsed="false">
      <c r="B1128" s="53"/>
      <c r="I1128" s="53"/>
      <c r="U1128" s="31" t="n">
        <f aca="false">IF($B1128&lt;&gt;'設定（最初に1回）'!$C$4,N(U1127),IF(COUNTIFS(①今日の在庫を貼る!$B$6:$B$10005,$B1128,①今日の在庫を貼る!$I$6:$I$10005,$I1128)&gt;0,N(U1127),N(U1127)+1))</f>
        <v>2</v>
      </c>
    </row>
    <row r="1129" customFormat="false" ht="15" hidden="false" customHeight="false" outlineLevel="0" collapsed="false">
      <c r="B1129" s="53"/>
      <c r="I1129" s="53"/>
      <c r="U1129" s="31" t="n">
        <f aca="false">IF($B1129&lt;&gt;'設定（最初に1回）'!$C$4,N(U1128),IF(COUNTIFS(①今日の在庫を貼る!$B$6:$B$10005,$B1129,①今日の在庫を貼る!$I$6:$I$10005,$I1129)&gt;0,N(U1128),N(U1128)+1))</f>
        <v>2</v>
      </c>
    </row>
    <row r="1130" customFormat="false" ht="15" hidden="false" customHeight="false" outlineLevel="0" collapsed="false">
      <c r="B1130" s="53"/>
      <c r="I1130" s="53"/>
      <c r="U1130" s="31" t="n">
        <f aca="false">IF($B1130&lt;&gt;'設定（最初に1回）'!$C$4,N(U1129),IF(COUNTIFS(①今日の在庫を貼る!$B$6:$B$10005,$B1130,①今日の在庫を貼る!$I$6:$I$10005,$I1130)&gt;0,N(U1129),N(U1129)+1))</f>
        <v>2</v>
      </c>
    </row>
    <row r="1131" customFormat="false" ht="15" hidden="false" customHeight="false" outlineLevel="0" collapsed="false">
      <c r="B1131" s="53"/>
      <c r="I1131" s="53"/>
      <c r="U1131" s="31" t="n">
        <f aca="false">IF($B1131&lt;&gt;'設定（最初に1回）'!$C$4,N(U1130),IF(COUNTIFS(①今日の在庫を貼る!$B$6:$B$10005,$B1131,①今日の在庫を貼る!$I$6:$I$10005,$I1131)&gt;0,N(U1130),N(U1130)+1))</f>
        <v>2</v>
      </c>
    </row>
    <row r="1132" customFormat="false" ht="15" hidden="false" customHeight="false" outlineLevel="0" collapsed="false">
      <c r="B1132" s="53"/>
      <c r="I1132" s="53"/>
      <c r="U1132" s="31" t="n">
        <f aca="false">IF($B1132&lt;&gt;'設定（最初に1回）'!$C$4,N(U1131),IF(COUNTIFS(①今日の在庫を貼る!$B$6:$B$10005,$B1132,①今日の在庫を貼る!$I$6:$I$10005,$I1132)&gt;0,N(U1131),N(U1131)+1))</f>
        <v>2</v>
      </c>
    </row>
    <row r="1133" customFormat="false" ht="15" hidden="false" customHeight="false" outlineLevel="0" collapsed="false">
      <c r="B1133" s="53"/>
      <c r="I1133" s="53"/>
      <c r="U1133" s="31" t="n">
        <f aca="false">IF($B1133&lt;&gt;'設定（最初に1回）'!$C$4,N(U1132),IF(COUNTIFS(①今日の在庫を貼る!$B$6:$B$10005,$B1133,①今日の在庫を貼る!$I$6:$I$10005,$I1133)&gt;0,N(U1132),N(U1132)+1))</f>
        <v>2</v>
      </c>
    </row>
    <row r="1134" customFormat="false" ht="15" hidden="false" customHeight="false" outlineLevel="0" collapsed="false">
      <c r="B1134" s="53"/>
      <c r="I1134" s="53"/>
      <c r="U1134" s="31" t="n">
        <f aca="false">IF($B1134&lt;&gt;'設定（最初に1回）'!$C$4,N(U1133),IF(COUNTIFS(①今日の在庫を貼る!$B$6:$B$10005,$B1134,①今日の在庫を貼る!$I$6:$I$10005,$I1134)&gt;0,N(U1133),N(U1133)+1))</f>
        <v>2</v>
      </c>
    </row>
    <row r="1135" customFormat="false" ht="15" hidden="false" customHeight="false" outlineLevel="0" collapsed="false">
      <c r="B1135" s="53"/>
      <c r="I1135" s="53"/>
      <c r="U1135" s="31" t="n">
        <f aca="false">IF($B1135&lt;&gt;'設定（最初に1回）'!$C$4,N(U1134),IF(COUNTIFS(①今日の在庫を貼る!$B$6:$B$10005,$B1135,①今日の在庫を貼る!$I$6:$I$10005,$I1135)&gt;0,N(U1134),N(U1134)+1))</f>
        <v>2</v>
      </c>
    </row>
    <row r="1136" customFormat="false" ht="15" hidden="false" customHeight="false" outlineLevel="0" collapsed="false">
      <c r="B1136" s="53"/>
      <c r="I1136" s="53"/>
      <c r="U1136" s="31" t="n">
        <f aca="false">IF($B1136&lt;&gt;'設定（最初に1回）'!$C$4,N(U1135),IF(COUNTIFS(①今日の在庫を貼る!$B$6:$B$10005,$B1136,①今日の在庫を貼る!$I$6:$I$10005,$I1136)&gt;0,N(U1135),N(U1135)+1))</f>
        <v>2</v>
      </c>
    </row>
    <row r="1137" customFormat="false" ht="15" hidden="false" customHeight="false" outlineLevel="0" collapsed="false">
      <c r="B1137" s="53"/>
      <c r="I1137" s="53"/>
      <c r="U1137" s="31" t="n">
        <f aca="false">IF($B1137&lt;&gt;'設定（最初に1回）'!$C$4,N(U1136),IF(COUNTIFS(①今日の在庫を貼る!$B$6:$B$10005,$B1137,①今日の在庫を貼る!$I$6:$I$10005,$I1137)&gt;0,N(U1136),N(U1136)+1))</f>
        <v>2</v>
      </c>
    </row>
    <row r="1138" customFormat="false" ht="15" hidden="false" customHeight="false" outlineLevel="0" collapsed="false">
      <c r="B1138" s="53"/>
      <c r="I1138" s="53"/>
      <c r="U1138" s="31" t="n">
        <f aca="false">IF($B1138&lt;&gt;'設定（最初に1回）'!$C$4,N(U1137),IF(COUNTIFS(①今日の在庫を貼る!$B$6:$B$10005,$B1138,①今日の在庫を貼る!$I$6:$I$10005,$I1138)&gt;0,N(U1137),N(U1137)+1))</f>
        <v>2</v>
      </c>
    </row>
    <row r="1139" customFormat="false" ht="15" hidden="false" customHeight="false" outlineLevel="0" collapsed="false">
      <c r="B1139" s="53"/>
      <c r="I1139" s="53"/>
      <c r="U1139" s="31" t="n">
        <f aca="false">IF($B1139&lt;&gt;'設定（最初に1回）'!$C$4,N(U1138),IF(COUNTIFS(①今日の在庫を貼る!$B$6:$B$10005,$B1139,①今日の在庫を貼る!$I$6:$I$10005,$I1139)&gt;0,N(U1138),N(U1138)+1))</f>
        <v>2</v>
      </c>
    </row>
    <row r="1140" customFormat="false" ht="15" hidden="false" customHeight="false" outlineLevel="0" collapsed="false">
      <c r="B1140" s="53"/>
      <c r="I1140" s="53"/>
      <c r="U1140" s="31" t="n">
        <f aca="false">IF($B1140&lt;&gt;'設定（最初に1回）'!$C$4,N(U1139),IF(COUNTIFS(①今日の在庫を貼る!$B$6:$B$10005,$B1140,①今日の在庫を貼る!$I$6:$I$10005,$I1140)&gt;0,N(U1139),N(U1139)+1))</f>
        <v>2</v>
      </c>
    </row>
    <row r="1141" customFormat="false" ht="15" hidden="false" customHeight="false" outlineLevel="0" collapsed="false">
      <c r="B1141" s="53"/>
      <c r="I1141" s="53"/>
      <c r="U1141" s="31" t="n">
        <f aca="false">IF($B1141&lt;&gt;'設定（最初に1回）'!$C$4,N(U1140),IF(COUNTIFS(①今日の在庫を貼る!$B$6:$B$10005,$B1141,①今日の在庫を貼る!$I$6:$I$10005,$I1141)&gt;0,N(U1140),N(U1140)+1))</f>
        <v>2</v>
      </c>
    </row>
    <row r="1142" customFormat="false" ht="15" hidden="false" customHeight="false" outlineLevel="0" collapsed="false">
      <c r="B1142" s="53"/>
      <c r="I1142" s="53"/>
      <c r="U1142" s="31" t="n">
        <f aca="false">IF($B1142&lt;&gt;'設定（最初に1回）'!$C$4,N(U1141),IF(COUNTIFS(①今日の在庫を貼る!$B$6:$B$10005,$B1142,①今日の在庫を貼る!$I$6:$I$10005,$I1142)&gt;0,N(U1141),N(U1141)+1))</f>
        <v>2</v>
      </c>
    </row>
    <row r="1143" customFormat="false" ht="15" hidden="false" customHeight="false" outlineLevel="0" collapsed="false">
      <c r="B1143" s="53"/>
      <c r="I1143" s="53"/>
      <c r="U1143" s="31" t="n">
        <f aca="false">IF($B1143&lt;&gt;'設定（最初に1回）'!$C$4,N(U1142),IF(COUNTIFS(①今日の在庫を貼る!$B$6:$B$10005,$B1143,①今日の在庫を貼る!$I$6:$I$10005,$I1143)&gt;0,N(U1142),N(U1142)+1))</f>
        <v>2</v>
      </c>
    </row>
    <row r="1144" customFormat="false" ht="15" hidden="false" customHeight="false" outlineLevel="0" collapsed="false">
      <c r="B1144" s="53"/>
      <c r="I1144" s="53"/>
      <c r="U1144" s="31" t="n">
        <f aca="false">IF($B1144&lt;&gt;'設定（最初に1回）'!$C$4,N(U1143),IF(COUNTIFS(①今日の在庫を貼る!$B$6:$B$10005,$B1144,①今日の在庫を貼る!$I$6:$I$10005,$I1144)&gt;0,N(U1143),N(U1143)+1))</f>
        <v>2</v>
      </c>
    </row>
    <row r="1145" customFormat="false" ht="15" hidden="false" customHeight="false" outlineLevel="0" collapsed="false">
      <c r="B1145" s="53"/>
      <c r="I1145" s="53"/>
      <c r="U1145" s="31" t="n">
        <f aca="false">IF($B1145&lt;&gt;'設定（最初に1回）'!$C$4,N(U1144),IF(COUNTIFS(①今日の在庫を貼る!$B$6:$B$10005,$B1145,①今日の在庫を貼る!$I$6:$I$10005,$I1145)&gt;0,N(U1144),N(U1144)+1))</f>
        <v>2</v>
      </c>
    </row>
    <row r="1146" customFormat="false" ht="15" hidden="false" customHeight="false" outlineLevel="0" collapsed="false">
      <c r="B1146" s="53"/>
      <c r="I1146" s="53"/>
      <c r="U1146" s="31" t="n">
        <f aca="false">IF($B1146&lt;&gt;'設定（最初に1回）'!$C$4,N(U1145),IF(COUNTIFS(①今日の在庫を貼る!$B$6:$B$10005,$B1146,①今日の在庫を貼る!$I$6:$I$10005,$I1146)&gt;0,N(U1145),N(U1145)+1))</f>
        <v>2</v>
      </c>
    </row>
    <row r="1147" customFormat="false" ht="15" hidden="false" customHeight="false" outlineLevel="0" collapsed="false">
      <c r="B1147" s="53"/>
      <c r="I1147" s="53"/>
      <c r="U1147" s="31" t="n">
        <f aca="false">IF($B1147&lt;&gt;'設定（最初に1回）'!$C$4,N(U1146),IF(COUNTIFS(①今日の在庫を貼る!$B$6:$B$10005,$B1147,①今日の在庫を貼る!$I$6:$I$10005,$I1147)&gt;0,N(U1146),N(U1146)+1))</f>
        <v>2</v>
      </c>
    </row>
    <row r="1148" customFormat="false" ht="15" hidden="false" customHeight="false" outlineLevel="0" collapsed="false">
      <c r="B1148" s="53"/>
      <c r="I1148" s="53"/>
      <c r="U1148" s="31" t="n">
        <f aca="false">IF($B1148&lt;&gt;'設定（最初に1回）'!$C$4,N(U1147),IF(COUNTIFS(①今日の在庫を貼る!$B$6:$B$10005,$B1148,①今日の在庫を貼る!$I$6:$I$10005,$I1148)&gt;0,N(U1147),N(U1147)+1))</f>
        <v>2</v>
      </c>
    </row>
    <row r="1149" customFormat="false" ht="15" hidden="false" customHeight="false" outlineLevel="0" collapsed="false">
      <c r="B1149" s="53"/>
      <c r="I1149" s="53"/>
      <c r="U1149" s="31" t="n">
        <f aca="false">IF($B1149&lt;&gt;'設定（最初に1回）'!$C$4,N(U1148),IF(COUNTIFS(①今日の在庫を貼る!$B$6:$B$10005,$B1149,①今日の在庫を貼る!$I$6:$I$10005,$I1149)&gt;0,N(U1148),N(U1148)+1))</f>
        <v>2</v>
      </c>
    </row>
    <row r="1150" customFormat="false" ht="15" hidden="false" customHeight="false" outlineLevel="0" collapsed="false">
      <c r="B1150" s="53"/>
      <c r="I1150" s="53"/>
      <c r="U1150" s="31" t="n">
        <f aca="false">IF($B1150&lt;&gt;'設定（最初に1回）'!$C$4,N(U1149),IF(COUNTIFS(①今日の在庫を貼る!$B$6:$B$10005,$B1150,①今日の在庫を貼る!$I$6:$I$10005,$I1150)&gt;0,N(U1149),N(U1149)+1))</f>
        <v>2</v>
      </c>
    </row>
    <row r="1151" customFormat="false" ht="15" hidden="false" customHeight="false" outlineLevel="0" collapsed="false">
      <c r="B1151" s="53"/>
      <c r="I1151" s="53"/>
      <c r="U1151" s="31" t="n">
        <f aca="false">IF($B1151&lt;&gt;'設定（最初に1回）'!$C$4,N(U1150),IF(COUNTIFS(①今日の在庫を貼る!$B$6:$B$10005,$B1151,①今日の在庫を貼る!$I$6:$I$10005,$I1151)&gt;0,N(U1150),N(U1150)+1))</f>
        <v>2</v>
      </c>
    </row>
    <row r="1152" customFormat="false" ht="15" hidden="false" customHeight="false" outlineLevel="0" collapsed="false">
      <c r="B1152" s="53"/>
      <c r="I1152" s="53"/>
      <c r="U1152" s="31" t="n">
        <f aca="false">IF($B1152&lt;&gt;'設定（最初に1回）'!$C$4,N(U1151),IF(COUNTIFS(①今日の在庫を貼る!$B$6:$B$10005,$B1152,①今日の在庫を貼る!$I$6:$I$10005,$I1152)&gt;0,N(U1151),N(U1151)+1))</f>
        <v>2</v>
      </c>
    </row>
    <row r="1153" customFormat="false" ht="15" hidden="false" customHeight="false" outlineLevel="0" collapsed="false">
      <c r="B1153" s="53"/>
      <c r="I1153" s="53"/>
      <c r="U1153" s="31" t="n">
        <f aca="false">IF($B1153&lt;&gt;'設定（最初に1回）'!$C$4,N(U1152),IF(COUNTIFS(①今日の在庫を貼る!$B$6:$B$10005,$B1153,①今日の在庫を貼る!$I$6:$I$10005,$I1153)&gt;0,N(U1152),N(U1152)+1))</f>
        <v>2</v>
      </c>
    </row>
    <row r="1154" customFormat="false" ht="15" hidden="false" customHeight="false" outlineLevel="0" collapsed="false">
      <c r="B1154" s="53"/>
      <c r="I1154" s="53"/>
      <c r="U1154" s="31" t="n">
        <f aca="false">IF($B1154&lt;&gt;'設定（最初に1回）'!$C$4,N(U1153),IF(COUNTIFS(①今日の在庫を貼る!$B$6:$B$10005,$B1154,①今日の在庫を貼る!$I$6:$I$10005,$I1154)&gt;0,N(U1153),N(U1153)+1))</f>
        <v>2</v>
      </c>
    </row>
    <row r="1155" customFormat="false" ht="15" hidden="false" customHeight="false" outlineLevel="0" collapsed="false">
      <c r="B1155" s="53"/>
      <c r="I1155" s="53"/>
      <c r="U1155" s="31" t="n">
        <f aca="false">IF($B1155&lt;&gt;'設定（最初に1回）'!$C$4,N(U1154),IF(COUNTIFS(①今日の在庫を貼る!$B$6:$B$10005,$B1155,①今日の在庫を貼る!$I$6:$I$10005,$I1155)&gt;0,N(U1154),N(U1154)+1))</f>
        <v>2</v>
      </c>
    </row>
    <row r="1156" customFormat="false" ht="15" hidden="false" customHeight="false" outlineLevel="0" collapsed="false">
      <c r="B1156" s="53"/>
      <c r="I1156" s="53"/>
      <c r="U1156" s="31" t="n">
        <f aca="false">IF($B1156&lt;&gt;'設定（最初に1回）'!$C$4,N(U1155),IF(COUNTIFS(①今日の在庫を貼る!$B$6:$B$10005,$B1156,①今日の在庫を貼る!$I$6:$I$10005,$I1156)&gt;0,N(U1155),N(U1155)+1))</f>
        <v>2</v>
      </c>
    </row>
    <row r="1157" customFormat="false" ht="15" hidden="false" customHeight="false" outlineLevel="0" collapsed="false">
      <c r="B1157" s="53"/>
      <c r="I1157" s="53"/>
      <c r="U1157" s="31" t="n">
        <f aca="false">IF($B1157&lt;&gt;'設定（最初に1回）'!$C$4,N(U1156),IF(COUNTIFS(①今日の在庫を貼る!$B$6:$B$10005,$B1157,①今日の在庫を貼る!$I$6:$I$10005,$I1157)&gt;0,N(U1156),N(U1156)+1))</f>
        <v>2</v>
      </c>
    </row>
    <row r="1158" customFormat="false" ht="15" hidden="false" customHeight="false" outlineLevel="0" collapsed="false">
      <c r="B1158" s="53"/>
      <c r="I1158" s="53"/>
      <c r="U1158" s="31" t="n">
        <f aca="false">IF($B1158&lt;&gt;'設定（最初に1回）'!$C$4,N(U1157),IF(COUNTIFS(①今日の在庫を貼る!$B$6:$B$10005,$B1158,①今日の在庫を貼る!$I$6:$I$10005,$I1158)&gt;0,N(U1157),N(U1157)+1))</f>
        <v>2</v>
      </c>
    </row>
    <row r="1159" customFormat="false" ht="15" hidden="false" customHeight="false" outlineLevel="0" collapsed="false">
      <c r="B1159" s="53"/>
      <c r="I1159" s="53"/>
      <c r="U1159" s="31" t="n">
        <f aca="false">IF($B1159&lt;&gt;'設定（最初に1回）'!$C$4,N(U1158),IF(COUNTIFS(①今日の在庫を貼る!$B$6:$B$10005,$B1159,①今日の在庫を貼る!$I$6:$I$10005,$I1159)&gt;0,N(U1158),N(U1158)+1))</f>
        <v>2</v>
      </c>
    </row>
    <row r="1160" customFormat="false" ht="15" hidden="false" customHeight="false" outlineLevel="0" collapsed="false">
      <c r="B1160" s="53"/>
      <c r="I1160" s="53"/>
      <c r="U1160" s="31" t="n">
        <f aca="false">IF($B1160&lt;&gt;'設定（最初に1回）'!$C$4,N(U1159),IF(COUNTIFS(①今日の在庫を貼る!$B$6:$B$10005,$B1160,①今日の在庫を貼る!$I$6:$I$10005,$I1160)&gt;0,N(U1159),N(U1159)+1))</f>
        <v>2</v>
      </c>
    </row>
    <row r="1161" customFormat="false" ht="15" hidden="false" customHeight="false" outlineLevel="0" collapsed="false">
      <c r="B1161" s="53"/>
      <c r="I1161" s="53"/>
      <c r="U1161" s="31" t="n">
        <f aca="false">IF($B1161&lt;&gt;'設定（最初に1回）'!$C$4,N(U1160),IF(COUNTIFS(①今日の在庫を貼る!$B$6:$B$10005,$B1161,①今日の在庫を貼る!$I$6:$I$10005,$I1161)&gt;0,N(U1160),N(U1160)+1))</f>
        <v>2</v>
      </c>
    </row>
    <row r="1162" customFormat="false" ht="15" hidden="false" customHeight="false" outlineLevel="0" collapsed="false">
      <c r="B1162" s="53"/>
      <c r="I1162" s="53"/>
      <c r="U1162" s="31" t="n">
        <f aca="false">IF($B1162&lt;&gt;'設定（最初に1回）'!$C$4,N(U1161),IF(COUNTIFS(①今日の在庫を貼る!$B$6:$B$10005,$B1162,①今日の在庫を貼る!$I$6:$I$10005,$I1162)&gt;0,N(U1161),N(U1161)+1))</f>
        <v>2</v>
      </c>
    </row>
    <row r="1163" customFormat="false" ht="15" hidden="false" customHeight="false" outlineLevel="0" collapsed="false">
      <c r="B1163" s="53"/>
      <c r="I1163" s="53"/>
      <c r="U1163" s="31" t="n">
        <f aca="false">IF($B1163&lt;&gt;'設定（最初に1回）'!$C$4,N(U1162),IF(COUNTIFS(①今日の在庫を貼る!$B$6:$B$10005,$B1163,①今日の在庫を貼る!$I$6:$I$10005,$I1163)&gt;0,N(U1162),N(U1162)+1))</f>
        <v>2</v>
      </c>
    </row>
    <row r="1164" customFormat="false" ht="15" hidden="false" customHeight="false" outlineLevel="0" collapsed="false">
      <c r="B1164" s="53"/>
      <c r="I1164" s="53"/>
      <c r="U1164" s="31" t="n">
        <f aca="false">IF($B1164&lt;&gt;'設定（最初に1回）'!$C$4,N(U1163),IF(COUNTIFS(①今日の在庫を貼る!$B$6:$B$10005,$B1164,①今日の在庫を貼る!$I$6:$I$10005,$I1164)&gt;0,N(U1163),N(U1163)+1))</f>
        <v>2</v>
      </c>
    </row>
    <row r="1165" customFormat="false" ht="15" hidden="false" customHeight="false" outlineLevel="0" collapsed="false">
      <c r="B1165" s="53"/>
      <c r="I1165" s="53"/>
      <c r="U1165" s="31" t="n">
        <f aca="false">IF($B1165&lt;&gt;'設定（最初に1回）'!$C$4,N(U1164),IF(COUNTIFS(①今日の在庫を貼る!$B$6:$B$10005,$B1165,①今日の在庫を貼る!$I$6:$I$10005,$I1165)&gt;0,N(U1164),N(U1164)+1))</f>
        <v>2</v>
      </c>
    </row>
    <row r="1166" customFormat="false" ht="15" hidden="false" customHeight="false" outlineLevel="0" collapsed="false">
      <c r="B1166" s="53"/>
      <c r="I1166" s="53"/>
      <c r="U1166" s="31" t="n">
        <f aca="false">IF($B1166&lt;&gt;'設定（最初に1回）'!$C$4,N(U1165),IF(COUNTIFS(①今日の在庫を貼る!$B$6:$B$10005,$B1166,①今日の在庫を貼る!$I$6:$I$10005,$I1166)&gt;0,N(U1165),N(U1165)+1))</f>
        <v>2</v>
      </c>
    </row>
    <row r="1167" customFormat="false" ht="15" hidden="false" customHeight="false" outlineLevel="0" collapsed="false">
      <c r="B1167" s="53"/>
      <c r="I1167" s="53"/>
      <c r="U1167" s="31" t="n">
        <f aca="false">IF($B1167&lt;&gt;'設定（最初に1回）'!$C$4,N(U1166),IF(COUNTIFS(①今日の在庫を貼る!$B$6:$B$10005,$B1167,①今日の在庫を貼る!$I$6:$I$10005,$I1167)&gt;0,N(U1166),N(U1166)+1))</f>
        <v>2</v>
      </c>
    </row>
    <row r="1168" customFormat="false" ht="15" hidden="false" customHeight="false" outlineLevel="0" collapsed="false">
      <c r="B1168" s="53"/>
      <c r="I1168" s="53"/>
      <c r="U1168" s="31" t="n">
        <f aca="false">IF($B1168&lt;&gt;'設定（最初に1回）'!$C$4,N(U1167),IF(COUNTIFS(①今日の在庫を貼る!$B$6:$B$10005,$B1168,①今日の在庫を貼る!$I$6:$I$10005,$I1168)&gt;0,N(U1167),N(U1167)+1))</f>
        <v>2</v>
      </c>
    </row>
    <row r="1169" customFormat="false" ht="15" hidden="false" customHeight="false" outlineLevel="0" collapsed="false">
      <c r="B1169" s="53"/>
      <c r="I1169" s="53"/>
      <c r="U1169" s="31" t="n">
        <f aca="false">IF($B1169&lt;&gt;'設定（最初に1回）'!$C$4,N(U1168),IF(COUNTIFS(①今日の在庫を貼る!$B$6:$B$10005,$B1169,①今日の在庫を貼る!$I$6:$I$10005,$I1169)&gt;0,N(U1168),N(U1168)+1))</f>
        <v>2</v>
      </c>
    </row>
    <row r="1170" customFormat="false" ht="15" hidden="false" customHeight="false" outlineLevel="0" collapsed="false">
      <c r="B1170" s="53"/>
      <c r="I1170" s="53"/>
      <c r="U1170" s="31" t="n">
        <f aca="false">IF($B1170&lt;&gt;'設定（最初に1回）'!$C$4,N(U1169),IF(COUNTIFS(①今日の在庫を貼る!$B$6:$B$10005,$B1170,①今日の在庫を貼る!$I$6:$I$10005,$I1170)&gt;0,N(U1169),N(U1169)+1))</f>
        <v>2</v>
      </c>
    </row>
    <row r="1171" customFormat="false" ht="15" hidden="false" customHeight="false" outlineLevel="0" collapsed="false">
      <c r="B1171" s="53"/>
      <c r="I1171" s="53"/>
      <c r="U1171" s="31" t="n">
        <f aca="false">IF($B1171&lt;&gt;'設定（最初に1回）'!$C$4,N(U1170),IF(COUNTIFS(①今日の在庫を貼る!$B$6:$B$10005,$B1171,①今日の在庫を貼る!$I$6:$I$10005,$I1171)&gt;0,N(U1170),N(U1170)+1))</f>
        <v>2</v>
      </c>
    </row>
    <row r="1172" customFormat="false" ht="15" hidden="false" customHeight="false" outlineLevel="0" collapsed="false">
      <c r="B1172" s="53"/>
      <c r="I1172" s="53"/>
      <c r="U1172" s="31" t="n">
        <f aca="false">IF($B1172&lt;&gt;'設定（最初に1回）'!$C$4,N(U1171),IF(COUNTIFS(①今日の在庫を貼る!$B$6:$B$10005,$B1172,①今日の在庫を貼る!$I$6:$I$10005,$I1172)&gt;0,N(U1171),N(U1171)+1))</f>
        <v>2</v>
      </c>
    </row>
    <row r="1173" customFormat="false" ht="15" hidden="false" customHeight="false" outlineLevel="0" collapsed="false">
      <c r="B1173" s="53"/>
      <c r="I1173" s="53"/>
      <c r="U1173" s="31" t="n">
        <f aca="false">IF($B1173&lt;&gt;'設定（最初に1回）'!$C$4,N(U1172),IF(COUNTIFS(①今日の在庫を貼る!$B$6:$B$10005,$B1173,①今日の在庫を貼る!$I$6:$I$10005,$I1173)&gt;0,N(U1172),N(U1172)+1))</f>
        <v>2</v>
      </c>
    </row>
    <row r="1174" customFormat="false" ht="15" hidden="false" customHeight="false" outlineLevel="0" collapsed="false">
      <c r="B1174" s="53"/>
      <c r="I1174" s="53"/>
      <c r="U1174" s="31" t="n">
        <f aca="false">IF($B1174&lt;&gt;'設定（最初に1回）'!$C$4,N(U1173),IF(COUNTIFS(①今日の在庫を貼る!$B$6:$B$10005,$B1174,①今日の在庫を貼る!$I$6:$I$10005,$I1174)&gt;0,N(U1173),N(U1173)+1))</f>
        <v>2</v>
      </c>
    </row>
    <row r="1175" customFormat="false" ht="15" hidden="false" customHeight="false" outlineLevel="0" collapsed="false">
      <c r="B1175" s="53"/>
      <c r="I1175" s="53"/>
      <c r="U1175" s="31" t="n">
        <f aca="false">IF($B1175&lt;&gt;'設定（最初に1回）'!$C$4,N(U1174),IF(COUNTIFS(①今日の在庫を貼る!$B$6:$B$10005,$B1175,①今日の在庫を貼る!$I$6:$I$10005,$I1175)&gt;0,N(U1174),N(U1174)+1))</f>
        <v>2</v>
      </c>
    </row>
    <row r="1176" customFormat="false" ht="15" hidden="false" customHeight="false" outlineLevel="0" collapsed="false">
      <c r="B1176" s="53"/>
      <c r="I1176" s="53"/>
      <c r="U1176" s="31" t="n">
        <f aca="false">IF($B1176&lt;&gt;'設定（最初に1回）'!$C$4,N(U1175),IF(COUNTIFS(①今日の在庫を貼る!$B$6:$B$10005,$B1176,①今日の在庫を貼る!$I$6:$I$10005,$I1176)&gt;0,N(U1175),N(U1175)+1))</f>
        <v>2</v>
      </c>
    </row>
    <row r="1177" customFormat="false" ht="15" hidden="false" customHeight="false" outlineLevel="0" collapsed="false">
      <c r="B1177" s="53"/>
      <c r="I1177" s="53"/>
      <c r="U1177" s="31" t="n">
        <f aca="false">IF($B1177&lt;&gt;'設定（最初に1回）'!$C$4,N(U1176),IF(COUNTIFS(①今日の在庫を貼る!$B$6:$B$10005,$B1177,①今日の在庫を貼る!$I$6:$I$10005,$I1177)&gt;0,N(U1176),N(U1176)+1))</f>
        <v>2</v>
      </c>
    </row>
    <row r="1178" customFormat="false" ht="15" hidden="false" customHeight="false" outlineLevel="0" collapsed="false">
      <c r="B1178" s="53"/>
      <c r="I1178" s="53"/>
      <c r="U1178" s="31" t="n">
        <f aca="false">IF($B1178&lt;&gt;'設定（最初に1回）'!$C$4,N(U1177),IF(COUNTIFS(①今日の在庫を貼る!$B$6:$B$10005,$B1178,①今日の在庫を貼る!$I$6:$I$10005,$I1178)&gt;0,N(U1177),N(U1177)+1))</f>
        <v>2</v>
      </c>
    </row>
    <row r="1179" customFormat="false" ht="15" hidden="false" customHeight="false" outlineLevel="0" collapsed="false">
      <c r="B1179" s="53"/>
      <c r="I1179" s="53"/>
      <c r="U1179" s="31" t="n">
        <f aca="false">IF($B1179&lt;&gt;'設定（最初に1回）'!$C$4,N(U1178),IF(COUNTIFS(①今日の在庫を貼る!$B$6:$B$10005,$B1179,①今日の在庫を貼る!$I$6:$I$10005,$I1179)&gt;0,N(U1178),N(U1178)+1))</f>
        <v>2</v>
      </c>
    </row>
    <row r="1180" customFormat="false" ht="15" hidden="false" customHeight="false" outlineLevel="0" collapsed="false">
      <c r="B1180" s="53"/>
      <c r="I1180" s="53"/>
      <c r="U1180" s="31" t="n">
        <f aca="false">IF($B1180&lt;&gt;'設定（最初に1回）'!$C$4,N(U1179),IF(COUNTIFS(①今日の在庫を貼る!$B$6:$B$10005,$B1180,①今日の在庫を貼る!$I$6:$I$10005,$I1180)&gt;0,N(U1179),N(U1179)+1))</f>
        <v>2</v>
      </c>
    </row>
    <row r="1181" customFormat="false" ht="15" hidden="false" customHeight="false" outlineLevel="0" collapsed="false">
      <c r="B1181" s="53"/>
      <c r="I1181" s="53"/>
      <c r="U1181" s="31" t="n">
        <f aca="false">IF($B1181&lt;&gt;'設定（最初に1回）'!$C$4,N(U1180),IF(COUNTIFS(①今日の在庫を貼る!$B$6:$B$10005,$B1181,①今日の在庫を貼る!$I$6:$I$10005,$I1181)&gt;0,N(U1180),N(U1180)+1))</f>
        <v>2</v>
      </c>
    </row>
    <row r="1182" customFormat="false" ht="15" hidden="false" customHeight="false" outlineLevel="0" collapsed="false">
      <c r="B1182" s="53"/>
      <c r="I1182" s="53"/>
      <c r="U1182" s="31" t="n">
        <f aca="false">IF($B1182&lt;&gt;'設定（最初に1回）'!$C$4,N(U1181),IF(COUNTIFS(①今日の在庫を貼る!$B$6:$B$10005,$B1182,①今日の在庫を貼る!$I$6:$I$10005,$I1182)&gt;0,N(U1181),N(U1181)+1))</f>
        <v>2</v>
      </c>
    </row>
    <row r="1183" customFormat="false" ht="15" hidden="false" customHeight="false" outlineLevel="0" collapsed="false">
      <c r="B1183" s="53"/>
      <c r="I1183" s="53"/>
      <c r="U1183" s="31" t="n">
        <f aca="false">IF($B1183&lt;&gt;'設定（最初に1回）'!$C$4,N(U1182),IF(COUNTIFS(①今日の在庫を貼る!$B$6:$B$10005,$B1183,①今日の在庫を貼る!$I$6:$I$10005,$I1183)&gt;0,N(U1182),N(U1182)+1))</f>
        <v>2</v>
      </c>
    </row>
    <row r="1184" customFormat="false" ht="15" hidden="false" customHeight="false" outlineLevel="0" collapsed="false">
      <c r="B1184" s="53"/>
      <c r="I1184" s="53"/>
      <c r="U1184" s="31" t="n">
        <f aca="false">IF($B1184&lt;&gt;'設定（最初に1回）'!$C$4,N(U1183),IF(COUNTIFS(①今日の在庫を貼る!$B$6:$B$10005,$B1184,①今日の在庫を貼る!$I$6:$I$10005,$I1184)&gt;0,N(U1183),N(U1183)+1))</f>
        <v>2</v>
      </c>
    </row>
    <row r="1185" customFormat="false" ht="15" hidden="false" customHeight="false" outlineLevel="0" collapsed="false">
      <c r="B1185" s="53"/>
      <c r="I1185" s="53"/>
      <c r="U1185" s="31" t="n">
        <f aca="false">IF($B1185&lt;&gt;'設定（最初に1回）'!$C$4,N(U1184),IF(COUNTIFS(①今日の在庫を貼る!$B$6:$B$10005,$B1185,①今日の在庫を貼る!$I$6:$I$10005,$I1185)&gt;0,N(U1184),N(U1184)+1))</f>
        <v>2</v>
      </c>
    </row>
    <row r="1186" customFormat="false" ht="15" hidden="false" customHeight="false" outlineLevel="0" collapsed="false">
      <c r="B1186" s="53"/>
      <c r="I1186" s="53"/>
      <c r="U1186" s="31" t="n">
        <f aca="false">IF($B1186&lt;&gt;'設定（最初に1回）'!$C$4,N(U1185),IF(COUNTIFS(①今日の在庫を貼る!$B$6:$B$10005,$B1186,①今日の在庫を貼る!$I$6:$I$10005,$I1186)&gt;0,N(U1185),N(U1185)+1))</f>
        <v>2</v>
      </c>
    </row>
    <row r="1187" customFormat="false" ht="15" hidden="false" customHeight="false" outlineLevel="0" collapsed="false">
      <c r="B1187" s="53"/>
      <c r="I1187" s="53"/>
      <c r="U1187" s="31" t="n">
        <f aca="false">IF($B1187&lt;&gt;'設定（最初に1回）'!$C$4,N(U1186),IF(COUNTIFS(①今日の在庫を貼る!$B$6:$B$10005,$B1187,①今日の在庫を貼る!$I$6:$I$10005,$I1187)&gt;0,N(U1186),N(U1186)+1))</f>
        <v>2</v>
      </c>
    </row>
    <row r="1188" customFormat="false" ht="15" hidden="false" customHeight="false" outlineLevel="0" collapsed="false">
      <c r="B1188" s="53"/>
      <c r="I1188" s="53"/>
      <c r="U1188" s="31" t="n">
        <f aca="false">IF($B1188&lt;&gt;'設定（最初に1回）'!$C$4,N(U1187),IF(COUNTIFS(①今日の在庫を貼る!$B$6:$B$10005,$B1188,①今日の在庫を貼る!$I$6:$I$10005,$I1188)&gt;0,N(U1187),N(U1187)+1))</f>
        <v>2</v>
      </c>
    </row>
    <row r="1189" customFormat="false" ht="15" hidden="false" customHeight="false" outlineLevel="0" collapsed="false">
      <c r="B1189" s="53"/>
      <c r="I1189" s="53"/>
      <c r="U1189" s="31" t="n">
        <f aca="false">IF($B1189&lt;&gt;'設定（最初に1回）'!$C$4,N(U1188),IF(COUNTIFS(①今日の在庫を貼る!$B$6:$B$10005,$B1189,①今日の在庫を貼る!$I$6:$I$10005,$I1189)&gt;0,N(U1188),N(U1188)+1))</f>
        <v>2</v>
      </c>
    </row>
    <row r="1190" customFormat="false" ht="15" hidden="false" customHeight="false" outlineLevel="0" collapsed="false">
      <c r="B1190" s="53"/>
      <c r="I1190" s="53"/>
      <c r="U1190" s="31" t="n">
        <f aca="false">IF($B1190&lt;&gt;'設定（最初に1回）'!$C$4,N(U1189),IF(COUNTIFS(①今日の在庫を貼る!$B$6:$B$10005,$B1190,①今日の在庫を貼る!$I$6:$I$10005,$I1190)&gt;0,N(U1189),N(U1189)+1))</f>
        <v>2</v>
      </c>
    </row>
    <row r="1191" customFormat="false" ht="15" hidden="false" customHeight="false" outlineLevel="0" collapsed="false">
      <c r="B1191" s="53"/>
      <c r="I1191" s="53"/>
      <c r="U1191" s="31" t="n">
        <f aca="false">IF($B1191&lt;&gt;'設定（最初に1回）'!$C$4,N(U1190),IF(COUNTIFS(①今日の在庫を貼る!$B$6:$B$10005,$B1191,①今日の在庫を貼る!$I$6:$I$10005,$I1191)&gt;0,N(U1190),N(U1190)+1))</f>
        <v>2</v>
      </c>
    </row>
    <row r="1192" customFormat="false" ht="15" hidden="false" customHeight="false" outlineLevel="0" collapsed="false">
      <c r="B1192" s="53"/>
      <c r="I1192" s="53"/>
      <c r="U1192" s="31" t="n">
        <f aca="false">IF($B1192&lt;&gt;'設定（最初に1回）'!$C$4,N(U1191),IF(COUNTIFS(①今日の在庫を貼る!$B$6:$B$10005,$B1192,①今日の在庫を貼る!$I$6:$I$10005,$I1192)&gt;0,N(U1191),N(U1191)+1))</f>
        <v>2</v>
      </c>
    </row>
    <row r="1193" customFormat="false" ht="15" hidden="false" customHeight="false" outlineLevel="0" collapsed="false">
      <c r="B1193" s="53"/>
      <c r="I1193" s="53"/>
      <c r="U1193" s="31" t="n">
        <f aca="false">IF($B1193&lt;&gt;'設定（最初に1回）'!$C$4,N(U1192),IF(COUNTIFS(①今日の在庫を貼る!$B$6:$B$10005,$B1193,①今日の在庫を貼る!$I$6:$I$10005,$I1193)&gt;0,N(U1192),N(U1192)+1))</f>
        <v>2</v>
      </c>
    </row>
    <row r="1194" customFormat="false" ht="15" hidden="false" customHeight="false" outlineLevel="0" collapsed="false">
      <c r="B1194" s="53"/>
      <c r="I1194" s="53"/>
      <c r="U1194" s="31" t="n">
        <f aca="false">IF($B1194&lt;&gt;'設定（最初に1回）'!$C$4,N(U1193),IF(COUNTIFS(①今日の在庫を貼る!$B$6:$B$10005,$B1194,①今日の在庫を貼る!$I$6:$I$10005,$I1194)&gt;0,N(U1193),N(U1193)+1))</f>
        <v>2</v>
      </c>
    </row>
    <row r="1195" customFormat="false" ht="15" hidden="false" customHeight="false" outlineLevel="0" collapsed="false">
      <c r="B1195" s="53"/>
      <c r="I1195" s="53"/>
      <c r="U1195" s="31" t="n">
        <f aca="false">IF($B1195&lt;&gt;'設定（最初に1回）'!$C$4,N(U1194),IF(COUNTIFS(①今日の在庫を貼る!$B$6:$B$10005,$B1195,①今日の在庫を貼る!$I$6:$I$10005,$I1195)&gt;0,N(U1194),N(U1194)+1))</f>
        <v>2</v>
      </c>
    </row>
    <row r="1196" customFormat="false" ht="15" hidden="false" customHeight="false" outlineLevel="0" collapsed="false">
      <c r="B1196" s="53"/>
      <c r="I1196" s="53"/>
      <c r="U1196" s="31" t="n">
        <f aca="false">IF($B1196&lt;&gt;'設定（最初に1回）'!$C$4,N(U1195),IF(COUNTIFS(①今日の在庫を貼る!$B$6:$B$10005,$B1196,①今日の在庫を貼る!$I$6:$I$10005,$I1196)&gt;0,N(U1195),N(U1195)+1))</f>
        <v>2</v>
      </c>
    </row>
    <row r="1197" customFormat="false" ht="15" hidden="false" customHeight="false" outlineLevel="0" collapsed="false">
      <c r="B1197" s="53"/>
      <c r="I1197" s="53"/>
      <c r="U1197" s="31" t="n">
        <f aca="false">IF($B1197&lt;&gt;'設定（最初に1回）'!$C$4,N(U1196),IF(COUNTIFS(①今日の在庫を貼る!$B$6:$B$10005,$B1197,①今日の在庫を貼る!$I$6:$I$10005,$I1197)&gt;0,N(U1196),N(U1196)+1))</f>
        <v>2</v>
      </c>
    </row>
    <row r="1198" customFormat="false" ht="15" hidden="false" customHeight="false" outlineLevel="0" collapsed="false">
      <c r="B1198" s="53"/>
      <c r="I1198" s="53"/>
      <c r="U1198" s="31" t="n">
        <f aca="false">IF($B1198&lt;&gt;'設定（最初に1回）'!$C$4,N(U1197),IF(COUNTIFS(①今日の在庫を貼る!$B$6:$B$10005,$B1198,①今日の在庫を貼る!$I$6:$I$10005,$I1198)&gt;0,N(U1197),N(U1197)+1))</f>
        <v>2</v>
      </c>
    </row>
    <row r="1199" customFormat="false" ht="15" hidden="false" customHeight="false" outlineLevel="0" collapsed="false">
      <c r="B1199" s="53"/>
      <c r="I1199" s="53"/>
      <c r="U1199" s="31" t="n">
        <f aca="false">IF($B1199&lt;&gt;'設定（最初に1回）'!$C$4,N(U1198),IF(COUNTIFS(①今日の在庫を貼る!$B$6:$B$10005,$B1199,①今日の在庫を貼る!$I$6:$I$10005,$I1199)&gt;0,N(U1198),N(U1198)+1))</f>
        <v>2</v>
      </c>
    </row>
    <row r="1200" customFormat="false" ht="15" hidden="false" customHeight="false" outlineLevel="0" collapsed="false">
      <c r="B1200" s="53"/>
      <c r="I1200" s="53"/>
      <c r="U1200" s="31" t="n">
        <f aca="false">IF($B1200&lt;&gt;'設定（最初に1回）'!$C$4,N(U1199),IF(COUNTIFS(①今日の在庫を貼る!$B$6:$B$10005,$B1200,①今日の在庫を貼る!$I$6:$I$10005,$I1200)&gt;0,N(U1199),N(U1199)+1))</f>
        <v>2</v>
      </c>
    </row>
    <row r="1201" customFormat="false" ht="15" hidden="false" customHeight="false" outlineLevel="0" collapsed="false">
      <c r="B1201" s="53"/>
      <c r="I1201" s="53"/>
      <c r="U1201" s="31" t="n">
        <f aca="false">IF($B1201&lt;&gt;'設定（最初に1回）'!$C$4,N(U1200),IF(COUNTIFS(①今日の在庫を貼る!$B$6:$B$10005,$B1201,①今日の在庫を貼る!$I$6:$I$10005,$I1201)&gt;0,N(U1200),N(U1200)+1))</f>
        <v>2</v>
      </c>
    </row>
    <row r="1202" customFormat="false" ht="15" hidden="false" customHeight="false" outlineLevel="0" collapsed="false">
      <c r="B1202" s="53"/>
      <c r="I1202" s="53"/>
      <c r="U1202" s="31" t="n">
        <f aca="false">IF($B1202&lt;&gt;'設定（最初に1回）'!$C$4,N(U1201),IF(COUNTIFS(①今日の在庫を貼る!$B$6:$B$10005,$B1202,①今日の在庫を貼る!$I$6:$I$10005,$I1202)&gt;0,N(U1201),N(U1201)+1))</f>
        <v>2</v>
      </c>
    </row>
    <row r="1203" customFormat="false" ht="15" hidden="false" customHeight="false" outlineLevel="0" collapsed="false">
      <c r="B1203" s="53"/>
      <c r="I1203" s="53"/>
      <c r="U1203" s="31" t="n">
        <f aca="false">IF($B1203&lt;&gt;'設定（最初に1回）'!$C$4,N(U1202),IF(COUNTIFS(①今日の在庫を貼る!$B$6:$B$10005,$B1203,①今日の在庫を貼る!$I$6:$I$10005,$I1203)&gt;0,N(U1202),N(U1202)+1))</f>
        <v>2</v>
      </c>
    </row>
    <row r="1204" customFormat="false" ht="15" hidden="false" customHeight="false" outlineLevel="0" collapsed="false">
      <c r="B1204" s="53"/>
      <c r="I1204" s="53"/>
      <c r="U1204" s="31" t="n">
        <f aca="false">IF($B1204&lt;&gt;'設定（最初に1回）'!$C$4,N(U1203),IF(COUNTIFS(①今日の在庫を貼る!$B$6:$B$10005,$B1204,①今日の在庫を貼る!$I$6:$I$10005,$I1204)&gt;0,N(U1203),N(U1203)+1))</f>
        <v>2</v>
      </c>
    </row>
    <row r="1205" customFormat="false" ht="15" hidden="false" customHeight="false" outlineLevel="0" collapsed="false">
      <c r="B1205" s="53"/>
      <c r="I1205" s="53"/>
      <c r="U1205" s="31" t="n">
        <f aca="false">IF($B1205&lt;&gt;'設定（最初に1回）'!$C$4,N(U1204),IF(COUNTIFS(①今日の在庫を貼る!$B$6:$B$10005,$B1205,①今日の在庫を貼る!$I$6:$I$10005,$I1205)&gt;0,N(U1204),N(U1204)+1))</f>
        <v>2</v>
      </c>
    </row>
    <row r="1206" customFormat="false" ht="15" hidden="false" customHeight="false" outlineLevel="0" collapsed="false">
      <c r="B1206" s="53"/>
      <c r="I1206" s="53"/>
      <c r="U1206" s="31" t="n">
        <f aca="false">IF($B1206&lt;&gt;'設定（最初に1回）'!$C$4,N(U1205),IF(COUNTIFS(①今日の在庫を貼る!$B$6:$B$10005,$B1206,①今日の在庫を貼る!$I$6:$I$10005,$I1206)&gt;0,N(U1205),N(U1205)+1))</f>
        <v>2</v>
      </c>
    </row>
    <row r="1207" customFormat="false" ht="15" hidden="false" customHeight="false" outlineLevel="0" collapsed="false">
      <c r="B1207" s="53"/>
      <c r="I1207" s="53"/>
      <c r="U1207" s="31" t="n">
        <f aca="false">IF($B1207&lt;&gt;'設定（最初に1回）'!$C$4,N(U1206),IF(COUNTIFS(①今日の在庫を貼る!$B$6:$B$10005,$B1207,①今日の在庫を貼る!$I$6:$I$10005,$I1207)&gt;0,N(U1206),N(U1206)+1))</f>
        <v>2</v>
      </c>
    </row>
    <row r="1208" customFormat="false" ht="15" hidden="false" customHeight="false" outlineLevel="0" collapsed="false">
      <c r="B1208" s="53"/>
      <c r="I1208" s="53"/>
      <c r="U1208" s="31" t="n">
        <f aca="false">IF($B1208&lt;&gt;'設定（最初に1回）'!$C$4,N(U1207),IF(COUNTIFS(①今日の在庫を貼る!$B$6:$B$10005,$B1208,①今日の在庫を貼る!$I$6:$I$10005,$I1208)&gt;0,N(U1207),N(U1207)+1))</f>
        <v>2</v>
      </c>
    </row>
    <row r="1209" customFormat="false" ht="15" hidden="false" customHeight="false" outlineLevel="0" collapsed="false">
      <c r="B1209" s="53"/>
      <c r="I1209" s="53"/>
      <c r="U1209" s="31" t="n">
        <f aca="false">IF($B1209&lt;&gt;'設定（最初に1回）'!$C$4,N(U1208),IF(COUNTIFS(①今日の在庫を貼る!$B$6:$B$10005,$B1209,①今日の在庫を貼る!$I$6:$I$10005,$I1209)&gt;0,N(U1208),N(U1208)+1))</f>
        <v>2</v>
      </c>
    </row>
    <row r="1210" customFormat="false" ht="15" hidden="false" customHeight="false" outlineLevel="0" collapsed="false">
      <c r="B1210" s="53"/>
      <c r="I1210" s="53"/>
      <c r="U1210" s="31" t="n">
        <f aca="false">IF($B1210&lt;&gt;'設定（最初に1回）'!$C$4,N(U1209),IF(COUNTIFS(①今日の在庫を貼る!$B$6:$B$10005,$B1210,①今日の在庫を貼る!$I$6:$I$10005,$I1210)&gt;0,N(U1209),N(U1209)+1))</f>
        <v>2</v>
      </c>
    </row>
    <row r="1211" customFormat="false" ht="15" hidden="false" customHeight="false" outlineLevel="0" collapsed="false">
      <c r="B1211" s="53"/>
      <c r="I1211" s="53"/>
      <c r="U1211" s="31" t="n">
        <f aca="false">IF($B1211&lt;&gt;'設定（最初に1回）'!$C$4,N(U1210),IF(COUNTIFS(①今日の在庫を貼る!$B$6:$B$10005,$B1211,①今日の在庫を貼る!$I$6:$I$10005,$I1211)&gt;0,N(U1210),N(U1210)+1))</f>
        <v>2</v>
      </c>
    </row>
    <row r="1212" customFormat="false" ht="15" hidden="false" customHeight="false" outlineLevel="0" collapsed="false">
      <c r="B1212" s="53"/>
      <c r="I1212" s="53"/>
      <c r="U1212" s="31" t="n">
        <f aca="false">IF($B1212&lt;&gt;'設定（最初に1回）'!$C$4,N(U1211),IF(COUNTIFS(①今日の在庫を貼る!$B$6:$B$10005,$B1212,①今日の在庫を貼る!$I$6:$I$10005,$I1212)&gt;0,N(U1211),N(U1211)+1))</f>
        <v>2</v>
      </c>
    </row>
    <row r="1213" customFormat="false" ht="15" hidden="false" customHeight="false" outlineLevel="0" collapsed="false">
      <c r="B1213" s="53"/>
      <c r="I1213" s="53"/>
      <c r="U1213" s="31" t="n">
        <f aca="false">IF($B1213&lt;&gt;'設定（最初に1回）'!$C$4,N(U1212),IF(COUNTIFS(①今日の在庫を貼る!$B$6:$B$10005,$B1213,①今日の在庫を貼る!$I$6:$I$10005,$I1213)&gt;0,N(U1212),N(U1212)+1))</f>
        <v>2</v>
      </c>
    </row>
    <row r="1214" customFormat="false" ht="15" hidden="false" customHeight="false" outlineLevel="0" collapsed="false">
      <c r="B1214" s="53"/>
      <c r="I1214" s="53"/>
      <c r="U1214" s="31" t="n">
        <f aca="false">IF($B1214&lt;&gt;'設定（最初に1回）'!$C$4,N(U1213),IF(COUNTIFS(①今日の在庫を貼る!$B$6:$B$10005,$B1214,①今日の在庫を貼る!$I$6:$I$10005,$I1214)&gt;0,N(U1213),N(U1213)+1))</f>
        <v>2</v>
      </c>
    </row>
    <row r="1215" customFormat="false" ht="15" hidden="false" customHeight="false" outlineLevel="0" collapsed="false">
      <c r="B1215" s="53"/>
      <c r="I1215" s="53"/>
      <c r="U1215" s="31" t="n">
        <f aca="false">IF($B1215&lt;&gt;'設定（最初に1回）'!$C$4,N(U1214),IF(COUNTIFS(①今日の在庫を貼る!$B$6:$B$10005,$B1215,①今日の在庫を貼る!$I$6:$I$10005,$I1215)&gt;0,N(U1214),N(U1214)+1))</f>
        <v>2</v>
      </c>
    </row>
    <row r="1216" customFormat="false" ht="15" hidden="false" customHeight="false" outlineLevel="0" collapsed="false">
      <c r="B1216" s="53"/>
      <c r="I1216" s="53"/>
      <c r="U1216" s="31" t="n">
        <f aca="false">IF($B1216&lt;&gt;'設定（最初に1回）'!$C$4,N(U1215),IF(COUNTIFS(①今日の在庫を貼る!$B$6:$B$10005,$B1216,①今日の在庫を貼る!$I$6:$I$10005,$I1216)&gt;0,N(U1215),N(U1215)+1))</f>
        <v>2</v>
      </c>
    </row>
    <row r="1217" customFormat="false" ht="15" hidden="false" customHeight="false" outlineLevel="0" collapsed="false">
      <c r="B1217" s="53"/>
      <c r="I1217" s="53"/>
      <c r="U1217" s="31" t="n">
        <f aca="false">IF($B1217&lt;&gt;'設定（最初に1回）'!$C$4,N(U1216),IF(COUNTIFS(①今日の在庫を貼る!$B$6:$B$10005,$B1217,①今日の在庫を貼る!$I$6:$I$10005,$I1217)&gt;0,N(U1216),N(U1216)+1))</f>
        <v>2</v>
      </c>
    </row>
    <row r="1218" customFormat="false" ht="15" hidden="false" customHeight="false" outlineLevel="0" collapsed="false">
      <c r="B1218" s="53"/>
      <c r="I1218" s="53"/>
      <c r="U1218" s="31" t="n">
        <f aca="false">IF($B1218&lt;&gt;'設定（最初に1回）'!$C$4,N(U1217),IF(COUNTIFS(①今日の在庫を貼る!$B$6:$B$10005,$B1218,①今日の在庫を貼る!$I$6:$I$10005,$I1218)&gt;0,N(U1217),N(U1217)+1))</f>
        <v>2</v>
      </c>
    </row>
    <row r="1219" customFormat="false" ht="15" hidden="false" customHeight="false" outlineLevel="0" collapsed="false">
      <c r="B1219" s="53"/>
      <c r="I1219" s="53"/>
      <c r="U1219" s="31" t="n">
        <f aca="false">IF($B1219&lt;&gt;'設定（最初に1回）'!$C$4,N(U1218),IF(COUNTIFS(①今日の在庫を貼る!$B$6:$B$10005,$B1219,①今日の在庫を貼る!$I$6:$I$10005,$I1219)&gt;0,N(U1218),N(U1218)+1))</f>
        <v>2</v>
      </c>
    </row>
    <row r="1220" customFormat="false" ht="15" hidden="false" customHeight="false" outlineLevel="0" collapsed="false">
      <c r="B1220" s="53"/>
      <c r="I1220" s="53"/>
      <c r="U1220" s="31" t="n">
        <f aca="false">IF($B1220&lt;&gt;'設定（最初に1回）'!$C$4,N(U1219),IF(COUNTIFS(①今日の在庫を貼る!$B$6:$B$10005,$B1220,①今日の在庫を貼る!$I$6:$I$10005,$I1220)&gt;0,N(U1219),N(U1219)+1))</f>
        <v>2</v>
      </c>
    </row>
    <row r="1221" customFormat="false" ht="15" hidden="false" customHeight="false" outlineLevel="0" collapsed="false">
      <c r="B1221" s="53"/>
      <c r="I1221" s="53"/>
      <c r="U1221" s="31" t="n">
        <f aca="false">IF($B1221&lt;&gt;'設定（最初に1回）'!$C$4,N(U1220),IF(COUNTIFS(①今日の在庫を貼る!$B$6:$B$10005,$B1221,①今日の在庫を貼る!$I$6:$I$10005,$I1221)&gt;0,N(U1220),N(U1220)+1))</f>
        <v>2</v>
      </c>
    </row>
    <row r="1222" customFormat="false" ht="15" hidden="false" customHeight="false" outlineLevel="0" collapsed="false">
      <c r="B1222" s="53"/>
      <c r="I1222" s="53"/>
      <c r="U1222" s="31" t="n">
        <f aca="false">IF($B1222&lt;&gt;'設定（最初に1回）'!$C$4,N(U1221),IF(COUNTIFS(①今日の在庫を貼る!$B$6:$B$10005,$B1222,①今日の在庫を貼る!$I$6:$I$10005,$I1222)&gt;0,N(U1221),N(U1221)+1))</f>
        <v>2</v>
      </c>
    </row>
    <row r="1223" customFormat="false" ht="15" hidden="false" customHeight="false" outlineLevel="0" collapsed="false">
      <c r="B1223" s="53"/>
      <c r="I1223" s="53"/>
      <c r="U1223" s="31" t="n">
        <f aca="false">IF($B1223&lt;&gt;'設定（最初に1回）'!$C$4,N(U1222),IF(COUNTIFS(①今日の在庫を貼る!$B$6:$B$10005,$B1223,①今日の在庫を貼る!$I$6:$I$10005,$I1223)&gt;0,N(U1222),N(U1222)+1))</f>
        <v>2</v>
      </c>
    </row>
    <row r="1224" customFormat="false" ht="15" hidden="false" customHeight="false" outlineLevel="0" collapsed="false">
      <c r="B1224" s="53"/>
      <c r="I1224" s="53"/>
      <c r="U1224" s="31" t="n">
        <f aca="false">IF($B1224&lt;&gt;'設定（最初に1回）'!$C$4,N(U1223),IF(COUNTIFS(①今日の在庫を貼る!$B$6:$B$10005,$B1224,①今日の在庫を貼る!$I$6:$I$10005,$I1224)&gt;0,N(U1223),N(U1223)+1))</f>
        <v>2</v>
      </c>
    </row>
    <row r="1225" customFormat="false" ht="15" hidden="false" customHeight="false" outlineLevel="0" collapsed="false">
      <c r="B1225" s="53"/>
      <c r="I1225" s="53"/>
      <c r="U1225" s="31" t="n">
        <f aca="false">IF($B1225&lt;&gt;'設定（最初に1回）'!$C$4,N(U1224),IF(COUNTIFS(①今日の在庫を貼る!$B$6:$B$10005,$B1225,①今日の在庫を貼る!$I$6:$I$10005,$I1225)&gt;0,N(U1224),N(U1224)+1))</f>
        <v>2</v>
      </c>
    </row>
    <row r="1226" customFormat="false" ht="15" hidden="false" customHeight="false" outlineLevel="0" collapsed="false">
      <c r="B1226" s="53"/>
      <c r="I1226" s="53"/>
      <c r="U1226" s="31" t="n">
        <f aca="false">IF($B1226&lt;&gt;'設定（最初に1回）'!$C$4,N(U1225),IF(COUNTIFS(①今日の在庫を貼る!$B$6:$B$10005,$B1226,①今日の在庫を貼る!$I$6:$I$10005,$I1226)&gt;0,N(U1225),N(U1225)+1))</f>
        <v>2</v>
      </c>
    </row>
    <row r="1227" customFormat="false" ht="15" hidden="false" customHeight="false" outlineLevel="0" collapsed="false">
      <c r="B1227" s="53"/>
      <c r="I1227" s="53"/>
      <c r="U1227" s="31" t="n">
        <f aca="false">IF($B1227&lt;&gt;'設定（最初に1回）'!$C$4,N(U1226),IF(COUNTIFS(①今日の在庫を貼る!$B$6:$B$10005,$B1227,①今日の在庫を貼る!$I$6:$I$10005,$I1227)&gt;0,N(U1226),N(U1226)+1))</f>
        <v>2</v>
      </c>
    </row>
    <row r="1228" customFormat="false" ht="15" hidden="false" customHeight="false" outlineLevel="0" collapsed="false">
      <c r="B1228" s="53"/>
      <c r="I1228" s="53"/>
      <c r="U1228" s="31" t="n">
        <f aca="false">IF($B1228&lt;&gt;'設定（最初に1回）'!$C$4,N(U1227),IF(COUNTIFS(①今日の在庫を貼る!$B$6:$B$10005,$B1228,①今日の在庫を貼る!$I$6:$I$10005,$I1228)&gt;0,N(U1227),N(U1227)+1))</f>
        <v>2</v>
      </c>
    </row>
    <row r="1229" customFormat="false" ht="15" hidden="false" customHeight="false" outlineLevel="0" collapsed="false">
      <c r="B1229" s="53"/>
      <c r="I1229" s="53"/>
      <c r="U1229" s="31" t="n">
        <f aca="false">IF($B1229&lt;&gt;'設定（最初に1回）'!$C$4,N(U1228),IF(COUNTIFS(①今日の在庫を貼る!$B$6:$B$10005,$B1229,①今日の在庫を貼る!$I$6:$I$10005,$I1229)&gt;0,N(U1228),N(U1228)+1))</f>
        <v>2</v>
      </c>
    </row>
    <row r="1230" customFormat="false" ht="15" hidden="false" customHeight="false" outlineLevel="0" collapsed="false">
      <c r="B1230" s="53"/>
      <c r="I1230" s="53"/>
      <c r="U1230" s="31" t="n">
        <f aca="false">IF($B1230&lt;&gt;'設定（最初に1回）'!$C$4,N(U1229),IF(COUNTIFS(①今日の在庫を貼る!$B$6:$B$10005,$B1230,①今日の在庫を貼る!$I$6:$I$10005,$I1230)&gt;0,N(U1229),N(U1229)+1))</f>
        <v>2</v>
      </c>
    </row>
    <row r="1231" customFormat="false" ht="15" hidden="false" customHeight="false" outlineLevel="0" collapsed="false">
      <c r="B1231" s="53"/>
      <c r="I1231" s="53"/>
      <c r="U1231" s="31" t="n">
        <f aca="false">IF($B1231&lt;&gt;'設定（最初に1回）'!$C$4,N(U1230),IF(COUNTIFS(①今日の在庫を貼る!$B$6:$B$10005,$B1231,①今日の在庫を貼る!$I$6:$I$10005,$I1231)&gt;0,N(U1230),N(U1230)+1))</f>
        <v>2</v>
      </c>
    </row>
    <row r="1232" customFormat="false" ht="15" hidden="false" customHeight="false" outlineLevel="0" collapsed="false">
      <c r="B1232" s="53"/>
      <c r="I1232" s="53"/>
      <c r="U1232" s="31" t="n">
        <f aca="false">IF($B1232&lt;&gt;'設定（最初に1回）'!$C$4,N(U1231),IF(COUNTIFS(①今日の在庫を貼る!$B$6:$B$10005,$B1232,①今日の在庫を貼る!$I$6:$I$10005,$I1232)&gt;0,N(U1231),N(U1231)+1))</f>
        <v>2</v>
      </c>
    </row>
    <row r="1233" customFormat="false" ht="15" hidden="false" customHeight="false" outlineLevel="0" collapsed="false">
      <c r="B1233" s="53"/>
      <c r="I1233" s="53"/>
      <c r="U1233" s="31" t="n">
        <f aca="false">IF($B1233&lt;&gt;'設定（最初に1回）'!$C$4,N(U1232),IF(COUNTIFS(①今日の在庫を貼る!$B$6:$B$10005,$B1233,①今日の在庫を貼る!$I$6:$I$10005,$I1233)&gt;0,N(U1232),N(U1232)+1))</f>
        <v>2</v>
      </c>
    </row>
    <row r="1234" customFormat="false" ht="15" hidden="false" customHeight="false" outlineLevel="0" collapsed="false">
      <c r="B1234" s="53"/>
      <c r="I1234" s="53"/>
      <c r="U1234" s="31" t="n">
        <f aca="false">IF($B1234&lt;&gt;'設定（最初に1回）'!$C$4,N(U1233),IF(COUNTIFS(①今日の在庫を貼る!$B$6:$B$10005,$B1234,①今日の在庫を貼る!$I$6:$I$10005,$I1234)&gt;0,N(U1233),N(U1233)+1))</f>
        <v>2</v>
      </c>
    </row>
    <row r="1235" customFormat="false" ht="15" hidden="false" customHeight="false" outlineLevel="0" collapsed="false">
      <c r="B1235" s="53"/>
      <c r="I1235" s="53"/>
      <c r="U1235" s="31" t="n">
        <f aca="false">IF($B1235&lt;&gt;'設定（最初に1回）'!$C$4,N(U1234),IF(COUNTIFS(①今日の在庫を貼る!$B$6:$B$10005,$B1235,①今日の在庫を貼る!$I$6:$I$10005,$I1235)&gt;0,N(U1234),N(U1234)+1))</f>
        <v>2</v>
      </c>
    </row>
    <row r="1236" customFormat="false" ht="15" hidden="false" customHeight="false" outlineLevel="0" collapsed="false">
      <c r="B1236" s="53"/>
      <c r="I1236" s="53"/>
      <c r="U1236" s="31" t="n">
        <f aca="false">IF($B1236&lt;&gt;'設定（最初に1回）'!$C$4,N(U1235),IF(COUNTIFS(①今日の在庫を貼る!$B$6:$B$10005,$B1236,①今日の在庫を貼る!$I$6:$I$10005,$I1236)&gt;0,N(U1235),N(U1235)+1))</f>
        <v>2</v>
      </c>
    </row>
    <row r="1237" customFormat="false" ht="15" hidden="false" customHeight="false" outlineLevel="0" collapsed="false">
      <c r="B1237" s="53"/>
      <c r="I1237" s="53"/>
      <c r="U1237" s="31" t="n">
        <f aca="false">IF($B1237&lt;&gt;'設定（最初に1回）'!$C$4,N(U1236),IF(COUNTIFS(①今日の在庫を貼る!$B$6:$B$10005,$B1237,①今日の在庫を貼る!$I$6:$I$10005,$I1237)&gt;0,N(U1236),N(U1236)+1))</f>
        <v>2</v>
      </c>
    </row>
    <row r="1238" customFormat="false" ht="15" hidden="false" customHeight="false" outlineLevel="0" collapsed="false">
      <c r="B1238" s="53"/>
      <c r="I1238" s="53"/>
      <c r="U1238" s="31" t="n">
        <f aca="false">IF($B1238&lt;&gt;'設定（最初に1回）'!$C$4,N(U1237),IF(COUNTIFS(①今日の在庫を貼る!$B$6:$B$10005,$B1238,①今日の在庫を貼る!$I$6:$I$10005,$I1238)&gt;0,N(U1237),N(U1237)+1))</f>
        <v>2</v>
      </c>
    </row>
    <row r="1239" customFormat="false" ht="15" hidden="false" customHeight="false" outlineLevel="0" collapsed="false">
      <c r="B1239" s="53"/>
      <c r="I1239" s="53"/>
      <c r="U1239" s="31" t="n">
        <f aca="false">IF($B1239&lt;&gt;'設定（最初に1回）'!$C$4,N(U1238),IF(COUNTIFS(①今日の在庫を貼る!$B$6:$B$10005,$B1239,①今日の在庫を貼る!$I$6:$I$10005,$I1239)&gt;0,N(U1238),N(U1238)+1))</f>
        <v>2</v>
      </c>
    </row>
    <row r="1240" customFormat="false" ht="15" hidden="false" customHeight="false" outlineLevel="0" collapsed="false">
      <c r="B1240" s="53"/>
      <c r="I1240" s="53"/>
      <c r="U1240" s="31" t="n">
        <f aca="false">IF($B1240&lt;&gt;'設定（最初に1回）'!$C$4,N(U1239),IF(COUNTIFS(①今日の在庫を貼る!$B$6:$B$10005,$B1240,①今日の在庫を貼る!$I$6:$I$10005,$I1240)&gt;0,N(U1239),N(U1239)+1))</f>
        <v>2</v>
      </c>
    </row>
    <row r="1241" customFormat="false" ht="15" hidden="false" customHeight="false" outlineLevel="0" collapsed="false">
      <c r="B1241" s="53"/>
      <c r="I1241" s="53"/>
      <c r="U1241" s="31" t="n">
        <f aca="false">IF($B1241&lt;&gt;'設定（最初に1回）'!$C$4,N(U1240),IF(COUNTIFS(①今日の在庫を貼る!$B$6:$B$10005,$B1241,①今日の在庫を貼る!$I$6:$I$10005,$I1241)&gt;0,N(U1240),N(U1240)+1))</f>
        <v>2</v>
      </c>
    </row>
    <row r="1242" customFormat="false" ht="15" hidden="false" customHeight="false" outlineLevel="0" collapsed="false">
      <c r="B1242" s="53"/>
      <c r="I1242" s="53"/>
      <c r="U1242" s="31" t="n">
        <f aca="false">IF($B1242&lt;&gt;'設定（最初に1回）'!$C$4,N(U1241),IF(COUNTIFS(①今日の在庫を貼る!$B$6:$B$10005,$B1242,①今日の在庫を貼る!$I$6:$I$10005,$I1242)&gt;0,N(U1241),N(U1241)+1))</f>
        <v>2</v>
      </c>
    </row>
    <row r="1243" customFormat="false" ht="15" hidden="false" customHeight="false" outlineLevel="0" collapsed="false">
      <c r="B1243" s="53"/>
      <c r="I1243" s="53"/>
      <c r="U1243" s="31" t="n">
        <f aca="false">IF($B1243&lt;&gt;'設定（最初に1回）'!$C$4,N(U1242),IF(COUNTIFS(①今日の在庫を貼る!$B$6:$B$10005,$B1243,①今日の在庫を貼る!$I$6:$I$10005,$I1243)&gt;0,N(U1242),N(U1242)+1))</f>
        <v>2</v>
      </c>
    </row>
    <row r="1244" customFormat="false" ht="15" hidden="false" customHeight="false" outlineLevel="0" collapsed="false">
      <c r="B1244" s="53"/>
      <c r="I1244" s="53"/>
      <c r="U1244" s="31" t="n">
        <f aca="false">IF($B1244&lt;&gt;'設定（最初に1回）'!$C$4,N(U1243),IF(COUNTIFS(①今日の在庫を貼る!$B$6:$B$10005,$B1244,①今日の在庫を貼る!$I$6:$I$10005,$I1244)&gt;0,N(U1243),N(U1243)+1))</f>
        <v>2</v>
      </c>
    </row>
    <row r="1245" customFormat="false" ht="15" hidden="false" customHeight="false" outlineLevel="0" collapsed="false">
      <c r="B1245" s="53"/>
      <c r="I1245" s="53"/>
      <c r="U1245" s="31" t="n">
        <f aca="false">IF($B1245&lt;&gt;'設定（最初に1回）'!$C$4,N(U1244),IF(COUNTIFS(①今日の在庫を貼る!$B$6:$B$10005,$B1245,①今日の在庫を貼る!$I$6:$I$10005,$I1245)&gt;0,N(U1244),N(U1244)+1))</f>
        <v>2</v>
      </c>
    </row>
    <row r="1246" customFormat="false" ht="15" hidden="false" customHeight="false" outlineLevel="0" collapsed="false">
      <c r="B1246" s="53"/>
      <c r="I1246" s="53"/>
      <c r="U1246" s="31" t="n">
        <f aca="false">IF($B1246&lt;&gt;'設定（最初に1回）'!$C$4,N(U1245),IF(COUNTIFS(①今日の在庫を貼る!$B$6:$B$10005,$B1246,①今日の在庫を貼る!$I$6:$I$10005,$I1246)&gt;0,N(U1245),N(U1245)+1))</f>
        <v>2</v>
      </c>
    </row>
    <row r="1247" customFormat="false" ht="15" hidden="false" customHeight="false" outlineLevel="0" collapsed="false">
      <c r="B1247" s="53"/>
      <c r="I1247" s="53"/>
      <c r="U1247" s="31" t="n">
        <f aca="false">IF($B1247&lt;&gt;'設定（最初に1回）'!$C$4,N(U1246),IF(COUNTIFS(①今日の在庫を貼る!$B$6:$B$10005,$B1247,①今日の在庫を貼る!$I$6:$I$10005,$I1247)&gt;0,N(U1246),N(U1246)+1))</f>
        <v>2</v>
      </c>
    </row>
    <row r="1248" customFormat="false" ht="15" hidden="false" customHeight="false" outlineLevel="0" collapsed="false">
      <c r="B1248" s="53"/>
      <c r="I1248" s="53"/>
      <c r="U1248" s="31" t="n">
        <f aca="false">IF($B1248&lt;&gt;'設定（最初に1回）'!$C$4,N(U1247),IF(COUNTIFS(①今日の在庫を貼る!$B$6:$B$10005,$B1248,①今日の在庫を貼る!$I$6:$I$10005,$I1248)&gt;0,N(U1247),N(U1247)+1))</f>
        <v>2</v>
      </c>
    </row>
    <row r="1249" customFormat="false" ht="15" hidden="false" customHeight="false" outlineLevel="0" collapsed="false">
      <c r="B1249" s="53"/>
      <c r="I1249" s="53"/>
      <c r="U1249" s="31" t="n">
        <f aca="false">IF($B1249&lt;&gt;'設定（最初に1回）'!$C$4,N(U1248),IF(COUNTIFS(①今日の在庫を貼る!$B$6:$B$10005,$B1249,①今日の在庫を貼る!$I$6:$I$10005,$I1249)&gt;0,N(U1248),N(U1248)+1))</f>
        <v>2</v>
      </c>
    </row>
    <row r="1250" customFormat="false" ht="15" hidden="false" customHeight="false" outlineLevel="0" collapsed="false">
      <c r="B1250" s="53"/>
      <c r="I1250" s="53"/>
      <c r="U1250" s="31" t="n">
        <f aca="false">IF($B1250&lt;&gt;'設定（最初に1回）'!$C$4,N(U1249),IF(COUNTIFS(①今日の在庫を貼る!$B$6:$B$10005,$B1250,①今日の在庫を貼る!$I$6:$I$10005,$I1250)&gt;0,N(U1249),N(U1249)+1))</f>
        <v>2</v>
      </c>
    </row>
    <row r="1251" customFormat="false" ht="15" hidden="false" customHeight="false" outlineLevel="0" collapsed="false">
      <c r="B1251" s="53"/>
      <c r="I1251" s="53"/>
      <c r="U1251" s="31" t="n">
        <f aca="false">IF($B1251&lt;&gt;'設定（最初に1回）'!$C$4,N(U1250),IF(COUNTIFS(①今日の在庫を貼る!$B$6:$B$10005,$B1251,①今日の在庫を貼る!$I$6:$I$10005,$I1251)&gt;0,N(U1250),N(U1250)+1))</f>
        <v>2</v>
      </c>
    </row>
    <row r="1252" customFormat="false" ht="15" hidden="false" customHeight="false" outlineLevel="0" collapsed="false">
      <c r="B1252" s="53"/>
      <c r="I1252" s="53"/>
      <c r="U1252" s="31" t="n">
        <f aca="false">IF($B1252&lt;&gt;'設定（最初に1回）'!$C$4,N(U1251),IF(COUNTIFS(①今日の在庫を貼る!$B$6:$B$10005,$B1252,①今日の在庫を貼る!$I$6:$I$10005,$I1252)&gt;0,N(U1251),N(U1251)+1))</f>
        <v>2</v>
      </c>
    </row>
    <row r="1253" customFormat="false" ht="15" hidden="false" customHeight="false" outlineLevel="0" collapsed="false">
      <c r="B1253" s="53"/>
      <c r="I1253" s="53"/>
      <c r="U1253" s="31" t="n">
        <f aca="false">IF($B1253&lt;&gt;'設定（最初に1回）'!$C$4,N(U1252),IF(COUNTIFS(①今日の在庫を貼る!$B$6:$B$10005,$B1253,①今日の在庫を貼る!$I$6:$I$10005,$I1253)&gt;0,N(U1252),N(U1252)+1))</f>
        <v>2</v>
      </c>
    </row>
    <row r="1254" customFormat="false" ht="15" hidden="false" customHeight="false" outlineLevel="0" collapsed="false">
      <c r="B1254" s="53"/>
      <c r="I1254" s="53"/>
      <c r="U1254" s="31" t="n">
        <f aca="false">IF($B1254&lt;&gt;'設定（最初に1回）'!$C$4,N(U1253),IF(COUNTIFS(①今日の在庫を貼る!$B$6:$B$10005,$B1254,①今日の在庫を貼る!$I$6:$I$10005,$I1254)&gt;0,N(U1253),N(U1253)+1))</f>
        <v>2</v>
      </c>
    </row>
    <row r="1255" customFormat="false" ht="15" hidden="false" customHeight="false" outlineLevel="0" collapsed="false">
      <c r="B1255" s="53"/>
      <c r="I1255" s="53"/>
      <c r="U1255" s="31" t="n">
        <f aca="false">IF($B1255&lt;&gt;'設定（最初に1回）'!$C$4,N(U1254),IF(COUNTIFS(①今日の在庫を貼る!$B$6:$B$10005,$B1255,①今日の在庫を貼る!$I$6:$I$10005,$I1255)&gt;0,N(U1254),N(U1254)+1))</f>
        <v>2</v>
      </c>
    </row>
    <row r="1256" customFormat="false" ht="15" hidden="false" customHeight="false" outlineLevel="0" collapsed="false">
      <c r="B1256" s="53"/>
      <c r="I1256" s="53"/>
      <c r="U1256" s="31" t="n">
        <f aca="false">IF($B1256&lt;&gt;'設定（最初に1回）'!$C$4,N(U1255),IF(COUNTIFS(①今日の在庫を貼る!$B$6:$B$10005,$B1256,①今日の在庫を貼る!$I$6:$I$10005,$I1256)&gt;0,N(U1255),N(U1255)+1))</f>
        <v>2</v>
      </c>
    </row>
    <row r="1257" customFormat="false" ht="15" hidden="false" customHeight="false" outlineLevel="0" collapsed="false">
      <c r="B1257" s="53"/>
      <c r="I1257" s="53"/>
      <c r="U1257" s="31" t="n">
        <f aca="false">IF($B1257&lt;&gt;'設定（最初に1回）'!$C$4,N(U1256),IF(COUNTIFS(①今日の在庫を貼る!$B$6:$B$10005,$B1257,①今日の在庫を貼る!$I$6:$I$10005,$I1257)&gt;0,N(U1256),N(U1256)+1))</f>
        <v>2</v>
      </c>
    </row>
    <row r="1258" customFormat="false" ht="15" hidden="false" customHeight="false" outlineLevel="0" collapsed="false">
      <c r="B1258" s="53"/>
      <c r="I1258" s="53"/>
      <c r="U1258" s="31" t="n">
        <f aca="false">IF($B1258&lt;&gt;'設定（最初に1回）'!$C$4,N(U1257),IF(COUNTIFS(①今日の在庫を貼る!$B$6:$B$10005,$B1258,①今日の在庫を貼る!$I$6:$I$10005,$I1258)&gt;0,N(U1257),N(U1257)+1))</f>
        <v>2</v>
      </c>
    </row>
    <row r="1259" customFormat="false" ht="15" hidden="false" customHeight="false" outlineLevel="0" collapsed="false">
      <c r="B1259" s="53"/>
      <c r="I1259" s="53"/>
      <c r="U1259" s="31" t="n">
        <f aca="false">IF($B1259&lt;&gt;'設定（最初に1回）'!$C$4,N(U1258),IF(COUNTIFS(①今日の在庫を貼る!$B$6:$B$10005,$B1259,①今日の在庫を貼る!$I$6:$I$10005,$I1259)&gt;0,N(U1258),N(U1258)+1))</f>
        <v>2</v>
      </c>
    </row>
    <row r="1260" customFormat="false" ht="15" hidden="false" customHeight="false" outlineLevel="0" collapsed="false">
      <c r="B1260" s="53"/>
      <c r="I1260" s="53"/>
      <c r="U1260" s="31" t="n">
        <f aca="false">IF($B1260&lt;&gt;'設定（最初に1回）'!$C$4,N(U1259),IF(COUNTIFS(①今日の在庫を貼る!$B$6:$B$10005,$B1260,①今日の在庫を貼る!$I$6:$I$10005,$I1260)&gt;0,N(U1259),N(U1259)+1))</f>
        <v>2</v>
      </c>
    </row>
    <row r="1261" customFormat="false" ht="15" hidden="false" customHeight="false" outlineLevel="0" collapsed="false">
      <c r="B1261" s="53"/>
      <c r="I1261" s="53"/>
      <c r="U1261" s="31" t="n">
        <f aca="false">IF($B1261&lt;&gt;'設定（最初に1回）'!$C$4,N(U1260),IF(COUNTIFS(①今日の在庫を貼る!$B$6:$B$10005,$B1261,①今日の在庫を貼る!$I$6:$I$10005,$I1261)&gt;0,N(U1260),N(U1260)+1))</f>
        <v>2</v>
      </c>
    </row>
    <row r="1262" customFormat="false" ht="15" hidden="false" customHeight="false" outlineLevel="0" collapsed="false">
      <c r="B1262" s="53"/>
      <c r="I1262" s="53"/>
      <c r="U1262" s="31" t="n">
        <f aca="false">IF($B1262&lt;&gt;'設定（最初に1回）'!$C$4,N(U1261),IF(COUNTIFS(①今日の在庫を貼る!$B$6:$B$10005,$B1262,①今日の在庫を貼る!$I$6:$I$10005,$I1262)&gt;0,N(U1261),N(U1261)+1))</f>
        <v>2</v>
      </c>
    </row>
    <row r="1263" customFormat="false" ht="15" hidden="false" customHeight="false" outlineLevel="0" collapsed="false">
      <c r="B1263" s="53"/>
      <c r="I1263" s="53"/>
      <c r="U1263" s="31" t="n">
        <f aca="false">IF($B1263&lt;&gt;'設定（最初に1回）'!$C$4,N(U1262),IF(COUNTIFS(①今日の在庫を貼る!$B$6:$B$10005,$B1263,①今日の在庫を貼る!$I$6:$I$10005,$I1263)&gt;0,N(U1262),N(U1262)+1))</f>
        <v>2</v>
      </c>
    </row>
    <row r="1264" customFormat="false" ht="15" hidden="false" customHeight="false" outlineLevel="0" collapsed="false">
      <c r="B1264" s="53"/>
      <c r="I1264" s="53"/>
      <c r="U1264" s="31" t="n">
        <f aca="false">IF($B1264&lt;&gt;'設定（最初に1回）'!$C$4,N(U1263),IF(COUNTIFS(①今日の在庫を貼る!$B$6:$B$10005,$B1264,①今日の在庫を貼る!$I$6:$I$10005,$I1264)&gt;0,N(U1263),N(U1263)+1))</f>
        <v>2</v>
      </c>
    </row>
    <row r="1265" customFormat="false" ht="15" hidden="false" customHeight="false" outlineLevel="0" collapsed="false">
      <c r="B1265" s="53"/>
      <c r="I1265" s="53"/>
      <c r="U1265" s="31" t="n">
        <f aca="false">IF($B1265&lt;&gt;'設定（最初に1回）'!$C$4,N(U1264),IF(COUNTIFS(①今日の在庫を貼る!$B$6:$B$10005,$B1265,①今日の在庫を貼る!$I$6:$I$10005,$I1265)&gt;0,N(U1264),N(U1264)+1))</f>
        <v>2</v>
      </c>
    </row>
    <row r="1266" customFormat="false" ht="15" hidden="false" customHeight="false" outlineLevel="0" collapsed="false">
      <c r="B1266" s="53"/>
      <c r="I1266" s="53"/>
      <c r="U1266" s="31" t="n">
        <f aca="false">IF($B1266&lt;&gt;'設定（最初に1回）'!$C$4,N(U1265),IF(COUNTIFS(①今日の在庫を貼る!$B$6:$B$10005,$B1266,①今日の在庫を貼る!$I$6:$I$10005,$I1266)&gt;0,N(U1265),N(U1265)+1))</f>
        <v>2</v>
      </c>
    </row>
    <row r="1267" customFormat="false" ht="15" hidden="false" customHeight="false" outlineLevel="0" collapsed="false">
      <c r="B1267" s="53"/>
      <c r="I1267" s="53"/>
      <c r="U1267" s="31" t="n">
        <f aca="false">IF($B1267&lt;&gt;'設定（最初に1回）'!$C$4,N(U1266),IF(COUNTIFS(①今日の在庫を貼る!$B$6:$B$10005,$B1267,①今日の在庫を貼る!$I$6:$I$10005,$I1267)&gt;0,N(U1266),N(U1266)+1))</f>
        <v>2</v>
      </c>
    </row>
    <row r="1268" customFormat="false" ht="15" hidden="false" customHeight="false" outlineLevel="0" collapsed="false">
      <c r="B1268" s="53"/>
      <c r="I1268" s="53"/>
      <c r="U1268" s="31" t="n">
        <f aca="false">IF($B1268&lt;&gt;'設定（最初に1回）'!$C$4,N(U1267),IF(COUNTIFS(①今日の在庫を貼る!$B$6:$B$10005,$B1268,①今日の在庫を貼る!$I$6:$I$10005,$I1268)&gt;0,N(U1267),N(U1267)+1))</f>
        <v>2</v>
      </c>
    </row>
    <row r="1269" customFormat="false" ht="15" hidden="false" customHeight="false" outlineLevel="0" collapsed="false">
      <c r="B1269" s="53"/>
      <c r="I1269" s="53"/>
      <c r="U1269" s="31" t="n">
        <f aca="false">IF($B1269&lt;&gt;'設定（最初に1回）'!$C$4,N(U1268),IF(COUNTIFS(①今日の在庫を貼る!$B$6:$B$10005,$B1269,①今日の在庫を貼る!$I$6:$I$10005,$I1269)&gt;0,N(U1268),N(U1268)+1))</f>
        <v>2</v>
      </c>
    </row>
    <row r="1270" customFormat="false" ht="15" hidden="false" customHeight="false" outlineLevel="0" collapsed="false">
      <c r="B1270" s="53"/>
      <c r="I1270" s="53"/>
      <c r="U1270" s="31" t="n">
        <f aca="false">IF($B1270&lt;&gt;'設定（最初に1回）'!$C$4,N(U1269),IF(COUNTIFS(①今日の在庫を貼る!$B$6:$B$10005,$B1270,①今日の在庫を貼る!$I$6:$I$10005,$I1270)&gt;0,N(U1269),N(U1269)+1))</f>
        <v>2</v>
      </c>
    </row>
    <row r="1271" customFormat="false" ht="15" hidden="false" customHeight="false" outlineLevel="0" collapsed="false">
      <c r="B1271" s="53"/>
      <c r="I1271" s="53"/>
      <c r="U1271" s="31" t="n">
        <f aca="false">IF($B1271&lt;&gt;'設定（最初に1回）'!$C$4,N(U1270),IF(COUNTIFS(①今日の在庫を貼る!$B$6:$B$10005,$B1271,①今日の在庫を貼る!$I$6:$I$10005,$I1271)&gt;0,N(U1270),N(U1270)+1))</f>
        <v>2</v>
      </c>
    </row>
    <row r="1272" customFormat="false" ht="15" hidden="false" customHeight="false" outlineLevel="0" collapsed="false">
      <c r="B1272" s="53"/>
      <c r="I1272" s="53"/>
      <c r="U1272" s="31" t="n">
        <f aca="false">IF($B1272&lt;&gt;'設定（最初に1回）'!$C$4,N(U1271),IF(COUNTIFS(①今日の在庫を貼る!$B$6:$B$10005,$B1272,①今日の在庫を貼る!$I$6:$I$10005,$I1272)&gt;0,N(U1271),N(U1271)+1))</f>
        <v>2</v>
      </c>
    </row>
    <row r="1273" customFormat="false" ht="15" hidden="false" customHeight="false" outlineLevel="0" collapsed="false">
      <c r="B1273" s="53"/>
      <c r="I1273" s="53"/>
      <c r="U1273" s="31" t="n">
        <f aca="false">IF($B1273&lt;&gt;'設定（最初に1回）'!$C$4,N(U1272),IF(COUNTIFS(①今日の在庫を貼る!$B$6:$B$10005,$B1273,①今日の在庫を貼る!$I$6:$I$10005,$I1273)&gt;0,N(U1272),N(U1272)+1))</f>
        <v>2</v>
      </c>
    </row>
    <row r="1274" customFormat="false" ht="15" hidden="false" customHeight="false" outlineLevel="0" collapsed="false">
      <c r="B1274" s="53"/>
      <c r="I1274" s="53"/>
      <c r="U1274" s="31" t="n">
        <f aca="false">IF($B1274&lt;&gt;'設定（最初に1回）'!$C$4,N(U1273),IF(COUNTIFS(①今日の在庫を貼る!$B$6:$B$10005,$B1274,①今日の在庫を貼る!$I$6:$I$10005,$I1274)&gt;0,N(U1273),N(U1273)+1))</f>
        <v>2</v>
      </c>
    </row>
    <row r="1275" customFormat="false" ht="15" hidden="false" customHeight="false" outlineLevel="0" collapsed="false">
      <c r="B1275" s="53"/>
      <c r="I1275" s="53"/>
      <c r="U1275" s="31" t="n">
        <f aca="false">IF($B1275&lt;&gt;'設定（最初に1回）'!$C$4,N(U1274),IF(COUNTIFS(①今日の在庫を貼る!$B$6:$B$10005,$B1275,①今日の在庫を貼る!$I$6:$I$10005,$I1275)&gt;0,N(U1274),N(U1274)+1))</f>
        <v>2</v>
      </c>
    </row>
    <row r="1276" customFormat="false" ht="15" hidden="false" customHeight="false" outlineLevel="0" collapsed="false">
      <c r="B1276" s="53"/>
      <c r="I1276" s="53"/>
      <c r="U1276" s="31" t="n">
        <f aca="false">IF($B1276&lt;&gt;'設定（最初に1回）'!$C$4,N(U1275),IF(COUNTIFS(①今日の在庫を貼る!$B$6:$B$10005,$B1276,①今日の在庫を貼る!$I$6:$I$10005,$I1276)&gt;0,N(U1275),N(U1275)+1))</f>
        <v>2</v>
      </c>
    </row>
    <row r="1277" customFormat="false" ht="15" hidden="false" customHeight="false" outlineLevel="0" collapsed="false">
      <c r="B1277" s="53"/>
      <c r="I1277" s="53"/>
      <c r="U1277" s="31" t="n">
        <f aca="false">IF($B1277&lt;&gt;'設定（最初に1回）'!$C$4,N(U1276),IF(COUNTIFS(①今日の在庫を貼る!$B$6:$B$10005,$B1277,①今日の在庫を貼る!$I$6:$I$10005,$I1277)&gt;0,N(U1276),N(U1276)+1))</f>
        <v>2</v>
      </c>
    </row>
    <row r="1278" customFormat="false" ht="15" hidden="false" customHeight="false" outlineLevel="0" collapsed="false">
      <c r="B1278" s="53"/>
      <c r="I1278" s="53"/>
      <c r="U1278" s="31" t="n">
        <f aca="false">IF($B1278&lt;&gt;'設定（最初に1回）'!$C$4,N(U1277),IF(COUNTIFS(①今日の在庫を貼る!$B$6:$B$10005,$B1278,①今日の在庫を貼る!$I$6:$I$10005,$I1278)&gt;0,N(U1277),N(U1277)+1))</f>
        <v>2</v>
      </c>
    </row>
    <row r="1279" customFormat="false" ht="15" hidden="false" customHeight="false" outlineLevel="0" collapsed="false">
      <c r="B1279" s="53"/>
      <c r="I1279" s="53"/>
      <c r="U1279" s="31" t="n">
        <f aca="false">IF($B1279&lt;&gt;'設定（最初に1回）'!$C$4,N(U1278),IF(COUNTIFS(①今日の在庫を貼る!$B$6:$B$10005,$B1279,①今日の在庫を貼る!$I$6:$I$10005,$I1279)&gt;0,N(U1278),N(U1278)+1))</f>
        <v>2</v>
      </c>
    </row>
    <row r="1280" customFormat="false" ht="15" hidden="false" customHeight="false" outlineLevel="0" collapsed="false">
      <c r="B1280" s="53"/>
      <c r="I1280" s="53"/>
      <c r="U1280" s="31" t="n">
        <f aca="false">IF($B1280&lt;&gt;'設定（最初に1回）'!$C$4,N(U1279),IF(COUNTIFS(①今日の在庫を貼る!$B$6:$B$10005,$B1280,①今日の在庫を貼る!$I$6:$I$10005,$I1280)&gt;0,N(U1279),N(U1279)+1))</f>
        <v>2</v>
      </c>
    </row>
    <row r="1281" customFormat="false" ht="15" hidden="false" customHeight="false" outlineLevel="0" collapsed="false">
      <c r="B1281" s="53"/>
      <c r="I1281" s="53"/>
      <c r="U1281" s="31" t="n">
        <f aca="false">IF($B1281&lt;&gt;'設定（最初に1回）'!$C$4,N(U1280),IF(COUNTIFS(①今日の在庫を貼る!$B$6:$B$10005,$B1281,①今日の在庫を貼る!$I$6:$I$10005,$I1281)&gt;0,N(U1280),N(U1280)+1))</f>
        <v>2</v>
      </c>
    </row>
    <row r="1282" customFormat="false" ht="15" hidden="false" customHeight="false" outlineLevel="0" collapsed="false">
      <c r="B1282" s="53"/>
      <c r="I1282" s="53"/>
      <c r="U1282" s="31" t="n">
        <f aca="false">IF($B1282&lt;&gt;'設定（最初に1回）'!$C$4,N(U1281),IF(COUNTIFS(①今日の在庫を貼る!$B$6:$B$10005,$B1282,①今日の在庫を貼る!$I$6:$I$10005,$I1282)&gt;0,N(U1281),N(U1281)+1))</f>
        <v>2</v>
      </c>
    </row>
    <row r="1283" customFormat="false" ht="15" hidden="false" customHeight="false" outlineLevel="0" collapsed="false">
      <c r="B1283" s="53"/>
      <c r="I1283" s="53"/>
      <c r="U1283" s="31" t="n">
        <f aca="false">IF($B1283&lt;&gt;'設定（最初に1回）'!$C$4,N(U1282),IF(COUNTIFS(①今日の在庫を貼る!$B$6:$B$10005,$B1283,①今日の在庫を貼る!$I$6:$I$10005,$I1283)&gt;0,N(U1282),N(U1282)+1))</f>
        <v>2</v>
      </c>
    </row>
    <row r="1284" customFormat="false" ht="15" hidden="false" customHeight="false" outlineLevel="0" collapsed="false">
      <c r="B1284" s="53"/>
      <c r="I1284" s="53"/>
      <c r="U1284" s="31" t="n">
        <f aca="false">IF($B1284&lt;&gt;'設定（最初に1回）'!$C$4,N(U1283),IF(COUNTIFS(①今日の在庫を貼る!$B$6:$B$10005,$B1284,①今日の在庫を貼る!$I$6:$I$10005,$I1284)&gt;0,N(U1283),N(U1283)+1))</f>
        <v>2</v>
      </c>
    </row>
    <row r="1285" customFormat="false" ht="15" hidden="false" customHeight="false" outlineLevel="0" collapsed="false">
      <c r="B1285" s="53"/>
      <c r="I1285" s="53"/>
      <c r="U1285" s="31" t="n">
        <f aca="false">IF($B1285&lt;&gt;'設定（最初に1回）'!$C$4,N(U1284),IF(COUNTIFS(①今日の在庫を貼る!$B$6:$B$10005,$B1285,①今日の在庫を貼る!$I$6:$I$10005,$I1285)&gt;0,N(U1284),N(U1284)+1))</f>
        <v>2</v>
      </c>
    </row>
    <row r="1286" customFormat="false" ht="15" hidden="false" customHeight="false" outlineLevel="0" collapsed="false">
      <c r="B1286" s="53"/>
      <c r="I1286" s="53"/>
      <c r="U1286" s="31" t="n">
        <f aca="false">IF($B1286&lt;&gt;'設定（最初に1回）'!$C$4,N(U1285),IF(COUNTIFS(①今日の在庫を貼る!$B$6:$B$10005,$B1286,①今日の在庫を貼る!$I$6:$I$10005,$I1286)&gt;0,N(U1285),N(U1285)+1))</f>
        <v>2</v>
      </c>
    </row>
    <row r="1287" customFormat="false" ht="15" hidden="false" customHeight="false" outlineLevel="0" collapsed="false">
      <c r="B1287" s="53"/>
      <c r="I1287" s="53"/>
      <c r="U1287" s="31" t="n">
        <f aca="false">IF($B1287&lt;&gt;'設定（最初に1回）'!$C$4,N(U1286),IF(COUNTIFS(①今日の在庫を貼る!$B$6:$B$10005,$B1287,①今日の在庫を貼る!$I$6:$I$10005,$I1287)&gt;0,N(U1286),N(U1286)+1))</f>
        <v>2</v>
      </c>
    </row>
    <row r="1288" customFormat="false" ht="15" hidden="false" customHeight="false" outlineLevel="0" collapsed="false">
      <c r="B1288" s="53"/>
      <c r="I1288" s="53"/>
      <c r="U1288" s="31" t="n">
        <f aca="false">IF($B1288&lt;&gt;'設定（最初に1回）'!$C$4,N(U1287),IF(COUNTIFS(①今日の在庫を貼る!$B$6:$B$10005,$B1288,①今日の在庫を貼る!$I$6:$I$10005,$I1288)&gt;0,N(U1287),N(U1287)+1))</f>
        <v>2</v>
      </c>
    </row>
    <row r="1289" customFormat="false" ht="15" hidden="false" customHeight="false" outlineLevel="0" collapsed="false">
      <c r="B1289" s="53"/>
      <c r="I1289" s="53"/>
      <c r="U1289" s="31" t="n">
        <f aca="false">IF($B1289&lt;&gt;'設定（最初に1回）'!$C$4,N(U1288),IF(COUNTIFS(①今日の在庫を貼る!$B$6:$B$10005,$B1289,①今日の在庫を貼る!$I$6:$I$10005,$I1289)&gt;0,N(U1288),N(U1288)+1))</f>
        <v>2</v>
      </c>
    </row>
    <row r="1290" customFormat="false" ht="15" hidden="false" customHeight="false" outlineLevel="0" collapsed="false">
      <c r="B1290" s="53"/>
      <c r="I1290" s="53"/>
      <c r="U1290" s="31" t="n">
        <f aca="false">IF($B1290&lt;&gt;'設定（最初に1回）'!$C$4,N(U1289),IF(COUNTIFS(①今日の在庫を貼る!$B$6:$B$10005,$B1290,①今日の在庫を貼る!$I$6:$I$10005,$I1290)&gt;0,N(U1289),N(U1289)+1))</f>
        <v>2</v>
      </c>
    </row>
    <row r="1291" customFormat="false" ht="15" hidden="false" customHeight="false" outlineLevel="0" collapsed="false">
      <c r="B1291" s="53"/>
      <c r="I1291" s="53"/>
      <c r="U1291" s="31" t="n">
        <f aca="false">IF($B1291&lt;&gt;'設定（最初に1回）'!$C$4,N(U1290),IF(COUNTIFS(①今日の在庫を貼る!$B$6:$B$10005,$B1291,①今日の在庫を貼る!$I$6:$I$10005,$I1291)&gt;0,N(U1290),N(U1290)+1))</f>
        <v>2</v>
      </c>
    </row>
    <row r="1292" customFormat="false" ht="15" hidden="false" customHeight="false" outlineLevel="0" collapsed="false">
      <c r="B1292" s="53"/>
      <c r="I1292" s="53"/>
      <c r="U1292" s="31" t="n">
        <f aca="false">IF($B1292&lt;&gt;'設定（最初に1回）'!$C$4,N(U1291),IF(COUNTIFS(①今日の在庫を貼る!$B$6:$B$10005,$B1292,①今日の在庫を貼る!$I$6:$I$10005,$I1292)&gt;0,N(U1291),N(U1291)+1))</f>
        <v>2</v>
      </c>
    </row>
    <row r="1293" customFormat="false" ht="15" hidden="false" customHeight="false" outlineLevel="0" collapsed="false">
      <c r="B1293" s="53"/>
      <c r="I1293" s="53"/>
      <c r="U1293" s="31" t="n">
        <f aca="false">IF($B1293&lt;&gt;'設定（最初に1回）'!$C$4,N(U1292),IF(COUNTIFS(①今日の在庫を貼る!$B$6:$B$10005,$B1293,①今日の在庫を貼る!$I$6:$I$10005,$I1293)&gt;0,N(U1292),N(U1292)+1))</f>
        <v>2</v>
      </c>
    </row>
    <row r="1294" customFormat="false" ht="15" hidden="false" customHeight="false" outlineLevel="0" collapsed="false">
      <c r="B1294" s="53"/>
      <c r="I1294" s="53"/>
      <c r="U1294" s="31" t="n">
        <f aca="false">IF($B1294&lt;&gt;'設定（最初に1回）'!$C$4,N(U1293),IF(COUNTIFS(①今日の在庫を貼る!$B$6:$B$10005,$B1294,①今日の在庫を貼る!$I$6:$I$10005,$I1294)&gt;0,N(U1293),N(U1293)+1))</f>
        <v>2</v>
      </c>
    </row>
    <row r="1295" customFormat="false" ht="15" hidden="false" customHeight="false" outlineLevel="0" collapsed="false">
      <c r="B1295" s="53"/>
      <c r="I1295" s="53"/>
      <c r="U1295" s="31" t="n">
        <f aca="false">IF($B1295&lt;&gt;'設定（最初に1回）'!$C$4,N(U1294),IF(COUNTIFS(①今日の在庫を貼る!$B$6:$B$10005,$B1295,①今日の在庫を貼る!$I$6:$I$10005,$I1295)&gt;0,N(U1294),N(U1294)+1))</f>
        <v>2</v>
      </c>
    </row>
    <row r="1296" customFormat="false" ht="15" hidden="false" customHeight="false" outlineLevel="0" collapsed="false">
      <c r="B1296" s="53"/>
      <c r="I1296" s="53"/>
      <c r="U1296" s="31" t="n">
        <f aca="false">IF($B1296&lt;&gt;'設定（最初に1回）'!$C$4,N(U1295),IF(COUNTIFS(①今日の在庫を貼る!$B$6:$B$10005,$B1296,①今日の在庫を貼る!$I$6:$I$10005,$I1296)&gt;0,N(U1295),N(U1295)+1))</f>
        <v>2</v>
      </c>
    </row>
    <row r="1297" customFormat="false" ht="15" hidden="false" customHeight="false" outlineLevel="0" collapsed="false">
      <c r="B1297" s="53"/>
      <c r="I1297" s="53"/>
      <c r="U1297" s="31" t="n">
        <f aca="false">IF($B1297&lt;&gt;'設定（最初に1回）'!$C$4,N(U1296),IF(COUNTIFS(①今日の在庫を貼る!$B$6:$B$10005,$B1297,①今日の在庫を貼る!$I$6:$I$10005,$I1297)&gt;0,N(U1296),N(U1296)+1))</f>
        <v>2</v>
      </c>
    </row>
    <row r="1298" customFormat="false" ht="15" hidden="false" customHeight="false" outlineLevel="0" collapsed="false">
      <c r="B1298" s="53"/>
      <c r="I1298" s="53"/>
      <c r="U1298" s="31" t="n">
        <f aca="false">IF($B1298&lt;&gt;'設定（最初に1回）'!$C$4,N(U1297),IF(COUNTIFS(①今日の在庫を貼る!$B$6:$B$10005,$B1298,①今日の在庫を貼る!$I$6:$I$10005,$I1298)&gt;0,N(U1297),N(U1297)+1))</f>
        <v>2</v>
      </c>
    </row>
    <row r="1299" customFormat="false" ht="15" hidden="false" customHeight="false" outlineLevel="0" collapsed="false">
      <c r="B1299" s="53"/>
      <c r="I1299" s="53"/>
      <c r="U1299" s="31" t="n">
        <f aca="false">IF($B1299&lt;&gt;'設定（最初に1回）'!$C$4,N(U1298),IF(COUNTIFS(①今日の在庫を貼る!$B$6:$B$10005,$B1299,①今日の在庫を貼る!$I$6:$I$10005,$I1299)&gt;0,N(U1298),N(U1298)+1))</f>
        <v>2</v>
      </c>
    </row>
    <row r="1300" customFormat="false" ht="15" hidden="false" customHeight="false" outlineLevel="0" collapsed="false">
      <c r="B1300" s="53"/>
      <c r="I1300" s="53"/>
      <c r="U1300" s="31" t="n">
        <f aca="false">IF($B1300&lt;&gt;'設定（最初に1回）'!$C$4,N(U1299),IF(COUNTIFS(①今日の在庫を貼る!$B$6:$B$10005,$B1300,①今日の在庫を貼る!$I$6:$I$10005,$I1300)&gt;0,N(U1299),N(U1299)+1))</f>
        <v>2</v>
      </c>
    </row>
    <row r="1301" customFormat="false" ht="15" hidden="false" customHeight="false" outlineLevel="0" collapsed="false">
      <c r="B1301" s="53"/>
      <c r="I1301" s="53"/>
      <c r="U1301" s="31" t="n">
        <f aca="false">IF($B1301&lt;&gt;'設定（最初に1回）'!$C$4,N(U1300),IF(COUNTIFS(①今日の在庫を貼る!$B$6:$B$10005,$B1301,①今日の在庫を貼る!$I$6:$I$10005,$I1301)&gt;0,N(U1300),N(U1300)+1))</f>
        <v>2</v>
      </c>
    </row>
    <row r="1302" customFormat="false" ht="15" hidden="false" customHeight="false" outlineLevel="0" collapsed="false">
      <c r="B1302" s="53"/>
      <c r="I1302" s="53"/>
      <c r="U1302" s="31" t="n">
        <f aca="false">IF($B1302&lt;&gt;'設定（最初に1回）'!$C$4,N(U1301),IF(COUNTIFS(①今日の在庫を貼る!$B$6:$B$10005,$B1302,①今日の在庫を貼る!$I$6:$I$10005,$I1302)&gt;0,N(U1301),N(U1301)+1))</f>
        <v>2</v>
      </c>
    </row>
    <row r="1303" customFormat="false" ht="15" hidden="false" customHeight="false" outlineLevel="0" collapsed="false">
      <c r="B1303" s="53"/>
      <c r="I1303" s="53"/>
      <c r="U1303" s="31" t="n">
        <f aca="false">IF($B1303&lt;&gt;'設定（最初に1回）'!$C$4,N(U1302),IF(COUNTIFS(①今日の在庫を貼る!$B$6:$B$10005,$B1303,①今日の在庫を貼る!$I$6:$I$10005,$I1303)&gt;0,N(U1302),N(U1302)+1))</f>
        <v>2</v>
      </c>
    </row>
    <row r="1304" customFormat="false" ht="15" hidden="false" customHeight="false" outlineLevel="0" collapsed="false">
      <c r="B1304" s="53"/>
      <c r="I1304" s="53"/>
      <c r="U1304" s="31" t="n">
        <f aca="false">IF($B1304&lt;&gt;'設定（最初に1回）'!$C$4,N(U1303),IF(COUNTIFS(①今日の在庫を貼る!$B$6:$B$10005,$B1304,①今日の在庫を貼る!$I$6:$I$10005,$I1304)&gt;0,N(U1303),N(U1303)+1))</f>
        <v>2</v>
      </c>
    </row>
    <row r="1305" customFormat="false" ht="15" hidden="false" customHeight="false" outlineLevel="0" collapsed="false">
      <c r="B1305" s="53"/>
      <c r="I1305" s="53"/>
      <c r="U1305" s="31" t="n">
        <f aca="false">IF($B1305&lt;&gt;'設定（最初に1回）'!$C$4,N(U1304),IF(COUNTIFS(①今日の在庫を貼る!$B$6:$B$10005,$B1305,①今日の在庫を貼る!$I$6:$I$10005,$I1305)&gt;0,N(U1304),N(U1304)+1))</f>
        <v>2</v>
      </c>
    </row>
    <row r="1306" customFormat="false" ht="15" hidden="false" customHeight="false" outlineLevel="0" collapsed="false">
      <c r="B1306" s="53"/>
      <c r="I1306" s="53"/>
      <c r="U1306" s="31" t="n">
        <f aca="false">IF($B1306&lt;&gt;'設定（最初に1回）'!$C$4,N(U1305),IF(COUNTIFS(①今日の在庫を貼る!$B$6:$B$10005,$B1306,①今日の在庫を貼る!$I$6:$I$10005,$I1306)&gt;0,N(U1305),N(U1305)+1))</f>
        <v>2</v>
      </c>
    </row>
    <row r="1307" customFormat="false" ht="15" hidden="false" customHeight="false" outlineLevel="0" collapsed="false">
      <c r="B1307" s="53"/>
      <c r="I1307" s="53"/>
      <c r="U1307" s="31" t="n">
        <f aca="false">IF($B1307&lt;&gt;'設定（最初に1回）'!$C$4,N(U1306),IF(COUNTIFS(①今日の在庫を貼る!$B$6:$B$10005,$B1307,①今日の在庫を貼る!$I$6:$I$10005,$I1307)&gt;0,N(U1306),N(U1306)+1))</f>
        <v>2</v>
      </c>
    </row>
    <row r="1308" customFormat="false" ht="15" hidden="false" customHeight="false" outlineLevel="0" collapsed="false">
      <c r="B1308" s="53"/>
      <c r="I1308" s="53"/>
      <c r="U1308" s="31" t="n">
        <f aca="false">IF($B1308&lt;&gt;'設定（最初に1回）'!$C$4,N(U1307),IF(COUNTIFS(①今日の在庫を貼る!$B$6:$B$10005,$B1308,①今日の在庫を貼る!$I$6:$I$10005,$I1308)&gt;0,N(U1307),N(U1307)+1))</f>
        <v>2</v>
      </c>
    </row>
    <row r="1309" customFormat="false" ht="15" hidden="false" customHeight="false" outlineLevel="0" collapsed="false">
      <c r="B1309" s="53"/>
      <c r="I1309" s="53"/>
      <c r="U1309" s="31" t="n">
        <f aca="false">IF($B1309&lt;&gt;'設定（最初に1回）'!$C$4,N(U1308),IF(COUNTIFS(①今日の在庫を貼る!$B$6:$B$10005,$B1309,①今日の在庫を貼る!$I$6:$I$10005,$I1309)&gt;0,N(U1308),N(U1308)+1))</f>
        <v>2</v>
      </c>
    </row>
    <row r="1310" customFormat="false" ht="15" hidden="false" customHeight="false" outlineLevel="0" collapsed="false">
      <c r="B1310" s="53"/>
      <c r="I1310" s="53"/>
      <c r="U1310" s="31" t="n">
        <f aca="false">IF($B1310&lt;&gt;'設定（最初に1回）'!$C$4,N(U1309),IF(COUNTIFS(①今日の在庫を貼る!$B$6:$B$10005,$B1310,①今日の在庫を貼る!$I$6:$I$10005,$I1310)&gt;0,N(U1309),N(U1309)+1))</f>
        <v>2</v>
      </c>
    </row>
    <row r="1311" customFormat="false" ht="15" hidden="false" customHeight="false" outlineLevel="0" collapsed="false">
      <c r="B1311" s="53"/>
      <c r="I1311" s="53"/>
      <c r="U1311" s="31" t="n">
        <f aca="false">IF($B1311&lt;&gt;'設定（最初に1回）'!$C$4,N(U1310),IF(COUNTIFS(①今日の在庫を貼る!$B$6:$B$10005,$B1311,①今日の在庫を貼る!$I$6:$I$10005,$I1311)&gt;0,N(U1310),N(U1310)+1))</f>
        <v>2</v>
      </c>
    </row>
    <row r="1312" customFormat="false" ht="15" hidden="false" customHeight="false" outlineLevel="0" collapsed="false">
      <c r="B1312" s="53"/>
      <c r="I1312" s="53"/>
      <c r="U1312" s="31" t="n">
        <f aca="false">IF($B1312&lt;&gt;'設定（最初に1回）'!$C$4,N(U1311),IF(COUNTIFS(①今日の在庫を貼る!$B$6:$B$10005,$B1312,①今日の在庫を貼る!$I$6:$I$10005,$I1312)&gt;0,N(U1311),N(U1311)+1))</f>
        <v>2</v>
      </c>
    </row>
    <row r="1313" customFormat="false" ht="15" hidden="false" customHeight="false" outlineLevel="0" collapsed="false">
      <c r="B1313" s="53"/>
      <c r="I1313" s="53"/>
      <c r="U1313" s="31" t="n">
        <f aca="false">IF($B1313&lt;&gt;'設定（最初に1回）'!$C$4,N(U1312),IF(COUNTIFS(①今日の在庫を貼る!$B$6:$B$10005,$B1313,①今日の在庫を貼る!$I$6:$I$10005,$I1313)&gt;0,N(U1312),N(U1312)+1))</f>
        <v>2</v>
      </c>
    </row>
    <row r="1314" customFormat="false" ht="15" hidden="false" customHeight="false" outlineLevel="0" collapsed="false">
      <c r="B1314" s="53"/>
      <c r="I1314" s="53"/>
      <c r="U1314" s="31" t="n">
        <f aca="false">IF($B1314&lt;&gt;'設定（最初に1回）'!$C$4,N(U1313),IF(COUNTIFS(①今日の在庫を貼る!$B$6:$B$10005,$B1314,①今日の在庫を貼る!$I$6:$I$10005,$I1314)&gt;0,N(U1313),N(U1313)+1))</f>
        <v>2</v>
      </c>
    </row>
    <row r="1315" customFormat="false" ht="15" hidden="false" customHeight="false" outlineLevel="0" collapsed="false">
      <c r="B1315" s="53"/>
      <c r="I1315" s="53"/>
      <c r="U1315" s="31" t="n">
        <f aca="false">IF($B1315&lt;&gt;'設定（最初に1回）'!$C$4,N(U1314),IF(COUNTIFS(①今日の在庫を貼る!$B$6:$B$10005,$B1315,①今日の在庫を貼る!$I$6:$I$10005,$I1315)&gt;0,N(U1314),N(U1314)+1))</f>
        <v>2</v>
      </c>
    </row>
    <row r="1316" customFormat="false" ht="15" hidden="false" customHeight="false" outlineLevel="0" collapsed="false">
      <c r="B1316" s="53"/>
      <c r="I1316" s="53"/>
      <c r="U1316" s="31" t="n">
        <f aca="false">IF($B1316&lt;&gt;'設定（最初に1回）'!$C$4,N(U1315),IF(COUNTIFS(①今日の在庫を貼る!$B$6:$B$10005,$B1316,①今日の在庫を貼る!$I$6:$I$10005,$I1316)&gt;0,N(U1315),N(U1315)+1))</f>
        <v>2</v>
      </c>
    </row>
    <row r="1317" customFormat="false" ht="15" hidden="false" customHeight="false" outlineLevel="0" collapsed="false">
      <c r="B1317" s="53"/>
      <c r="I1317" s="53"/>
      <c r="U1317" s="31" t="n">
        <f aca="false">IF($B1317&lt;&gt;'設定（最初に1回）'!$C$4,N(U1316),IF(COUNTIFS(①今日の在庫を貼る!$B$6:$B$10005,$B1317,①今日の在庫を貼る!$I$6:$I$10005,$I1317)&gt;0,N(U1316),N(U1316)+1))</f>
        <v>2</v>
      </c>
    </row>
    <row r="1318" customFormat="false" ht="15" hidden="false" customHeight="false" outlineLevel="0" collapsed="false">
      <c r="B1318" s="53"/>
      <c r="I1318" s="53"/>
      <c r="U1318" s="31" t="n">
        <f aca="false">IF($B1318&lt;&gt;'設定（最初に1回）'!$C$4,N(U1317),IF(COUNTIFS(①今日の在庫を貼る!$B$6:$B$10005,$B1318,①今日の在庫を貼る!$I$6:$I$10005,$I1318)&gt;0,N(U1317),N(U1317)+1))</f>
        <v>2</v>
      </c>
    </row>
    <row r="1319" customFormat="false" ht="15" hidden="false" customHeight="false" outlineLevel="0" collapsed="false">
      <c r="B1319" s="53"/>
      <c r="I1319" s="53"/>
      <c r="U1319" s="31" t="n">
        <f aca="false">IF($B1319&lt;&gt;'設定（最初に1回）'!$C$4,N(U1318),IF(COUNTIFS(①今日の在庫を貼る!$B$6:$B$10005,$B1319,①今日の在庫を貼る!$I$6:$I$10005,$I1319)&gt;0,N(U1318),N(U1318)+1))</f>
        <v>2</v>
      </c>
    </row>
    <row r="1320" customFormat="false" ht="15" hidden="false" customHeight="false" outlineLevel="0" collapsed="false">
      <c r="B1320" s="53"/>
      <c r="I1320" s="53"/>
      <c r="U1320" s="31" t="n">
        <f aca="false">IF($B1320&lt;&gt;'設定（最初に1回）'!$C$4,N(U1319),IF(COUNTIFS(①今日の在庫を貼る!$B$6:$B$10005,$B1320,①今日の在庫を貼る!$I$6:$I$10005,$I1320)&gt;0,N(U1319),N(U1319)+1))</f>
        <v>2</v>
      </c>
    </row>
    <row r="1321" customFormat="false" ht="15" hidden="false" customHeight="false" outlineLevel="0" collapsed="false">
      <c r="B1321" s="53"/>
      <c r="I1321" s="53"/>
      <c r="U1321" s="31" t="n">
        <f aca="false">IF($B1321&lt;&gt;'設定（最初に1回）'!$C$4,N(U1320),IF(COUNTIFS(①今日の在庫を貼る!$B$6:$B$10005,$B1321,①今日の在庫を貼る!$I$6:$I$10005,$I1321)&gt;0,N(U1320),N(U1320)+1))</f>
        <v>2</v>
      </c>
    </row>
    <row r="1322" customFormat="false" ht="15" hidden="false" customHeight="false" outlineLevel="0" collapsed="false">
      <c r="B1322" s="53"/>
      <c r="I1322" s="53"/>
      <c r="U1322" s="31" t="n">
        <f aca="false">IF($B1322&lt;&gt;'設定（最初に1回）'!$C$4,N(U1321),IF(COUNTIFS(①今日の在庫を貼る!$B$6:$B$10005,$B1322,①今日の在庫を貼る!$I$6:$I$10005,$I1322)&gt;0,N(U1321),N(U1321)+1))</f>
        <v>2</v>
      </c>
    </row>
    <row r="1323" customFormat="false" ht="15" hidden="false" customHeight="false" outlineLevel="0" collapsed="false">
      <c r="B1323" s="53"/>
      <c r="I1323" s="53"/>
      <c r="U1323" s="31" t="n">
        <f aca="false">IF($B1323&lt;&gt;'設定（最初に1回）'!$C$4,N(U1322),IF(COUNTIFS(①今日の在庫を貼る!$B$6:$B$10005,$B1323,①今日の在庫を貼る!$I$6:$I$10005,$I1323)&gt;0,N(U1322),N(U1322)+1))</f>
        <v>2</v>
      </c>
    </row>
    <row r="1324" customFormat="false" ht="15" hidden="false" customHeight="false" outlineLevel="0" collapsed="false">
      <c r="B1324" s="53"/>
      <c r="I1324" s="53"/>
      <c r="U1324" s="31" t="n">
        <f aca="false">IF($B1324&lt;&gt;'設定（最初に1回）'!$C$4,N(U1323),IF(COUNTIFS(①今日の在庫を貼る!$B$6:$B$10005,$B1324,①今日の在庫を貼る!$I$6:$I$10005,$I1324)&gt;0,N(U1323),N(U1323)+1))</f>
        <v>2</v>
      </c>
    </row>
    <row r="1325" customFormat="false" ht="15" hidden="false" customHeight="false" outlineLevel="0" collapsed="false">
      <c r="B1325" s="53"/>
      <c r="I1325" s="53"/>
      <c r="U1325" s="31" t="n">
        <f aca="false">IF($B1325&lt;&gt;'設定（最初に1回）'!$C$4,N(U1324),IF(COUNTIFS(①今日の在庫を貼る!$B$6:$B$10005,$B1325,①今日の在庫を貼る!$I$6:$I$10005,$I1325)&gt;0,N(U1324),N(U1324)+1))</f>
        <v>2</v>
      </c>
    </row>
    <row r="1326" customFormat="false" ht="15" hidden="false" customHeight="false" outlineLevel="0" collapsed="false">
      <c r="B1326" s="53"/>
      <c r="I1326" s="53"/>
      <c r="U1326" s="31" t="n">
        <f aca="false">IF($B1326&lt;&gt;'設定（最初に1回）'!$C$4,N(U1325),IF(COUNTIFS(①今日の在庫を貼る!$B$6:$B$10005,$B1326,①今日の在庫を貼る!$I$6:$I$10005,$I1326)&gt;0,N(U1325),N(U1325)+1))</f>
        <v>2</v>
      </c>
    </row>
    <row r="1327" customFormat="false" ht="15" hidden="false" customHeight="false" outlineLevel="0" collapsed="false">
      <c r="B1327" s="53"/>
      <c r="I1327" s="53"/>
      <c r="U1327" s="31" t="n">
        <f aca="false">IF($B1327&lt;&gt;'設定（最初に1回）'!$C$4,N(U1326),IF(COUNTIFS(①今日の在庫を貼る!$B$6:$B$10005,$B1327,①今日の在庫を貼る!$I$6:$I$10005,$I1327)&gt;0,N(U1326),N(U1326)+1))</f>
        <v>2</v>
      </c>
    </row>
    <row r="1328" customFormat="false" ht="15" hidden="false" customHeight="false" outlineLevel="0" collapsed="false">
      <c r="B1328" s="53"/>
      <c r="I1328" s="53"/>
      <c r="U1328" s="31" t="n">
        <f aca="false">IF($B1328&lt;&gt;'設定（最初に1回）'!$C$4,N(U1327),IF(COUNTIFS(①今日の在庫を貼る!$B$6:$B$10005,$B1328,①今日の在庫を貼る!$I$6:$I$10005,$I1328)&gt;0,N(U1327),N(U1327)+1))</f>
        <v>2</v>
      </c>
    </row>
    <row r="1329" customFormat="false" ht="15" hidden="false" customHeight="false" outlineLevel="0" collapsed="false">
      <c r="B1329" s="53"/>
      <c r="I1329" s="53"/>
      <c r="U1329" s="31" t="n">
        <f aca="false">IF($B1329&lt;&gt;'設定（最初に1回）'!$C$4,N(U1328),IF(COUNTIFS(①今日の在庫を貼る!$B$6:$B$10005,$B1329,①今日の在庫を貼る!$I$6:$I$10005,$I1329)&gt;0,N(U1328),N(U1328)+1))</f>
        <v>2</v>
      </c>
    </row>
    <row r="1330" customFormat="false" ht="15" hidden="false" customHeight="false" outlineLevel="0" collapsed="false">
      <c r="B1330" s="53"/>
      <c r="I1330" s="53"/>
      <c r="U1330" s="31" t="n">
        <f aca="false">IF($B1330&lt;&gt;'設定（最初に1回）'!$C$4,N(U1329),IF(COUNTIFS(①今日の在庫を貼る!$B$6:$B$10005,$B1330,①今日の在庫を貼る!$I$6:$I$10005,$I1330)&gt;0,N(U1329),N(U1329)+1))</f>
        <v>2</v>
      </c>
    </row>
    <row r="1331" customFormat="false" ht="15" hidden="false" customHeight="false" outlineLevel="0" collapsed="false">
      <c r="B1331" s="53"/>
      <c r="I1331" s="53"/>
      <c r="U1331" s="31" t="n">
        <f aca="false">IF($B1331&lt;&gt;'設定（最初に1回）'!$C$4,N(U1330),IF(COUNTIFS(①今日の在庫を貼る!$B$6:$B$10005,$B1331,①今日の在庫を貼る!$I$6:$I$10005,$I1331)&gt;0,N(U1330),N(U1330)+1))</f>
        <v>2</v>
      </c>
    </row>
    <row r="1332" customFormat="false" ht="15" hidden="false" customHeight="false" outlineLevel="0" collapsed="false">
      <c r="B1332" s="53"/>
      <c r="I1332" s="53"/>
      <c r="U1332" s="31" t="n">
        <f aca="false">IF($B1332&lt;&gt;'設定（最初に1回）'!$C$4,N(U1331),IF(COUNTIFS(①今日の在庫を貼る!$B$6:$B$10005,$B1332,①今日の在庫を貼る!$I$6:$I$10005,$I1332)&gt;0,N(U1331),N(U1331)+1))</f>
        <v>2</v>
      </c>
    </row>
    <row r="1333" customFormat="false" ht="15" hidden="false" customHeight="false" outlineLevel="0" collapsed="false">
      <c r="B1333" s="53"/>
      <c r="I1333" s="53"/>
      <c r="U1333" s="31" t="n">
        <f aca="false">IF($B1333&lt;&gt;'設定（最初に1回）'!$C$4,N(U1332),IF(COUNTIFS(①今日の在庫を貼る!$B$6:$B$10005,$B1333,①今日の在庫を貼る!$I$6:$I$10005,$I1333)&gt;0,N(U1332),N(U1332)+1))</f>
        <v>2</v>
      </c>
    </row>
    <row r="1334" customFormat="false" ht="15" hidden="false" customHeight="false" outlineLevel="0" collapsed="false">
      <c r="B1334" s="53"/>
      <c r="I1334" s="53"/>
      <c r="U1334" s="31" t="n">
        <f aca="false">IF($B1334&lt;&gt;'設定（最初に1回）'!$C$4,N(U1333),IF(COUNTIFS(①今日の在庫を貼る!$B$6:$B$10005,$B1334,①今日の在庫を貼る!$I$6:$I$10005,$I1334)&gt;0,N(U1333),N(U1333)+1))</f>
        <v>2</v>
      </c>
    </row>
    <row r="1335" customFormat="false" ht="15" hidden="false" customHeight="false" outlineLevel="0" collapsed="false">
      <c r="B1335" s="53"/>
      <c r="I1335" s="53"/>
      <c r="U1335" s="31" t="n">
        <f aca="false">IF($B1335&lt;&gt;'設定（最初に1回）'!$C$4,N(U1334),IF(COUNTIFS(①今日の在庫を貼る!$B$6:$B$10005,$B1335,①今日の在庫を貼る!$I$6:$I$10005,$I1335)&gt;0,N(U1334),N(U1334)+1))</f>
        <v>2</v>
      </c>
    </row>
    <row r="1336" customFormat="false" ht="15" hidden="false" customHeight="false" outlineLevel="0" collapsed="false">
      <c r="B1336" s="53"/>
      <c r="I1336" s="53"/>
      <c r="U1336" s="31" t="n">
        <f aca="false">IF($B1336&lt;&gt;'設定（最初に1回）'!$C$4,N(U1335),IF(COUNTIFS(①今日の在庫を貼る!$B$6:$B$10005,$B1336,①今日の在庫を貼る!$I$6:$I$10005,$I1336)&gt;0,N(U1335),N(U1335)+1))</f>
        <v>2</v>
      </c>
    </row>
    <row r="1337" customFormat="false" ht="15" hidden="false" customHeight="false" outlineLevel="0" collapsed="false">
      <c r="B1337" s="53"/>
      <c r="I1337" s="53"/>
      <c r="U1337" s="31" t="n">
        <f aca="false">IF($B1337&lt;&gt;'設定（最初に1回）'!$C$4,N(U1336),IF(COUNTIFS(①今日の在庫を貼る!$B$6:$B$10005,$B1337,①今日の在庫を貼る!$I$6:$I$10005,$I1337)&gt;0,N(U1336),N(U1336)+1))</f>
        <v>2</v>
      </c>
    </row>
    <row r="1338" customFormat="false" ht="15" hidden="false" customHeight="false" outlineLevel="0" collapsed="false">
      <c r="B1338" s="53"/>
      <c r="I1338" s="53"/>
      <c r="U1338" s="31" t="n">
        <f aca="false">IF($B1338&lt;&gt;'設定（最初に1回）'!$C$4,N(U1337),IF(COUNTIFS(①今日の在庫を貼る!$B$6:$B$10005,$B1338,①今日の在庫を貼る!$I$6:$I$10005,$I1338)&gt;0,N(U1337),N(U1337)+1))</f>
        <v>2</v>
      </c>
    </row>
    <row r="1339" customFormat="false" ht="15" hidden="false" customHeight="false" outlineLevel="0" collapsed="false">
      <c r="B1339" s="53"/>
      <c r="I1339" s="53"/>
      <c r="U1339" s="31" t="n">
        <f aca="false">IF($B1339&lt;&gt;'設定（最初に1回）'!$C$4,N(U1338),IF(COUNTIFS(①今日の在庫を貼る!$B$6:$B$10005,$B1339,①今日の在庫を貼る!$I$6:$I$10005,$I1339)&gt;0,N(U1338),N(U1338)+1))</f>
        <v>2</v>
      </c>
    </row>
    <row r="1340" customFormat="false" ht="15" hidden="false" customHeight="false" outlineLevel="0" collapsed="false">
      <c r="B1340" s="53"/>
      <c r="I1340" s="53"/>
      <c r="U1340" s="31" t="n">
        <f aca="false">IF($B1340&lt;&gt;'設定（最初に1回）'!$C$4,N(U1339),IF(COUNTIFS(①今日の在庫を貼る!$B$6:$B$10005,$B1340,①今日の在庫を貼る!$I$6:$I$10005,$I1340)&gt;0,N(U1339),N(U1339)+1))</f>
        <v>2</v>
      </c>
    </row>
    <row r="1341" customFormat="false" ht="15" hidden="false" customHeight="false" outlineLevel="0" collapsed="false">
      <c r="B1341" s="53"/>
      <c r="I1341" s="53"/>
      <c r="U1341" s="31" t="n">
        <f aca="false">IF($B1341&lt;&gt;'設定（最初に1回）'!$C$4,N(U1340),IF(COUNTIFS(①今日の在庫を貼る!$B$6:$B$10005,$B1341,①今日の在庫を貼る!$I$6:$I$10005,$I1341)&gt;0,N(U1340),N(U1340)+1))</f>
        <v>2</v>
      </c>
    </row>
    <row r="1342" customFormat="false" ht="15" hidden="false" customHeight="false" outlineLevel="0" collapsed="false">
      <c r="B1342" s="53"/>
      <c r="I1342" s="53"/>
      <c r="U1342" s="31" t="n">
        <f aca="false">IF($B1342&lt;&gt;'設定（最初に1回）'!$C$4,N(U1341),IF(COUNTIFS(①今日の在庫を貼る!$B$6:$B$10005,$B1342,①今日の在庫を貼る!$I$6:$I$10005,$I1342)&gt;0,N(U1341),N(U1341)+1))</f>
        <v>2</v>
      </c>
    </row>
    <row r="1343" customFormat="false" ht="15" hidden="false" customHeight="false" outlineLevel="0" collapsed="false">
      <c r="B1343" s="53"/>
      <c r="I1343" s="53"/>
      <c r="U1343" s="31" t="n">
        <f aca="false">IF($B1343&lt;&gt;'設定（最初に1回）'!$C$4,N(U1342),IF(COUNTIFS(①今日の在庫を貼る!$B$6:$B$10005,$B1343,①今日の在庫を貼る!$I$6:$I$10005,$I1343)&gt;0,N(U1342),N(U1342)+1))</f>
        <v>2</v>
      </c>
    </row>
    <row r="1344" customFormat="false" ht="15" hidden="false" customHeight="false" outlineLevel="0" collapsed="false">
      <c r="B1344" s="53"/>
      <c r="I1344" s="53"/>
      <c r="U1344" s="31" t="n">
        <f aca="false">IF($B1344&lt;&gt;'設定（最初に1回）'!$C$4,N(U1343),IF(COUNTIFS(①今日の在庫を貼る!$B$6:$B$10005,$B1344,①今日の在庫を貼る!$I$6:$I$10005,$I1344)&gt;0,N(U1343),N(U1343)+1))</f>
        <v>2</v>
      </c>
    </row>
    <row r="1345" customFormat="false" ht="15" hidden="false" customHeight="false" outlineLevel="0" collapsed="false">
      <c r="B1345" s="53"/>
      <c r="I1345" s="53"/>
      <c r="U1345" s="31" t="n">
        <f aca="false">IF($B1345&lt;&gt;'設定（最初に1回）'!$C$4,N(U1344),IF(COUNTIFS(①今日の在庫を貼る!$B$6:$B$10005,$B1345,①今日の在庫を貼る!$I$6:$I$10005,$I1345)&gt;0,N(U1344),N(U1344)+1))</f>
        <v>2</v>
      </c>
    </row>
    <row r="1346" customFormat="false" ht="15" hidden="false" customHeight="false" outlineLevel="0" collapsed="false">
      <c r="B1346" s="53"/>
      <c r="I1346" s="53"/>
      <c r="U1346" s="31" t="n">
        <f aca="false">IF($B1346&lt;&gt;'設定（最初に1回）'!$C$4,N(U1345),IF(COUNTIFS(①今日の在庫を貼る!$B$6:$B$10005,$B1346,①今日の在庫を貼る!$I$6:$I$10005,$I1346)&gt;0,N(U1345),N(U1345)+1))</f>
        <v>2</v>
      </c>
    </row>
    <row r="1347" customFormat="false" ht="15" hidden="false" customHeight="false" outlineLevel="0" collapsed="false">
      <c r="B1347" s="53"/>
      <c r="I1347" s="53"/>
      <c r="U1347" s="31" t="n">
        <f aca="false">IF($B1347&lt;&gt;'設定（最初に1回）'!$C$4,N(U1346),IF(COUNTIFS(①今日の在庫を貼る!$B$6:$B$10005,$B1347,①今日の在庫を貼る!$I$6:$I$10005,$I1347)&gt;0,N(U1346),N(U1346)+1))</f>
        <v>2</v>
      </c>
    </row>
    <row r="1348" customFormat="false" ht="15" hidden="false" customHeight="false" outlineLevel="0" collapsed="false">
      <c r="B1348" s="53"/>
      <c r="I1348" s="53"/>
      <c r="U1348" s="31" t="n">
        <f aca="false">IF($B1348&lt;&gt;'設定（最初に1回）'!$C$4,N(U1347),IF(COUNTIFS(①今日の在庫を貼る!$B$6:$B$10005,$B1348,①今日の在庫を貼る!$I$6:$I$10005,$I1348)&gt;0,N(U1347),N(U1347)+1))</f>
        <v>2</v>
      </c>
    </row>
    <row r="1349" customFormat="false" ht="15" hidden="false" customHeight="false" outlineLevel="0" collapsed="false">
      <c r="B1349" s="53"/>
      <c r="I1349" s="53"/>
      <c r="U1349" s="31" t="n">
        <f aca="false">IF($B1349&lt;&gt;'設定（最初に1回）'!$C$4,N(U1348),IF(COUNTIFS(①今日の在庫を貼る!$B$6:$B$10005,$B1349,①今日の在庫を貼る!$I$6:$I$10005,$I1349)&gt;0,N(U1348),N(U1348)+1))</f>
        <v>2</v>
      </c>
    </row>
    <row r="1350" customFormat="false" ht="15" hidden="false" customHeight="false" outlineLevel="0" collapsed="false">
      <c r="B1350" s="53"/>
      <c r="I1350" s="53"/>
      <c r="U1350" s="31" t="n">
        <f aca="false">IF($B1350&lt;&gt;'設定（最初に1回）'!$C$4,N(U1349),IF(COUNTIFS(①今日の在庫を貼る!$B$6:$B$10005,$B1350,①今日の在庫を貼る!$I$6:$I$10005,$I1350)&gt;0,N(U1349),N(U1349)+1))</f>
        <v>2</v>
      </c>
    </row>
    <row r="1351" customFormat="false" ht="15" hidden="false" customHeight="false" outlineLevel="0" collapsed="false">
      <c r="B1351" s="53"/>
      <c r="I1351" s="53"/>
      <c r="U1351" s="31" t="n">
        <f aca="false">IF($B1351&lt;&gt;'設定（最初に1回）'!$C$4,N(U1350),IF(COUNTIFS(①今日の在庫を貼る!$B$6:$B$10005,$B1351,①今日の在庫を貼る!$I$6:$I$10005,$I1351)&gt;0,N(U1350),N(U1350)+1))</f>
        <v>2</v>
      </c>
    </row>
    <row r="1352" customFormat="false" ht="15" hidden="false" customHeight="false" outlineLevel="0" collapsed="false">
      <c r="B1352" s="53"/>
      <c r="I1352" s="53"/>
      <c r="U1352" s="31" t="n">
        <f aca="false">IF($B1352&lt;&gt;'設定（最初に1回）'!$C$4,N(U1351),IF(COUNTIFS(①今日の在庫を貼る!$B$6:$B$10005,$B1352,①今日の在庫を貼る!$I$6:$I$10005,$I1352)&gt;0,N(U1351),N(U1351)+1))</f>
        <v>2</v>
      </c>
    </row>
    <row r="1353" customFormat="false" ht="15" hidden="false" customHeight="false" outlineLevel="0" collapsed="false">
      <c r="B1353" s="53"/>
      <c r="I1353" s="53"/>
      <c r="U1353" s="31" t="n">
        <f aca="false">IF($B1353&lt;&gt;'設定（最初に1回）'!$C$4,N(U1352),IF(COUNTIFS(①今日の在庫を貼る!$B$6:$B$10005,$B1353,①今日の在庫を貼る!$I$6:$I$10005,$I1353)&gt;0,N(U1352),N(U1352)+1))</f>
        <v>2</v>
      </c>
    </row>
    <row r="1354" customFormat="false" ht="15" hidden="false" customHeight="false" outlineLevel="0" collapsed="false">
      <c r="B1354" s="53"/>
      <c r="I1354" s="53"/>
      <c r="U1354" s="31" t="n">
        <f aca="false">IF($B1354&lt;&gt;'設定（最初に1回）'!$C$4,N(U1353),IF(COUNTIFS(①今日の在庫を貼る!$B$6:$B$10005,$B1354,①今日の在庫を貼る!$I$6:$I$10005,$I1354)&gt;0,N(U1353),N(U1353)+1))</f>
        <v>2</v>
      </c>
    </row>
    <row r="1355" customFormat="false" ht="15" hidden="false" customHeight="false" outlineLevel="0" collapsed="false">
      <c r="B1355" s="53"/>
      <c r="I1355" s="53"/>
      <c r="U1355" s="31" t="n">
        <f aca="false">IF($B1355&lt;&gt;'設定（最初に1回）'!$C$4,N(U1354),IF(COUNTIFS(①今日の在庫を貼る!$B$6:$B$10005,$B1355,①今日の在庫を貼る!$I$6:$I$10005,$I1355)&gt;0,N(U1354),N(U1354)+1))</f>
        <v>2</v>
      </c>
    </row>
    <row r="1356" customFormat="false" ht="15" hidden="false" customHeight="false" outlineLevel="0" collapsed="false">
      <c r="B1356" s="53"/>
      <c r="I1356" s="53"/>
      <c r="U1356" s="31" t="n">
        <f aca="false">IF($B1356&lt;&gt;'設定（最初に1回）'!$C$4,N(U1355),IF(COUNTIFS(①今日の在庫を貼る!$B$6:$B$10005,$B1356,①今日の在庫を貼る!$I$6:$I$10005,$I1356)&gt;0,N(U1355),N(U1355)+1))</f>
        <v>2</v>
      </c>
    </row>
    <row r="1357" customFormat="false" ht="15" hidden="false" customHeight="false" outlineLevel="0" collapsed="false">
      <c r="B1357" s="53"/>
      <c r="I1357" s="53"/>
      <c r="U1357" s="31" t="n">
        <f aca="false">IF($B1357&lt;&gt;'設定（最初に1回）'!$C$4,N(U1356),IF(COUNTIFS(①今日の在庫を貼る!$B$6:$B$10005,$B1357,①今日の在庫を貼る!$I$6:$I$10005,$I1357)&gt;0,N(U1356),N(U1356)+1))</f>
        <v>2</v>
      </c>
    </row>
    <row r="1358" customFormat="false" ht="15" hidden="false" customHeight="false" outlineLevel="0" collapsed="false">
      <c r="B1358" s="53"/>
      <c r="I1358" s="53"/>
      <c r="U1358" s="31" t="n">
        <f aca="false">IF($B1358&lt;&gt;'設定（最初に1回）'!$C$4,N(U1357),IF(COUNTIFS(①今日の在庫を貼る!$B$6:$B$10005,$B1358,①今日の在庫を貼る!$I$6:$I$10005,$I1358)&gt;0,N(U1357),N(U1357)+1))</f>
        <v>2</v>
      </c>
    </row>
    <row r="1359" customFormat="false" ht="15" hidden="false" customHeight="false" outlineLevel="0" collapsed="false">
      <c r="B1359" s="53"/>
      <c r="I1359" s="53"/>
      <c r="U1359" s="31" t="n">
        <f aca="false">IF($B1359&lt;&gt;'設定（最初に1回）'!$C$4,N(U1358),IF(COUNTIFS(①今日の在庫を貼る!$B$6:$B$10005,$B1359,①今日の在庫を貼る!$I$6:$I$10005,$I1359)&gt;0,N(U1358),N(U1358)+1))</f>
        <v>2</v>
      </c>
    </row>
    <row r="1360" customFormat="false" ht="15" hidden="false" customHeight="false" outlineLevel="0" collapsed="false">
      <c r="B1360" s="53"/>
      <c r="I1360" s="53"/>
      <c r="U1360" s="31" t="n">
        <f aca="false">IF($B1360&lt;&gt;'設定（最初に1回）'!$C$4,N(U1359),IF(COUNTIFS(①今日の在庫を貼る!$B$6:$B$10005,$B1360,①今日の在庫を貼る!$I$6:$I$10005,$I1360)&gt;0,N(U1359),N(U1359)+1))</f>
        <v>2</v>
      </c>
    </row>
    <row r="1361" customFormat="false" ht="15" hidden="false" customHeight="false" outlineLevel="0" collapsed="false">
      <c r="B1361" s="53"/>
      <c r="I1361" s="53"/>
      <c r="U1361" s="31" t="n">
        <f aca="false">IF($B1361&lt;&gt;'設定（最初に1回）'!$C$4,N(U1360),IF(COUNTIFS(①今日の在庫を貼る!$B$6:$B$10005,$B1361,①今日の在庫を貼る!$I$6:$I$10005,$I1361)&gt;0,N(U1360),N(U1360)+1))</f>
        <v>2</v>
      </c>
    </row>
    <row r="1362" customFormat="false" ht="15" hidden="false" customHeight="false" outlineLevel="0" collapsed="false">
      <c r="B1362" s="53"/>
      <c r="I1362" s="53"/>
      <c r="U1362" s="31" t="n">
        <f aca="false">IF($B1362&lt;&gt;'設定（最初に1回）'!$C$4,N(U1361),IF(COUNTIFS(①今日の在庫を貼る!$B$6:$B$10005,$B1362,①今日の在庫を貼る!$I$6:$I$10005,$I1362)&gt;0,N(U1361),N(U1361)+1))</f>
        <v>2</v>
      </c>
    </row>
    <row r="1363" customFormat="false" ht="15" hidden="false" customHeight="false" outlineLevel="0" collapsed="false">
      <c r="B1363" s="53"/>
      <c r="I1363" s="53"/>
      <c r="U1363" s="31" t="n">
        <f aca="false">IF($B1363&lt;&gt;'設定（最初に1回）'!$C$4,N(U1362),IF(COUNTIFS(①今日の在庫を貼る!$B$6:$B$10005,$B1363,①今日の在庫を貼る!$I$6:$I$10005,$I1363)&gt;0,N(U1362),N(U1362)+1))</f>
        <v>2</v>
      </c>
    </row>
    <row r="1364" customFormat="false" ht="15" hidden="false" customHeight="false" outlineLevel="0" collapsed="false">
      <c r="B1364" s="53"/>
      <c r="I1364" s="53"/>
      <c r="U1364" s="31" t="n">
        <f aca="false">IF($B1364&lt;&gt;'設定（最初に1回）'!$C$4,N(U1363),IF(COUNTIFS(①今日の在庫を貼る!$B$6:$B$10005,$B1364,①今日の在庫を貼る!$I$6:$I$10005,$I1364)&gt;0,N(U1363),N(U1363)+1))</f>
        <v>2</v>
      </c>
    </row>
    <row r="1365" customFormat="false" ht="15" hidden="false" customHeight="false" outlineLevel="0" collapsed="false">
      <c r="B1365" s="53"/>
      <c r="I1365" s="53"/>
      <c r="U1365" s="31" t="n">
        <f aca="false">IF($B1365&lt;&gt;'設定（最初に1回）'!$C$4,N(U1364),IF(COUNTIFS(①今日の在庫を貼る!$B$6:$B$10005,$B1365,①今日の在庫を貼る!$I$6:$I$10005,$I1365)&gt;0,N(U1364),N(U1364)+1))</f>
        <v>2</v>
      </c>
    </row>
    <row r="1366" customFormat="false" ht="15" hidden="false" customHeight="false" outlineLevel="0" collapsed="false">
      <c r="B1366" s="53"/>
      <c r="I1366" s="53"/>
      <c r="U1366" s="31" t="n">
        <f aca="false">IF($B1366&lt;&gt;'設定（最初に1回）'!$C$4,N(U1365),IF(COUNTIFS(①今日の在庫を貼る!$B$6:$B$10005,$B1366,①今日の在庫を貼る!$I$6:$I$10005,$I1366)&gt;0,N(U1365),N(U1365)+1))</f>
        <v>2</v>
      </c>
    </row>
    <row r="1367" customFormat="false" ht="15" hidden="false" customHeight="false" outlineLevel="0" collapsed="false">
      <c r="B1367" s="53"/>
      <c r="I1367" s="53"/>
      <c r="U1367" s="31" t="n">
        <f aca="false">IF($B1367&lt;&gt;'設定（最初に1回）'!$C$4,N(U1366),IF(COUNTIFS(①今日の在庫を貼る!$B$6:$B$10005,$B1367,①今日の在庫を貼る!$I$6:$I$10005,$I1367)&gt;0,N(U1366),N(U1366)+1))</f>
        <v>2</v>
      </c>
    </row>
    <row r="1368" customFormat="false" ht="15" hidden="false" customHeight="false" outlineLevel="0" collapsed="false">
      <c r="B1368" s="53"/>
      <c r="I1368" s="53"/>
      <c r="U1368" s="31" t="n">
        <f aca="false">IF($B1368&lt;&gt;'設定（最初に1回）'!$C$4,N(U1367),IF(COUNTIFS(①今日の在庫を貼る!$B$6:$B$10005,$B1368,①今日の在庫を貼る!$I$6:$I$10005,$I1368)&gt;0,N(U1367),N(U1367)+1))</f>
        <v>2</v>
      </c>
    </row>
    <row r="1369" customFormat="false" ht="15" hidden="false" customHeight="false" outlineLevel="0" collapsed="false">
      <c r="B1369" s="53"/>
      <c r="I1369" s="53"/>
      <c r="U1369" s="31" t="n">
        <f aca="false">IF($B1369&lt;&gt;'設定（最初に1回）'!$C$4,N(U1368),IF(COUNTIFS(①今日の在庫を貼る!$B$6:$B$10005,$B1369,①今日の在庫を貼る!$I$6:$I$10005,$I1369)&gt;0,N(U1368),N(U1368)+1))</f>
        <v>2</v>
      </c>
    </row>
    <row r="1370" customFormat="false" ht="15" hidden="false" customHeight="false" outlineLevel="0" collapsed="false">
      <c r="B1370" s="53"/>
      <c r="I1370" s="53"/>
      <c r="U1370" s="31" t="n">
        <f aca="false">IF($B1370&lt;&gt;'設定（最初に1回）'!$C$4,N(U1369),IF(COUNTIFS(①今日の在庫を貼る!$B$6:$B$10005,$B1370,①今日の在庫を貼る!$I$6:$I$10005,$I1370)&gt;0,N(U1369),N(U1369)+1))</f>
        <v>2</v>
      </c>
    </row>
    <row r="1371" customFormat="false" ht="15" hidden="false" customHeight="false" outlineLevel="0" collapsed="false">
      <c r="B1371" s="53"/>
      <c r="I1371" s="53"/>
      <c r="U1371" s="31" t="n">
        <f aca="false">IF($B1371&lt;&gt;'設定（最初に1回）'!$C$4,N(U1370),IF(COUNTIFS(①今日の在庫を貼る!$B$6:$B$10005,$B1371,①今日の在庫を貼る!$I$6:$I$10005,$I1371)&gt;0,N(U1370),N(U1370)+1))</f>
        <v>2</v>
      </c>
    </row>
    <row r="1372" customFormat="false" ht="15" hidden="false" customHeight="false" outlineLevel="0" collapsed="false">
      <c r="B1372" s="53"/>
      <c r="I1372" s="53"/>
      <c r="U1372" s="31" t="n">
        <f aca="false">IF($B1372&lt;&gt;'設定（最初に1回）'!$C$4,N(U1371),IF(COUNTIFS(①今日の在庫を貼る!$B$6:$B$10005,$B1372,①今日の在庫を貼る!$I$6:$I$10005,$I1372)&gt;0,N(U1371),N(U1371)+1))</f>
        <v>2</v>
      </c>
    </row>
    <row r="1373" customFormat="false" ht="15" hidden="false" customHeight="false" outlineLevel="0" collapsed="false">
      <c r="B1373" s="53"/>
      <c r="I1373" s="53"/>
      <c r="U1373" s="31" t="n">
        <f aca="false">IF($B1373&lt;&gt;'設定（最初に1回）'!$C$4,N(U1372),IF(COUNTIFS(①今日の在庫を貼る!$B$6:$B$10005,$B1373,①今日の在庫を貼る!$I$6:$I$10005,$I1373)&gt;0,N(U1372),N(U1372)+1))</f>
        <v>2</v>
      </c>
    </row>
    <row r="1374" customFormat="false" ht="15" hidden="false" customHeight="false" outlineLevel="0" collapsed="false">
      <c r="B1374" s="53"/>
      <c r="I1374" s="53"/>
      <c r="U1374" s="31" t="n">
        <f aca="false">IF($B1374&lt;&gt;'設定（最初に1回）'!$C$4,N(U1373),IF(COUNTIFS(①今日の在庫を貼る!$B$6:$B$10005,$B1374,①今日の在庫を貼る!$I$6:$I$10005,$I1374)&gt;0,N(U1373),N(U1373)+1))</f>
        <v>2</v>
      </c>
    </row>
    <row r="1375" customFormat="false" ht="15" hidden="false" customHeight="false" outlineLevel="0" collapsed="false">
      <c r="B1375" s="53"/>
      <c r="I1375" s="53"/>
      <c r="U1375" s="31" t="n">
        <f aca="false">IF($B1375&lt;&gt;'設定（最初に1回）'!$C$4,N(U1374),IF(COUNTIFS(①今日の在庫を貼る!$B$6:$B$10005,$B1375,①今日の在庫を貼る!$I$6:$I$10005,$I1375)&gt;0,N(U1374),N(U1374)+1))</f>
        <v>2</v>
      </c>
    </row>
    <row r="1376" customFormat="false" ht="15" hidden="false" customHeight="false" outlineLevel="0" collapsed="false">
      <c r="B1376" s="53"/>
      <c r="I1376" s="53"/>
      <c r="U1376" s="31" t="n">
        <f aca="false">IF($B1376&lt;&gt;'設定（最初に1回）'!$C$4,N(U1375),IF(COUNTIFS(①今日の在庫を貼る!$B$6:$B$10005,$B1376,①今日の在庫を貼る!$I$6:$I$10005,$I1376)&gt;0,N(U1375),N(U1375)+1))</f>
        <v>2</v>
      </c>
    </row>
    <row r="1377" customFormat="false" ht="15" hidden="false" customHeight="false" outlineLevel="0" collapsed="false">
      <c r="B1377" s="53"/>
      <c r="I1377" s="53"/>
      <c r="U1377" s="31" t="n">
        <f aca="false">IF($B1377&lt;&gt;'設定（最初に1回）'!$C$4,N(U1376),IF(COUNTIFS(①今日の在庫を貼る!$B$6:$B$10005,$B1377,①今日の在庫を貼る!$I$6:$I$10005,$I1377)&gt;0,N(U1376),N(U1376)+1))</f>
        <v>2</v>
      </c>
    </row>
    <row r="1378" customFormat="false" ht="15" hidden="false" customHeight="false" outlineLevel="0" collapsed="false">
      <c r="B1378" s="53"/>
      <c r="I1378" s="53"/>
      <c r="U1378" s="31" t="n">
        <f aca="false">IF($B1378&lt;&gt;'設定（最初に1回）'!$C$4,N(U1377),IF(COUNTIFS(①今日の在庫を貼る!$B$6:$B$10005,$B1378,①今日の在庫を貼る!$I$6:$I$10005,$I1378)&gt;0,N(U1377),N(U1377)+1))</f>
        <v>2</v>
      </c>
    </row>
    <row r="1379" customFormat="false" ht="15" hidden="false" customHeight="false" outlineLevel="0" collapsed="false">
      <c r="B1379" s="53"/>
      <c r="I1379" s="53"/>
      <c r="U1379" s="31" t="n">
        <f aca="false">IF($B1379&lt;&gt;'設定（最初に1回）'!$C$4,N(U1378),IF(COUNTIFS(①今日の在庫を貼る!$B$6:$B$10005,$B1379,①今日の在庫を貼る!$I$6:$I$10005,$I1379)&gt;0,N(U1378),N(U1378)+1))</f>
        <v>2</v>
      </c>
    </row>
    <row r="1380" customFormat="false" ht="15" hidden="false" customHeight="false" outlineLevel="0" collapsed="false">
      <c r="B1380" s="53"/>
      <c r="I1380" s="53"/>
      <c r="U1380" s="31" t="n">
        <f aca="false">IF($B1380&lt;&gt;'設定（最初に1回）'!$C$4,N(U1379),IF(COUNTIFS(①今日の在庫を貼る!$B$6:$B$10005,$B1380,①今日の在庫を貼る!$I$6:$I$10005,$I1380)&gt;0,N(U1379),N(U1379)+1))</f>
        <v>2</v>
      </c>
    </row>
    <row r="1381" customFormat="false" ht="15" hidden="false" customHeight="false" outlineLevel="0" collapsed="false">
      <c r="B1381" s="53"/>
      <c r="I1381" s="53"/>
      <c r="U1381" s="31" t="n">
        <f aca="false">IF($B1381&lt;&gt;'設定（最初に1回）'!$C$4,N(U1380),IF(COUNTIFS(①今日の在庫を貼る!$B$6:$B$10005,$B1381,①今日の在庫を貼る!$I$6:$I$10005,$I1381)&gt;0,N(U1380),N(U1380)+1))</f>
        <v>2</v>
      </c>
    </row>
    <row r="1382" customFormat="false" ht="15" hidden="false" customHeight="false" outlineLevel="0" collapsed="false">
      <c r="B1382" s="53"/>
      <c r="I1382" s="53"/>
      <c r="U1382" s="31" t="n">
        <f aca="false">IF($B1382&lt;&gt;'設定（最初に1回）'!$C$4,N(U1381),IF(COUNTIFS(①今日の在庫を貼る!$B$6:$B$10005,$B1382,①今日の在庫を貼る!$I$6:$I$10005,$I1382)&gt;0,N(U1381),N(U1381)+1))</f>
        <v>2</v>
      </c>
    </row>
    <row r="1383" customFormat="false" ht="15" hidden="false" customHeight="false" outlineLevel="0" collapsed="false">
      <c r="B1383" s="53"/>
      <c r="I1383" s="53"/>
      <c r="U1383" s="31" t="n">
        <f aca="false">IF($B1383&lt;&gt;'設定（最初に1回）'!$C$4,N(U1382),IF(COUNTIFS(①今日の在庫を貼る!$B$6:$B$10005,$B1383,①今日の在庫を貼る!$I$6:$I$10005,$I1383)&gt;0,N(U1382),N(U1382)+1))</f>
        <v>2</v>
      </c>
    </row>
    <row r="1384" customFormat="false" ht="15" hidden="false" customHeight="false" outlineLevel="0" collapsed="false">
      <c r="B1384" s="53"/>
      <c r="I1384" s="53"/>
      <c r="U1384" s="31" t="n">
        <f aca="false">IF($B1384&lt;&gt;'設定（最初に1回）'!$C$4,N(U1383),IF(COUNTIFS(①今日の在庫を貼る!$B$6:$B$10005,$B1384,①今日の在庫を貼る!$I$6:$I$10005,$I1384)&gt;0,N(U1383),N(U1383)+1))</f>
        <v>2</v>
      </c>
    </row>
    <row r="1385" customFormat="false" ht="15" hidden="false" customHeight="false" outlineLevel="0" collapsed="false">
      <c r="B1385" s="53"/>
      <c r="I1385" s="53"/>
      <c r="U1385" s="31" t="n">
        <f aca="false">IF($B1385&lt;&gt;'設定（最初に1回）'!$C$4,N(U1384),IF(COUNTIFS(①今日の在庫を貼る!$B$6:$B$10005,$B1385,①今日の在庫を貼る!$I$6:$I$10005,$I1385)&gt;0,N(U1384),N(U1384)+1))</f>
        <v>2</v>
      </c>
    </row>
    <row r="1386" customFormat="false" ht="15" hidden="false" customHeight="false" outlineLevel="0" collapsed="false">
      <c r="B1386" s="53"/>
      <c r="I1386" s="53"/>
      <c r="U1386" s="31" t="n">
        <f aca="false">IF($B1386&lt;&gt;'設定（最初に1回）'!$C$4,N(U1385),IF(COUNTIFS(①今日の在庫を貼る!$B$6:$B$10005,$B1386,①今日の在庫を貼る!$I$6:$I$10005,$I1386)&gt;0,N(U1385),N(U1385)+1))</f>
        <v>2</v>
      </c>
    </row>
    <row r="1387" customFormat="false" ht="15" hidden="false" customHeight="false" outlineLevel="0" collapsed="false">
      <c r="B1387" s="53"/>
      <c r="I1387" s="53"/>
      <c r="U1387" s="31" t="n">
        <f aca="false">IF($B1387&lt;&gt;'設定（最初に1回）'!$C$4,N(U1386),IF(COUNTIFS(①今日の在庫を貼る!$B$6:$B$10005,$B1387,①今日の在庫を貼る!$I$6:$I$10005,$I1387)&gt;0,N(U1386),N(U1386)+1))</f>
        <v>2</v>
      </c>
    </row>
    <row r="1388" customFormat="false" ht="15" hidden="false" customHeight="false" outlineLevel="0" collapsed="false">
      <c r="B1388" s="53"/>
      <c r="I1388" s="53"/>
      <c r="U1388" s="31" t="n">
        <f aca="false">IF($B1388&lt;&gt;'設定（最初に1回）'!$C$4,N(U1387),IF(COUNTIFS(①今日の在庫を貼る!$B$6:$B$10005,$B1388,①今日の在庫を貼る!$I$6:$I$10005,$I1388)&gt;0,N(U1387),N(U1387)+1))</f>
        <v>2</v>
      </c>
    </row>
    <row r="1389" customFormat="false" ht="15" hidden="false" customHeight="false" outlineLevel="0" collapsed="false">
      <c r="B1389" s="53"/>
      <c r="I1389" s="53"/>
      <c r="U1389" s="31" t="n">
        <f aca="false">IF($B1389&lt;&gt;'設定（最初に1回）'!$C$4,N(U1388),IF(COUNTIFS(①今日の在庫を貼る!$B$6:$B$10005,$B1389,①今日の在庫を貼る!$I$6:$I$10005,$I1389)&gt;0,N(U1388),N(U1388)+1))</f>
        <v>2</v>
      </c>
    </row>
    <row r="1390" customFormat="false" ht="15" hidden="false" customHeight="false" outlineLevel="0" collapsed="false">
      <c r="B1390" s="53"/>
      <c r="I1390" s="53"/>
      <c r="U1390" s="31" t="n">
        <f aca="false">IF($B1390&lt;&gt;'設定（最初に1回）'!$C$4,N(U1389),IF(COUNTIFS(①今日の在庫を貼る!$B$6:$B$10005,$B1390,①今日の在庫を貼る!$I$6:$I$10005,$I1390)&gt;0,N(U1389),N(U1389)+1))</f>
        <v>2</v>
      </c>
    </row>
    <row r="1391" customFormat="false" ht="15" hidden="false" customHeight="false" outlineLevel="0" collapsed="false">
      <c r="B1391" s="53"/>
      <c r="I1391" s="53"/>
      <c r="U1391" s="31" t="n">
        <f aca="false">IF($B1391&lt;&gt;'設定（最初に1回）'!$C$4,N(U1390),IF(COUNTIFS(①今日の在庫を貼る!$B$6:$B$10005,$B1391,①今日の在庫を貼る!$I$6:$I$10005,$I1391)&gt;0,N(U1390),N(U1390)+1))</f>
        <v>2</v>
      </c>
    </row>
    <row r="1392" customFormat="false" ht="15" hidden="false" customHeight="false" outlineLevel="0" collapsed="false">
      <c r="B1392" s="53"/>
      <c r="I1392" s="53"/>
      <c r="U1392" s="31" t="n">
        <f aca="false">IF($B1392&lt;&gt;'設定（最初に1回）'!$C$4,N(U1391),IF(COUNTIFS(①今日の在庫を貼る!$B$6:$B$10005,$B1392,①今日の在庫を貼る!$I$6:$I$10005,$I1392)&gt;0,N(U1391),N(U1391)+1))</f>
        <v>2</v>
      </c>
    </row>
    <row r="1393" customFormat="false" ht="15" hidden="false" customHeight="false" outlineLevel="0" collapsed="false">
      <c r="B1393" s="53"/>
      <c r="I1393" s="53"/>
      <c r="U1393" s="31" t="n">
        <f aca="false">IF($B1393&lt;&gt;'設定（最初に1回）'!$C$4,N(U1392),IF(COUNTIFS(①今日の在庫を貼る!$B$6:$B$10005,$B1393,①今日の在庫を貼る!$I$6:$I$10005,$I1393)&gt;0,N(U1392),N(U1392)+1))</f>
        <v>2</v>
      </c>
    </row>
    <row r="1394" customFormat="false" ht="15" hidden="false" customHeight="false" outlineLevel="0" collapsed="false">
      <c r="B1394" s="53"/>
      <c r="I1394" s="53"/>
      <c r="U1394" s="31" t="n">
        <f aca="false">IF($B1394&lt;&gt;'設定（最初に1回）'!$C$4,N(U1393),IF(COUNTIFS(①今日の在庫を貼る!$B$6:$B$10005,$B1394,①今日の在庫を貼る!$I$6:$I$10005,$I1394)&gt;0,N(U1393),N(U1393)+1))</f>
        <v>2</v>
      </c>
    </row>
    <row r="1395" customFormat="false" ht="15" hidden="false" customHeight="false" outlineLevel="0" collapsed="false">
      <c r="B1395" s="53"/>
      <c r="I1395" s="53"/>
      <c r="U1395" s="31" t="n">
        <f aca="false">IF($B1395&lt;&gt;'設定（最初に1回）'!$C$4,N(U1394),IF(COUNTIFS(①今日の在庫を貼る!$B$6:$B$10005,$B1395,①今日の在庫を貼る!$I$6:$I$10005,$I1395)&gt;0,N(U1394),N(U1394)+1))</f>
        <v>2</v>
      </c>
    </row>
    <row r="1396" customFormat="false" ht="15" hidden="false" customHeight="false" outlineLevel="0" collapsed="false">
      <c r="B1396" s="53"/>
      <c r="I1396" s="53"/>
      <c r="U1396" s="31" t="n">
        <f aca="false">IF($B1396&lt;&gt;'設定（最初に1回）'!$C$4,N(U1395),IF(COUNTIFS(①今日の在庫を貼る!$B$6:$B$10005,$B1396,①今日の在庫を貼る!$I$6:$I$10005,$I1396)&gt;0,N(U1395),N(U1395)+1))</f>
        <v>2</v>
      </c>
    </row>
    <row r="1397" customFormat="false" ht="15" hidden="false" customHeight="false" outlineLevel="0" collapsed="false">
      <c r="B1397" s="53"/>
      <c r="I1397" s="53"/>
      <c r="U1397" s="31" t="n">
        <f aca="false">IF($B1397&lt;&gt;'設定（最初に1回）'!$C$4,N(U1396),IF(COUNTIFS(①今日の在庫を貼る!$B$6:$B$10005,$B1397,①今日の在庫を貼る!$I$6:$I$10005,$I1397)&gt;0,N(U1396),N(U1396)+1))</f>
        <v>2</v>
      </c>
    </row>
    <row r="1398" customFormat="false" ht="15" hidden="false" customHeight="false" outlineLevel="0" collapsed="false">
      <c r="B1398" s="53"/>
      <c r="I1398" s="53"/>
      <c r="U1398" s="31" t="n">
        <f aca="false">IF($B1398&lt;&gt;'設定（最初に1回）'!$C$4,N(U1397),IF(COUNTIFS(①今日の在庫を貼る!$B$6:$B$10005,$B1398,①今日の在庫を貼る!$I$6:$I$10005,$I1398)&gt;0,N(U1397),N(U1397)+1))</f>
        <v>2</v>
      </c>
    </row>
    <row r="1399" customFormat="false" ht="15" hidden="false" customHeight="false" outlineLevel="0" collapsed="false">
      <c r="B1399" s="53"/>
      <c r="I1399" s="53"/>
      <c r="U1399" s="31" t="n">
        <f aca="false">IF($B1399&lt;&gt;'設定（最初に1回）'!$C$4,N(U1398),IF(COUNTIFS(①今日の在庫を貼る!$B$6:$B$10005,$B1399,①今日の在庫を貼る!$I$6:$I$10005,$I1399)&gt;0,N(U1398),N(U1398)+1))</f>
        <v>2</v>
      </c>
    </row>
    <row r="1400" customFormat="false" ht="15" hidden="false" customHeight="false" outlineLevel="0" collapsed="false">
      <c r="B1400" s="53"/>
      <c r="I1400" s="53"/>
      <c r="U1400" s="31" t="n">
        <f aca="false">IF($B1400&lt;&gt;'設定（最初に1回）'!$C$4,N(U1399),IF(COUNTIFS(①今日の在庫を貼る!$B$6:$B$10005,$B1400,①今日の在庫を貼る!$I$6:$I$10005,$I1400)&gt;0,N(U1399),N(U1399)+1))</f>
        <v>2</v>
      </c>
    </row>
    <row r="1401" customFormat="false" ht="15" hidden="false" customHeight="false" outlineLevel="0" collapsed="false">
      <c r="B1401" s="53"/>
      <c r="I1401" s="53"/>
      <c r="U1401" s="31" t="n">
        <f aca="false">IF($B1401&lt;&gt;'設定（最初に1回）'!$C$4,N(U1400),IF(COUNTIFS(①今日の在庫を貼る!$B$6:$B$10005,$B1401,①今日の在庫を貼る!$I$6:$I$10005,$I1401)&gt;0,N(U1400),N(U1400)+1))</f>
        <v>2</v>
      </c>
    </row>
    <row r="1402" customFormat="false" ht="15" hidden="false" customHeight="false" outlineLevel="0" collapsed="false">
      <c r="B1402" s="53"/>
      <c r="I1402" s="53"/>
      <c r="U1402" s="31" t="n">
        <f aca="false">IF($B1402&lt;&gt;'設定（最初に1回）'!$C$4,N(U1401),IF(COUNTIFS(①今日の在庫を貼る!$B$6:$B$10005,$B1402,①今日の在庫を貼る!$I$6:$I$10005,$I1402)&gt;0,N(U1401),N(U1401)+1))</f>
        <v>2</v>
      </c>
    </row>
    <row r="1403" customFormat="false" ht="15" hidden="false" customHeight="false" outlineLevel="0" collapsed="false">
      <c r="B1403" s="53"/>
      <c r="I1403" s="53"/>
      <c r="U1403" s="31" t="n">
        <f aca="false">IF($B1403&lt;&gt;'設定（最初に1回）'!$C$4,N(U1402),IF(COUNTIFS(①今日の在庫を貼る!$B$6:$B$10005,$B1403,①今日の在庫を貼る!$I$6:$I$10005,$I1403)&gt;0,N(U1402),N(U1402)+1))</f>
        <v>2</v>
      </c>
    </row>
    <row r="1404" customFormat="false" ht="15" hidden="false" customHeight="false" outlineLevel="0" collapsed="false">
      <c r="B1404" s="53"/>
      <c r="I1404" s="53"/>
      <c r="U1404" s="31" t="n">
        <f aca="false">IF($B1404&lt;&gt;'設定（最初に1回）'!$C$4,N(U1403),IF(COUNTIFS(①今日の在庫を貼る!$B$6:$B$10005,$B1404,①今日の在庫を貼る!$I$6:$I$10005,$I1404)&gt;0,N(U1403),N(U1403)+1))</f>
        <v>2</v>
      </c>
    </row>
    <row r="1405" customFormat="false" ht="15" hidden="false" customHeight="false" outlineLevel="0" collapsed="false">
      <c r="B1405" s="53"/>
      <c r="I1405" s="53"/>
      <c r="U1405" s="31" t="n">
        <f aca="false">IF($B1405&lt;&gt;'設定（最初に1回）'!$C$4,N(U1404),IF(COUNTIFS(①今日の在庫を貼る!$B$6:$B$10005,$B1405,①今日の在庫を貼る!$I$6:$I$10005,$I1405)&gt;0,N(U1404),N(U1404)+1))</f>
        <v>2</v>
      </c>
    </row>
    <row r="1406" customFormat="false" ht="15" hidden="false" customHeight="false" outlineLevel="0" collapsed="false">
      <c r="B1406" s="53"/>
      <c r="I1406" s="53"/>
      <c r="U1406" s="31" t="n">
        <f aca="false">IF($B1406&lt;&gt;'設定（最初に1回）'!$C$4,N(U1405),IF(COUNTIFS(①今日の在庫を貼る!$B$6:$B$10005,$B1406,①今日の在庫を貼る!$I$6:$I$10005,$I1406)&gt;0,N(U1405),N(U1405)+1))</f>
        <v>2</v>
      </c>
    </row>
    <row r="1407" customFormat="false" ht="15" hidden="false" customHeight="false" outlineLevel="0" collapsed="false">
      <c r="B1407" s="53"/>
      <c r="I1407" s="53"/>
      <c r="U1407" s="31" t="n">
        <f aca="false">IF($B1407&lt;&gt;'設定（最初に1回）'!$C$4,N(U1406),IF(COUNTIFS(①今日の在庫を貼る!$B$6:$B$10005,$B1407,①今日の在庫を貼る!$I$6:$I$10005,$I1407)&gt;0,N(U1406),N(U1406)+1))</f>
        <v>2</v>
      </c>
    </row>
    <row r="1408" customFormat="false" ht="15" hidden="false" customHeight="false" outlineLevel="0" collapsed="false">
      <c r="B1408" s="53"/>
      <c r="I1408" s="53"/>
      <c r="U1408" s="31" t="n">
        <f aca="false">IF($B1408&lt;&gt;'設定（最初に1回）'!$C$4,N(U1407),IF(COUNTIFS(①今日の在庫を貼る!$B$6:$B$10005,$B1408,①今日の在庫を貼る!$I$6:$I$10005,$I1408)&gt;0,N(U1407),N(U1407)+1))</f>
        <v>2</v>
      </c>
    </row>
    <row r="1409" customFormat="false" ht="15" hidden="false" customHeight="false" outlineLevel="0" collapsed="false">
      <c r="B1409" s="53"/>
      <c r="I1409" s="53"/>
      <c r="U1409" s="31" t="n">
        <f aca="false">IF($B1409&lt;&gt;'設定（最初に1回）'!$C$4,N(U1408),IF(COUNTIFS(①今日の在庫を貼る!$B$6:$B$10005,$B1409,①今日の在庫を貼る!$I$6:$I$10005,$I1409)&gt;0,N(U1408),N(U1408)+1))</f>
        <v>2</v>
      </c>
    </row>
    <row r="1410" customFormat="false" ht="15" hidden="false" customHeight="false" outlineLevel="0" collapsed="false">
      <c r="B1410" s="53"/>
      <c r="I1410" s="53"/>
      <c r="U1410" s="31" t="n">
        <f aca="false">IF($B1410&lt;&gt;'設定（最初に1回）'!$C$4,N(U1409),IF(COUNTIFS(①今日の在庫を貼る!$B$6:$B$10005,$B1410,①今日の在庫を貼る!$I$6:$I$10005,$I1410)&gt;0,N(U1409),N(U1409)+1))</f>
        <v>2</v>
      </c>
    </row>
    <row r="1411" customFormat="false" ht="15" hidden="false" customHeight="false" outlineLevel="0" collapsed="false">
      <c r="B1411" s="53"/>
      <c r="I1411" s="53"/>
      <c r="U1411" s="31" t="n">
        <f aca="false">IF($B1411&lt;&gt;'設定（最初に1回）'!$C$4,N(U1410),IF(COUNTIFS(①今日の在庫を貼る!$B$6:$B$10005,$B1411,①今日の在庫を貼る!$I$6:$I$10005,$I1411)&gt;0,N(U1410),N(U1410)+1))</f>
        <v>2</v>
      </c>
    </row>
    <row r="1412" customFormat="false" ht="15" hidden="false" customHeight="false" outlineLevel="0" collapsed="false">
      <c r="B1412" s="53"/>
      <c r="I1412" s="53"/>
      <c r="U1412" s="31" t="n">
        <f aca="false">IF($B1412&lt;&gt;'設定（最初に1回）'!$C$4,N(U1411),IF(COUNTIFS(①今日の在庫を貼る!$B$6:$B$10005,$B1412,①今日の在庫を貼る!$I$6:$I$10005,$I1412)&gt;0,N(U1411),N(U1411)+1))</f>
        <v>2</v>
      </c>
    </row>
    <row r="1413" customFormat="false" ht="15" hidden="false" customHeight="false" outlineLevel="0" collapsed="false">
      <c r="B1413" s="53"/>
      <c r="I1413" s="53"/>
      <c r="U1413" s="31" t="n">
        <f aca="false">IF($B1413&lt;&gt;'設定（最初に1回）'!$C$4,N(U1412),IF(COUNTIFS(①今日の在庫を貼る!$B$6:$B$10005,$B1413,①今日の在庫を貼る!$I$6:$I$10005,$I1413)&gt;0,N(U1412),N(U1412)+1))</f>
        <v>2</v>
      </c>
    </row>
    <row r="1414" customFormat="false" ht="15" hidden="false" customHeight="false" outlineLevel="0" collapsed="false">
      <c r="B1414" s="53"/>
      <c r="I1414" s="53"/>
      <c r="U1414" s="31" t="n">
        <f aca="false">IF($B1414&lt;&gt;'設定（最初に1回）'!$C$4,N(U1413),IF(COUNTIFS(①今日の在庫を貼る!$B$6:$B$10005,$B1414,①今日の在庫を貼る!$I$6:$I$10005,$I1414)&gt;0,N(U1413),N(U1413)+1))</f>
        <v>2</v>
      </c>
    </row>
    <row r="1415" customFormat="false" ht="15" hidden="false" customHeight="false" outlineLevel="0" collapsed="false">
      <c r="B1415" s="53"/>
      <c r="I1415" s="53"/>
      <c r="U1415" s="31" t="n">
        <f aca="false">IF($B1415&lt;&gt;'設定（最初に1回）'!$C$4,N(U1414),IF(COUNTIFS(①今日の在庫を貼る!$B$6:$B$10005,$B1415,①今日の在庫を貼る!$I$6:$I$10005,$I1415)&gt;0,N(U1414),N(U1414)+1))</f>
        <v>2</v>
      </c>
    </row>
    <row r="1416" customFormat="false" ht="15" hidden="false" customHeight="false" outlineLevel="0" collapsed="false">
      <c r="B1416" s="53"/>
      <c r="I1416" s="53"/>
      <c r="U1416" s="31" t="n">
        <f aca="false">IF($B1416&lt;&gt;'設定（最初に1回）'!$C$4,N(U1415),IF(COUNTIFS(①今日の在庫を貼る!$B$6:$B$10005,$B1416,①今日の在庫を貼る!$I$6:$I$10005,$I1416)&gt;0,N(U1415),N(U1415)+1))</f>
        <v>2</v>
      </c>
    </row>
    <row r="1417" customFormat="false" ht="15" hidden="false" customHeight="false" outlineLevel="0" collapsed="false">
      <c r="B1417" s="53"/>
      <c r="I1417" s="53"/>
      <c r="U1417" s="31" t="n">
        <f aca="false">IF($B1417&lt;&gt;'設定（最初に1回）'!$C$4,N(U1416),IF(COUNTIFS(①今日の在庫を貼る!$B$6:$B$10005,$B1417,①今日の在庫を貼る!$I$6:$I$10005,$I1417)&gt;0,N(U1416),N(U1416)+1))</f>
        <v>2</v>
      </c>
    </row>
    <row r="1418" customFormat="false" ht="15" hidden="false" customHeight="false" outlineLevel="0" collapsed="false">
      <c r="B1418" s="53"/>
      <c r="I1418" s="53"/>
      <c r="U1418" s="31" t="n">
        <f aca="false">IF($B1418&lt;&gt;'設定（最初に1回）'!$C$4,N(U1417),IF(COUNTIFS(①今日の在庫を貼る!$B$6:$B$10005,$B1418,①今日の在庫を貼る!$I$6:$I$10005,$I1418)&gt;0,N(U1417),N(U1417)+1))</f>
        <v>2</v>
      </c>
    </row>
    <row r="1419" customFormat="false" ht="15" hidden="false" customHeight="false" outlineLevel="0" collapsed="false">
      <c r="B1419" s="53"/>
      <c r="I1419" s="53"/>
      <c r="U1419" s="31" t="n">
        <f aca="false">IF($B1419&lt;&gt;'設定（最初に1回）'!$C$4,N(U1418),IF(COUNTIFS(①今日の在庫を貼る!$B$6:$B$10005,$B1419,①今日の在庫を貼る!$I$6:$I$10005,$I1419)&gt;0,N(U1418),N(U1418)+1))</f>
        <v>2</v>
      </c>
    </row>
    <row r="1420" customFormat="false" ht="15" hidden="false" customHeight="false" outlineLevel="0" collapsed="false">
      <c r="B1420" s="53"/>
      <c r="I1420" s="53"/>
      <c r="U1420" s="31" t="n">
        <f aca="false">IF($B1420&lt;&gt;'設定（最初に1回）'!$C$4,N(U1419),IF(COUNTIFS(①今日の在庫を貼る!$B$6:$B$10005,$B1420,①今日の在庫を貼る!$I$6:$I$10005,$I1420)&gt;0,N(U1419),N(U1419)+1))</f>
        <v>2</v>
      </c>
    </row>
    <row r="1421" customFormat="false" ht="15" hidden="false" customHeight="false" outlineLevel="0" collapsed="false">
      <c r="B1421" s="53"/>
      <c r="I1421" s="53"/>
      <c r="U1421" s="31" t="n">
        <f aca="false">IF($B1421&lt;&gt;'設定（最初に1回）'!$C$4,N(U1420),IF(COUNTIFS(①今日の在庫を貼る!$B$6:$B$10005,$B1421,①今日の在庫を貼る!$I$6:$I$10005,$I1421)&gt;0,N(U1420),N(U1420)+1))</f>
        <v>2</v>
      </c>
    </row>
    <row r="1422" customFormat="false" ht="15" hidden="false" customHeight="false" outlineLevel="0" collapsed="false">
      <c r="B1422" s="53"/>
      <c r="I1422" s="53"/>
      <c r="U1422" s="31" t="n">
        <f aca="false">IF($B1422&lt;&gt;'設定（最初に1回）'!$C$4,N(U1421),IF(COUNTIFS(①今日の在庫を貼る!$B$6:$B$10005,$B1422,①今日の在庫を貼る!$I$6:$I$10005,$I1422)&gt;0,N(U1421),N(U1421)+1))</f>
        <v>2</v>
      </c>
    </row>
    <row r="1423" customFormat="false" ht="15" hidden="false" customHeight="false" outlineLevel="0" collapsed="false">
      <c r="B1423" s="53"/>
      <c r="I1423" s="53"/>
      <c r="U1423" s="31" t="n">
        <f aca="false">IF($B1423&lt;&gt;'設定（最初に1回）'!$C$4,N(U1422),IF(COUNTIFS(①今日の在庫を貼る!$B$6:$B$10005,$B1423,①今日の在庫を貼る!$I$6:$I$10005,$I1423)&gt;0,N(U1422),N(U1422)+1))</f>
        <v>2</v>
      </c>
    </row>
    <row r="1424" customFormat="false" ht="15" hidden="false" customHeight="false" outlineLevel="0" collapsed="false">
      <c r="B1424" s="53"/>
      <c r="I1424" s="53"/>
      <c r="U1424" s="31" t="n">
        <f aca="false">IF($B1424&lt;&gt;'設定（最初に1回）'!$C$4,N(U1423),IF(COUNTIFS(①今日の在庫を貼る!$B$6:$B$10005,$B1424,①今日の在庫を貼る!$I$6:$I$10005,$I1424)&gt;0,N(U1423),N(U1423)+1))</f>
        <v>2</v>
      </c>
    </row>
    <row r="1425" customFormat="false" ht="15" hidden="false" customHeight="false" outlineLevel="0" collapsed="false">
      <c r="B1425" s="53"/>
      <c r="I1425" s="53"/>
      <c r="U1425" s="31" t="n">
        <f aca="false">IF($B1425&lt;&gt;'設定（最初に1回）'!$C$4,N(U1424),IF(COUNTIFS(①今日の在庫を貼る!$B$6:$B$10005,$B1425,①今日の在庫を貼る!$I$6:$I$10005,$I1425)&gt;0,N(U1424),N(U1424)+1))</f>
        <v>2</v>
      </c>
    </row>
    <row r="1426" customFormat="false" ht="15" hidden="false" customHeight="false" outlineLevel="0" collapsed="false">
      <c r="B1426" s="53"/>
      <c r="I1426" s="53"/>
      <c r="U1426" s="31" t="n">
        <f aca="false">IF($B1426&lt;&gt;'設定（最初に1回）'!$C$4,N(U1425),IF(COUNTIFS(①今日の在庫を貼る!$B$6:$B$10005,$B1426,①今日の在庫を貼る!$I$6:$I$10005,$I1426)&gt;0,N(U1425),N(U1425)+1))</f>
        <v>2</v>
      </c>
    </row>
    <row r="1427" customFormat="false" ht="15" hidden="false" customHeight="false" outlineLevel="0" collapsed="false">
      <c r="B1427" s="53"/>
      <c r="I1427" s="53"/>
      <c r="U1427" s="31" t="n">
        <f aca="false">IF($B1427&lt;&gt;'設定（最初に1回）'!$C$4,N(U1426),IF(COUNTIFS(①今日の在庫を貼る!$B$6:$B$10005,$B1427,①今日の在庫を貼る!$I$6:$I$10005,$I1427)&gt;0,N(U1426),N(U1426)+1))</f>
        <v>2</v>
      </c>
    </row>
    <row r="1428" customFormat="false" ht="15" hidden="false" customHeight="false" outlineLevel="0" collapsed="false">
      <c r="B1428" s="53"/>
      <c r="I1428" s="53"/>
      <c r="U1428" s="31" t="n">
        <f aca="false">IF($B1428&lt;&gt;'設定（最初に1回）'!$C$4,N(U1427),IF(COUNTIFS(①今日の在庫を貼る!$B$6:$B$10005,$B1428,①今日の在庫を貼る!$I$6:$I$10005,$I1428)&gt;0,N(U1427),N(U1427)+1))</f>
        <v>2</v>
      </c>
    </row>
    <row r="1429" customFormat="false" ht="15" hidden="false" customHeight="false" outlineLevel="0" collapsed="false">
      <c r="B1429" s="53"/>
      <c r="I1429" s="53"/>
      <c r="U1429" s="31" t="n">
        <f aca="false">IF($B1429&lt;&gt;'設定（最初に1回）'!$C$4,N(U1428),IF(COUNTIFS(①今日の在庫を貼る!$B$6:$B$10005,$B1429,①今日の在庫を貼る!$I$6:$I$10005,$I1429)&gt;0,N(U1428),N(U1428)+1))</f>
        <v>2</v>
      </c>
    </row>
    <row r="1430" customFormat="false" ht="15" hidden="false" customHeight="false" outlineLevel="0" collapsed="false">
      <c r="B1430" s="53"/>
      <c r="I1430" s="53"/>
      <c r="U1430" s="31" t="n">
        <f aca="false">IF($B1430&lt;&gt;'設定（最初に1回）'!$C$4,N(U1429),IF(COUNTIFS(①今日の在庫を貼る!$B$6:$B$10005,$B1430,①今日の在庫を貼る!$I$6:$I$10005,$I1430)&gt;0,N(U1429),N(U1429)+1))</f>
        <v>2</v>
      </c>
    </row>
    <row r="1431" customFormat="false" ht="15" hidden="false" customHeight="false" outlineLevel="0" collapsed="false">
      <c r="B1431" s="53"/>
      <c r="I1431" s="53"/>
      <c r="U1431" s="31" t="n">
        <f aca="false">IF($B1431&lt;&gt;'設定（最初に1回）'!$C$4,N(U1430),IF(COUNTIFS(①今日の在庫を貼る!$B$6:$B$10005,$B1431,①今日の在庫を貼る!$I$6:$I$10005,$I1431)&gt;0,N(U1430),N(U1430)+1))</f>
        <v>2</v>
      </c>
    </row>
    <row r="1432" customFormat="false" ht="15" hidden="false" customHeight="false" outlineLevel="0" collapsed="false">
      <c r="B1432" s="53"/>
      <c r="I1432" s="53"/>
      <c r="U1432" s="31" t="n">
        <f aca="false">IF($B1432&lt;&gt;'設定（最初に1回）'!$C$4,N(U1431),IF(COUNTIFS(①今日の在庫を貼る!$B$6:$B$10005,$B1432,①今日の在庫を貼る!$I$6:$I$10005,$I1432)&gt;0,N(U1431),N(U1431)+1))</f>
        <v>2</v>
      </c>
    </row>
    <row r="1433" customFormat="false" ht="15" hidden="false" customHeight="false" outlineLevel="0" collapsed="false">
      <c r="B1433" s="53"/>
      <c r="I1433" s="53"/>
      <c r="U1433" s="31" t="n">
        <f aca="false">IF($B1433&lt;&gt;'設定（最初に1回）'!$C$4,N(U1432),IF(COUNTIFS(①今日の在庫を貼る!$B$6:$B$10005,$B1433,①今日の在庫を貼る!$I$6:$I$10005,$I1433)&gt;0,N(U1432),N(U1432)+1))</f>
        <v>2</v>
      </c>
    </row>
    <row r="1434" customFormat="false" ht="15" hidden="false" customHeight="false" outlineLevel="0" collapsed="false">
      <c r="B1434" s="53"/>
      <c r="I1434" s="53"/>
      <c r="U1434" s="31" t="n">
        <f aca="false">IF($B1434&lt;&gt;'設定（最初に1回）'!$C$4,N(U1433),IF(COUNTIFS(①今日の在庫を貼る!$B$6:$B$10005,$B1434,①今日の在庫を貼る!$I$6:$I$10005,$I1434)&gt;0,N(U1433),N(U1433)+1))</f>
        <v>2</v>
      </c>
    </row>
    <row r="1435" customFormat="false" ht="15" hidden="false" customHeight="false" outlineLevel="0" collapsed="false">
      <c r="B1435" s="53"/>
      <c r="I1435" s="53"/>
      <c r="U1435" s="31" t="n">
        <f aca="false">IF($B1435&lt;&gt;'設定（最初に1回）'!$C$4,N(U1434),IF(COUNTIFS(①今日の在庫を貼る!$B$6:$B$10005,$B1435,①今日の在庫を貼る!$I$6:$I$10005,$I1435)&gt;0,N(U1434),N(U1434)+1))</f>
        <v>2</v>
      </c>
    </row>
    <row r="1436" customFormat="false" ht="15" hidden="false" customHeight="false" outlineLevel="0" collapsed="false">
      <c r="B1436" s="53"/>
      <c r="I1436" s="53"/>
      <c r="U1436" s="31" t="n">
        <f aca="false">IF($B1436&lt;&gt;'設定（最初に1回）'!$C$4,N(U1435),IF(COUNTIFS(①今日の在庫を貼る!$B$6:$B$10005,$B1436,①今日の在庫を貼る!$I$6:$I$10005,$I1436)&gt;0,N(U1435),N(U1435)+1))</f>
        <v>2</v>
      </c>
    </row>
    <row r="1437" customFormat="false" ht="15" hidden="false" customHeight="false" outlineLevel="0" collapsed="false">
      <c r="B1437" s="53"/>
      <c r="I1437" s="53"/>
      <c r="U1437" s="31" t="n">
        <f aca="false">IF($B1437&lt;&gt;'設定（最初に1回）'!$C$4,N(U1436),IF(COUNTIFS(①今日の在庫を貼る!$B$6:$B$10005,$B1437,①今日の在庫を貼る!$I$6:$I$10005,$I1437)&gt;0,N(U1436),N(U1436)+1))</f>
        <v>2</v>
      </c>
    </row>
    <row r="1438" customFormat="false" ht="15" hidden="false" customHeight="false" outlineLevel="0" collapsed="false">
      <c r="B1438" s="53"/>
      <c r="I1438" s="53"/>
      <c r="U1438" s="31" t="n">
        <f aca="false">IF($B1438&lt;&gt;'設定（最初に1回）'!$C$4,N(U1437),IF(COUNTIFS(①今日の在庫を貼る!$B$6:$B$10005,$B1438,①今日の在庫を貼る!$I$6:$I$10005,$I1438)&gt;0,N(U1437),N(U1437)+1))</f>
        <v>2</v>
      </c>
    </row>
    <row r="1439" customFormat="false" ht="15" hidden="false" customHeight="false" outlineLevel="0" collapsed="false">
      <c r="B1439" s="53"/>
      <c r="I1439" s="53"/>
      <c r="U1439" s="31" t="n">
        <f aca="false">IF($B1439&lt;&gt;'設定（最初に1回）'!$C$4,N(U1438),IF(COUNTIFS(①今日の在庫を貼る!$B$6:$B$10005,$B1439,①今日の在庫を貼る!$I$6:$I$10005,$I1439)&gt;0,N(U1438),N(U1438)+1))</f>
        <v>2</v>
      </c>
    </row>
    <row r="1440" customFormat="false" ht="15" hidden="false" customHeight="false" outlineLevel="0" collapsed="false">
      <c r="B1440" s="53"/>
      <c r="I1440" s="53"/>
      <c r="U1440" s="31" t="n">
        <f aca="false">IF($B1440&lt;&gt;'設定（最初に1回）'!$C$4,N(U1439),IF(COUNTIFS(①今日の在庫を貼る!$B$6:$B$10005,$B1440,①今日の在庫を貼る!$I$6:$I$10005,$I1440)&gt;0,N(U1439),N(U1439)+1))</f>
        <v>2</v>
      </c>
    </row>
    <row r="1441" customFormat="false" ht="15" hidden="false" customHeight="false" outlineLevel="0" collapsed="false">
      <c r="B1441" s="53"/>
      <c r="I1441" s="53"/>
      <c r="U1441" s="31" t="n">
        <f aca="false">IF($B1441&lt;&gt;'設定（最初に1回）'!$C$4,N(U1440),IF(COUNTIFS(①今日の在庫を貼る!$B$6:$B$10005,$B1441,①今日の在庫を貼る!$I$6:$I$10005,$I1441)&gt;0,N(U1440),N(U1440)+1))</f>
        <v>2</v>
      </c>
    </row>
    <row r="1442" customFormat="false" ht="15" hidden="false" customHeight="false" outlineLevel="0" collapsed="false">
      <c r="B1442" s="53"/>
      <c r="I1442" s="53"/>
      <c r="U1442" s="31" t="n">
        <f aca="false">IF($B1442&lt;&gt;'設定（最初に1回）'!$C$4,N(U1441),IF(COUNTIFS(①今日の在庫を貼る!$B$6:$B$10005,$B1442,①今日の在庫を貼る!$I$6:$I$10005,$I1442)&gt;0,N(U1441),N(U1441)+1))</f>
        <v>2</v>
      </c>
    </row>
    <row r="1443" customFormat="false" ht="15" hidden="false" customHeight="false" outlineLevel="0" collapsed="false">
      <c r="B1443" s="53"/>
      <c r="I1443" s="53"/>
      <c r="U1443" s="31" t="n">
        <f aca="false">IF($B1443&lt;&gt;'設定（最初に1回）'!$C$4,N(U1442),IF(COUNTIFS(①今日の在庫を貼る!$B$6:$B$10005,$B1443,①今日の在庫を貼る!$I$6:$I$10005,$I1443)&gt;0,N(U1442),N(U1442)+1))</f>
        <v>2</v>
      </c>
    </row>
    <row r="1444" customFormat="false" ht="15" hidden="false" customHeight="false" outlineLevel="0" collapsed="false">
      <c r="B1444" s="53"/>
      <c r="I1444" s="53"/>
      <c r="U1444" s="31" t="n">
        <f aca="false">IF($B1444&lt;&gt;'設定（最初に1回）'!$C$4,N(U1443),IF(COUNTIFS(①今日の在庫を貼る!$B$6:$B$10005,$B1444,①今日の在庫を貼る!$I$6:$I$10005,$I1444)&gt;0,N(U1443),N(U1443)+1))</f>
        <v>2</v>
      </c>
    </row>
    <row r="1445" customFormat="false" ht="15" hidden="false" customHeight="false" outlineLevel="0" collapsed="false">
      <c r="B1445" s="53"/>
      <c r="I1445" s="53"/>
      <c r="U1445" s="31" t="n">
        <f aca="false">IF($B1445&lt;&gt;'設定（最初に1回）'!$C$4,N(U1444),IF(COUNTIFS(①今日の在庫を貼る!$B$6:$B$10005,$B1445,①今日の在庫を貼る!$I$6:$I$10005,$I1445)&gt;0,N(U1444),N(U1444)+1))</f>
        <v>2</v>
      </c>
    </row>
    <row r="1446" customFormat="false" ht="15" hidden="false" customHeight="false" outlineLevel="0" collapsed="false">
      <c r="B1446" s="53"/>
      <c r="I1446" s="53"/>
      <c r="U1446" s="31" t="n">
        <f aca="false">IF($B1446&lt;&gt;'設定（最初に1回）'!$C$4,N(U1445),IF(COUNTIFS(①今日の在庫を貼る!$B$6:$B$10005,$B1446,①今日の在庫を貼る!$I$6:$I$10005,$I1446)&gt;0,N(U1445),N(U1445)+1))</f>
        <v>2</v>
      </c>
    </row>
    <row r="1447" customFormat="false" ht="15" hidden="false" customHeight="false" outlineLevel="0" collapsed="false">
      <c r="B1447" s="53"/>
      <c r="I1447" s="53"/>
      <c r="U1447" s="31" t="n">
        <f aca="false">IF($B1447&lt;&gt;'設定（最初に1回）'!$C$4,N(U1446),IF(COUNTIFS(①今日の在庫を貼る!$B$6:$B$10005,$B1447,①今日の在庫を貼る!$I$6:$I$10005,$I1447)&gt;0,N(U1446),N(U1446)+1))</f>
        <v>2</v>
      </c>
    </row>
    <row r="1448" customFormat="false" ht="15" hidden="false" customHeight="false" outlineLevel="0" collapsed="false">
      <c r="B1448" s="53"/>
      <c r="I1448" s="53"/>
      <c r="U1448" s="31" t="n">
        <f aca="false">IF($B1448&lt;&gt;'設定（最初に1回）'!$C$4,N(U1447),IF(COUNTIFS(①今日の在庫を貼る!$B$6:$B$10005,$B1448,①今日の在庫を貼る!$I$6:$I$10005,$I1448)&gt;0,N(U1447),N(U1447)+1))</f>
        <v>2</v>
      </c>
    </row>
    <row r="1449" customFormat="false" ht="15" hidden="false" customHeight="false" outlineLevel="0" collapsed="false">
      <c r="B1449" s="53"/>
      <c r="I1449" s="53"/>
      <c r="U1449" s="31" t="n">
        <f aca="false">IF($B1449&lt;&gt;'設定（最初に1回）'!$C$4,N(U1448),IF(COUNTIFS(①今日の在庫を貼る!$B$6:$B$10005,$B1449,①今日の在庫を貼る!$I$6:$I$10005,$I1449)&gt;0,N(U1448),N(U1448)+1))</f>
        <v>2</v>
      </c>
    </row>
    <row r="1450" customFormat="false" ht="15" hidden="false" customHeight="false" outlineLevel="0" collapsed="false">
      <c r="B1450" s="53"/>
      <c r="I1450" s="53"/>
      <c r="U1450" s="31" t="n">
        <f aca="false">IF($B1450&lt;&gt;'設定（最初に1回）'!$C$4,N(U1449),IF(COUNTIFS(①今日の在庫を貼る!$B$6:$B$10005,$B1450,①今日の在庫を貼る!$I$6:$I$10005,$I1450)&gt;0,N(U1449),N(U1449)+1))</f>
        <v>2</v>
      </c>
    </row>
    <row r="1451" customFormat="false" ht="15" hidden="false" customHeight="false" outlineLevel="0" collapsed="false">
      <c r="B1451" s="53"/>
      <c r="I1451" s="53"/>
      <c r="U1451" s="31" t="n">
        <f aca="false">IF($B1451&lt;&gt;'設定（最初に1回）'!$C$4,N(U1450),IF(COUNTIFS(①今日の在庫を貼る!$B$6:$B$10005,$B1451,①今日の在庫を貼る!$I$6:$I$10005,$I1451)&gt;0,N(U1450),N(U1450)+1))</f>
        <v>2</v>
      </c>
    </row>
    <row r="1452" customFormat="false" ht="15" hidden="false" customHeight="false" outlineLevel="0" collapsed="false">
      <c r="B1452" s="53"/>
      <c r="I1452" s="53"/>
      <c r="U1452" s="31" t="n">
        <f aca="false">IF($B1452&lt;&gt;'設定（最初に1回）'!$C$4,N(U1451),IF(COUNTIFS(①今日の在庫を貼る!$B$6:$B$10005,$B1452,①今日の在庫を貼る!$I$6:$I$10005,$I1452)&gt;0,N(U1451),N(U1451)+1))</f>
        <v>2</v>
      </c>
    </row>
    <row r="1453" customFormat="false" ht="15" hidden="false" customHeight="false" outlineLevel="0" collapsed="false">
      <c r="B1453" s="53"/>
      <c r="I1453" s="53"/>
      <c r="U1453" s="31" t="n">
        <f aca="false">IF($B1453&lt;&gt;'設定（最初に1回）'!$C$4,N(U1452),IF(COUNTIFS(①今日の在庫を貼る!$B$6:$B$10005,$B1453,①今日の在庫を貼る!$I$6:$I$10005,$I1453)&gt;0,N(U1452),N(U1452)+1))</f>
        <v>2</v>
      </c>
    </row>
    <row r="1454" customFormat="false" ht="15" hidden="false" customHeight="false" outlineLevel="0" collapsed="false">
      <c r="B1454" s="53"/>
      <c r="I1454" s="53"/>
      <c r="U1454" s="31" t="n">
        <f aca="false">IF($B1454&lt;&gt;'設定（最初に1回）'!$C$4,N(U1453),IF(COUNTIFS(①今日の在庫を貼る!$B$6:$B$10005,$B1454,①今日の在庫を貼る!$I$6:$I$10005,$I1454)&gt;0,N(U1453),N(U1453)+1))</f>
        <v>2</v>
      </c>
    </row>
    <row r="1455" customFormat="false" ht="15" hidden="false" customHeight="false" outlineLevel="0" collapsed="false">
      <c r="B1455" s="53"/>
      <c r="I1455" s="53"/>
      <c r="U1455" s="31" t="n">
        <f aca="false">IF($B1455&lt;&gt;'設定（最初に1回）'!$C$4,N(U1454),IF(COUNTIFS(①今日の在庫を貼る!$B$6:$B$10005,$B1455,①今日の在庫を貼る!$I$6:$I$10005,$I1455)&gt;0,N(U1454),N(U1454)+1))</f>
        <v>2</v>
      </c>
    </row>
    <row r="1456" customFormat="false" ht="15" hidden="false" customHeight="false" outlineLevel="0" collapsed="false">
      <c r="B1456" s="53"/>
      <c r="I1456" s="53"/>
      <c r="U1456" s="31" t="n">
        <f aca="false">IF($B1456&lt;&gt;'設定（最初に1回）'!$C$4,N(U1455),IF(COUNTIFS(①今日の在庫を貼る!$B$6:$B$10005,$B1456,①今日の在庫を貼る!$I$6:$I$10005,$I1456)&gt;0,N(U1455),N(U1455)+1))</f>
        <v>2</v>
      </c>
    </row>
    <row r="1457" customFormat="false" ht="15" hidden="false" customHeight="false" outlineLevel="0" collapsed="false">
      <c r="B1457" s="53"/>
      <c r="I1457" s="53"/>
      <c r="U1457" s="31" t="n">
        <f aca="false">IF($B1457&lt;&gt;'設定（最初に1回）'!$C$4,N(U1456),IF(COUNTIFS(①今日の在庫を貼る!$B$6:$B$10005,$B1457,①今日の在庫を貼る!$I$6:$I$10005,$I1457)&gt;0,N(U1456),N(U1456)+1))</f>
        <v>2</v>
      </c>
    </row>
    <row r="1458" customFormat="false" ht="15" hidden="false" customHeight="false" outlineLevel="0" collapsed="false">
      <c r="B1458" s="53"/>
      <c r="I1458" s="53"/>
      <c r="U1458" s="31" t="n">
        <f aca="false">IF($B1458&lt;&gt;'設定（最初に1回）'!$C$4,N(U1457),IF(COUNTIFS(①今日の在庫を貼る!$B$6:$B$10005,$B1458,①今日の在庫を貼る!$I$6:$I$10005,$I1458)&gt;0,N(U1457),N(U1457)+1))</f>
        <v>2</v>
      </c>
    </row>
    <row r="1459" customFormat="false" ht="15" hidden="false" customHeight="false" outlineLevel="0" collapsed="false">
      <c r="B1459" s="53"/>
      <c r="I1459" s="53"/>
      <c r="U1459" s="31" t="n">
        <f aca="false">IF($B1459&lt;&gt;'設定（最初に1回）'!$C$4,N(U1458),IF(COUNTIFS(①今日の在庫を貼る!$B$6:$B$10005,$B1459,①今日の在庫を貼る!$I$6:$I$10005,$I1459)&gt;0,N(U1458),N(U1458)+1))</f>
        <v>2</v>
      </c>
    </row>
    <row r="1460" customFormat="false" ht="15" hidden="false" customHeight="false" outlineLevel="0" collapsed="false">
      <c r="B1460" s="53"/>
      <c r="I1460" s="53"/>
      <c r="U1460" s="31" t="n">
        <f aca="false">IF($B1460&lt;&gt;'設定（最初に1回）'!$C$4,N(U1459),IF(COUNTIFS(①今日の在庫を貼る!$B$6:$B$10005,$B1460,①今日の在庫を貼る!$I$6:$I$10005,$I1460)&gt;0,N(U1459),N(U1459)+1))</f>
        <v>2</v>
      </c>
    </row>
    <row r="1461" customFormat="false" ht="15" hidden="false" customHeight="false" outlineLevel="0" collapsed="false">
      <c r="B1461" s="53"/>
      <c r="I1461" s="53"/>
      <c r="U1461" s="31" t="n">
        <f aca="false">IF($B1461&lt;&gt;'設定（最初に1回）'!$C$4,N(U1460),IF(COUNTIFS(①今日の在庫を貼る!$B$6:$B$10005,$B1461,①今日の在庫を貼る!$I$6:$I$10005,$I1461)&gt;0,N(U1460),N(U1460)+1))</f>
        <v>2</v>
      </c>
    </row>
    <row r="1462" customFormat="false" ht="15" hidden="false" customHeight="false" outlineLevel="0" collapsed="false">
      <c r="B1462" s="53"/>
      <c r="I1462" s="53"/>
      <c r="U1462" s="31" t="n">
        <f aca="false">IF($B1462&lt;&gt;'設定（最初に1回）'!$C$4,N(U1461),IF(COUNTIFS(①今日の在庫を貼る!$B$6:$B$10005,$B1462,①今日の在庫を貼る!$I$6:$I$10005,$I1462)&gt;0,N(U1461),N(U1461)+1))</f>
        <v>2</v>
      </c>
    </row>
    <row r="1463" customFormat="false" ht="15" hidden="false" customHeight="false" outlineLevel="0" collapsed="false">
      <c r="B1463" s="53"/>
      <c r="I1463" s="53"/>
      <c r="U1463" s="31" t="n">
        <f aca="false">IF($B1463&lt;&gt;'設定（最初に1回）'!$C$4,N(U1462),IF(COUNTIFS(①今日の在庫を貼る!$B$6:$B$10005,$B1463,①今日の在庫を貼る!$I$6:$I$10005,$I1463)&gt;0,N(U1462),N(U1462)+1))</f>
        <v>2</v>
      </c>
    </row>
    <row r="1464" customFormat="false" ht="15" hidden="false" customHeight="false" outlineLevel="0" collapsed="false">
      <c r="B1464" s="53"/>
      <c r="I1464" s="53"/>
      <c r="U1464" s="31" t="n">
        <f aca="false">IF($B1464&lt;&gt;'設定（最初に1回）'!$C$4,N(U1463),IF(COUNTIFS(①今日の在庫を貼る!$B$6:$B$10005,$B1464,①今日の在庫を貼る!$I$6:$I$10005,$I1464)&gt;0,N(U1463),N(U1463)+1))</f>
        <v>2</v>
      </c>
    </row>
    <row r="1465" customFormat="false" ht="15" hidden="false" customHeight="false" outlineLevel="0" collapsed="false">
      <c r="B1465" s="53"/>
      <c r="I1465" s="53"/>
      <c r="U1465" s="31" t="n">
        <f aca="false">IF($B1465&lt;&gt;'設定（最初に1回）'!$C$4,N(U1464),IF(COUNTIFS(①今日の在庫を貼る!$B$6:$B$10005,$B1465,①今日の在庫を貼る!$I$6:$I$10005,$I1465)&gt;0,N(U1464),N(U1464)+1))</f>
        <v>2</v>
      </c>
    </row>
    <row r="1466" customFormat="false" ht="15" hidden="false" customHeight="false" outlineLevel="0" collapsed="false">
      <c r="B1466" s="53"/>
      <c r="I1466" s="53"/>
      <c r="U1466" s="31" t="n">
        <f aca="false">IF($B1466&lt;&gt;'設定（最初に1回）'!$C$4,N(U1465),IF(COUNTIFS(①今日の在庫を貼る!$B$6:$B$10005,$B1466,①今日の在庫を貼る!$I$6:$I$10005,$I1466)&gt;0,N(U1465),N(U1465)+1))</f>
        <v>2</v>
      </c>
    </row>
    <row r="1467" customFormat="false" ht="15" hidden="false" customHeight="false" outlineLevel="0" collapsed="false">
      <c r="B1467" s="53"/>
      <c r="I1467" s="53"/>
      <c r="U1467" s="31" t="n">
        <f aca="false">IF($B1467&lt;&gt;'設定（最初に1回）'!$C$4,N(U1466),IF(COUNTIFS(①今日の在庫を貼る!$B$6:$B$10005,$B1467,①今日の在庫を貼る!$I$6:$I$10005,$I1467)&gt;0,N(U1466),N(U1466)+1))</f>
        <v>2</v>
      </c>
    </row>
    <row r="1468" customFormat="false" ht="15" hidden="false" customHeight="false" outlineLevel="0" collapsed="false">
      <c r="B1468" s="53"/>
      <c r="I1468" s="53"/>
      <c r="U1468" s="31" t="n">
        <f aca="false">IF($B1468&lt;&gt;'設定（最初に1回）'!$C$4,N(U1467),IF(COUNTIFS(①今日の在庫を貼る!$B$6:$B$10005,$B1468,①今日の在庫を貼る!$I$6:$I$10005,$I1468)&gt;0,N(U1467),N(U1467)+1))</f>
        <v>2</v>
      </c>
    </row>
    <row r="1469" customFormat="false" ht="15" hidden="false" customHeight="false" outlineLevel="0" collapsed="false">
      <c r="B1469" s="53"/>
      <c r="I1469" s="53"/>
      <c r="U1469" s="31" t="n">
        <f aca="false">IF($B1469&lt;&gt;'設定（最初に1回）'!$C$4,N(U1468),IF(COUNTIFS(①今日の在庫を貼る!$B$6:$B$10005,$B1469,①今日の在庫を貼る!$I$6:$I$10005,$I1469)&gt;0,N(U1468),N(U1468)+1))</f>
        <v>2</v>
      </c>
    </row>
    <row r="1470" customFormat="false" ht="15" hidden="false" customHeight="false" outlineLevel="0" collapsed="false">
      <c r="B1470" s="53"/>
      <c r="I1470" s="53"/>
      <c r="U1470" s="31" t="n">
        <f aca="false">IF($B1470&lt;&gt;'設定（最初に1回）'!$C$4,N(U1469),IF(COUNTIFS(①今日の在庫を貼る!$B$6:$B$10005,$B1470,①今日の在庫を貼る!$I$6:$I$10005,$I1470)&gt;0,N(U1469),N(U1469)+1))</f>
        <v>2</v>
      </c>
    </row>
    <row r="1471" customFormat="false" ht="15" hidden="false" customHeight="false" outlineLevel="0" collapsed="false">
      <c r="B1471" s="53"/>
      <c r="I1471" s="53"/>
      <c r="U1471" s="31" t="n">
        <f aca="false">IF($B1471&lt;&gt;'設定（最初に1回）'!$C$4,N(U1470),IF(COUNTIFS(①今日の在庫を貼る!$B$6:$B$10005,$B1471,①今日の在庫を貼る!$I$6:$I$10005,$I1471)&gt;0,N(U1470),N(U1470)+1))</f>
        <v>2</v>
      </c>
    </row>
    <row r="1472" customFormat="false" ht="15" hidden="false" customHeight="false" outlineLevel="0" collapsed="false">
      <c r="B1472" s="53"/>
      <c r="I1472" s="53"/>
      <c r="U1472" s="31" t="n">
        <f aca="false">IF($B1472&lt;&gt;'設定（最初に1回）'!$C$4,N(U1471),IF(COUNTIFS(①今日の在庫を貼る!$B$6:$B$10005,$B1472,①今日の在庫を貼る!$I$6:$I$10005,$I1472)&gt;0,N(U1471),N(U1471)+1))</f>
        <v>2</v>
      </c>
    </row>
    <row r="1473" customFormat="false" ht="15" hidden="false" customHeight="false" outlineLevel="0" collapsed="false">
      <c r="B1473" s="53"/>
      <c r="I1473" s="53"/>
      <c r="U1473" s="31" t="n">
        <f aca="false">IF($B1473&lt;&gt;'設定（最初に1回）'!$C$4,N(U1472),IF(COUNTIFS(①今日の在庫を貼る!$B$6:$B$10005,$B1473,①今日の在庫を貼る!$I$6:$I$10005,$I1473)&gt;0,N(U1472),N(U1472)+1))</f>
        <v>2</v>
      </c>
    </row>
    <row r="1474" customFormat="false" ht="15" hidden="false" customHeight="false" outlineLevel="0" collapsed="false">
      <c r="B1474" s="53"/>
      <c r="I1474" s="53"/>
      <c r="U1474" s="31" t="n">
        <f aca="false">IF($B1474&lt;&gt;'設定（最初に1回）'!$C$4,N(U1473),IF(COUNTIFS(①今日の在庫を貼る!$B$6:$B$10005,$B1474,①今日の在庫を貼る!$I$6:$I$10005,$I1474)&gt;0,N(U1473),N(U1473)+1))</f>
        <v>2</v>
      </c>
    </row>
    <row r="1475" customFormat="false" ht="15" hidden="false" customHeight="false" outlineLevel="0" collapsed="false">
      <c r="B1475" s="53"/>
      <c r="I1475" s="53"/>
      <c r="U1475" s="31" t="n">
        <f aca="false">IF($B1475&lt;&gt;'設定（最初に1回）'!$C$4,N(U1474),IF(COUNTIFS(①今日の在庫を貼る!$B$6:$B$10005,$B1475,①今日の在庫を貼る!$I$6:$I$10005,$I1475)&gt;0,N(U1474),N(U1474)+1))</f>
        <v>2</v>
      </c>
    </row>
    <row r="1476" customFormat="false" ht="15" hidden="false" customHeight="false" outlineLevel="0" collapsed="false">
      <c r="B1476" s="53"/>
      <c r="I1476" s="53"/>
      <c r="U1476" s="31" t="n">
        <f aca="false">IF($B1476&lt;&gt;'設定（最初に1回）'!$C$4,N(U1475),IF(COUNTIFS(①今日の在庫を貼る!$B$6:$B$10005,$B1476,①今日の在庫を貼る!$I$6:$I$10005,$I1476)&gt;0,N(U1475),N(U1475)+1))</f>
        <v>2</v>
      </c>
    </row>
    <row r="1477" customFormat="false" ht="15" hidden="false" customHeight="false" outlineLevel="0" collapsed="false">
      <c r="B1477" s="53"/>
      <c r="I1477" s="53"/>
      <c r="U1477" s="31" t="n">
        <f aca="false">IF($B1477&lt;&gt;'設定（最初に1回）'!$C$4,N(U1476),IF(COUNTIFS(①今日の在庫を貼る!$B$6:$B$10005,$B1477,①今日の在庫を貼る!$I$6:$I$10005,$I1477)&gt;0,N(U1476),N(U1476)+1))</f>
        <v>2</v>
      </c>
    </row>
    <row r="1478" customFormat="false" ht="15" hidden="false" customHeight="false" outlineLevel="0" collapsed="false">
      <c r="B1478" s="53"/>
      <c r="I1478" s="53"/>
      <c r="U1478" s="31" t="n">
        <f aca="false">IF($B1478&lt;&gt;'設定（最初に1回）'!$C$4,N(U1477),IF(COUNTIFS(①今日の在庫を貼る!$B$6:$B$10005,$B1478,①今日の在庫を貼る!$I$6:$I$10005,$I1478)&gt;0,N(U1477),N(U1477)+1))</f>
        <v>2</v>
      </c>
    </row>
    <row r="1479" customFormat="false" ht="15" hidden="false" customHeight="false" outlineLevel="0" collapsed="false">
      <c r="B1479" s="53"/>
      <c r="I1479" s="53"/>
      <c r="U1479" s="31" t="n">
        <f aca="false">IF($B1479&lt;&gt;'設定（最初に1回）'!$C$4,N(U1478),IF(COUNTIFS(①今日の在庫を貼る!$B$6:$B$10005,$B1479,①今日の在庫を貼る!$I$6:$I$10005,$I1479)&gt;0,N(U1478),N(U1478)+1))</f>
        <v>2</v>
      </c>
    </row>
    <row r="1480" customFormat="false" ht="15" hidden="false" customHeight="false" outlineLevel="0" collapsed="false">
      <c r="B1480" s="53"/>
      <c r="I1480" s="53"/>
      <c r="U1480" s="31" t="n">
        <f aca="false">IF($B1480&lt;&gt;'設定（最初に1回）'!$C$4,N(U1479),IF(COUNTIFS(①今日の在庫を貼る!$B$6:$B$10005,$B1480,①今日の在庫を貼る!$I$6:$I$10005,$I1480)&gt;0,N(U1479),N(U1479)+1))</f>
        <v>2</v>
      </c>
    </row>
    <row r="1481" customFormat="false" ht="15" hidden="false" customHeight="false" outlineLevel="0" collapsed="false">
      <c r="B1481" s="53"/>
      <c r="I1481" s="53"/>
      <c r="U1481" s="31" t="n">
        <f aca="false">IF($B1481&lt;&gt;'設定（最初に1回）'!$C$4,N(U1480),IF(COUNTIFS(①今日の在庫を貼る!$B$6:$B$10005,$B1481,①今日の在庫を貼る!$I$6:$I$10005,$I1481)&gt;0,N(U1480),N(U1480)+1))</f>
        <v>2</v>
      </c>
    </row>
    <row r="1482" customFormat="false" ht="15" hidden="false" customHeight="false" outlineLevel="0" collapsed="false">
      <c r="B1482" s="53"/>
      <c r="I1482" s="53"/>
      <c r="U1482" s="31" t="n">
        <f aca="false">IF($B1482&lt;&gt;'設定（最初に1回）'!$C$4,N(U1481),IF(COUNTIFS(①今日の在庫を貼る!$B$6:$B$10005,$B1482,①今日の在庫を貼る!$I$6:$I$10005,$I1482)&gt;0,N(U1481),N(U1481)+1))</f>
        <v>2</v>
      </c>
    </row>
    <row r="1483" customFormat="false" ht="15" hidden="false" customHeight="false" outlineLevel="0" collapsed="false">
      <c r="B1483" s="53"/>
      <c r="I1483" s="53"/>
      <c r="U1483" s="31" t="n">
        <f aca="false">IF($B1483&lt;&gt;'設定（最初に1回）'!$C$4,N(U1482),IF(COUNTIFS(①今日の在庫を貼る!$B$6:$B$10005,$B1483,①今日の在庫を貼る!$I$6:$I$10005,$I1483)&gt;0,N(U1482),N(U1482)+1))</f>
        <v>2</v>
      </c>
    </row>
    <row r="1484" customFormat="false" ht="15" hidden="false" customHeight="false" outlineLevel="0" collapsed="false">
      <c r="B1484" s="53"/>
      <c r="I1484" s="53"/>
      <c r="U1484" s="31" t="n">
        <f aca="false">IF($B1484&lt;&gt;'設定（最初に1回）'!$C$4,N(U1483),IF(COUNTIFS(①今日の在庫を貼る!$B$6:$B$10005,$B1484,①今日の在庫を貼る!$I$6:$I$10005,$I1484)&gt;0,N(U1483),N(U1483)+1))</f>
        <v>2</v>
      </c>
    </row>
    <row r="1485" customFormat="false" ht="15" hidden="false" customHeight="false" outlineLevel="0" collapsed="false">
      <c r="B1485" s="53"/>
      <c r="I1485" s="53"/>
      <c r="U1485" s="31" t="n">
        <f aca="false">IF($B1485&lt;&gt;'設定（最初に1回）'!$C$4,N(U1484),IF(COUNTIFS(①今日の在庫を貼る!$B$6:$B$10005,$B1485,①今日の在庫を貼る!$I$6:$I$10005,$I1485)&gt;0,N(U1484),N(U1484)+1))</f>
        <v>2</v>
      </c>
    </row>
    <row r="1486" customFormat="false" ht="15" hidden="false" customHeight="false" outlineLevel="0" collapsed="false">
      <c r="B1486" s="53"/>
      <c r="I1486" s="53"/>
      <c r="U1486" s="31" t="n">
        <f aca="false">IF($B1486&lt;&gt;'設定（最初に1回）'!$C$4,N(U1485),IF(COUNTIFS(①今日の在庫を貼る!$B$6:$B$10005,$B1486,①今日の在庫を貼る!$I$6:$I$10005,$I1486)&gt;0,N(U1485),N(U1485)+1))</f>
        <v>2</v>
      </c>
    </row>
    <row r="1487" customFormat="false" ht="15" hidden="false" customHeight="false" outlineLevel="0" collapsed="false">
      <c r="B1487" s="53"/>
      <c r="I1487" s="53"/>
      <c r="U1487" s="31" t="n">
        <f aca="false">IF($B1487&lt;&gt;'設定（最初に1回）'!$C$4,N(U1486),IF(COUNTIFS(①今日の在庫を貼る!$B$6:$B$10005,$B1487,①今日の在庫を貼る!$I$6:$I$10005,$I1487)&gt;0,N(U1486),N(U1486)+1))</f>
        <v>2</v>
      </c>
    </row>
    <row r="1488" customFormat="false" ht="15" hidden="false" customHeight="false" outlineLevel="0" collapsed="false">
      <c r="B1488" s="53"/>
      <c r="I1488" s="53"/>
      <c r="U1488" s="31" t="n">
        <f aca="false">IF($B1488&lt;&gt;'設定（最初に1回）'!$C$4,N(U1487),IF(COUNTIFS(①今日の在庫を貼る!$B$6:$B$10005,$B1488,①今日の在庫を貼る!$I$6:$I$10005,$I1488)&gt;0,N(U1487),N(U1487)+1))</f>
        <v>2</v>
      </c>
    </row>
    <row r="1489" customFormat="false" ht="15" hidden="false" customHeight="false" outlineLevel="0" collapsed="false">
      <c r="B1489" s="53"/>
      <c r="I1489" s="53"/>
      <c r="U1489" s="31" t="n">
        <f aca="false">IF($B1489&lt;&gt;'設定（最初に1回）'!$C$4,N(U1488),IF(COUNTIFS(①今日の在庫を貼る!$B$6:$B$10005,$B1489,①今日の在庫を貼る!$I$6:$I$10005,$I1489)&gt;0,N(U1488),N(U1488)+1))</f>
        <v>2</v>
      </c>
    </row>
    <row r="1490" customFormat="false" ht="15" hidden="false" customHeight="false" outlineLevel="0" collapsed="false">
      <c r="B1490" s="53"/>
      <c r="I1490" s="53"/>
      <c r="U1490" s="31" t="n">
        <f aca="false">IF($B1490&lt;&gt;'設定（最初に1回）'!$C$4,N(U1489),IF(COUNTIFS(①今日の在庫を貼る!$B$6:$B$10005,$B1490,①今日の在庫を貼る!$I$6:$I$10005,$I1490)&gt;0,N(U1489),N(U1489)+1))</f>
        <v>2</v>
      </c>
    </row>
    <row r="1491" customFormat="false" ht="15" hidden="false" customHeight="false" outlineLevel="0" collapsed="false">
      <c r="B1491" s="53"/>
      <c r="I1491" s="53"/>
      <c r="U1491" s="31" t="n">
        <f aca="false">IF($B1491&lt;&gt;'設定（最初に1回）'!$C$4,N(U1490),IF(COUNTIFS(①今日の在庫を貼る!$B$6:$B$10005,$B1491,①今日の在庫を貼る!$I$6:$I$10005,$I1491)&gt;0,N(U1490),N(U1490)+1))</f>
        <v>2</v>
      </c>
    </row>
    <row r="1492" customFormat="false" ht="15" hidden="false" customHeight="false" outlineLevel="0" collapsed="false">
      <c r="B1492" s="53"/>
      <c r="I1492" s="53"/>
      <c r="U1492" s="31" t="n">
        <f aca="false">IF($B1492&lt;&gt;'設定（最初に1回）'!$C$4,N(U1491),IF(COUNTIFS(①今日の在庫を貼る!$B$6:$B$10005,$B1492,①今日の在庫を貼る!$I$6:$I$10005,$I1492)&gt;0,N(U1491),N(U1491)+1))</f>
        <v>2</v>
      </c>
    </row>
    <row r="1493" customFormat="false" ht="15" hidden="false" customHeight="false" outlineLevel="0" collapsed="false">
      <c r="B1493" s="53"/>
      <c r="I1493" s="53"/>
      <c r="U1493" s="31" t="n">
        <f aca="false">IF($B1493&lt;&gt;'設定（最初に1回）'!$C$4,N(U1492),IF(COUNTIFS(①今日の在庫を貼る!$B$6:$B$10005,$B1493,①今日の在庫を貼る!$I$6:$I$10005,$I1493)&gt;0,N(U1492),N(U1492)+1))</f>
        <v>2</v>
      </c>
    </row>
    <row r="1494" customFormat="false" ht="15" hidden="false" customHeight="false" outlineLevel="0" collapsed="false">
      <c r="B1494" s="53"/>
      <c r="I1494" s="53"/>
      <c r="U1494" s="31" t="n">
        <f aca="false">IF($B1494&lt;&gt;'設定（最初に1回）'!$C$4,N(U1493),IF(COUNTIFS(①今日の在庫を貼る!$B$6:$B$10005,$B1494,①今日の在庫を貼る!$I$6:$I$10005,$I1494)&gt;0,N(U1493),N(U1493)+1))</f>
        <v>2</v>
      </c>
    </row>
    <row r="1495" customFormat="false" ht="15" hidden="false" customHeight="false" outlineLevel="0" collapsed="false">
      <c r="B1495" s="53"/>
      <c r="I1495" s="53"/>
      <c r="U1495" s="31" t="n">
        <f aca="false">IF($B1495&lt;&gt;'設定（最初に1回）'!$C$4,N(U1494),IF(COUNTIFS(①今日の在庫を貼る!$B$6:$B$10005,$B1495,①今日の在庫を貼る!$I$6:$I$10005,$I1495)&gt;0,N(U1494),N(U1494)+1))</f>
        <v>2</v>
      </c>
    </row>
    <row r="1496" customFormat="false" ht="15" hidden="false" customHeight="false" outlineLevel="0" collapsed="false">
      <c r="B1496" s="53"/>
      <c r="I1496" s="53"/>
      <c r="U1496" s="31" t="n">
        <f aca="false">IF($B1496&lt;&gt;'設定（最初に1回）'!$C$4,N(U1495),IF(COUNTIFS(①今日の在庫を貼る!$B$6:$B$10005,$B1496,①今日の在庫を貼る!$I$6:$I$10005,$I1496)&gt;0,N(U1495),N(U1495)+1))</f>
        <v>2</v>
      </c>
    </row>
    <row r="1497" customFormat="false" ht="15" hidden="false" customHeight="false" outlineLevel="0" collapsed="false">
      <c r="B1497" s="53"/>
      <c r="I1497" s="53"/>
      <c r="U1497" s="31" t="n">
        <f aca="false">IF($B1497&lt;&gt;'設定（最初に1回）'!$C$4,N(U1496),IF(COUNTIFS(①今日の在庫を貼る!$B$6:$B$10005,$B1497,①今日の在庫を貼る!$I$6:$I$10005,$I1497)&gt;0,N(U1496),N(U1496)+1))</f>
        <v>2</v>
      </c>
    </row>
    <row r="1498" customFormat="false" ht="15" hidden="false" customHeight="false" outlineLevel="0" collapsed="false">
      <c r="B1498" s="53"/>
      <c r="I1498" s="53"/>
      <c r="U1498" s="31" t="n">
        <f aca="false">IF($B1498&lt;&gt;'設定（最初に1回）'!$C$4,N(U1497),IF(COUNTIFS(①今日の在庫を貼る!$B$6:$B$10005,$B1498,①今日の在庫を貼る!$I$6:$I$10005,$I1498)&gt;0,N(U1497),N(U1497)+1))</f>
        <v>2</v>
      </c>
    </row>
    <row r="1499" customFormat="false" ht="15" hidden="false" customHeight="false" outlineLevel="0" collapsed="false">
      <c r="B1499" s="53"/>
      <c r="I1499" s="53"/>
      <c r="U1499" s="31" t="n">
        <f aca="false">IF($B1499&lt;&gt;'設定（最初に1回）'!$C$4,N(U1498),IF(COUNTIFS(①今日の在庫を貼る!$B$6:$B$10005,$B1499,①今日の在庫を貼る!$I$6:$I$10005,$I1499)&gt;0,N(U1498),N(U1498)+1))</f>
        <v>2</v>
      </c>
    </row>
    <row r="1500" customFormat="false" ht="15" hidden="false" customHeight="false" outlineLevel="0" collapsed="false">
      <c r="B1500" s="53"/>
      <c r="I1500" s="53"/>
      <c r="U1500" s="31" t="n">
        <f aca="false">IF($B1500&lt;&gt;'設定（最初に1回）'!$C$4,N(U1499),IF(COUNTIFS(①今日の在庫を貼る!$B$6:$B$10005,$B1500,①今日の在庫を貼る!$I$6:$I$10005,$I1500)&gt;0,N(U1499),N(U1499)+1))</f>
        <v>2</v>
      </c>
    </row>
    <row r="1501" customFormat="false" ht="15" hidden="false" customHeight="false" outlineLevel="0" collapsed="false">
      <c r="B1501" s="53"/>
      <c r="I1501" s="53"/>
      <c r="U1501" s="31" t="n">
        <f aca="false">IF($B1501&lt;&gt;'設定（最初に1回）'!$C$4,N(U1500),IF(COUNTIFS(①今日の在庫を貼る!$B$6:$B$10005,$B1501,①今日の在庫を貼る!$I$6:$I$10005,$I1501)&gt;0,N(U1500),N(U1500)+1))</f>
        <v>2</v>
      </c>
    </row>
    <row r="1502" customFormat="false" ht="15" hidden="false" customHeight="false" outlineLevel="0" collapsed="false">
      <c r="B1502" s="53"/>
      <c r="I1502" s="53"/>
      <c r="U1502" s="31" t="n">
        <f aca="false">IF($B1502&lt;&gt;'設定（最初に1回）'!$C$4,N(U1501),IF(COUNTIFS(①今日の在庫を貼る!$B$6:$B$10005,$B1502,①今日の在庫を貼る!$I$6:$I$10005,$I1502)&gt;0,N(U1501),N(U1501)+1))</f>
        <v>2</v>
      </c>
    </row>
    <row r="1503" customFormat="false" ht="15" hidden="false" customHeight="false" outlineLevel="0" collapsed="false">
      <c r="B1503" s="53"/>
      <c r="I1503" s="53"/>
      <c r="U1503" s="31" t="n">
        <f aca="false">IF($B1503&lt;&gt;'設定（最初に1回）'!$C$4,N(U1502),IF(COUNTIFS(①今日の在庫を貼る!$B$6:$B$10005,$B1503,①今日の在庫を貼る!$I$6:$I$10005,$I1503)&gt;0,N(U1502),N(U1502)+1))</f>
        <v>2</v>
      </c>
    </row>
    <row r="1504" customFormat="false" ht="15" hidden="false" customHeight="false" outlineLevel="0" collapsed="false">
      <c r="B1504" s="53"/>
      <c r="I1504" s="53"/>
      <c r="U1504" s="31" t="n">
        <f aca="false">IF($B1504&lt;&gt;'設定（最初に1回）'!$C$4,N(U1503),IF(COUNTIFS(①今日の在庫を貼る!$B$6:$B$10005,$B1504,①今日の在庫を貼る!$I$6:$I$10005,$I1504)&gt;0,N(U1503),N(U1503)+1))</f>
        <v>2</v>
      </c>
    </row>
    <row r="1505" customFormat="false" ht="15" hidden="false" customHeight="false" outlineLevel="0" collapsed="false">
      <c r="B1505" s="53"/>
      <c r="I1505" s="53"/>
      <c r="U1505" s="31" t="n">
        <f aca="false">IF($B1505&lt;&gt;'設定（最初に1回）'!$C$4,N(U1504),IF(COUNTIFS(①今日の在庫を貼る!$B$6:$B$10005,$B1505,①今日の在庫を貼る!$I$6:$I$10005,$I1505)&gt;0,N(U1504),N(U1504)+1))</f>
        <v>2</v>
      </c>
    </row>
    <row r="1506" customFormat="false" ht="15" hidden="false" customHeight="false" outlineLevel="0" collapsed="false">
      <c r="B1506" s="53"/>
      <c r="I1506" s="53"/>
      <c r="U1506" s="31" t="n">
        <f aca="false">IF($B1506&lt;&gt;'設定（最初に1回）'!$C$4,N(U1505),IF(COUNTIFS(①今日の在庫を貼る!$B$6:$B$10005,$B1506,①今日の在庫を貼る!$I$6:$I$10005,$I1506)&gt;0,N(U1505),N(U1505)+1))</f>
        <v>2</v>
      </c>
    </row>
    <row r="1507" customFormat="false" ht="15" hidden="false" customHeight="false" outlineLevel="0" collapsed="false">
      <c r="B1507" s="53"/>
      <c r="I1507" s="53"/>
      <c r="U1507" s="31" t="n">
        <f aca="false">IF($B1507&lt;&gt;'設定（最初に1回）'!$C$4,N(U1506),IF(COUNTIFS(①今日の在庫を貼る!$B$6:$B$10005,$B1507,①今日の在庫を貼る!$I$6:$I$10005,$I1507)&gt;0,N(U1506),N(U1506)+1))</f>
        <v>2</v>
      </c>
    </row>
    <row r="1508" customFormat="false" ht="15" hidden="false" customHeight="false" outlineLevel="0" collapsed="false">
      <c r="B1508" s="53"/>
      <c r="I1508" s="53"/>
      <c r="U1508" s="31" t="n">
        <f aca="false">IF($B1508&lt;&gt;'設定（最初に1回）'!$C$4,N(U1507),IF(COUNTIFS(①今日の在庫を貼る!$B$6:$B$10005,$B1508,①今日の在庫を貼る!$I$6:$I$10005,$I1508)&gt;0,N(U1507),N(U1507)+1))</f>
        <v>2</v>
      </c>
    </row>
    <row r="1509" customFormat="false" ht="15" hidden="false" customHeight="false" outlineLevel="0" collapsed="false">
      <c r="B1509" s="53"/>
      <c r="I1509" s="53"/>
      <c r="U1509" s="31" t="n">
        <f aca="false">IF($B1509&lt;&gt;'設定（最初に1回）'!$C$4,N(U1508),IF(COUNTIFS(①今日の在庫を貼る!$B$6:$B$10005,$B1509,①今日の在庫を貼る!$I$6:$I$10005,$I1509)&gt;0,N(U1508),N(U1508)+1))</f>
        <v>2</v>
      </c>
    </row>
    <row r="1510" customFormat="false" ht="15" hidden="false" customHeight="false" outlineLevel="0" collapsed="false">
      <c r="B1510" s="53"/>
      <c r="I1510" s="53"/>
      <c r="U1510" s="31" t="n">
        <f aca="false">IF($B1510&lt;&gt;'設定（最初に1回）'!$C$4,N(U1509),IF(COUNTIFS(①今日の在庫を貼る!$B$6:$B$10005,$B1510,①今日の在庫を貼る!$I$6:$I$10005,$I1510)&gt;0,N(U1509),N(U1509)+1))</f>
        <v>2</v>
      </c>
    </row>
    <row r="1511" customFormat="false" ht="15" hidden="false" customHeight="false" outlineLevel="0" collapsed="false">
      <c r="B1511" s="53"/>
      <c r="I1511" s="53"/>
      <c r="U1511" s="31" t="n">
        <f aca="false">IF($B1511&lt;&gt;'設定（最初に1回）'!$C$4,N(U1510),IF(COUNTIFS(①今日の在庫を貼る!$B$6:$B$10005,$B1511,①今日の在庫を貼る!$I$6:$I$10005,$I1511)&gt;0,N(U1510),N(U1510)+1))</f>
        <v>2</v>
      </c>
    </row>
    <row r="1512" customFormat="false" ht="15" hidden="false" customHeight="false" outlineLevel="0" collapsed="false">
      <c r="B1512" s="53"/>
      <c r="I1512" s="53"/>
      <c r="U1512" s="31" t="n">
        <f aca="false">IF($B1512&lt;&gt;'設定（最初に1回）'!$C$4,N(U1511),IF(COUNTIFS(①今日の在庫を貼る!$B$6:$B$10005,$B1512,①今日の在庫を貼る!$I$6:$I$10005,$I1512)&gt;0,N(U1511),N(U1511)+1))</f>
        <v>2</v>
      </c>
    </row>
    <row r="1513" customFormat="false" ht="15" hidden="false" customHeight="false" outlineLevel="0" collapsed="false">
      <c r="B1513" s="53"/>
      <c r="I1513" s="53"/>
      <c r="U1513" s="31" t="n">
        <f aca="false">IF($B1513&lt;&gt;'設定（最初に1回）'!$C$4,N(U1512),IF(COUNTIFS(①今日の在庫を貼る!$B$6:$B$10005,$B1513,①今日の在庫を貼る!$I$6:$I$10005,$I1513)&gt;0,N(U1512),N(U1512)+1))</f>
        <v>2</v>
      </c>
    </row>
    <row r="1514" customFormat="false" ht="15" hidden="false" customHeight="false" outlineLevel="0" collapsed="false">
      <c r="B1514" s="53"/>
      <c r="I1514" s="53"/>
      <c r="U1514" s="31" t="n">
        <f aca="false">IF($B1514&lt;&gt;'設定（最初に1回）'!$C$4,N(U1513),IF(COUNTIFS(①今日の在庫を貼る!$B$6:$B$10005,$B1514,①今日の在庫を貼る!$I$6:$I$10005,$I1514)&gt;0,N(U1513),N(U1513)+1))</f>
        <v>2</v>
      </c>
    </row>
    <row r="1515" customFormat="false" ht="15" hidden="false" customHeight="false" outlineLevel="0" collapsed="false">
      <c r="B1515" s="53"/>
      <c r="I1515" s="53"/>
      <c r="U1515" s="31" t="n">
        <f aca="false">IF($B1515&lt;&gt;'設定（最初に1回）'!$C$4,N(U1514),IF(COUNTIFS(①今日の在庫を貼る!$B$6:$B$10005,$B1515,①今日の在庫を貼る!$I$6:$I$10005,$I1515)&gt;0,N(U1514),N(U1514)+1))</f>
        <v>2</v>
      </c>
    </row>
    <row r="1516" customFormat="false" ht="15" hidden="false" customHeight="false" outlineLevel="0" collapsed="false">
      <c r="B1516" s="53"/>
      <c r="I1516" s="53"/>
      <c r="U1516" s="31" t="n">
        <f aca="false">IF($B1516&lt;&gt;'設定（最初に1回）'!$C$4,N(U1515),IF(COUNTIFS(①今日の在庫を貼る!$B$6:$B$10005,$B1516,①今日の在庫を貼る!$I$6:$I$10005,$I1516)&gt;0,N(U1515),N(U1515)+1))</f>
        <v>2</v>
      </c>
    </row>
    <row r="1517" customFormat="false" ht="15" hidden="false" customHeight="false" outlineLevel="0" collapsed="false">
      <c r="B1517" s="53"/>
      <c r="I1517" s="53"/>
      <c r="U1517" s="31" t="n">
        <f aca="false">IF($B1517&lt;&gt;'設定（最初に1回）'!$C$4,N(U1516),IF(COUNTIFS(①今日の在庫を貼る!$B$6:$B$10005,$B1517,①今日の在庫を貼る!$I$6:$I$10005,$I1517)&gt;0,N(U1516),N(U1516)+1))</f>
        <v>2</v>
      </c>
    </row>
    <row r="1518" customFormat="false" ht="15" hidden="false" customHeight="false" outlineLevel="0" collapsed="false">
      <c r="B1518" s="53"/>
      <c r="I1518" s="53"/>
      <c r="U1518" s="31" t="n">
        <f aca="false">IF($B1518&lt;&gt;'設定（最初に1回）'!$C$4,N(U1517),IF(COUNTIFS(①今日の在庫を貼る!$B$6:$B$10005,$B1518,①今日の在庫を貼る!$I$6:$I$10005,$I1518)&gt;0,N(U1517),N(U1517)+1))</f>
        <v>2</v>
      </c>
    </row>
    <row r="1519" customFormat="false" ht="15" hidden="false" customHeight="false" outlineLevel="0" collapsed="false">
      <c r="B1519" s="53"/>
      <c r="I1519" s="53"/>
      <c r="U1519" s="31" t="n">
        <f aca="false">IF($B1519&lt;&gt;'設定（最初に1回）'!$C$4,N(U1518),IF(COUNTIFS(①今日の在庫を貼る!$B$6:$B$10005,$B1519,①今日の在庫を貼る!$I$6:$I$10005,$I1519)&gt;0,N(U1518),N(U1518)+1))</f>
        <v>2</v>
      </c>
    </row>
    <row r="1520" customFormat="false" ht="15" hidden="false" customHeight="false" outlineLevel="0" collapsed="false">
      <c r="B1520" s="53"/>
      <c r="I1520" s="53"/>
      <c r="U1520" s="31" t="n">
        <f aca="false">IF($B1520&lt;&gt;'設定（最初に1回）'!$C$4,N(U1519),IF(COUNTIFS(①今日の在庫を貼る!$B$6:$B$10005,$B1520,①今日の在庫を貼る!$I$6:$I$10005,$I1520)&gt;0,N(U1519),N(U1519)+1))</f>
        <v>2</v>
      </c>
    </row>
    <row r="1521" customFormat="false" ht="15" hidden="false" customHeight="false" outlineLevel="0" collapsed="false">
      <c r="B1521" s="53"/>
      <c r="I1521" s="53"/>
      <c r="U1521" s="31" t="n">
        <f aca="false">IF($B1521&lt;&gt;'設定（最初に1回）'!$C$4,N(U1520),IF(COUNTIFS(①今日の在庫を貼る!$B$6:$B$10005,$B1521,①今日の在庫を貼る!$I$6:$I$10005,$I1521)&gt;0,N(U1520),N(U1520)+1))</f>
        <v>2</v>
      </c>
    </row>
    <row r="1522" customFormat="false" ht="15" hidden="false" customHeight="false" outlineLevel="0" collapsed="false">
      <c r="B1522" s="53"/>
      <c r="I1522" s="53"/>
      <c r="U1522" s="31" t="n">
        <f aca="false">IF($B1522&lt;&gt;'設定（最初に1回）'!$C$4,N(U1521),IF(COUNTIFS(①今日の在庫を貼る!$B$6:$B$10005,$B1522,①今日の在庫を貼る!$I$6:$I$10005,$I1522)&gt;0,N(U1521),N(U1521)+1))</f>
        <v>2</v>
      </c>
    </row>
    <row r="1523" customFormat="false" ht="15" hidden="false" customHeight="false" outlineLevel="0" collapsed="false">
      <c r="B1523" s="53"/>
      <c r="I1523" s="53"/>
      <c r="U1523" s="31" t="n">
        <f aca="false">IF($B1523&lt;&gt;'設定（最初に1回）'!$C$4,N(U1522),IF(COUNTIFS(①今日の在庫を貼る!$B$6:$B$10005,$B1523,①今日の在庫を貼る!$I$6:$I$10005,$I1523)&gt;0,N(U1522),N(U1522)+1))</f>
        <v>2</v>
      </c>
    </row>
    <row r="1524" customFormat="false" ht="15" hidden="false" customHeight="false" outlineLevel="0" collapsed="false">
      <c r="B1524" s="53"/>
      <c r="I1524" s="53"/>
      <c r="U1524" s="31" t="n">
        <f aca="false">IF($B1524&lt;&gt;'設定（最初に1回）'!$C$4,N(U1523),IF(COUNTIFS(①今日の在庫を貼る!$B$6:$B$10005,$B1524,①今日の在庫を貼る!$I$6:$I$10005,$I1524)&gt;0,N(U1523),N(U1523)+1))</f>
        <v>2</v>
      </c>
    </row>
    <row r="1525" customFormat="false" ht="15" hidden="false" customHeight="false" outlineLevel="0" collapsed="false">
      <c r="B1525" s="53"/>
      <c r="I1525" s="53"/>
      <c r="U1525" s="31" t="n">
        <f aca="false">IF($B1525&lt;&gt;'設定（最初に1回）'!$C$4,N(U1524),IF(COUNTIFS(①今日の在庫を貼る!$B$6:$B$10005,$B1525,①今日の在庫を貼る!$I$6:$I$10005,$I1525)&gt;0,N(U1524),N(U1524)+1))</f>
        <v>2</v>
      </c>
    </row>
    <row r="1526" customFormat="false" ht="15" hidden="false" customHeight="false" outlineLevel="0" collapsed="false">
      <c r="B1526" s="53"/>
      <c r="I1526" s="53"/>
      <c r="U1526" s="31" t="n">
        <f aca="false">IF($B1526&lt;&gt;'設定（最初に1回）'!$C$4,N(U1525),IF(COUNTIFS(①今日の在庫を貼る!$B$6:$B$10005,$B1526,①今日の在庫を貼る!$I$6:$I$10005,$I1526)&gt;0,N(U1525),N(U1525)+1))</f>
        <v>2</v>
      </c>
    </row>
    <row r="1527" customFormat="false" ht="15" hidden="false" customHeight="false" outlineLevel="0" collapsed="false">
      <c r="B1527" s="53"/>
      <c r="I1527" s="53"/>
      <c r="U1527" s="31" t="n">
        <f aca="false">IF($B1527&lt;&gt;'設定（最初に1回）'!$C$4,N(U1526),IF(COUNTIFS(①今日の在庫を貼る!$B$6:$B$10005,$B1527,①今日の在庫を貼る!$I$6:$I$10005,$I1527)&gt;0,N(U1526),N(U1526)+1))</f>
        <v>2</v>
      </c>
    </row>
    <row r="1528" customFormat="false" ht="15" hidden="false" customHeight="false" outlineLevel="0" collapsed="false">
      <c r="B1528" s="53"/>
      <c r="I1528" s="53"/>
      <c r="U1528" s="31" t="n">
        <f aca="false">IF($B1528&lt;&gt;'設定（最初に1回）'!$C$4,N(U1527),IF(COUNTIFS(①今日の在庫を貼る!$B$6:$B$10005,$B1528,①今日の在庫を貼る!$I$6:$I$10005,$I1528)&gt;0,N(U1527),N(U1527)+1))</f>
        <v>2</v>
      </c>
    </row>
    <row r="1529" customFormat="false" ht="15" hidden="false" customHeight="false" outlineLevel="0" collapsed="false">
      <c r="B1529" s="53"/>
      <c r="I1529" s="53"/>
      <c r="U1529" s="31" t="n">
        <f aca="false">IF($B1529&lt;&gt;'設定（最初に1回）'!$C$4,N(U1528),IF(COUNTIFS(①今日の在庫を貼る!$B$6:$B$10005,$B1529,①今日の在庫を貼る!$I$6:$I$10005,$I1529)&gt;0,N(U1528),N(U1528)+1))</f>
        <v>2</v>
      </c>
    </row>
    <row r="1530" customFormat="false" ht="15" hidden="false" customHeight="false" outlineLevel="0" collapsed="false">
      <c r="B1530" s="53"/>
      <c r="I1530" s="53"/>
      <c r="U1530" s="31" t="n">
        <f aca="false">IF($B1530&lt;&gt;'設定（最初に1回）'!$C$4,N(U1529),IF(COUNTIFS(①今日の在庫を貼る!$B$6:$B$10005,$B1530,①今日の在庫を貼る!$I$6:$I$10005,$I1530)&gt;0,N(U1529),N(U1529)+1))</f>
        <v>2</v>
      </c>
    </row>
    <row r="1531" customFormat="false" ht="15" hidden="false" customHeight="false" outlineLevel="0" collapsed="false">
      <c r="B1531" s="53"/>
      <c r="I1531" s="53"/>
      <c r="U1531" s="31" t="n">
        <f aca="false">IF($B1531&lt;&gt;'設定（最初に1回）'!$C$4,N(U1530),IF(COUNTIFS(①今日の在庫を貼る!$B$6:$B$10005,$B1531,①今日の在庫を貼る!$I$6:$I$10005,$I1531)&gt;0,N(U1530),N(U1530)+1))</f>
        <v>2</v>
      </c>
    </row>
    <row r="1532" customFormat="false" ht="15" hidden="false" customHeight="false" outlineLevel="0" collapsed="false">
      <c r="B1532" s="53"/>
      <c r="I1532" s="53"/>
      <c r="U1532" s="31" t="n">
        <f aca="false">IF($B1532&lt;&gt;'設定（最初に1回）'!$C$4,N(U1531),IF(COUNTIFS(①今日の在庫を貼る!$B$6:$B$10005,$B1532,①今日の在庫を貼る!$I$6:$I$10005,$I1532)&gt;0,N(U1531),N(U1531)+1))</f>
        <v>2</v>
      </c>
    </row>
    <row r="1533" customFormat="false" ht="15" hidden="false" customHeight="false" outlineLevel="0" collapsed="false">
      <c r="B1533" s="53"/>
      <c r="I1533" s="53"/>
      <c r="U1533" s="31" t="n">
        <f aca="false">IF($B1533&lt;&gt;'設定（最初に1回）'!$C$4,N(U1532),IF(COUNTIFS(①今日の在庫を貼る!$B$6:$B$10005,$B1533,①今日の在庫を貼る!$I$6:$I$10005,$I1533)&gt;0,N(U1532),N(U1532)+1))</f>
        <v>2</v>
      </c>
    </row>
    <row r="1534" customFormat="false" ht="15" hidden="false" customHeight="false" outlineLevel="0" collapsed="false">
      <c r="B1534" s="53"/>
      <c r="I1534" s="53"/>
      <c r="U1534" s="31" t="n">
        <f aca="false">IF($B1534&lt;&gt;'設定（最初に1回）'!$C$4,N(U1533),IF(COUNTIFS(①今日の在庫を貼る!$B$6:$B$10005,$B1534,①今日の在庫を貼る!$I$6:$I$10005,$I1534)&gt;0,N(U1533),N(U1533)+1))</f>
        <v>2</v>
      </c>
    </row>
    <row r="1535" customFormat="false" ht="15" hidden="false" customHeight="false" outlineLevel="0" collapsed="false">
      <c r="B1535" s="53"/>
      <c r="I1535" s="53"/>
      <c r="U1535" s="31" t="n">
        <f aca="false">IF($B1535&lt;&gt;'設定（最初に1回）'!$C$4,N(U1534),IF(COUNTIFS(①今日の在庫を貼る!$B$6:$B$10005,$B1535,①今日の在庫を貼る!$I$6:$I$10005,$I1535)&gt;0,N(U1534),N(U1534)+1))</f>
        <v>2</v>
      </c>
    </row>
    <row r="1536" customFormat="false" ht="15" hidden="false" customHeight="false" outlineLevel="0" collapsed="false">
      <c r="B1536" s="53"/>
      <c r="I1536" s="53"/>
      <c r="U1536" s="31" t="n">
        <f aca="false">IF($B1536&lt;&gt;'設定（最初に1回）'!$C$4,N(U1535),IF(COUNTIFS(①今日の在庫を貼る!$B$6:$B$10005,$B1536,①今日の在庫を貼る!$I$6:$I$10005,$I1536)&gt;0,N(U1535),N(U1535)+1))</f>
        <v>2</v>
      </c>
    </row>
    <row r="1537" customFormat="false" ht="15" hidden="false" customHeight="false" outlineLevel="0" collapsed="false">
      <c r="B1537" s="53"/>
      <c r="I1537" s="53"/>
      <c r="U1537" s="31" t="n">
        <f aca="false">IF($B1537&lt;&gt;'設定（最初に1回）'!$C$4,N(U1536),IF(COUNTIFS(①今日の在庫を貼る!$B$6:$B$10005,$B1537,①今日の在庫を貼る!$I$6:$I$10005,$I1537)&gt;0,N(U1536),N(U1536)+1))</f>
        <v>2</v>
      </c>
    </row>
    <row r="1538" customFormat="false" ht="15" hidden="false" customHeight="false" outlineLevel="0" collapsed="false">
      <c r="B1538" s="53"/>
      <c r="I1538" s="53"/>
      <c r="U1538" s="31" t="n">
        <f aca="false">IF($B1538&lt;&gt;'設定（最初に1回）'!$C$4,N(U1537),IF(COUNTIFS(①今日の在庫を貼る!$B$6:$B$10005,$B1538,①今日の在庫を貼る!$I$6:$I$10005,$I1538)&gt;0,N(U1537),N(U1537)+1))</f>
        <v>2</v>
      </c>
    </row>
    <row r="1539" customFormat="false" ht="15" hidden="false" customHeight="false" outlineLevel="0" collapsed="false">
      <c r="B1539" s="53"/>
      <c r="I1539" s="53"/>
      <c r="U1539" s="31" t="n">
        <f aca="false">IF($B1539&lt;&gt;'設定（最初に1回）'!$C$4,N(U1538),IF(COUNTIFS(①今日の在庫を貼る!$B$6:$B$10005,$B1539,①今日の在庫を貼る!$I$6:$I$10005,$I1539)&gt;0,N(U1538),N(U1538)+1))</f>
        <v>2</v>
      </c>
    </row>
    <row r="1540" customFormat="false" ht="15" hidden="false" customHeight="false" outlineLevel="0" collapsed="false">
      <c r="B1540" s="53"/>
      <c r="I1540" s="53"/>
      <c r="U1540" s="31" t="n">
        <f aca="false">IF($B1540&lt;&gt;'設定（最初に1回）'!$C$4,N(U1539),IF(COUNTIFS(①今日の在庫を貼る!$B$6:$B$10005,$B1540,①今日の在庫を貼る!$I$6:$I$10005,$I1540)&gt;0,N(U1539),N(U1539)+1))</f>
        <v>2</v>
      </c>
    </row>
    <row r="1541" customFormat="false" ht="15" hidden="false" customHeight="false" outlineLevel="0" collapsed="false">
      <c r="B1541" s="53"/>
      <c r="I1541" s="53"/>
      <c r="U1541" s="31" t="n">
        <f aca="false">IF($B1541&lt;&gt;'設定（最初に1回）'!$C$4,N(U1540),IF(COUNTIFS(①今日の在庫を貼る!$B$6:$B$10005,$B1541,①今日の在庫を貼る!$I$6:$I$10005,$I1541)&gt;0,N(U1540),N(U1540)+1))</f>
        <v>2</v>
      </c>
    </row>
    <row r="1542" customFormat="false" ht="15" hidden="false" customHeight="false" outlineLevel="0" collapsed="false">
      <c r="B1542" s="53"/>
      <c r="I1542" s="53"/>
      <c r="U1542" s="31" t="n">
        <f aca="false">IF($B1542&lt;&gt;'設定（最初に1回）'!$C$4,N(U1541),IF(COUNTIFS(①今日の在庫を貼る!$B$6:$B$10005,$B1542,①今日の在庫を貼る!$I$6:$I$10005,$I1542)&gt;0,N(U1541),N(U1541)+1))</f>
        <v>2</v>
      </c>
    </row>
    <row r="1543" customFormat="false" ht="15" hidden="false" customHeight="false" outlineLevel="0" collapsed="false">
      <c r="B1543" s="53"/>
      <c r="I1543" s="53"/>
      <c r="U1543" s="31" t="n">
        <f aca="false">IF($B1543&lt;&gt;'設定（最初に1回）'!$C$4,N(U1542),IF(COUNTIFS(①今日の在庫を貼る!$B$6:$B$10005,$B1543,①今日の在庫を貼る!$I$6:$I$10005,$I1543)&gt;0,N(U1542),N(U1542)+1))</f>
        <v>2</v>
      </c>
    </row>
    <row r="1544" customFormat="false" ht="15" hidden="false" customHeight="false" outlineLevel="0" collapsed="false">
      <c r="B1544" s="53"/>
      <c r="I1544" s="53"/>
      <c r="U1544" s="31" t="n">
        <f aca="false">IF($B1544&lt;&gt;'設定（最初に1回）'!$C$4,N(U1543),IF(COUNTIFS(①今日の在庫を貼る!$B$6:$B$10005,$B1544,①今日の在庫を貼る!$I$6:$I$10005,$I1544)&gt;0,N(U1543),N(U1543)+1))</f>
        <v>2</v>
      </c>
    </row>
    <row r="1545" customFormat="false" ht="15" hidden="false" customHeight="false" outlineLevel="0" collapsed="false">
      <c r="B1545" s="53"/>
      <c r="I1545" s="53"/>
      <c r="U1545" s="31" t="n">
        <f aca="false">IF($B1545&lt;&gt;'設定（最初に1回）'!$C$4,N(U1544),IF(COUNTIFS(①今日の在庫を貼る!$B$6:$B$10005,$B1545,①今日の在庫を貼る!$I$6:$I$10005,$I1545)&gt;0,N(U1544),N(U1544)+1))</f>
        <v>2</v>
      </c>
    </row>
    <row r="1546" customFormat="false" ht="15" hidden="false" customHeight="false" outlineLevel="0" collapsed="false">
      <c r="B1546" s="53"/>
      <c r="I1546" s="53"/>
      <c r="U1546" s="31" t="n">
        <f aca="false">IF($B1546&lt;&gt;'設定（最初に1回）'!$C$4,N(U1545),IF(COUNTIFS(①今日の在庫を貼る!$B$6:$B$10005,$B1546,①今日の在庫を貼る!$I$6:$I$10005,$I1546)&gt;0,N(U1545),N(U1545)+1))</f>
        <v>2</v>
      </c>
    </row>
    <row r="1547" customFormat="false" ht="15" hidden="false" customHeight="false" outlineLevel="0" collapsed="false">
      <c r="B1547" s="53"/>
      <c r="I1547" s="53"/>
      <c r="U1547" s="31" t="n">
        <f aca="false">IF($B1547&lt;&gt;'設定（最初に1回）'!$C$4,N(U1546),IF(COUNTIFS(①今日の在庫を貼る!$B$6:$B$10005,$B1547,①今日の在庫を貼る!$I$6:$I$10005,$I1547)&gt;0,N(U1546),N(U1546)+1))</f>
        <v>2</v>
      </c>
    </row>
    <row r="1548" customFormat="false" ht="15" hidden="false" customHeight="false" outlineLevel="0" collapsed="false">
      <c r="B1548" s="53"/>
      <c r="I1548" s="53"/>
      <c r="U1548" s="31" t="n">
        <f aca="false">IF($B1548&lt;&gt;'設定（最初に1回）'!$C$4,N(U1547),IF(COUNTIFS(①今日の在庫を貼る!$B$6:$B$10005,$B1548,①今日の在庫を貼る!$I$6:$I$10005,$I1548)&gt;0,N(U1547),N(U1547)+1))</f>
        <v>2</v>
      </c>
    </row>
    <row r="1549" customFormat="false" ht="15" hidden="false" customHeight="false" outlineLevel="0" collapsed="false">
      <c r="B1549" s="53"/>
      <c r="I1549" s="53"/>
      <c r="U1549" s="31" t="n">
        <f aca="false">IF($B1549&lt;&gt;'設定（最初に1回）'!$C$4,N(U1548),IF(COUNTIFS(①今日の在庫を貼る!$B$6:$B$10005,$B1549,①今日の在庫を貼る!$I$6:$I$10005,$I1549)&gt;0,N(U1548),N(U1548)+1))</f>
        <v>2</v>
      </c>
    </row>
    <row r="1550" customFormat="false" ht="15" hidden="false" customHeight="false" outlineLevel="0" collapsed="false">
      <c r="B1550" s="53"/>
      <c r="I1550" s="53"/>
      <c r="U1550" s="31" t="n">
        <f aca="false">IF($B1550&lt;&gt;'設定（最初に1回）'!$C$4,N(U1549),IF(COUNTIFS(①今日の在庫を貼る!$B$6:$B$10005,$B1550,①今日の在庫を貼る!$I$6:$I$10005,$I1550)&gt;0,N(U1549),N(U1549)+1))</f>
        <v>2</v>
      </c>
    </row>
    <row r="1551" customFormat="false" ht="15" hidden="false" customHeight="false" outlineLevel="0" collapsed="false">
      <c r="B1551" s="53"/>
      <c r="I1551" s="53"/>
      <c r="U1551" s="31" t="n">
        <f aca="false">IF($B1551&lt;&gt;'設定（最初に1回）'!$C$4,N(U1550),IF(COUNTIFS(①今日の在庫を貼る!$B$6:$B$10005,$B1551,①今日の在庫を貼る!$I$6:$I$10005,$I1551)&gt;0,N(U1550),N(U1550)+1))</f>
        <v>2</v>
      </c>
    </row>
    <row r="1552" customFormat="false" ht="15" hidden="false" customHeight="false" outlineLevel="0" collapsed="false">
      <c r="B1552" s="53"/>
      <c r="I1552" s="53"/>
      <c r="U1552" s="31" t="n">
        <f aca="false">IF($B1552&lt;&gt;'設定（最初に1回）'!$C$4,N(U1551),IF(COUNTIFS(①今日の在庫を貼る!$B$6:$B$10005,$B1552,①今日の在庫を貼る!$I$6:$I$10005,$I1552)&gt;0,N(U1551),N(U1551)+1))</f>
        <v>2</v>
      </c>
    </row>
    <row r="1553" customFormat="false" ht="15" hidden="false" customHeight="false" outlineLevel="0" collapsed="false">
      <c r="B1553" s="53"/>
      <c r="I1553" s="53"/>
      <c r="U1553" s="31" t="n">
        <f aca="false">IF($B1553&lt;&gt;'設定（最初に1回）'!$C$4,N(U1552),IF(COUNTIFS(①今日の在庫を貼る!$B$6:$B$10005,$B1553,①今日の在庫を貼る!$I$6:$I$10005,$I1553)&gt;0,N(U1552),N(U1552)+1))</f>
        <v>2</v>
      </c>
    </row>
    <row r="1554" customFormat="false" ht="15" hidden="false" customHeight="false" outlineLevel="0" collapsed="false">
      <c r="B1554" s="53"/>
      <c r="I1554" s="53"/>
      <c r="U1554" s="31" t="n">
        <f aca="false">IF($B1554&lt;&gt;'設定（最初に1回）'!$C$4,N(U1553),IF(COUNTIFS(①今日の在庫を貼る!$B$6:$B$10005,$B1554,①今日の在庫を貼る!$I$6:$I$10005,$I1554)&gt;0,N(U1553),N(U1553)+1))</f>
        <v>2</v>
      </c>
    </row>
    <row r="1555" customFormat="false" ht="15" hidden="false" customHeight="false" outlineLevel="0" collapsed="false">
      <c r="B1555" s="53"/>
      <c r="I1555" s="53"/>
      <c r="U1555" s="31" t="n">
        <f aca="false">IF($B1555&lt;&gt;'設定（最初に1回）'!$C$4,N(U1554),IF(COUNTIFS(①今日の在庫を貼る!$B$6:$B$10005,$B1555,①今日の在庫を貼る!$I$6:$I$10005,$I1555)&gt;0,N(U1554),N(U1554)+1))</f>
        <v>2</v>
      </c>
    </row>
    <row r="1556" customFormat="false" ht="15" hidden="false" customHeight="false" outlineLevel="0" collapsed="false">
      <c r="B1556" s="53"/>
      <c r="I1556" s="53"/>
      <c r="U1556" s="31" t="n">
        <f aca="false">IF($B1556&lt;&gt;'設定（最初に1回）'!$C$4,N(U1555),IF(COUNTIFS(①今日の在庫を貼る!$B$6:$B$10005,$B1556,①今日の在庫を貼る!$I$6:$I$10005,$I1556)&gt;0,N(U1555),N(U1555)+1))</f>
        <v>2</v>
      </c>
    </row>
    <row r="1557" customFormat="false" ht="15" hidden="false" customHeight="false" outlineLevel="0" collapsed="false">
      <c r="B1557" s="53"/>
      <c r="I1557" s="53"/>
      <c r="U1557" s="31" t="n">
        <f aca="false">IF($B1557&lt;&gt;'設定（最初に1回）'!$C$4,N(U1556),IF(COUNTIFS(①今日の在庫を貼る!$B$6:$B$10005,$B1557,①今日の在庫を貼る!$I$6:$I$10005,$I1557)&gt;0,N(U1556),N(U1556)+1))</f>
        <v>2</v>
      </c>
    </row>
    <row r="1558" customFormat="false" ht="15" hidden="false" customHeight="false" outlineLevel="0" collapsed="false">
      <c r="B1558" s="53"/>
      <c r="I1558" s="53"/>
      <c r="U1558" s="31" t="n">
        <f aca="false">IF($B1558&lt;&gt;'設定（最初に1回）'!$C$4,N(U1557),IF(COUNTIFS(①今日の在庫を貼る!$B$6:$B$10005,$B1558,①今日の在庫を貼る!$I$6:$I$10005,$I1558)&gt;0,N(U1557),N(U1557)+1))</f>
        <v>2</v>
      </c>
    </row>
    <row r="1559" customFormat="false" ht="15" hidden="false" customHeight="false" outlineLevel="0" collapsed="false">
      <c r="B1559" s="53"/>
      <c r="I1559" s="53"/>
      <c r="U1559" s="31" t="n">
        <f aca="false">IF($B1559&lt;&gt;'設定（最初に1回）'!$C$4,N(U1558),IF(COUNTIFS(①今日の在庫を貼る!$B$6:$B$10005,$B1559,①今日の在庫を貼る!$I$6:$I$10005,$I1559)&gt;0,N(U1558),N(U1558)+1))</f>
        <v>2</v>
      </c>
    </row>
    <row r="1560" customFormat="false" ht="15" hidden="false" customHeight="false" outlineLevel="0" collapsed="false">
      <c r="B1560" s="53"/>
      <c r="I1560" s="53"/>
      <c r="U1560" s="31" t="n">
        <f aca="false">IF($B1560&lt;&gt;'設定（最初に1回）'!$C$4,N(U1559),IF(COUNTIFS(①今日の在庫を貼る!$B$6:$B$10005,$B1560,①今日の在庫を貼る!$I$6:$I$10005,$I1560)&gt;0,N(U1559),N(U1559)+1))</f>
        <v>2</v>
      </c>
    </row>
    <row r="1561" customFormat="false" ht="15" hidden="false" customHeight="false" outlineLevel="0" collapsed="false">
      <c r="B1561" s="53"/>
      <c r="I1561" s="53"/>
      <c r="U1561" s="31" t="n">
        <f aca="false">IF($B1561&lt;&gt;'設定（最初に1回）'!$C$4,N(U1560),IF(COUNTIFS(①今日の在庫を貼る!$B$6:$B$10005,$B1561,①今日の在庫を貼る!$I$6:$I$10005,$I1561)&gt;0,N(U1560),N(U1560)+1))</f>
        <v>2</v>
      </c>
    </row>
    <row r="1562" customFormat="false" ht="15" hidden="false" customHeight="false" outlineLevel="0" collapsed="false">
      <c r="B1562" s="53"/>
      <c r="I1562" s="53"/>
      <c r="U1562" s="31" t="n">
        <f aca="false">IF($B1562&lt;&gt;'設定（最初に1回）'!$C$4,N(U1561),IF(COUNTIFS(①今日の在庫を貼る!$B$6:$B$10005,$B1562,①今日の在庫を貼る!$I$6:$I$10005,$I1562)&gt;0,N(U1561),N(U1561)+1))</f>
        <v>2</v>
      </c>
    </row>
    <row r="1563" customFormat="false" ht="15" hidden="false" customHeight="false" outlineLevel="0" collapsed="false">
      <c r="B1563" s="53"/>
      <c r="I1563" s="53"/>
      <c r="U1563" s="31" t="n">
        <f aca="false">IF($B1563&lt;&gt;'設定（最初に1回）'!$C$4,N(U1562),IF(COUNTIFS(①今日の在庫を貼る!$B$6:$B$10005,$B1563,①今日の在庫を貼る!$I$6:$I$10005,$I1563)&gt;0,N(U1562),N(U1562)+1))</f>
        <v>2</v>
      </c>
    </row>
    <row r="1564" customFormat="false" ht="15" hidden="false" customHeight="false" outlineLevel="0" collapsed="false">
      <c r="B1564" s="53"/>
      <c r="I1564" s="53"/>
      <c r="U1564" s="31" t="n">
        <f aca="false">IF($B1564&lt;&gt;'設定（最初に1回）'!$C$4,N(U1563),IF(COUNTIFS(①今日の在庫を貼る!$B$6:$B$10005,$B1564,①今日の在庫を貼る!$I$6:$I$10005,$I1564)&gt;0,N(U1563),N(U1563)+1))</f>
        <v>2</v>
      </c>
    </row>
    <row r="1565" customFormat="false" ht="15" hidden="false" customHeight="false" outlineLevel="0" collapsed="false">
      <c r="B1565" s="53"/>
      <c r="I1565" s="53"/>
      <c r="U1565" s="31" t="n">
        <f aca="false">IF($B1565&lt;&gt;'設定（最初に1回）'!$C$4,N(U1564),IF(COUNTIFS(①今日の在庫を貼る!$B$6:$B$10005,$B1565,①今日の在庫を貼る!$I$6:$I$10005,$I1565)&gt;0,N(U1564),N(U1564)+1))</f>
        <v>2</v>
      </c>
    </row>
    <row r="1566" customFormat="false" ht="15" hidden="false" customHeight="false" outlineLevel="0" collapsed="false">
      <c r="B1566" s="53"/>
      <c r="I1566" s="53"/>
      <c r="U1566" s="31" t="n">
        <f aca="false">IF($B1566&lt;&gt;'設定（最初に1回）'!$C$4,N(U1565),IF(COUNTIFS(①今日の在庫を貼る!$B$6:$B$10005,$B1566,①今日の在庫を貼る!$I$6:$I$10005,$I1566)&gt;0,N(U1565),N(U1565)+1))</f>
        <v>2</v>
      </c>
    </row>
    <row r="1567" customFormat="false" ht="15" hidden="false" customHeight="false" outlineLevel="0" collapsed="false">
      <c r="B1567" s="53"/>
      <c r="I1567" s="53"/>
      <c r="U1567" s="31" t="n">
        <f aca="false">IF($B1567&lt;&gt;'設定（最初に1回）'!$C$4,N(U1566),IF(COUNTIFS(①今日の在庫を貼る!$B$6:$B$10005,$B1567,①今日の在庫を貼る!$I$6:$I$10005,$I1567)&gt;0,N(U1566),N(U1566)+1))</f>
        <v>2</v>
      </c>
    </row>
    <row r="1568" customFormat="false" ht="15" hidden="false" customHeight="false" outlineLevel="0" collapsed="false">
      <c r="B1568" s="53"/>
      <c r="I1568" s="53"/>
      <c r="U1568" s="31" t="n">
        <f aca="false">IF($B1568&lt;&gt;'設定（最初に1回）'!$C$4,N(U1567),IF(COUNTIFS(①今日の在庫を貼る!$B$6:$B$10005,$B1568,①今日の在庫を貼る!$I$6:$I$10005,$I1568)&gt;0,N(U1567),N(U1567)+1))</f>
        <v>2</v>
      </c>
    </row>
    <row r="1569" customFormat="false" ht="15" hidden="false" customHeight="false" outlineLevel="0" collapsed="false">
      <c r="B1569" s="53"/>
      <c r="I1569" s="53"/>
      <c r="U1569" s="31" t="n">
        <f aca="false">IF($B1569&lt;&gt;'設定（最初に1回）'!$C$4,N(U1568),IF(COUNTIFS(①今日の在庫を貼る!$B$6:$B$10005,$B1569,①今日の在庫を貼る!$I$6:$I$10005,$I1569)&gt;0,N(U1568),N(U1568)+1))</f>
        <v>2</v>
      </c>
    </row>
    <row r="1570" customFormat="false" ht="15" hidden="false" customHeight="false" outlineLevel="0" collapsed="false">
      <c r="B1570" s="53"/>
      <c r="I1570" s="53"/>
      <c r="U1570" s="31" t="n">
        <f aca="false">IF($B1570&lt;&gt;'設定（最初に1回）'!$C$4,N(U1569),IF(COUNTIFS(①今日の在庫を貼る!$B$6:$B$10005,$B1570,①今日の在庫を貼る!$I$6:$I$10005,$I1570)&gt;0,N(U1569),N(U1569)+1))</f>
        <v>2</v>
      </c>
    </row>
    <row r="1571" customFormat="false" ht="15" hidden="false" customHeight="false" outlineLevel="0" collapsed="false">
      <c r="B1571" s="53"/>
      <c r="I1571" s="53"/>
      <c r="U1571" s="31" t="n">
        <f aca="false">IF($B1571&lt;&gt;'設定（最初に1回）'!$C$4,N(U1570),IF(COUNTIFS(①今日の在庫を貼る!$B$6:$B$10005,$B1571,①今日の在庫を貼る!$I$6:$I$10005,$I1571)&gt;0,N(U1570),N(U1570)+1))</f>
        <v>2</v>
      </c>
    </row>
    <row r="1572" customFormat="false" ht="15" hidden="false" customHeight="false" outlineLevel="0" collapsed="false">
      <c r="B1572" s="53"/>
      <c r="I1572" s="53"/>
      <c r="U1572" s="31" t="n">
        <f aca="false">IF($B1572&lt;&gt;'設定（最初に1回）'!$C$4,N(U1571),IF(COUNTIFS(①今日の在庫を貼る!$B$6:$B$10005,$B1572,①今日の在庫を貼る!$I$6:$I$10005,$I1572)&gt;0,N(U1571),N(U1571)+1))</f>
        <v>2</v>
      </c>
    </row>
    <row r="1573" customFormat="false" ht="15" hidden="false" customHeight="false" outlineLevel="0" collapsed="false">
      <c r="B1573" s="53"/>
      <c r="I1573" s="53"/>
      <c r="U1573" s="31" t="n">
        <f aca="false">IF($B1573&lt;&gt;'設定（最初に1回）'!$C$4,N(U1572),IF(COUNTIFS(①今日の在庫を貼る!$B$6:$B$10005,$B1573,①今日の在庫を貼る!$I$6:$I$10005,$I1573)&gt;0,N(U1572),N(U1572)+1))</f>
        <v>2</v>
      </c>
    </row>
    <row r="1574" customFormat="false" ht="15" hidden="false" customHeight="false" outlineLevel="0" collapsed="false">
      <c r="B1574" s="53"/>
      <c r="I1574" s="53"/>
      <c r="U1574" s="31" t="n">
        <f aca="false">IF($B1574&lt;&gt;'設定（最初に1回）'!$C$4,N(U1573),IF(COUNTIFS(①今日の在庫を貼る!$B$6:$B$10005,$B1574,①今日の在庫を貼る!$I$6:$I$10005,$I1574)&gt;0,N(U1573),N(U1573)+1))</f>
        <v>2</v>
      </c>
    </row>
    <row r="1575" customFormat="false" ht="15" hidden="false" customHeight="false" outlineLevel="0" collapsed="false">
      <c r="B1575" s="53"/>
      <c r="I1575" s="53"/>
      <c r="U1575" s="31" t="n">
        <f aca="false">IF($B1575&lt;&gt;'設定（最初に1回）'!$C$4,N(U1574),IF(COUNTIFS(①今日の在庫を貼る!$B$6:$B$10005,$B1575,①今日の在庫を貼る!$I$6:$I$10005,$I1575)&gt;0,N(U1574),N(U1574)+1))</f>
        <v>2</v>
      </c>
    </row>
    <row r="1576" customFormat="false" ht="15" hidden="false" customHeight="false" outlineLevel="0" collapsed="false">
      <c r="B1576" s="53"/>
      <c r="I1576" s="53"/>
      <c r="U1576" s="31" t="n">
        <f aca="false">IF($B1576&lt;&gt;'設定（最初に1回）'!$C$4,N(U1575),IF(COUNTIFS(①今日の在庫を貼る!$B$6:$B$10005,$B1576,①今日の在庫を貼る!$I$6:$I$10005,$I1576)&gt;0,N(U1575),N(U1575)+1))</f>
        <v>2</v>
      </c>
    </row>
    <row r="1577" customFormat="false" ht="15" hidden="false" customHeight="false" outlineLevel="0" collapsed="false">
      <c r="B1577" s="53"/>
      <c r="I1577" s="53"/>
      <c r="U1577" s="31" t="n">
        <f aca="false">IF($B1577&lt;&gt;'設定（最初に1回）'!$C$4,N(U1576),IF(COUNTIFS(①今日の在庫を貼る!$B$6:$B$10005,$B1577,①今日の在庫を貼る!$I$6:$I$10005,$I1577)&gt;0,N(U1576),N(U1576)+1))</f>
        <v>2</v>
      </c>
    </row>
    <row r="1578" customFormat="false" ht="15" hidden="false" customHeight="false" outlineLevel="0" collapsed="false">
      <c r="B1578" s="53"/>
      <c r="I1578" s="53"/>
      <c r="U1578" s="31" t="n">
        <f aca="false">IF($B1578&lt;&gt;'設定（最初に1回）'!$C$4,N(U1577),IF(COUNTIFS(①今日の在庫を貼る!$B$6:$B$10005,$B1578,①今日の在庫を貼る!$I$6:$I$10005,$I1578)&gt;0,N(U1577),N(U1577)+1))</f>
        <v>2</v>
      </c>
    </row>
    <row r="1579" customFormat="false" ht="15" hidden="false" customHeight="false" outlineLevel="0" collapsed="false">
      <c r="B1579" s="53"/>
      <c r="I1579" s="53"/>
      <c r="U1579" s="31" t="n">
        <f aca="false">IF($B1579&lt;&gt;'設定（最初に1回）'!$C$4,N(U1578),IF(COUNTIFS(①今日の在庫を貼る!$B$6:$B$10005,$B1579,①今日の在庫を貼る!$I$6:$I$10005,$I1579)&gt;0,N(U1578),N(U1578)+1))</f>
        <v>2</v>
      </c>
    </row>
    <row r="1580" customFormat="false" ht="15" hidden="false" customHeight="false" outlineLevel="0" collapsed="false">
      <c r="B1580" s="53"/>
      <c r="I1580" s="53"/>
      <c r="U1580" s="31" t="n">
        <f aca="false">IF($B1580&lt;&gt;'設定（最初に1回）'!$C$4,N(U1579),IF(COUNTIFS(①今日の在庫を貼る!$B$6:$B$10005,$B1580,①今日の在庫を貼る!$I$6:$I$10005,$I1580)&gt;0,N(U1579),N(U1579)+1))</f>
        <v>2</v>
      </c>
    </row>
    <row r="1581" customFormat="false" ht="15" hidden="false" customHeight="false" outlineLevel="0" collapsed="false">
      <c r="B1581" s="53"/>
      <c r="I1581" s="53"/>
      <c r="U1581" s="31" t="n">
        <f aca="false">IF($B1581&lt;&gt;'設定（最初に1回）'!$C$4,N(U1580),IF(COUNTIFS(①今日の在庫を貼る!$B$6:$B$10005,$B1581,①今日の在庫を貼る!$I$6:$I$10005,$I1581)&gt;0,N(U1580),N(U1580)+1))</f>
        <v>2</v>
      </c>
    </row>
    <row r="1582" customFormat="false" ht="15" hidden="false" customHeight="false" outlineLevel="0" collapsed="false">
      <c r="B1582" s="53"/>
      <c r="I1582" s="53"/>
      <c r="U1582" s="31" t="n">
        <f aca="false">IF($B1582&lt;&gt;'設定（最初に1回）'!$C$4,N(U1581),IF(COUNTIFS(①今日の在庫を貼る!$B$6:$B$10005,$B1582,①今日の在庫を貼る!$I$6:$I$10005,$I1582)&gt;0,N(U1581),N(U1581)+1))</f>
        <v>2</v>
      </c>
    </row>
    <row r="1583" customFormat="false" ht="15" hidden="false" customHeight="false" outlineLevel="0" collapsed="false">
      <c r="B1583" s="53"/>
      <c r="I1583" s="53"/>
      <c r="U1583" s="31" t="n">
        <f aca="false">IF($B1583&lt;&gt;'設定（最初に1回）'!$C$4,N(U1582),IF(COUNTIFS(①今日の在庫を貼る!$B$6:$B$10005,$B1583,①今日の在庫を貼る!$I$6:$I$10005,$I1583)&gt;0,N(U1582),N(U1582)+1))</f>
        <v>2</v>
      </c>
    </row>
    <row r="1584" customFormat="false" ht="15" hidden="false" customHeight="false" outlineLevel="0" collapsed="false">
      <c r="B1584" s="53"/>
      <c r="I1584" s="53"/>
      <c r="U1584" s="31" t="n">
        <f aca="false">IF($B1584&lt;&gt;'設定（最初に1回）'!$C$4,N(U1583),IF(COUNTIFS(①今日の在庫を貼る!$B$6:$B$10005,$B1584,①今日の在庫を貼る!$I$6:$I$10005,$I1584)&gt;0,N(U1583),N(U1583)+1))</f>
        <v>2</v>
      </c>
    </row>
    <row r="1585" customFormat="false" ht="15" hidden="false" customHeight="false" outlineLevel="0" collapsed="false">
      <c r="B1585" s="53"/>
      <c r="I1585" s="53"/>
      <c r="U1585" s="31" t="n">
        <f aca="false">IF($B1585&lt;&gt;'設定（最初に1回）'!$C$4,N(U1584),IF(COUNTIFS(①今日の在庫を貼る!$B$6:$B$10005,$B1585,①今日の在庫を貼る!$I$6:$I$10005,$I1585)&gt;0,N(U1584),N(U1584)+1))</f>
        <v>2</v>
      </c>
    </row>
    <row r="1586" customFormat="false" ht="15" hidden="false" customHeight="false" outlineLevel="0" collapsed="false">
      <c r="B1586" s="53"/>
      <c r="I1586" s="53"/>
      <c r="U1586" s="31" t="n">
        <f aca="false">IF($B1586&lt;&gt;'設定（最初に1回）'!$C$4,N(U1585),IF(COUNTIFS(①今日の在庫を貼る!$B$6:$B$10005,$B1586,①今日の在庫を貼る!$I$6:$I$10005,$I1586)&gt;0,N(U1585),N(U1585)+1))</f>
        <v>2</v>
      </c>
    </row>
    <row r="1587" customFormat="false" ht="15" hidden="false" customHeight="false" outlineLevel="0" collapsed="false">
      <c r="B1587" s="53"/>
      <c r="I1587" s="53"/>
      <c r="U1587" s="31" t="n">
        <f aca="false">IF($B1587&lt;&gt;'設定（最初に1回）'!$C$4,N(U1586),IF(COUNTIFS(①今日の在庫を貼る!$B$6:$B$10005,$B1587,①今日の在庫を貼る!$I$6:$I$10005,$I1587)&gt;0,N(U1586),N(U1586)+1))</f>
        <v>2</v>
      </c>
    </row>
    <row r="1588" customFormat="false" ht="15" hidden="false" customHeight="false" outlineLevel="0" collapsed="false">
      <c r="B1588" s="53"/>
      <c r="I1588" s="53"/>
      <c r="U1588" s="31" t="n">
        <f aca="false">IF($B1588&lt;&gt;'設定（最初に1回）'!$C$4,N(U1587),IF(COUNTIFS(①今日の在庫を貼る!$B$6:$B$10005,$B1588,①今日の在庫を貼る!$I$6:$I$10005,$I1588)&gt;0,N(U1587),N(U1587)+1))</f>
        <v>2</v>
      </c>
    </row>
    <row r="1589" customFormat="false" ht="15" hidden="false" customHeight="false" outlineLevel="0" collapsed="false">
      <c r="B1589" s="53"/>
      <c r="I1589" s="53"/>
      <c r="U1589" s="31" t="n">
        <f aca="false">IF($B1589&lt;&gt;'設定（最初に1回）'!$C$4,N(U1588),IF(COUNTIFS(①今日の在庫を貼る!$B$6:$B$10005,$B1589,①今日の在庫を貼る!$I$6:$I$10005,$I1589)&gt;0,N(U1588),N(U1588)+1))</f>
        <v>2</v>
      </c>
    </row>
    <row r="1590" customFormat="false" ht="15" hidden="false" customHeight="false" outlineLevel="0" collapsed="false">
      <c r="B1590" s="53"/>
      <c r="I1590" s="53"/>
      <c r="U1590" s="31" t="n">
        <f aca="false">IF($B1590&lt;&gt;'設定（最初に1回）'!$C$4,N(U1589),IF(COUNTIFS(①今日の在庫を貼る!$B$6:$B$10005,$B1590,①今日の在庫を貼る!$I$6:$I$10005,$I1590)&gt;0,N(U1589),N(U1589)+1))</f>
        <v>2</v>
      </c>
    </row>
    <row r="1591" customFormat="false" ht="15" hidden="false" customHeight="false" outlineLevel="0" collapsed="false">
      <c r="B1591" s="53"/>
      <c r="I1591" s="53"/>
      <c r="U1591" s="31" t="n">
        <f aca="false">IF($B1591&lt;&gt;'設定（最初に1回）'!$C$4,N(U1590),IF(COUNTIFS(①今日の在庫を貼る!$B$6:$B$10005,$B1591,①今日の在庫を貼る!$I$6:$I$10005,$I1591)&gt;0,N(U1590),N(U1590)+1))</f>
        <v>2</v>
      </c>
    </row>
    <row r="1592" customFormat="false" ht="15" hidden="false" customHeight="false" outlineLevel="0" collapsed="false">
      <c r="B1592" s="53"/>
      <c r="I1592" s="53"/>
      <c r="U1592" s="31" t="n">
        <f aca="false">IF($B1592&lt;&gt;'設定（最初に1回）'!$C$4,N(U1591),IF(COUNTIFS(①今日の在庫を貼る!$B$6:$B$10005,$B1592,①今日の在庫を貼る!$I$6:$I$10005,$I1592)&gt;0,N(U1591),N(U1591)+1))</f>
        <v>2</v>
      </c>
    </row>
    <row r="1593" customFormat="false" ht="15" hidden="false" customHeight="false" outlineLevel="0" collapsed="false">
      <c r="B1593" s="53"/>
      <c r="I1593" s="53"/>
      <c r="U1593" s="31" t="n">
        <f aca="false">IF($B1593&lt;&gt;'設定（最初に1回）'!$C$4,N(U1592),IF(COUNTIFS(①今日の在庫を貼る!$B$6:$B$10005,$B1593,①今日の在庫を貼る!$I$6:$I$10005,$I1593)&gt;0,N(U1592),N(U1592)+1))</f>
        <v>2</v>
      </c>
    </row>
    <row r="1594" customFormat="false" ht="15" hidden="false" customHeight="false" outlineLevel="0" collapsed="false">
      <c r="B1594" s="53"/>
      <c r="I1594" s="53"/>
      <c r="U1594" s="31" t="n">
        <f aca="false">IF($B1594&lt;&gt;'設定（最初に1回）'!$C$4,N(U1593),IF(COUNTIFS(①今日の在庫を貼る!$B$6:$B$10005,$B1594,①今日の在庫を貼る!$I$6:$I$10005,$I1594)&gt;0,N(U1593),N(U1593)+1))</f>
        <v>2</v>
      </c>
    </row>
    <row r="1595" customFormat="false" ht="15" hidden="false" customHeight="false" outlineLevel="0" collapsed="false">
      <c r="B1595" s="53"/>
      <c r="I1595" s="53"/>
      <c r="U1595" s="31" t="n">
        <f aca="false">IF($B1595&lt;&gt;'設定（最初に1回）'!$C$4,N(U1594),IF(COUNTIFS(①今日の在庫を貼る!$B$6:$B$10005,$B1595,①今日の在庫を貼る!$I$6:$I$10005,$I1595)&gt;0,N(U1594),N(U1594)+1))</f>
        <v>2</v>
      </c>
    </row>
    <row r="1596" customFormat="false" ht="15" hidden="false" customHeight="false" outlineLevel="0" collapsed="false">
      <c r="B1596" s="53"/>
      <c r="I1596" s="53"/>
      <c r="U1596" s="31" t="n">
        <f aca="false">IF($B1596&lt;&gt;'設定（最初に1回）'!$C$4,N(U1595),IF(COUNTIFS(①今日の在庫を貼る!$B$6:$B$10005,$B1596,①今日の在庫を貼る!$I$6:$I$10005,$I1596)&gt;0,N(U1595),N(U1595)+1))</f>
        <v>2</v>
      </c>
    </row>
    <row r="1597" customFormat="false" ht="15" hidden="false" customHeight="false" outlineLevel="0" collapsed="false">
      <c r="B1597" s="53"/>
      <c r="I1597" s="53"/>
      <c r="U1597" s="31" t="n">
        <f aca="false">IF($B1597&lt;&gt;'設定（最初に1回）'!$C$4,N(U1596),IF(COUNTIFS(①今日の在庫を貼る!$B$6:$B$10005,$B1597,①今日の在庫を貼る!$I$6:$I$10005,$I1597)&gt;0,N(U1596),N(U1596)+1))</f>
        <v>2</v>
      </c>
    </row>
    <row r="1598" customFormat="false" ht="15" hidden="false" customHeight="false" outlineLevel="0" collapsed="false">
      <c r="B1598" s="53"/>
      <c r="I1598" s="53"/>
      <c r="U1598" s="31" t="n">
        <f aca="false">IF($B1598&lt;&gt;'設定（最初に1回）'!$C$4,N(U1597),IF(COUNTIFS(①今日の在庫を貼る!$B$6:$B$10005,$B1598,①今日の在庫を貼る!$I$6:$I$10005,$I1598)&gt;0,N(U1597),N(U1597)+1))</f>
        <v>2</v>
      </c>
    </row>
    <row r="1599" customFormat="false" ht="15" hidden="false" customHeight="false" outlineLevel="0" collapsed="false">
      <c r="B1599" s="53"/>
      <c r="I1599" s="53"/>
      <c r="U1599" s="31" t="n">
        <f aca="false">IF($B1599&lt;&gt;'設定（最初に1回）'!$C$4,N(U1598),IF(COUNTIFS(①今日の在庫を貼る!$B$6:$B$10005,$B1599,①今日の在庫を貼る!$I$6:$I$10005,$I1599)&gt;0,N(U1598),N(U1598)+1))</f>
        <v>2</v>
      </c>
    </row>
    <row r="1600" customFormat="false" ht="15" hidden="false" customHeight="false" outlineLevel="0" collapsed="false">
      <c r="B1600" s="53"/>
      <c r="I1600" s="53"/>
      <c r="U1600" s="31" t="n">
        <f aca="false">IF($B1600&lt;&gt;'設定（最初に1回）'!$C$4,N(U1599),IF(COUNTIFS(①今日の在庫を貼る!$B$6:$B$10005,$B1600,①今日の在庫を貼る!$I$6:$I$10005,$I1600)&gt;0,N(U1599),N(U1599)+1))</f>
        <v>2</v>
      </c>
    </row>
    <row r="1601" customFormat="false" ht="15" hidden="false" customHeight="false" outlineLevel="0" collapsed="false">
      <c r="B1601" s="53"/>
      <c r="I1601" s="53"/>
      <c r="U1601" s="31" t="n">
        <f aca="false">IF($B1601&lt;&gt;'設定（最初に1回）'!$C$4,N(U1600),IF(COUNTIFS(①今日の在庫を貼る!$B$6:$B$10005,$B1601,①今日の在庫を貼る!$I$6:$I$10005,$I1601)&gt;0,N(U1600),N(U1600)+1))</f>
        <v>2</v>
      </c>
    </row>
    <row r="1602" customFormat="false" ht="15" hidden="false" customHeight="false" outlineLevel="0" collapsed="false">
      <c r="B1602" s="53"/>
      <c r="I1602" s="53"/>
      <c r="U1602" s="31" t="n">
        <f aca="false">IF($B1602&lt;&gt;'設定（最初に1回）'!$C$4,N(U1601),IF(COUNTIFS(①今日の在庫を貼る!$B$6:$B$10005,$B1602,①今日の在庫を貼る!$I$6:$I$10005,$I1602)&gt;0,N(U1601),N(U1601)+1))</f>
        <v>2</v>
      </c>
    </row>
    <row r="1603" customFormat="false" ht="15" hidden="false" customHeight="false" outlineLevel="0" collapsed="false">
      <c r="B1603" s="53"/>
      <c r="I1603" s="53"/>
      <c r="U1603" s="31" t="n">
        <f aca="false">IF($B1603&lt;&gt;'設定（最初に1回）'!$C$4,N(U1602),IF(COUNTIFS(①今日の在庫を貼る!$B$6:$B$10005,$B1603,①今日の在庫を貼る!$I$6:$I$10005,$I1603)&gt;0,N(U1602),N(U1602)+1))</f>
        <v>2</v>
      </c>
    </row>
    <row r="1604" customFormat="false" ht="15" hidden="false" customHeight="false" outlineLevel="0" collapsed="false">
      <c r="B1604" s="53"/>
      <c r="I1604" s="53"/>
      <c r="U1604" s="31" t="n">
        <f aca="false">IF($B1604&lt;&gt;'設定（最初に1回）'!$C$4,N(U1603),IF(COUNTIFS(①今日の在庫を貼る!$B$6:$B$10005,$B1604,①今日の在庫を貼る!$I$6:$I$10005,$I1604)&gt;0,N(U1603),N(U1603)+1))</f>
        <v>2</v>
      </c>
    </row>
    <row r="1605" customFormat="false" ht="15" hidden="false" customHeight="false" outlineLevel="0" collapsed="false">
      <c r="B1605" s="53"/>
      <c r="I1605" s="53"/>
      <c r="U1605" s="31" t="n">
        <f aca="false">IF($B1605&lt;&gt;'設定（最初に1回）'!$C$4,N(U1604),IF(COUNTIFS(①今日の在庫を貼る!$B$6:$B$10005,$B1605,①今日の在庫を貼る!$I$6:$I$10005,$I1605)&gt;0,N(U1604),N(U1604)+1))</f>
        <v>2</v>
      </c>
    </row>
    <row r="1606" customFormat="false" ht="15" hidden="false" customHeight="false" outlineLevel="0" collapsed="false">
      <c r="B1606" s="53"/>
      <c r="I1606" s="53"/>
      <c r="U1606" s="31" t="n">
        <f aca="false">IF($B1606&lt;&gt;'設定（最初に1回）'!$C$4,N(U1605),IF(COUNTIFS(①今日の在庫を貼る!$B$6:$B$10005,$B1606,①今日の在庫を貼る!$I$6:$I$10005,$I1606)&gt;0,N(U1605),N(U1605)+1))</f>
        <v>2</v>
      </c>
    </row>
    <row r="1607" customFormat="false" ht="15" hidden="false" customHeight="false" outlineLevel="0" collapsed="false">
      <c r="B1607" s="53"/>
      <c r="I1607" s="53"/>
      <c r="U1607" s="31" t="n">
        <f aca="false">IF($B1607&lt;&gt;'設定（最初に1回）'!$C$4,N(U1606),IF(COUNTIFS(①今日の在庫を貼る!$B$6:$B$10005,$B1607,①今日の在庫を貼る!$I$6:$I$10005,$I1607)&gt;0,N(U1606),N(U1606)+1))</f>
        <v>2</v>
      </c>
    </row>
    <row r="1608" customFormat="false" ht="15" hidden="false" customHeight="false" outlineLevel="0" collapsed="false">
      <c r="B1608" s="53"/>
      <c r="I1608" s="53"/>
      <c r="U1608" s="31" t="n">
        <f aca="false">IF($B1608&lt;&gt;'設定（最初に1回）'!$C$4,N(U1607),IF(COUNTIFS(①今日の在庫を貼る!$B$6:$B$10005,$B1608,①今日の在庫を貼る!$I$6:$I$10005,$I1608)&gt;0,N(U1607),N(U1607)+1))</f>
        <v>2</v>
      </c>
    </row>
    <row r="1609" customFormat="false" ht="15" hidden="false" customHeight="false" outlineLevel="0" collapsed="false">
      <c r="B1609" s="53"/>
      <c r="I1609" s="53"/>
      <c r="U1609" s="31" t="n">
        <f aca="false">IF($B1609&lt;&gt;'設定（最初に1回）'!$C$4,N(U1608),IF(COUNTIFS(①今日の在庫を貼る!$B$6:$B$10005,$B1609,①今日の在庫を貼る!$I$6:$I$10005,$I1609)&gt;0,N(U1608),N(U1608)+1))</f>
        <v>2</v>
      </c>
    </row>
    <row r="1610" customFormat="false" ht="15" hidden="false" customHeight="false" outlineLevel="0" collapsed="false">
      <c r="B1610" s="53"/>
      <c r="I1610" s="53"/>
      <c r="U1610" s="31" t="n">
        <f aca="false">IF($B1610&lt;&gt;'設定（最初に1回）'!$C$4,N(U1609),IF(COUNTIFS(①今日の在庫を貼る!$B$6:$B$10005,$B1610,①今日の在庫を貼る!$I$6:$I$10005,$I1610)&gt;0,N(U1609),N(U1609)+1))</f>
        <v>2</v>
      </c>
    </row>
    <row r="1611" customFormat="false" ht="15" hidden="false" customHeight="false" outlineLevel="0" collapsed="false">
      <c r="B1611" s="53"/>
      <c r="I1611" s="53"/>
      <c r="U1611" s="31" t="n">
        <f aca="false">IF($B1611&lt;&gt;'設定（最初に1回）'!$C$4,N(U1610),IF(COUNTIFS(①今日の在庫を貼る!$B$6:$B$10005,$B1611,①今日の在庫を貼る!$I$6:$I$10005,$I1611)&gt;0,N(U1610),N(U1610)+1))</f>
        <v>2</v>
      </c>
    </row>
    <row r="1612" customFormat="false" ht="15" hidden="false" customHeight="false" outlineLevel="0" collapsed="false">
      <c r="B1612" s="53"/>
      <c r="I1612" s="53"/>
      <c r="U1612" s="31" t="n">
        <f aca="false">IF($B1612&lt;&gt;'設定（最初に1回）'!$C$4,N(U1611),IF(COUNTIFS(①今日の在庫を貼る!$B$6:$B$10005,$B1612,①今日の在庫を貼る!$I$6:$I$10005,$I1612)&gt;0,N(U1611),N(U1611)+1))</f>
        <v>2</v>
      </c>
    </row>
    <row r="1613" customFormat="false" ht="15" hidden="false" customHeight="false" outlineLevel="0" collapsed="false">
      <c r="B1613" s="53"/>
      <c r="I1613" s="53"/>
      <c r="U1613" s="31" t="n">
        <f aca="false">IF($B1613&lt;&gt;'設定（最初に1回）'!$C$4,N(U1612),IF(COUNTIFS(①今日の在庫を貼る!$B$6:$B$10005,$B1613,①今日の在庫を貼る!$I$6:$I$10005,$I1613)&gt;0,N(U1612),N(U1612)+1))</f>
        <v>2</v>
      </c>
    </row>
    <row r="1614" customFormat="false" ht="15" hidden="false" customHeight="false" outlineLevel="0" collapsed="false">
      <c r="B1614" s="53"/>
      <c r="I1614" s="53"/>
      <c r="U1614" s="31" t="n">
        <f aca="false">IF($B1614&lt;&gt;'設定（最初に1回）'!$C$4,N(U1613),IF(COUNTIFS(①今日の在庫を貼る!$B$6:$B$10005,$B1614,①今日の在庫を貼る!$I$6:$I$10005,$I1614)&gt;0,N(U1613),N(U1613)+1))</f>
        <v>2</v>
      </c>
    </row>
    <row r="1615" customFormat="false" ht="15" hidden="false" customHeight="false" outlineLevel="0" collapsed="false">
      <c r="B1615" s="53"/>
      <c r="I1615" s="53"/>
      <c r="U1615" s="31" t="n">
        <f aca="false">IF($B1615&lt;&gt;'設定（最初に1回）'!$C$4,N(U1614),IF(COUNTIFS(①今日の在庫を貼る!$B$6:$B$10005,$B1615,①今日の在庫を貼る!$I$6:$I$10005,$I1615)&gt;0,N(U1614),N(U1614)+1))</f>
        <v>2</v>
      </c>
    </row>
    <row r="1616" customFormat="false" ht="15" hidden="false" customHeight="false" outlineLevel="0" collapsed="false">
      <c r="B1616" s="53"/>
      <c r="I1616" s="53"/>
      <c r="U1616" s="31" t="n">
        <f aca="false">IF($B1616&lt;&gt;'設定（最初に1回）'!$C$4,N(U1615),IF(COUNTIFS(①今日の在庫を貼る!$B$6:$B$10005,$B1616,①今日の在庫を貼る!$I$6:$I$10005,$I1616)&gt;0,N(U1615),N(U1615)+1))</f>
        <v>2</v>
      </c>
    </row>
    <row r="1617" customFormat="false" ht="15" hidden="false" customHeight="false" outlineLevel="0" collapsed="false">
      <c r="B1617" s="53"/>
      <c r="I1617" s="53"/>
      <c r="U1617" s="31" t="n">
        <f aca="false">IF($B1617&lt;&gt;'設定（最初に1回）'!$C$4,N(U1616),IF(COUNTIFS(①今日の在庫を貼る!$B$6:$B$10005,$B1617,①今日の在庫を貼る!$I$6:$I$10005,$I1617)&gt;0,N(U1616),N(U1616)+1))</f>
        <v>2</v>
      </c>
    </row>
    <row r="1618" customFormat="false" ht="15" hidden="false" customHeight="false" outlineLevel="0" collapsed="false">
      <c r="B1618" s="53"/>
      <c r="I1618" s="53"/>
      <c r="U1618" s="31" t="n">
        <f aca="false">IF($B1618&lt;&gt;'設定（最初に1回）'!$C$4,N(U1617),IF(COUNTIFS(①今日の在庫を貼る!$B$6:$B$10005,$B1618,①今日の在庫を貼る!$I$6:$I$10005,$I1618)&gt;0,N(U1617),N(U1617)+1))</f>
        <v>2</v>
      </c>
    </row>
    <row r="1619" customFormat="false" ht="15" hidden="false" customHeight="false" outlineLevel="0" collapsed="false">
      <c r="B1619" s="53"/>
      <c r="I1619" s="53"/>
      <c r="U1619" s="31" t="n">
        <f aca="false">IF($B1619&lt;&gt;'設定（最初に1回）'!$C$4,N(U1618),IF(COUNTIFS(①今日の在庫を貼る!$B$6:$B$10005,$B1619,①今日の在庫を貼る!$I$6:$I$10005,$I1619)&gt;0,N(U1618),N(U1618)+1))</f>
        <v>2</v>
      </c>
    </row>
    <row r="1620" customFormat="false" ht="15" hidden="false" customHeight="false" outlineLevel="0" collapsed="false">
      <c r="B1620" s="53"/>
      <c r="I1620" s="53"/>
      <c r="U1620" s="31" t="n">
        <f aca="false">IF($B1620&lt;&gt;'設定（最初に1回）'!$C$4,N(U1619),IF(COUNTIFS(①今日の在庫を貼る!$B$6:$B$10005,$B1620,①今日の在庫を貼る!$I$6:$I$10005,$I1620)&gt;0,N(U1619),N(U1619)+1))</f>
        <v>2</v>
      </c>
    </row>
    <row r="1621" customFormat="false" ht="15" hidden="false" customHeight="false" outlineLevel="0" collapsed="false">
      <c r="B1621" s="53"/>
      <c r="I1621" s="53"/>
      <c r="U1621" s="31" t="n">
        <f aca="false">IF($B1621&lt;&gt;'設定（最初に1回）'!$C$4,N(U1620),IF(COUNTIFS(①今日の在庫を貼る!$B$6:$B$10005,$B1621,①今日の在庫を貼る!$I$6:$I$10005,$I1621)&gt;0,N(U1620),N(U1620)+1))</f>
        <v>2</v>
      </c>
    </row>
    <row r="1622" customFormat="false" ht="15" hidden="false" customHeight="false" outlineLevel="0" collapsed="false">
      <c r="B1622" s="53"/>
      <c r="I1622" s="53"/>
      <c r="U1622" s="31" t="n">
        <f aca="false">IF($B1622&lt;&gt;'設定（最初に1回）'!$C$4,N(U1621),IF(COUNTIFS(①今日の在庫を貼る!$B$6:$B$10005,$B1622,①今日の在庫を貼る!$I$6:$I$10005,$I1622)&gt;0,N(U1621),N(U1621)+1))</f>
        <v>2</v>
      </c>
    </row>
    <row r="1623" customFormat="false" ht="15" hidden="false" customHeight="false" outlineLevel="0" collapsed="false">
      <c r="B1623" s="53"/>
      <c r="I1623" s="53"/>
      <c r="U1623" s="31" t="n">
        <f aca="false">IF($B1623&lt;&gt;'設定（最初に1回）'!$C$4,N(U1622),IF(COUNTIFS(①今日の在庫を貼る!$B$6:$B$10005,$B1623,①今日の在庫を貼る!$I$6:$I$10005,$I1623)&gt;0,N(U1622),N(U1622)+1))</f>
        <v>2</v>
      </c>
    </row>
    <row r="1624" customFormat="false" ht="15" hidden="false" customHeight="false" outlineLevel="0" collapsed="false">
      <c r="B1624" s="53"/>
      <c r="I1624" s="53"/>
      <c r="U1624" s="31" t="n">
        <f aca="false">IF($B1624&lt;&gt;'設定（最初に1回）'!$C$4,N(U1623),IF(COUNTIFS(①今日の在庫を貼る!$B$6:$B$10005,$B1624,①今日の在庫を貼る!$I$6:$I$10005,$I1624)&gt;0,N(U1623),N(U1623)+1))</f>
        <v>2</v>
      </c>
    </row>
    <row r="1625" customFormat="false" ht="15" hidden="false" customHeight="false" outlineLevel="0" collapsed="false">
      <c r="B1625" s="53"/>
      <c r="I1625" s="53"/>
      <c r="U1625" s="31" t="n">
        <f aca="false">IF($B1625&lt;&gt;'設定（最初に1回）'!$C$4,N(U1624),IF(COUNTIFS(①今日の在庫を貼る!$B$6:$B$10005,$B1625,①今日の在庫を貼る!$I$6:$I$10005,$I1625)&gt;0,N(U1624),N(U1624)+1))</f>
        <v>2</v>
      </c>
    </row>
    <row r="1626" customFormat="false" ht="15" hidden="false" customHeight="false" outlineLevel="0" collapsed="false">
      <c r="B1626" s="53"/>
      <c r="I1626" s="53"/>
      <c r="U1626" s="31" t="n">
        <f aca="false">IF($B1626&lt;&gt;'設定（最初に1回）'!$C$4,N(U1625),IF(COUNTIFS(①今日の在庫を貼る!$B$6:$B$10005,$B1626,①今日の在庫を貼る!$I$6:$I$10005,$I1626)&gt;0,N(U1625),N(U1625)+1))</f>
        <v>2</v>
      </c>
    </row>
    <row r="1627" customFormat="false" ht="15" hidden="false" customHeight="false" outlineLevel="0" collapsed="false">
      <c r="B1627" s="53"/>
      <c r="I1627" s="53"/>
      <c r="U1627" s="31" t="n">
        <f aca="false">IF($B1627&lt;&gt;'設定（最初に1回）'!$C$4,N(U1626),IF(COUNTIFS(①今日の在庫を貼る!$B$6:$B$10005,$B1627,①今日の在庫を貼る!$I$6:$I$10005,$I1627)&gt;0,N(U1626),N(U1626)+1))</f>
        <v>2</v>
      </c>
    </row>
    <row r="1628" customFormat="false" ht="15" hidden="false" customHeight="false" outlineLevel="0" collapsed="false">
      <c r="B1628" s="53"/>
      <c r="I1628" s="53"/>
      <c r="U1628" s="31" t="n">
        <f aca="false">IF($B1628&lt;&gt;'設定（最初に1回）'!$C$4,N(U1627),IF(COUNTIFS(①今日の在庫を貼る!$B$6:$B$10005,$B1628,①今日の在庫を貼る!$I$6:$I$10005,$I1628)&gt;0,N(U1627),N(U1627)+1))</f>
        <v>2</v>
      </c>
    </row>
    <row r="1629" customFormat="false" ht="15" hidden="false" customHeight="false" outlineLevel="0" collapsed="false">
      <c r="B1629" s="53"/>
      <c r="I1629" s="53"/>
      <c r="U1629" s="31" t="n">
        <f aca="false">IF($B1629&lt;&gt;'設定（最初に1回）'!$C$4,N(U1628),IF(COUNTIFS(①今日の在庫を貼る!$B$6:$B$10005,$B1629,①今日の在庫を貼る!$I$6:$I$10005,$I1629)&gt;0,N(U1628),N(U1628)+1))</f>
        <v>2</v>
      </c>
    </row>
    <row r="1630" customFormat="false" ht="15" hidden="false" customHeight="false" outlineLevel="0" collapsed="false">
      <c r="B1630" s="53"/>
      <c r="I1630" s="53"/>
      <c r="U1630" s="31" t="n">
        <f aca="false">IF($B1630&lt;&gt;'設定（最初に1回）'!$C$4,N(U1629),IF(COUNTIFS(①今日の在庫を貼る!$B$6:$B$10005,$B1630,①今日の在庫を貼る!$I$6:$I$10005,$I1630)&gt;0,N(U1629),N(U1629)+1))</f>
        <v>2</v>
      </c>
    </row>
    <row r="1631" customFormat="false" ht="15" hidden="false" customHeight="false" outlineLevel="0" collapsed="false">
      <c r="B1631" s="53"/>
      <c r="I1631" s="53"/>
      <c r="U1631" s="31" t="n">
        <f aca="false">IF($B1631&lt;&gt;'設定（最初に1回）'!$C$4,N(U1630),IF(COUNTIFS(①今日の在庫を貼る!$B$6:$B$10005,$B1631,①今日の在庫を貼る!$I$6:$I$10005,$I1631)&gt;0,N(U1630),N(U1630)+1))</f>
        <v>2</v>
      </c>
    </row>
    <row r="1632" customFormat="false" ht="15" hidden="false" customHeight="false" outlineLevel="0" collapsed="false">
      <c r="B1632" s="53"/>
      <c r="I1632" s="53"/>
      <c r="U1632" s="31" t="n">
        <f aca="false">IF($B1632&lt;&gt;'設定（最初に1回）'!$C$4,N(U1631),IF(COUNTIFS(①今日の在庫を貼る!$B$6:$B$10005,$B1632,①今日の在庫を貼る!$I$6:$I$10005,$I1632)&gt;0,N(U1631),N(U1631)+1))</f>
        <v>2</v>
      </c>
    </row>
    <row r="1633" customFormat="false" ht="15" hidden="false" customHeight="false" outlineLevel="0" collapsed="false">
      <c r="B1633" s="53"/>
      <c r="I1633" s="53"/>
      <c r="U1633" s="31" t="n">
        <f aca="false">IF($B1633&lt;&gt;'設定（最初に1回）'!$C$4,N(U1632),IF(COUNTIFS(①今日の在庫を貼る!$B$6:$B$10005,$B1633,①今日の在庫を貼る!$I$6:$I$10005,$I1633)&gt;0,N(U1632),N(U1632)+1))</f>
        <v>2</v>
      </c>
    </row>
    <row r="1634" customFormat="false" ht="15" hidden="false" customHeight="false" outlineLevel="0" collapsed="false">
      <c r="B1634" s="53"/>
      <c r="I1634" s="53"/>
      <c r="U1634" s="31" t="n">
        <f aca="false">IF($B1634&lt;&gt;'設定（最初に1回）'!$C$4,N(U1633),IF(COUNTIFS(①今日の在庫を貼る!$B$6:$B$10005,$B1634,①今日の在庫を貼る!$I$6:$I$10005,$I1634)&gt;0,N(U1633),N(U1633)+1))</f>
        <v>2</v>
      </c>
    </row>
    <row r="1635" customFormat="false" ht="15" hidden="false" customHeight="false" outlineLevel="0" collapsed="false">
      <c r="B1635" s="53"/>
      <c r="I1635" s="53"/>
      <c r="U1635" s="31" t="n">
        <f aca="false">IF($B1635&lt;&gt;'設定（最初に1回）'!$C$4,N(U1634),IF(COUNTIFS(①今日の在庫を貼る!$B$6:$B$10005,$B1635,①今日の在庫を貼る!$I$6:$I$10005,$I1635)&gt;0,N(U1634),N(U1634)+1))</f>
        <v>2</v>
      </c>
    </row>
    <row r="1636" customFormat="false" ht="15" hidden="false" customHeight="false" outlineLevel="0" collapsed="false">
      <c r="B1636" s="53"/>
      <c r="I1636" s="53"/>
      <c r="U1636" s="31" t="n">
        <f aca="false">IF($B1636&lt;&gt;'設定（最初に1回）'!$C$4,N(U1635),IF(COUNTIFS(①今日の在庫を貼る!$B$6:$B$10005,$B1636,①今日の在庫を貼る!$I$6:$I$10005,$I1636)&gt;0,N(U1635),N(U1635)+1))</f>
        <v>2</v>
      </c>
    </row>
    <row r="1637" customFormat="false" ht="15" hidden="false" customHeight="false" outlineLevel="0" collapsed="false">
      <c r="B1637" s="53"/>
      <c r="I1637" s="53"/>
      <c r="U1637" s="31" t="n">
        <f aca="false">IF($B1637&lt;&gt;'設定（最初に1回）'!$C$4,N(U1636),IF(COUNTIFS(①今日の在庫を貼る!$B$6:$B$10005,$B1637,①今日の在庫を貼る!$I$6:$I$10005,$I1637)&gt;0,N(U1636),N(U1636)+1))</f>
        <v>2</v>
      </c>
    </row>
    <row r="1638" customFormat="false" ht="15" hidden="false" customHeight="false" outlineLevel="0" collapsed="false">
      <c r="B1638" s="53"/>
      <c r="I1638" s="53"/>
      <c r="U1638" s="31" t="n">
        <f aca="false">IF($B1638&lt;&gt;'設定（最初に1回）'!$C$4,N(U1637),IF(COUNTIFS(①今日の在庫を貼る!$B$6:$B$10005,$B1638,①今日の在庫を貼る!$I$6:$I$10005,$I1638)&gt;0,N(U1637),N(U1637)+1))</f>
        <v>2</v>
      </c>
    </row>
    <row r="1639" customFormat="false" ht="15" hidden="false" customHeight="false" outlineLevel="0" collapsed="false">
      <c r="B1639" s="53"/>
      <c r="I1639" s="53"/>
      <c r="U1639" s="31" t="n">
        <f aca="false">IF($B1639&lt;&gt;'設定（最初に1回）'!$C$4,N(U1638),IF(COUNTIFS(①今日の在庫を貼る!$B$6:$B$10005,$B1639,①今日の在庫を貼る!$I$6:$I$10005,$I1639)&gt;0,N(U1638),N(U1638)+1))</f>
        <v>2</v>
      </c>
    </row>
    <row r="1640" customFormat="false" ht="15" hidden="false" customHeight="false" outlineLevel="0" collapsed="false">
      <c r="B1640" s="53"/>
      <c r="I1640" s="53"/>
      <c r="U1640" s="31" t="n">
        <f aca="false">IF($B1640&lt;&gt;'設定（最初に1回）'!$C$4,N(U1639),IF(COUNTIFS(①今日の在庫を貼る!$B$6:$B$10005,$B1640,①今日の在庫を貼る!$I$6:$I$10005,$I1640)&gt;0,N(U1639),N(U1639)+1))</f>
        <v>2</v>
      </c>
    </row>
    <row r="1641" customFormat="false" ht="15" hidden="false" customHeight="false" outlineLevel="0" collapsed="false">
      <c r="B1641" s="53"/>
      <c r="I1641" s="53"/>
      <c r="U1641" s="31" t="n">
        <f aca="false">IF($B1641&lt;&gt;'設定（最初に1回）'!$C$4,N(U1640),IF(COUNTIFS(①今日の在庫を貼る!$B$6:$B$10005,$B1641,①今日の在庫を貼る!$I$6:$I$10005,$I1641)&gt;0,N(U1640),N(U1640)+1))</f>
        <v>2</v>
      </c>
    </row>
    <row r="1642" customFormat="false" ht="15" hidden="false" customHeight="false" outlineLevel="0" collapsed="false">
      <c r="B1642" s="53"/>
      <c r="I1642" s="53"/>
      <c r="U1642" s="31" t="n">
        <f aca="false">IF($B1642&lt;&gt;'設定（最初に1回）'!$C$4,N(U1641),IF(COUNTIFS(①今日の在庫を貼る!$B$6:$B$10005,$B1642,①今日の在庫を貼る!$I$6:$I$10005,$I1642)&gt;0,N(U1641),N(U1641)+1))</f>
        <v>2</v>
      </c>
    </row>
    <row r="1643" customFormat="false" ht="15" hidden="false" customHeight="false" outlineLevel="0" collapsed="false">
      <c r="B1643" s="53"/>
      <c r="I1643" s="53"/>
      <c r="U1643" s="31" t="n">
        <f aca="false">IF($B1643&lt;&gt;'設定（最初に1回）'!$C$4,N(U1642),IF(COUNTIFS(①今日の在庫を貼る!$B$6:$B$10005,$B1643,①今日の在庫を貼る!$I$6:$I$10005,$I1643)&gt;0,N(U1642),N(U1642)+1))</f>
        <v>2</v>
      </c>
    </row>
    <row r="1644" customFormat="false" ht="15" hidden="false" customHeight="false" outlineLevel="0" collapsed="false">
      <c r="B1644" s="53"/>
      <c r="I1644" s="53"/>
      <c r="U1644" s="31" t="n">
        <f aca="false">IF($B1644&lt;&gt;'設定（最初に1回）'!$C$4,N(U1643),IF(COUNTIFS(①今日の在庫を貼る!$B$6:$B$10005,$B1644,①今日の在庫を貼る!$I$6:$I$10005,$I1644)&gt;0,N(U1643),N(U1643)+1))</f>
        <v>2</v>
      </c>
    </row>
    <row r="1645" customFormat="false" ht="15" hidden="false" customHeight="false" outlineLevel="0" collapsed="false">
      <c r="B1645" s="53"/>
      <c r="I1645" s="53"/>
      <c r="U1645" s="31" t="n">
        <f aca="false">IF($B1645&lt;&gt;'設定（最初に1回）'!$C$4,N(U1644),IF(COUNTIFS(①今日の在庫を貼る!$B$6:$B$10005,$B1645,①今日の在庫を貼る!$I$6:$I$10005,$I1645)&gt;0,N(U1644),N(U1644)+1))</f>
        <v>2</v>
      </c>
    </row>
    <row r="1646" customFormat="false" ht="15" hidden="false" customHeight="false" outlineLevel="0" collapsed="false">
      <c r="B1646" s="53"/>
      <c r="I1646" s="53"/>
      <c r="U1646" s="31" t="n">
        <f aca="false">IF($B1646&lt;&gt;'設定（最初に1回）'!$C$4,N(U1645),IF(COUNTIFS(①今日の在庫を貼る!$B$6:$B$10005,$B1646,①今日の在庫を貼る!$I$6:$I$10005,$I1646)&gt;0,N(U1645),N(U1645)+1))</f>
        <v>2</v>
      </c>
    </row>
    <row r="1647" customFormat="false" ht="15" hidden="false" customHeight="false" outlineLevel="0" collapsed="false">
      <c r="B1647" s="53"/>
      <c r="I1647" s="53"/>
      <c r="U1647" s="31" t="n">
        <f aca="false">IF($B1647&lt;&gt;'設定（最初に1回）'!$C$4,N(U1646),IF(COUNTIFS(①今日の在庫を貼る!$B$6:$B$10005,$B1647,①今日の在庫を貼る!$I$6:$I$10005,$I1647)&gt;0,N(U1646),N(U1646)+1))</f>
        <v>2</v>
      </c>
    </row>
    <row r="1648" customFormat="false" ht="15" hidden="false" customHeight="false" outlineLevel="0" collapsed="false">
      <c r="B1648" s="53"/>
      <c r="I1648" s="53"/>
      <c r="U1648" s="31" t="n">
        <f aca="false">IF($B1648&lt;&gt;'設定（最初に1回）'!$C$4,N(U1647),IF(COUNTIFS(①今日の在庫を貼る!$B$6:$B$10005,$B1648,①今日の在庫を貼る!$I$6:$I$10005,$I1648)&gt;0,N(U1647),N(U1647)+1))</f>
        <v>2</v>
      </c>
    </row>
    <row r="1649" customFormat="false" ht="15" hidden="false" customHeight="false" outlineLevel="0" collapsed="false">
      <c r="B1649" s="53"/>
      <c r="I1649" s="53"/>
      <c r="U1649" s="31" t="n">
        <f aca="false">IF($B1649&lt;&gt;'設定（最初に1回）'!$C$4,N(U1648),IF(COUNTIFS(①今日の在庫を貼る!$B$6:$B$10005,$B1649,①今日の在庫を貼る!$I$6:$I$10005,$I1649)&gt;0,N(U1648),N(U1648)+1))</f>
        <v>2</v>
      </c>
    </row>
    <row r="1650" customFormat="false" ht="15" hidden="false" customHeight="false" outlineLevel="0" collapsed="false">
      <c r="B1650" s="53"/>
      <c r="I1650" s="53"/>
      <c r="U1650" s="31" t="n">
        <f aca="false">IF($B1650&lt;&gt;'設定（最初に1回）'!$C$4,N(U1649),IF(COUNTIFS(①今日の在庫を貼る!$B$6:$B$10005,$B1650,①今日の在庫を貼る!$I$6:$I$10005,$I1650)&gt;0,N(U1649),N(U1649)+1))</f>
        <v>2</v>
      </c>
    </row>
    <row r="1651" customFormat="false" ht="15" hidden="false" customHeight="false" outlineLevel="0" collapsed="false">
      <c r="B1651" s="53"/>
      <c r="I1651" s="53"/>
      <c r="U1651" s="31" t="n">
        <f aca="false">IF($B1651&lt;&gt;'設定（最初に1回）'!$C$4,N(U1650),IF(COUNTIFS(①今日の在庫を貼る!$B$6:$B$10005,$B1651,①今日の在庫を貼る!$I$6:$I$10005,$I1651)&gt;0,N(U1650),N(U1650)+1))</f>
        <v>2</v>
      </c>
    </row>
    <row r="1652" customFormat="false" ht="15" hidden="false" customHeight="false" outlineLevel="0" collapsed="false">
      <c r="B1652" s="53"/>
      <c r="I1652" s="53"/>
      <c r="U1652" s="31" t="n">
        <f aca="false">IF($B1652&lt;&gt;'設定（最初に1回）'!$C$4,N(U1651),IF(COUNTIFS(①今日の在庫を貼る!$B$6:$B$10005,$B1652,①今日の在庫を貼る!$I$6:$I$10005,$I1652)&gt;0,N(U1651),N(U1651)+1))</f>
        <v>2</v>
      </c>
    </row>
    <row r="1653" customFormat="false" ht="15" hidden="false" customHeight="false" outlineLevel="0" collapsed="false">
      <c r="B1653" s="53"/>
      <c r="I1653" s="53"/>
      <c r="U1653" s="31" t="n">
        <f aca="false">IF($B1653&lt;&gt;'設定（最初に1回）'!$C$4,N(U1652),IF(COUNTIFS(①今日の在庫を貼る!$B$6:$B$10005,$B1653,①今日の在庫を貼る!$I$6:$I$10005,$I1653)&gt;0,N(U1652),N(U1652)+1))</f>
        <v>2</v>
      </c>
    </row>
    <row r="1654" customFormat="false" ht="15" hidden="false" customHeight="false" outlineLevel="0" collapsed="false">
      <c r="B1654" s="53"/>
      <c r="I1654" s="53"/>
      <c r="U1654" s="31" t="n">
        <f aca="false">IF($B1654&lt;&gt;'設定（最初に1回）'!$C$4,N(U1653),IF(COUNTIFS(①今日の在庫を貼る!$B$6:$B$10005,$B1654,①今日の在庫を貼る!$I$6:$I$10005,$I1654)&gt;0,N(U1653),N(U1653)+1))</f>
        <v>2</v>
      </c>
    </row>
    <row r="1655" customFormat="false" ht="15" hidden="false" customHeight="false" outlineLevel="0" collapsed="false">
      <c r="B1655" s="53"/>
      <c r="I1655" s="53"/>
      <c r="U1655" s="31" t="n">
        <f aca="false">IF($B1655&lt;&gt;'設定（最初に1回）'!$C$4,N(U1654),IF(COUNTIFS(①今日の在庫を貼る!$B$6:$B$10005,$B1655,①今日の在庫を貼る!$I$6:$I$10005,$I1655)&gt;0,N(U1654),N(U1654)+1))</f>
        <v>2</v>
      </c>
    </row>
    <row r="1656" customFormat="false" ht="15" hidden="false" customHeight="false" outlineLevel="0" collapsed="false">
      <c r="B1656" s="53"/>
      <c r="I1656" s="53"/>
      <c r="U1656" s="31" t="n">
        <f aca="false">IF($B1656&lt;&gt;'設定（最初に1回）'!$C$4,N(U1655),IF(COUNTIFS(①今日の在庫を貼る!$B$6:$B$10005,$B1656,①今日の在庫を貼る!$I$6:$I$10005,$I1656)&gt;0,N(U1655),N(U1655)+1))</f>
        <v>2</v>
      </c>
    </row>
    <row r="1657" customFormat="false" ht="15" hidden="false" customHeight="false" outlineLevel="0" collapsed="false">
      <c r="B1657" s="53"/>
      <c r="I1657" s="53"/>
      <c r="U1657" s="31" t="n">
        <f aca="false">IF($B1657&lt;&gt;'設定（最初に1回）'!$C$4,N(U1656),IF(COUNTIFS(①今日の在庫を貼る!$B$6:$B$10005,$B1657,①今日の在庫を貼る!$I$6:$I$10005,$I1657)&gt;0,N(U1656),N(U1656)+1))</f>
        <v>2</v>
      </c>
    </row>
    <row r="1658" customFormat="false" ht="15" hidden="false" customHeight="false" outlineLevel="0" collapsed="false">
      <c r="B1658" s="53"/>
      <c r="I1658" s="53"/>
      <c r="U1658" s="31" t="n">
        <f aca="false">IF($B1658&lt;&gt;'設定（最初に1回）'!$C$4,N(U1657),IF(COUNTIFS(①今日の在庫を貼る!$B$6:$B$10005,$B1658,①今日の在庫を貼る!$I$6:$I$10005,$I1658)&gt;0,N(U1657),N(U1657)+1))</f>
        <v>2</v>
      </c>
    </row>
    <row r="1659" customFormat="false" ht="15" hidden="false" customHeight="false" outlineLevel="0" collapsed="false">
      <c r="B1659" s="53"/>
      <c r="I1659" s="53"/>
      <c r="U1659" s="31" t="n">
        <f aca="false">IF($B1659&lt;&gt;'設定（最初に1回）'!$C$4,N(U1658),IF(COUNTIFS(①今日の在庫を貼る!$B$6:$B$10005,$B1659,①今日の在庫を貼る!$I$6:$I$10005,$I1659)&gt;0,N(U1658),N(U1658)+1))</f>
        <v>2</v>
      </c>
    </row>
    <row r="1660" customFormat="false" ht="15" hidden="false" customHeight="false" outlineLevel="0" collapsed="false">
      <c r="B1660" s="53"/>
      <c r="I1660" s="53"/>
      <c r="U1660" s="31" t="n">
        <f aca="false">IF($B1660&lt;&gt;'設定（最初に1回）'!$C$4,N(U1659),IF(COUNTIFS(①今日の在庫を貼る!$B$6:$B$10005,$B1660,①今日の在庫を貼る!$I$6:$I$10005,$I1660)&gt;0,N(U1659),N(U1659)+1))</f>
        <v>2</v>
      </c>
    </row>
    <row r="1661" customFormat="false" ht="15" hidden="false" customHeight="false" outlineLevel="0" collapsed="false">
      <c r="B1661" s="53"/>
      <c r="I1661" s="53"/>
      <c r="U1661" s="31" t="n">
        <f aca="false">IF($B1661&lt;&gt;'設定（最初に1回）'!$C$4,N(U1660),IF(COUNTIFS(①今日の在庫を貼る!$B$6:$B$10005,$B1661,①今日の在庫を貼る!$I$6:$I$10005,$I1661)&gt;0,N(U1660),N(U1660)+1))</f>
        <v>2</v>
      </c>
    </row>
    <row r="1662" customFormat="false" ht="15" hidden="false" customHeight="false" outlineLevel="0" collapsed="false">
      <c r="B1662" s="53"/>
      <c r="I1662" s="53"/>
      <c r="U1662" s="31" t="n">
        <f aca="false">IF($B1662&lt;&gt;'設定（最初に1回）'!$C$4,N(U1661),IF(COUNTIFS(①今日の在庫を貼る!$B$6:$B$10005,$B1662,①今日の在庫を貼る!$I$6:$I$10005,$I1662)&gt;0,N(U1661),N(U1661)+1))</f>
        <v>2</v>
      </c>
    </row>
    <row r="1663" customFormat="false" ht="15" hidden="false" customHeight="false" outlineLevel="0" collapsed="false">
      <c r="B1663" s="53"/>
      <c r="I1663" s="53"/>
      <c r="U1663" s="31" t="n">
        <f aca="false">IF($B1663&lt;&gt;'設定（最初に1回）'!$C$4,N(U1662),IF(COUNTIFS(①今日の在庫を貼る!$B$6:$B$10005,$B1663,①今日の在庫を貼る!$I$6:$I$10005,$I1663)&gt;0,N(U1662),N(U1662)+1))</f>
        <v>2</v>
      </c>
    </row>
    <row r="1664" customFormat="false" ht="15" hidden="false" customHeight="false" outlineLevel="0" collapsed="false">
      <c r="B1664" s="53"/>
      <c r="I1664" s="53"/>
      <c r="U1664" s="31" t="n">
        <f aca="false">IF($B1664&lt;&gt;'設定（最初に1回）'!$C$4,N(U1663),IF(COUNTIFS(①今日の在庫を貼る!$B$6:$B$10005,$B1664,①今日の在庫を貼る!$I$6:$I$10005,$I1664)&gt;0,N(U1663),N(U1663)+1))</f>
        <v>2</v>
      </c>
    </row>
    <row r="1665" customFormat="false" ht="15" hidden="false" customHeight="false" outlineLevel="0" collapsed="false">
      <c r="B1665" s="53"/>
      <c r="I1665" s="53"/>
      <c r="U1665" s="31" t="n">
        <f aca="false">IF($B1665&lt;&gt;'設定（最初に1回）'!$C$4,N(U1664),IF(COUNTIFS(①今日の在庫を貼る!$B$6:$B$10005,$B1665,①今日の在庫を貼る!$I$6:$I$10005,$I1665)&gt;0,N(U1664),N(U1664)+1))</f>
        <v>2</v>
      </c>
    </row>
    <row r="1666" customFormat="false" ht="15" hidden="false" customHeight="false" outlineLevel="0" collapsed="false">
      <c r="B1666" s="53"/>
      <c r="I1666" s="53"/>
      <c r="U1666" s="31" t="n">
        <f aca="false">IF($B1666&lt;&gt;'設定（最初に1回）'!$C$4,N(U1665),IF(COUNTIFS(①今日の在庫を貼る!$B$6:$B$10005,$B1666,①今日の在庫を貼る!$I$6:$I$10005,$I1666)&gt;0,N(U1665),N(U1665)+1))</f>
        <v>2</v>
      </c>
    </row>
    <row r="1667" customFormat="false" ht="15" hidden="false" customHeight="false" outlineLevel="0" collapsed="false">
      <c r="B1667" s="53"/>
      <c r="I1667" s="53"/>
      <c r="U1667" s="31" t="n">
        <f aca="false">IF($B1667&lt;&gt;'設定（最初に1回）'!$C$4,N(U1666),IF(COUNTIFS(①今日の在庫を貼る!$B$6:$B$10005,$B1667,①今日の在庫を貼る!$I$6:$I$10005,$I1667)&gt;0,N(U1666),N(U1666)+1))</f>
        <v>2</v>
      </c>
    </row>
    <row r="1668" customFormat="false" ht="15" hidden="false" customHeight="false" outlineLevel="0" collapsed="false">
      <c r="B1668" s="53"/>
      <c r="I1668" s="53"/>
      <c r="U1668" s="31" t="n">
        <f aca="false">IF($B1668&lt;&gt;'設定（最初に1回）'!$C$4,N(U1667),IF(COUNTIFS(①今日の在庫を貼る!$B$6:$B$10005,$B1668,①今日の在庫を貼る!$I$6:$I$10005,$I1668)&gt;0,N(U1667),N(U1667)+1))</f>
        <v>2</v>
      </c>
    </row>
    <row r="1669" customFormat="false" ht="15" hidden="false" customHeight="false" outlineLevel="0" collapsed="false">
      <c r="B1669" s="53"/>
      <c r="I1669" s="53"/>
      <c r="U1669" s="31" t="n">
        <f aca="false">IF($B1669&lt;&gt;'設定（最初に1回）'!$C$4,N(U1668),IF(COUNTIFS(①今日の在庫を貼る!$B$6:$B$10005,$B1669,①今日の在庫を貼る!$I$6:$I$10005,$I1669)&gt;0,N(U1668),N(U1668)+1))</f>
        <v>2</v>
      </c>
    </row>
    <row r="1670" customFormat="false" ht="15" hidden="false" customHeight="false" outlineLevel="0" collapsed="false">
      <c r="B1670" s="53"/>
      <c r="I1670" s="53"/>
      <c r="U1670" s="31" t="n">
        <f aca="false">IF($B1670&lt;&gt;'設定（最初に1回）'!$C$4,N(U1669),IF(COUNTIFS(①今日の在庫を貼る!$B$6:$B$10005,$B1670,①今日の在庫を貼る!$I$6:$I$10005,$I1670)&gt;0,N(U1669),N(U1669)+1))</f>
        <v>2</v>
      </c>
    </row>
    <row r="1671" customFormat="false" ht="15" hidden="false" customHeight="false" outlineLevel="0" collapsed="false">
      <c r="B1671" s="53"/>
      <c r="I1671" s="53"/>
      <c r="U1671" s="31" t="n">
        <f aca="false">IF($B1671&lt;&gt;'設定（最初に1回）'!$C$4,N(U1670),IF(COUNTIFS(①今日の在庫を貼る!$B$6:$B$10005,$B1671,①今日の在庫を貼る!$I$6:$I$10005,$I1671)&gt;0,N(U1670),N(U1670)+1))</f>
        <v>2</v>
      </c>
    </row>
    <row r="1672" customFormat="false" ht="15" hidden="false" customHeight="false" outlineLevel="0" collapsed="false">
      <c r="B1672" s="53"/>
      <c r="I1672" s="53"/>
      <c r="U1672" s="31" t="n">
        <f aca="false">IF($B1672&lt;&gt;'設定（最初に1回）'!$C$4,N(U1671),IF(COUNTIFS(①今日の在庫を貼る!$B$6:$B$10005,$B1672,①今日の在庫を貼る!$I$6:$I$10005,$I1672)&gt;0,N(U1671),N(U1671)+1))</f>
        <v>2</v>
      </c>
    </row>
    <row r="1673" customFormat="false" ht="15" hidden="false" customHeight="false" outlineLevel="0" collapsed="false">
      <c r="B1673" s="53"/>
      <c r="I1673" s="53"/>
      <c r="U1673" s="31" t="n">
        <f aca="false">IF($B1673&lt;&gt;'設定（最初に1回）'!$C$4,N(U1672),IF(COUNTIFS(①今日の在庫を貼る!$B$6:$B$10005,$B1673,①今日の在庫を貼る!$I$6:$I$10005,$I1673)&gt;0,N(U1672),N(U1672)+1))</f>
        <v>2</v>
      </c>
    </row>
    <row r="1674" customFormat="false" ht="15" hidden="false" customHeight="false" outlineLevel="0" collapsed="false">
      <c r="B1674" s="53"/>
      <c r="I1674" s="53"/>
      <c r="U1674" s="31" t="n">
        <f aca="false">IF($B1674&lt;&gt;'設定（最初に1回）'!$C$4,N(U1673),IF(COUNTIFS(①今日の在庫を貼る!$B$6:$B$10005,$B1674,①今日の在庫を貼る!$I$6:$I$10005,$I1674)&gt;0,N(U1673),N(U1673)+1))</f>
        <v>2</v>
      </c>
    </row>
    <row r="1675" customFormat="false" ht="15" hidden="false" customHeight="false" outlineLevel="0" collapsed="false">
      <c r="B1675" s="53"/>
      <c r="I1675" s="53"/>
      <c r="U1675" s="31" t="n">
        <f aca="false">IF($B1675&lt;&gt;'設定（最初に1回）'!$C$4,N(U1674),IF(COUNTIFS(①今日の在庫を貼る!$B$6:$B$10005,$B1675,①今日の在庫を貼る!$I$6:$I$10005,$I1675)&gt;0,N(U1674),N(U1674)+1))</f>
        <v>2</v>
      </c>
    </row>
    <row r="1676" customFormat="false" ht="15" hidden="false" customHeight="false" outlineLevel="0" collapsed="false">
      <c r="B1676" s="53"/>
      <c r="I1676" s="53"/>
      <c r="U1676" s="31" t="n">
        <f aca="false">IF($B1676&lt;&gt;'設定（最初に1回）'!$C$4,N(U1675),IF(COUNTIFS(①今日の在庫を貼る!$B$6:$B$10005,$B1676,①今日の在庫を貼る!$I$6:$I$10005,$I1676)&gt;0,N(U1675),N(U1675)+1))</f>
        <v>2</v>
      </c>
    </row>
    <row r="1677" customFormat="false" ht="15" hidden="false" customHeight="false" outlineLevel="0" collapsed="false">
      <c r="B1677" s="53"/>
      <c r="I1677" s="53"/>
      <c r="U1677" s="31" t="n">
        <f aca="false">IF($B1677&lt;&gt;'設定（最初に1回）'!$C$4,N(U1676),IF(COUNTIFS(①今日の在庫を貼る!$B$6:$B$10005,$B1677,①今日の在庫を貼る!$I$6:$I$10005,$I1677)&gt;0,N(U1676),N(U1676)+1))</f>
        <v>2</v>
      </c>
    </row>
    <row r="1678" customFormat="false" ht="15" hidden="false" customHeight="false" outlineLevel="0" collapsed="false">
      <c r="B1678" s="53"/>
      <c r="I1678" s="53"/>
      <c r="U1678" s="31" t="n">
        <f aca="false">IF($B1678&lt;&gt;'設定（最初に1回）'!$C$4,N(U1677),IF(COUNTIFS(①今日の在庫を貼る!$B$6:$B$10005,$B1678,①今日の在庫を貼る!$I$6:$I$10005,$I1678)&gt;0,N(U1677),N(U1677)+1))</f>
        <v>2</v>
      </c>
    </row>
    <row r="1679" customFormat="false" ht="15" hidden="false" customHeight="false" outlineLevel="0" collapsed="false">
      <c r="B1679" s="53"/>
      <c r="I1679" s="53"/>
      <c r="U1679" s="31" t="n">
        <f aca="false">IF($B1679&lt;&gt;'設定（最初に1回）'!$C$4,N(U1678),IF(COUNTIFS(①今日の在庫を貼る!$B$6:$B$10005,$B1679,①今日の在庫を貼る!$I$6:$I$10005,$I1679)&gt;0,N(U1678),N(U1678)+1))</f>
        <v>2</v>
      </c>
    </row>
    <row r="1680" customFormat="false" ht="15" hidden="false" customHeight="false" outlineLevel="0" collapsed="false">
      <c r="B1680" s="53"/>
      <c r="I1680" s="53"/>
      <c r="U1680" s="31" t="n">
        <f aca="false">IF($B1680&lt;&gt;'設定（最初に1回）'!$C$4,N(U1679),IF(COUNTIFS(①今日の在庫を貼る!$B$6:$B$10005,$B1680,①今日の在庫を貼る!$I$6:$I$10005,$I1680)&gt;0,N(U1679),N(U1679)+1))</f>
        <v>2</v>
      </c>
    </row>
    <row r="1681" customFormat="false" ht="15" hidden="false" customHeight="false" outlineLevel="0" collapsed="false">
      <c r="B1681" s="53"/>
      <c r="I1681" s="53"/>
      <c r="U1681" s="31" t="n">
        <f aca="false">IF($B1681&lt;&gt;'設定（最初に1回）'!$C$4,N(U1680),IF(COUNTIFS(①今日の在庫を貼る!$B$6:$B$10005,$B1681,①今日の在庫を貼る!$I$6:$I$10005,$I1681)&gt;0,N(U1680),N(U1680)+1))</f>
        <v>2</v>
      </c>
    </row>
    <row r="1682" customFormat="false" ht="15" hidden="false" customHeight="false" outlineLevel="0" collapsed="false">
      <c r="B1682" s="53"/>
      <c r="I1682" s="53"/>
      <c r="U1682" s="31" t="n">
        <f aca="false">IF($B1682&lt;&gt;'設定（最初に1回）'!$C$4,N(U1681),IF(COUNTIFS(①今日の在庫を貼る!$B$6:$B$10005,$B1682,①今日の在庫を貼る!$I$6:$I$10005,$I1682)&gt;0,N(U1681),N(U1681)+1))</f>
        <v>2</v>
      </c>
    </row>
    <row r="1683" customFormat="false" ht="15" hidden="false" customHeight="false" outlineLevel="0" collapsed="false">
      <c r="B1683" s="53"/>
      <c r="I1683" s="53"/>
      <c r="U1683" s="31" t="n">
        <f aca="false">IF($B1683&lt;&gt;'設定（最初に1回）'!$C$4,N(U1682),IF(COUNTIFS(①今日の在庫を貼る!$B$6:$B$10005,$B1683,①今日の在庫を貼る!$I$6:$I$10005,$I1683)&gt;0,N(U1682),N(U1682)+1))</f>
        <v>2</v>
      </c>
    </row>
    <row r="1684" customFormat="false" ht="15" hidden="false" customHeight="false" outlineLevel="0" collapsed="false">
      <c r="B1684" s="53"/>
      <c r="I1684" s="53"/>
      <c r="U1684" s="31" t="n">
        <f aca="false">IF($B1684&lt;&gt;'設定（最初に1回）'!$C$4,N(U1683),IF(COUNTIFS(①今日の在庫を貼る!$B$6:$B$10005,$B1684,①今日の在庫を貼る!$I$6:$I$10005,$I1684)&gt;0,N(U1683),N(U1683)+1))</f>
        <v>2</v>
      </c>
    </row>
    <row r="1685" customFormat="false" ht="15" hidden="false" customHeight="false" outlineLevel="0" collapsed="false">
      <c r="B1685" s="53"/>
      <c r="I1685" s="53"/>
      <c r="U1685" s="31" t="n">
        <f aca="false">IF($B1685&lt;&gt;'設定（最初に1回）'!$C$4,N(U1684),IF(COUNTIFS(①今日の在庫を貼る!$B$6:$B$10005,$B1685,①今日の在庫を貼る!$I$6:$I$10005,$I1685)&gt;0,N(U1684),N(U1684)+1))</f>
        <v>2</v>
      </c>
    </row>
    <row r="1686" customFormat="false" ht="15" hidden="false" customHeight="false" outlineLevel="0" collapsed="false">
      <c r="B1686" s="53"/>
      <c r="I1686" s="53"/>
      <c r="U1686" s="31" t="n">
        <f aca="false">IF($B1686&lt;&gt;'設定（最初に1回）'!$C$4,N(U1685),IF(COUNTIFS(①今日の在庫を貼る!$B$6:$B$10005,$B1686,①今日の在庫を貼る!$I$6:$I$10005,$I1686)&gt;0,N(U1685),N(U1685)+1))</f>
        <v>2</v>
      </c>
    </row>
    <row r="1687" customFormat="false" ht="15" hidden="false" customHeight="false" outlineLevel="0" collapsed="false">
      <c r="B1687" s="53"/>
      <c r="I1687" s="53"/>
      <c r="U1687" s="31" t="n">
        <f aca="false">IF($B1687&lt;&gt;'設定（最初に1回）'!$C$4,N(U1686),IF(COUNTIFS(①今日の在庫を貼る!$B$6:$B$10005,$B1687,①今日の在庫を貼る!$I$6:$I$10005,$I1687)&gt;0,N(U1686),N(U1686)+1))</f>
        <v>2</v>
      </c>
    </row>
    <row r="1688" customFormat="false" ht="15" hidden="false" customHeight="false" outlineLevel="0" collapsed="false">
      <c r="B1688" s="53"/>
      <c r="I1688" s="53"/>
      <c r="U1688" s="31" t="n">
        <f aca="false">IF($B1688&lt;&gt;'設定（最初に1回）'!$C$4,N(U1687),IF(COUNTIFS(①今日の在庫を貼る!$B$6:$B$10005,$B1688,①今日の在庫を貼る!$I$6:$I$10005,$I1688)&gt;0,N(U1687),N(U1687)+1))</f>
        <v>2</v>
      </c>
    </row>
    <row r="1689" customFormat="false" ht="15" hidden="false" customHeight="false" outlineLevel="0" collapsed="false">
      <c r="B1689" s="53"/>
      <c r="I1689" s="53"/>
      <c r="U1689" s="31" t="n">
        <f aca="false">IF($B1689&lt;&gt;'設定（最初に1回）'!$C$4,N(U1688),IF(COUNTIFS(①今日の在庫を貼る!$B$6:$B$10005,$B1689,①今日の在庫を貼る!$I$6:$I$10005,$I1689)&gt;0,N(U1688),N(U1688)+1))</f>
        <v>2</v>
      </c>
    </row>
    <row r="1690" customFormat="false" ht="15" hidden="false" customHeight="false" outlineLevel="0" collapsed="false">
      <c r="B1690" s="53"/>
      <c r="I1690" s="53"/>
      <c r="U1690" s="31" t="n">
        <f aca="false">IF($B1690&lt;&gt;'設定（最初に1回）'!$C$4,N(U1689),IF(COUNTIFS(①今日の在庫を貼る!$B$6:$B$10005,$B1690,①今日の在庫を貼る!$I$6:$I$10005,$I1690)&gt;0,N(U1689),N(U1689)+1))</f>
        <v>2</v>
      </c>
    </row>
    <row r="1691" customFormat="false" ht="15" hidden="false" customHeight="false" outlineLevel="0" collapsed="false">
      <c r="B1691" s="53"/>
      <c r="I1691" s="53"/>
      <c r="U1691" s="31" t="n">
        <f aca="false">IF($B1691&lt;&gt;'設定（最初に1回）'!$C$4,N(U1690),IF(COUNTIFS(①今日の在庫を貼る!$B$6:$B$10005,$B1691,①今日の在庫を貼る!$I$6:$I$10005,$I1691)&gt;0,N(U1690),N(U1690)+1))</f>
        <v>2</v>
      </c>
    </row>
    <row r="1692" customFormat="false" ht="15" hidden="false" customHeight="false" outlineLevel="0" collapsed="false">
      <c r="B1692" s="53"/>
      <c r="I1692" s="53"/>
      <c r="U1692" s="31" t="n">
        <f aca="false">IF($B1692&lt;&gt;'設定（最初に1回）'!$C$4,N(U1691),IF(COUNTIFS(①今日の在庫を貼る!$B$6:$B$10005,$B1692,①今日の在庫を貼る!$I$6:$I$10005,$I1692)&gt;0,N(U1691),N(U1691)+1))</f>
        <v>2</v>
      </c>
    </row>
    <row r="1693" customFormat="false" ht="15" hidden="false" customHeight="false" outlineLevel="0" collapsed="false">
      <c r="B1693" s="53"/>
      <c r="I1693" s="53"/>
      <c r="U1693" s="31" t="n">
        <f aca="false">IF($B1693&lt;&gt;'設定（最初に1回）'!$C$4,N(U1692),IF(COUNTIFS(①今日の在庫を貼る!$B$6:$B$10005,$B1693,①今日の在庫を貼る!$I$6:$I$10005,$I1693)&gt;0,N(U1692),N(U1692)+1))</f>
        <v>2</v>
      </c>
    </row>
    <row r="1694" customFormat="false" ht="15" hidden="false" customHeight="false" outlineLevel="0" collapsed="false">
      <c r="B1694" s="53"/>
      <c r="I1694" s="53"/>
      <c r="U1694" s="31" t="n">
        <f aca="false">IF($B1694&lt;&gt;'設定（最初に1回）'!$C$4,N(U1693),IF(COUNTIFS(①今日の在庫を貼る!$B$6:$B$10005,$B1694,①今日の在庫を貼る!$I$6:$I$10005,$I1694)&gt;0,N(U1693),N(U1693)+1))</f>
        <v>2</v>
      </c>
    </row>
    <row r="1695" customFormat="false" ht="15" hidden="false" customHeight="false" outlineLevel="0" collapsed="false">
      <c r="B1695" s="53"/>
      <c r="I1695" s="53"/>
      <c r="U1695" s="31" t="n">
        <f aca="false">IF($B1695&lt;&gt;'設定（最初に1回）'!$C$4,N(U1694),IF(COUNTIFS(①今日の在庫を貼る!$B$6:$B$10005,$B1695,①今日の在庫を貼る!$I$6:$I$10005,$I1695)&gt;0,N(U1694),N(U1694)+1))</f>
        <v>2</v>
      </c>
    </row>
    <row r="1696" customFormat="false" ht="15" hidden="false" customHeight="false" outlineLevel="0" collapsed="false">
      <c r="B1696" s="53"/>
      <c r="I1696" s="53"/>
      <c r="U1696" s="31" t="n">
        <f aca="false">IF($B1696&lt;&gt;'設定（最初に1回）'!$C$4,N(U1695),IF(COUNTIFS(①今日の在庫を貼る!$B$6:$B$10005,$B1696,①今日の在庫を貼る!$I$6:$I$10005,$I1696)&gt;0,N(U1695),N(U1695)+1))</f>
        <v>2</v>
      </c>
    </row>
    <row r="1697" customFormat="false" ht="15" hidden="false" customHeight="false" outlineLevel="0" collapsed="false">
      <c r="B1697" s="53"/>
      <c r="I1697" s="53"/>
      <c r="U1697" s="31" t="n">
        <f aca="false">IF($B1697&lt;&gt;'設定（最初に1回）'!$C$4,N(U1696),IF(COUNTIFS(①今日の在庫を貼る!$B$6:$B$10005,$B1697,①今日の在庫を貼る!$I$6:$I$10005,$I1697)&gt;0,N(U1696),N(U1696)+1))</f>
        <v>2</v>
      </c>
    </row>
    <row r="1698" customFormat="false" ht="15" hidden="false" customHeight="false" outlineLevel="0" collapsed="false">
      <c r="B1698" s="53"/>
      <c r="I1698" s="53"/>
      <c r="U1698" s="31" t="n">
        <f aca="false">IF($B1698&lt;&gt;'設定（最初に1回）'!$C$4,N(U1697),IF(COUNTIFS(①今日の在庫を貼る!$B$6:$B$10005,$B1698,①今日の在庫を貼る!$I$6:$I$10005,$I1698)&gt;0,N(U1697),N(U1697)+1))</f>
        <v>2</v>
      </c>
    </row>
    <row r="1699" customFormat="false" ht="15" hidden="false" customHeight="false" outlineLevel="0" collapsed="false">
      <c r="B1699" s="53"/>
      <c r="I1699" s="53"/>
      <c r="U1699" s="31" t="n">
        <f aca="false">IF($B1699&lt;&gt;'設定（最初に1回）'!$C$4,N(U1698),IF(COUNTIFS(①今日の在庫を貼る!$B$6:$B$10005,$B1699,①今日の在庫を貼る!$I$6:$I$10005,$I1699)&gt;0,N(U1698),N(U1698)+1))</f>
        <v>2</v>
      </c>
    </row>
    <row r="1700" customFormat="false" ht="15" hidden="false" customHeight="false" outlineLevel="0" collapsed="false">
      <c r="B1700" s="53"/>
      <c r="I1700" s="53"/>
      <c r="U1700" s="31" t="n">
        <f aca="false">IF($B1700&lt;&gt;'設定（最初に1回）'!$C$4,N(U1699),IF(COUNTIFS(①今日の在庫を貼る!$B$6:$B$10005,$B1700,①今日の在庫を貼る!$I$6:$I$10005,$I1700)&gt;0,N(U1699),N(U1699)+1))</f>
        <v>2</v>
      </c>
    </row>
    <row r="1701" customFormat="false" ht="15" hidden="false" customHeight="false" outlineLevel="0" collapsed="false">
      <c r="B1701" s="53"/>
      <c r="I1701" s="53"/>
      <c r="U1701" s="31" t="n">
        <f aca="false">IF($B1701&lt;&gt;'設定（最初に1回）'!$C$4,N(U1700),IF(COUNTIFS(①今日の在庫を貼る!$B$6:$B$10005,$B1701,①今日の在庫を貼る!$I$6:$I$10005,$I1701)&gt;0,N(U1700),N(U1700)+1))</f>
        <v>2</v>
      </c>
    </row>
    <row r="1702" customFormat="false" ht="15" hidden="false" customHeight="false" outlineLevel="0" collapsed="false">
      <c r="B1702" s="53"/>
      <c r="I1702" s="53"/>
      <c r="U1702" s="31" t="n">
        <f aca="false">IF($B1702&lt;&gt;'設定（最初に1回）'!$C$4,N(U1701),IF(COUNTIFS(①今日の在庫を貼る!$B$6:$B$10005,$B1702,①今日の在庫を貼る!$I$6:$I$10005,$I1702)&gt;0,N(U1701),N(U1701)+1))</f>
        <v>2</v>
      </c>
    </row>
    <row r="1703" customFormat="false" ht="15" hidden="false" customHeight="false" outlineLevel="0" collapsed="false">
      <c r="B1703" s="53"/>
      <c r="I1703" s="53"/>
      <c r="U1703" s="31" t="n">
        <f aca="false">IF($B1703&lt;&gt;'設定（最初に1回）'!$C$4,N(U1702),IF(COUNTIFS(①今日の在庫を貼る!$B$6:$B$10005,$B1703,①今日の在庫を貼る!$I$6:$I$10005,$I1703)&gt;0,N(U1702),N(U1702)+1))</f>
        <v>2</v>
      </c>
    </row>
    <row r="1704" customFormat="false" ht="15" hidden="false" customHeight="false" outlineLevel="0" collapsed="false">
      <c r="B1704" s="53"/>
      <c r="I1704" s="53"/>
      <c r="U1704" s="31" t="n">
        <f aca="false">IF($B1704&lt;&gt;'設定（最初に1回）'!$C$4,N(U1703),IF(COUNTIFS(①今日の在庫を貼る!$B$6:$B$10005,$B1704,①今日の在庫を貼る!$I$6:$I$10005,$I1704)&gt;0,N(U1703),N(U1703)+1))</f>
        <v>2</v>
      </c>
    </row>
    <row r="1705" customFormat="false" ht="15" hidden="false" customHeight="false" outlineLevel="0" collapsed="false">
      <c r="B1705" s="53"/>
      <c r="I1705" s="53"/>
      <c r="U1705" s="31" t="n">
        <f aca="false">IF($B1705&lt;&gt;'設定（最初に1回）'!$C$4,N(U1704),IF(COUNTIFS(①今日の在庫を貼る!$B$6:$B$10005,$B1705,①今日の在庫を貼る!$I$6:$I$10005,$I1705)&gt;0,N(U1704),N(U1704)+1))</f>
        <v>2</v>
      </c>
    </row>
    <row r="1706" customFormat="false" ht="15" hidden="false" customHeight="false" outlineLevel="0" collapsed="false">
      <c r="B1706" s="53"/>
      <c r="I1706" s="53"/>
      <c r="U1706" s="31" t="n">
        <f aca="false">IF($B1706&lt;&gt;'設定（最初に1回）'!$C$4,N(U1705),IF(COUNTIFS(①今日の在庫を貼る!$B$6:$B$10005,$B1706,①今日の在庫を貼る!$I$6:$I$10005,$I1706)&gt;0,N(U1705),N(U1705)+1))</f>
        <v>2</v>
      </c>
    </row>
    <row r="1707" customFormat="false" ht="15" hidden="false" customHeight="false" outlineLevel="0" collapsed="false">
      <c r="B1707" s="53"/>
      <c r="I1707" s="53"/>
      <c r="U1707" s="31" t="n">
        <f aca="false">IF($B1707&lt;&gt;'設定（最初に1回）'!$C$4,N(U1706),IF(COUNTIFS(①今日の在庫を貼る!$B$6:$B$10005,$B1707,①今日の在庫を貼る!$I$6:$I$10005,$I1707)&gt;0,N(U1706),N(U1706)+1))</f>
        <v>2</v>
      </c>
    </row>
    <row r="1708" customFormat="false" ht="15" hidden="false" customHeight="false" outlineLevel="0" collapsed="false">
      <c r="B1708" s="53"/>
      <c r="I1708" s="53"/>
      <c r="U1708" s="31" t="n">
        <f aca="false">IF($B1708&lt;&gt;'設定（最初に1回）'!$C$4,N(U1707),IF(COUNTIFS(①今日の在庫を貼る!$B$6:$B$10005,$B1708,①今日の在庫を貼る!$I$6:$I$10005,$I1708)&gt;0,N(U1707),N(U1707)+1))</f>
        <v>2</v>
      </c>
    </row>
    <row r="1709" customFormat="false" ht="15" hidden="false" customHeight="false" outlineLevel="0" collapsed="false">
      <c r="B1709" s="53"/>
      <c r="I1709" s="53"/>
      <c r="U1709" s="31" t="n">
        <f aca="false">IF($B1709&lt;&gt;'設定（最初に1回）'!$C$4,N(U1708),IF(COUNTIFS(①今日の在庫を貼る!$B$6:$B$10005,$B1709,①今日の在庫を貼る!$I$6:$I$10005,$I1709)&gt;0,N(U1708),N(U1708)+1))</f>
        <v>2</v>
      </c>
    </row>
    <row r="1710" customFormat="false" ht="15" hidden="false" customHeight="false" outlineLevel="0" collapsed="false">
      <c r="B1710" s="53"/>
      <c r="I1710" s="53"/>
      <c r="U1710" s="31" t="n">
        <f aca="false">IF($B1710&lt;&gt;'設定（最初に1回）'!$C$4,N(U1709),IF(COUNTIFS(①今日の在庫を貼る!$B$6:$B$10005,$B1710,①今日の在庫を貼る!$I$6:$I$10005,$I1710)&gt;0,N(U1709),N(U1709)+1))</f>
        <v>2</v>
      </c>
    </row>
    <row r="1711" customFormat="false" ht="15" hidden="false" customHeight="false" outlineLevel="0" collapsed="false">
      <c r="B1711" s="53"/>
      <c r="I1711" s="53"/>
      <c r="U1711" s="31" t="n">
        <f aca="false">IF($B1711&lt;&gt;'設定（最初に1回）'!$C$4,N(U1710),IF(COUNTIFS(①今日の在庫を貼る!$B$6:$B$10005,$B1711,①今日の在庫を貼る!$I$6:$I$10005,$I1711)&gt;0,N(U1710),N(U1710)+1))</f>
        <v>2</v>
      </c>
    </row>
    <row r="1712" customFormat="false" ht="15" hidden="false" customHeight="false" outlineLevel="0" collapsed="false">
      <c r="B1712" s="53"/>
      <c r="I1712" s="53"/>
      <c r="U1712" s="31" t="n">
        <f aca="false">IF($B1712&lt;&gt;'設定（最初に1回）'!$C$4,N(U1711),IF(COUNTIFS(①今日の在庫を貼る!$B$6:$B$10005,$B1712,①今日の在庫を貼る!$I$6:$I$10005,$I1712)&gt;0,N(U1711),N(U1711)+1))</f>
        <v>2</v>
      </c>
    </row>
    <row r="1713" customFormat="false" ht="15" hidden="false" customHeight="false" outlineLevel="0" collapsed="false">
      <c r="B1713" s="53"/>
      <c r="I1713" s="53"/>
      <c r="U1713" s="31" t="n">
        <f aca="false">IF($B1713&lt;&gt;'設定（最初に1回）'!$C$4,N(U1712),IF(COUNTIFS(①今日の在庫を貼る!$B$6:$B$10005,$B1713,①今日の在庫を貼る!$I$6:$I$10005,$I1713)&gt;0,N(U1712),N(U1712)+1))</f>
        <v>2</v>
      </c>
    </row>
    <row r="1714" customFormat="false" ht="15" hidden="false" customHeight="false" outlineLevel="0" collapsed="false">
      <c r="B1714" s="53"/>
      <c r="I1714" s="53"/>
      <c r="U1714" s="31" t="n">
        <f aca="false">IF($B1714&lt;&gt;'設定（最初に1回）'!$C$4,N(U1713),IF(COUNTIFS(①今日の在庫を貼る!$B$6:$B$10005,$B1714,①今日の在庫を貼る!$I$6:$I$10005,$I1714)&gt;0,N(U1713),N(U1713)+1))</f>
        <v>2</v>
      </c>
    </row>
    <row r="1715" customFormat="false" ht="15" hidden="false" customHeight="false" outlineLevel="0" collapsed="false">
      <c r="B1715" s="53"/>
      <c r="I1715" s="53"/>
      <c r="U1715" s="31" t="n">
        <f aca="false">IF($B1715&lt;&gt;'設定（最初に1回）'!$C$4,N(U1714),IF(COUNTIFS(①今日の在庫を貼る!$B$6:$B$10005,$B1715,①今日の在庫を貼る!$I$6:$I$10005,$I1715)&gt;0,N(U1714),N(U1714)+1))</f>
        <v>2</v>
      </c>
    </row>
    <row r="1716" customFormat="false" ht="15" hidden="false" customHeight="false" outlineLevel="0" collapsed="false">
      <c r="B1716" s="53"/>
      <c r="I1716" s="53"/>
      <c r="U1716" s="31" t="n">
        <f aca="false">IF($B1716&lt;&gt;'設定（最初に1回）'!$C$4,N(U1715),IF(COUNTIFS(①今日の在庫を貼る!$B$6:$B$10005,$B1716,①今日の在庫を貼る!$I$6:$I$10005,$I1716)&gt;0,N(U1715),N(U1715)+1))</f>
        <v>2</v>
      </c>
    </row>
    <row r="1717" customFormat="false" ht="15" hidden="false" customHeight="false" outlineLevel="0" collapsed="false">
      <c r="B1717" s="53"/>
      <c r="I1717" s="53"/>
      <c r="U1717" s="31" t="n">
        <f aca="false">IF($B1717&lt;&gt;'設定（最初に1回）'!$C$4,N(U1716),IF(COUNTIFS(①今日の在庫を貼る!$B$6:$B$10005,$B1717,①今日の在庫を貼る!$I$6:$I$10005,$I1717)&gt;0,N(U1716),N(U1716)+1))</f>
        <v>2</v>
      </c>
    </row>
    <row r="1718" customFormat="false" ht="15" hidden="false" customHeight="false" outlineLevel="0" collapsed="false">
      <c r="B1718" s="53"/>
      <c r="I1718" s="53"/>
      <c r="U1718" s="31" t="n">
        <f aca="false">IF($B1718&lt;&gt;'設定（最初に1回）'!$C$4,N(U1717),IF(COUNTIFS(①今日の在庫を貼る!$B$6:$B$10005,$B1718,①今日の在庫を貼る!$I$6:$I$10005,$I1718)&gt;0,N(U1717),N(U1717)+1))</f>
        <v>2</v>
      </c>
    </row>
    <row r="1719" customFormat="false" ht="15" hidden="false" customHeight="false" outlineLevel="0" collapsed="false">
      <c r="B1719" s="53"/>
      <c r="I1719" s="53"/>
      <c r="U1719" s="31" t="n">
        <f aca="false">IF($B1719&lt;&gt;'設定（最初に1回）'!$C$4,N(U1718),IF(COUNTIFS(①今日の在庫を貼る!$B$6:$B$10005,$B1719,①今日の在庫を貼る!$I$6:$I$10005,$I1719)&gt;0,N(U1718),N(U1718)+1))</f>
        <v>2</v>
      </c>
    </row>
    <row r="1720" customFormat="false" ht="15" hidden="false" customHeight="false" outlineLevel="0" collapsed="false">
      <c r="B1720" s="53"/>
      <c r="I1720" s="53"/>
      <c r="U1720" s="31" t="n">
        <f aca="false">IF($B1720&lt;&gt;'設定（最初に1回）'!$C$4,N(U1719),IF(COUNTIFS(①今日の在庫を貼る!$B$6:$B$10005,$B1720,①今日の在庫を貼る!$I$6:$I$10005,$I1720)&gt;0,N(U1719),N(U1719)+1))</f>
        <v>2</v>
      </c>
    </row>
    <row r="1721" customFormat="false" ht="15" hidden="false" customHeight="false" outlineLevel="0" collapsed="false">
      <c r="B1721" s="53"/>
      <c r="I1721" s="53"/>
      <c r="U1721" s="31" t="n">
        <f aca="false">IF($B1721&lt;&gt;'設定（最初に1回）'!$C$4,N(U1720),IF(COUNTIFS(①今日の在庫を貼る!$B$6:$B$10005,$B1721,①今日の在庫を貼る!$I$6:$I$10005,$I1721)&gt;0,N(U1720),N(U1720)+1))</f>
        <v>2</v>
      </c>
    </row>
    <row r="1722" customFormat="false" ht="15" hidden="false" customHeight="false" outlineLevel="0" collapsed="false">
      <c r="B1722" s="53"/>
      <c r="I1722" s="53"/>
      <c r="U1722" s="31" t="n">
        <f aca="false">IF($B1722&lt;&gt;'設定（最初に1回）'!$C$4,N(U1721),IF(COUNTIFS(①今日の在庫を貼る!$B$6:$B$10005,$B1722,①今日の在庫を貼る!$I$6:$I$10005,$I1722)&gt;0,N(U1721),N(U1721)+1))</f>
        <v>2</v>
      </c>
    </row>
    <row r="1723" customFormat="false" ht="15" hidden="false" customHeight="false" outlineLevel="0" collapsed="false">
      <c r="B1723" s="53"/>
      <c r="I1723" s="53"/>
      <c r="U1723" s="31" t="n">
        <f aca="false">IF($B1723&lt;&gt;'設定（最初に1回）'!$C$4,N(U1722),IF(COUNTIFS(①今日の在庫を貼る!$B$6:$B$10005,$B1723,①今日の在庫を貼る!$I$6:$I$10005,$I1723)&gt;0,N(U1722),N(U1722)+1))</f>
        <v>2</v>
      </c>
    </row>
    <row r="1724" customFormat="false" ht="15" hidden="false" customHeight="false" outlineLevel="0" collapsed="false">
      <c r="B1724" s="53"/>
      <c r="I1724" s="53"/>
      <c r="U1724" s="31" t="n">
        <f aca="false">IF($B1724&lt;&gt;'設定（最初に1回）'!$C$4,N(U1723),IF(COUNTIFS(①今日の在庫を貼る!$B$6:$B$10005,$B1724,①今日の在庫を貼る!$I$6:$I$10005,$I1724)&gt;0,N(U1723),N(U1723)+1))</f>
        <v>2</v>
      </c>
    </row>
    <row r="1725" customFormat="false" ht="15" hidden="false" customHeight="false" outlineLevel="0" collapsed="false">
      <c r="B1725" s="53"/>
      <c r="I1725" s="53"/>
      <c r="U1725" s="31" t="n">
        <f aca="false">IF($B1725&lt;&gt;'設定（最初に1回）'!$C$4,N(U1724),IF(COUNTIFS(①今日の在庫を貼る!$B$6:$B$10005,$B1725,①今日の在庫を貼る!$I$6:$I$10005,$I1725)&gt;0,N(U1724),N(U1724)+1))</f>
        <v>2</v>
      </c>
    </row>
    <row r="1726" customFormat="false" ht="15" hidden="false" customHeight="false" outlineLevel="0" collapsed="false">
      <c r="B1726" s="53"/>
      <c r="I1726" s="53"/>
      <c r="U1726" s="31" t="n">
        <f aca="false">IF($B1726&lt;&gt;'設定（最初に1回）'!$C$4,N(U1725),IF(COUNTIFS(①今日の在庫を貼る!$B$6:$B$10005,$B1726,①今日の在庫を貼る!$I$6:$I$10005,$I1726)&gt;0,N(U1725),N(U1725)+1))</f>
        <v>2</v>
      </c>
    </row>
    <row r="1727" customFormat="false" ht="15" hidden="false" customHeight="false" outlineLevel="0" collapsed="false">
      <c r="B1727" s="53"/>
      <c r="I1727" s="53"/>
      <c r="U1727" s="31" t="n">
        <f aca="false">IF($B1727&lt;&gt;'設定（最初に1回）'!$C$4,N(U1726),IF(COUNTIFS(①今日の在庫を貼る!$B$6:$B$10005,$B1727,①今日の在庫を貼る!$I$6:$I$10005,$I1727)&gt;0,N(U1726),N(U1726)+1))</f>
        <v>2</v>
      </c>
    </row>
    <row r="1728" customFormat="false" ht="15" hidden="false" customHeight="false" outlineLevel="0" collapsed="false">
      <c r="B1728" s="53"/>
      <c r="I1728" s="53"/>
      <c r="U1728" s="31" t="n">
        <f aca="false">IF($B1728&lt;&gt;'設定（最初に1回）'!$C$4,N(U1727),IF(COUNTIFS(①今日の在庫を貼る!$B$6:$B$10005,$B1728,①今日の在庫を貼る!$I$6:$I$10005,$I1728)&gt;0,N(U1727),N(U1727)+1))</f>
        <v>2</v>
      </c>
    </row>
    <row r="1729" customFormat="false" ht="15" hidden="false" customHeight="false" outlineLevel="0" collapsed="false">
      <c r="B1729" s="53"/>
      <c r="I1729" s="53"/>
      <c r="U1729" s="31" t="n">
        <f aca="false">IF($B1729&lt;&gt;'設定（最初に1回）'!$C$4,N(U1728),IF(COUNTIFS(①今日の在庫を貼る!$B$6:$B$10005,$B1729,①今日の在庫を貼る!$I$6:$I$10005,$I1729)&gt;0,N(U1728),N(U1728)+1))</f>
        <v>2</v>
      </c>
    </row>
    <row r="1730" customFormat="false" ht="15" hidden="false" customHeight="false" outlineLevel="0" collapsed="false">
      <c r="B1730" s="53"/>
      <c r="I1730" s="53"/>
      <c r="U1730" s="31" t="n">
        <f aca="false">IF($B1730&lt;&gt;'設定（最初に1回）'!$C$4,N(U1729),IF(COUNTIFS(①今日の在庫を貼る!$B$6:$B$10005,$B1730,①今日の在庫を貼る!$I$6:$I$10005,$I1730)&gt;0,N(U1729),N(U1729)+1))</f>
        <v>2</v>
      </c>
    </row>
    <row r="1731" customFormat="false" ht="15" hidden="false" customHeight="false" outlineLevel="0" collapsed="false">
      <c r="B1731" s="53"/>
      <c r="I1731" s="53"/>
      <c r="U1731" s="31" t="n">
        <f aca="false">IF($B1731&lt;&gt;'設定（最初に1回）'!$C$4,N(U1730),IF(COUNTIFS(①今日の在庫を貼る!$B$6:$B$10005,$B1731,①今日の在庫を貼る!$I$6:$I$10005,$I1731)&gt;0,N(U1730),N(U1730)+1))</f>
        <v>2</v>
      </c>
    </row>
    <row r="1732" customFormat="false" ht="15" hidden="false" customHeight="false" outlineLevel="0" collapsed="false">
      <c r="B1732" s="53"/>
      <c r="I1732" s="53"/>
      <c r="U1732" s="31" t="n">
        <f aca="false">IF($B1732&lt;&gt;'設定（最初に1回）'!$C$4,N(U1731),IF(COUNTIFS(①今日の在庫を貼る!$B$6:$B$10005,$B1732,①今日の在庫を貼る!$I$6:$I$10005,$I1732)&gt;0,N(U1731),N(U1731)+1))</f>
        <v>2</v>
      </c>
    </row>
    <row r="1733" customFormat="false" ht="15" hidden="false" customHeight="false" outlineLevel="0" collapsed="false">
      <c r="B1733" s="53"/>
      <c r="I1733" s="53"/>
      <c r="U1733" s="31" t="n">
        <f aca="false">IF($B1733&lt;&gt;'設定（最初に1回）'!$C$4,N(U1732),IF(COUNTIFS(①今日の在庫を貼る!$B$6:$B$10005,$B1733,①今日の在庫を貼る!$I$6:$I$10005,$I1733)&gt;0,N(U1732),N(U1732)+1))</f>
        <v>2</v>
      </c>
    </row>
    <row r="1734" customFormat="false" ht="15" hidden="false" customHeight="false" outlineLevel="0" collapsed="false">
      <c r="B1734" s="53"/>
      <c r="I1734" s="53"/>
      <c r="U1734" s="31" t="n">
        <f aca="false">IF($B1734&lt;&gt;'設定（最初に1回）'!$C$4,N(U1733),IF(COUNTIFS(①今日の在庫を貼る!$B$6:$B$10005,$B1734,①今日の在庫を貼る!$I$6:$I$10005,$I1734)&gt;0,N(U1733),N(U1733)+1))</f>
        <v>2</v>
      </c>
    </row>
    <row r="1735" customFormat="false" ht="15" hidden="false" customHeight="false" outlineLevel="0" collapsed="false">
      <c r="B1735" s="53"/>
      <c r="I1735" s="53"/>
      <c r="U1735" s="31" t="n">
        <f aca="false">IF($B1735&lt;&gt;'設定（最初に1回）'!$C$4,N(U1734),IF(COUNTIFS(①今日の在庫を貼る!$B$6:$B$10005,$B1735,①今日の在庫を貼る!$I$6:$I$10005,$I1735)&gt;0,N(U1734),N(U1734)+1))</f>
        <v>2</v>
      </c>
    </row>
    <row r="1736" customFormat="false" ht="15" hidden="false" customHeight="false" outlineLevel="0" collapsed="false">
      <c r="B1736" s="53"/>
      <c r="I1736" s="53"/>
      <c r="U1736" s="31" t="n">
        <f aca="false">IF($B1736&lt;&gt;'設定（最初に1回）'!$C$4,N(U1735),IF(COUNTIFS(①今日の在庫を貼る!$B$6:$B$10005,$B1736,①今日の在庫を貼る!$I$6:$I$10005,$I1736)&gt;0,N(U1735),N(U1735)+1))</f>
        <v>2</v>
      </c>
    </row>
    <row r="1737" customFormat="false" ht="15" hidden="false" customHeight="false" outlineLevel="0" collapsed="false">
      <c r="B1737" s="53"/>
      <c r="I1737" s="53"/>
      <c r="U1737" s="31" t="n">
        <f aca="false">IF($B1737&lt;&gt;'設定（最初に1回）'!$C$4,N(U1736),IF(COUNTIFS(①今日の在庫を貼る!$B$6:$B$10005,$B1737,①今日の在庫を貼る!$I$6:$I$10005,$I1737)&gt;0,N(U1736),N(U1736)+1))</f>
        <v>2</v>
      </c>
    </row>
    <row r="1738" customFormat="false" ht="15" hidden="false" customHeight="false" outlineLevel="0" collapsed="false">
      <c r="B1738" s="53"/>
      <c r="I1738" s="53"/>
      <c r="U1738" s="31" t="n">
        <f aca="false">IF($B1738&lt;&gt;'設定（最初に1回）'!$C$4,N(U1737),IF(COUNTIFS(①今日の在庫を貼る!$B$6:$B$10005,$B1738,①今日の在庫を貼る!$I$6:$I$10005,$I1738)&gt;0,N(U1737),N(U1737)+1))</f>
        <v>2</v>
      </c>
    </row>
    <row r="1739" customFormat="false" ht="15" hidden="false" customHeight="false" outlineLevel="0" collapsed="false">
      <c r="B1739" s="53"/>
      <c r="I1739" s="53"/>
      <c r="U1739" s="31" t="n">
        <f aca="false">IF($B1739&lt;&gt;'設定（最初に1回）'!$C$4,N(U1738),IF(COUNTIFS(①今日の在庫を貼る!$B$6:$B$10005,$B1739,①今日の在庫を貼る!$I$6:$I$10005,$I1739)&gt;0,N(U1738),N(U1738)+1))</f>
        <v>2</v>
      </c>
    </row>
    <row r="1740" customFormat="false" ht="15" hidden="false" customHeight="false" outlineLevel="0" collapsed="false">
      <c r="B1740" s="53"/>
      <c r="I1740" s="53"/>
      <c r="U1740" s="31" t="n">
        <f aca="false">IF($B1740&lt;&gt;'設定（最初に1回）'!$C$4,N(U1739),IF(COUNTIFS(①今日の在庫を貼る!$B$6:$B$10005,$B1740,①今日の在庫を貼る!$I$6:$I$10005,$I1740)&gt;0,N(U1739),N(U1739)+1))</f>
        <v>2</v>
      </c>
    </row>
    <row r="1741" customFormat="false" ht="15" hidden="false" customHeight="false" outlineLevel="0" collapsed="false">
      <c r="B1741" s="53"/>
      <c r="I1741" s="53"/>
      <c r="U1741" s="31" t="n">
        <f aca="false">IF($B1741&lt;&gt;'設定（最初に1回）'!$C$4,N(U1740),IF(COUNTIFS(①今日の在庫を貼る!$B$6:$B$10005,$B1741,①今日の在庫を貼る!$I$6:$I$10005,$I1741)&gt;0,N(U1740),N(U1740)+1))</f>
        <v>2</v>
      </c>
    </row>
    <row r="1742" customFormat="false" ht="15" hidden="false" customHeight="false" outlineLevel="0" collapsed="false">
      <c r="B1742" s="53"/>
      <c r="I1742" s="53"/>
      <c r="U1742" s="31" t="n">
        <f aca="false">IF($B1742&lt;&gt;'設定（最初に1回）'!$C$4,N(U1741),IF(COUNTIFS(①今日の在庫を貼る!$B$6:$B$10005,$B1742,①今日の在庫を貼る!$I$6:$I$10005,$I1742)&gt;0,N(U1741),N(U1741)+1))</f>
        <v>2</v>
      </c>
    </row>
    <row r="1743" customFormat="false" ht="15" hidden="false" customHeight="false" outlineLevel="0" collapsed="false">
      <c r="B1743" s="53"/>
      <c r="I1743" s="53"/>
      <c r="U1743" s="31" t="n">
        <f aca="false">IF($B1743&lt;&gt;'設定（最初に1回）'!$C$4,N(U1742),IF(COUNTIFS(①今日の在庫を貼る!$B$6:$B$10005,$B1743,①今日の在庫を貼る!$I$6:$I$10005,$I1743)&gt;0,N(U1742),N(U1742)+1))</f>
        <v>2</v>
      </c>
    </row>
    <row r="1744" customFormat="false" ht="15" hidden="false" customHeight="false" outlineLevel="0" collapsed="false">
      <c r="B1744" s="53"/>
      <c r="I1744" s="53"/>
      <c r="U1744" s="31" t="n">
        <f aca="false">IF($B1744&lt;&gt;'設定（最初に1回）'!$C$4,N(U1743),IF(COUNTIFS(①今日の在庫を貼る!$B$6:$B$10005,$B1744,①今日の在庫を貼る!$I$6:$I$10005,$I1744)&gt;0,N(U1743),N(U1743)+1))</f>
        <v>2</v>
      </c>
    </row>
    <row r="1745" customFormat="false" ht="15" hidden="false" customHeight="false" outlineLevel="0" collapsed="false">
      <c r="B1745" s="53"/>
      <c r="I1745" s="53"/>
      <c r="U1745" s="31" t="n">
        <f aca="false">IF($B1745&lt;&gt;'設定（最初に1回）'!$C$4,N(U1744),IF(COUNTIFS(①今日の在庫を貼る!$B$6:$B$10005,$B1745,①今日の在庫を貼る!$I$6:$I$10005,$I1745)&gt;0,N(U1744),N(U1744)+1))</f>
        <v>2</v>
      </c>
    </row>
    <row r="1746" customFormat="false" ht="15" hidden="false" customHeight="false" outlineLevel="0" collapsed="false">
      <c r="B1746" s="53"/>
      <c r="I1746" s="53"/>
      <c r="U1746" s="31" t="n">
        <f aca="false">IF($B1746&lt;&gt;'設定（最初に1回）'!$C$4,N(U1745),IF(COUNTIFS(①今日の在庫を貼る!$B$6:$B$10005,$B1746,①今日の在庫を貼る!$I$6:$I$10005,$I1746)&gt;0,N(U1745),N(U1745)+1))</f>
        <v>2</v>
      </c>
    </row>
    <row r="1747" customFormat="false" ht="15" hidden="false" customHeight="false" outlineLevel="0" collapsed="false">
      <c r="B1747" s="53"/>
      <c r="I1747" s="53"/>
      <c r="U1747" s="31" t="n">
        <f aca="false">IF($B1747&lt;&gt;'設定（最初に1回）'!$C$4,N(U1746),IF(COUNTIFS(①今日の在庫を貼る!$B$6:$B$10005,$B1747,①今日の在庫を貼る!$I$6:$I$10005,$I1747)&gt;0,N(U1746),N(U1746)+1))</f>
        <v>2</v>
      </c>
    </row>
    <row r="1748" customFormat="false" ht="15" hidden="false" customHeight="false" outlineLevel="0" collapsed="false">
      <c r="B1748" s="53"/>
      <c r="I1748" s="53"/>
      <c r="U1748" s="31" t="n">
        <f aca="false">IF($B1748&lt;&gt;'設定（最初に1回）'!$C$4,N(U1747),IF(COUNTIFS(①今日の在庫を貼る!$B$6:$B$10005,$B1748,①今日の在庫を貼る!$I$6:$I$10005,$I1748)&gt;0,N(U1747),N(U1747)+1))</f>
        <v>2</v>
      </c>
    </row>
    <row r="1749" customFormat="false" ht="15" hidden="false" customHeight="false" outlineLevel="0" collapsed="false">
      <c r="B1749" s="53"/>
      <c r="I1749" s="53"/>
      <c r="U1749" s="31" t="n">
        <f aca="false">IF($B1749&lt;&gt;'設定（最初に1回）'!$C$4,N(U1748),IF(COUNTIFS(①今日の在庫を貼る!$B$6:$B$10005,$B1749,①今日の在庫を貼る!$I$6:$I$10005,$I1749)&gt;0,N(U1748),N(U1748)+1))</f>
        <v>2</v>
      </c>
    </row>
    <row r="1750" customFormat="false" ht="15" hidden="false" customHeight="false" outlineLevel="0" collapsed="false">
      <c r="B1750" s="53"/>
      <c r="I1750" s="53"/>
      <c r="U1750" s="31" t="n">
        <f aca="false">IF($B1750&lt;&gt;'設定（最初に1回）'!$C$4,N(U1749),IF(COUNTIFS(①今日の在庫を貼る!$B$6:$B$10005,$B1750,①今日の在庫を貼る!$I$6:$I$10005,$I1750)&gt;0,N(U1749),N(U1749)+1))</f>
        <v>2</v>
      </c>
    </row>
    <row r="1751" customFormat="false" ht="15" hidden="false" customHeight="false" outlineLevel="0" collapsed="false">
      <c r="B1751" s="53"/>
      <c r="I1751" s="53"/>
      <c r="U1751" s="31" t="n">
        <f aca="false">IF($B1751&lt;&gt;'設定（最初に1回）'!$C$4,N(U1750),IF(COUNTIFS(①今日の在庫を貼る!$B$6:$B$10005,$B1751,①今日の在庫を貼る!$I$6:$I$10005,$I1751)&gt;0,N(U1750),N(U1750)+1))</f>
        <v>2</v>
      </c>
    </row>
    <row r="1752" customFormat="false" ht="15" hidden="false" customHeight="false" outlineLevel="0" collapsed="false">
      <c r="B1752" s="53"/>
      <c r="I1752" s="53"/>
      <c r="U1752" s="31" t="n">
        <f aca="false">IF($B1752&lt;&gt;'設定（最初に1回）'!$C$4,N(U1751),IF(COUNTIFS(①今日の在庫を貼る!$B$6:$B$10005,$B1752,①今日の在庫を貼る!$I$6:$I$10005,$I1752)&gt;0,N(U1751),N(U1751)+1))</f>
        <v>2</v>
      </c>
    </row>
    <row r="1753" customFormat="false" ht="15" hidden="false" customHeight="false" outlineLevel="0" collapsed="false">
      <c r="B1753" s="53"/>
      <c r="I1753" s="53"/>
      <c r="U1753" s="31" t="n">
        <f aca="false">IF($B1753&lt;&gt;'設定（最初に1回）'!$C$4,N(U1752),IF(COUNTIFS(①今日の在庫を貼る!$B$6:$B$10005,$B1753,①今日の在庫を貼る!$I$6:$I$10005,$I1753)&gt;0,N(U1752),N(U1752)+1))</f>
        <v>2</v>
      </c>
    </row>
    <row r="1754" customFormat="false" ht="15" hidden="false" customHeight="false" outlineLevel="0" collapsed="false">
      <c r="B1754" s="53"/>
      <c r="I1754" s="53"/>
      <c r="U1754" s="31" t="n">
        <f aca="false">IF($B1754&lt;&gt;'設定（最初に1回）'!$C$4,N(U1753),IF(COUNTIFS(①今日の在庫を貼る!$B$6:$B$10005,$B1754,①今日の在庫を貼る!$I$6:$I$10005,$I1754)&gt;0,N(U1753),N(U1753)+1))</f>
        <v>2</v>
      </c>
    </row>
    <row r="1755" customFormat="false" ht="15" hidden="false" customHeight="false" outlineLevel="0" collapsed="false">
      <c r="B1755" s="53"/>
      <c r="I1755" s="53"/>
      <c r="U1755" s="31" t="n">
        <f aca="false">IF($B1755&lt;&gt;'設定（最初に1回）'!$C$4,N(U1754),IF(COUNTIFS(①今日の在庫を貼る!$B$6:$B$10005,$B1755,①今日の在庫を貼る!$I$6:$I$10005,$I1755)&gt;0,N(U1754),N(U1754)+1))</f>
        <v>2</v>
      </c>
    </row>
    <row r="1756" customFormat="false" ht="15" hidden="false" customHeight="false" outlineLevel="0" collapsed="false">
      <c r="B1756" s="53"/>
      <c r="I1756" s="53"/>
      <c r="U1756" s="31" t="n">
        <f aca="false">IF($B1756&lt;&gt;'設定（最初に1回）'!$C$4,N(U1755),IF(COUNTIFS(①今日の在庫を貼る!$B$6:$B$10005,$B1756,①今日の在庫を貼る!$I$6:$I$10005,$I1756)&gt;0,N(U1755),N(U1755)+1))</f>
        <v>2</v>
      </c>
    </row>
    <row r="1757" customFormat="false" ht="15" hidden="false" customHeight="false" outlineLevel="0" collapsed="false">
      <c r="B1757" s="53"/>
      <c r="I1757" s="53"/>
      <c r="U1757" s="31" t="n">
        <f aca="false">IF($B1757&lt;&gt;'設定（最初に1回）'!$C$4,N(U1756),IF(COUNTIFS(①今日の在庫を貼る!$B$6:$B$10005,$B1757,①今日の在庫を貼る!$I$6:$I$10005,$I1757)&gt;0,N(U1756),N(U1756)+1))</f>
        <v>2</v>
      </c>
    </row>
    <row r="1758" customFormat="false" ht="15" hidden="false" customHeight="false" outlineLevel="0" collapsed="false">
      <c r="B1758" s="53"/>
      <c r="I1758" s="53"/>
      <c r="U1758" s="31" t="n">
        <f aca="false">IF($B1758&lt;&gt;'設定（最初に1回）'!$C$4,N(U1757),IF(COUNTIFS(①今日の在庫を貼る!$B$6:$B$10005,$B1758,①今日の在庫を貼る!$I$6:$I$10005,$I1758)&gt;0,N(U1757),N(U1757)+1))</f>
        <v>2</v>
      </c>
    </row>
    <row r="1759" customFormat="false" ht="15" hidden="false" customHeight="false" outlineLevel="0" collapsed="false">
      <c r="B1759" s="53"/>
      <c r="I1759" s="53"/>
      <c r="U1759" s="31" t="n">
        <f aca="false">IF($B1759&lt;&gt;'設定（最初に1回）'!$C$4,N(U1758),IF(COUNTIFS(①今日の在庫を貼る!$B$6:$B$10005,$B1759,①今日の在庫を貼る!$I$6:$I$10005,$I1759)&gt;0,N(U1758),N(U1758)+1))</f>
        <v>2</v>
      </c>
    </row>
    <row r="1760" customFormat="false" ht="15" hidden="false" customHeight="false" outlineLevel="0" collapsed="false">
      <c r="B1760" s="53"/>
      <c r="I1760" s="53"/>
      <c r="U1760" s="31" t="n">
        <f aca="false">IF($B1760&lt;&gt;'設定（最初に1回）'!$C$4,N(U1759),IF(COUNTIFS(①今日の在庫を貼る!$B$6:$B$10005,$B1760,①今日の在庫を貼る!$I$6:$I$10005,$I1760)&gt;0,N(U1759),N(U1759)+1))</f>
        <v>2</v>
      </c>
    </row>
    <row r="1761" customFormat="false" ht="15" hidden="false" customHeight="false" outlineLevel="0" collapsed="false">
      <c r="B1761" s="53"/>
      <c r="I1761" s="53"/>
      <c r="U1761" s="31" t="n">
        <f aca="false">IF($B1761&lt;&gt;'設定（最初に1回）'!$C$4,N(U1760),IF(COUNTIFS(①今日の在庫を貼る!$B$6:$B$10005,$B1761,①今日の在庫を貼る!$I$6:$I$10005,$I1761)&gt;0,N(U1760),N(U1760)+1))</f>
        <v>2</v>
      </c>
    </row>
    <row r="1762" customFormat="false" ht="15" hidden="false" customHeight="false" outlineLevel="0" collapsed="false">
      <c r="B1762" s="53"/>
      <c r="I1762" s="53"/>
      <c r="U1762" s="31" t="n">
        <f aca="false">IF($B1762&lt;&gt;'設定（最初に1回）'!$C$4,N(U1761),IF(COUNTIFS(①今日の在庫を貼る!$B$6:$B$10005,$B1762,①今日の在庫を貼る!$I$6:$I$10005,$I1762)&gt;0,N(U1761),N(U1761)+1))</f>
        <v>2</v>
      </c>
    </row>
    <row r="1763" customFormat="false" ht="15" hidden="false" customHeight="false" outlineLevel="0" collapsed="false">
      <c r="B1763" s="53"/>
      <c r="I1763" s="53"/>
      <c r="U1763" s="31" t="n">
        <f aca="false">IF($B1763&lt;&gt;'設定（最初に1回）'!$C$4,N(U1762),IF(COUNTIFS(①今日の在庫を貼る!$B$6:$B$10005,$B1763,①今日の在庫を貼る!$I$6:$I$10005,$I1763)&gt;0,N(U1762),N(U1762)+1))</f>
        <v>2</v>
      </c>
    </row>
    <row r="1764" customFormat="false" ht="15" hidden="false" customHeight="false" outlineLevel="0" collapsed="false">
      <c r="B1764" s="53"/>
      <c r="I1764" s="53"/>
      <c r="U1764" s="31" t="n">
        <f aca="false">IF($B1764&lt;&gt;'設定（最初に1回）'!$C$4,N(U1763),IF(COUNTIFS(①今日の在庫を貼る!$B$6:$B$10005,$B1764,①今日の在庫を貼る!$I$6:$I$10005,$I1764)&gt;0,N(U1763),N(U1763)+1))</f>
        <v>2</v>
      </c>
    </row>
    <row r="1765" customFormat="false" ht="15" hidden="false" customHeight="false" outlineLevel="0" collapsed="false">
      <c r="B1765" s="53"/>
      <c r="I1765" s="53"/>
      <c r="U1765" s="31" t="n">
        <f aca="false">IF($B1765&lt;&gt;'設定（最初に1回）'!$C$4,N(U1764),IF(COUNTIFS(①今日の在庫を貼る!$B$6:$B$10005,$B1765,①今日の在庫を貼る!$I$6:$I$10005,$I1765)&gt;0,N(U1764),N(U1764)+1))</f>
        <v>2</v>
      </c>
    </row>
    <row r="1766" customFormat="false" ht="15" hidden="false" customHeight="false" outlineLevel="0" collapsed="false">
      <c r="B1766" s="53"/>
      <c r="I1766" s="53"/>
      <c r="U1766" s="31" t="n">
        <f aca="false">IF($B1766&lt;&gt;'設定（最初に1回）'!$C$4,N(U1765),IF(COUNTIFS(①今日の在庫を貼る!$B$6:$B$10005,$B1766,①今日の在庫を貼る!$I$6:$I$10005,$I1766)&gt;0,N(U1765),N(U1765)+1))</f>
        <v>2</v>
      </c>
    </row>
    <row r="1767" customFormat="false" ht="15" hidden="false" customHeight="false" outlineLevel="0" collapsed="false">
      <c r="B1767" s="53"/>
      <c r="I1767" s="53"/>
      <c r="U1767" s="31" t="n">
        <f aca="false">IF($B1767&lt;&gt;'設定（最初に1回）'!$C$4,N(U1766),IF(COUNTIFS(①今日の在庫を貼る!$B$6:$B$10005,$B1767,①今日の在庫を貼る!$I$6:$I$10005,$I1767)&gt;0,N(U1766),N(U1766)+1))</f>
        <v>2</v>
      </c>
    </row>
    <row r="1768" customFormat="false" ht="15" hidden="false" customHeight="false" outlineLevel="0" collapsed="false">
      <c r="B1768" s="53"/>
      <c r="I1768" s="53"/>
      <c r="U1768" s="31" t="n">
        <f aca="false">IF($B1768&lt;&gt;'設定（最初に1回）'!$C$4,N(U1767),IF(COUNTIFS(①今日の在庫を貼る!$B$6:$B$10005,$B1768,①今日の在庫を貼る!$I$6:$I$10005,$I1768)&gt;0,N(U1767),N(U1767)+1))</f>
        <v>2</v>
      </c>
    </row>
    <row r="1769" customFormat="false" ht="15" hidden="false" customHeight="false" outlineLevel="0" collapsed="false">
      <c r="B1769" s="53"/>
      <c r="I1769" s="53"/>
      <c r="U1769" s="31" t="n">
        <f aca="false">IF($B1769&lt;&gt;'設定（最初に1回）'!$C$4,N(U1768),IF(COUNTIFS(①今日の在庫を貼る!$B$6:$B$10005,$B1769,①今日の在庫を貼る!$I$6:$I$10005,$I1769)&gt;0,N(U1768),N(U1768)+1))</f>
        <v>2</v>
      </c>
    </row>
    <row r="1770" customFormat="false" ht="15" hidden="false" customHeight="false" outlineLevel="0" collapsed="false">
      <c r="B1770" s="53"/>
      <c r="I1770" s="53"/>
      <c r="U1770" s="31" t="n">
        <f aca="false">IF($B1770&lt;&gt;'設定（最初に1回）'!$C$4,N(U1769),IF(COUNTIFS(①今日の在庫を貼る!$B$6:$B$10005,$B1770,①今日の在庫を貼る!$I$6:$I$10005,$I1770)&gt;0,N(U1769),N(U1769)+1))</f>
        <v>2</v>
      </c>
    </row>
    <row r="1771" customFormat="false" ht="15" hidden="false" customHeight="false" outlineLevel="0" collapsed="false">
      <c r="B1771" s="53"/>
      <c r="I1771" s="53"/>
      <c r="U1771" s="31" t="n">
        <f aca="false">IF($B1771&lt;&gt;'設定（最初に1回）'!$C$4,N(U1770),IF(COUNTIFS(①今日の在庫を貼る!$B$6:$B$10005,$B1771,①今日の在庫を貼る!$I$6:$I$10005,$I1771)&gt;0,N(U1770),N(U1770)+1))</f>
        <v>2</v>
      </c>
    </row>
    <row r="1772" customFormat="false" ht="15" hidden="false" customHeight="false" outlineLevel="0" collapsed="false">
      <c r="B1772" s="53"/>
      <c r="I1772" s="53"/>
      <c r="U1772" s="31" t="n">
        <f aca="false">IF($B1772&lt;&gt;'設定（最初に1回）'!$C$4,N(U1771),IF(COUNTIFS(①今日の在庫を貼る!$B$6:$B$10005,$B1772,①今日の在庫を貼る!$I$6:$I$10005,$I1772)&gt;0,N(U1771),N(U1771)+1))</f>
        <v>2</v>
      </c>
    </row>
    <row r="1773" customFormat="false" ht="15" hidden="false" customHeight="false" outlineLevel="0" collapsed="false">
      <c r="B1773" s="53"/>
      <c r="I1773" s="53"/>
      <c r="U1773" s="31" t="n">
        <f aca="false">IF($B1773&lt;&gt;'設定（最初に1回）'!$C$4,N(U1772),IF(COUNTIFS(①今日の在庫を貼る!$B$6:$B$10005,$B1773,①今日の在庫を貼る!$I$6:$I$10005,$I1773)&gt;0,N(U1772),N(U1772)+1))</f>
        <v>2</v>
      </c>
    </row>
    <row r="1774" customFormat="false" ht="15" hidden="false" customHeight="false" outlineLevel="0" collapsed="false">
      <c r="B1774" s="53"/>
      <c r="I1774" s="53"/>
      <c r="U1774" s="31" t="n">
        <f aca="false">IF($B1774&lt;&gt;'設定（最初に1回）'!$C$4,N(U1773),IF(COUNTIFS(①今日の在庫を貼る!$B$6:$B$10005,$B1774,①今日の在庫を貼る!$I$6:$I$10005,$I1774)&gt;0,N(U1773),N(U1773)+1))</f>
        <v>2</v>
      </c>
    </row>
    <row r="1775" customFormat="false" ht="15" hidden="false" customHeight="false" outlineLevel="0" collapsed="false">
      <c r="B1775" s="53"/>
      <c r="I1775" s="53"/>
      <c r="U1775" s="31" t="n">
        <f aca="false">IF($B1775&lt;&gt;'設定（最初に1回）'!$C$4,N(U1774),IF(COUNTIFS(①今日の在庫を貼る!$B$6:$B$10005,$B1775,①今日の在庫を貼る!$I$6:$I$10005,$I1775)&gt;0,N(U1774),N(U1774)+1))</f>
        <v>2</v>
      </c>
    </row>
    <row r="1776" customFormat="false" ht="15" hidden="false" customHeight="false" outlineLevel="0" collapsed="false">
      <c r="B1776" s="53"/>
      <c r="I1776" s="53"/>
      <c r="U1776" s="31" t="n">
        <f aca="false">IF($B1776&lt;&gt;'設定（最初に1回）'!$C$4,N(U1775),IF(COUNTIFS(①今日の在庫を貼る!$B$6:$B$10005,$B1776,①今日の在庫を貼る!$I$6:$I$10005,$I1776)&gt;0,N(U1775),N(U1775)+1))</f>
        <v>2</v>
      </c>
    </row>
    <row r="1777" customFormat="false" ht="15" hidden="false" customHeight="false" outlineLevel="0" collapsed="false">
      <c r="B1777" s="53"/>
      <c r="I1777" s="53"/>
      <c r="U1777" s="31" t="n">
        <f aca="false">IF($B1777&lt;&gt;'設定（最初に1回）'!$C$4,N(U1776),IF(COUNTIFS(①今日の在庫を貼る!$B$6:$B$10005,$B1777,①今日の在庫を貼る!$I$6:$I$10005,$I1777)&gt;0,N(U1776),N(U1776)+1))</f>
        <v>2</v>
      </c>
    </row>
    <row r="1778" customFormat="false" ht="15" hidden="false" customHeight="false" outlineLevel="0" collapsed="false">
      <c r="B1778" s="53"/>
      <c r="I1778" s="53"/>
      <c r="U1778" s="31" t="n">
        <f aca="false">IF($B1778&lt;&gt;'設定（最初に1回）'!$C$4,N(U1777),IF(COUNTIFS(①今日の在庫を貼る!$B$6:$B$10005,$B1778,①今日の在庫を貼る!$I$6:$I$10005,$I1778)&gt;0,N(U1777),N(U1777)+1))</f>
        <v>2</v>
      </c>
    </row>
    <row r="1779" customFormat="false" ht="15" hidden="false" customHeight="false" outlineLevel="0" collapsed="false">
      <c r="B1779" s="53"/>
      <c r="I1779" s="53"/>
      <c r="U1779" s="31" t="n">
        <f aca="false">IF($B1779&lt;&gt;'設定（最初に1回）'!$C$4,N(U1778),IF(COUNTIFS(①今日の在庫を貼る!$B$6:$B$10005,$B1779,①今日の在庫を貼る!$I$6:$I$10005,$I1779)&gt;0,N(U1778),N(U1778)+1))</f>
        <v>2</v>
      </c>
    </row>
    <row r="1780" customFormat="false" ht="15" hidden="false" customHeight="false" outlineLevel="0" collapsed="false">
      <c r="B1780" s="53"/>
      <c r="I1780" s="53"/>
      <c r="U1780" s="31" t="n">
        <f aca="false">IF($B1780&lt;&gt;'設定（最初に1回）'!$C$4,N(U1779),IF(COUNTIFS(①今日の在庫を貼る!$B$6:$B$10005,$B1780,①今日の在庫を貼る!$I$6:$I$10005,$I1780)&gt;0,N(U1779),N(U1779)+1))</f>
        <v>2</v>
      </c>
    </row>
    <row r="1781" customFormat="false" ht="15" hidden="false" customHeight="false" outlineLevel="0" collapsed="false">
      <c r="B1781" s="53"/>
      <c r="I1781" s="53"/>
      <c r="U1781" s="31" t="n">
        <f aca="false">IF($B1781&lt;&gt;'設定（最初に1回）'!$C$4,N(U1780),IF(COUNTIFS(①今日の在庫を貼る!$B$6:$B$10005,$B1781,①今日の在庫を貼る!$I$6:$I$10005,$I1781)&gt;0,N(U1780),N(U1780)+1))</f>
        <v>2</v>
      </c>
    </row>
    <row r="1782" customFormat="false" ht="15" hidden="false" customHeight="false" outlineLevel="0" collapsed="false">
      <c r="B1782" s="53"/>
      <c r="I1782" s="53"/>
      <c r="U1782" s="31" t="n">
        <f aca="false">IF($B1782&lt;&gt;'設定（最初に1回）'!$C$4,N(U1781),IF(COUNTIFS(①今日の在庫を貼る!$B$6:$B$10005,$B1782,①今日の在庫を貼る!$I$6:$I$10005,$I1782)&gt;0,N(U1781),N(U1781)+1))</f>
        <v>2</v>
      </c>
    </row>
    <row r="1783" customFormat="false" ht="15" hidden="false" customHeight="false" outlineLevel="0" collapsed="false">
      <c r="B1783" s="53"/>
      <c r="I1783" s="53"/>
      <c r="U1783" s="31" t="n">
        <f aca="false">IF($B1783&lt;&gt;'設定（最初に1回）'!$C$4,N(U1782),IF(COUNTIFS(①今日の在庫を貼る!$B$6:$B$10005,$B1783,①今日の在庫を貼る!$I$6:$I$10005,$I1783)&gt;0,N(U1782),N(U1782)+1))</f>
        <v>2</v>
      </c>
    </row>
    <row r="1784" customFormat="false" ht="15" hidden="false" customHeight="false" outlineLevel="0" collapsed="false">
      <c r="B1784" s="53"/>
      <c r="I1784" s="53"/>
      <c r="U1784" s="31" t="n">
        <f aca="false">IF($B1784&lt;&gt;'設定（最初に1回）'!$C$4,N(U1783),IF(COUNTIFS(①今日の在庫を貼る!$B$6:$B$10005,$B1784,①今日の在庫を貼る!$I$6:$I$10005,$I1784)&gt;0,N(U1783),N(U1783)+1))</f>
        <v>2</v>
      </c>
    </row>
    <row r="1785" customFormat="false" ht="15" hidden="false" customHeight="false" outlineLevel="0" collapsed="false">
      <c r="B1785" s="53"/>
      <c r="I1785" s="53"/>
      <c r="U1785" s="31" t="n">
        <f aca="false">IF($B1785&lt;&gt;'設定（最初に1回）'!$C$4,N(U1784),IF(COUNTIFS(①今日の在庫を貼る!$B$6:$B$10005,$B1785,①今日の在庫を貼る!$I$6:$I$10005,$I1785)&gt;0,N(U1784),N(U1784)+1))</f>
        <v>2</v>
      </c>
    </row>
    <row r="1786" customFormat="false" ht="15" hidden="false" customHeight="false" outlineLevel="0" collapsed="false">
      <c r="B1786" s="53"/>
      <c r="I1786" s="53"/>
      <c r="U1786" s="31" t="n">
        <f aca="false">IF($B1786&lt;&gt;'設定（最初に1回）'!$C$4,N(U1785),IF(COUNTIFS(①今日の在庫を貼る!$B$6:$B$10005,$B1786,①今日の在庫を貼る!$I$6:$I$10005,$I1786)&gt;0,N(U1785),N(U1785)+1))</f>
        <v>2</v>
      </c>
    </row>
    <row r="1787" customFormat="false" ht="15" hidden="false" customHeight="false" outlineLevel="0" collapsed="false">
      <c r="B1787" s="53"/>
      <c r="I1787" s="53"/>
      <c r="U1787" s="31" t="n">
        <f aca="false">IF($B1787&lt;&gt;'設定（最初に1回）'!$C$4,N(U1786),IF(COUNTIFS(①今日の在庫を貼る!$B$6:$B$10005,$B1787,①今日の在庫を貼る!$I$6:$I$10005,$I1787)&gt;0,N(U1786),N(U1786)+1))</f>
        <v>2</v>
      </c>
    </row>
    <row r="1788" customFormat="false" ht="15" hidden="false" customHeight="false" outlineLevel="0" collapsed="false">
      <c r="B1788" s="53"/>
      <c r="I1788" s="53"/>
      <c r="U1788" s="31" t="n">
        <f aca="false">IF($B1788&lt;&gt;'設定（最初に1回）'!$C$4,N(U1787),IF(COUNTIFS(①今日の在庫を貼る!$B$6:$B$10005,$B1788,①今日の在庫を貼る!$I$6:$I$10005,$I1788)&gt;0,N(U1787),N(U1787)+1))</f>
        <v>2</v>
      </c>
    </row>
    <row r="1789" customFormat="false" ht="15" hidden="false" customHeight="false" outlineLevel="0" collapsed="false">
      <c r="B1789" s="53"/>
      <c r="I1789" s="53"/>
      <c r="U1789" s="31" t="n">
        <f aca="false">IF($B1789&lt;&gt;'設定（最初に1回）'!$C$4,N(U1788),IF(COUNTIFS(①今日の在庫を貼る!$B$6:$B$10005,$B1789,①今日の在庫を貼る!$I$6:$I$10005,$I1789)&gt;0,N(U1788),N(U1788)+1))</f>
        <v>2</v>
      </c>
    </row>
    <row r="1790" customFormat="false" ht="15" hidden="false" customHeight="false" outlineLevel="0" collapsed="false">
      <c r="B1790" s="53"/>
      <c r="I1790" s="53"/>
      <c r="U1790" s="31" t="n">
        <f aca="false">IF($B1790&lt;&gt;'設定（最初に1回）'!$C$4,N(U1789),IF(COUNTIFS(①今日の在庫を貼る!$B$6:$B$10005,$B1790,①今日の在庫を貼る!$I$6:$I$10005,$I1790)&gt;0,N(U1789),N(U1789)+1))</f>
        <v>2</v>
      </c>
    </row>
    <row r="1791" customFormat="false" ht="15" hidden="false" customHeight="false" outlineLevel="0" collapsed="false">
      <c r="B1791" s="53"/>
      <c r="I1791" s="53"/>
      <c r="U1791" s="31" t="n">
        <f aca="false">IF($B1791&lt;&gt;'設定（最初に1回）'!$C$4,N(U1790),IF(COUNTIFS(①今日の在庫を貼る!$B$6:$B$10005,$B1791,①今日の在庫を貼る!$I$6:$I$10005,$I1791)&gt;0,N(U1790),N(U1790)+1))</f>
        <v>2</v>
      </c>
    </row>
    <row r="1792" customFormat="false" ht="15" hidden="false" customHeight="false" outlineLevel="0" collapsed="false">
      <c r="B1792" s="53"/>
      <c r="I1792" s="53"/>
      <c r="U1792" s="31" t="n">
        <f aca="false">IF($B1792&lt;&gt;'設定（最初に1回）'!$C$4,N(U1791),IF(COUNTIFS(①今日の在庫を貼る!$B$6:$B$10005,$B1792,①今日の在庫を貼る!$I$6:$I$10005,$I1792)&gt;0,N(U1791),N(U1791)+1))</f>
        <v>2</v>
      </c>
    </row>
    <row r="1793" customFormat="false" ht="15" hidden="false" customHeight="false" outlineLevel="0" collapsed="false">
      <c r="B1793" s="53"/>
      <c r="I1793" s="53"/>
      <c r="U1793" s="31" t="n">
        <f aca="false">IF($B1793&lt;&gt;'設定（最初に1回）'!$C$4,N(U1792),IF(COUNTIFS(①今日の在庫を貼る!$B$6:$B$10005,$B1793,①今日の在庫を貼る!$I$6:$I$10005,$I1793)&gt;0,N(U1792),N(U1792)+1))</f>
        <v>2</v>
      </c>
    </row>
    <row r="1794" customFormat="false" ht="15" hidden="false" customHeight="false" outlineLevel="0" collapsed="false">
      <c r="B1794" s="53"/>
      <c r="I1794" s="53"/>
      <c r="U1794" s="31" t="n">
        <f aca="false">IF($B1794&lt;&gt;'設定（最初に1回）'!$C$4,N(U1793),IF(COUNTIFS(①今日の在庫を貼る!$B$6:$B$10005,$B1794,①今日の在庫を貼る!$I$6:$I$10005,$I1794)&gt;0,N(U1793),N(U1793)+1))</f>
        <v>2</v>
      </c>
    </row>
    <row r="1795" customFormat="false" ht="15" hidden="false" customHeight="false" outlineLevel="0" collapsed="false">
      <c r="B1795" s="53"/>
      <c r="I1795" s="53"/>
      <c r="U1795" s="31" t="n">
        <f aca="false">IF($B1795&lt;&gt;'設定（最初に1回）'!$C$4,N(U1794),IF(COUNTIFS(①今日の在庫を貼る!$B$6:$B$10005,$B1795,①今日の在庫を貼る!$I$6:$I$10005,$I1795)&gt;0,N(U1794),N(U1794)+1))</f>
        <v>2</v>
      </c>
    </row>
    <row r="1796" customFormat="false" ht="15" hidden="false" customHeight="false" outlineLevel="0" collapsed="false">
      <c r="B1796" s="53"/>
      <c r="I1796" s="53"/>
      <c r="U1796" s="31" t="n">
        <f aca="false">IF($B1796&lt;&gt;'設定（最初に1回）'!$C$4,N(U1795),IF(COUNTIFS(①今日の在庫を貼る!$B$6:$B$10005,$B1796,①今日の在庫を貼る!$I$6:$I$10005,$I1796)&gt;0,N(U1795),N(U1795)+1))</f>
        <v>2</v>
      </c>
    </row>
    <row r="1797" customFormat="false" ht="15" hidden="false" customHeight="false" outlineLevel="0" collapsed="false">
      <c r="B1797" s="53"/>
      <c r="I1797" s="53"/>
      <c r="U1797" s="31" t="n">
        <f aca="false">IF($B1797&lt;&gt;'設定（最初に1回）'!$C$4,N(U1796),IF(COUNTIFS(①今日の在庫を貼る!$B$6:$B$10005,$B1797,①今日の在庫を貼る!$I$6:$I$10005,$I1797)&gt;0,N(U1796),N(U1796)+1))</f>
        <v>2</v>
      </c>
    </row>
    <row r="1798" customFormat="false" ht="15" hidden="false" customHeight="false" outlineLevel="0" collapsed="false">
      <c r="B1798" s="53"/>
      <c r="I1798" s="53"/>
      <c r="U1798" s="31" t="n">
        <f aca="false">IF($B1798&lt;&gt;'設定（最初に1回）'!$C$4,N(U1797),IF(COUNTIFS(①今日の在庫を貼る!$B$6:$B$10005,$B1798,①今日の在庫を貼る!$I$6:$I$10005,$I1798)&gt;0,N(U1797),N(U1797)+1))</f>
        <v>2</v>
      </c>
    </row>
    <row r="1799" customFormat="false" ht="15" hidden="false" customHeight="false" outlineLevel="0" collapsed="false">
      <c r="B1799" s="53"/>
      <c r="I1799" s="53"/>
      <c r="U1799" s="31" t="n">
        <f aca="false">IF($B1799&lt;&gt;'設定（最初に1回）'!$C$4,N(U1798),IF(COUNTIFS(①今日の在庫を貼る!$B$6:$B$10005,$B1799,①今日の在庫を貼る!$I$6:$I$10005,$I1799)&gt;0,N(U1798),N(U1798)+1))</f>
        <v>2</v>
      </c>
    </row>
    <row r="1800" customFormat="false" ht="15" hidden="false" customHeight="false" outlineLevel="0" collapsed="false">
      <c r="B1800" s="53"/>
      <c r="I1800" s="53"/>
      <c r="U1800" s="31" t="n">
        <f aca="false">IF($B1800&lt;&gt;'設定（最初に1回）'!$C$4,N(U1799),IF(COUNTIFS(①今日の在庫を貼る!$B$6:$B$10005,$B1800,①今日の在庫を貼る!$I$6:$I$10005,$I1800)&gt;0,N(U1799),N(U1799)+1))</f>
        <v>2</v>
      </c>
    </row>
    <row r="1801" customFormat="false" ht="15" hidden="false" customHeight="false" outlineLevel="0" collapsed="false">
      <c r="B1801" s="53"/>
      <c r="I1801" s="53"/>
      <c r="U1801" s="31" t="n">
        <f aca="false">IF($B1801&lt;&gt;'設定（最初に1回）'!$C$4,N(U1800),IF(COUNTIFS(①今日の在庫を貼る!$B$6:$B$10005,$B1801,①今日の在庫を貼る!$I$6:$I$10005,$I1801)&gt;0,N(U1800),N(U1800)+1))</f>
        <v>2</v>
      </c>
    </row>
    <row r="1802" customFormat="false" ht="15" hidden="false" customHeight="false" outlineLevel="0" collapsed="false">
      <c r="B1802" s="53"/>
      <c r="I1802" s="53"/>
      <c r="U1802" s="31" t="n">
        <f aca="false">IF($B1802&lt;&gt;'設定（最初に1回）'!$C$4,N(U1801),IF(COUNTIFS(①今日の在庫を貼る!$B$6:$B$10005,$B1802,①今日の在庫を貼る!$I$6:$I$10005,$I1802)&gt;0,N(U1801),N(U1801)+1))</f>
        <v>2</v>
      </c>
    </row>
    <row r="1803" customFormat="false" ht="15" hidden="false" customHeight="false" outlineLevel="0" collapsed="false">
      <c r="B1803" s="53"/>
      <c r="I1803" s="53"/>
      <c r="U1803" s="31" t="n">
        <f aca="false">IF($B1803&lt;&gt;'設定（最初に1回）'!$C$4,N(U1802),IF(COUNTIFS(①今日の在庫を貼る!$B$6:$B$10005,$B1803,①今日の在庫を貼る!$I$6:$I$10005,$I1803)&gt;0,N(U1802),N(U1802)+1))</f>
        <v>2</v>
      </c>
    </row>
    <row r="1804" customFormat="false" ht="15" hidden="false" customHeight="false" outlineLevel="0" collapsed="false">
      <c r="B1804" s="53"/>
      <c r="I1804" s="53"/>
      <c r="U1804" s="31" t="n">
        <f aca="false">IF($B1804&lt;&gt;'設定（最初に1回）'!$C$4,N(U1803),IF(COUNTIFS(①今日の在庫を貼る!$B$6:$B$10005,$B1804,①今日の在庫を貼る!$I$6:$I$10005,$I1804)&gt;0,N(U1803),N(U1803)+1))</f>
        <v>2</v>
      </c>
    </row>
    <row r="1805" customFormat="false" ht="15" hidden="false" customHeight="false" outlineLevel="0" collapsed="false">
      <c r="B1805" s="53"/>
      <c r="I1805" s="53"/>
      <c r="U1805" s="31" t="n">
        <f aca="false">IF($B1805&lt;&gt;'設定（最初に1回）'!$C$4,N(U1804),IF(COUNTIFS(①今日の在庫を貼る!$B$6:$B$10005,$B1805,①今日の在庫を貼る!$I$6:$I$10005,$I1805)&gt;0,N(U1804),N(U1804)+1))</f>
        <v>2</v>
      </c>
    </row>
    <row r="1806" customFormat="false" ht="15" hidden="false" customHeight="false" outlineLevel="0" collapsed="false">
      <c r="B1806" s="53"/>
      <c r="I1806" s="53"/>
      <c r="U1806" s="31" t="n">
        <f aca="false">IF($B1806&lt;&gt;'設定（最初に1回）'!$C$4,N(U1805),IF(COUNTIFS(①今日の在庫を貼る!$B$6:$B$10005,$B1806,①今日の在庫を貼る!$I$6:$I$10005,$I1806)&gt;0,N(U1805),N(U1805)+1))</f>
        <v>2</v>
      </c>
    </row>
    <row r="1807" customFormat="false" ht="15" hidden="false" customHeight="false" outlineLevel="0" collapsed="false">
      <c r="B1807" s="53"/>
      <c r="I1807" s="53"/>
      <c r="U1807" s="31" t="n">
        <f aca="false">IF($B1807&lt;&gt;'設定（最初に1回）'!$C$4,N(U1806),IF(COUNTIFS(①今日の在庫を貼る!$B$6:$B$10005,$B1807,①今日の在庫を貼る!$I$6:$I$10005,$I1807)&gt;0,N(U1806),N(U1806)+1))</f>
        <v>2</v>
      </c>
    </row>
    <row r="1808" customFormat="false" ht="15" hidden="false" customHeight="false" outlineLevel="0" collapsed="false">
      <c r="B1808" s="53"/>
      <c r="I1808" s="53"/>
      <c r="U1808" s="31" t="n">
        <f aca="false">IF($B1808&lt;&gt;'設定（最初に1回）'!$C$4,N(U1807),IF(COUNTIFS(①今日の在庫を貼る!$B$6:$B$10005,$B1808,①今日の在庫を貼る!$I$6:$I$10005,$I1808)&gt;0,N(U1807),N(U1807)+1))</f>
        <v>2</v>
      </c>
    </row>
    <row r="1809" customFormat="false" ht="15" hidden="false" customHeight="false" outlineLevel="0" collapsed="false">
      <c r="B1809" s="53"/>
      <c r="I1809" s="53"/>
      <c r="U1809" s="31" t="n">
        <f aca="false">IF($B1809&lt;&gt;'設定（最初に1回）'!$C$4,N(U1808),IF(COUNTIFS(①今日の在庫を貼る!$B$6:$B$10005,$B1809,①今日の在庫を貼る!$I$6:$I$10005,$I1809)&gt;0,N(U1808),N(U1808)+1))</f>
        <v>2</v>
      </c>
    </row>
    <row r="1810" customFormat="false" ht="15" hidden="false" customHeight="false" outlineLevel="0" collapsed="false">
      <c r="B1810" s="53"/>
      <c r="I1810" s="53"/>
      <c r="U1810" s="31" t="n">
        <f aca="false">IF($B1810&lt;&gt;'設定（最初に1回）'!$C$4,N(U1809),IF(COUNTIFS(①今日の在庫を貼る!$B$6:$B$10005,$B1810,①今日の在庫を貼る!$I$6:$I$10005,$I1810)&gt;0,N(U1809),N(U1809)+1))</f>
        <v>2</v>
      </c>
    </row>
    <row r="1811" customFormat="false" ht="15" hidden="false" customHeight="false" outlineLevel="0" collapsed="false">
      <c r="B1811" s="53"/>
      <c r="I1811" s="53"/>
      <c r="U1811" s="31" t="n">
        <f aca="false">IF($B1811&lt;&gt;'設定（最初に1回）'!$C$4,N(U1810),IF(COUNTIFS(①今日の在庫を貼る!$B$6:$B$10005,$B1811,①今日の在庫を貼る!$I$6:$I$10005,$I1811)&gt;0,N(U1810),N(U1810)+1))</f>
        <v>2</v>
      </c>
    </row>
    <row r="1812" customFormat="false" ht="15" hidden="false" customHeight="false" outlineLevel="0" collapsed="false">
      <c r="B1812" s="53"/>
      <c r="I1812" s="53"/>
      <c r="U1812" s="31" t="n">
        <f aca="false">IF($B1812&lt;&gt;'設定（最初に1回）'!$C$4,N(U1811),IF(COUNTIFS(①今日の在庫を貼る!$B$6:$B$10005,$B1812,①今日の在庫を貼る!$I$6:$I$10005,$I1812)&gt;0,N(U1811),N(U1811)+1))</f>
        <v>2</v>
      </c>
    </row>
    <row r="1813" customFormat="false" ht="15" hidden="false" customHeight="false" outlineLevel="0" collapsed="false">
      <c r="B1813" s="53"/>
      <c r="I1813" s="53"/>
      <c r="U1813" s="31" t="n">
        <f aca="false">IF($B1813&lt;&gt;'設定（最初に1回）'!$C$4,N(U1812),IF(COUNTIFS(①今日の在庫を貼る!$B$6:$B$10005,$B1813,①今日の在庫を貼る!$I$6:$I$10005,$I1813)&gt;0,N(U1812),N(U1812)+1))</f>
        <v>2</v>
      </c>
    </row>
    <row r="1814" customFormat="false" ht="15" hidden="false" customHeight="false" outlineLevel="0" collapsed="false">
      <c r="B1814" s="53"/>
      <c r="I1814" s="53"/>
      <c r="U1814" s="31" t="n">
        <f aca="false">IF($B1814&lt;&gt;'設定（最初に1回）'!$C$4,N(U1813),IF(COUNTIFS(①今日の在庫を貼る!$B$6:$B$10005,$B1814,①今日の在庫を貼る!$I$6:$I$10005,$I1814)&gt;0,N(U1813),N(U1813)+1))</f>
        <v>2</v>
      </c>
    </row>
    <row r="1815" customFormat="false" ht="15" hidden="false" customHeight="false" outlineLevel="0" collapsed="false">
      <c r="B1815" s="53"/>
      <c r="I1815" s="53"/>
      <c r="U1815" s="31" t="n">
        <f aca="false">IF($B1815&lt;&gt;'設定（最初に1回）'!$C$4,N(U1814),IF(COUNTIFS(①今日の在庫を貼る!$B$6:$B$10005,$B1815,①今日の在庫を貼る!$I$6:$I$10005,$I1815)&gt;0,N(U1814),N(U1814)+1))</f>
        <v>2</v>
      </c>
    </row>
    <row r="1816" customFormat="false" ht="15" hidden="false" customHeight="false" outlineLevel="0" collapsed="false">
      <c r="B1816" s="53"/>
      <c r="I1816" s="53"/>
      <c r="U1816" s="31" t="n">
        <f aca="false">IF($B1816&lt;&gt;'設定（最初に1回）'!$C$4,N(U1815),IF(COUNTIFS(①今日の在庫を貼る!$B$6:$B$10005,$B1816,①今日の在庫を貼る!$I$6:$I$10005,$I1816)&gt;0,N(U1815),N(U1815)+1))</f>
        <v>2</v>
      </c>
    </row>
    <row r="1817" customFormat="false" ht="15" hidden="false" customHeight="false" outlineLevel="0" collapsed="false">
      <c r="B1817" s="53"/>
      <c r="I1817" s="53"/>
      <c r="U1817" s="31" t="n">
        <f aca="false">IF($B1817&lt;&gt;'設定（最初に1回）'!$C$4,N(U1816),IF(COUNTIFS(①今日の在庫を貼る!$B$6:$B$10005,$B1817,①今日の在庫を貼る!$I$6:$I$10005,$I1817)&gt;0,N(U1816),N(U1816)+1))</f>
        <v>2</v>
      </c>
    </row>
    <row r="1818" customFormat="false" ht="15" hidden="false" customHeight="false" outlineLevel="0" collapsed="false">
      <c r="B1818" s="53"/>
      <c r="I1818" s="53"/>
      <c r="U1818" s="31" t="n">
        <f aca="false">IF($B1818&lt;&gt;'設定（最初に1回）'!$C$4,N(U1817),IF(COUNTIFS(①今日の在庫を貼る!$B$6:$B$10005,$B1818,①今日の在庫を貼る!$I$6:$I$10005,$I1818)&gt;0,N(U1817),N(U1817)+1))</f>
        <v>2</v>
      </c>
    </row>
    <row r="1819" customFormat="false" ht="15" hidden="false" customHeight="false" outlineLevel="0" collapsed="false">
      <c r="B1819" s="53"/>
      <c r="I1819" s="53"/>
      <c r="U1819" s="31" t="n">
        <f aca="false">IF($B1819&lt;&gt;'設定（最初に1回）'!$C$4,N(U1818),IF(COUNTIFS(①今日の在庫を貼る!$B$6:$B$10005,$B1819,①今日の在庫を貼る!$I$6:$I$10005,$I1819)&gt;0,N(U1818),N(U1818)+1))</f>
        <v>2</v>
      </c>
    </row>
    <row r="1820" customFormat="false" ht="15" hidden="false" customHeight="false" outlineLevel="0" collapsed="false">
      <c r="B1820" s="53"/>
      <c r="I1820" s="53"/>
      <c r="U1820" s="31" t="n">
        <f aca="false">IF($B1820&lt;&gt;'設定（最初に1回）'!$C$4,N(U1819),IF(COUNTIFS(①今日の在庫を貼る!$B$6:$B$10005,$B1820,①今日の在庫を貼る!$I$6:$I$10005,$I1820)&gt;0,N(U1819),N(U1819)+1))</f>
        <v>2</v>
      </c>
    </row>
    <row r="1821" customFormat="false" ht="15" hidden="false" customHeight="false" outlineLevel="0" collapsed="false">
      <c r="B1821" s="53"/>
      <c r="I1821" s="53"/>
      <c r="U1821" s="31" t="n">
        <f aca="false">IF($B1821&lt;&gt;'設定（最初に1回）'!$C$4,N(U1820),IF(COUNTIFS(①今日の在庫を貼る!$B$6:$B$10005,$B1821,①今日の在庫を貼る!$I$6:$I$10005,$I1821)&gt;0,N(U1820),N(U1820)+1))</f>
        <v>2</v>
      </c>
    </row>
    <row r="1822" customFormat="false" ht="15" hidden="false" customHeight="false" outlineLevel="0" collapsed="false">
      <c r="B1822" s="53"/>
      <c r="I1822" s="53"/>
      <c r="U1822" s="31" t="n">
        <f aca="false">IF($B1822&lt;&gt;'設定（最初に1回）'!$C$4,N(U1821),IF(COUNTIFS(①今日の在庫を貼る!$B$6:$B$10005,$B1822,①今日の在庫を貼る!$I$6:$I$10005,$I1822)&gt;0,N(U1821),N(U1821)+1))</f>
        <v>2</v>
      </c>
    </row>
    <row r="1823" customFormat="false" ht="15" hidden="false" customHeight="false" outlineLevel="0" collapsed="false">
      <c r="B1823" s="53"/>
      <c r="I1823" s="53"/>
      <c r="U1823" s="31" t="n">
        <f aca="false">IF($B1823&lt;&gt;'設定（最初に1回）'!$C$4,N(U1822),IF(COUNTIFS(①今日の在庫を貼る!$B$6:$B$10005,$B1823,①今日の在庫を貼る!$I$6:$I$10005,$I1823)&gt;0,N(U1822),N(U1822)+1))</f>
        <v>2</v>
      </c>
    </row>
    <row r="1824" customFormat="false" ht="15" hidden="false" customHeight="false" outlineLevel="0" collapsed="false">
      <c r="B1824" s="53"/>
      <c r="I1824" s="53"/>
      <c r="U1824" s="31" t="n">
        <f aca="false">IF($B1824&lt;&gt;'設定（最初に1回）'!$C$4,N(U1823),IF(COUNTIFS(①今日の在庫を貼る!$B$6:$B$10005,$B1824,①今日の在庫を貼る!$I$6:$I$10005,$I1824)&gt;0,N(U1823),N(U1823)+1))</f>
        <v>2</v>
      </c>
    </row>
    <row r="1825" customFormat="false" ht="15" hidden="false" customHeight="false" outlineLevel="0" collapsed="false">
      <c r="B1825" s="53"/>
      <c r="I1825" s="53"/>
      <c r="U1825" s="31" t="n">
        <f aca="false">IF($B1825&lt;&gt;'設定（最初に1回）'!$C$4,N(U1824),IF(COUNTIFS(①今日の在庫を貼る!$B$6:$B$10005,$B1825,①今日の在庫を貼る!$I$6:$I$10005,$I1825)&gt;0,N(U1824),N(U1824)+1))</f>
        <v>2</v>
      </c>
    </row>
    <row r="1826" customFormat="false" ht="15" hidden="false" customHeight="false" outlineLevel="0" collapsed="false">
      <c r="B1826" s="53"/>
      <c r="I1826" s="53"/>
      <c r="U1826" s="31" t="n">
        <f aca="false">IF($B1826&lt;&gt;'設定（最初に1回）'!$C$4,N(U1825),IF(COUNTIFS(①今日の在庫を貼る!$B$6:$B$10005,$B1826,①今日の在庫を貼る!$I$6:$I$10005,$I1826)&gt;0,N(U1825),N(U1825)+1))</f>
        <v>2</v>
      </c>
    </row>
    <row r="1827" customFormat="false" ht="15" hidden="false" customHeight="false" outlineLevel="0" collapsed="false">
      <c r="B1827" s="53"/>
      <c r="I1827" s="53"/>
      <c r="U1827" s="31" t="n">
        <f aca="false">IF($B1827&lt;&gt;'設定（最初に1回）'!$C$4,N(U1826),IF(COUNTIFS(①今日の在庫を貼る!$B$6:$B$10005,$B1827,①今日の在庫を貼る!$I$6:$I$10005,$I1827)&gt;0,N(U1826),N(U1826)+1))</f>
        <v>2</v>
      </c>
    </row>
    <row r="1828" customFormat="false" ht="15" hidden="false" customHeight="false" outlineLevel="0" collapsed="false">
      <c r="B1828" s="53"/>
      <c r="I1828" s="53"/>
      <c r="U1828" s="31" t="n">
        <f aca="false">IF($B1828&lt;&gt;'設定（最初に1回）'!$C$4,N(U1827),IF(COUNTIFS(①今日の在庫を貼る!$B$6:$B$10005,$B1828,①今日の在庫を貼る!$I$6:$I$10005,$I1828)&gt;0,N(U1827),N(U1827)+1))</f>
        <v>2</v>
      </c>
    </row>
    <row r="1829" customFormat="false" ht="15" hidden="false" customHeight="false" outlineLevel="0" collapsed="false">
      <c r="B1829" s="53"/>
      <c r="I1829" s="53"/>
      <c r="U1829" s="31" t="n">
        <f aca="false">IF($B1829&lt;&gt;'設定（最初に1回）'!$C$4,N(U1828),IF(COUNTIFS(①今日の在庫を貼る!$B$6:$B$10005,$B1829,①今日の在庫を貼る!$I$6:$I$10005,$I1829)&gt;0,N(U1828),N(U1828)+1))</f>
        <v>2</v>
      </c>
    </row>
    <row r="1830" customFormat="false" ht="15" hidden="false" customHeight="false" outlineLevel="0" collapsed="false">
      <c r="B1830" s="53"/>
      <c r="I1830" s="53"/>
      <c r="U1830" s="31" t="n">
        <f aca="false">IF($B1830&lt;&gt;'設定（最初に1回）'!$C$4,N(U1829),IF(COUNTIFS(①今日の在庫を貼る!$B$6:$B$10005,$B1830,①今日の在庫を貼る!$I$6:$I$10005,$I1830)&gt;0,N(U1829),N(U1829)+1))</f>
        <v>2</v>
      </c>
    </row>
    <row r="1831" customFormat="false" ht="15" hidden="false" customHeight="false" outlineLevel="0" collapsed="false">
      <c r="B1831" s="53"/>
      <c r="I1831" s="53"/>
      <c r="U1831" s="31" t="n">
        <f aca="false">IF($B1831&lt;&gt;'設定（最初に1回）'!$C$4,N(U1830),IF(COUNTIFS(①今日の在庫を貼る!$B$6:$B$10005,$B1831,①今日の在庫を貼る!$I$6:$I$10005,$I1831)&gt;0,N(U1830),N(U1830)+1))</f>
        <v>2</v>
      </c>
    </row>
    <row r="1832" customFormat="false" ht="15" hidden="false" customHeight="false" outlineLevel="0" collapsed="false">
      <c r="B1832" s="53"/>
      <c r="I1832" s="53"/>
      <c r="U1832" s="31" t="n">
        <f aca="false">IF($B1832&lt;&gt;'設定（最初に1回）'!$C$4,N(U1831),IF(COUNTIFS(①今日の在庫を貼る!$B$6:$B$10005,$B1832,①今日の在庫を貼る!$I$6:$I$10005,$I1832)&gt;0,N(U1831),N(U1831)+1))</f>
        <v>2</v>
      </c>
    </row>
    <row r="1833" customFormat="false" ht="15" hidden="false" customHeight="false" outlineLevel="0" collapsed="false">
      <c r="B1833" s="53"/>
      <c r="I1833" s="53"/>
      <c r="U1833" s="31" t="n">
        <f aca="false">IF($B1833&lt;&gt;'設定（最初に1回）'!$C$4,N(U1832),IF(COUNTIFS(①今日の在庫を貼る!$B$6:$B$10005,$B1833,①今日の在庫を貼る!$I$6:$I$10005,$I1833)&gt;0,N(U1832),N(U1832)+1))</f>
        <v>2</v>
      </c>
    </row>
    <row r="1834" customFormat="false" ht="15" hidden="false" customHeight="false" outlineLevel="0" collapsed="false">
      <c r="B1834" s="53"/>
      <c r="I1834" s="53"/>
      <c r="U1834" s="31" t="n">
        <f aca="false">IF($B1834&lt;&gt;'設定（最初に1回）'!$C$4,N(U1833),IF(COUNTIFS(①今日の在庫を貼る!$B$6:$B$10005,$B1834,①今日の在庫を貼る!$I$6:$I$10005,$I1834)&gt;0,N(U1833),N(U1833)+1))</f>
        <v>2</v>
      </c>
    </row>
    <row r="1835" customFormat="false" ht="15" hidden="false" customHeight="false" outlineLevel="0" collapsed="false">
      <c r="B1835" s="53"/>
      <c r="I1835" s="53"/>
      <c r="U1835" s="31" t="n">
        <f aca="false">IF($B1835&lt;&gt;'設定（最初に1回）'!$C$4,N(U1834),IF(COUNTIFS(①今日の在庫を貼る!$B$6:$B$10005,$B1835,①今日の在庫を貼る!$I$6:$I$10005,$I1835)&gt;0,N(U1834),N(U1834)+1))</f>
        <v>2</v>
      </c>
    </row>
    <row r="1836" customFormat="false" ht="15" hidden="false" customHeight="false" outlineLevel="0" collapsed="false">
      <c r="B1836" s="53"/>
      <c r="I1836" s="53"/>
      <c r="U1836" s="31" t="n">
        <f aca="false">IF($B1836&lt;&gt;'設定（最初に1回）'!$C$4,N(U1835),IF(COUNTIFS(①今日の在庫を貼る!$B$6:$B$10005,$B1836,①今日の在庫を貼る!$I$6:$I$10005,$I1836)&gt;0,N(U1835),N(U1835)+1))</f>
        <v>2</v>
      </c>
    </row>
    <row r="1837" customFormat="false" ht="15" hidden="false" customHeight="false" outlineLevel="0" collapsed="false">
      <c r="B1837" s="53"/>
      <c r="I1837" s="53"/>
      <c r="U1837" s="31" t="n">
        <f aca="false">IF($B1837&lt;&gt;'設定（最初に1回）'!$C$4,N(U1836),IF(COUNTIFS(①今日の在庫を貼る!$B$6:$B$10005,$B1837,①今日の在庫を貼る!$I$6:$I$10005,$I1837)&gt;0,N(U1836),N(U1836)+1))</f>
        <v>2</v>
      </c>
    </row>
    <row r="1838" customFormat="false" ht="15" hidden="false" customHeight="false" outlineLevel="0" collapsed="false">
      <c r="B1838" s="53"/>
      <c r="I1838" s="53"/>
      <c r="U1838" s="31" t="n">
        <f aca="false">IF($B1838&lt;&gt;'設定（最初に1回）'!$C$4,N(U1837),IF(COUNTIFS(①今日の在庫を貼る!$B$6:$B$10005,$B1838,①今日の在庫を貼る!$I$6:$I$10005,$I1838)&gt;0,N(U1837),N(U1837)+1))</f>
        <v>2</v>
      </c>
    </row>
    <row r="1839" customFormat="false" ht="15" hidden="false" customHeight="false" outlineLevel="0" collapsed="false">
      <c r="B1839" s="53"/>
      <c r="I1839" s="53"/>
      <c r="U1839" s="31" t="n">
        <f aca="false">IF($B1839&lt;&gt;'設定（最初に1回）'!$C$4,N(U1838),IF(COUNTIFS(①今日の在庫を貼る!$B$6:$B$10005,$B1839,①今日の在庫を貼る!$I$6:$I$10005,$I1839)&gt;0,N(U1838),N(U1838)+1))</f>
        <v>2</v>
      </c>
    </row>
    <row r="1840" customFormat="false" ht="15" hidden="false" customHeight="false" outlineLevel="0" collapsed="false">
      <c r="B1840" s="53"/>
      <c r="I1840" s="53"/>
      <c r="U1840" s="31" t="n">
        <f aca="false">IF($B1840&lt;&gt;'設定（最初に1回）'!$C$4,N(U1839),IF(COUNTIFS(①今日の在庫を貼る!$B$6:$B$10005,$B1840,①今日の在庫を貼る!$I$6:$I$10005,$I1840)&gt;0,N(U1839),N(U1839)+1))</f>
        <v>2</v>
      </c>
    </row>
    <row r="1841" customFormat="false" ht="15" hidden="false" customHeight="false" outlineLevel="0" collapsed="false">
      <c r="B1841" s="53"/>
      <c r="I1841" s="53"/>
      <c r="U1841" s="31" t="n">
        <f aca="false">IF($B1841&lt;&gt;'設定（最初に1回）'!$C$4,N(U1840),IF(COUNTIFS(①今日の在庫を貼る!$B$6:$B$10005,$B1841,①今日の在庫を貼る!$I$6:$I$10005,$I1841)&gt;0,N(U1840),N(U1840)+1))</f>
        <v>2</v>
      </c>
    </row>
    <row r="1842" customFormat="false" ht="15" hidden="false" customHeight="false" outlineLevel="0" collapsed="false">
      <c r="B1842" s="53"/>
      <c r="I1842" s="53"/>
      <c r="U1842" s="31" t="n">
        <f aca="false">IF($B1842&lt;&gt;'設定（最初に1回）'!$C$4,N(U1841),IF(COUNTIFS(①今日の在庫を貼る!$B$6:$B$10005,$B1842,①今日の在庫を貼る!$I$6:$I$10005,$I1842)&gt;0,N(U1841),N(U1841)+1))</f>
        <v>2</v>
      </c>
    </row>
    <row r="1843" customFormat="false" ht="15" hidden="false" customHeight="false" outlineLevel="0" collapsed="false">
      <c r="B1843" s="53"/>
      <c r="I1843" s="53"/>
      <c r="U1843" s="31" t="n">
        <f aca="false">IF($B1843&lt;&gt;'設定（最初に1回）'!$C$4,N(U1842),IF(COUNTIFS(①今日の在庫を貼る!$B$6:$B$10005,$B1843,①今日の在庫を貼る!$I$6:$I$10005,$I1843)&gt;0,N(U1842),N(U1842)+1))</f>
        <v>2</v>
      </c>
    </row>
    <row r="1844" customFormat="false" ht="15" hidden="false" customHeight="false" outlineLevel="0" collapsed="false">
      <c r="B1844" s="53"/>
      <c r="I1844" s="53"/>
      <c r="U1844" s="31" t="n">
        <f aca="false">IF($B1844&lt;&gt;'設定（最初に1回）'!$C$4,N(U1843),IF(COUNTIFS(①今日の在庫を貼る!$B$6:$B$10005,$B1844,①今日の在庫を貼る!$I$6:$I$10005,$I1844)&gt;0,N(U1843),N(U1843)+1))</f>
        <v>2</v>
      </c>
    </row>
    <row r="1845" customFormat="false" ht="15" hidden="false" customHeight="false" outlineLevel="0" collapsed="false">
      <c r="B1845" s="53"/>
      <c r="I1845" s="53"/>
      <c r="U1845" s="31" t="n">
        <f aca="false">IF($B1845&lt;&gt;'設定（最初に1回）'!$C$4,N(U1844),IF(COUNTIFS(①今日の在庫を貼る!$B$6:$B$10005,$B1845,①今日の在庫を貼る!$I$6:$I$10005,$I1845)&gt;0,N(U1844),N(U1844)+1))</f>
        <v>2</v>
      </c>
    </row>
    <row r="1846" customFormat="false" ht="15" hidden="false" customHeight="false" outlineLevel="0" collapsed="false">
      <c r="B1846" s="53"/>
      <c r="I1846" s="53"/>
      <c r="U1846" s="31" t="n">
        <f aca="false">IF($B1846&lt;&gt;'設定（最初に1回）'!$C$4,N(U1845),IF(COUNTIFS(①今日の在庫を貼る!$B$6:$B$10005,$B1846,①今日の在庫を貼る!$I$6:$I$10005,$I1846)&gt;0,N(U1845),N(U1845)+1))</f>
        <v>2</v>
      </c>
    </row>
    <row r="1847" customFormat="false" ht="15" hidden="false" customHeight="false" outlineLevel="0" collapsed="false">
      <c r="B1847" s="53"/>
      <c r="I1847" s="53"/>
      <c r="U1847" s="31" t="n">
        <f aca="false">IF($B1847&lt;&gt;'設定（最初に1回）'!$C$4,N(U1846),IF(COUNTIFS(①今日の在庫を貼る!$B$6:$B$10005,$B1847,①今日の在庫を貼る!$I$6:$I$10005,$I1847)&gt;0,N(U1846),N(U1846)+1))</f>
        <v>2</v>
      </c>
    </row>
    <row r="1848" customFormat="false" ht="15" hidden="false" customHeight="false" outlineLevel="0" collapsed="false">
      <c r="B1848" s="53"/>
      <c r="I1848" s="53"/>
      <c r="U1848" s="31" t="n">
        <f aca="false">IF($B1848&lt;&gt;'設定（最初に1回）'!$C$4,N(U1847),IF(COUNTIFS(①今日の在庫を貼る!$B$6:$B$10005,$B1848,①今日の在庫を貼る!$I$6:$I$10005,$I1848)&gt;0,N(U1847),N(U1847)+1))</f>
        <v>2</v>
      </c>
    </row>
    <row r="1849" customFormat="false" ht="15" hidden="false" customHeight="false" outlineLevel="0" collapsed="false">
      <c r="B1849" s="53"/>
      <c r="I1849" s="53"/>
      <c r="U1849" s="31" t="n">
        <f aca="false">IF($B1849&lt;&gt;'設定（最初に1回）'!$C$4,N(U1848),IF(COUNTIFS(①今日の在庫を貼る!$B$6:$B$10005,$B1849,①今日の在庫を貼る!$I$6:$I$10005,$I1849)&gt;0,N(U1848),N(U1848)+1))</f>
        <v>2</v>
      </c>
    </row>
    <row r="1850" customFormat="false" ht="15" hidden="false" customHeight="false" outlineLevel="0" collapsed="false">
      <c r="B1850" s="53"/>
      <c r="I1850" s="53"/>
      <c r="U1850" s="31" t="n">
        <f aca="false">IF($B1850&lt;&gt;'設定（最初に1回）'!$C$4,N(U1849),IF(COUNTIFS(①今日の在庫を貼る!$B$6:$B$10005,$B1850,①今日の在庫を貼る!$I$6:$I$10005,$I1850)&gt;0,N(U1849),N(U1849)+1))</f>
        <v>2</v>
      </c>
    </row>
    <row r="1851" customFormat="false" ht="15" hidden="false" customHeight="false" outlineLevel="0" collapsed="false">
      <c r="B1851" s="53"/>
      <c r="I1851" s="53"/>
      <c r="U1851" s="31" t="n">
        <f aca="false">IF($B1851&lt;&gt;'設定（最初に1回）'!$C$4,N(U1850),IF(COUNTIFS(①今日の在庫を貼る!$B$6:$B$10005,$B1851,①今日の在庫を貼る!$I$6:$I$10005,$I1851)&gt;0,N(U1850),N(U1850)+1))</f>
        <v>2</v>
      </c>
    </row>
    <row r="1852" customFormat="false" ht="15" hidden="false" customHeight="false" outlineLevel="0" collapsed="false">
      <c r="B1852" s="53"/>
      <c r="I1852" s="53"/>
      <c r="U1852" s="31" t="n">
        <f aca="false">IF($B1852&lt;&gt;'設定（最初に1回）'!$C$4,N(U1851),IF(COUNTIFS(①今日の在庫を貼る!$B$6:$B$10005,$B1852,①今日の在庫を貼る!$I$6:$I$10005,$I1852)&gt;0,N(U1851),N(U1851)+1))</f>
        <v>2</v>
      </c>
    </row>
    <row r="1853" customFormat="false" ht="15" hidden="false" customHeight="false" outlineLevel="0" collapsed="false">
      <c r="B1853" s="53"/>
      <c r="I1853" s="53"/>
      <c r="U1853" s="31" t="n">
        <f aca="false">IF($B1853&lt;&gt;'設定（最初に1回）'!$C$4,N(U1852),IF(COUNTIFS(①今日の在庫を貼る!$B$6:$B$10005,$B1853,①今日の在庫を貼る!$I$6:$I$10005,$I1853)&gt;0,N(U1852),N(U1852)+1))</f>
        <v>2</v>
      </c>
    </row>
    <row r="1854" customFormat="false" ht="15" hidden="false" customHeight="false" outlineLevel="0" collapsed="false">
      <c r="B1854" s="53"/>
      <c r="I1854" s="53"/>
      <c r="U1854" s="31" t="n">
        <f aca="false">IF($B1854&lt;&gt;'設定（最初に1回）'!$C$4,N(U1853),IF(COUNTIFS(①今日の在庫を貼る!$B$6:$B$10005,$B1854,①今日の在庫を貼る!$I$6:$I$10005,$I1854)&gt;0,N(U1853),N(U1853)+1))</f>
        <v>2</v>
      </c>
    </row>
    <row r="1855" customFormat="false" ht="15" hidden="false" customHeight="false" outlineLevel="0" collapsed="false">
      <c r="B1855" s="53"/>
      <c r="I1855" s="53"/>
      <c r="U1855" s="31" t="n">
        <f aca="false">IF($B1855&lt;&gt;'設定（最初に1回）'!$C$4,N(U1854),IF(COUNTIFS(①今日の在庫を貼る!$B$6:$B$10005,$B1855,①今日の在庫を貼る!$I$6:$I$10005,$I1855)&gt;0,N(U1854),N(U1854)+1))</f>
        <v>2</v>
      </c>
    </row>
    <row r="1856" customFormat="false" ht="15" hidden="false" customHeight="false" outlineLevel="0" collapsed="false">
      <c r="B1856" s="53"/>
      <c r="I1856" s="53"/>
      <c r="U1856" s="31" t="n">
        <f aca="false">IF($B1856&lt;&gt;'設定（最初に1回）'!$C$4,N(U1855),IF(COUNTIFS(①今日の在庫を貼る!$B$6:$B$10005,$B1856,①今日の在庫を貼る!$I$6:$I$10005,$I1856)&gt;0,N(U1855),N(U1855)+1))</f>
        <v>2</v>
      </c>
    </row>
    <row r="1857" customFormat="false" ht="15" hidden="false" customHeight="false" outlineLevel="0" collapsed="false">
      <c r="B1857" s="53"/>
      <c r="I1857" s="53"/>
      <c r="U1857" s="31" t="n">
        <f aca="false">IF($B1857&lt;&gt;'設定（最初に1回）'!$C$4,N(U1856),IF(COUNTIFS(①今日の在庫を貼る!$B$6:$B$10005,$B1857,①今日の在庫を貼る!$I$6:$I$10005,$I1857)&gt;0,N(U1856),N(U1856)+1))</f>
        <v>2</v>
      </c>
    </row>
    <row r="1858" customFormat="false" ht="15" hidden="false" customHeight="false" outlineLevel="0" collapsed="false">
      <c r="B1858" s="53"/>
      <c r="I1858" s="53"/>
      <c r="U1858" s="31" t="n">
        <f aca="false">IF($B1858&lt;&gt;'設定（最初に1回）'!$C$4,N(U1857),IF(COUNTIFS(①今日の在庫を貼る!$B$6:$B$10005,$B1858,①今日の在庫を貼る!$I$6:$I$10005,$I1858)&gt;0,N(U1857),N(U1857)+1))</f>
        <v>2</v>
      </c>
    </row>
    <row r="1859" customFormat="false" ht="15" hidden="false" customHeight="false" outlineLevel="0" collapsed="false">
      <c r="B1859" s="53"/>
      <c r="I1859" s="53"/>
      <c r="U1859" s="31" t="n">
        <f aca="false">IF($B1859&lt;&gt;'設定（最初に1回）'!$C$4,N(U1858),IF(COUNTIFS(①今日の在庫を貼る!$B$6:$B$10005,$B1859,①今日の在庫を貼る!$I$6:$I$10005,$I1859)&gt;0,N(U1858),N(U1858)+1))</f>
        <v>2</v>
      </c>
    </row>
    <row r="1860" customFormat="false" ht="15" hidden="false" customHeight="false" outlineLevel="0" collapsed="false">
      <c r="B1860" s="53"/>
      <c r="I1860" s="53"/>
      <c r="U1860" s="31" t="n">
        <f aca="false">IF($B1860&lt;&gt;'設定（最初に1回）'!$C$4,N(U1859),IF(COUNTIFS(①今日の在庫を貼る!$B$6:$B$10005,$B1860,①今日の在庫を貼る!$I$6:$I$10005,$I1860)&gt;0,N(U1859),N(U1859)+1))</f>
        <v>2</v>
      </c>
    </row>
    <row r="1861" customFormat="false" ht="15" hidden="false" customHeight="false" outlineLevel="0" collapsed="false">
      <c r="B1861" s="53"/>
      <c r="I1861" s="53"/>
      <c r="U1861" s="31" t="n">
        <f aca="false">IF($B1861&lt;&gt;'設定（最初に1回）'!$C$4,N(U1860),IF(COUNTIFS(①今日の在庫を貼る!$B$6:$B$10005,$B1861,①今日の在庫を貼る!$I$6:$I$10005,$I1861)&gt;0,N(U1860),N(U1860)+1))</f>
        <v>2</v>
      </c>
    </row>
    <row r="1862" customFormat="false" ht="15" hidden="false" customHeight="false" outlineLevel="0" collapsed="false">
      <c r="B1862" s="53"/>
      <c r="I1862" s="53"/>
      <c r="U1862" s="31" t="n">
        <f aca="false">IF($B1862&lt;&gt;'設定（最初に1回）'!$C$4,N(U1861),IF(COUNTIFS(①今日の在庫を貼る!$B$6:$B$10005,$B1862,①今日の在庫を貼る!$I$6:$I$10005,$I1862)&gt;0,N(U1861),N(U1861)+1))</f>
        <v>2</v>
      </c>
    </row>
    <row r="1863" customFormat="false" ht="15" hidden="false" customHeight="false" outlineLevel="0" collapsed="false">
      <c r="B1863" s="53"/>
      <c r="I1863" s="53"/>
      <c r="U1863" s="31" t="n">
        <f aca="false">IF($B1863&lt;&gt;'設定（最初に1回）'!$C$4,N(U1862),IF(COUNTIFS(①今日の在庫を貼る!$B$6:$B$10005,$B1863,①今日の在庫を貼る!$I$6:$I$10005,$I1863)&gt;0,N(U1862),N(U1862)+1))</f>
        <v>2</v>
      </c>
    </row>
    <row r="1864" customFormat="false" ht="15" hidden="false" customHeight="false" outlineLevel="0" collapsed="false">
      <c r="B1864" s="53"/>
      <c r="I1864" s="53"/>
      <c r="U1864" s="31" t="n">
        <f aca="false">IF($B1864&lt;&gt;'設定（最初に1回）'!$C$4,N(U1863),IF(COUNTIFS(①今日の在庫を貼る!$B$6:$B$10005,$B1864,①今日の在庫を貼る!$I$6:$I$10005,$I1864)&gt;0,N(U1863),N(U1863)+1))</f>
        <v>2</v>
      </c>
    </row>
    <row r="1865" customFormat="false" ht="15" hidden="false" customHeight="false" outlineLevel="0" collapsed="false">
      <c r="B1865" s="53"/>
      <c r="I1865" s="53"/>
      <c r="U1865" s="31" t="n">
        <f aca="false">IF($B1865&lt;&gt;'設定（最初に1回）'!$C$4,N(U1864),IF(COUNTIFS(①今日の在庫を貼る!$B$6:$B$10005,$B1865,①今日の在庫を貼る!$I$6:$I$10005,$I1865)&gt;0,N(U1864),N(U1864)+1))</f>
        <v>2</v>
      </c>
    </row>
    <row r="1866" customFormat="false" ht="15" hidden="false" customHeight="false" outlineLevel="0" collapsed="false">
      <c r="B1866" s="53"/>
      <c r="I1866" s="53"/>
      <c r="U1866" s="31" t="n">
        <f aca="false">IF($B1866&lt;&gt;'設定（最初に1回）'!$C$4,N(U1865),IF(COUNTIFS(①今日の在庫を貼る!$B$6:$B$10005,$B1866,①今日の在庫を貼る!$I$6:$I$10005,$I1866)&gt;0,N(U1865),N(U1865)+1))</f>
        <v>2</v>
      </c>
    </row>
    <row r="1867" customFormat="false" ht="15" hidden="false" customHeight="false" outlineLevel="0" collapsed="false">
      <c r="B1867" s="53"/>
      <c r="I1867" s="53"/>
      <c r="U1867" s="31" t="n">
        <f aca="false">IF($B1867&lt;&gt;'設定（最初に1回）'!$C$4,N(U1866),IF(COUNTIFS(①今日の在庫を貼る!$B$6:$B$10005,$B1867,①今日の在庫を貼る!$I$6:$I$10005,$I1867)&gt;0,N(U1866),N(U1866)+1))</f>
        <v>2</v>
      </c>
    </row>
    <row r="1868" customFormat="false" ht="15" hidden="false" customHeight="false" outlineLevel="0" collapsed="false">
      <c r="B1868" s="53"/>
      <c r="I1868" s="53"/>
      <c r="U1868" s="31" t="n">
        <f aca="false">IF($B1868&lt;&gt;'設定（最初に1回）'!$C$4,N(U1867),IF(COUNTIFS(①今日の在庫を貼る!$B$6:$B$10005,$B1868,①今日の在庫を貼る!$I$6:$I$10005,$I1868)&gt;0,N(U1867),N(U1867)+1))</f>
        <v>2</v>
      </c>
    </row>
    <row r="1869" customFormat="false" ht="15" hidden="false" customHeight="false" outlineLevel="0" collapsed="false">
      <c r="B1869" s="53"/>
      <c r="I1869" s="53"/>
      <c r="U1869" s="31" t="n">
        <f aca="false">IF($B1869&lt;&gt;'設定（最初に1回）'!$C$4,N(U1868),IF(COUNTIFS(①今日の在庫を貼る!$B$6:$B$10005,$B1869,①今日の在庫を貼る!$I$6:$I$10005,$I1869)&gt;0,N(U1868),N(U1868)+1))</f>
        <v>2</v>
      </c>
    </row>
    <row r="1870" customFormat="false" ht="15" hidden="false" customHeight="false" outlineLevel="0" collapsed="false">
      <c r="B1870" s="53"/>
      <c r="I1870" s="53"/>
      <c r="U1870" s="31" t="n">
        <f aca="false">IF($B1870&lt;&gt;'設定（最初に1回）'!$C$4,N(U1869),IF(COUNTIFS(①今日の在庫を貼る!$B$6:$B$10005,$B1870,①今日の在庫を貼る!$I$6:$I$10005,$I1870)&gt;0,N(U1869),N(U1869)+1))</f>
        <v>2</v>
      </c>
    </row>
    <row r="1871" customFormat="false" ht="15" hidden="false" customHeight="false" outlineLevel="0" collapsed="false">
      <c r="B1871" s="53"/>
      <c r="I1871" s="53"/>
      <c r="U1871" s="31" t="n">
        <f aca="false">IF($B1871&lt;&gt;'設定（最初に1回）'!$C$4,N(U1870),IF(COUNTIFS(①今日の在庫を貼る!$B$6:$B$10005,$B1871,①今日の在庫を貼る!$I$6:$I$10005,$I1871)&gt;0,N(U1870),N(U1870)+1))</f>
        <v>2</v>
      </c>
    </row>
    <row r="1872" customFormat="false" ht="15" hidden="false" customHeight="false" outlineLevel="0" collapsed="false">
      <c r="B1872" s="53"/>
      <c r="I1872" s="53"/>
      <c r="U1872" s="31" t="n">
        <f aca="false">IF($B1872&lt;&gt;'設定（最初に1回）'!$C$4,N(U1871),IF(COUNTIFS(①今日の在庫を貼る!$B$6:$B$10005,$B1872,①今日の在庫を貼る!$I$6:$I$10005,$I1872)&gt;0,N(U1871),N(U1871)+1))</f>
        <v>2</v>
      </c>
    </row>
    <row r="1873" customFormat="false" ht="15" hidden="false" customHeight="false" outlineLevel="0" collapsed="false">
      <c r="B1873" s="53"/>
      <c r="I1873" s="53"/>
      <c r="U1873" s="31" t="n">
        <f aca="false">IF($B1873&lt;&gt;'設定（最初に1回）'!$C$4,N(U1872),IF(COUNTIFS(①今日の在庫を貼る!$B$6:$B$10005,$B1873,①今日の在庫を貼る!$I$6:$I$10005,$I1873)&gt;0,N(U1872),N(U1872)+1))</f>
        <v>2</v>
      </c>
    </row>
    <row r="1874" customFormat="false" ht="15" hidden="false" customHeight="false" outlineLevel="0" collapsed="false">
      <c r="B1874" s="53"/>
      <c r="I1874" s="53"/>
      <c r="U1874" s="31" t="n">
        <f aca="false">IF($B1874&lt;&gt;'設定（最初に1回）'!$C$4,N(U1873),IF(COUNTIFS(①今日の在庫を貼る!$B$6:$B$10005,$B1874,①今日の在庫を貼る!$I$6:$I$10005,$I1874)&gt;0,N(U1873),N(U1873)+1))</f>
        <v>2</v>
      </c>
    </row>
    <row r="1875" customFormat="false" ht="15" hidden="false" customHeight="false" outlineLevel="0" collapsed="false">
      <c r="B1875" s="53"/>
      <c r="I1875" s="53"/>
      <c r="U1875" s="31" t="n">
        <f aca="false">IF($B1875&lt;&gt;'設定（最初に1回）'!$C$4,N(U1874),IF(COUNTIFS(①今日の在庫を貼る!$B$6:$B$10005,$B1875,①今日の在庫を貼る!$I$6:$I$10005,$I1875)&gt;0,N(U1874),N(U1874)+1))</f>
        <v>2</v>
      </c>
    </row>
    <row r="1876" customFormat="false" ht="15" hidden="false" customHeight="false" outlineLevel="0" collapsed="false">
      <c r="B1876" s="53"/>
      <c r="I1876" s="53"/>
      <c r="U1876" s="31" t="n">
        <f aca="false">IF($B1876&lt;&gt;'設定（最初に1回）'!$C$4,N(U1875),IF(COUNTIFS(①今日の在庫を貼る!$B$6:$B$10005,$B1876,①今日の在庫を貼る!$I$6:$I$10005,$I1876)&gt;0,N(U1875),N(U1875)+1))</f>
        <v>2</v>
      </c>
    </row>
    <row r="1877" customFormat="false" ht="15" hidden="false" customHeight="false" outlineLevel="0" collapsed="false">
      <c r="B1877" s="53"/>
      <c r="I1877" s="53"/>
      <c r="U1877" s="31" t="n">
        <f aca="false">IF($B1877&lt;&gt;'設定（最初に1回）'!$C$4,N(U1876),IF(COUNTIFS(①今日の在庫を貼る!$B$6:$B$10005,$B1877,①今日の在庫を貼る!$I$6:$I$10005,$I1877)&gt;0,N(U1876),N(U1876)+1))</f>
        <v>2</v>
      </c>
    </row>
    <row r="1878" customFormat="false" ht="15" hidden="false" customHeight="false" outlineLevel="0" collapsed="false">
      <c r="B1878" s="53"/>
      <c r="I1878" s="53"/>
      <c r="U1878" s="31" t="n">
        <f aca="false">IF($B1878&lt;&gt;'設定（最初に1回）'!$C$4,N(U1877),IF(COUNTIFS(①今日の在庫を貼る!$B$6:$B$10005,$B1878,①今日の在庫を貼る!$I$6:$I$10005,$I1878)&gt;0,N(U1877),N(U1877)+1))</f>
        <v>2</v>
      </c>
    </row>
    <row r="1879" customFormat="false" ht="15" hidden="false" customHeight="false" outlineLevel="0" collapsed="false">
      <c r="B1879" s="53"/>
      <c r="I1879" s="53"/>
      <c r="U1879" s="31" t="n">
        <f aca="false">IF($B1879&lt;&gt;'設定（最初に1回）'!$C$4,N(U1878),IF(COUNTIFS(①今日の在庫を貼る!$B$6:$B$10005,$B1879,①今日の在庫を貼る!$I$6:$I$10005,$I1879)&gt;0,N(U1878),N(U1878)+1))</f>
        <v>2</v>
      </c>
    </row>
    <row r="1880" customFormat="false" ht="15" hidden="false" customHeight="false" outlineLevel="0" collapsed="false">
      <c r="B1880" s="53"/>
      <c r="I1880" s="53"/>
      <c r="U1880" s="31" t="n">
        <f aca="false">IF($B1880&lt;&gt;'設定（最初に1回）'!$C$4,N(U1879),IF(COUNTIFS(①今日の在庫を貼る!$B$6:$B$10005,$B1880,①今日の在庫を貼る!$I$6:$I$10005,$I1880)&gt;0,N(U1879),N(U1879)+1))</f>
        <v>2</v>
      </c>
    </row>
    <row r="1881" customFormat="false" ht="15" hidden="false" customHeight="false" outlineLevel="0" collapsed="false">
      <c r="B1881" s="53"/>
      <c r="I1881" s="53"/>
      <c r="U1881" s="31" t="n">
        <f aca="false">IF($B1881&lt;&gt;'設定（最初に1回）'!$C$4,N(U1880),IF(COUNTIFS(①今日の在庫を貼る!$B$6:$B$10005,$B1881,①今日の在庫を貼る!$I$6:$I$10005,$I1881)&gt;0,N(U1880),N(U1880)+1))</f>
        <v>2</v>
      </c>
    </row>
    <row r="1882" customFormat="false" ht="15" hidden="false" customHeight="false" outlineLevel="0" collapsed="false">
      <c r="B1882" s="53"/>
      <c r="I1882" s="53"/>
      <c r="U1882" s="31" t="n">
        <f aca="false">IF($B1882&lt;&gt;'設定（最初に1回）'!$C$4,N(U1881),IF(COUNTIFS(①今日の在庫を貼る!$B$6:$B$10005,$B1882,①今日の在庫を貼る!$I$6:$I$10005,$I1882)&gt;0,N(U1881),N(U1881)+1))</f>
        <v>2</v>
      </c>
    </row>
    <row r="1883" customFormat="false" ht="15" hidden="false" customHeight="false" outlineLevel="0" collapsed="false">
      <c r="B1883" s="53"/>
      <c r="I1883" s="53"/>
      <c r="U1883" s="31" t="n">
        <f aca="false">IF($B1883&lt;&gt;'設定（最初に1回）'!$C$4,N(U1882),IF(COUNTIFS(①今日の在庫を貼る!$B$6:$B$10005,$B1883,①今日の在庫を貼る!$I$6:$I$10005,$I1883)&gt;0,N(U1882),N(U1882)+1))</f>
        <v>2</v>
      </c>
    </row>
    <row r="1884" customFormat="false" ht="15" hidden="false" customHeight="false" outlineLevel="0" collapsed="false">
      <c r="B1884" s="53"/>
      <c r="I1884" s="53"/>
      <c r="U1884" s="31" t="n">
        <f aca="false">IF($B1884&lt;&gt;'設定（最初に1回）'!$C$4,N(U1883),IF(COUNTIFS(①今日の在庫を貼る!$B$6:$B$10005,$B1884,①今日の在庫を貼る!$I$6:$I$10005,$I1884)&gt;0,N(U1883),N(U1883)+1))</f>
        <v>2</v>
      </c>
    </row>
    <row r="1885" customFormat="false" ht="15" hidden="false" customHeight="false" outlineLevel="0" collapsed="false">
      <c r="B1885" s="53"/>
      <c r="I1885" s="53"/>
      <c r="U1885" s="31" t="n">
        <f aca="false">IF($B1885&lt;&gt;'設定（最初に1回）'!$C$4,N(U1884),IF(COUNTIFS(①今日の在庫を貼る!$B$6:$B$10005,$B1885,①今日の在庫を貼る!$I$6:$I$10005,$I1885)&gt;0,N(U1884),N(U1884)+1))</f>
        <v>2</v>
      </c>
    </row>
    <row r="1886" customFormat="false" ht="15" hidden="false" customHeight="false" outlineLevel="0" collapsed="false">
      <c r="B1886" s="53"/>
      <c r="I1886" s="53"/>
      <c r="U1886" s="31" t="n">
        <f aca="false">IF($B1886&lt;&gt;'設定（最初に1回）'!$C$4,N(U1885),IF(COUNTIFS(①今日の在庫を貼る!$B$6:$B$10005,$B1886,①今日の在庫を貼る!$I$6:$I$10005,$I1886)&gt;0,N(U1885),N(U1885)+1))</f>
        <v>2</v>
      </c>
    </row>
    <row r="1887" customFormat="false" ht="15" hidden="false" customHeight="false" outlineLevel="0" collapsed="false">
      <c r="B1887" s="53"/>
      <c r="I1887" s="53"/>
      <c r="U1887" s="31" t="n">
        <f aca="false">IF($B1887&lt;&gt;'設定（最初に1回）'!$C$4,N(U1886),IF(COUNTIFS(①今日の在庫を貼る!$B$6:$B$10005,$B1887,①今日の在庫を貼る!$I$6:$I$10005,$I1887)&gt;0,N(U1886),N(U1886)+1))</f>
        <v>2</v>
      </c>
    </row>
    <row r="1888" customFormat="false" ht="15" hidden="false" customHeight="false" outlineLevel="0" collapsed="false">
      <c r="B1888" s="53"/>
      <c r="I1888" s="53"/>
      <c r="U1888" s="31" t="n">
        <f aca="false">IF($B1888&lt;&gt;'設定（最初に1回）'!$C$4,N(U1887),IF(COUNTIFS(①今日の在庫を貼る!$B$6:$B$10005,$B1888,①今日の在庫を貼る!$I$6:$I$10005,$I1888)&gt;0,N(U1887),N(U1887)+1))</f>
        <v>2</v>
      </c>
    </row>
    <row r="1889" customFormat="false" ht="15" hidden="false" customHeight="false" outlineLevel="0" collapsed="false">
      <c r="B1889" s="53"/>
      <c r="I1889" s="53"/>
      <c r="U1889" s="31" t="n">
        <f aca="false">IF($B1889&lt;&gt;'設定（最初に1回）'!$C$4,N(U1888),IF(COUNTIFS(①今日の在庫を貼る!$B$6:$B$10005,$B1889,①今日の在庫を貼る!$I$6:$I$10005,$I1889)&gt;0,N(U1888),N(U1888)+1))</f>
        <v>2</v>
      </c>
    </row>
    <row r="1890" customFormat="false" ht="15" hidden="false" customHeight="false" outlineLevel="0" collapsed="false">
      <c r="B1890" s="53"/>
      <c r="I1890" s="53"/>
      <c r="U1890" s="31" t="n">
        <f aca="false">IF($B1890&lt;&gt;'設定（最初に1回）'!$C$4,N(U1889),IF(COUNTIFS(①今日の在庫を貼る!$B$6:$B$10005,$B1890,①今日の在庫を貼る!$I$6:$I$10005,$I1890)&gt;0,N(U1889),N(U1889)+1))</f>
        <v>2</v>
      </c>
    </row>
    <row r="1891" customFormat="false" ht="15" hidden="false" customHeight="false" outlineLevel="0" collapsed="false">
      <c r="B1891" s="53"/>
      <c r="I1891" s="53"/>
      <c r="U1891" s="31" t="n">
        <f aca="false">IF($B1891&lt;&gt;'設定（最初に1回）'!$C$4,N(U1890),IF(COUNTIFS(①今日の在庫を貼る!$B$6:$B$10005,$B1891,①今日の在庫を貼る!$I$6:$I$10005,$I1891)&gt;0,N(U1890),N(U1890)+1))</f>
        <v>2</v>
      </c>
    </row>
    <row r="1892" customFormat="false" ht="15" hidden="false" customHeight="false" outlineLevel="0" collapsed="false">
      <c r="B1892" s="53"/>
      <c r="I1892" s="53"/>
      <c r="U1892" s="31" t="n">
        <f aca="false">IF($B1892&lt;&gt;'設定（最初に1回）'!$C$4,N(U1891),IF(COUNTIFS(①今日の在庫を貼る!$B$6:$B$10005,$B1892,①今日の在庫を貼る!$I$6:$I$10005,$I1892)&gt;0,N(U1891),N(U1891)+1))</f>
        <v>2</v>
      </c>
    </row>
    <row r="1893" customFormat="false" ht="15" hidden="false" customHeight="false" outlineLevel="0" collapsed="false">
      <c r="B1893" s="53"/>
      <c r="I1893" s="53"/>
      <c r="U1893" s="31" t="n">
        <f aca="false">IF($B1893&lt;&gt;'設定（最初に1回）'!$C$4,N(U1892),IF(COUNTIFS(①今日の在庫を貼る!$B$6:$B$10005,$B1893,①今日の在庫を貼る!$I$6:$I$10005,$I1893)&gt;0,N(U1892),N(U1892)+1))</f>
        <v>2</v>
      </c>
    </row>
    <row r="1894" customFormat="false" ht="15" hidden="false" customHeight="false" outlineLevel="0" collapsed="false">
      <c r="B1894" s="53"/>
      <c r="I1894" s="53"/>
      <c r="U1894" s="31" t="n">
        <f aca="false">IF($B1894&lt;&gt;'設定（最初に1回）'!$C$4,N(U1893),IF(COUNTIFS(①今日の在庫を貼る!$B$6:$B$10005,$B1894,①今日の在庫を貼る!$I$6:$I$10005,$I1894)&gt;0,N(U1893),N(U1893)+1))</f>
        <v>2</v>
      </c>
    </row>
    <row r="1895" customFormat="false" ht="15" hidden="false" customHeight="false" outlineLevel="0" collapsed="false">
      <c r="B1895" s="53"/>
      <c r="I1895" s="53"/>
      <c r="U1895" s="31" t="n">
        <f aca="false">IF($B1895&lt;&gt;'設定（最初に1回）'!$C$4,N(U1894),IF(COUNTIFS(①今日の在庫を貼る!$B$6:$B$10005,$B1895,①今日の在庫を貼る!$I$6:$I$10005,$I1895)&gt;0,N(U1894),N(U1894)+1))</f>
        <v>2</v>
      </c>
    </row>
    <row r="1896" customFormat="false" ht="15" hidden="false" customHeight="false" outlineLevel="0" collapsed="false">
      <c r="B1896" s="53"/>
      <c r="I1896" s="53"/>
      <c r="U1896" s="31" t="n">
        <f aca="false">IF($B1896&lt;&gt;'設定（最初に1回）'!$C$4,N(U1895),IF(COUNTIFS(①今日の在庫を貼る!$B$6:$B$10005,$B1896,①今日の在庫を貼る!$I$6:$I$10005,$I1896)&gt;0,N(U1895),N(U1895)+1))</f>
        <v>2</v>
      </c>
    </row>
    <row r="1897" customFormat="false" ht="15" hidden="false" customHeight="false" outlineLevel="0" collapsed="false">
      <c r="B1897" s="53"/>
      <c r="I1897" s="53"/>
      <c r="U1897" s="31" t="n">
        <f aca="false">IF($B1897&lt;&gt;'設定（最初に1回）'!$C$4,N(U1896),IF(COUNTIFS(①今日の在庫を貼る!$B$6:$B$10005,$B1897,①今日の在庫を貼る!$I$6:$I$10005,$I1897)&gt;0,N(U1896),N(U1896)+1))</f>
        <v>2</v>
      </c>
    </row>
    <row r="1898" customFormat="false" ht="15" hidden="false" customHeight="false" outlineLevel="0" collapsed="false">
      <c r="B1898" s="53"/>
      <c r="I1898" s="53"/>
      <c r="U1898" s="31" t="n">
        <f aca="false">IF($B1898&lt;&gt;'設定（最初に1回）'!$C$4,N(U1897),IF(COUNTIFS(①今日の在庫を貼る!$B$6:$B$10005,$B1898,①今日の在庫を貼る!$I$6:$I$10005,$I1898)&gt;0,N(U1897),N(U1897)+1))</f>
        <v>2</v>
      </c>
    </row>
    <row r="1899" customFormat="false" ht="15" hidden="false" customHeight="false" outlineLevel="0" collapsed="false">
      <c r="B1899" s="53"/>
      <c r="I1899" s="53"/>
      <c r="U1899" s="31" t="n">
        <f aca="false">IF($B1899&lt;&gt;'設定（最初に1回）'!$C$4,N(U1898),IF(COUNTIFS(①今日の在庫を貼る!$B$6:$B$10005,$B1899,①今日の在庫を貼る!$I$6:$I$10005,$I1899)&gt;0,N(U1898),N(U1898)+1))</f>
        <v>2</v>
      </c>
    </row>
    <row r="1900" customFormat="false" ht="15" hidden="false" customHeight="false" outlineLevel="0" collapsed="false">
      <c r="B1900" s="53"/>
      <c r="I1900" s="53"/>
      <c r="U1900" s="31" t="n">
        <f aca="false">IF($B1900&lt;&gt;'設定（最初に1回）'!$C$4,N(U1899),IF(COUNTIFS(①今日の在庫を貼る!$B$6:$B$10005,$B1900,①今日の在庫を貼る!$I$6:$I$10005,$I1900)&gt;0,N(U1899),N(U1899)+1))</f>
        <v>2</v>
      </c>
    </row>
    <row r="1901" customFormat="false" ht="15" hidden="false" customHeight="false" outlineLevel="0" collapsed="false">
      <c r="B1901" s="53"/>
      <c r="I1901" s="53"/>
      <c r="U1901" s="31" t="n">
        <f aca="false">IF($B1901&lt;&gt;'設定（最初に1回）'!$C$4,N(U1900),IF(COUNTIFS(①今日の在庫を貼る!$B$6:$B$10005,$B1901,①今日の在庫を貼る!$I$6:$I$10005,$I1901)&gt;0,N(U1900),N(U1900)+1))</f>
        <v>2</v>
      </c>
    </row>
    <row r="1902" customFormat="false" ht="15" hidden="false" customHeight="false" outlineLevel="0" collapsed="false">
      <c r="B1902" s="53"/>
      <c r="I1902" s="53"/>
      <c r="U1902" s="31" t="n">
        <f aca="false">IF($B1902&lt;&gt;'設定（最初に1回）'!$C$4,N(U1901),IF(COUNTIFS(①今日の在庫を貼る!$B$6:$B$10005,$B1902,①今日の在庫を貼る!$I$6:$I$10005,$I1902)&gt;0,N(U1901),N(U1901)+1))</f>
        <v>2</v>
      </c>
    </row>
    <row r="1903" customFormat="false" ht="15" hidden="false" customHeight="false" outlineLevel="0" collapsed="false">
      <c r="B1903" s="53"/>
      <c r="I1903" s="53"/>
      <c r="U1903" s="31" t="n">
        <f aca="false">IF($B1903&lt;&gt;'設定（最初に1回）'!$C$4,N(U1902),IF(COUNTIFS(①今日の在庫を貼る!$B$6:$B$10005,$B1903,①今日の在庫を貼る!$I$6:$I$10005,$I1903)&gt;0,N(U1902),N(U1902)+1))</f>
        <v>2</v>
      </c>
    </row>
    <row r="1904" customFormat="false" ht="15" hidden="false" customHeight="false" outlineLevel="0" collapsed="false">
      <c r="B1904" s="53"/>
      <c r="I1904" s="53"/>
      <c r="U1904" s="31" t="n">
        <f aca="false">IF($B1904&lt;&gt;'設定（最初に1回）'!$C$4,N(U1903),IF(COUNTIFS(①今日の在庫を貼る!$B$6:$B$10005,$B1904,①今日の在庫を貼る!$I$6:$I$10005,$I1904)&gt;0,N(U1903),N(U1903)+1))</f>
        <v>2</v>
      </c>
    </row>
    <row r="1905" customFormat="false" ht="15" hidden="false" customHeight="false" outlineLevel="0" collapsed="false">
      <c r="B1905" s="53"/>
      <c r="I1905" s="53"/>
      <c r="U1905" s="31" t="n">
        <f aca="false">IF($B1905&lt;&gt;'設定（最初に1回）'!$C$4,N(U1904),IF(COUNTIFS(①今日の在庫を貼る!$B$6:$B$10005,$B1905,①今日の在庫を貼る!$I$6:$I$10005,$I1905)&gt;0,N(U1904),N(U1904)+1))</f>
        <v>2</v>
      </c>
    </row>
    <row r="1906" customFormat="false" ht="15" hidden="false" customHeight="false" outlineLevel="0" collapsed="false">
      <c r="B1906" s="53"/>
      <c r="I1906" s="53"/>
      <c r="U1906" s="31" t="n">
        <f aca="false">IF($B1906&lt;&gt;'設定（最初に1回）'!$C$4,N(U1905),IF(COUNTIFS(①今日の在庫を貼る!$B$6:$B$10005,$B1906,①今日の在庫を貼る!$I$6:$I$10005,$I1906)&gt;0,N(U1905),N(U1905)+1))</f>
        <v>2</v>
      </c>
    </row>
    <row r="1907" customFormat="false" ht="15" hidden="false" customHeight="false" outlineLevel="0" collapsed="false">
      <c r="B1907" s="53"/>
      <c r="I1907" s="53"/>
      <c r="U1907" s="31" t="n">
        <f aca="false">IF($B1907&lt;&gt;'設定（最初に1回）'!$C$4,N(U1906),IF(COUNTIFS(①今日の在庫を貼る!$B$6:$B$10005,$B1907,①今日の在庫を貼る!$I$6:$I$10005,$I1907)&gt;0,N(U1906),N(U1906)+1))</f>
        <v>2</v>
      </c>
    </row>
    <row r="1908" customFormat="false" ht="15" hidden="false" customHeight="false" outlineLevel="0" collapsed="false">
      <c r="B1908" s="53"/>
      <c r="I1908" s="53"/>
      <c r="U1908" s="31" t="n">
        <f aca="false">IF($B1908&lt;&gt;'設定（最初に1回）'!$C$4,N(U1907),IF(COUNTIFS(①今日の在庫を貼る!$B$6:$B$10005,$B1908,①今日の在庫を貼る!$I$6:$I$10005,$I1908)&gt;0,N(U1907),N(U1907)+1))</f>
        <v>2</v>
      </c>
    </row>
    <row r="1909" customFormat="false" ht="15" hidden="false" customHeight="false" outlineLevel="0" collapsed="false">
      <c r="B1909" s="53"/>
      <c r="I1909" s="53"/>
      <c r="U1909" s="31" t="n">
        <f aca="false">IF($B1909&lt;&gt;'設定（最初に1回）'!$C$4,N(U1908),IF(COUNTIFS(①今日の在庫を貼る!$B$6:$B$10005,$B1909,①今日の在庫を貼る!$I$6:$I$10005,$I1909)&gt;0,N(U1908),N(U1908)+1))</f>
        <v>2</v>
      </c>
    </row>
    <row r="1910" customFormat="false" ht="15" hidden="false" customHeight="false" outlineLevel="0" collapsed="false">
      <c r="B1910" s="53"/>
      <c r="I1910" s="53"/>
      <c r="U1910" s="31" t="n">
        <f aca="false">IF($B1910&lt;&gt;'設定（最初に1回）'!$C$4,N(U1909),IF(COUNTIFS(①今日の在庫を貼る!$B$6:$B$10005,$B1910,①今日の在庫を貼る!$I$6:$I$10005,$I1910)&gt;0,N(U1909),N(U1909)+1))</f>
        <v>2</v>
      </c>
    </row>
    <row r="1911" customFormat="false" ht="15" hidden="false" customHeight="false" outlineLevel="0" collapsed="false">
      <c r="B1911" s="53"/>
      <c r="I1911" s="53"/>
      <c r="U1911" s="31" t="n">
        <f aca="false">IF($B1911&lt;&gt;'設定（最初に1回）'!$C$4,N(U1910),IF(COUNTIFS(①今日の在庫を貼る!$B$6:$B$10005,$B1911,①今日の在庫を貼る!$I$6:$I$10005,$I1911)&gt;0,N(U1910),N(U1910)+1))</f>
        <v>2</v>
      </c>
    </row>
    <row r="1912" customFormat="false" ht="15" hidden="false" customHeight="false" outlineLevel="0" collapsed="false">
      <c r="B1912" s="53"/>
      <c r="I1912" s="53"/>
      <c r="U1912" s="31" t="n">
        <f aca="false">IF($B1912&lt;&gt;'設定（最初に1回）'!$C$4,N(U1911),IF(COUNTIFS(①今日の在庫を貼る!$B$6:$B$10005,$B1912,①今日の在庫を貼る!$I$6:$I$10005,$I1912)&gt;0,N(U1911),N(U1911)+1))</f>
        <v>2</v>
      </c>
    </row>
    <row r="1913" customFormat="false" ht="15" hidden="false" customHeight="false" outlineLevel="0" collapsed="false">
      <c r="B1913" s="53"/>
      <c r="I1913" s="53"/>
      <c r="U1913" s="31" t="n">
        <f aca="false">IF($B1913&lt;&gt;'設定（最初に1回）'!$C$4,N(U1912),IF(COUNTIFS(①今日の在庫を貼る!$B$6:$B$10005,$B1913,①今日の在庫を貼る!$I$6:$I$10005,$I1913)&gt;0,N(U1912),N(U1912)+1))</f>
        <v>2</v>
      </c>
    </row>
    <row r="1914" customFormat="false" ht="15" hidden="false" customHeight="false" outlineLevel="0" collapsed="false">
      <c r="B1914" s="53"/>
      <c r="I1914" s="53"/>
      <c r="U1914" s="31" t="n">
        <f aca="false">IF($B1914&lt;&gt;'設定（最初に1回）'!$C$4,N(U1913),IF(COUNTIFS(①今日の在庫を貼る!$B$6:$B$10005,$B1914,①今日の在庫を貼る!$I$6:$I$10005,$I1914)&gt;0,N(U1913),N(U1913)+1))</f>
        <v>2</v>
      </c>
    </row>
    <row r="1915" customFormat="false" ht="15" hidden="false" customHeight="false" outlineLevel="0" collapsed="false">
      <c r="B1915" s="53"/>
      <c r="I1915" s="53"/>
      <c r="U1915" s="31" t="n">
        <f aca="false">IF($B1915&lt;&gt;'設定（最初に1回）'!$C$4,N(U1914),IF(COUNTIFS(①今日の在庫を貼る!$B$6:$B$10005,$B1915,①今日の在庫を貼る!$I$6:$I$10005,$I1915)&gt;0,N(U1914),N(U1914)+1))</f>
        <v>2</v>
      </c>
    </row>
    <row r="1916" customFormat="false" ht="15" hidden="false" customHeight="false" outlineLevel="0" collapsed="false">
      <c r="B1916" s="53"/>
      <c r="I1916" s="53"/>
      <c r="U1916" s="31" t="n">
        <f aca="false">IF($B1916&lt;&gt;'設定（最初に1回）'!$C$4,N(U1915),IF(COUNTIFS(①今日の在庫を貼る!$B$6:$B$10005,$B1916,①今日の在庫を貼る!$I$6:$I$10005,$I1916)&gt;0,N(U1915),N(U1915)+1))</f>
        <v>2</v>
      </c>
    </row>
    <row r="1917" customFormat="false" ht="15" hidden="false" customHeight="false" outlineLevel="0" collapsed="false">
      <c r="B1917" s="53"/>
      <c r="I1917" s="53"/>
      <c r="U1917" s="31" t="n">
        <f aca="false">IF($B1917&lt;&gt;'設定（最初に1回）'!$C$4,N(U1916),IF(COUNTIFS(①今日の在庫を貼る!$B$6:$B$10005,$B1917,①今日の在庫を貼る!$I$6:$I$10005,$I1917)&gt;0,N(U1916),N(U1916)+1))</f>
        <v>2</v>
      </c>
    </row>
    <row r="1918" customFormat="false" ht="15" hidden="false" customHeight="false" outlineLevel="0" collapsed="false">
      <c r="B1918" s="53"/>
      <c r="I1918" s="53"/>
      <c r="U1918" s="31" t="n">
        <f aca="false">IF($B1918&lt;&gt;'設定（最初に1回）'!$C$4,N(U1917),IF(COUNTIFS(①今日の在庫を貼る!$B$6:$B$10005,$B1918,①今日の在庫を貼る!$I$6:$I$10005,$I1918)&gt;0,N(U1917),N(U1917)+1))</f>
        <v>2</v>
      </c>
    </row>
    <row r="1919" customFormat="false" ht="15" hidden="false" customHeight="false" outlineLevel="0" collapsed="false">
      <c r="B1919" s="53"/>
      <c r="I1919" s="53"/>
      <c r="U1919" s="31" t="n">
        <f aca="false">IF($B1919&lt;&gt;'設定（最初に1回）'!$C$4,N(U1918),IF(COUNTIFS(①今日の在庫を貼る!$B$6:$B$10005,$B1919,①今日の在庫を貼る!$I$6:$I$10005,$I1919)&gt;0,N(U1918),N(U1918)+1))</f>
        <v>2</v>
      </c>
    </row>
    <row r="1920" customFormat="false" ht="15" hidden="false" customHeight="false" outlineLevel="0" collapsed="false">
      <c r="B1920" s="53"/>
      <c r="I1920" s="53"/>
      <c r="U1920" s="31" t="n">
        <f aca="false">IF($B1920&lt;&gt;'設定（最初に1回）'!$C$4,N(U1919),IF(COUNTIFS(①今日の在庫を貼る!$B$6:$B$10005,$B1920,①今日の在庫を貼る!$I$6:$I$10005,$I1920)&gt;0,N(U1919),N(U1919)+1))</f>
        <v>2</v>
      </c>
    </row>
    <row r="1921" customFormat="false" ht="15" hidden="false" customHeight="false" outlineLevel="0" collapsed="false">
      <c r="B1921" s="53"/>
      <c r="I1921" s="53"/>
      <c r="U1921" s="31" t="n">
        <f aca="false">IF($B1921&lt;&gt;'設定（最初に1回）'!$C$4,N(U1920),IF(COUNTIFS(①今日の在庫を貼る!$B$6:$B$10005,$B1921,①今日の在庫を貼る!$I$6:$I$10005,$I1921)&gt;0,N(U1920),N(U1920)+1))</f>
        <v>2</v>
      </c>
    </row>
    <row r="1922" customFormat="false" ht="15" hidden="false" customHeight="false" outlineLevel="0" collapsed="false">
      <c r="B1922" s="53"/>
      <c r="I1922" s="53"/>
      <c r="U1922" s="31" t="n">
        <f aca="false">IF($B1922&lt;&gt;'設定（最初に1回）'!$C$4,N(U1921),IF(COUNTIFS(①今日の在庫を貼る!$B$6:$B$10005,$B1922,①今日の在庫を貼る!$I$6:$I$10005,$I1922)&gt;0,N(U1921),N(U1921)+1))</f>
        <v>2</v>
      </c>
    </row>
    <row r="1923" customFormat="false" ht="15" hidden="false" customHeight="false" outlineLevel="0" collapsed="false">
      <c r="B1923" s="53"/>
      <c r="I1923" s="53"/>
      <c r="U1923" s="31" t="n">
        <f aca="false">IF($B1923&lt;&gt;'設定（最初に1回）'!$C$4,N(U1922),IF(COUNTIFS(①今日の在庫を貼る!$B$6:$B$10005,$B1923,①今日の在庫を貼る!$I$6:$I$10005,$I1923)&gt;0,N(U1922),N(U1922)+1))</f>
        <v>2</v>
      </c>
    </row>
    <row r="1924" customFormat="false" ht="15" hidden="false" customHeight="false" outlineLevel="0" collapsed="false">
      <c r="B1924" s="53"/>
      <c r="I1924" s="53"/>
      <c r="U1924" s="31" t="n">
        <f aca="false">IF($B1924&lt;&gt;'設定（最初に1回）'!$C$4,N(U1923),IF(COUNTIFS(①今日の在庫を貼る!$B$6:$B$10005,$B1924,①今日の在庫を貼る!$I$6:$I$10005,$I1924)&gt;0,N(U1923),N(U1923)+1))</f>
        <v>2</v>
      </c>
    </row>
    <row r="1925" customFormat="false" ht="15" hidden="false" customHeight="false" outlineLevel="0" collapsed="false">
      <c r="B1925" s="53"/>
      <c r="I1925" s="53"/>
      <c r="U1925" s="31" t="n">
        <f aca="false">IF($B1925&lt;&gt;'設定（最初に1回）'!$C$4,N(U1924),IF(COUNTIFS(①今日の在庫を貼る!$B$6:$B$10005,$B1925,①今日の在庫を貼る!$I$6:$I$10005,$I1925)&gt;0,N(U1924),N(U1924)+1))</f>
        <v>2</v>
      </c>
    </row>
    <row r="1926" customFormat="false" ht="15" hidden="false" customHeight="false" outlineLevel="0" collapsed="false">
      <c r="B1926" s="53"/>
      <c r="I1926" s="53"/>
      <c r="U1926" s="31" t="n">
        <f aca="false">IF($B1926&lt;&gt;'設定（最初に1回）'!$C$4,N(U1925),IF(COUNTIFS(①今日の在庫を貼る!$B$6:$B$10005,$B1926,①今日の在庫を貼る!$I$6:$I$10005,$I1926)&gt;0,N(U1925),N(U1925)+1))</f>
        <v>2</v>
      </c>
    </row>
    <row r="1927" customFormat="false" ht="15" hidden="false" customHeight="false" outlineLevel="0" collapsed="false">
      <c r="B1927" s="53"/>
      <c r="I1927" s="53"/>
      <c r="U1927" s="31" t="n">
        <f aca="false">IF($B1927&lt;&gt;'設定（最初に1回）'!$C$4,N(U1926),IF(COUNTIFS(①今日の在庫を貼る!$B$6:$B$10005,$B1927,①今日の在庫を貼る!$I$6:$I$10005,$I1927)&gt;0,N(U1926),N(U1926)+1))</f>
        <v>2</v>
      </c>
    </row>
    <row r="1928" customFormat="false" ht="15" hidden="false" customHeight="false" outlineLevel="0" collapsed="false">
      <c r="B1928" s="53"/>
      <c r="I1928" s="53"/>
      <c r="U1928" s="31" t="n">
        <f aca="false">IF($B1928&lt;&gt;'設定（最初に1回）'!$C$4,N(U1927),IF(COUNTIFS(①今日の在庫を貼る!$B$6:$B$10005,$B1928,①今日の在庫を貼る!$I$6:$I$10005,$I1928)&gt;0,N(U1927),N(U1927)+1))</f>
        <v>2</v>
      </c>
    </row>
    <row r="1929" customFormat="false" ht="15" hidden="false" customHeight="false" outlineLevel="0" collapsed="false">
      <c r="B1929" s="53"/>
      <c r="I1929" s="53"/>
      <c r="U1929" s="31" t="n">
        <f aca="false">IF($B1929&lt;&gt;'設定（最初に1回）'!$C$4,N(U1928),IF(COUNTIFS(①今日の在庫を貼る!$B$6:$B$10005,$B1929,①今日の在庫を貼る!$I$6:$I$10005,$I1929)&gt;0,N(U1928),N(U1928)+1))</f>
        <v>2</v>
      </c>
    </row>
    <row r="1930" customFormat="false" ht="15" hidden="false" customHeight="false" outlineLevel="0" collapsed="false">
      <c r="B1930" s="53"/>
      <c r="I1930" s="53"/>
      <c r="U1930" s="31" t="n">
        <f aca="false">IF($B1930&lt;&gt;'設定（最初に1回）'!$C$4,N(U1929),IF(COUNTIFS(①今日の在庫を貼る!$B$6:$B$10005,$B1930,①今日の在庫を貼る!$I$6:$I$10005,$I1930)&gt;0,N(U1929),N(U1929)+1))</f>
        <v>2</v>
      </c>
    </row>
    <row r="1931" customFormat="false" ht="15" hidden="false" customHeight="false" outlineLevel="0" collapsed="false">
      <c r="B1931" s="53"/>
      <c r="I1931" s="53"/>
      <c r="U1931" s="31" t="n">
        <f aca="false">IF($B1931&lt;&gt;'設定（最初に1回）'!$C$4,N(U1930),IF(COUNTIFS(①今日の在庫を貼る!$B$6:$B$10005,$B1931,①今日の在庫を貼る!$I$6:$I$10005,$I1931)&gt;0,N(U1930),N(U1930)+1))</f>
        <v>2</v>
      </c>
    </row>
    <row r="1932" customFormat="false" ht="15" hidden="false" customHeight="false" outlineLevel="0" collapsed="false">
      <c r="B1932" s="53"/>
      <c r="I1932" s="53"/>
      <c r="U1932" s="31" t="n">
        <f aca="false">IF($B1932&lt;&gt;'設定（最初に1回）'!$C$4,N(U1931),IF(COUNTIFS(①今日の在庫を貼る!$B$6:$B$10005,$B1932,①今日の在庫を貼る!$I$6:$I$10005,$I1932)&gt;0,N(U1931),N(U1931)+1))</f>
        <v>2</v>
      </c>
    </row>
    <row r="1933" customFormat="false" ht="15" hidden="false" customHeight="false" outlineLevel="0" collapsed="false">
      <c r="B1933" s="53"/>
      <c r="I1933" s="53"/>
      <c r="U1933" s="31" t="n">
        <f aca="false">IF($B1933&lt;&gt;'設定（最初に1回）'!$C$4,N(U1932),IF(COUNTIFS(①今日の在庫を貼る!$B$6:$B$10005,$B1933,①今日の在庫を貼る!$I$6:$I$10005,$I1933)&gt;0,N(U1932),N(U1932)+1))</f>
        <v>2</v>
      </c>
    </row>
    <row r="1934" customFormat="false" ht="15" hidden="false" customHeight="false" outlineLevel="0" collapsed="false">
      <c r="B1934" s="53"/>
      <c r="I1934" s="53"/>
      <c r="U1934" s="31" t="n">
        <f aca="false">IF($B1934&lt;&gt;'設定（最初に1回）'!$C$4,N(U1933),IF(COUNTIFS(①今日の在庫を貼る!$B$6:$B$10005,$B1934,①今日の在庫を貼る!$I$6:$I$10005,$I1934)&gt;0,N(U1933),N(U1933)+1))</f>
        <v>2</v>
      </c>
    </row>
    <row r="1935" customFormat="false" ht="15" hidden="false" customHeight="false" outlineLevel="0" collapsed="false">
      <c r="B1935" s="53"/>
      <c r="I1935" s="53"/>
      <c r="U1935" s="31" t="n">
        <f aca="false">IF($B1935&lt;&gt;'設定（最初に1回）'!$C$4,N(U1934),IF(COUNTIFS(①今日の在庫を貼る!$B$6:$B$10005,$B1935,①今日の在庫を貼る!$I$6:$I$10005,$I1935)&gt;0,N(U1934),N(U1934)+1))</f>
        <v>2</v>
      </c>
    </row>
    <row r="1936" customFormat="false" ht="15" hidden="false" customHeight="false" outlineLevel="0" collapsed="false">
      <c r="B1936" s="53"/>
      <c r="I1936" s="53"/>
      <c r="U1936" s="31" t="n">
        <f aca="false">IF($B1936&lt;&gt;'設定（最初に1回）'!$C$4,N(U1935),IF(COUNTIFS(①今日の在庫を貼る!$B$6:$B$10005,$B1936,①今日の在庫を貼る!$I$6:$I$10005,$I1936)&gt;0,N(U1935),N(U1935)+1))</f>
        <v>2</v>
      </c>
    </row>
    <row r="1937" customFormat="false" ht="15" hidden="false" customHeight="false" outlineLevel="0" collapsed="false">
      <c r="B1937" s="53"/>
      <c r="I1937" s="53"/>
      <c r="U1937" s="31" t="n">
        <f aca="false">IF($B1937&lt;&gt;'設定（最初に1回）'!$C$4,N(U1936),IF(COUNTIFS(①今日の在庫を貼る!$B$6:$B$10005,$B1937,①今日の在庫を貼る!$I$6:$I$10005,$I1937)&gt;0,N(U1936),N(U1936)+1))</f>
        <v>2</v>
      </c>
    </row>
    <row r="1938" customFormat="false" ht="15" hidden="false" customHeight="false" outlineLevel="0" collapsed="false">
      <c r="B1938" s="53"/>
      <c r="I1938" s="53"/>
      <c r="U1938" s="31" t="n">
        <f aca="false">IF($B1938&lt;&gt;'設定（最初に1回）'!$C$4,N(U1937),IF(COUNTIFS(①今日の在庫を貼る!$B$6:$B$10005,$B1938,①今日の在庫を貼る!$I$6:$I$10005,$I1938)&gt;0,N(U1937),N(U1937)+1))</f>
        <v>2</v>
      </c>
    </row>
    <row r="1939" customFormat="false" ht="15" hidden="false" customHeight="false" outlineLevel="0" collapsed="false">
      <c r="B1939" s="53"/>
      <c r="I1939" s="53"/>
      <c r="U1939" s="31" t="n">
        <f aca="false">IF($B1939&lt;&gt;'設定（最初に1回）'!$C$4,N(U1938),IF(COUNTIFS(①今日の在庫を貼る!$B$6:$B$10005,$B1939,①今日の在庫を貼る!$I$6:$I$10005,$I1939)&gt;0,N(U1938),N(U1938)+1))</f>
        <v>2</v>
      </c>
    </row>
    <row r="1940" customFormat="false" ht="15" hidden="false" customHeight="false" outlineLevel="0" collapsed="false">
      <c r="B1940" s="53"/>
      <c r="I1940" s="53"/>
      <c r="U1940" s="31" t="n">
        <f aca="false">IF($B1940&lt;&gt;'設定（最初に1回）'!$C$4,N(U1939),IF(COUNTIFS(①今日の在庫を貼る!$B$6:$B$10005,$B1940,①今日の在庫を貼る!$I$6:$I$10005,$I1940)&gt;0,N(U1939),N(U1939)+1))</f>
        <v>2</v>
      </c>
    </row>
    <row r="1941" customFormat="false" ht="15" hidden="false" customHeight="false" outlineLevel="0" collapsed="false">
      <c r="B1941" s="53"/>
      <c r="I1941" s="53"/>
      <c r="U1941" s="31" t="n">
        <f aca="false">IF($B1941&lt;&gt;'設定（最初に1回）'!$C$4,N(U1940),IF(COUNTIFS(①今日の在庫を貼る!$B$6:$B$10005,$B1941,①今日の在庫を貼る!$I$6:$I$10005,$I1941)&gt;0,N(U1940),N(U1940)+1))</f>
        <v>2</v>
      </c>
    </row>
    <row r="1942" customFormat="false" ht="15" hidden="false" customHeight="false" outlineLevel="0" collapsed="false">
      <c r="B1942" s="53"/>
      <c r="I1942" s="53"/>
      <c r="U1942" s="31" t="n">
        <f aca="false">IF($B1942&lt;&gt;'設定（最初に1回）'!$C$4,N(U1941),IF(COUNTIFS(①今日の在庫を貼る!$B$6:$B$10005,$B1942,①今日の在庫を貼る!$I$6:$I$10005,$I1942)&gt;0,N(U1941),N(U1941)+1))</f>
        <v>2</v>
      </c>
    </row>
    <row r="1943" customFormat="false" ht="15" hidden="false" customHeight="false" outlineLevel="0" collapsed="false">
      <c r="B1943" s="53"/>
      <c r="I1943" s="53"/>
      <c r="U1943" s="31" t="n">
        <f aca="false">IF($B1943&lt;&gt;'設定（最初に1回）'!$C$4,N(U1942),IF(COUNTIFS(①今日の在庫を貼る!$B$6:$B$10005,$B1943,①今日の在庫を貼る!$I$6:$I$10005,$I1943)&gt;0,N(U1942),N(U1942)+1))</f>
        <v>2</v>
      </c>
    </row>
    <row r="1944" customFormat="false" ht="15" hidden="false" customHeight="false" outlineLevel="0" collapsed="false">
      <c r="B1944" s="53"/>
      <c r="I1944" s="53"/>
      <c r="U1944" s="31" t="n">
        <f aca="false">IF($B1944&lt;&gt;'設定（最初に1回）'!$C$4,N(U1943),IF(COUNTIFS(①今日の在庫を貼る!$B$6:$B$10005,$B1944,①今日の在庫を貼る!$I$6:$I$10005,$I1944)&gt;0,N(U1943),N(U1943)+1))</f>
        <v>2</v>
      </c>
    </row>
    <row r="1945" customFormat="false" ht="15" hidden="false" customHeight="false" outlineLevel="0" collapsed="false">
      <c r="B1945" s="53"/>
      <c r="I1945" s="53"/>
      <c r="U1945" s="31" t="n">
        <f aca="false">IF($B1945&lt;&gt;'設定（最初に1回）'!$C$4,N(U1944),IF(COUNTIFS(①今日の在庫を貼る!$B$6:$B$10005,$B1945,①今日の在庫を貼る!$I$6:$I$10005,$I1945)&gt;0,N(U1944),N(U1944)+1))</f>
        <v>2</v>
      </c>
    </row>
    <row r="1946" customFormat="false" ht="15" hidden="false" customHeight="false" outlineLevel="0" collapsed="false">
      <c r="B1946" s="53"/>
      <c r="I1946" s="53"/>
      <c r="U1946" s="31" t="n">
        <f aca="false">IF($B1946&lt;&gt;'設定（最初に1回）'!$C$4,N(U1945),IF(COUNTIFS(①今日の在庫を貼る!$B$6:$B$10005,$B1946,①今日の在庫を貼る!$I$6:$I$10005,$I1946)&gt;0,N(U1945),N(U1945)+1))</f>
        <v>2</v>
      </c>
    </row>
    <row r="1947" customFormat="false" ht="15" hidden="false" customHeight="false" outlineLevel="0" collapsed="false">
      <c r="B1947" s="53"/>
      <c r="I1947" s="53"/>
      <c r="U1947" s="31" t="n">
        <f aca="false">IF($B1947&lt;&gt;'設定（最初に1回）'!$C$4,N(U1946),IF(COUNTIFS(①今日の在庫を貼る!$B$6:$B$10005,$B1947,①今日の在庫を貼る!$I$6:$I$10005,$I1947)&gt;0,N(U1946),N(U1946)+1))</f>
        <v>2</v>
      </c>
    </row>
    <row r="1948" customFormat="false" ht="15" hidden="false" customHeight="false" outlineLevel="0" collapsed="false">
      <c r="B1948" s="53"/>
      <c r="I1948" s="53"/>
      <c r="U1948" s="31" t="n">
        <f aca="false">IF($B1948&lt;&gt;'設定（最初に1回）'!$C$4,N(U1947),IF(COUNTIFS(①今日の在庫を貼る!$B$6:$B$10005,$B1948,①今日の在庫を貼る!$I$6:$I$10005,$I1948)&gt;0,N(U1947),N(U1947)+1))</f>
        <v>2</v>
      </c>
    </row>
    <row r="1949" customFormat="false" ht="15" hidden="false" customHeight="false" outlineLevel="0" collapsed="false">
      <c r="B1949" s="53"/>
      <c r="I1949" s="53"/>
      <c r="U1949" s="31" t="n">
        <f aca="false">IF($B1949&lt;&gt;'設定（最初に1回）'!$C$4,N(U1948),IF(COUNTIFS(①今日の在庫を貼る!$B$6:$B$10005,$B1949,①今日の在庫を貼る!$I$6:$I$10005,$I1949)&gt;0,N(U1948),N(U1948)+1))</f>
        <v>2</v>
      </c>
    </row>
    <row r="1950" customFormat="false" ht="15" hidden="false" customHeight="false" outlineLevel="0" collapsed="false">
      <c r="B1950" s="53"/>
      <c r="I1950" s="53"/>
      <c r="U1950" s="31" t="n">
        <f aca="false">IF($B1950&lt;&gt;'設定（最初に1回）'!$C$4,N(U1949),IF(COUNTIFS(①今日の在庫を貼る!$B$6:$B$10005,$B1950,①今日の在庫を貼る!$I$6:$I$10005,$I1950)&gt;0,N(U1949),N(U1949)+1))</f>
        <v>2</v>
      </c>
    </row>
    <row r="1951" customFormat="false" ht="15" hidden="false" customHeight="false" outlineLevel="0" collapsed="false">
      <c r="B1951" s="53"/>
      <c r="I1951" s="53"/>
      <c r="U1951" s="31" t="n">
        <f aca="false">IF($B1951&lt;&gt;'設定（最初に1回）'!$C$4,N(U1950),IF(COUNTIFS(①今日の在庫を貼る!$B$6:$B$10005,$B1951,①今日の在庫を貼る!$I$6:$I$10005,$I1951)&gt;0,N(U1950),N(U1950)+1))</f>
        <v>2</v>
      </c>
    </row>
    <row r="1952" customFormat="false" ht="15" hidden="false" customHeight="false" outlineLevel="0" collapsed="false">
      <c r="B1952" s="53"/>
      <c r="I1952" s="53"/>
      <c r="U1952" s="31" t="n">
        <f aca="false">IF($B1952&lt;&gt;'設定（最初に1回）'!$C$4,N(U1951),IF(COUNTIFS(①今日の在庫を貼る!$B$6:$B$10005,$B1952,①今日の在庫を貼る!$I$6:$I$10005,$I1952)&gt;0,N(U1951),N(U1951)+1))</f>
        <v>2</v>
      </c>
    </row>
    <row r="1953" customFormat="false" ht="15" hidden="false" customHeight="false" outlineLevel="0" collapsed="false">
      <c r="B1953" s="53"/>
      <c r="I1953" s="53"/>
      <c r="U1953" s="31" t="n">
        <f aca="false">IF($B1953&lt;&gt;'設定（最初に1回）'!$C$4,N(U1952),IF(COUNTIFS(①今日の在庫を貼る!$B$6:$B$10005,$B1953,①今日の在庫を貼る!$I$6:$I$10005,$I1953)&gt;0,N(U1952),N(U1952)+1))</f>
        <v>2</v>
      </c>
    </row>
    <row r="1954" customFormat="false" ht="15" hidden="false" customHeight="false" outlineLevel="0" collapsed="false">
      <c r="B1954" s="53"/>
      <c r="I1954" s="53"/>
      <c r="U1954" s="31" t="n">
        <f aca="false">IF($B1954&lt;&gt;'設定（最初に1回）'!$C$4,N(U1953),IF(COUNTIFS(①今日の在庫を貼る!$B$6:$B$10005,$B1954,①今日の在庫を貼る!$I$6:$I$10005,$I1954)&gt;0,N(U1953),N(U1953)+1))</f>
        <v>2</v>
      </c>
    </row>
    <row r="1955" customFormat="false" ht="15" hidden="false" customHeight="false" outlineLevel="0" collapsed="false">
      <c r="B1955" s="53"/>
      <c r="I1955" s="53"/>
      <c r="U1955" s="31" t="n">
        <f aca="false">IF($B1955&lt;&gt;'設定（最初に1回）'!$C$4,N(U1954),IF(COUNTIFS(①今日の在庫を貼る!$B$6:$B$10005,$B1955,①今日の在庫を貼る!$I$6:$I$10005,$I1955)&gt;0,N(U1954),N(U1954)+1))</f>
        <v>2</v>
      </c>
    </row>
    <row r="1956" customFormat="false" ht="15" hidden="false" customHeight="false" outlineLevel="0" collapsed="false">
      <c r="B1956" s="53"/>
      <c r="I1956" s="53"/>
      <c r="U1956" s="31" t="n">
        <f aca="false">IF($B1956&lt;&gt;'設定（最初に1回）'!$C$4,N(U1955),IF(COUNTIFS(①今日の在庫を貼る!$B$6:$B$10005,$B1956,①今日の在庫を貼る!$I$6:$I$10005,$I1956)&gt;0,N(U1955),N(U1955)+1))</f>
        <v>2</v>
      </c>
    </row>
    <row r="1957" customFormat="false" ht="15" hidden="false" customHeight="false" outlineLevel="0" collapsed="false">
      <c r="B1957" s="53"/>
      <c r="I1957" s="53"/>
      <c r="U1957" s="31" t="n">
        <f aca="false">IF($B1957&lt;&gt;'設定（最初に1回）'!$C$4,N(U1956),IF(COUNTIFS(①今日の在庫を貼る!$B$6:$B$10005,$B1957,①今日の在庫を貼る!$I$6:$I$10005,$I1957)&gt;0,N(U1956),N(U1956)+1))</f>
        <v>2</v>
      </c>
    </row>
    <row r="1958" customFormat="false" ht="15" hidden="false" customHeight="false" outlineLevel="0" collapsed="false">
      <c r="B1958" s="53"/>
      <c r="I1958" s="53"/>
      <c r="U1958" s="31" t="n">
        <f aca="false">IF($B1958&lt;&gt;'設定（最初に1回）'!$C$4,N(U1957),IF(COUNTIFS(①今日の在庫を貼る!$B$6:$B$10005,$B1958,①今日の在庫を貼る!$I$6:$I$10005,$I1958)&gt;0,N(U1957),N(U1957)+1))</f>
        <v>2</v>
      </c>
    </row>
    <row r="1959" customFormat="false" ht="15" hidden="false" customHeight="false" outlineLevel="0" collapsed="false">
      <c r="B1959" s="53"/>
      <c r="I1959" s="53"/>
      <c r="U1959" s="31" t="n">
        <f aca="false">IF($B1959&lt;&gt;'設定（最初に1回）'!$C$4,N(U1958),IF(COUNTIFS(①今日の在庫を貼る!$B$6:$B$10005,$B1959,①今日の在庫を貼る!$I$6:$I$10005,$I1959)&gt;0,N(U1958),N(U1958)+1))</f>
        <v>2</v>
      </c>
    </row>
    <row r="1960" customFormat="false" ht="15" hidden="false" customHeight="false" outlineLevel="0" collapsed="false">
      <c r="B1960" s="53"/>
      <c r="I1960" s="53"/>
      <c r="U1960" s="31" t="n">
        <f aca="false">IF($B1960&lt;&gt;'設定（最初に1回）'!$C$4,N(U1959),IF(COUNTIFS(①今日の在庫を貼る!$B$6:$B$10005,$B1960,①今日の在庫を貼る!$I$6:$I$10005,$I1960)&gt;0,N(U1959),N(U1959)+1))</f>
        <v>2</v>
      </c>
    </row>
    <row r="1961" customFormat="false" ht="15" hidden="false" customHeight="false" outlineLevel="0" collapsed="false">
      <c r="B1961" s="53"/>
      <c r="I1961" s="53"/>
      <c r="U1961" s="31" t="n">
        <f aca="false">IF($B1961&lt;&gt;'設定（最初に1回）'!$C$4,N(U1960),IF(COUNTIFS(①今日の在庫を貼る!$B$6:$B$10005,$B1961,①今日の在庫を貼る!$I$6:$I$10005,$I1961)&gt;0,N(U1960),N(U1960)+1))</f>
        <v>2</v>
      </c>
    </row>
    <row r="1962" customFormat="false" ht="15" hidden="false" customHeight="false" outlineLevel="0" collapsed="false">
      <c r="B1962" s="53"/>
      <c r="I1962" s="53"/>
      <c r="U1962" s="31" t="n">
        <f aca="false">IF($B1962&lt;&gt;'設定（最初に1回）'!$C$4,N(U1961),IF(COUNTIFS(①今日の在庫を貼る!$B$6:$B$10005,$B1962,①今日の在庫を貼る!$I$6:$I$10005,$I1962)&gt;0,N(U1961),N(U1961)+1))</f>
        <v>2</v>
      </c>
    </row>
    <row r="1963" customFormat="false" ht="15" hidden="false" customHeight="false" outlineLevel="0" collapsed="false">
      <c r="B1963" s="53"/>
      <c r="I1963" s="53"/>
      <c r="U1963" s="31" t="n">
        <f aca="false">IF($B1963&lt;&gt;'設定（最初に1回）'!$C$4,N(U1962),IF(COUNTIFS(①今日の在庫を貼る!$B$6:$B$10005,$B1963,①今日の在庫を貼る!$I$6:$I$10005,$I1963)&gt;0,N(U1962),N(U1962)+1))</f>
        <v>2</v>
      </c>
    </row>
    <row r="1964" customFormat="false" ht="15" hidden="false" customHeight="false" outlineLevel="0" collapsed="false">
      <c r="B1964" s="53"/>
      <c r="I1964" s="53"/>
      <c r="U1964" s="31" t="n">
        <f aca="false">IF($B1964&lt;&gt;'設定（最初に1回）'!$C$4,N(U1963),IF(COUNTIFS(①今日の在庫を貼る!$B$6:$B$10005,$B1964,①今日の在庫を貼る!$I$6:$I$10005,$I1964)&gt;0,N(U1963),N(U1963)+1))</f>
        <v>2</v>
      </c>
    </row>
    <row r="1965" customFormat="false" ht="15" hidden="false" customHeight="false" outlineLevel="0" collapsed="false">
      <c r="B1965" s="53"/>
      <c r="I1965" s="53"/>
      <c r="U1965" s="31" t="n">
        <f aca="false">IF($B1965&lt;&gt;'設定（最初に1回）'!$C$4,N(U1964),IF(COUNTIFS(①今日の在庫を貼る!$B$6:$B$10005,$B1965,①今日の在庫を貼る!$I$6:$I$10005,$I1965)&gt;0,N(U1964),N(U1964)+1))</f>
        <v>2</v>
      </c>
    </row>
    <row r="1966" customFormat="false" ht="15" hidden="false" customHeight="false" outlineLevel="0" collapsed="false">
      <c r="B1966" s="53"/>
      <c r="I1966" s="53"/>
      <c r="U1966" s="31" t="n">
        <f aca="false">IF($B1966&lt;&gt;'設定（最初に1回）'!$C$4,N(U1965),IF(COUNTIFS(①今日の在庫を貼る!$B$6:$B$10005,$B1966,①今日の在庫を貼る!$I$6:$I$10005,$I1966)&gt;0,N(U1965),N(U1965)+1))</f>
        <v>2</v>
      </c>
    </row>
    <row r="1967" customFormat="false" ht="15" hidden="false" customHeight="false" outlineLevel="0" collapsed="false">
      <c r="B1967" s="53"/>
      <c r="I1967" s="53"/>
      <c r="U1967" s="31" t="n">
        <f aca="false">IF($B1967&lt;&gt;'設定（最初に1回）'!$C$4,N(U1966),IF(COUNTIFS(①今日の在庫を貼る!$B$6:$B$10005,$B1967,①今日の在庫を貼る!$I$6:$I$10005,$I1967)&gt;0,N(U1966),N(U1966)+1))</f>
        <v>2</v>
      </c>
    </row>
    <row r="1968" customFormat="false" ht="15" hidden="false" customHeight="false" outlineLevel="0" collapsed="false">
      <c r="B1968" s="53"/>
      <c r="I1968" s="53"/>
      <c r="U1968" s="31" t="n">
        <f aca="false">IF($B1968&lt;&gt;'設定（最初に1回）'!$C$4,N(U1967),IF(COUNTIFS(①今日の在庫を貼る!$B$6:$B$10005,$B1968,①今日の在庫を貼る!$I$6:$I$10005,$I1968)&gt;0,N(U1967),N(U1967)+1))</f>
        <v>2</v>
      </c>
    </row>
    <row r="1969" customFormat="false" ht="15" hidden="false" customHeight="false" outlineLevel="0" collapsed="false">
      <c r="B1969" s="53"/>
      <c r="I1969" s="53"/>
      <c r="U1969" s="31" t="n">
        <f aca="false">IF($B1969&lt;&gt;'設定（最初に1回）'!$C$4,N(U1968),IF(COUNTIFS(①今日の在庫を貼る!$B$6:$B$10005,$B1969,①今日の在庫を貼る!$I$6:$I$10005,$I1969)&gt;0,N(U1968),N(U1968)+1))</f>
        <v>2</v>
      </c>
    </row>
    <row r="1970" customFormat="false" ht="15" hidden="false" customHeight="false" outlineLevel="0" collapsed="false">
      <c r="B1970" s="53"/>
      <c r="I1970" s="53"/>
      <c r="U1970" s="31" t="n">
        <f aca="false">IF($B1970&lt;&gt;'設定（最初に1回）'!$C$4,N(U1969),IF(COUNTIFS(①今日の在庫を貼る!$B$6:$B$10005,$B1970,①今日の在庫を貼る!$I$6:$I$10005,$I1970)&gt;0,N(U1969),N(U1969)+1))</f>
        <v>2</v>
      </c>
    </row>
    <row r="1971" customFormat="false" ht="15" hidden="false" customHeight="false" outlineLevel="0" collapsed="false">
      <c r="B1971" s="53"/>
      <c r="I1971" s="53"/>
      <c r="U1971" s="31" t="n">
        <f aca="false">IF($B1971&lt;&gt;'設定（最初に1回）'!$C$4,N(U1970),IF(COUNTIFS(①今日の在庫を貼る!$B$6:$B$10005,$B1971,①今日の在庫を貼る!$I$6:$I$10005,$I1971)&gt;0,N(U1970),N(U1970)+1))</f>
        <v>2</v>
      </c>
    </row>
    <row r="1972" customFormat="false" ht="15" hidden="false" customHeight="false" outlineLevel="0" collapsed="false">
      <c r="B1972" s="53"/>
      <c r="I1972" s="53"/>
      <c r="U1972" s="31" t="n">
        <f aca="false">IF($B1972&lt;&gt;'設定（最初に1回）'!$C$4,N(U1971),IF(COUNTIFS(①今日の在庫を貼る!$B$6:$B$10005,$B1972,①今日の在庫を貼る!$I$6:$I$10005,$I1972)&gt;0,N(U1971),N(U1971)+1))</f>
        <v>2</v>
      </c>
    </row>
    <row r="1973" customFormat="false" ht="15" hidden="false" customHeight="false" outlineLevel="0" collapsed="false">
      <c r="B1973" s="53"/>
      <c r="I1973" s="53"/>
      <c r="U1973" s="31" t="n">
        <f aca="false">IF($B1973&lt;&gt;'設定（最初に1回）'!$C$4,N(U1972),IF(COUNTIFS(①今日の在庫を貼る!$B$6:$B$10005,$B1973,①今日の在庫を貼る!$I$6:$I$10005,$I1973)&gt;0,N(U1972),N(U1972)+1))</f>
        <v>2</v>
      </c>
    </row>
    <row r="1974" customFormat="false" ht="15" hidden="false" customHeight="false" outlineLevel="0" collapsed="false">
      <c r="B1974" s="53"/>
      <c r="I1974" s="53"/>
      <c r="U1974" s="31" t="n">
        <f aca="false">IF($B1974&lt;&gt;'設定（最初に1回）'!$C$4,N(U1973),IF(COUNTIFS(①今日の在庫を貼る!$B$6:$B$10005,$B1974,①今日の在庫を貼る!$I$6:$I$10005,$I1974)&gt;0,N(U1973),N(U1973)+1))</f>
        <v>2</v>
      </c>
    </row>
    <row r="1975" customFormat="false" ht="15" hidden="false" customHeight="false" outlineLevel="0" collapsed="false">
      <c r="B1975" s="53"/>
      <c r="I1975" s="53"/>
      <c r="U1975" s="31" t="n">
        <f aca="false">IF($B1975&lt;&gt;'設定（最初に1回）'!$C$4,N(U1974),IF(COUNTIFS(①今日の在庫を貼る!$B$6:$B$10005,$B1975,①今日の在庫を貼る!$I$6:$I$10005,$I1975)&gt;0,N(U1974),N(U1974)+1))</f>
        <v>2</v>
      </c>
    </row>
    <row r="1976" customFormat="false" ht="15" hidden="false" customHeight="false" outlineLevel="0" collapsed="false">
      <c r="B1976" s="53"/>
      <c r="I1976" s="53"/>
      <c r="U1976" s="31" t="n">
        <f aca="false">IF($B1976&lt;&gt;'設定（最初に1回）'!$C$4,N(U1975),IF(COUNTIFS(①今日の在庫を貼る!$B$6:$B$10005,$B1976,①今日の在庫を貼る!$I$6:$I$10005,$I1976)&gt;0,N(U1975),N(U1975)+1))</f>
        <v>2</v>
      </c>
    </row>
    <row r="1977" customFormat="false" ht="15" hidden="false" customHeight="false" outlineLevel="0" collapsed="false">
      <c r="B1977" s="53"/>
      <c r="I1977" s="53"/>
      <c r="U1977" s="31" t="n">
        <f aca="false">IF($B1977&lt;&gt;'設定（最初に1回）'!$C$4,N(U1976),IF(COUNTIFS(①今日の在庫を貼る!$B$6:$B$10005,$B1977,①今日の在庫を貼る!$I$6:$I$10005,$I1977)&gt;0,N(U1976),N(U1976)+1))</f>
        <v>2</v>
      </c>
    </row>
    <row r="1978" customFormat="false" ht="15" hidden="false" customHeight="false" outlineLevel="0" collapsed="false">
      <c r="B1978" s="53"/>
      <c r="I1978" s="53"/>
      <c r="U1978" s="31" t="n">
        <f aca="false">IF($B1978&lt;&gt;'設定（最初に1回）'!$C$4,N(U1977),IF(COUNTIFS(①今日の在庫を貼る!$B$6:$B$10005,$B1978,①今日の在庫を貼る!$I$6:$I$10005,$I1978)&gt;0,N(U1977),N(U1977)+1))</f>
        <v>2</v>
      </c>
    </row>
    <row r="1979" customFormat="false" ht="15" hidden="false" customHeight="false" outlineLevel="0" collapsed="false">
      <c r="B1979" s="53"/>
      <c r="I1979" s="53"/>
      <c r="U1979" s="31" t="n">
        <f aca="false">IF($B1979&lt;&gt;'設定（最初に1回）'!$C$4,N(U1978),IF(COUNTIFS(①今日の在庫を貼る!$B$6:$B$10005,$B1979,①今日の在庫を貼る!$I$6:$I$10005,$I1979)&gt;0,N(U1978),N(U1978)+1))</f>
        <v>2</v>
      </c>
    </row>
    <row r="1980" customFormat="false" ht="15" hidden="false" customHeight="false" outlineLevel="0" collapsed="false">
      <c r="B1980" s="53"/>
      <c r="I1980" s="53"/>
      <c r="U1980" s="31" t="n">
        <f aca="false">IF($B1980&lt;&gt;'設定（最初に1回）'!$C$4,N(U1979),IF(COUNTIFS(①今日の在庫を貼る!$B$6:$B$10005,$B1980,①今日の在庫を貼る!$I$6:$I$10005,$I1980)&gt;0,N(U1979),N(U1979)+1))</f>
        <v>2</v>
      </c>
    </row>
    <row r="1981" customFormat="false" ht="15" hidden="false" customHeight="false" outlineLevel="0" collapsed="false">
      <c r="B1981" s="53"/>
      <c r="I1981" s="53"/>
      <c r="U1981" s="31" t="n">
        <f aca="false">IF($B1981&lt;&gt;'設定（最初に1回）'!$C$4,N(U1980),IF(COUNTIFS(①今日の在庫を貼る!$B$6:$B$10005,$B1981,①今日の在庫を貼る!$I$6:$I$10005,$I1981)&gt;0,N(U1980),N(U1980)+1))</f>
        <v>2</v>
      </c>
    </row>
    <row r="1982" customFormat="false" ht="15" hidden="false" customHeight="false" outlineLevel="0" collapsed="false">
      <c r="B1982" s="53"/>
      <c r="I1982" s="53"/>
      <c r="U1982" s="31" t="n">
        <f aca="false">IF($B1982&lt;&gt;'設定（最初に1回）'!$C$4,N(U1981),IF(COUNTIFS(①今日の在庫を貼る!$B$6:$B$10005,$B1982,①今日の在庫を貼る!$I$6:$I$10005,$I1982)&gt;0,N(U1981),N(U1981)+1))</f>
        <v>2</v>
      </c>
    </row>
    <row r="1983" customFormat="false" ht="15" hidden="false" customHeight="false" outlineLevel="0" collapsed="false">
      <c r="B1983" s="53"/>
      <c r="I1983" s="53"/>
      <c r="U1983" s="31" t="n">
        <f aca="false">IF($B1983&lt;&gt;'設定（最初に1回）'!$C$4,N(U1982),IF(COUNTIFS(①今日の在庫を貼る!$B$6:$B$10005,$B1983,①今日の在庫を貼る!$I$6:$I$10005,$I1983)&gt;0,N(U1982),N(U1982)+1))</f>
        <v>2</v>
      </c>
    </row>
    <row r="1984" customFormat="false" ht="15" hidden="false" customHeight="false" outlineLevel="0" collapsed="false">
      <c r="B1984" s="53"/>
      <c r="I1984" s="53"/>
      <c r="U1984" s="31" t="n">
        <f aca="false">IF($B1984&lt;&gt;'設定（最初に1回）'!$C$4,N(U1983),IF(COUNTIFS(①今日の在庫を貼る!$B$6:$B$10005,$B1984,①今日の在庫を貼る!$I$6:$I$10005,$I1984)&gt;0,N(U1983),N(U1983)+1))</f>
        <v>2</v>
      </c>
    </row>
    <row r="1985" customFormat="false" ht="15" hidden="false" customHeight="false" outlineLevel="0" collapsed="false">
      <c r="B1985" s="53"/>
      <c r="I1985" s="53"/>
      <c r="U1985" s="31" t="n">
        <f aca="false">IF($B1985&lt;&gt;'設定（最初に1回）'!$C$4,N(U1984),IF(COUNTIFS(①今日の在庫を貼る!$B$6:$B$10005,$B1985,①今日の在庫を貼る!$I$6:$I$10005,$I1985)&gt;0,N(U1984),N(U1984)+1))</f>
        <v>2</v>
      </c>
    </row>
    <row r="1986" customFormat="false" ht="15" hidden="false" customHeight="false" outlineLevel="0" collapsed="false">
      <c r="B1986" s="53"/>
      <c r="I1986" s="53"/>
      <c r="U1986" s="31" t="n">
        <f aca="false">IF($B1986&lt;&gt;'設定（最初に1回）'!$C$4,N(U1985),IF(COUNTIFS(①今日の在庫を貼る!$B$6:$B$10005,$B1986,①今日の在庫を貼る!$I$6:$I$10005,$I1986)&gt;0,N(U1985),N(U1985)+1))</f>
        <v>2</v>
      </c>
    </row>
    <row r="1987" customFormat="false" ht="15" hidden="false" customHeight="false" outlineLevel="0" collapsed="false">
      <c r="B1987" s="53"/>
      <c r="I1987" s="53"/>
      <c r="U1987" s="31" t="n">
        <f aca="false">IF($B1987&lt;&gt;'設定（最初に1回）'!$C$4,N(U1986),IF(COUNTIFS(①今日の在庫を貼る!$B$6:$B$10005,$B1987,①今日の在庫を貼る!$I$6:$I$10005,$I1987)&gt;0,N(U1986),N(U1986)+1))</f>
        <v>2</v>
      </c>
    </row>
    <row r="1988" customFormat="false" ht="15" hidden="false" customHeight="false" outlineLevel="0" collapsed="false">
      <c r="B1988" s="53"/>
      <c r="I1988" s="53"/>
      <c r="U1988" s="31" t="n">
        <f aca="false">IF($B1988&lt;&gt;'設定（最初に1回）'!$C$4,N(U1987),IF(COUNTIFS(①今日の在庫を貼る!$B$6:$B$10005,$B1988,①今日の在庫を貼る!$I$6:$I$10005,$I1988)&gt;0,N(U1987),N(U1987)+1))</f>
        <v>2</v>
      </c>
    </row>
    <row r="1989" customFormat="false" ht="15" hidden="false" customHeight="false" outlineLevel="0" collapsed="false">
      <c r="B1989" s="53"/>
      <c r="I1989" s="53"/>
      <c r="U1989" s="31" t="n">
        <f aca="false">IF($B1989&lt;&gt;'設定（最初に1回）'!$C$4,N(U1988),IF(COUNTIFS(①今日の在庫を貼る!$B$6:$B$10005,$B1989,①今日の在庫を貼る!$I$6:$I$10005,$I1989)&gt;0,N(U1988),N(U1988)+1))</f>
        <v>2</v>
      </c>
    </row>
    <row r="1990" customFormat="false" ht="15" hidden="false" customHeight="false" outlineLevel="0" collapsed="false">
      <c r="B1990" s="53"/>
      <c r="I1990" s="53"/>
      <c r="U1990" s="31" t="n">
        <f aca="false">IF($B1990&lt;&gt;'設定（最初に1回）'!$C$4,N(U1989),IF(COUNTIFS(①今日の在庫を貼る!$B$6:$B$10005,$B1990,①今日の在庫を貼る!$I$6:$I$10005,$I1990)&gt;0,N(U1989),N(U1989)+1))</f>
        <v>2</v>
      </c>
    </row>
    <row r="1991" customFormat="false" ht="15" hidden="false" customHeight="false" outlineLevel="0" collapsed="false">
      <c r="B1991" s="53"/>
      <c r="I1991" s="53"/>
      <c r="U1991" s="31" t="n">
        <f aca="false">IF($B1991&lt;&gt;'設定（最初に1回）'!$C$4,N(U1990),IF(COUNTIFS(①今日の在庫を貼る!$B$6:$B$10005,$B1991,①今日の在庫を貼る!$I$6:$I$10005,$I1991)&gt;0,N(U1990),N(U1990)+1))</f>
        <v>2</v>
      </c>
    </row>
    <row r="1992" customFormat="false" ht="15" hidden="false" customHeight="false" outlineLevel="0" collapsed="false">
      <c r="B1992" s="53"/>
      <c r="I1992" s="53"/>
      <c r="U1992" s="31" t="n">
        <f aca="false">IF($B1992&lt;&gt;'設定（最初に1回）'!$C$4,N(U1991),IF(COUNTIFS(①今日の在庫を貼る!$B$6:$B$10005,$B1992,①今日の在庫を貼る!$I$6:$I$10005,$I1992)&gt;0,N(U1991),N(U1991)+1))</f>
        <v>2</v>
      </c>
    </row>
    <row r="1993" customFormat="false" ht="15" hidden="false" customHeight="false" outlineLevel="0" collapsed="false">
      <c r="B1993" s="53"/>
      <c r="I1993" s="53"/>
      <c r="U1993" s="31" t="n">
        <f aca="false">IF($B1993&lt;&gt;'設定（最初に1回）'!$C$4,N(U1992),IF(COUNTIFS(①今日の在庫を貼る!$B$6:$B$10005,$B1993,①今日の在庫を貼る!$I$6:$I$10005,$I1993)&gt;0,N(U1992),N(U1992)+1))</f>
        <v>2</v>
      </c>
    </row>
    <row r="1994" customFormat="false" ht="15" hidden="false" customHeight="false" outlineLevel="0" collapsed="false">
      <c r="B1994" s="53"/>
      <c r="I1994" s="53"/>
      <c r="U1994" s="31" t="n">
        <f aca="false">IF($B1994&lt;&gt;'設定（最初に1回）'!$C$4,N(U1993),IF(COUNTIFS(①今日の在庫を貼る!$B$6:$B$10005,$B1994,①今日の在庫を貼る!$I$6:$I$10005,$I1994)&gt;0,N(U1993),N(U1993)+1))</f>
        <v>2</v>
      </c>
    </row>
    <row r="1995" customFormat="false" ht="15" hidden="false" customHeight="false" outlineLevel="0" collapsed="false">
      <c r="B1995" s="53"/>
      <c r="I1995" s="53"/>
      <c r="U1995" s="31" t="n">
        <f aca="false">IF($B1995&lt;&gt;'設定（最初に1回）'!$C$4,N(U1994),IF(COUNTIFS(①今日の在庫を貼る!$B$6:$B$10005,$B1995,①今日の在庫を貼る!$I$6:$I$10005,$I1995)&gt;0,N(U1994),N(U1994)+1))</f>
        <v>2</v>
      </c>
    </row>
    <row r="1996" customFormat="false" ht="15" hidden="false" customHeight="false" outlineLevel="0" collapsed="false">
      <c r="B1996" s="53"/>
      <c r="I1996" s="53"/>
      <c r="U1996" s="31" t="n">
        <f aca="false">IF($B1996&lt;&gt;'設定（最初に1回）'!$C$4,N(U1995),IF(COUNTIFS(①今日の在庫を貼る!$B$6:$B$10005,$B1996,①今日の在庫を貼る!$I$6:$I$10005,$I1996)&gt;0,N(U1995),N(U1995)+1))</f>
        <v>2</v>
      </c>
    </row>
    <row r="1997" customFormat="false" ht="15" hidden="false" customHeight="false" outlineLevel="0" collapsed="false">
      <c r="B1997" s="53"/>
      <c r="I1997" s="53"/>
      <c r="U1997" s="31" t="n">
        <f aca="false">IF($B1997&lt;&gt;'設定（最初に1回）'!$C$4,N(U1996),IF(COUNTIFS(①今日の在庫を貼る!$B$6:$B$10005,$B1997,①今日の在庫を貼る!$I$6:$I$10005,$I1997)&gt;0,N(U1996),N(U1996)+1))</f>
        <v>2</v>
      </c>
    </row>
    <row r="1998" customFormat="false" ht="15" hidden="false" customHeight="false" outlineLevel="0" collapsed="false">
      <c r="B1998" s="53"/>
      <c r="I1998" s="53"/>
      <c r="U1998" s="31" t="n">
        <f aca="false">IF($B1998&lt;&gt;'設定（最初に1回）'!$C$4,N(U1997),IF(COUNTIFS(①今日の在庫を貼る!$B$6:$B$10005,$B1998,①今日の在庫を貼る!$I$6:$I$10005,$I1998)&gt;0,N(U1997),N(U1997)+1))</f>
        <v>2</v>
      </c>
    </row>
    <row r="1999" customFormat="false" ht="15" hidden="false" customHeight="false" outlineLevel="0" collapsed="false">
      <c r="B1999" s="53"/>
      <c r="I1999" s="53"/>
      <c r="U1999" s="31" t="n">
        <f aca="false">IF($B1999&lt;&gt;'設定（最初に1回）'!$C$4,N(U1998),IF(COUNTIFS(①今日の在庫を貼る!$B$6:$B$10005,$B1999,①今日の在庫を貼る!$I$6:$I$10005,$I1999)&gt;0,N(U1998),N(U1998)+1))</f>
        <v>2</v>
      </c>
    </row>
    <row r="2000" customFormat="false" ht="15" hidden="false" customHeight="false" outlineLevel="0" collapsed="false">
      <c r="B2000" s="53"/>
      <c r="I2000" s="53"/>
      <c r="U2000" s="31" t="n">
        <f aca="false">IF($B2000&lt;&gt;'設定（最初に1回）'!$C$4,N(U1999),IF(COUNTIFS(①今日の在庫を貼る!$B$6:$B$10005,$B2000,①今日の在庫を貼る!$I$6:$I$10005,$I2000)&gt;0,N(U1999),N(U1999)+1))</f>
        <v>2</v>
      </c>
    </row>
    <row r="2001" customFormat="false" ht="15" hidden="false" customHeight="false" outlineLevel="0" collapsed="false">
      <c r="B2001" s="53"/>
      <c r="I2001" s="53"/>
      <c r="U2001" s="31" t="n">
        <f aca="false">IF($B2001&lt;&gt;'設定（最初に1回）'!$C$4,N(U2000),IF(COUNTIFS(①今日の在庫を貼る!$B$6:$B$10005,$B2001,①今日の在庫を貼る!$I$6:$I$10005,$I2001)&gt;0,N(U2000),N(U2000)+1))</f>
        <v>2</v>
      </c>
    </row>
    <row r="2002" customFormat="false" ht="15" hidden="false" customHeight="false" outlineLevel="0" collapsed="false">
      <c r="B2002" s="53"/>
      <c r="I2002" s="53"/>
      <c r="U2002" s="31" t="n">
        <f aca="false">IF($B2002&lt;&gt;'設定（最初に1回）'!$C$4,N(U2001),IF(COUNTIFS(①今日の在庫を貼る!$B$6:$B$10005,$B2002,①今日の在庫を貼る!$I$6:$I$10005,$I2002)&gt;0,N(U2001),N(U2001)+1))</f>
        <v>2</v>
      </c>
    </row>
    <row r="2003" customFormat="false" ht="15" hidden="false" customHeight="false" outlineLevel="0" collapsed="false">
      <c r="B2003" s="53"/>
      <c r="I2003" s="53"/>
      <c r="U2003" s="31" t="n">
        <f aca="false">IF($B2003&lt;&gt;'設定（最初に1回）'!$C$4,N(U2002),IF(COUNTIFS(①今日の在庫を貼る!$B$6:$B$10005,$B2003,①今日の在庫を貼る!$I$6:$I$10005,$I2003)&gt;0,N(U2002),N(U2002)+1))</f>
        <v>2</v>
      </c>
    </row>
    <row r="2004" customFormat="false" ht="15" hidden="false" customHeight="false" outlineLevel="0" collapsed="false">
      <c r="B2004" s="53"/>
      <c r="I2004" s="53"/>
      <c r="U2004" s="31" t="n">
        <f aca="false">IF($B2004&lt;&gt;'設定（最初に1回）'!$C$4,N(U2003),IF(COUNTIFS(①今日の在庫を貼る!$B$6:$B$10005,$B2004,①今日の在庫を貼る!$I$6:$I$10005,$I2004)&gt;0,N(U2003),N(U2003)+1))</f>
        <v>2</v>
      </c>
    </row>
    <row r="2005" customFormat="false" ht="15" hidden="false" customHeight="false" outlineLevel="0" collapsed="false">
      <c r="B2005" s="53"/>
      <c r="I2005" s="53"/>
      <c r="U2005" s="31" t="n">
        <f aca="false">IF($B2005&lt;&gt;'設定（最初に1回）'!$C$4,N(U2004),IF(COUNTIFS(①今日の在庫を貼る!$B$6:$B$10005,$B2005,①今日の在庫を貼る!$I$6:$I$10005,$I2005)&gt;0,N(U2004),N(U2004)+1))</f>
        <v>2</v>
      </c>
    </row>
    <row r="2006" customFormat="false" ht="15" hidden="false" customHeight="false" outlineLevel="0" collapsed="false">
      <c r="B2006" s="53"/>
      <c r="I2006" s="53"/>
      <c r="U2006" s="31" t="n">
        <f aca="false">IF($B2006&lt;&gt;'設定（最初に1回）'!$C$4,N(U2005),IF(COUNTIFS(①今日の在庫を貼る!$B$6:$B$10005,$B2006,①今日の在庫を貼る!$I$6:$I$10005,$I2006)&gt;0,N(U2005),N(U2005)+1))</f>
        <v>2</v>
      </c>
    </row>
    <row r="2007" customFormat="false" ht="15" hidden="false" customHeight="false" outlineLevel="0" collapsed="false">
      <c r="B2007" s="53"/>
      <c r="I2007" s="53"/>
      <c r="U2007" s="31" t="n">
        <f aca="false">IF($B2007&lt;&gt;'設定（最初に1回）'!$C$4,N(U2006),IF(COUNTIFS(①今日の在庫を貼る!$B$6:$B$10005,$B2007,①今日の在庫を貼る!$I$6:$I$10005,$I2007)&gt;0,N(U2006),N(U2006)+1))</f>
        <v>2</v>
      </c>
    </row>
    <row r="2008" customFormat="false" ht="15" hidden="false" customHeight="false" outlineLevel="0" collapsed="false">
      <c r="B2008" s="53"/>
      <c r="I2008" s="53"/>
      <c r="U2008" s="31" t="n">
        <f aca="false">IF($B2008&lt;&gt;'設定（最初に1回）'!$C$4,N(U2007),IF(COUNTIFS(①今日の在庫を貼る!$B$6:$B$10005,$B2008,①今日の在庫を貼る!$I$6:$I$10005,$I2008)&gt;0,N(U2007),N(U2007)+1))</f>
        <v>2</v>
      </c>
    </row>
    <row r="2009" customFormat="false" ht="15" hidden="false" customHeight="false" outlineLevel="0" collapsed="false">
      <c r="B2009" s="53"/>
      <c r="I2009" s="53"/>
      <c r="U2009" s="31" t="n">
        <f aca="false">IF($B2009&lt;&gt;'設定（最初に1回）'!$C$4,N(U2008),IF(COUNTIFS(①今日の在庫を貼る!$B$6:$B$10005,$B2009,①今日の在庫を貼る!$I$6:$I$10005,$I2009)&gt;0,N(U2008),N(U2008)+1))</f>
        <v>2</v>
      </c>
    </row>
    <row r="2010" customFormat="false" ht="15" hidden="false" customHeight="false" outlineLevel="0" collapsed="false">
      <c r="B2010" s="53"/>
      <c r="I2010" s="53"/>
      <c r="U2010" s="31" t="n">
        <f aca="false">IF($B2010&lt;&gt;'設定（最初に1回）'!$C$4,N(U2009),IF(COUNTIFS(①今日の在庫を貼る!$B$6:$B$10005,$B2010,①今日の在庫を貼る!$I$6:$I$10005,$I2010)&gt;0,N(U2009),N(U2009)+1))</f>
        <v>2</v>
      </c>
    </row>
    <row r="2011" customFormat="false" ht="15" hidden="false" customHeight="false" outlineLevel="0" collapsed="false">
      <c r="B2011" s="53"/>
      <c r="I2011" s="53"/>
      <c r="U2011" s="31" t="n">
        <f aca="false">IF($B2011&lt;&gt;'設定（最初に1回）'!$C$4,N(U2010),IF(COUNTIFS(①今日の在庫を貼る!$B$6:$B$10005,$B2011,①今日の在庫を貼る!$I$6:$I$10005,$I2011)&gt;0,N(U2010),N(U2010)+1))</f>
        <v>2</v>
      </c>
    </row>
    <row r="2012" customFormat="false" ht="15" hidden="false" customHeight="false" outlineLevel="0" collapsed="false">
      <c r="B2012" s="53"/>
      <c r="I2012" s="53"/>
      <c r="U2012" s="31" t="n">
        <f aca="false">IF($B2012&lt;&gt;'設定（最初に1回）'!$C$4,N(U2011),IF(COUNTIFS(①今日の在庫を貼る!$B$6:$B$10005,$B2012,①今日の在庫を貼る!$I$6:$I$10005,$I2012)&gt;0,N(U2011),N(U2011)+1))</f>
        <v>2</v>
      </c>
    </row>
    <row r="2013" customFormat="false" ht="15" hidden="false" customHeight="false" outlineLevel="0" collapsed="false">
      <c r="B2013" s="53"/>
      <c r="I2013" s="53"/>
      <c r="U2013" s="31" t="n">
        <f aca="false">IF($B2013&lt;&gt;'設定（最初に1回）'!$C$4,N(U2012),IF(COUNTIFS(①今日の在庫を貼る!$B$6:$B$10005,$B2013,①今日の在庫を貼る!$I$6:$I$10005,$I2013)&gt;0,N(U2012),N(U2012)+1))</f>
        <v>2</v>
      </c>
    </row>
    <row r="2014" customFormat="false" ht="15" hidden="false" customHeight="false" outlineLevel="0" collapsed="false">
      <c r="B2014" s="53"/>
      <c r="I2014" s="53"/>
      <c r="U2014" s="31" t="n">
        <f aca="false">IF($B2014&lt;&gt;'設定（最初に1回）'!$C$4,N(U2013),IF(COUNTIFS(①今日の在庫を貼る!$B$6:$B$10005,$B2014,①今日の在庫を貼る!$I$6:$I$10005,$I2014)&gt;0,N(U2013),N(U2013)+1))</f>
        <v>2</v>
      </c>
    </row>
    <row r="2015" customFormat="false" ht="15" hidden="false" customHeight="false" outlineLevel="0" collapsed="false">
      <c r="B2015" s="53"/>
      <c r="I2015" s="53"/>
      <c r="U2015" s="31" t="n">
        <f aca="false">IF($B2015&lt;&gt;'設定（最初に1回）'!$C$4,N(U2014),IF(COUNTIFS(①今日の在庫を貼る!$B$6:$B$10005,$B2015,①今日の在庫を貼る!$I$6:$I$10005,$I2015)&gt;0,N(U2014),N(U2014)+1))</f>
        <v>2</v>
      </c>
    </row>
    <row r="2016" customFormat="false" ht="15" hidden="false" customHeight="false" outlineLevel="0" collapsed="false">
      <c r="B2016" s="53"/>
      <c r="I2016" s="53"/>
      <c r="U2016" s="31" t="n">
        <f aca="false">IF($B2016&lt;&gt;'設定（最初に1回）'!$C$4,N(U2015),IF(COUNTIFS(①今日の在庫を貼る!$B$6:$B$10005,$B2016,①今日の在庫を貼る!$I$6:$I$10005,$I2016)&gt;0,N(U2015),N(U2015)+1))</f>
        <v>2</v>
      </c>
    </row>
    <row r="2017" customFormat="false" ht="15" hidden="false" customHeight="false" outlineLevel="0" collapsed="false">
      <c r="B2017" s="53"/>
      <c r="I2017" s="53"/>
      <c r="U2017" s="31" t="n">
        <f aca="false">IF($B2017&lt;&gt;'設定（最初に1回）'!$C$4,N(U2016),IF(COUNTIFS(①今日の在庫を貼る!$B$6:$B$10005,$B2017,①今日の在庫を貼る!$I$6:$I$10005,$I2017)&gt;0,N(U2016),N(U2016)+1))</f>
        <v>2</v>
      </c>
    </row>
    <row r="2018" customFormat="false" ht="15" hidden="false" customHeight="false" outlineLevel="0" collapsed="false">
      <c r="B2018" s="53"/>
      <c r="I2018" s="53"/>
      <c r="U2018" s="31" t="n">
        <f aca="false">IF($B2018&lt;&gt;'設定（最初に1回）'!$C$4,N(U2017),IF(COUNTIFS(①今日の在庫を貼る!$B$6:$B$10005,$B2018,①今日の在庫を貼る!$I$6:$I$10005,$I2018)&gt;0,N(U2017),N(U2017)+1))</f>
        <v>2</v>
      </c>
    </row>
    <row r="2019" customFormat="false" ht="15" hidden="false" customHeight="false" outlineLevel="0" collapsed="false">
      <c r="B2019" s="53"/>
      <c r="I2019" s="53"/>
      <c r="U2019" s="31" t="n">
        <f aca="false">IF($B2019&lt;&gt;'設定（最初に1回）'!$C$4,N(U2018),IF(COUNTIFS(①今日の在庫を貼る!$B$6:$B$10005,$B2019,①今日の在庫を貼る!$I$6:$I$10005,$I2019)&gt;0,N(U2018),N(U2018)+1))</f>
        <v>2</v>
      </c>
    </row>
    <row r="2020" customFormat="false" ht="15" hidden="false" customHeight="false" outlineLevel="0" collapsed="false">
      <c r="B2020" s="53"/>
      <c r="I2020" s="53"/>
      <c r="U2020" s="31" t="n">
        <f aca="false">IF($B2020&lt;&gt;'設定（最初に1回）'!$C$4,N(U2019),IF(COUNTIFS(①今日の在庫を貼る!$B$6:$B$10005,$B2020,①今日の在庫を貼る!$I$6:$I$10005,$I2020)&gt;0,N(U2019),N(U2019)+1))</f>
        <v>2</v>
      </c>
    </row>
    <row r="2021" customFormat="false" ht="15" hidden="false" customHeight="false" outlineLevel="0" collapsed="false">
      <c r="B2021" s="53"/>
      <c r="I2021" s="53"/>
      <c r="U2021" s="31" t="n">
        <f aca="false">IF($B2021&lt;&gt;'設定（最初に1回）'!$C$4,N(U2020),IF(COUNTIFS(①今日の在庫を貼る!$B$6:$B$10005,$B2021,①今日の在庫を貼る!$I$6:$I$10005,$I2021)&gt;0,N(U2020),N(U2020)+1))</f>
        <v>2</v>
      </c>
    </row>
    <row r="2022" customFormat="false" ht="15" hidden="false" customHeight="false" outlineLevel="0" collapsed="false">
      <c r="B2022" s="53"/>
      <c r="I2022" s="53"/>
      <c r="U2022" s="31" t="n">
        <f aca="false">IF($B2022&lt;&gt;'設定（最初に1回）'!$C$4,N(U2021),IF(COUNTIFS(①今日の在庫を貼る!$B$6:$B$10005,$B2022,①今日の在庫を貼る!$I$6:$I$10005,$I2022)&gt;0,N(U2021),N(U2021)+1))</f>
        <v>2</v>
      </c>
    </row>
    <row r="2023" customFormat="false" ht="15" hidden="false" customHeight="false" outlineLevel="0" collapsed="false">
      <c r="B2023" s="53"/>
      <c r="I2023" s="53"/>
      <c r="U2023" s="31" t="n">
        <f aca="false">IF($B2023&lt;&gt;'設定（最初に1回）'!$C$4,N(U2022),IF(COUNTIFS(①今日の在庫を貼る!$B$6:$B$10005,$B2023,①今日の在庫を貼る!$I$6:$I$10005,$I2023)&gt;0,N(U2022),N(U2022)+1))</f>
        <v>2</v>
      </c>
    </row>
    <row r="2024" customFormat="false" ht="15" hidden="false" customHeight="false" outlineLevel="0" collapsed="false">
      <c r="B2024" s="53"/>
      <c r="I2024" s="53"/>
      <c r="U2024" s="31" t="n">
        <f aca="false">IF($B2024&lt;&gt;'設定（最初に1回）'!$C$4,N(U2023),IF(COUNTIFS(①今日の在庫を貼る!$B$6:$B$10005,$B2024,①今日の在庫を貼る!$I$6:$I$10005,$I2024)&gt;0,N(U2023),N(U2023)+1))</f>
        <v>2</v>
      </c>
    </row>
    <row r="2025" customFormat="false" ht="15" hidden="false" customHeight="false" outlineLevel="0" collapsed="false">
      <c r="B2025" s="53"/>
      <c r="I2025" s="53"/>
      <c r="U2025" s="31" t="n">
        <f aca="false">IF($B2025&lt;&gt;'設定（最初に1回）'!$C$4,N(U2024),IF(COUNTIFS(①今日の在庫を貼る!$B$6:$B$10005,$B2025,①今日の在庫を貼る!$I$6:$I$10005,$I2025)&gt;0,N(U2024),N(U2024)+1))</f>
        <v>2</v>
      </c>
    </row>
    <row r="2026" customFormat="false" ht="15" hidden="false" customHeight="false" outlineLevel="0" collapsed="false">
      <c r="B2026" s="53"/>
      <c r="I2026" s="53"/>
      <c r="U2026" s="31" t="n">
        <f aca="false">IF($B2026&lt;&gt;'設定（最初に1回）'!$C$4,N(U2025),IF(COUNTIFS(①今日の在庫を貼る!$B$6:$B$10005,$B2026,①今日の在庫を貼る!$I$6:$I$10005,$I2026)&gt;0,N(U2025),N(U2025)+1))</f>
        <v>2</v>
      </c>
    </row>
    <row r="2027" customFormat="false" ht="15" hidden="false" customHeight="false" outlineLevel="0" collapsed="false">
      <c r="B2027" s="53"/>
      <c r="I2027" s="53"/>
      <c r="U2027" s="31" t="n">
        <f aca="false">IF($B2027&lt;&gt;'設定（最初に1回）'!$C$4,N(U2026),IF(COUNTIFS(①今日の在庫を貼る!$B$6:$B$10005,$B2027,①今日の在庫を貼る!$I$6:$I$10005,$I2027)&gt;0,N(U2026),N(U2026)+1))</f>
        <v>2</v>
      </c>
    </row>
    <row r="2028" customFormat="false" ht="15" hidden="false" customHeight="false" outlineLevel="0" collapsed="false">
      <c r="B2028" s="53"/>
      <c r="I2028" s="53"/>
      <c r="U2028" s="31" t="n">
        <f aca="false">IF($B2028&lt;&gt;'設定（最初に1回）'!$C$4,N(U2027),IF(COUNTIFS(①今日の在庫を貼る!$B$6:$B$10005,$B2028,①今日の在庫を貼る!$I$6:$I$10005,$I2028)&gt;0,N(U2027),N(U2027)+1))</f>
        <v>2</v>
      </c>
    </row>
    <row r="2029" customFormat="false" ht="15" hidden="false" customHeight="false" outlineLevel="0" collapsed="false">
      <c r="B2029" s="53"/>
      <c r="I2029" s="53"/>
      <c r="U2029" s="31" t="n">
        <f aca="false">IF($B2029&lt;&gt;'設定（最初に1回）'!$C$4,N(U2028),IF(COUNTIFS(①今日の在庫を貼る!$B$6:$B$10005,$B2029,①今日の在庫を貼る!$I$6:$I$10005,$I2029)&gt;0,N(U2028),N(U2028)+1))</f>
        <v>2</v>
      </c>
    </row>
    <row r="2030" customFormat="false" ht="15" hidden="false" customHeight="false" outlineLevel="0" collapsed="false">
      <c r="B2030" s="53"/>
      <c r="I2030" s="53"/>
      <c r="U2030" s="31" t="n">
        <f aca="false">IF($B2030&lt;&gt;'設定（最初に1回）'!$C$4,N(U2029),IF(COUNTIFS(①今日の在庫を貼る!$B$6:$B$10005,$B2030,①今日の在庫を貼る!$I$6:$I$10005,$I2030)&gt;0,N(U2029),N(U2029)+1))</f>
        <v>2</v>
      </c>
    </row>
    <row r="2031" customFormat="false" ht="15" hidden="false" customHeight="false" outlineLevel="0" collapsed="false">
      <c r="B2031" s="53"/>
      <c r="I2031" s="53"/>
      <c r="U2031" s="31" t="n">
        <f aca="false">IF($B2031&lt;&gt;'設定（最初に1回）'!$C$4,N(U2030),IF(COUNTIFS(①今日の在庫を貼る!$B$6:$B$10005,$B2031,①今日の在庫を貼る!$I$6:$I$10005,$I2031)&gt;0,N(U2030),N(U2030)+1))</f>
        <v>2</v>
      </c>
    </row>
    <row r="2032" customFormat="false" ht="15" hidden="false" customHeight="false" outlineLevel="0" collapsed="false">
      <c r="B2032" s="53"/>
      <c r="I2032" s="53"/>
      <c r="U2032" s="31" t="n">
        <f aca="false">IF($B2032&lt;&gt;'設定（最初に1回）'!$C$4,N(U2031),IF(COUNTIFS(①今日の在庫を貼る!$B$6:$B$10005,$B2032,①今日の在庫を貼る!$I$6:$I$10005,$I2032)&gt;0,N(U2031),N(U2031)+1))</f>
        <v>2</v>
      </c>
    </row>
    <row r="2033" customFormat="false" ht="15" hidden="false" customHeight="false" outlineLevel="0" collapsed="false">
      <c r="B2033" s="53"/>
      <c r="I2033" s="53"/>
      <c r="U2033" s="31" t="n">
        <f aca="false">IF($B2033&lt;&gt;'設定（最初に1回）'!$C$4,N(U2032),IF(COUNTIFS(①今日の在庫を貼る!$B$6:$B$10005,$B2033,①今日の在庫を貼る!$I$6:$I$10005,$I2033)&gt;0,N(U2032),N(U2032)+1))</f>
        <v>2</v>
      </c>
    </row>
    <row r="2034" customFormat="false" ht="15" hidden="false" customHeight="false" outlineLevel="0" collapsed="false">
      <c r="B2034" s="53"/>
      <c r="I2034" s="53"/>
      <c r="U2034" s="31" t="n">
        <f aca="false">IF($B2034&lt;&gt;'設定（最初に1回）'!$C$4,N(U2033),IF(COUNTIFS(①今日の在庫を貼る!$B$6:$B$10005,$B2034,①今日の在庫を貼る!$I$6:$I$10005,$I2034)&gt;0,N(U2033),N(U2033)+1))</f>
        <v>2</v>
      </c>
    </row>
    <row r="2035" customFormat="false" ht="15" hidden="false" customHeight="false" outlineLevel="0" collapsed="false">
      <c r="B2035" s="53"/>
      <c r="I2035" s="53"/>
      <c r="U2035" s="31" t="n">
        <f aca="false">IF($B2035&lt;&gt;'設定（最初に1回）'!$C$4,N(U2034),IF(COUNTIFS(①今日の在庫を貼る!$B$6:$B$10005,$B2035,①今日の在庫を貼る!$I$6:$I$10005,$I2035)&gt;0,N(U2034),N(U2034)+1))</f>
        <v>2</v>
      </c>
    </row>
    <row r="2036" customFormat="false" ht="15" hidden="false" customHeight="false" outlineLevel="0" collapsed="false">
      <c r="B2036" s="53"/>
      <c r="I2036" s="53"/>
      <c r="U2036" s="31" t="n">
        <f aca="false">IF($B2036&lt;&gt;'設定（最初に1回）'!$C$4,N(U2035),IF(COUNTIFS(①今日の在庫を貼る!$B$6:$B$10005,$B2036,①今日の在庫を貼る!$I$6:$I$10005,$I2036)&gt;0,N(U2035),N(U2035)+1))</f>
        <v>2</v>
      </c>
    </row>
    <row r="2037" customFormat="false" ht="15" hidden="false" customHeight="false" outlineLevel="0" collapsed="false">
      <c r="B2037" s="53"/>
      <c r="I2037" s="53"/>
      <c r="U2037" s="31" t="n">
        <f aca="false">IF($B2037&lt;&gt;'設定（最初に1回）'!$C$4,N(U2036),IF(COUNTIFS(①今日の在庫を貼る!$B$6:$B$10005,$B2037,①今日の在庫を貼る!$I$6:$I$10005,$I2037)&gt;0,N(U2036),N(U2036)+1))</f>
        <v>2</v>
      </c>
    </row>
    <row r="2038" customFormat="false" ht="15" hidden="false" customHeight="false" outlineLevel="0" collapsed="false">
      <c r="B2038" s="53"/>
      <c r="I2038" s="53"/>
      <c r="U2038" s="31" t="n">
        <f aca="false">IF($B2038&lt;&gt;'設定（最初に1回）'!$C$4,N(U2037),IF(COUNTIFS(①今日の在庫を貼る!$B$6:$B$10005,$B2038,①今日の在庫を貼る!$I$6:$I$10005,$I2038)&gt;0,N(U2037),N(U2037)+1))</f>
        <v>2</v>
      </c>
    </row>
    <row r="2039" customFormat="false" ht="15" hidden="false" customHeight="false" outlineLevel="0" collapsed="false">
      <c r="B2039" s="53"/>
      <c r="I2039" s="53"/>
      <c r="U2039" s="31" t="n">
        <f aca="false">IF($B2039&lt;&gt;'設定（最初に1回）'!$C$4,N(U2038),IF(COUNTIFS(①今日の在庫を貼る!$B$6:$B$10005,$B2039,①今日の在庫を貼る!$I$6:$I$10005,$I2039)&gt;0,N(U2038),N(U2038)+1))</f>
        <v>2</v>
      </c>
    </row>
    <row r="2040" customFormat="false" ht="15" hidden="false" customHeight="false" outlineLevel="0" collapsed="false">
      <c r="B2040" s="53"/>
      <c r="I2040" s="53"/>
      <c r="U2040" s="31" t="n">
        <f aca="false">IF($B2040&lt;&gt;'設定（最初に1回）'!$C$4,N(U2039),IF(COUNTIFS(①今日の在庫を貼る!$B$6:$B$10005,$B2040,①今日の在庫を貼る!$I$6:$I$10005,$I2040)&gt;0,N(U2039),N(U2039)+1))</f>
        <v>2</v>
      </c>
    </row>
    <row r="2041" customFormat="false" ht="15" hidden="false" customHeight="false" outlineLevel="0" collapsed="false">
      <c r="B2041" s="53"/>
      <c r="I2041" s="53"/>
      <c r="U2041" s="31" t="n">
        <f aca="false">IF($B2041&lt;&gt;'設定（最初に1回）'!$C$4,N(U2040),IF(COUNTIFS(①今日の在庫を貼る!$B$6:$B$10005,$B2041,①今日の在庫を貼る!$I$6:$I$10005,$I2041)&gt;0,N(U2040),N(U2040)+1))</f>
        <v>2</v>
      </c>
    </row>
    <row r="2042" customFormat="false" ht="15" hidden="false" customHeight="false" outlineLevel="0" collapsed="false">
      <c r="B2042" s="53"/>
      <c r="I2042" s="53"/>
      <c r="U2042" s="31" t="n">
        <f aca="false">IF($B2042&lt;&gt;'設定（最初に1回）'!$C$4,N(U2041),IF(COUNTIFS(①今日の在庫を貼る!$B$6:$B$10005,$B2042,①今日の在庫を貼る!$I$6:$I$10005,$I2042)&gt;0,N(U2041),N(U2041)+1))</f>
        <v>2</v>
      </c>
    </row>
    <row r="2043" customFormat="false" ht="15" hidden="false" customHeight="false" outlineLevel="0" collapsed="false">
      <c r="B2043" s="53"/>
      <c r="I2043" s="53"/>
      <c r="U2043" s="31" t="n">
        <f aca="false">IF($B2043&lt;&gt;'設定（最初に1回）'!$C$4,N(U2042),IF(COUNTIFS(①今日の在庫を貼る!$B$6:$B$10005,$B2043,①今日の在庫を貼る!$I$6:$I$10005,$I2043)&gt;0,N(U2042),N(U2042)+1))</f>
        <v>2</v>
      </c>
    </row>
    <row r="2044" customFormat="false" ht="15" hidden="false" customHeight="false" outlineLevel="0" collapsed="false">
      <c r="B2044" s="53"/>
      <c r="I2044" s="53"/>
      <c r="U2044" s="31" t="n">
        <f aca="false">IF($B2044&lt;&gt;'設定（最初に1回）'!$C$4,N(U2043),IF(COUNTIFS(①今日の在庫を貼る!$B$6:$B$10005,$B2044,①今日の在庫を貼る!$I$6:$I$10005,$I2044)&gt;0,N(U2043),N(U2043)+1))</f>
        <v>2</v>
      </c>
    </row>
    <row r="2045" customFormat="false" ht="15" hidden="false" customHeight="false" outlineLevel="0" collapsed="false">
      <c r="B2045" s="53"/>
      <c r="I2045" s="53"/>
      <c r="U2045" s="31" t="n">
        <f aca="false">IF($B2045&lt;&gt;'設定（最初に1回）'!$C$4,N(U2044),IF(COUNTIFS(①今日の在庫を貼る!$B$6:$B$10005,$B2045,①今日の在庫を貼る!$I$6:$I$10005,$I2045)&gt;0,N(U2044),N(U2044)+1))</f>
        <v>2</v>
      </c>
    </row>
    <row r="2046" customFormat="false" ht="15" hidden="false" customHeight="false" outlineLevel="0" collapsed="false">
      <c r="B2046" s="53"/>
      <c r="I2046" s="53"/>
      <c r="U2046" s="31" t="n">
        <f aca="false">IF($B2046&lt;&gt;'設定（最初に1回）'!$C$4,N(U2045),IF(COUNTIFS(①今日の在庫を貼る!$B$6:$B$10005,$B2046,①今日の在庫を貼る!$I$6:$I$10005,$I2046)&gt;0,N(U2045),N(U2045)+1))</f>
        <v>2</v>
      </c>
    </row>
    <row r="2047" customFormat="false" ht="15" hidden="false" customHeight="false" outlineLevel="0" collapsed="false">
      <c r="B2047" s="53"/>
      <c r="I2047" s="53"/>
      <c r="U2047" s="31" t="n">
        <f aca="false">IF($B2047&lt;&gt;'設定（最初に1回）'!$C$4,N(U2046),IF(COUNTIFS(①今日の在庫を貼る!$B$6:$B$10005,$B2047,①今日の在庫を貼る!$I$6:$I$10005,$I2047)&gt;0,N(U2046),N(U2046)+1))</f>
        <v>2</v>
      </c>
    </row>
    <row r="2048" customFormat="false" ht="15" hidden="false" customHeight="false" outlineLevel="0" collapsed="false">
      <c r="B2048" s="53"/>
      <c r="I2048" s="53"/>
      <c r="U2048" s="31" t="n">
        <f aca="false">IF($B2048&lt;&gt;'設定（最初に1回）'!$C$4,N(U2047),IF(COUNTIFS(①今日の在庫を貼る!$B$6:$B$10005,$B2048,①今日の在庫を貼る!$I$6:$I$10005,$I2048)&gt;0,N(U2047),N(U2047)+1))</f>
        <v>2</v>
      </c>
    </row>
    <row r="2049" customFormat="false" ht="15" hidden="false" customHeight="false" outlineLevel="0" collapsed="false">
      <c r="B2049" s="53"/>
      <c r="I2049" s="53"/>
      <c r="U2049" s="31" t="n">
        <f aca="false">IF($B2049&lt;&gt;'設定（最初に1回）'!$C$4,N(U2048),IF(COUNTIFS(①今日の在庫を貼る!$B$6:$B$10005,$B2049,①今日の在庫を貼る!$I$6:$I$10005,$I2049)&gt;0,N(U2048),N(U2048)+1))</f>
        <v>2</v>
      </c>
    </row>
    <row r="2050" customFormat="false" ht="15" hidden="false" customHeight="false" outlineLevel="0" collapsed="false">
      <c r="B2050" s="53"/>
      <c r="I2050" s="53"/>
      <c r="U2050" s="31" t="n">
        <f aca="false">IF($B2050&lt;&gt;'設定（最初に1回）'!$C$4,N(U2049),IF(COUNTIFS(①今日の在庫を貼る!$B$6:$B$10005,$B2050,①今日の在庫を貼る!$I$6:$I$10005,$I2050)&gt;0,N(U2049),N(U2049)+1))</f>
        <v>2</v>
      </c>
    </row>
    <row r="2051" customFormat="false" ht="15" hidden="false" customHeight="false" outlineLevel="0" collapsed="false">
      <c r="B2051" s="53"/>
      <c r="I2051" s="53"/>
      <c r="U2051" s="31" t="n">
        <f aca="false">IF($B2051&lt;&gt;'設定（最初に1回）'!$C$4,N(U2050),IF(COUNTIFS(①今日の在庫を貼る!$B$6:$B$10005,$B2051,①今日の在庫を貼る!$I$6:$I$10005,$I2051)&gt;0,N(U2050),N(U2050)+1))</f>
        <v>2</v>
      </c>
    </row>
    <row r="2052" customFormat="false" ht="15" hidden="false" customHeight="false" outlineLevel="0" collapsed="false">
      <c r="B2052" s="53"/>
      <c r="I2052" s="53"/>
      <c r="U2052" s="31" t="n">
        <f aca="false">IF($B2052&lt;&gt;'設定（最初に1回）'!$C$4,N(U2051),IF(COUNTIFS(①今日の在庫を貼る!$B$6:$B$10005,$B2052,①今日の在庫を貼る!$I$6:$I$10005,$I2052)&gt;0,N(U2051),N(U2051)+1))</f>
        <v>2</v>
      </c>
    </row>
    <row r="2053" customFormat="false" ht="15" hidden="false" customHeight="false" outlineLevel="0" collapsed="false">
      <c r="B2053" s="53"/>
      <c r="I2053" s="53"/>
      <c r="U2053" s="31" t="n">
        <f aca="false">IF($B2053&lt;&gt;'設定（最初に1回）'!$C$4,N(U2052),IF(COUNTIFS(①今日の在庫を貼る!$B$6:$B$10005,$B2053,①今日の在庫を貼る!$I$6:$I$10005,$I2053)&gt;0,N(U2052),N(U2052)+1))</f>
        <v>2</v>
      </c>
    </row>
    <row r="2054" customFormat="false" ht="15" hidden="false" customHeight="false" outlineLevel="0" collapsed="false">
      <c r="B2054" s="53"/>
      <c r="I2054" s="53"/>
      <c r="U2054" s="31" t="n">
        <f aca="false">IF($B2054&lt;&gt;'設定（最初に1回）'!$C$4,N(U2053),IF(COUNTIFS(①今日の在庫を貼る!$B$6:$B$10005,$B2054,①今日の在庫を貼る!$I$6:$I$10005,$I2054)&gt;0,N(U2053),N(U2053)+1))</f>
        <v>2</v>
      </c>
    </row>
    <row r="2055" customFormat="false" ht="15" hidden="false" customHeight="false" outlineLevel="0" collapsed="false">
      <c r="B2055" s="53"/>
      <c r="I2055" s="53"/>
      <c r="U2055" s="31" t="n">
        <f aca="false">IF($B2055&lt;&gt;'設定（最初に1回）'!$C$4,N(U2054),IF(COUNTIFS(①今日の在庫を貼る!$B$6:$B$10005,$B2055,①今日の在庫を貼る!$I$6:$I$10005,$I2055)&gt;0,N(U2054),N(U2054)+1))</f>
        <v>2</v>
      </c>
    </row>
    <row r="2056" customFormat="false" ht="15" hidden="false" customHeight="false" outlineLevel="0" collapsed="false">
      <c r="B2056" s="53"/>
      <c r="I2056" s="53"/>
      <c r="U2056" s="31" t="n">
        <f aca="false">IF($B2056&lt;&gt;'設定（最初に1回）'!$C$4,N(U2055),IF(COUNTIFS(①今日の在庫を貼る!$B$6:$B$10005,$B2056,①今日の在庫を貼る!$I$6:$I$10005,$I2056)&gt;0,N(U2055),N(U2055)+1))</f>
        <v>2</v>
      </c>
    </row>
    <row r="2057" customFormat="false" ht="15" hidden="false" customHeight="false" outlineLevel="0" collapsed="false">
      <c r="B2057" s="53"/>
      <c r="I2057" s="53"/>
      <c r="U2057" s="31" t="n">
        <f aca="false">IF($B2057&lt;&gt;'設定（最初に1回）'!$C$4,N(U2056),IF(COUNTIFS(①今日の在庫を貼る!$B$6:$B$10005,$B2057,①今日の在庫を貼る!$I$6:$I$10005,$I2057)&gt;0,N(U2056),N(U2056)+1))</f>
        <v>2</v>
      </c>
    </row>
    <row r="2058" customFormat="false" ht="15" hidden="false" customHeight="false" outlineLevel="0" collapsed="false">
      <c r="B2058" s="53"/>
      <c r="I2058" s="53"/>
      <c r="U2058" s="31" t="n">
        <f aca="false">IF($B2058&lt;&gt;'設定（最初に1回）'!$C$4,N(U2057),IF(COUNTIFS(①今日の在庫を貼る!$B$6:$B$10005,$B2058,①今日の在庫を貼る!$I$6:$I$10005,$I2058)&gt;0,N(U2057),N(U2057)+1))</f>
        <v>2</v>
      </c>
    </row>
    <row r="2059" customFormat="false" ht="15" hidden="false" customHeight="false" outlineLevel="0" collapsed="false">
      <c r="B2059" s="53"/>
      <c r="I2059" s="53"/>
      <c r="U2059" s="31" t="n">
        <f aca="false">IF($B2059&lt;&gt;'設定（最初に1回）'!$C$4,N(U2058),IF(COUNTIFS(①今日の在庫を貼る!$B$6:$B$10005,$B2059,①今日の在庫を貼る!$I$6:$I$10005,$I2059)&gt;0,N(U2058),N(U2058)+1))</f>
        <v>2</v>
      </c>
    </row>
    <row r="2060" customFormat="false" ht="15" hidden="false" customHeight="false" outlineLevel="0" collapsed="false">
      <c r="B2060" s="53"/>
      <c r="I2060" s="53"/>
      <c r="U2060" s="31" t="n">
        <f aca="false">IF($B2060&lt;&gt;'設定（最初に1回）'!$C$4,N(U2059),IF(COUNTIFS(①今日の在庫を貼る!$B$6:$B$10005,$B2060,①今日の在庫を貼る!$I$6:$I$10005,$I2060)&gt;0,N(U2059),N(U2059)+1))</f>
        <v>2</v>
      </c>
    </row>
    <row r="2061" customFormat="false" ht="15" hidden="false" customHeight="false" outlineLevel="0" collapsed="false">
      <c r="B2061" s="53"/>
      <c r="I2061" s="53"/>
      <c r="U2061" s="31" t="n">
        <f aca="false">IF($B2061&lt;&gt;'設定（最初に1回）'!$C$4,N(U2060),IF(COUNTIFS(①今日の在庫を貼る!$B$6:$B$10005,$B2061,①今日の在庫を貼る!$I$6:$I$10005,$I2061)&gt;0,N(U2060),N(U2060)+1))</f>
        <v>2</v>
      </c>
    </row>
    <row r="2062" customFormat="false" ht="15" hidden="false" customHeight="false" outlineLevel="0" collapsed="false">
      <c r="B2062" s="53"/>
      <c r="I2062" s="53"/>
      <c r="U2062" s="31" t="n">
        <f aca="false">IF($B2062&lt;&gt;'設定（最初に1回）'!$C$4,N(U2061),IF(COUNTIFS(①今日の在庫を貼る!$B$6:$B$10005,$B2062,①今日の在庫を貼る!$I$6:$I$10005,$I2062)&gt;0,N(U2061),N(U2061)+1))</f>
        <v>2</v>
      </c>
    </row>
    <row r="2063" customFormat="false" ht="15" hidden="false" customHeight="false" outlineLevel="0" collapsed="false">
      <c r="B2063" s="53"/>
      <c r="I2063" s="53"/>
      <c r="U2063" s="31" t="n">
        <f aca="false">IF($B2063&lt;&gt;'設定（最初に1回）'!$C$4,N(U2062),IF(COUNTIFS(①今日の在庫を貼る!$B$6:$B$10005,$B2063,①今日の在庫を貼る!$I$6:$I$10005,$I2063)&gt;0,N(U2062),N(U2062)+1))</f>
        <v>2</v>
      </c>
    </row>
    <row r="2064" customFormat="false" ht="15" hidden="false" customHeight="false" outlineLevel="0" collapsed="false">
      <c r="B2064" s="53"/>
      <c r="I2064" s="53"/>
      <c r="U2064" s="31" t="n">
        <f aca="false">IF($B2064&lt;&gt;'設定（最初に1回）'!$C$4,N(U2063),IF(COUNTIFS(①今日の在庫を貼る!$B$6:$B$10005,$B2064,①今日の在庫を貼る!$I$6:$I$10005,$I2064)&gt;0,N(U2063),N(U2063)+1))</f>
        <v>2</v>
      </c>
    </row>
    <row r="2065" customFormat="false" ht="15" hidden="false" customHeight="false" outlineLevel="0" collapsed="false">
      <c r="B2065" s="53"/>
      <c r="I2065" s="53"/>
      <c r="U2065" s="31" t="n">
        <f aca="false">IF($B2065&lt;&gt;'設定（最初に1回）'!$C$4,N(U2064),IF(COUNTIFS(①今日の在庫を貼る!$B$6:$B$10005,$B2065,①今日の在庫を貼る!$I$6:$I$10005,$I2065)&gt;0,N(U2064),N(U2064)+1))</f>
        <v>2</v>
      </c>
    </row>
    <row r="2066" customFormat="false" ht="15" hidden="false" customHeight="false" outlineLevel="0" collapsed="false">
      <c r="B2066" s="53"/>
      <c r="I2066" s="53"/>
      <c r="U2066" s="31" t="n">
        <f aca="false">IF($B2066&lt;&gt;'設定（最初に1回）'!$C$4,N(U2065),IF(COUNTIFS(①今日の在庫を貼る!$B$6:$B$10005,$B2066,①今日の在庫を貼る!$I$6:$I$10005,$I2066)&gt;0,N(U2065),N(U2065)+1))</f>
        <v>2</v>
      </c>
    </row>
    <row r="2067" customFormat="false" ht="15" hidden="false" customHeight="false" outlineLevel="0" collapsed="false">
      <c r="B2067" s="53"/>
      <c r="I2067" s="53"/>
      <c r="U2067" s="31" t="n">
        <f aca="false">IF($B2067&lt;&gt;'設定（最初に1回）'!$C$4,N(U2066),IF(COUNTIFS(①今日の在庫を貼る!$B$6:$B$10005,$B2067,①今日の在庫を貼る!$I$6:$I$10005,$I2067)&gt;0,N(U2066),N(U2066)+1))</f>
        <v>2</v>
      </c>
    </row>
    <row r="2068" customFormat="false" ht="15" hidden="false" customHeight="false" outlineLevel="0" collapsed="false">
      <c r="B2068" s="53"/>
      <c r="I2068" s="53"/>
      <c r="U2068" s="31" t="n">
        <f aca="false">IF($B2068&lt;&gt;'設定（最初に1回）'!$C$4,N(U2067),IF(COUNTIFS(①今日の在庫を貼る!$B$6:$B$10005,$B2068,①今日の在庫を貼る!$I$6:$I$10005,$I2068)&gt;0,N(U2067),N(U2067)+1))</f>
        <v>2</v>
      </c>
    </row>
    <row r="2069" customFormat="false" ht="15" hidden="false" customHeight="false" outlineLevel="0" collapsed="false">
      <c r="B2069" s="53"/>
      <c r="I2069" s="53"/>
      <c r="U2069" s="31" t="n">
        <f aca="false">IF($B2069&lt;&gt;'設定（最初に1回）'!$C$4,N(U2068),IF(COUNTIFS(①今日の在庫を貼る!$B$6:$B$10005,$B2069,①今日の在庫を貼る!$I$6:$I$10005,$I2069)&gt;0,N(U2068),N(U2068)+1))</f>
        <v>2</v>
      </c>
    </row>
    <row r="2070" customFormat="false" ht="15" hidden="false" customHeight="false" outlineLevel="0" collapsed="false">
      <c r="B2070" s="53"/>
      <c r="I2070" s="53"/>
      <c r="U2070" s="31" t="n">
        <f aca="false">IF($B2070&lt;&gt;'設定（最初に1回）'!$C$4,N(U2069),IF(COUNTIFS(①今日の在庫を貼る!$B$6:$B$10005,$B2070,①今日の在庫を貼る!$I$6:$I$10005,$I2070)&gt;0,N(U2069),N(U2069)+1))</f>
        <v>2</v>
      </c>
    </row>
    <row r="2071" customFormat="false" ht="15" hidden="false" customHeight="false" outlineLevel="0" collapsed="false">
      <c r="B2071" s="53"/>
      <c r="I2071" s="53"/>
      <c r="U2071" s="31" t="n">
        <f aca="false">IF($B2071&lt;&gt;'設定（最初に1回）'!$C$4,N(U2070),IF(COUNTIFS(①今日の在庫を貼る!$B$6:$B$10005,$B2071,①今日の在庫を貼る!$I$6:$I$10005,$I2071)&gt;0,N(U2070),N(U2070)+1))</f>
        <v>2</v>
      </c>
    </row>
    <row r="2072" customFormat="false" ht="15" hidden="false" customHeight="false" outlineLevel="0" collapsed="false">
      <c r="B2072" s="53"/>
      <c r="I2072" s="53"/>
      <c r="U2072" s="31" t="n">
        <f aca="false">IF($B2072&lt;&gt;'設定（最初に1回）'!$C$4,N(U2071),IF(COUNTIFS(①今日の在庫を貼る!$B$6:$B$10005,$B2072,①今日の在庫を貼る!$I$6:$I$10005,$I2072)&gt;0,N(U2071),N(U2071)+1))</f>
        <v>2</v>
      </c>
    </row>
    <row r="2073" customFormat="false" ht="15" hidden="false" customHeight="false" outlineLevel="0" collapsed="false">
      <c r="B2073" s="53"/>
      <c r="I2073" s="53"/>
      <c r="U2073" s="31" t="n">
        <f aca="false">IF($B2073&lt;&gt;'設定（最初に1回）'!$C$4,N(U2072),IF(COUNTIFS(①今日の在庫を貼る!$B$6:$B$10005,$B2073,①今日の在庫を貼る!$I$6:$I$10005,$I2073)&gt;0,N(U2072),N(U2072)+1))</f>
        <v>2</v>
      </c>
    </row>
    <row r="2074" customFormat="false" ht="15" hidden="false" customHeight="false" outlineLevel="0" collapsed="false">
      <c r="B2074" s="53"/>
      <c r="I2074" s="53"/>
      <c r="U2074" s="31" t="n">
        <f aca="false">IF($B2074&lt;&gt;'設定（最初に1回）'!$C$4,N(U2073),IF(COUNTIFS(①今日の在庫を貼る!$B$6:$B$10005,$B2074,①今日の在庫を貼る!$I$6:$I$10005,$I2074)&gt;0,N(U2073),N(U2073)+1))</f>
        <v>2</v>
      </c>
    </row>
    <row r="2075" customFormat="false" ht="15" hidden="false" customHeight="false" outlineLevel="0" collapsed="false">
      <c r="B2075" s="53"/>
      <c r="I2075" s="53"/>
      <c r="U2075" s="31" t="n">
        <f aca="false">IF($B2075&lt;&gt;'設定（最初に1回）'!$C$4,N(U2074),IF(COUNTIFS(①今日の在庫を貼る!$B$6:$B$10005,$B2075,①今日の在庫を貼る!$I$6:$I$10005,$I2075)&gt;0,N(U2074),N(U2074)+1))</f>
        <v>2</v>
      </c>
    </row>
    <row r="2076" customFormat="false" ht="15" hidden="false" customHeight="false" outlineLevel="0" collapsed="false">
      <c r="B2076" s="53"/>
      <c r="I2076" s="53"/>
      <c r="U2076" s="31" t="n">
        <f aca="false">IF($B2076&lt;&gt;'設定（最初に1回）'!$C$4,N(U2075),IF(COUNTIFS(①今日の在庫を貼る!$B$6:$B$10005,$B2076,①今日の在庫を貼る!$I$6:$I$10005,$I2076)&gt;0,N(U2075),N(U2075)+1))</f>
        <v>2</v>
      </c>
    </row>
    <row r="2077" customFormat="false" ht="15" hidden="false" customHeight="false" outlineLevel="0" collapsed="false">
      <c r="B2077" s="53"/>
      <c r="I2077" s="53"/>
      <c r="U2077" s="31" t="n">
        <f aca="false">IF($B2077&lt;&gt;'設定（最初に1回）'!$C$4,N(U2076),IF(COUNTIFS(①今日の在庫を貼る!$B$6:$B$10005,$B2077,①今日の在庫を貼る!$I$6:$I$10005,$I2077)&gt;0,N(U2076),N(U2076)+1))</f>
        <v>2</v>
      </c>
    </row>
    <row r="2078" customFormat="false" ht="15" hidden="false" customHeight="false" outlineLevel="0" collapsed="false">
      <c r="B2078" s="53"/>
      <c r="I2078" s="53"/>
      <c r="U2078" s="31" t="n">
        <f aca="false">IF($B2078&lt;&gt;'設定（最初に1回）'!$C$4,N(U2077),IF(COUNTIFS(①今日の在庫を貼る!$B$6:$B$10005,$B2078,①今日の在庫を貼る!$I$6:$I$10005,$I2078)&gt;0,N(U2077),N(U2077)+1))</f>
        <v>2</v>
      </c>
    </row>
    <row r="2079" customFormat="false" ht="15" hidden="false" customHeight="false" outlineLevel="0" collapsed="false">
      <c r="B2079" s="53"/>
      <c r="I2079" s="53"/>
      <c r="U2079" s="31" t="n">
        <f aca="false">IF($B2079&lt;&gt;'設定（最初に1回）'!$C$4,N(U2078),IF(COUNTIFS(①今日の在庫を貼る!$B$6:$B$10005,$B2079,①今日の在庫を貼る!$I$6:$I$10005,$I2079)&gt;0,N(U2078),N(U2078)+1))</f>
        <v>2</v>
      </c>
    </row>
    <row r="2080" customFormat="false" ht="15" hidden="false" customHeight="false" outlineLevel="0" collapsed="false">
      <c r="B2080" s="53"/>
      <c r="I2080" s="53"/>
      <c r="U2080" s="31" t="n">
        <f aca="false">IF($B2080&lt;&gt;'設定（最初に1回）'!$C$4,N(U2079),IF(COUNTIFS(①今日の在庫を貼る!$B$6:$B$10005,$B2080,①今日の在庫を貼る!$I$6:$I$10005,$I2080)&gt;0,N(U2079),N(U2079)+1))</f>
        <v>2</v>
      </c>
    </row>
    <row r="2081" customFormat="false" ht="15" hidden="false" customHeight="false" outlineLevel="0" collapsed="false">
      <c r="B2081" s="53"/>
      <c r="I2081" s="53"/>
      <c r="U2081" s="31" t="n">
        <f aca="false">IF($B2081&lt;&gt;'設定（最初に1回）'!$C$4,N(U2080),IF(COUNTIFS(①今日の在庫を貼る!$B$6:$B$10005,$B2081,①今日の在庫を貼る!$I$6:$I$10005,$I2081)&gt;0,N(U2080),N(U2080)+1))</f>
        <v>2</v>
      </c>
    </row>
    <row r="2082" customFormat="false" ht="15" hidden="false" customHeight="false" outlineLevel="0" collapsed="false">
      <c r="B2082" s="53"/>
      <c r="I2082" s="53"/>
      <c r="U2082" s="31" t="n">
        <f aca="false">IF($B2082&lt;&gt;'設定（最初に1回）'!$C$4,N(U2081),IF(COUNTIFS(①今日の在庫を貼る!$B$6:$B$10005,$B2082,①今日の在庫を貼る!$I$6:$I$10005,$I2082)&gt;0,N(U2081),N(U2081)+1))</f>
        <v>2</v>
      </c>
    </row>
    <row r="2083" customFormat="false" ht="15" hidden="false" customHeight="false" outlineLevel="0" collapsed="false">
      <c r="B2083" s="53"/>
      <c r="I2083" s="53"/>
      <c r="U2083" s="31" t="n">
        <f aca="false">IF($B2083&lt;&gt;'設定（最初に1回）'!$C$4,N(U2082),IF(COUNTIFS(①今日の在庫を貼る!$B$6:$B$10005,$B2083,①今日の在庫を貼る!$I$6:$I$10005,$I2083)&gt;0,N(U2082),N(U2082)+1))</f>
        <v>2</v>
      </c>
    </row>
    <row r="2084" customFormat="false" ht="15" hidden="false" customHeight="false" outlineLevel="0" collapsed="false">
      <c r="B2084" s="53"/>
      <c r="I2084" s="53"/>
      <c r="U2084" s="31" t="n">
        <f aca="false">IF($B2084&lt;&gt;'設定（最初に1回）'!$C$4,N(U2083),IF(COUNTIFS(①今日の在庫を貼る!$B$6:$B$10005,$B2084,①今日の在庫を貼る!$I$6:$I$10005,$I2084)&gt;0,N(U2083),N(U2083)+1))</f>
        <v>2</v>
      </c>
    </row>
    <row r="2085" customFormat="false" ht="15" hidden="false" customHeight="false" outlineLevel="0" collapsed="false">
      <c r="B2085" s="53"/>
      <c r="I2085" s="53"/>
      <c r="U2085" s="31" t="n">
        <f aca="false">IF($B2085&lt;&gt;'設定（最初に1回）'!$C$4,N(U2084),IF(COUNTIFS(①今日の在庫を貼る!$B$6:$B$10005,$B2085,①今日の在庫を貼る!$I$6:$I$10005,$I2085)&gt;0,N(U2084),N(U2084)+1))</f>
        <v>2</v>
      </c>
    </row>
    <row r="2086" customFormat="false" ht="15" hidden="false" customHeight="false" outlineLevel="0" collapsed="false">
      <c r="B2086" s="53"/>
      <c r="I2086" s="53"/>
      <c r="U2086" s="31" t="n">
        <f aca="false">IF($B2086&lt;&gt;'設定（最初に1回）'!$C$4,N(U2085),IF(COUNTIFS(①今日の在庫を貼る!$B$6:$B$10005,$B2086,①今日の在庫を貼る!$I$6:$I$10005,$I2086)&gt;0,N(U2085),N(U2085)+1))</f>
        <v>2</v>
      </c>
    </row>
    <row r="2087" customFormat="false" ht="15" hidden="false" customHeight="false" outlineLevel="0" collapsed="false">
      <c r="B2087" s="53"/>
      <c r="I2087" s="53"/>
      <c r="U2087" s="31" t="n">
        <f aca="false">IF($B2087&lt;&gt;'設定（最初に1回）'!$C$4,N(U2086),IF(COUNTIFS(①今日の在庫を貼る!$B$6:$B$10005,$B2087,①今日の在庫を貼る!$I$6:$I$10005,$I2087)&gt;0,N(U2086),N(U2086)+1))</f>
        <v>2</v>
      </c>
    </row>
    <row r="2088" customFormat="false" ht="15" hidden="false" customHeight="false" outlineLevel="0" collapsed="false">
      <c r="B2088" s="53"/>
      <c r="I2088" s="53"/>
      <c r="U2088" s="31" t="n">
        <f aca="false">IF($B2088&lt;&gt;'設定（最初に1回）'!$C$4,N(U2087),IF(COUNTIFS(①今日の在庫を貼る!$B$6:$B$10005,$B2088,①今日の在庫を貼る!$I$6:$I$10005,$I2088)&gt;0,N(U2087),N(U2087)+1))</f>
        <v>2</v>
      </c>
    </row>
    <row r="2089" customFormat="false" ht="15" hidden="false" customHeight="false" outlineLevel="0" collapsed="false">
      <c r="B2089" s="53"/>
      <c r="I2089" s="53"/>
      <c r="U2089" s="31" t="n">
        <f aca="false">IF($B2089&lt;&gt;'設定（最初に1回）'!$C$4,N(U2088),IF(COUNTIFS(①今日の在庫を貼る!$B$6:$B$10005,$B2089,①今日の在庫を貼る!$I$6:$I$10005,$I2089)&gt;0,N(U2088),N(U2088)+1))</f>
        <v>2</v>
      </c>
    </row>
    <row r="2090" customFormat="false" ht="15" hidden="false" customHeight="false" outlineLevel="0" collapsed="false">
      <c r="B2090" s="53"/>
      <c r="I2090" s="53"/>
      <c r="U2090" s="31" t="n">
        <f aca="false">IF($B2090&lt;&gt;'設定（最初に1回）'!$C$4,N(U2089),IF(COUNTIFS(①今日の在庫を貼る!$B$6:$B$10005,$B2090,①今日の在庫を貼る!$I$6:$I$10005,$I2090)&gt;0,N(U2089),N(U2089)+1))</f>
        <v>2</v>
      </c>
    </row>
    <row r="2091" customFormat="false" ht="15" hidden="false" customHeight="false" outlineLevel="0" collapsed="false">
      <c r="B2091" s="53"/>
      <c r="I2091" s="53"/>
      <c r="U2091" s="31" t="n">
        <f aca="false">IF($B2091&lt;&gt;'設定（最初に1回）'!$C$4,N(U2090),IF(COUNTIFS(①今日の在庫を貼る!$B$6:$B$10005,$B2091,①今日の在庫を貼る!$I$6:$I$10005,$I2091)&gt;0,N(U2090),N(U2090)+1))</f>
        <v>2</v>
      </c>
    </row>
    <row r="2092" customFormat="false" ht="15" hidden="false" customHeight="false" outlineLevel="0" collapsed="false">
      <c r="B2092" s="53"/>
      <c r="I2092" s="53"/>
      <c r="U2092" s="31" t="n">
        <f aca="false">IF($B2092&lt;&gt;'設定（最初に1回）'!$C$4,N(U2091),IF(COUNTIFS(①今日の在庫を貼る!$B$6:$B$10005,$B2092,①今日の在庫を貼る!$I$6:$I$10005,$I2092)&gt;0,N(U2091),N(U2091)+1))</f>
        <v>2</v>
      </c>
    </row>
    <row r="2093" customFormat="false" ht="15" hidden="false" customHeight="false" outlineLevel="0" collapsed="false">
      <c r="B2093" s="53"/>
      <c r="I2093" s="53"/>
      <c r="U2093" s="31" t="n">
        <f aca="false">IF($B2093&lt;&gt;'設定（最初に1回）'!$C$4,N(U2092),IF(COUNTIFS(①今日の在庫を貼る!$B$6:$B$10005,$B2093,①今日の在庫を貼る!$I$6:$I$10005,$I2093)&gt;0,N(U2092),N(U2092)+1))</f>
        <v>2</v>
      </c>
    </row>
    <row r="2094" customFormat="false" ht="15" hidden="false" customHeight="false" outlineLevel="0" collapsed="false">
      <c r="B2094" s="53"/>
      <c r="I2094" s="53"/>
      <c r="U2094" s="31" t="n">
        <f aca="false">IF($B2094&lt;&gt;'設定（最初に1回）'!$C$4,N(U2093),IF(COUNTIFS(①今日の在庫を貼る!$B$6:$B$10005,$B2094,①今日の在庫を貼る!$I$6:$I$10005,$I2094)&gt;0,N(U2093),N(U2093)+1))</f>
        <v>2</v>
      </c>
    </row>
    <row r="2095" customFormat="false" ht="15" hidden="false" customHeight="false" outlineLevel="0" collapsed="false">
      <c r="B2095" s="53"/>
      <c r="I2095" s="53"/>
      <c r="U2095" s="31" t="n">
        <f aca="false">IF($B2095&lt;&gt;'設定（最初に1回）'!$C$4,N(U2094),IF(COUNTIFS(①今日の在庫を貼る!$B$6:$B$10005,$B2095,①今日の在庫を貼る!$I$6:$I$10005,$I2095)&gt;0,N(U2094),N(U2094)+1))</f>
        <v>2</v>
      </c>
    </row>
    <row r="2096" customFormat="false" ht="15" hidden="false" customHeight="false" outlineLevel="0" collapsed="false">
      <c r="B2096" s="53"/>
      <c r="I2096" s="53"/>
      <c r="U2096" s="31" t="n">
        <f aca="false">IF($B2096&lt;&gt;'設定（最初に1回）'!$C$4,N(U2095),IF(COUNTIFS(①今日の在庫を貼る!$B$6:$B$10005,$B2096,①今日の在庫を貼る!$I$6:$I$10005,$I2096)&gt;0,N(U2095),N(U2095)+1))</f>
        <v>2</v>
      </c>
    </row>
    <row r="2097" customFormat="false" ht="15" hidden="false" customHeight="false" outlineLevel="0" collapsed="false">
      <c r="B2097" s="53"/>
      <c r="I2097" s="53"/>
      <c r="U2097" s="31" t="n">
        <f aca="false">IF($B2097&lt;&gt;'設定（最初に1回）'!$C$4,N(U2096),IF(COUNTIFS(①今日の在庫を貼る!$B$6:$B$10005,$B2097,①今日の在庫を貼る!$I$6:$I$10005,$I2097)&gt;0,N(U2096),N(U2096)+1))</f>
        <v>2</v>
      </c>
    </row>
    <row r="2098" customFormat="false" ht="15" hidden="false" customHeight="false" outlineLevel="0" collapsed="false">
      <c r="B2098" s="53"/>
      <c r="I2098" s="53"/>
      <c r="U2098" s="31" t="n">
        <f aca="false">IF($B2098&lt;&gt;'設定（最初に1回）'!$C$4,N(U2097),IF(COUNTIFS(①今日の在庫を貼る!$B$6:$B$10005,$B2098,①今日の在庫を貼る!$I$6:$I$10005,$I2098)&gt;0,N(U2097),N(U2097)+1))</f>
        <v>2</v>
      </c>
    </row>
    <row r="2099" customFormat="false" ht="15" hidden="false" customHeight="false" outlineLevel="0" collapsed="false">
      <c r="B2099" s="53"/>
      <c r="I2099" s="53"/>
      <c r="U2099" s="31" t="n">
        <f aca="false">IF($B2099&lt;&gt;'設定（最初に1回）'!$C$4,N(U2098),IF(COUNTIFS(①今日の在庫を貼る!$B$6:$B$10005,$B2099,①今日の在庫を貼る!$I$6:$I$10005,$I2099)&gt;0,N(U2098),N(U2098)+1))</f>
        <v>2</v>
      </c>
    </row>
    <row r="2100" customFormat="false" ht="15" hidden="false" customHeight="false" outlineLevel="0" collapsed="false">
      <c r="B2100" s="53"/>
      <c r="I2100" s="53"/>
      <c r="U2100" s="31" t="n">
        <f aca="false">IF($B2100&lt;&gt;'設定（最初に1回）'!$C$4,N(U2099),IF(COUNTIFS(①今日の在庫を貼る!$B$6:$B$10005,$B2100,①今日の在庫を貼る!$I$6:$I$10005,$I2100)&gt;0,N(U2099),N(U2099)+1))</f>
        <v>2</v>
      </c>
    </row>
    <row r="2101" customFormat="false" ht="15" hidden="false" customHeight="false" outlineLevel="0" collapsed="false">
      <c r="B2101" s="53"/>
      <c r="I2101" s="53"/>
      <c r="U2101" s="31" t="n">
        <f aca="false">IF($B2101&lt;&gt;'設定（最初に1回）'!$C$4,N(U2100),IF(COUNTIFS(①今日の在庫を貼る!$B$6:$B$10005,$B2101,①今日の在庫を貼る!$I$6:$I$10005,$I2101)&gt;0,N(U2100),N(U2100)+1))</f>
        <v>2</v>
      </c>
    </row>
    <row r="2102" customFormat="false" ht="15" hidden="false" customHeight="false" outlineLevel="0" collapsed="false">
      <c r="B2102" s="53"/>
      <c r="I2102" s="53"/>
      <c r="U2102" s="31" t="n">
        <f aca="false">IF($B2102&lt;&gt;'設定（最初に1回）'!$C$4,N(U2101),IF(COUNTIFS(①今日の在庫を貼る!$B$6:$B$10005,$B2102,①今日の在庫を貼る!$I$6:$I$10005,$I2102)&gt;0,N(U2101),N(U2101)+1))</f>
        <v>2</v>
      </c>
    </row>
    <row r="2103" customFormat="false" ht="15" hidden="false" customHeight="false" outlineLevel="0" collapsed="false">
      <c r="B2103" s="53"/>
      <c r="I2103" s="53"/>
      <c r="U2103" s="31" t="n">
        <f aca="false">IF($B2103&lt;&gt;'設定（最初に1回）'!$C$4,N(U2102),IF(COUNTIFS(①今日の在庫を貼る!$B$6:$B$10005,$B2103,①今日の在庫を貼る!$I$6:$I$10005,$I2103)&gt;0,N(U2102),N(U2102)+1))</f>
        <v>2</v>
      </c>
    </row>
    <row r="2104" customFormat="false" ht="15" hidden="false" customHeight="false" outlineLevel="0" collapsed="false">
      <c r="B2104" s="53"/>
      <c r="I2104" s="53"/>
      <c r="U2104" s="31" t="n">
        <f aca="false">IF($B2104&lt;&gt;'設定（最初に1回）'!$C$4,N(U2103),IF(COUNTIFS(①今日の在庫を貼る!$B$6:$B$10005,$B2104,①今日の在庫を貼る!$I$6:$I$10005,$I2104)&gt;0,N(U2103),N(U2103)+1))</f>
        <v>2</v>
      </c>
    </row>
    <row r="2105" customFormat="false" ht="15" hidden="false" customHeight="false" outlineLevel="0" collapsed="false">
      <c r="B2105" s="53"/>
      <c r="I2105" s="53"/>
      <c r="U2105" s="31" t="n">
        <f aca="false">IF($B2105&lt;&gt;'設定（最初に1回）'!$C$4,N(U2104),IF(COUNTIFS(①今日の在庫を貼る!$B$6:$B$10005,$B2105,①今日の在庫を貼る!$I$6:$I$10005,$I2105)&gt;0,N(U2104),N(U2104)+1))</f>
        <v>2</v>
      </c>
    </row>
    <row r="2106" customFormat="false" ht="15" hidden="false" customHeight="false" outlineLevel="0" collapsed="false">
      <c r="B2106" s="53"/>
      <c r="I2106" s="53"/>
      <c r="U2106" s="31" t="n">
        <f aca="false">IF($B2106&lt;&gt;'設定（最初に1回）'!$C$4,N(U2105),IF(COUNTIFS(①今日の在庫を貼る!$B$6:$B$10005,$B2106,①今日の在庫を貼る!$I$6:$I$10005,$I2106)&gt;0,N(U2105),N(U2105)+1))</f>
        <v>2</v>
      </c>
    </row>
    <row r="2107" customFormat="false" ht="15" hidden="false" customHeight="false" outlineLevel="0" collapsed="false">
      <c r="B2107" s="53"/>
      <c r="I2107" s="53"/>
      <c r="U2107" s="31" t="n">
        <f aca="false">IF($B2107&lt;&gt;'設定（最初に1回）'!$C$4,N(U2106),IF(COUNTIFS(①今日の在庫を貼る!$B$6:$B$10005,$B2107,①今日の在庫を貼る!$I$6:$I$10005,$I2107)&gt;0,N(U2106),N(U2106)+1))</f>
        <v>2</v>
      </c>
    </row>
    <row r="2108" customFormat="false" ht="15" hidden="false" customHeight="false" outlineLevel="0" collapsed="false">
      <c r="B2108" s="53"/>
      <c r="I2108" s="53"/>
      <c r="U2108" s="31" t="n">
        <f aca="false">IF($B2108&lt;&gt;'設定（最初に1回）'!$C$4,N(U2107),IF(COUNTIFS(①今日の在庫を貼る!$B$6:$B$10005,$B2108,①今日の在庫を貼る!$I$6:$I$10005,$I2108)&gt;0,N(U2107),N(U2107)+1))</f>
        <v>2</v>
      </c>
    </row>
    <row r="2109" customFormat="false" ht="15" hidden="false" customHeight="false" outlineLevel="0" collapsed="false">
      <c r="B2109" s="53"/>
      <c r="I2109" s="53"/>
      <c r="U2109" s="31" t="n">
        <f aca="false">IF($B2109&lt;&gt;'設定（最初に1回）'!$C$4,N(U2108),IF(COUNTIFS(①今日の在庫を貼る!$B$6:$B$10005,$B2109,①今日の在庫を貼る!$I$6:$I$10005,$I2109)&gt;0,N(U2108),N(U2108)+1))</f>
        <v>2</v>
      </c>
    </row>
    <row r="2110" customFormat="false" ht="15" hidden="false" customHeight="false" outlineLevel="0" collapsed="false">
      <c r="B2110" s="53"/>
      <c r="I2110" s="53"/>
      <c r="U2110" s="31" t="n">
        <f aca="false">IF($B2110&lt;&gt;'設定（最初に1回）'!$C$4,N(U2109),IF(COUNTIFS(①今日の在庫を貼る!$B$6:$B$10005,$B2110,①今日の在庫を貼る!$I$6:$I$10005,$I2110)&gt;0,N(U2109),N(U2109)+1))</f>
        <v>2</v>
      </c>
    </row>
    <row r="2111" customFormat="false" ht="15" hidden="false" customHeight="false" outlineLevel="0" collapsed="false">
      <c r="B2111" s="53"/>
      <c r="I2111" s="53"/>
      <c r="U2111" s="31" t="n">
        <f aca="false">IF($B2111&lt;&gt;'設定（最初に1回）'!$C$4,N(U2110),IF(COUNTIFS(①今日の在庫を貼る!$B$6:$B$10005,$B2111,①今日の在庫を貼る!$I$6:$I$10005,$I2111)&gt;0,N(U2110),N(U2110)+1))</f>
        <v>2</v>
      </c>
    </row>
    <row r="2112" customFormat="false" ht="15" hidden="false" customHeight="false" outlineLevel="0" collapsed="false">
      <c r="B2112" s="53"/>
      <c r="I2112" s="53"/>
      <c r="U2112" s="31" t="n">
        <f aca="false">IF($B2112&lt;&gt;'設定（最初に1回）'!$C$4,N(U2111),IF(COUNTIFS(①今日の在庫を貼る!$B$6:$B$10005,$B2112,①今日の在庫を貼る!$I$6:$I$10005,$I2112)&gt;0,N(U2111),N(U2111)+1))</f>
        <v>2</v>
      </c>
    </row>
    <row r="2113" customFormat="false" ht="15" hidden="false" customHeight="false" outlineLevel="0" collapsed="false">
      <c r="B2113" s="53"/>
      <c r="I2113" s="53"/>
      <c r="U2113" s="31" t="n">
        <f aca="false">IF($B2113&lt;&gt;'設定（最初に1回）'!$C$4,N(U2112),IF(COUNTIFS(①今日の在庫を貼る!$B$6:$B$10005,$B2113,①今日の在庫を貼る!$I$6:$I$10005,$I2113)&gt;0,N(U2112),N(U2112)+1))</f>
        <v>2</v>
      </c>
    </row>
    <row r="2114" customFormat="false" ht="15" hidden="false" customHeight="false" outlineLevel="0" collapsed="false">
      <c r="B2114" s="53"/>
      <c r="I2114" s="53"/>
      <c r="U2114" s="31" t="n">
        <f aca="false">IF($B2114&lt;&gt;'設定（最初に1回）'!$C$4,N(U2113),IF(COUNTIFS(①今日の在庫を貼る!$B$6:$B$10005,$B2114,①今日の在庫を貼る!$I$6:$I$10005,$I2114)&gt;0,N(U2113),N(U2113)+1))</f>
        <v>2</v>
      </c>
    </row>
    <row r="2115" customFormat="false" ht="15" hidden="false" customHeight="false" outlineLevel="0" collapsed="false">
      <c r="B2115" s="53"/>
      <c r="I2115" s="53"/>
      <c r="U2115" s="31" t="n">
        <f aca="false">IF($B2115&lt;&gt;'設定（最初に1回）'!$C$4,N(U2114),IF(COUNTIFS(①今日の在庫を貼る!$B$6:$B$10005,$B2115,①今日の在庫を貼る!$I$6:$I$10005,$I2115)&gt;0,N(U2114),N(U2114)+1))</f>
        <v>2</v>
      </c>
    </row>
    <row r="2116" customFormat="false" ht="15" hidden="false" customHeight="false" outlineLevel="0" collapsed="false">
      <c r="B2116" s="53"/>
      <c r="I2116" s="53"/>
      <c r="U2116" s="31" t="n">
        <f aca="false">IF($B2116&lt;&gt;'設定（最初に1回）'!$C$4,N(U2115),IF(COUNTIFS(①今日の在庫を貼る!$B$6:$B$10005,$B2116,①今日の在庫を貼る!$I$6:$I$10005,$I2116)&gt;0,N(U2115),N(U2115)+1))</f>
        <v>2</v>
      </c>
    </row>
    <row r="2117" customFormat="false" ht="15" hidden="false" customHeight="false" outlineLevel="0" collapsed="false">
      <c r="B2117" s="53"/>
      <c r="I2117" s="53"/>
      <c r="U2117" s="31" t="n">
        <f aca="false">IF($B2117&lt;&gt;'設定（最初に1回）'!$C$4,N(U2116),IF(COUNTIFS(①今日の在庫を貼る!$B$6:$B$10005,$B2117,①今日の在庫を貼る!$I$6:$I$10005,$I2117)&gt;0,N(U2116),N(U2116)+1))</f>
        <v>2</v>
      </c>
    </row>
    <row r="2118" customFormat="false" ht="15" hidden="false" customHeight="false" outlineLevel="0" collapsed="false">
      <c r="B2118" s="53"/>
      <c r="I2118" s="53"/>
      <c r="U2118" s="31" t="n">
        <f aca="false">IF($B2118&lt;&gt;'設定（最初に1回）'!$C$4,N(U2117),IF(COUNTIFS(①今日の在庫を貼る!$B$6:$B$10005,$B2118,①今日の在庫を貼る!$I$6:$I$10005,$I2118)&gt;0,N(U2117),N(U2117)+1))</f>
        <v>2</v>
      </c>
    </row>
    <row r="2119" customFormat="false" ht="15" hidden="false" customHeight="false" outlineLevel="0" collapsed="false">
      <c r="B2119" s="53"/>
      <c r="I2119" s="53"/>
      <c r="U2119" s="31" t="n">
        <f aca="false">IF($B2119&lt;&gt;'設定（最初に1回）'!$C$4,N(U2118),IF(COUNTIFS(①今日の在庫を貼る!$B$6:$B$10005,$B2119,①今日の在庫を貼る!$I$6:$I$10005,$I2119)&gt;0,N(U2118),N(U2118)+1))</f>
        <v>2</v>
      </c>
    </row>
    <row r="2120" customFormat="false" ht="15" hidden="false" customHeight="false" outlineLevel="0" collapsed="false">
      <c r="B2120" s="53"/>
      <c r="I2120" s="53"/>
      <c r="U2120" s="31" t="n">
        <f aca="false">IF($B2120&lt;&gt;'設定（最初に1回）'!$C$4,N(U2119),IF(COUNTIFS(①今日の在庫を貼る!$B$6:$B$10005,$B2120,①今日の在庫を貼る!$I$6:$I$10005,$I2120)&gt;0,N(U2119),N(U2119)+1))</f>
        <v>2</v>
      </c>
    </row>
    <row r="2121" customFormat="false" ht="15" hidden="false" customHeight="false" outlineLevel="0" collapsed="false">
      <c r="B2121" s="53"/>
      <c r="I2121" s="53"/>
      <c r="U2121" s="31" t="n">
        <f aca="false">IF($B2121&lt;&gt;'設定（最初に1回）'!$C$4,N(U2120),IF(COUNTIFS(①今日の在庫を貼る!$B$6:$B$10005,$B2121,①今日の在庫を貼る!$I$6:$I$10005,$I2121)&gt;0,N(U2120),N(U2120)+1))</f>
        <v>2</v>
      </c>
    </row>
    <row r="2122" customFormat="false" ht="15" hidden="false" customHeight="false" outlineLevel="0" collapsed="false">
      <c r="B2122" s="53"/>
      <c r="I2122" s="53"/>
      <c r="U2122" s="31" t="n">
        <f aca="false">IF($B2122&lt;&gt;'設定（最初に1回）'!$C$4,N(U2121),IF(COUNTIFS(①今日の在庫を貼る!$B$6:$B$10005,$B2122,①今日の在庫を貼る!$I$6:$I$10005,$I2122)&gt;0,N(U2121),N(U2121)+1))</f>
        <v>2</v>
      </c>
    </row>
    <row r="2123" customFormat="false" ht="15" hidden="false" customHeight="false" outlineLevel="0" collapsed="false">
      <c r="B2123" s="53"/>
      <c r="I2123" s="53"/>
      <c r="U2123" s="31" t="n">
        <f aca="false">IF($B2123&lt;&gt;'設定（最初に1回）'!$C$4,N(U2122),IF(COUNTIFS(①今日の在庫を貼る!$B$6:$B$10005,$B2123,①今日の在庫を貼る!$I$6:$I$10005,$I2123)&gt;0,N(U2122),N(U2122)+1))</f>
        <v>2</v>
      </c>
    </row>
    <row r="2124" customFormat="false" ht="15" hidden="false" customHeight="false" outlineLevel="0" collapsed="false">
      <c r="B2124" s="53"/>
      <c r="I2124" s="53"/>
      <c r="U2124" s="31" t="n">
        <f aca="false">IF($B2124&lt;&gt;'設定（最初に1回）'!$C$4,N(U2123),IF(COUNTIFS(①今日の在庫を貼る!$B$6:$B$10005,$B2124,①今日の在庫を貼る!$I$6:$I$10005,$I2124)&gt;0,N(U2123),N(U2123)+1))</f>
        <v>2</v>
      </c>
    </row>
    <row r="2125" customFormat="false" ht="15" hidden="false" customHeight="false" outlineLevel="0" collapsed="false">
      <c r="B2125" s="53"/>
      <c r="I2125" s="53"/>
      <c r="U2125" s="31" t="n">
        <f aca="false">IF($B2125&lt;&gt;'設定（最初に1回）'!$C$4,N(U2124),IF(COUNTIFS(①今日の在庫を貼る!$B$6:$B$10005,$B2125,①今日の在庫を貼る!$I$6:$I$10005,$I2125)&gt;0,N(U2124),N(U2124)+1))</f>
        <v>2</v>
      </c>
    </row>
    <row r="2126" customFormat="false" ht="15" hidden="false" customHeight="false" outlineLevel="0" collapsed="false">
      <c r="B2126" s="53"/>
      <c r="I2126" s="53"/>
      <c r="U2126" s="31" t="n">
        <f aca="false">IF($B2126&lt;&gt;'設定（最初に1回）'!$C$4,N(U2125),IF(COUNTIFS(①今日の在庫を貼る!$B$6:$B$10005,$B2126,①今日の在庫を貼る!$I$6:$I$10005,$I2126)&gt;0,N(U2125),N(U2125)+1))</f>
        <v>2</v>
      </c>
    </row>
    <row r="2127" customFormat="false" ht="15" hidden="false" customHeight="false" outlineLevel="0" collapsed="false">
      <c r="B2127" s="53"/>
      <c r="I2127" s="53"/>
      <c r="U2127" s="31" t="n">
        <f aca="false">IF($B2127&lt;&gt;'設定（最初に1回）'!$C$4,N(U2126),IF(COUNTIFS(①今日の在庫を貼る!$B$6:$B$10005,$B2127,①今日の在庫を貼る!$I$6:$I$10005,$I2127)&gt;0,N(U2126),N(U2126)+1))</f>
        <v>2</v>
      </c>
    </row>
    <row r="2128" customFormat="false" ht="15" hidden="false" customHeight="false" outlineLevel="0" collapsed="false">
      <c r="B2128" s="53"/>
      <c r="I2128" s="53"/>
      <c r="U2128" s="31" t="n">
        <f aca="false">IF($B2128&lt;&gt;'設定（最初に1回）'!$C$4,N(U2127),IF(COUNTIFS(①今日の在庫を貼る!$B$6:$B$10005,$B2128,①今日の在庫を貼る!$I$6:$I$10005,$I2128)&gt;0,N(U2127),N(U2127)+1))</f>
        <v>2</v>
      </c>
    </row>
    <row r="2129" customFormat="false" ht="15" hidden="false" customHeight="false" outlineLevel="0" collapsed="false">
      <c r="B2129" s="53"/>
      <c r="I2129" s="53"/>
      <c r="U2129" s="31" t="n">
        <f aca="false">IF($B2129&lt;&gt;'設定（最初に1回）'!$C$4,N(U2128),IF(COUNTIFS(①今日の在庫を貼る!$B$6:$B$10005,$B2129,①今日の在庫を貼る!$I$6:$I$10005,$I2129)&gt;0,N(U2128),N(U2128)+1))</f>
        <v>2</v>
      </c>
    </row>
    <row r="2130" customFormat="false" ht="15" hidden="false" customHeight="false" outlineLevel="0" collapsed="false">
      <c r="B2130" s="53"/>
      <c r="I2130" s="53"/>
      <c r="U2130" s="31" t="n">
        <f aca="false">IF($B2130&lt;&gt;'設定（最初に1回）'!$C$4,N(U2129),IF(COUNTIFS(①今日の在庫を貼る!$B$6:$B$10005,$B2130,①今日の在庫を貼る!$I$6:$I$10005,$I2130)&gt;0,N(U2129),N(U2129)+1))</f>
        <v>2</v>
      </c>
    </row>
    <row r="2131" customFormat="false" ht="15" hidden="false" customHeight="false" outlineLevel="0" collapsed="false">
      <c r="B2131" s="53"/>
      <c r="I2131" s="53"/>
      <c r="U2131" s="31" t="n">
        <f aca="false">IF($B2131&lt;&gt;'設定（最初に1回）'!$C$4,N(U2130),IF(COUNTIFS(①今日の在庫を貼る!$B$6:$B$10005,$B2131,①今日の在庫を貼る!$I$6:$I$10005,$I2131)&gt;0,N(U2130),N(U2130)+1))</f>
        <v>2</v>
      </c>
    </row>
    <row r="2132" customFormat="false" ht="15" hidden="false" customHeight="false" outlineLevel="0" collapsed="false">
      <c r="B2132" s="53"/>
      <c r="I2132" s="53"/>
      <c r="U2132" s="31" t="n">
        <f aca="false">IF($B2132&lt;&gt;'設定（最初に1回）'!$C$4,N(U2131),IF(COUNTIFS(①今日の在庫を貼る!$B$6:$B$10005,$B2132,①今日の在庫を貼る!$I$6:$I$10005,$I2132)&gt;0,N(U2131),N(U2131)+1))</f>
        <v>2</v>
      </c>
    </row>
    <row r="2133" customFormat="false" ht="15" hidden="false" customHeight="false" outlineLevel="0" collapsed="false">
      <c r="B2133" s="53"/>
      <c r="I2133" s="53"/>
      <c r="U2133" s="31" t="n">
        <f aca="false">IF($B2133&lt;&gt;'設定（最初に1回）'!$C$4,N(U2132),IF(COUNTIFS(①今日の在庫を貼る!$B$6:$B$10005,$B2133,①今日の在庫を貼る!$I$6:$I$10005,$I2133)&gt;0,N(U2132),N(U2132)+1))</f>
        <v>2</v>
      </c>
    </row>
    <row r="2134" customFormat="false" ht="15" hidden="false" customHeight="false" outlineLevel="0" collapsed="false">
      <c r="B2134" s="53"/>
      <c r="I2134" s="53"/>
      <c r="U2134" s="31" t="n">
        <f aca="false">IF($B2134&lt;&gt;'設定（最初に1回）'!$C$4,N(U2133),IF(COUNTIFS(①今日の在庫を貼る!$B$6:$B$10005,$B2134,①今日の在庫を貼る!$I$6:$I$10005,$I2134)&gt;0,N(U2133),N(U2133)+1))</f>
        <v>2</v>
      </c>
    </row>
    <row r="2135" customFormat="false" ht="15" hidden="false" customHeight="false" outlineLevel="0" collapsed="false">
      <c r="B2135" s="53"/>
      <c r="I2135" s="53"/>
      <c r="U2135" s="31" t="n">
        <f aca="false">IF($B2135&lt;&gt;'設定（最初に1回）'!$C$4,N(U2134),IF(COUNTIFS(①今日の在庫を貼る!$B$6:$B$10005,$B2135,①今日の在庫を貼る!$I$6:$I$10005,$I2135)&gt;0,N(U2134),N(U2134)+1))</f>
        <v>2</v>
      </c>
    </row>
    <row r="2136" customFormat="false" ht="15" hidden="false" customHeight="false" outlineLevel="0" collapsed="false">
      <c r="B2136" s="53"/>
      <c r="I2136" s="53"/>
      <c r="U2136" s="31" t="n">
        <f aca="false">IF($B2136&lt;&gt;'設定（最初に1回）'!$C$4,N(U2135),IF(COUNTIFS(①今日の在庫を貼る!$B$6:$B$10005,$B2136,①今日の在庫を貼る!$I$6:$I$10005,$I2136)&gt;0,N(U2135),N(U2135)+1))</f>
        <v>2</v>
      </c>
    </row>
    <row r="2137" customFormat="false" ht="15" hidden="false" customHeight="false" outlineLevel="0" collapsed="false">
      <c r="B2137" s="53"/>
      <c r="I2137" s="53"/>
      <c r="U2137" s="31" t="n">
        <f aca="false">IF($B2137&lt;&gt;'設定（最初に1回）'!$C$4,N(U2136),IF(COUNTIFS(①今日の在庫を貼る!$B$6:$B$10005,$B2137,①今日の在庫を貼る!$I$6:$I$10005,$I2137)&gt;0,N(U2136),N(U2136)+1))</f>
        <v>2</v>
      </c>
    </row>
    <row r="2138" customFormat="false" ht="15" hidden="false" customHeight="false" outlineLevel="0" collapsed="false">
      <c r="B2138" s="53"/>
      <c r="I2138" s="53"/>
      <c r="U2138" s="31" t="n">
        <f aca="false">IF($B2138&lt;&gt;'設定（最初に1回）'!$C$4,N(U2137),IF(COUNTIFS(①今日の在庫を貼る!$B$6:$B$10005,$B2138,①今日の在庫を貼る!$I$6:$I$10005,$I2138)&gt;0,N(U2137),N(U2137)+1))</f>
        <v>2</v>
      </c>
    </row>
    <row r="2139" customFormat="false" ht="15" hidden="false" customHeight="false" outlineLevel="0" collapsed="false">
      <c r="B2139" s="53"/>
      <c r="I2139" s="53"/>
      <c r="U2139" s="31" t="n">
        <f aca="false">IF($B2139&lt;&gt;'設定（最初に1回）'!$C$4,N(U2138),IF(COUNTIFS(①今日の在庫を貼る!$B$6:$B$10005,$B2139,①今日の在庫を貼る!$I$6:$I$10005,$I2139)&gt;0,N(U2138),N(U2138)+1))</f>
        <v>2</v>
      </c>
    </row>
    <row r="2140" customFormat="false" ht="15" hidden="false" customHeight="false" outlineLevel="0" collapsed="false">
      <c r="B2140" s="53"/>
      <c r="I2140" s="53"/>
      <c r="U2140" s="31" t="n">
        <f aca="false">IF($B2140&lt;&gt;'設定（最初に1回）'!$C$4,N(U2139),IF(COUNTIFS(①今日の在庫を貼る!$B$6:$B$10005,$B2140,①今日の在庫を貼る!$I$6:$I$10005,$I2140)&gt;0,N(U2139),N(U2139)+1))</f>
        <v>2</v>
      </c>
    </row>
    <row r="2141" customFormat="false" ht="15" hidden="false" customHeight="false" outlineLevel="0" collapsed="false">
      <c r="B2141" s="53"/>
      <c r="I2141" s="53"/>
      <c r="U2141" s="31" t="n">
        <f aca="false">IF($B2141&lt;&gt;'設定（最初に1回）'!$C$4,N(U2140),IF(COUNTIFS(①今日の在庫を貼る!$B$6:$B$10005,$B2141,①今日の在庫を貼る!$I$6:$I$10005,$I2141)&gt;0,N(U2140),N(U2140)+1))</f>
        <v>2</v>
      </c>
    </row>
    <row r="2142" customFormat="false" ht="15" hidden="false" customHeight="false" outlineLevel="0" collapsed="false">
      <c r="B2142" s="53"/>
      <c r="I2142" s="53"/>
      <c r="U2142" s="31" t="n">
        <f aca="false">IF($B2142&lt;&gt;'設定（最初に1回）'!$C$4,N(U2141),IF(COUNTIFS(①今日の在庫を貼る!$B$6:$B$10005,$B2142,①今日の在庫を貼る!$I$6:$I$10005,$I2142)&gt;0,N(U2141),N(U2141)+1))</f>
        <v>2</v>
      </c>
    </row>
    <row r="2143" customFormat="false" ht="15" hidden="false" customHeight="false" outlineLevel="0" collapsed="false">
      <c r="B2143" s="53"/>
      <c r="I2143" s="53"/>
      <c r="U2143" s="31" t="n">
        <f aca="false">IF($B2143&lt;&gt;'設定（最初に1回）'!$C$4,N(U2142),IF(COUNTIFS(①今日の在庫を貼る!$B$6:$B$10005,$B2143,①今日の在庫を貼る!$I$6:$I$10005,$I2143)&gt;0,N(U2142),N(U2142)+1))</f>
        <v>2</v>
      </c>
    </row>
    <row r="2144" customFormat="false" ht="15" hidden="false" customHeight="false" outlineLevel="0" collapsed="false">
      <c r="B2144" s="53"/>
      <c r="I2144" s="53"/>
      <c r="U2144" s="31" t="n">
        <f aca="false">IF($B2144&lt;&gt;'設定（最初に1回）'!$C$4,N(U2143),IF(COUNTIFS(①今日の在庫を貼る!$B$6:$B$10005,$B2144,①今日の在庫を貼る!$I$6:$I$10005,$I2144)&gt;0,N(U2143),N(U2143)+1))</f>
        <v>2</v>
      </c>
    </row>
    <row r="2145" customFormat="false" ht="15" hidden="false" customHeight="false" outlineLevel="0" collapsed="false">
      <c r="B2145" s="53"/>
      <c r="I2145" s="53"/>
      <c r="U2145" s="31" t="n">
        <f aca="false">IF($B2145&lt;&gt;'設定（最初に1回）'!$C$4,N(U2144),IF(COUNTIFS(①今日の在庫を貼る!$B$6:$B$10005,$B2145,①今日の在庫を貼る!$I$6:$I$10005,$I2145)&gt;0,N(U2144),N(U2144)+1))</f>
        <v>2</v>
      </c>
    </row>
    <row r="2146" customFormat="false" ht="15" hidden="false" customHeight="false" outlineLevel="0" collapsed="false">
      <c r="B2146" s="53"/>
      <c r="I2146" s="53"/>
      <c r="U2146" s="31" t="n">
        <f aca="false">IF($B2146&lt;&gt;'設定（最初に1回）'!$C$4,N(U2145),IF(COUNTIFS(①今日の在庫を貼る!$B$6:$B$10005,$B2146,①今日の在庫を貼る!$I$6:$I$10005,$I2146)&gt;0,N(U2145),N(U2145)+1))</f>
        <v>2</v>
      </c>
    </row>
    <row r="2147" customFormat="false" ht="15" hidden="false" customHeight="false" outlineLevel="0" collapsed="false">
      <c r="B2147" s="53"/>
      <c r="I2147" s="53"/>
      <c r="U2147" s="31" t="n">
        <f aca="false">IF($B2147&lt;&gt;'設定（最初に1回）'!$C$4,N(U2146),IF(COUNTIFS(①今日の在庫を貼る!$B$6:$B$10005,$B2147,①今日の在庫を貼る!$I$6:$I$10005,$I2147)&gt;0,N(U2146),N(U2146)+1))</f>
        <v>2</v>
      </c>
    </row>
    <row r="2148" customFormat="false" ht="15" hidden="false" customHeight="false" outlineLevel="0" collapsed="false">
      <c r="B2148" s="53"/>
      <c r="I2148" s="53"/>
      <c r="U2148" s="31" t="n">
        <f aca="false">IF($B2148&lt;&gt;'設定（最初に1回）'!$C$4,N(U2147),IF(COUNTIFS(①今日の在庫を貼る!$B$6:$B$10005,$B2148,①今日の在庫を貼る!$I$6:$I$10005,$I2148)&gt;0,N(U2147),N(U2147)+1))</f>
        <v>2</v>
      </c>
    </row>
    <row r="2149" customFormat="false" ht="15" hidden="false" customHeight="false" outlineLevel="0" collapsed="false">
      <c r="B2149" s="53"/>
      <c r="I2149" s="53"/>
      <c r="U2149" s="31" t="n">
        <f aca="false">IF($B2149&lt;&gt;'設定（最初に1回）'!$C$4,N(U2148),IF(COUNTIFS(①今日の在庫を貼る!$B$6:$B$10005,$B2149,①今日の在庫を貼る!$I$6:$I$10005,$I2149)&gt;0,N(U2148),N(U2148)+1))</f>
        <v>2</v>
      </c>
    </row>
    <row r="2150" customFormat="false" ht="15" hidden="false" customHeight="false" outlineLevel="0" collapsed="false">
      <c r="B2150" s="53"/>
      <c r="I2150" s="53"/>
      <c r="U2150" s="31" t="n">
        <f aca="false">IF($B2150&lt;&gt;'設定（最初に1回）'!$C$4,N(U2149),IF(COUNTIFS(①今日の在庫を貼る!$B$6:$B$10005,$B2150,①今日の在庫を貼る!$I$6:$I$10005,$I2150)&gt;0,N(U2149),N(U2149)+1))</f>
        <v>2</v>
      </c>
    </row>
    <row r="2151" customFormat="false" ht="15" hidden="false" customHeight="false" outlineLevel="0" collapsed="false">
      <c r="B2151" s="53"/>
      <c r="I2151" s="53"/>
      <c r="U2151" s="31" t="n">
        <f aca="false">IF($B2151&lt;&gt;'設定（最初に1回）'!$C$4,N(U2150),IF(COUNTIFS(①今日の在庫を貼る!$B$6:$B$10005,$B2151,①今日の在庫を貼る!$I$6:$I$10005,$I2151)&gt;0,N(U2150),N(U2150)+1))</f>
        <v>2</v>
      </c>
    </row>
    <row r="2152" customFormat="false" ht="15" hidden="false" customHeight="false" outlineLevel="0" collapsed="false">
      <c r="B2152" s="53"/>
      <c r="I2152" s="53"/>
      <c r="U2152" s="31" t="n">
        <f aca="false">IF($B2152&lt;&gt;'設定（最初に1回）'!$C$4,N(U2151),IF(COUNTIFS(①今日の在庫を貼る!$B$6:$B$10005,$B2152,①今日の在庫を貼る!$I$6:$I$10005,$I2152)&gt;0,N(U2151),N(U2151)+1))</f>
        <v>2</v>
      </c>
    </row>
    <row r="2153" customFormat="false" ht="15" hidden="false" customHeight="false" outlineLevel="0" collapsed="false">
      <c r="B2153" s="53"/>
      <c r="I2153" s="53"/>
      <c r="U2153" s="31" t="n">
        <f aca="false">IF($B2153&lt;&gt;'設定（最初に1回）'!$C$4,N(U2152),IF(COUNTIFS(①今日の在庫を貼る!$B$6:$B$10005,$B2153,①今日の在庫を貼る!$I$6:$I$10005,$I2153)&gt;0,N(U2152),N(U2152)+1))</f>
        <v>2</v>
      </c>
    </row>
    <row r="2154" customFormat="false" ht="15" hidden="false" customHeight="false" outlineLevel="0" collapsed="false">
      <c r="B2154" s="53"/>
      <c r="I2154" s="53"/>
      <c r="U2154" s="31" t="n">
        <f aca="false">IF($B2154&lt;&gt;'設定（最初に1回）'!$C$4,N(U2153),IF(COUNTIFS(①今日の在庫を貼る!$B$6:$B$10005,$B2154,①今日の在庫を貼る!$I$6:$I$10005,$I2154)&gt;0,N(U2153),N(U2153)+1))</f>
        <v>2</v>
      </c>
    </row>
    <row r="2155" customFormat="false" ht="15" hidden="false" customHeight="false" outlineLevel="0" collapsed="false">
      <c r="B2155" s="53"/>
      <c r="I2155" s="53"/>
      <c r="U2155" s="31" t="n">
        <f aca="false">IF($B2155&lt;&gt;'設定（最初に1回）'!$C$4,N(U2154),IF(COUNTIFS(①今日の在庫を貼る!$B$6:$B$10005,$B2155,①今日の在庫を貼る!$I$6:$I$10005,$I2155)&gt;0,N(U2154),N(U2154)+1))</f>
        <v>2</v>
      </c>
    </row>
    <row r="2156" customFormat="false" ht="15" hidden="false" customHeight="false" outlineLevel="0" collapsed="false">
      <c r="B2156" s="53"/>
      <c r="I2156" s="53"/>
      <c r="U2156" s="31" t="n">
        <f aca="false">IF($B2156&lt;&gt;'設定（最初に1回）'!$C$4,N(U2155),IF(COUNTIFS(①今日の在庫を貼る!$B$6:$B$10005,$B2156,①今日の在庫を貼る!$I$6:$I$10005,$I2156)&gt;0,N(U2155),N(U2155)+1))</f>
        <v>2</v>
      </c>
    </row>
    <row r="2157" customFormat="false" ht="15" hidden="false" customHeight="false" outlineLevel="0" collapsed="false">
      <c r="B2157" s="53"/>
      <c r="I2157" s="53"/>
      <c r="U2157" s="31" t="n">
        <f aca="false">IF($B2157&lt;&gt;'設定（最初に1回）'!$C$4,N(U2156),IF(COUNTIFS(①今日の在庫を貼る!$B$6:$B$10005,$B2157,①今日の在庫を貼る!$I$6:$I$10005,$I2157)&gt;0,N(U2156),N(U2156)+1))</f>
        <v>2</v>
      </c>
    </row>
    <row r="2158" customFormat="false" ht="15" hidden="false" customHeight="false" outlineLevel="0" collapsed="false">
      <c r="B2158" s="53"/>
      <c r="I2158" s="53"/>
      <c r="U2158" s="31" t="n">
        <f aca="false">IF($B2158&lt;&gt;'設定（最初に1回）'!$C$4,N(U2157),IF(COUNTIFS(①今日の在庫を貼る!$B$6:$B$10005,$B2158,①今日の在庫を貼る!$I$6:$I$10005,$I2158)&gt;0,N(U2157),N(U2157)+1))</f>
        <v>2</v>
      </c>
    </row>
    <row r="2159" customFormat="false" ht="15" hidden="false" customHeight="false" outlineLevel="0" collapsed="false">
      <c r="B2159" s="53"/>
      <c r="I2159" s="53"/>
      <c r="U2159" s="31" t="n">
        <f aca="false">IF($B2159&lt;&gt;'設定（最初に1回）'!$C$4,N(U2158),IF(COUNTIFS(①今日の在庫を貼る!$B$6:$B$10005,$B2159,①今日の在庫を貼る!$I$6:$I$10005,$I2159)&gt;0,N(U2158),N(U2158)+1))</f>
        <v>2</v>
      </c>
    </row>
    <row r="2160" customFormat="false" ht="15" hidden="false" customHeight="false" outlineLevel="0" collapsed="false">
      <c r="B2160" s="53"/>
      <c r="I2160" s="53"/>
      <c r="U2160" s="31" t="n">
        <f aca="false">IF($B2160&lt;&gt;'設定（最初に1回）'!$C$4,N(U2159),IF(COUNTIFS(①今日の在庫を貼る!$B$6:$B$10005,$B2160,①今日の在庫を貼る!$I$6:$I$10005,$I2160)&gt;0,N(U2159),N(U2159)+1))</f>
        <v>2</v>
      </c>
    </row>
    <row r="2161" customFormat="false" ht="15" hidden="false" customHeight="false" outlineLevel="0" collapsed="false">
      <c r="B2161" s="53"/>
      <c r="I2161" s="53"/>
      <c r="U2161" s="31" t="n">
        <f aca="false">IF($B2161&lt;&gt;'設定（最初に1回）'!$C$4,N(U2160),IF(COUNTIFS(①今日の在庫を貼る!$B$6:$B$10005,$B2161,①今日の在庫を貼る!$I$6:$I$10005,$I2161)&gt;0,N(U2160),N(U2160)+1))</f>
        <v>2</v>
      </c>
    </row>
    <row r="2162" customFormat="false" ht="15" hidden="false" customHeight="false" outlineLevel="0" collapsed="false">
      <c r="B2162" s="53"/>
      <c r="I2162" s="53"/>
      <c r="U2162" s="31" t="n">
        <f aca="false">IF($B2162&lt;&gt;'設定（最初に1回）'!$C$4,N(U2161),IF(COUNTIFS(①今日の在庫を貼る!$B$6:$B$10005,$B2162,①今日の在庫を貼る!$I$6:$I$10005,$I2162)&gt;0,N(U2161),N(U2161)+1))</f>
        <v>2</v>
      </c>
    </row>
    <row r="2163" customFormat="false" ht="15" hidden="false" customHeight="false" outlineLevel="0" collapsed="false">
      <c r="B2163" s="53"/>
      <c r="I2163" s="53"/>
      <c r="U2163" s="31" t="n">
        <f aca="false">IF($B2163&lt;&gt;'設定（最初に1回）'!$C$4,N(U2162),IF(COUNTIFS(①今日の在庫を貼る!$B$6:$B$10005,$B2163,①今日の在庫を貼る!$I$6:$I$10005,$I2163)&gt;0,N(U2162),N(U2162)+1))</f>
        <v>2</v>
      </c>
    </row>
    <row r="2164" customFormat="false" ht="15" hidden="false" customHeight="false" outlineLevel="0" collapsed="false">
      <c r="B2164" s="53"/>
      <c r="I2164" s="53"/>
      <c r="U2164" s="31" t="n">
        <f aca="false">IF($B2164&lt;&gt;'設定（最初に1回）'!$C$4,N(U2163),IF(COUNTIFS(①今日の在庫を貼る!$B$6:$B$10005,$B2164,①今日の在庫を貼る!$I$6:$I$10005,$I2164)&gt;0,N(U2163),N(U2163)+1))</f>
        <v>2</v>
      </c>
    </row>
    <row r="2165" customFormat="false" ht="15" hidden="false" customHeight="false" outlineLevel="0" collapsed="false">
      <c r="B2165" s="53"/>
      <c r="I2165" s="53"/>
      <c r="U2165" s="31" t="n">
        <f aca="false">IF($B2165&lt;&gt;'設定（最初に1回）'!$C$4,N(U2164),IF(COUNTIFS(①今日の在庫を貼る!$B$6:$B$10005,$B2165,①今日の在庫を貼る!$I$6:$I$10005,$I2165)&gt;0,N(U2164),N(U2164)+1))</f>
        <v>2</v>
      </c>
    </row>
    <row r="2166" customFormat="false" ht="15" hidden="false" customHeight="false" outlineLevel="0" collapsed="false">
      <c r="B2166" s="53"/>
      <c r="I2166" s="53"/>
      <c r="U2166" s="31" t="n">
        <f aca="false">IF($B2166&lt;&gt;'設定（最初に1回）'!$C$4,N(U2165),IF(COUNTIFS(①今日の在庫を貼る!$B$6:$B$10005,$B2166,①今日の在庫を貼る!$I$6:$I$10005,$I2166)&gt;0,N(U2165),N(U2165)+1))</f>
        <v>2</v>
      </c>
    </row>
    <row r="2167" customFormat="false" ht="15" hidden="false" customHeight="false" outlineLevel="0" collapsed="false">
      <c r="B2167" s="53"/>
      <c r="I2167" s="53"/>
      <c r="U2167" s="31" t="n">
        <f aca="false">IF($B2167&lt;&gt;'設定（最初に1回）'!$C$4,N(U2166),IF(COUNTIFS(①今日の在庫を貼る!$B$6:$B$10005,$B2167,①今日の在庫を貼る!$I$6:$I$10005,$I2167)&gt;0,N(U2166),N(U2166)+1))</f>
        <v>2</v>
      </c>
    </row>
    <row r="2168" customFormat="false" ht="15" hidden="false" customHeight="false" outlineLevel="0" collapsed="false">
      <c r="B2168" s="53"/>
      <c r="I2168" s="53"/>
      <c r="U2168" s="31" t="n">
        <f aca="false">IF($B2168&lt;&gt;'設定（最初に1回）'!$C$4,N(U2167),IF(COUNTIFS(①今日の在庫を貼る!$B$6:$B$10005,$B2168,①今日の在庫を貼る!$I$6:$I$10005,$I2168)&gt;0,N(U2167),N(U2167)+1))</f>
        <v>2</v>
      </c>
    </row>
    <row r="2169" customFormat="false" ht="15" hidden="false" customHeight="false" outlineLevel="0" collapsed="false">
      <c r="B2169" s="53"/>
      <c r="I2169" s="53"/>
      <c r="U2169" s="31" t="n">
        <f aca="false">IF($B2169&lt;&gt;'設定（最初に1回）'!$C$4,N(U2168),IF(COUNTIFS(①今日の在庫を貼る!$B$6:$B$10005,$B2169,①今日の在庫を貼る!$I$6:$I$10005,$I2169)&gt;0,N(U2168),N(U2168)+1))</f>
        <v>2</v>
      </c>
    </row>
    <row r="2170" customFormat="false" ht="15" hidden="false" customHeight="false" outlineLevel="0" collapsed="false">
      <c r="B2170" s="53"/>
      <c r="I2170" s="53"/>
      <c r="U2170" s="31" t="n">
        <f aca="false">IF($B2170&lt;&gt;'設定（最初に1回）'!$C$4,N(U2169),IF(COUNTIFS(①今日の在庫を貼る!$B$6:$B$10005,$B2170,①今日の在庫を貼る!$I$6:$I$10005,$I2170)&gt;0,N(U2169),N(U2169)+1))</f>
        <v>2</v>
      </c>
    </row>
    <row r="2171" customFormat="false" ht="15" hidden="false" customHeight="false" outlineLevel="0" collapsed="false">
      <c r="B2171" s="53"/>
      <c r="I2171" s="53"/>
      <c r="U2171" s="31" t="n">
        <f aca="false">IF($B2171&lt;&gt;'設定（最初に1回）'!$C$4,N(U2170),IF(COUNTIFS(①今日の在庫を貼る!$B$6:$B$10005,$B2171,①今日の在庫を貼る!$I$6:$I$10005,$I2171)&gt;0,N(U2170),N(U2170)+1))</f>
        <v>2</v>
      </c>
    </row>
    <row r="2172" customFormat="false" ht="15" hidden="false" customHeight="false" outlineLevel="0" collapsed="false">
      <c r="B2172" s="53"/>
      <c r="I2172" s="53"/>
      <c r="U2172" s="31" t="n">
        <f aca="false">IF($B2172&lt;&gt;'設定（最初に1回）'!$C$4,N(U2171),IF(COUNTIFS(①今日の在庫を貼る!$B$6:$B$10005,$B2172,①今日の在庫を貼る!$I$6:$I$10005,$I2172)&gt;0,N(U2171),N(U2171)+1))</f>
        <v>2</v>
      </c>
    </row>
    <row r="2173" customFormat="false" ht="15" hidden="false" customHeight="false" outlineLevel="0" collapsed="false">
      <c r="B2173" s="53"/>
      <c r="I2173" s="53"/>
      <c r="U2173" s="31" t="n">
        <f aca="false">IF($B2173&lt;&gt;'設定（最初に1回）'!$C$4,N(U2172),IF(COUNTIFS(①今日の在庫を貼る!$B$6:$B$10005,$B2173,①今日の在庫を貼る!$I$6:$I$10005,$I2173)&gt;0,N(U2172),N(U2172)+1))</f>
        <v>2</v>
      </c>
    </row>
    <row r="2174" customFormat="false" ht="15" hidden="false" customHeight="false" outlineLevel="0" collapsed="false">
      <c r="B2174" s="53"/>
      <c r="I2174" s="53"/>
      <c r="U2174" s="31" t="n">
        <f aca="false">IF($B2174&lt;&gt;'設定（最初に1回）'!$C$4,N(U2173),IF(COUNTIFS(①今日の在庫を貼る!$B$6:$B$10005,$B2174,①今日の在庫を貼る!$I$6:$I$10005,$I2174)&gt;0,N(U2173),N(U2173)+1))</f>
        <v>2</v>
      </c>
    </row>
    <row r="2175" customFormat="false" ht="15" hidden="false" customHeight="false" outlineLevel="0" collapsed="false">
      <c r="B2175" s="53"/>
      <c r="I2175" s="53"/>
      <c r="U2175" s="31" t="n">
        <f aca="false">IF($B2175&lt;&gt;'設定（最初に1回）'!$C$4,N(U2174),IF(COUNTIFS(①今日の在庫を貼る!$B$6:$B$10005,$B2175,①今日の在庫を貼る!$I$6:$I$10005,$I2175)&gt;0,N(U2174),N(U2174)+1))</f>
        <v>2</v>
      </c>
    </row>
    <row r="2176" customFormat="false" ht="15" hidden="false" customHeight="false" outlineLevel="0" collapsed="false">
      <c r="B2176" s="53"/>
      <c r="I2176" s="53"/>
      <c r="U2176" s="31" t="n">
        <f aca="false">IF($B2176&lt;&gt;'設定（最初に1回）'!$C$4,N(U2175),IF(COUNTIFS(①今日の在庫を貼る!$B$6:$B$10005,$B2176,①今日の在庫を貼る!$I$6:$I$10005,$I2176)&gt;0,N(U2175),N(U2175)+1))</f>
        <v>2</v>
      </c>
    </row>
    <row r="2177" customFormat="false" ht="15" hidden="false" customHeight="false" outlineLevel="0" collapsed="false">
      <c r="B2177" s="53"/>
      <c r="I2177" s="53"/>
      <c r="U2177" s="31" t="n">
        <f aca="false">IF($B2177&lt;&gt;'設定（最初に1回）'!$C$4,N(U2176),IF(COUNTIFS(①今日の在庫を貼る!$B$6:$B$10005,$B2177,①今日の在庫を貼る!$I$6:$I$10005,$I2177)&gt;0,N(U2176),N(U2176)+1))</f>
        <v>2</v>
      </c>
    </row>
    <row r="2178" customFormat="false" ht="15" hidden="false" customHeight="false" outlineLevel="0" collapsed="false">
      <c r="B2178" s="53"/>
      <c r="I2178" s="53"/>
      <c r="U2178" s="31" t="n">
        <f aca="false">IF($B2178&lt;&gt;'設定（最初に1回）'!$C$4,N(U2177),IF(COUNTIFS(①今日の在庫を貼る!$B$6:$B$10005,$B2178,①今日の在庫を貼る!$I$6:$I$10005,$I2178)&gt;0,N(U2177),N(U2177)+1))</f>
        <v>2</v>
      </c>
    </row>
    <row r="2179" customFormat="false" ht="15" hidden="false" customHeight="false" outlineLevel="0" collapsed="false">
      <c r="B2179" s="53"/>
      <c r="I2179" s="53"/>
      <c r="U2179" s="31" t="n">
        <f aca="false">IF($B2179&lt;&gt;'設定（最初に1回）'!$C$4,N(U2178),IF(COUNTIFS(①今日の在庫を貼る!$B$6:$B$10005,$B2179,①今日の在庫を貼る!$I$6:$I$10005,$I2179)&gt;0,N(U2178),N(U2178)+1))</f>
        <v>2</v>
      </c>
    </row>
    <row r="2180" customFormat="false" ht="15" hidden="false" customHeight="false" outlineLevel="0" collapsed="false">
      <c r="B2180" s="53"/>
      <c r="I2180" s="53"/>
      <c r="U2180" s="31" t="n">
        <f aca="false">IF($B2180&lt;&gt;'設定（最初に1回）'!$C$4,N(U2179),IF(COUNTIFS(①今日の在庫を貼る!$B$6:$B$10005,$B2180,①今日の在庫を貼る!$I$6:$I$10005,$I2180)&gt;0,N(U2179),N(U2179)+1))</f>
        <v>2</v>
      </c>
    </row>
    <row r="2181" customFormat="false" ht="15" hidden="false" customHeight="false" outlineLevel="0" collapsed="false">
      <c r="B2181" s="53"/>
      <c r="I2181" s="53"/>
      <c r="U2181" s="31" t="n">
        <f aca="false">IF($B2181&lt;&gt;'設定（最初に1回）'!$C$4,N(U2180),IF(COUNTIFS(①今日の在庫を貼る!$B$6:$B$10005,$B2181,①今日の在庫を貼る!$I$6:$I$10005,$I2181)&gt;0,N(U2180),N(U2180)+1))</f>
        <v>2</v>
      </c>
    </row>
    <row r="2182" customFormat="false" ht="15" hidden="false" customHeight="false" outlineLevel="0" collapsed="false">
      <c r="B2182" s="53"/>
      <c r="I2182" s="53"/>
      <c r="U2182" s="31" t="n">
        <f aca="false">IF($B2182&lt;&gt;'設定（最初に1回）'!$C$4,N(U2181),IF(COUNTIFS(①今日の在庫を貼る!$B$6:$B$10005,$B2182,①今日の在庫を貼る!$I$6:$I$10005,$I2182)&gt;0,N(U2181),N(U2181)+1))</f>
        <v>2</v>
      </c>
    </row>
    <row r="2183" customFormat="false" ht="15" hidden="false" customHeight="false" outlineLevel="0" collapsed="false">
      <c r="B2183" s="53"/>
      <c r="I2183" s="53"/>
      <c r="U2183" s="31" t="n">
        <f aca="false">IF($B2183&lt;&gt;'設定（最初に1回）'!$C$4,N(U2182),IF(COUNTIFS(①今日の在庫を貼る!$B$6:$B$10005,$B2183,①今日の在庫を貼る!$I$6:$I$10005,$I2183)&gt;0,N(U2182),N(U2182)+1))</f>
        <v>2</v>
      </c>
    </row>
    <row r="2184" customFormat="false" ht="15" hidden="false" customHeight="false" outlineLevel="0" collapsed="false">
      <c r="B2184" s="53"/>
      <c r="I2184" s="53"/>
      <c r="U2184" s="31" t="n">
        <f aca="false">IF($B2184&lt;&gt;'設定（最初に1回）'!$C$4,N(U2183),IF(COUNTIFS(①今日の在庫を貼る!$B$6:$B$10005,$B2184,①今日の在庫を貼る!$I$6:$I$10005,$I2184)&gt;0,N(U2183),N(U2183)+1))</f>
        <v>2</v>
      </c>
    </row>
    <row r="2185" customFormat="false" ht="15" hidden="false" customHeight="false" outlineLevel="0" collapsed="false">
      <c r="B2185" s="53"/>
      <c r="I2185" s="53"/>
      <c r="U2185" s="31" t="n">
        <f aca="false">IF($B2185&lt;&gt;'設定（最初に1回）'!$C$4,N(U2184),IF(COUNTIFS(①今日の在庫を貼る!$B$6:$B$10005,$B2185,①今日の在庫を貼る!$I$6:$I$10005,$I2185)&gt;0,N(U2184),N(U2184)+1))</f>
        <v>2</v>
      </c>
    </row>
    <row r="2186" customFormat="false" ht="15" hidden="false" customHeight="false" outlineLevel="0" collapsed="false">
      <c r="B2186" s="53"/>
      <c r="I2186" s="53"/>
      <c r="U2186" s="31" t="n">
        <f aca="false">IF($B2186&lt;&gt;'設定（最初に1回）'!$C$4,N(U2185),IF(COUNTIFS(①今日の在庫を貼る!$B$6:$B$10005,$B2186,①今日の在庫を貼る!$I$6:$I$10005,$I2186)&gt;0,N(U2185),N(U2185)+1))</f>
        <v>2</v>
      </c>
    </row>
    <row r="2187" customFormat="false" ht="15" hidden="false" customHeight="false" outlineLevel="0" collapsed="false">
      <c r="B2187" s="53"/>
      <c r="I2187" s="53"/>
      <c r="U2187" s="31" t="n">
        <f aca="false">IF($B2187&lt;&gt;'設定（最初に1回）'!$C$4,N(U2186),IF(COUNTIFS(①今日の在庫を貼る!$B$6:$B$10005,$B2187,①今日の在庫を貼る!$I$6:$I$10005,$I2187)&gt;0,N(U2186),N(U2186)+1))</f>
        <v>2</v>
      </c>
    </row>
    <row r="2188" customFormat="false" ht="15" hidden="false" customHeight="false" outlineLevel="0" collapsed="false">
      <c r="B2188" s="53"/>
      <c r="I2188" s="53"/>
      <c r="U2188" s="31" t="n">
        <f aca="false">IF($B2188&lt;&gt;'設定（最初に1回）'!$C$4,N(U2187),IF(COUNTIFS(①今日の在庫を貼る!$B$6:$B$10005,$B2188,①今日の在庫を貼る!$I$6:$I$10005,$I2188)&gt;0,N(U2187),N(U2187)+1))</f>
        <v>2</v>
      </c>
    </row>
    <row r="2189" customFormat="false" ht="15" hidden="false" customHeight="false" outlineLevel="0" collapsed="false">
      <c r="B2189" s="53"/>
      <c r="I2189" s="53"/>
      <c r="U2189" s="31" t="n">
        <f aca="false">IF($B2189&lt;&gt;'設定（最初に1回）'!$C$4,N(U2188),IF(COUNTIFS(①今日の在庫を貼る!$B$6:$B$10005,$B2189,①今日の在庫を貼る!$I$6:$I$10005,$I2189)&gt;0,N(U2188),N(U2188)+1))</f>
        <v>2</v>
      </c>
    </row>
    <row r="2190" customFormat="false" ht="15" hidden="false" customHeight="false" outlineLevel="0" collapsed="false">
      <c r="B2190" s="53"/>
      <c r="I2190" s="53"/>
      <c r="U2190" s="31" t="n">
        <f aca="false">IF($B2190&lt;&gt;'設定（最初に1回）'!$C$4,N(U2189),IF(COUNTIFS(①今日の在庫を貼る!$B$6:$B$10005,$B2190,①今日の在庫を貼る!$I$6:$I$10005,$I2190)&gt;0,N(U2189),N(U2189)+1))</f>
        <v>2</v>
      </c>
    </row>
    <row r="2191" customFormat="false" ht="15" hidden="false" customHeight="false" outlineLevel="0" collapsed="false">
      <c r="B2191" s="53"/>
      <c r="I2191" s="53"/>
      <c r="U2191" s="31" t="n">
        <f aca="false">IF($B2191&lt;&gt;'設定（最初に1回）'!$C$4,N(U2190),IF(COUNTIFS(①今日の在庫を貼る!$B$6:$B$10005,$B2191,①今日の在庫を貼る!$I$6:$I$10005,$I2191)&gt;0,N(U2190),N(U2190)+1))</f>
        <v>2</v>
      </c>
    </row>
    <row r="2192" customFormat="false" ht="15" hidden="false" customHeight="false" outlineLevel="0" collapsed="false">
      <c r="B2192" s="53"/>
      <c r="I2192" s="53"/>
      <c r="U2192" s="31" t="n">
        <f aca="false">IF($B2192&lt;&gt;'設定（最初に1回）'!$C$4,N(U2191),IF(COUNTIFS(①今日の在庫を貼る!$B$6:$B$10005,$B2192,①今日の在庫を貼る!$I$6:$I$10005,$I2192)&gt;0,N(U2191),N(U2191)+1))</f>
        <v>2</v>
      </c>
    </row>
    <row r="2193" customFormat="false" ht="15" hidden="false" customHeight="false" outlineLevel="0" collapsed="false">
      <c r="B2193" s="53"/>
      <c r="I2193" s="53"/>
      <c r="U2193" s="31" t="n">
        <f aca="false">IF($B2193&lt;&gt;'設定（最初に1回）'!$C$4,N(U2192),IF(COUNTIFS(①今日の在庫を貼る!$B$6:$B$10005,$B2193,①今日の在庫を貼る!$I$6:$I$10005,$I2193)&gt;0,N(U2192),N(U2192)+1))</f>
        <v>2</v>
      </c>
    </row>
    <row r="2194" customFormat="false" ht="15" hidden="false" customHeight="false" outlineLevel="0" collapsed="false">
      <c r="B2194" s="53"/>
      <c r="I2194" s="53"/>
      <c r="U2194" s="31" t="n">
        <f aca="false">IF($B2194&lt;&gt;'設定（最初に1回）'!$C$4,N(U2193),IF(COUNTIFS(①今日の在庫を貼る!$B$6:$B$10005,$B2194,①今日の在庫を貼る!$I$6:$I$10005,$I2194)&gt;0,N(U2193),N(U2193)+1))</f>
        <v>2</v>
      </c>
    </row>
    <row r="2195" customFormat="false" ht="15" hidden="false" customHeight="false" outlineLevel="0" collapsed="false">
      <c r="B2195" s="53"/>
      <c r="I2195" s="53"/>
      <c r="U2195" s="31" t="n">
        <f aca="false">IF($B2195&lt;&gt;'設定（最初に1回）'!$C$4,N(U2194),IF(COUNTIFS(①今日の在庫を貼る!$B$6:$B$10005,$B2195,①今日の在庫を貼る!$I$6:$I$10005,$I2195)&gt;0,N(U2194),N(U2194)+1))</f>
        <v>2</v>
      </c>
    </row>
    <row r="2196" customFormat="false" ht="15" hidden="false" customHeight="false" outlineLevel="0" collapsed="false">
      <c r="B2196" s="53"/>
      <c r="I2196" s="53"/>
      <c r="U2196" s="31" t="n">
        <f aca="false">IF($B2196&lt;&gt;'設定（最初に1回）'!$C$4,N(U2195),IF(COUNTIFS(①今日の在庫を貼る!$B$6:$B$10005,$B2196,①今日の在庫を貼る!$I$6:$I$10005,$I2196)&gt;0,N(U2195),N(U2195)+1))</f>
        <v>2</v>
      </c>
    </row>
    <row r="2197" customFormat="false" ht="15" hidden="false" customHeight="false" outlineLevel="0" collapsed="false">
      <c r="B2197" s="53"/>
      <c r="I2197" s="53"/>
      <c r="U2197" s="31" t="n">
        <f aca="false">IF($B2197&lt;&gt;'設定（最初に1回）'!$C$4,N(U2196),IF(COUNTIFS(①今日の在庫を貼る!$B$6:$B$10005,$B2197,①今日の在庫を貼る!$I$6:$I$10005,$I2197)&gt;0,N(U2196),N(U2196)+1))</f>
        <v>2</v>
      </c>
    </row>
    <row r="2198" customFormat="false" ht="15" hidden="false" customHeight="false" outlineLevel="0" collapsed="false">
      <c r="B2198" s="53"/>
      <c r="I2198" s="53"/>
      <c r="U2198" s="31" t="n">
        <f aca="false">IF($B2198&lt;&gt;'設定（最初に1回）'!$C$4,N(U2197),IF(COUNTIFS(①今日の在庫を貼る!$B$6:$B$10005,$B2198,①今日の在庫を貼る!$I$6:$I$10005,$I2198)&gt;0,N(U2197),N(U2197)+1))</f>
        <v>2</v>
      </c>
    </row>
    <row r="2199" customFormat="false" ht="15" hidden="false" customHeight="false" outlineLevel="0" collapsed="false">
      <c r="B2199" s="53"/>
      <c r="I2199" s="53"/>
      <c r="U2199" s="31" t="n">
        <f aca="false">IF($B2199&lt;&gt;'設定（最初に1回）'!$C$4,N(U2198),IF(COUNTIFS(①今日の在庫を貼る!$B$6:$B$10005,$B2199,①今日の在庫を貼る!$I$6:$I$10005,$I2199)&gt;0,N(U2198),N(U2198)+1))</f>
        <v>2</v>
      </c>
    </row>
    <row r="2200" customFormat="false" ht="15" hidden="false" customHeight="false" outlineLevel="0" collapsed="false">
      <c r="B2200" s="53"/>
      <c r="I2200" s="53"/>
      <c r="U2200" s="31" t="n">
        <f aca="false">IF($B2200&lt;&gt;'設定（最初に1回）'!$C$4,N(U2199),IF(COUNTIFS(①今日の在庫を貼る!$B$6:$B$10005,$B2200,①今日の在庫を貼る!$I$6:$I$10005,$I2200)&gt;0,N(U2199),N(U2199)+1))</f>
        <v>2</v>
      </c>
    </row>
    <row r="2201" customFormat="false" ht="15" hidden="false" customHeight="false" outlineLevel="0" collapsed="false">
      <c r="B2201" s="53"/>
      <c r="I2201" s="53"/>
      <c r="U2201" s="31" t="n">
        <f aca="false">IF($B2201&lt;&gt;'設定（最初に1回）'!$C$4,N(U2200),IF(COUNTIFS(①今日の在庫を貼る!$B$6:$B$10005,$B2201,①今日の在庫を貼る!$I$6:$I$10005,$I2201)&gt;0,N(U2200),N(U2200)+1))</f>
        <v>2</v>
      </c>
    </row>
    <row r="2202" customFormat="false" ht="15" hidden="false" customHeight="false" outlineLevel="0" collapsed="false">
      <c r="B2202" s="53"/>
      <c r="I2202" s="53"/>
      <c r="U2202" s="31" t="n">
        <f aca="false">IF($B2202&lt;&gt;'設定（最初に1回）'!$C$4,N(U2201),IF(COUNTIFS(①今日の在庫を貼る!$B$6:$B$10005,$B2202,①今日の在庫を貼る!$I$6:$I$10005,$I2202)&gt;0,N(U2201),N(U2201)+1))</f>
        <v>2</v>
      </c>
    </row>
    <row r="2203" customFormat="false" ht="15" hidden="false" customHeight="false" outlineLevel="0" collapsed="false">
      <c r="B2203" s="53"/>
      <c r="I2203" s="53"/>
      <c r="U2203" s="31" t="n">
        <f aca="false">IF($B2203&lt;&gt;'設定（最初に1回）'!$C$4,N(U2202),IF(COUNTIFS(①今日の在庫を貼る!$B$6:$B$10005,$B2203,①今日の在庫を貼る!$I$6:$I$10005,$I2203)&gt;0,N(U2202),N(U2202)+1))</f>
        <v>2</v>
      </c>
    </row>
    <row r="2204" customFormat="false" ht="15" hidden="false" customHeight="false" outlineLevel="0" collapsed="false">
      <c r="B2204" s="53"/>
      <c r="I2204" s="53"/>
      <c r="U2204" s="31" t="n">
        <f aca="false">IF($B2204&lt;&gt;'設定（最初に1回）'!$C$4,N(U2203),IF(COUNTIFS(①今日の在庫を貼る!$B$6:$B$10005,$B2204,①今日の在庫を貼る!$I$6:$I$10005,$I2204)&gt;0,N(U2203),N(U2203)+1))</f>
        <v>2</v>
      </c>
    </row>
    <row r="2205" customFormat="false" ht="15" hidden="false" customHeight="false" outlineLevel="0" collapsed="false">
      <c r="B2205" s="53"/>
      <c r="I2205" s="53"/>
      <c r="U2205" s="31" t="n">
        <f aca="false">IF($B2205&lt;&gt;'設定（最初に1回）'!$C$4,N(U2204),IF(COUNTIFS(①今日の在庫を貼る!$B$6:$B$10005,$B2205,①今日の在庫を貼る!$I$6:$I$10005,$I2205)&gt;0,N(U2204),N(U2204)+1))</f>
        <v>2</v>
      </c>
    </row>
    <row r="2206" customFormat="false" ht="15" hidden="false" customHeight="false" outlineLevel="0" collapsed="false">
      <c r="B2206" s="53"/>
      <c r="I2206" s="53"/>
      <c r="U2206" s="31" t="n">
        <f aca="false">IF($B2206&lt;&gt;'設定（最初に1回）'!$C$4,N(U2205),IF(COUNTIFS(①今日の在庫を貼る!$B$6:$B$10005,$B2206,①今日の在庫を貼る!$I$6:$I$10005,$I2206)&gt;0,N(U2205),N(U2205)+1))</f>
        <v>2</v>
      </c>
    </row>
    <row r="2207" customFormat="false" ht="15" hidden="false" customHeight="false" outlineLevel="0" collapsed="false">
      <c r="B2207" s="53"/>
      <c r="I2207" s="53"/>
      <c r="U2207" s="31" t="n">
        <f aca="false">IF($B2207&lt;&gt;'設定（最初に1回）'!$C$4,N(U2206),IF(COUNTIFS(①今日の在庫を貼る!$B$6:$B$10005,$B2207,①今日の在庫を貼る!$I$6:$I$10005,$I2207)&gt;0,N(U2206),N(U2206)+1))</f>
        <v>2</v>
      </c>
    </row>
    <row r="2208" customFormat="false" ht="15" hidden="false" customHeight="false" outlineLevel="0" collapsed="false">
      <c r="B2208" s="53"/>
      <c r="I2208" s="53"/>
      <c r="U2208" s="31" t="n">
        <f aca="false">IF($B2208&lt;&gt;'設定（最初に1回）'!$C$4,N(U2207),IF(COUNTIFS(①今日の在庫を貼る!$B$6:$B$10005,$B2208,①今日の在庫を貼る!$I$6:$I$10005,$I2208)&gt;0,N(U2207),N(U2207)+1))</f>
        <v>2</v>
      </c>
    </row>
    <row r="2209" customFormat="false" ht="15" hidden="false" customHeight="false" outlineLevel="0" collapsed="false">
      <c r="B2209" s="53"/>
      <c r="I2209" s="53"/>
      <c r="U2209" s="31" t="n">
        <f aca="false">IF($B2209&lt;&gt;'設定（最初に1回）'!$C$4,N(U2208),IF(COUNTIFS(①今日の在庫を貼る!$B$6:$B$10005,$B2209,①今日の在庫を貼る!$I$6:$I$10005,$I2209)&gt;0,N(U2208),N(U2208)+1))</f>
        <v>2</v>
      </c>
    </row>
    <row r="2210" customFormat="false" ht="15" hidden="false" customHeight="false" outlineLevel="0" collapsed="false">
      <c r="B2210" s="53"/>
      <c r="I2210" s="53"/>
      <c r="U2210" s="31" t="n">
        <f aca="false">IF($B2210&lt;&gt;'設定（最初に1回）'!$C$4,N(U2209),IF(COUNTIFS(①今日の在庫を貼る!$B$6:$B$10005,$B2210,①今日の在庫を貼る!$I$6:$I$10005,$I2210)&gt;0,N(U2209),N(U2209)+1))</f>
        <v>2</v>
      </c>
    </row>
    <row r="2211" customFormat="false" ht="15" hidden="false" customHeight="false" outlineLevel="0" collapsed="false">
      <c r="B2211" s="53"/>
      <c r="I2211" s="53"/>
      <c r="U2211" s="31" t="n">
        <f aca="false">IF($B2211&lt;&gt;'設定（最初に1回）'!$C$4,N(U2210),IF(COUNTIFS(①今日の在庫を貼る!$B$6:$B$10005,$B2211,①今日の在庫を貼る!$I$6:$I$10005,$I2211)&gt;0,N(U2210),N(U2210)+1))</f>
        <v>2</v>
      </c>
    </row>
    <row r="2212" customFormat="false" ht="15" hidden="false" customHeight="false" outlineLevel="0" collapsed="false">
      <c r="B2212" s="53"/>
      <c r="I2212" s="53"/>
      <c r="U2212" s="31" t="n">
        <f aca="false">IF($B2212&lt;&gt;'設定（最初に1回）'!$C$4,N(U2211),IF(COUNTIFS(①今日の在庫を貼る!$B$6:$B$10005,$B2212,①今日の在庫を貼る!$I$6:$I$10005,$I2212)&gt;0,N(U2211),N(U2211)+1))</f>
        <v>2</v>
      </c>
    </row>
    <row r="2213" customFormat="false" ht="15" hidden="false" customHeight="false" outlineLevel="0" collapsed="false">
      <c r="B2213" s="53"/>
      <c r="I2213" s="53"/>
      <c r="U2213" s="31" t="n">
        <f aca="false">IF($B2213&lt;&gt;'設定（最初に1回）'!$C$4,N(U2212),IF(COUNTIFS(①今日の在庫を貼る!$B$6:$B$10005,$B2213,①今日の在庫を貼る!$I$6:$I$10005,$I2213)&gt;0,N(U2212),N(U2212)+1))</f>
        <v>2</v>
      </c>
    </row>
    <row r="2214" customFormat="false" ht="15" hidden="false" customHeight="false" outlineLevel="0" collapsed="false">
      <c r="B2214" s="53"/>
      <c r="I2214" s="53"/>
      <c r="U2214" s="31" t="n">
        <f aca="false">IF($B2214&lt;&gt;'設定（最初に1回）'!$C$4,N(U2213),IF(COUNTIFS(①今日の在庫を貼る!$B$6:$B$10005,$B2214,①今日の在庫を貼る!$I$6:$I$10005,$I2214)&gt;0,N(U2213),N(U2213)+1))</f>
        <v>2</v>
      </c>
    </row>
    <row r="2215" customFormat="false" ht="15" hidden="false" customHeight="false" outlineLevel="0" collapsed="false">
      <c r="B2215" s="53"/>
      <c r="I2215" s="53"/>
      <c r="U2215" s="31" t="n">
        <f aca="false">IF($B2215&lt;&gt;'設定（最初に1回）'!$C$4,N(U2214),IF(COUNTIFS(①今日の在庫を貼る!$B$6:$B$10005,$B2215,①今日の在庫を貼る!$I$6:$I$10005,$I2215)&gt;0,N(U2214),N(U2214)+1))</f>
        <v>2</v>
      </c>
    </row>
    <row r="2216" customFormat="false" ht="15" hidden="false" customHeight="false" outlineLevel="0" collapsed="false">
      <c r="B2216" s="53"/>
      <c r="I2216" s="53"/>
      <c r="U2216" s="31" t="n">
        <f aca="false">IF($B2216&lt;&gt;'設定（最初に1回）'!$C$4,N(U2215),IF(COUNTIFS(①今日の在庫を貼る!$B$6:$B$10005,$B2216,①今日の在庫を貼る!$I$6:$I$10005,$I2216)&gt;0,N(U2215),N(U2215)+1))</f>
        <v>2</v>
      </c>
    </row>
    <row r="2217" customFormat="false" ht="15" hidden="false" customHeight="false" outlineLevel="0" collapsed="false">
      <c r="B2217" s="53"/>
      <c r="I2217" s="53"/>
      <c r="U2217" s="31" t="n">
        <f aca="false">IF($B2217&lt;&gt;'設定（最初に1回）'!$C$4,N(U2216),IF(COUNTIFS(①今日の在庫を貼る!$B$6:$B$10005,$B2217,①今日の在庫を貼る!$I$6:$I$10005,$I2217)&gt;0,N(U2216),N(U2216)+1))</f>
        <v>2</v>
      </c>
    </row>
    <row r="2218" customFormat="false" ht="15" hidden="false" customHeight="false" outlineLevel="0" collapsed="false">
      <c r="B2218" s="53"/>
      <c r="I2218" s="53"/>
      <c r="U2218" s="31" t="n">
        <f aca="false">IF($B2218&lt;&gt;'設定（最初に1回）'!$C$4,N(U2217),IF(COUNTIFS(①今日の在庫を貼る!$B$6:$B$10005,$B2218,①今日の在庫を貼る!$I$6:$I$10005,$I2218)&gt;0,N(U2217),N(U2217)+1))</f>
        <v>2</v>
      </c>
    </row>
    <row r="2219" customFormat="false" ht="15" hidden="false" customHeight="false" outlineLevel="0" collapsed="false">
      <c r="B2219" s="53"/>
      <c r="I2219" s="53"/>
      <c r="U2219" s="31" t="n">
        <f aca="false">IF($B2219&lt;&gt;'設定（最初に1回）'!$C$4,N(U2218),IF(COUNTIFS(①今日の在庫を貼る!$B$6:$B$10005,$B2219,①今日の在庫を貼る!$I$6:$I$10005,$I2219)&gt;0,N(U2218),N(U2218)+1))</f>
        <v>2</v>
      </c>
    </row>
    <row r="2220" customFormat="false" ht="15" hidden="false" customHeight="false" outlineLevel="0" collapsed="false">
      <c r="B2220" s="53"/>
      <c r="I2220" s="53"/>
      <c r="U2220" s="31" t="n">
        <f aca="false">IF($B2220&lt;&gt;'設定（最初に1回）'!$C$4,N(U2219),IF(COUNTIFS(①今日の在庫を貼る!$B$6:$B$10005,$B2220,①今日の在庫を貼る!$I$6:$I$10005,$I2220)&gt;0,N(U2219),N(U2219)+1))</f>
        <v>2</v>
      </c>
    </row>
    <row r="2221" customFormat="false" ht="15" hidden="false" customHeight="false" outlineLevel="0" collapsed="false">
      <c r="B2221" s="53"/>
      <c r="I2221" s="53"/>
      <c r="U2221" s="31" t="n">
        <f aca="false">IF($B2221&lt;&gt;'設定（最初に1回）'!$C$4,N(U2220),IF(COUNTIFS(①今日の在庫を貼る!$B$6:$B$10005,$B2221,①今日の在庫を貼る!$I$6:$I$10005,$I2221)&gt;0,N(U2220),N(U2220)+1))</f>
        <v>2</v>
      </c>
    </row>
    <row r="2222" customFormat="false" ht="15" hidden="false" customHeight="false" outlineLevel="0" collapsed="false">
      <c r="B2222" s="53"/>
      <c r="I2222" s="53"/>
      <c r="U2222" s="31" t="n">
        <f aca="false">IF($B2222&lt;&gt;'設定（最初に1回）'!$C$4,N(U2221),IF(COUNTIFS(①今日の在庫を貼る!$B$6:$B$10005,$B2222,①今日の在庫を貼る!$I$6:$I$10005,$I2222)&gt;0,N(U2221),N(U2221)+1))</f>
        <v>2</v>
      </c>
    </row>
    <row r="2223" customFormat="false" ht="15" hidden="false" customHeight="false" outlineLevel="0" collapsed="false">
      <c r="B2223" s="53"/>
      <c r="I2223" s="53"/>
      <c r="U2223" s="31" t="n">
        <f aca="false">IF($B2223&lt;&gt;'設定（最初に1回）'!$C$4,N(U2222),IF(COUNTIFS(①今日の在庫を貼る!$B$6:$B$10005,$B2223,①今日の在庫を貼る!$I$6:$I$10005,$I2223)&gt;0,N(U2222),N(U2222)+1))</f>
        <v>2</v>
      </c>
    </row>
    <row r="2224" customFormat="false" ht="15" hidden="false" customHeight="false" outlineLevel="0" collapsed="false">
      <c r="B2224" s="53"/>
      <c r="I2224" s="53"/>
      <c r="U2224" s="31" t="n">
        <f aca="false">IF($B2224&lt;&gt;'設定（最初に1回）'!$C$4,N(U2223),IF(COUNTIFS(①今日の在庫を貼る!$B$6:$B$10005,$B2224,①今日の在庫を貼る!$I$6:$I$10005,$I2224)&gt;0,N(U2223),N(U2223)+1))</f>
        <v>2</v>
      </c>
    </row>
    <row r="2225" customFormat="false" ht="15" hidden="false" customHeight="false" outlineLevel="0" collapsed="false">
      <c r="B2225" s="53"/>
      <c r="I2225" s="53"/>
      <c r="U2225" s="31" t="n">
        <f aca="false">IF($B2225&lt;&gt;'設定（最初に1回）'!$C$4,N(U2224),IF(COUNTIFS(①今日の在庫を貼る!$B$6:$B$10005,$B2225,①今日の在庫を貼る!$I$6:$I$10005,$I2225)&gt;0,N(U2224),N(U2224)+1))</f>
        <v>2</v>
      </c>
    </row>
    <row r="2226" customFormat="false" ht="15" hidden="false" customHeight="false" outlineLevel="0" collapsed="false">
      <c r="B2226" s="53"/>
      <c r="I2226" s="53"/>
      <c r="U2226" s="31" t="n">
        <f aca="false">IF($B2226&lt;&gt;'設定（最初に1回）'!$C$4,N(U2225),IF(COUNTIFS(①今日の在庫を貼る!$B$6:$B$10005,$B2226,①今日の在庫を貼る!$I$6:$I$10005,$I2226)&gt;0,N(U2225),N(U2225)+1))</f>
        <v>2</v>
      </c>
    </row>
    <row r="2227" customFormat="false" ht="15" hidden="false" customHeight="false" outlineLevel="0" collapsed="false">
      <c r="B2227" s="53"/>
      <c r="I2227" s="53"/>
      <c r="U2227" s="31" t="n">
        <f aca="false">IF($B2227&lt;&gt;'設定（最初に1回）'!$C$4,N(U2226),IF(COUNTIFS(①今日の在庫を貼る!$B$6:$B$10005,$B2227,①今日の在庫を貼る!$I$6:$I$10005,$I2227)&gt;0,N(U2226),N(U2226)+1))</f>
        <v>2</v>
      </c>
    </row>
    <row r="2228" customFormat="false" ht="15" hidden="false" customHeight="false" outlineLevel="0" collapsed="false">
      <c r="B2228" s="53"/>
      <c r="I2228" s="53"/>
      <c r="U2228" s="31" t="n">
        <f aca="false">IF($B2228&lt;&gt;'設定（最初に1回）'!$C$4,N(U2227),IF(COUNTIFS(①今日の在庫を貼る!$B$6:$B$10005,$B2228,①今日の在庫を貼る!$I$6:$I$10005,$I2228)&gt;0,N(U2227),N(U2227)+1))</f>
        <v>2</v>
      </c>
    </row>
    <row r="2229" customFormat="false" ht="15" hidden="false" customHeight="false" outlineLevel="0" collapsed="false">
      <c r="B2229" s="53"/>
      <c r="I2229" s="53"/>
      <c r="U2229" s="31" t="n">
        <f aca="false">IF($B2229&lt;&gt;'設定（最初に1回）'!$C$4,N(U2228),IF(COUNTIFS(①今日の在庫を貼る!$B$6:$B$10005,$B2229,①今日の在庫を貼る!$I$6:$I$10005,$I2229)&gt;0,N(U2228),N(U2228)+1))</f>
        <v>2</v>
      </c>
    </row>
    <row r="2230" customFormat="false" ht="15" hidden="false" customHeight="false" outlineLevel="0" collapsed="false">
      <c r="B2230" s="53"/>
      <c r="I2230" s="53"/>
      <c r="U2230" s="31" t="n">
        <f aca="false">IF($B2230&lt;&gt;'設定（最初に1回）'!$C$4,N(U2229),IF(COUNTIFS(①今日の在庫を貼る!$B$6:$B$10005,$B2230,①今日の在庫を貼る!$I$6:$I$10005,$I2230)&gt;0,N(U2229),N(U2229)+1))</f>
        <v>2</v>
      </c>
    </row>
    <row r="2231" customFormat="false" ht="15" hidden="false" customHeight="false" outlineLevel="0" collapsed="false">
      <c r="B2231" s="53"/>
      <c r="I2231" s="53"/>
      <c r="U2231" s="31" t="n">
        <f aca="false">IF($B2231&lt;&gt;'設定（最初に1回）'!$C$4,N(U2230),IF(COUNTIFS(①今日の在庫を貼る!$B$6:$B$10005,$B2231,①今日の在庫を貼る!$I$6:$I$10005,$I2231)&gt;0,N(U2230),N(U2230)+1))</f>
        <v>2</v>
      </c>
    </row>
    <row r="2232" customFormat="false" ht="15" hidden="false" customHeight="false" outlineLevel="0" collapsed="false">
      <c r="B2232" s="53"/>
      <c r="I2232" s="53"/>
      <c r="U2232" s="31" t="n">
        <f aca="false">IF($B2232&lt;&gt;'設定（最初に1回）'!$C$4,N(U2231),IF(COUNTIFS(①今日の在庫を貼る!$B$6:$B$10005,$B2232,①今日の在庫を貼る!$I$6:$I$10005,$I2232)&gt;0,N(U2231),N(U2231)+1))</f>
        <v>2</v>
      </c>
    </row>
    <row r="2233" customFormat="false" ht="15" hidden="false" customHeight="false" outlineLevel="0" collapsed="false">
      <c r="B2233" s="53"/>
      <c r="I2233" s="53"/>
      <c r="U2233" s="31" t="n">
        <f aca="false">IF($B2233&lt;&gt;'設定（最初に1回）'!$C$4,N(U2232),IF(COUNTIFS(①今日の在庫を貼る!$B$6:$B$10005,$B2233,①今日の在庫を貼る!$I$6:$I$10005,$I2233)&gt;0,N(U2232),N(U2232)+1))</f>
        <v>2</v>
      </c>
    </row>
    <row r="2234" customFormat="false" ht="15" hidden="false" customHeight="false" outlineLevel="0" collapsed="false">
      <c r="B2234" s="53"/>
      <c r="I2234" s="53"/>
      <c r="U2234" s="31" t="n">
        <f aca="false">IF($B2234&lt;&gt;'設定（最初に1回）'!$C$4,N(U2233),IF(COUNTIFS(①今日の在庫を貼る!$B$6:$B$10005,$B2234,①今日の在庫を貼る!$I$6:$I$10005,$I2234)&gt;0,N(U2233),N(U2233)+1))</f>
        <v>2</v>
      </c>
    </row>
    <row r="2235" customFormat="false" ht="15" hidden="false" customHeight="false" outlineLevel="0" collapsed="false">
      <c r="B2235" s="53"/>
      <c r="I2235" s="53"/>
      <c r="U2235" s="31" t="n">
        <f aca="false">IF($B2235&lt;&gt;'設定（最初に1回）'!$C$4,N(U2234),IF(COUNTIFS(①今日の在庫を貼る!$B$6:$B$10005,$B2235,①今日の在庫を貼る!$I$6:$I$10005,$I2235)&gt;0,N(U2234),N(U2234)+1))</f>
        <v>2</v>
      </c>
    </row>
    <row r="2236" customFormat="false" ht="15" hidden="false" customHeight="false" outlineLevel="0" collapsed="false">
      <c r="B2236" s="53"/>
      <c r="I2236" s="53"/>
      <c r="U2236" s="31" t="n">
        <f aca="false">IF($B2236&lt;&gt;'設定（最初に1回）'!$C$4,N(U2235),IF(COUNTIFS(①今日の在庫を貼る!$B$6:$B$10005,$B2236,①今日の在庫を貼る!$I$6:$I$10005,$I2236)&gt;0,N(U2235),N(U2235)+1))</f>
        <v>2</v>
      </c>
    </row>
    <row r="2237" customFormat="false" ht="15" hidden="false" customHeight="false" outlineLevel="0" collapsed="false">
      <c r="B2237" s="53"/>
      <c r="I2237" s="53"/>
      <c r="U2237" s="31" t="n">
        <f aca="false">IF($B2237&lt;&gt;'設定（最初に1回）'!$C$4,N(U2236),IF(COUNTIFS(①今日の在庫を貼る!$B$6:$B$10005,$B2237,①今日の在庫を貼る!$I$6:$I$10005,$I2237)&gt;0,N(U2236),N(U2236)+1))</f>
        <v>2</v>
      </c>
    </row>
    <row r="2238" customFormat="false" ht="15" hidden="false" customHeight="false" outlineLevel="0" collapsed="false">
      <c r="B2238" s="53"/>
      <c r="I2238" s="53"/>
      <c r="U2238" s="31" t="n">
        <f aca="false">IF($B2238&lt;&gt;'設定（最初に1回）'!$C$4,N(U2237),IF(COUNTIFS(①今日の在庫を貼る!$B$6:$B$10005,$B2238,①今日の在庫を貼る!$I$6:$I$10005,$I2238)&gt;0,N(U2237),N(U2237)+1))</f>
        <v>2</v>
      </c>
    </row>
    <row r="2239" customFormat="false" ht="15" hidden="false" customHeight="false" outlineLevel="0" collapsed="false">
      <c r="B2239" s="53"/>
      <c r="I2239" s="53"/>
      <c r="U2239" s="31" t="n">
        <f aca="false">IF($B2239&lt;&gt;'設定（最初に1回）'!$C$4,N(U2238),IF(COUNTIFS(①今日の在庫を貼る!$B$6:$B$10005,$B2239,①今日の在庫を貼る!$I$6:$I$10005,$I2239)&gt;0,N(U2238),N(U2238)+1))</f>
        <v>2</v>
      </c>
    </row>
    <row r="2240" customFormat="false" ht="15" hidden="false" customHeight="false" outlineLevel="0" collapsed="false">
      <c r="B2240" s="53"/>
      <c r="I2240" s="53"/>
      <c r="U2240" s="31" t="n">
        <f aca="false">IF($B2240&lt;&gt;'設定（最初に1回）'!$C$4,N(U2239),IF(COUNTIFS(①今日の在庫を貼る!$B$6:$B$10005,$B2240,①今日の在庫を貼る!$I$6:$I$10005,$I2240)&gt;0,N(U2239),N(U2239)+1))</f>
        <v>2</v>
      </c>
    </row>
    <row r="2241" customFormat="false" ht="15" hidden="false" customHeight="false" outlineLevel="0" collapsed="false">
      <c r="B2241" s="53"/>
      <c r="I2241" s="53"/>
      <c r="U2241" s="31" t="n">
        <f aca="false">IF($B2241&lt;&gt;'設定（最初に1回）'!$C$4,N(U2240),IF(COUNTIFS(①今日の在庫を貼る!$B$6:$B$10005,$B2241,①今日の在庫を貼る!$I$6:$I$10005,$I2241)&gt;0,N(U2240),N(U2240)+1))</f>
        <v>2</v>
      </c>
    </row>
    <row r="2242" customFormat="false" ht="15" hidden="false" customHeight="false" outlineLevel="0" collapsed="false">
      <c r="B2242" s="53"/>
      <c r="I2242" s="53"/>
      <c r="U2242" s="31" t="n">
        <f aca="false">IF($B2242&lt;&gt;'設定（最初に1回）'!$C$4,N(U2241),IF(COUNTIFS(①今日の在庫を貼る!$B$6:$B$10005,$B2242,①今日の在庫を貼る!$I$6:$I$10005,$I2242)&gt;0,N(U2241),N(U2241)+1))</f>
        <v>2</v>
      </c>
    </row>
    <row r="2243" customFormat="false" ht="15" hidden="false" customHeight="false" outlineLevel="0" collapsed="false">
      <c r="B2243" s="53"/>
      <c r="I2243" s="53"/>
      <c r="U2243" s="31" t="n">
        <f aca="false">IF($B2243&lt;&gt;'設定（最初に1回）'!$C$4,N(U2242),IF(COUNTIFS(①今日の在庫を貼る!$B$6:$B$10005,$B2243,①今日の在庫を貼る!$I$6:$I$10005,$I2243)&gt;0,N(U2242),N(U2242)+1))</f>
        <v>2</v>
      </c>
    </row>
    <row r="2244" customFormat="false" ht="15" hidden="false" customHeight="false" outlineLevel="0" collapsed="false">
      <c r="B2244" s="53"/>
      <c r="I2244" s="53"/>
      <c r="U2244" s="31" t="n">
        <f aca="false">IF($B2244&lt;&gt;'設定（最初に1回）'!$C$4,N(U2243),IF(COUNTIFS(①今日の在庫を貼る!$B$6:$B$10005,$B2244,①今日の在庫を貼る!$I$6:$I$10005,$I2244)&gt;0,N(U2243),N(U2243)+1))</f>
        <v>2</v>
      </c>
    </row>
    <row r="2245" customFormat="false" ht="15" hidden="false" customHeight="false" outlineLevel="0" collapsed="false">
      <c r="B2245" s="53"/>
      <c r="I2245" s="53"/>
      <c r="U2245" s="31" t="n">
        <f aca="false">IF($B2245&lt;&gt;'設定（最初に1回）'!$C$4,N(U2244),IF(COUNTIFS(①今日の在庫を貼る!$B$6:$B$10005,$B2245,①今日の在庫を貼る!$I$6:$I$10005,$I2245)&gt;0,N(U2244),N(U2244)+1))</f>
        <v>2</v>
      </c>
    </row>
    <row r="2246" customFormat="false" ht="15" hidden="false" customHeight="false" outlineLevel="0" collapsed="false">
      <c r="B2246" s="53"/>
      <c r="I2246" s="53"/>
      <c r="U2246" s="31" t="n">
        <f aca="false">IF($B2246&lt;&gt;'設定（最初に1回）'!$C$4,N(U2245),IF(COUNTIFS(①今日の在庫を貼る!$B$6:$B$10005,$B2246,①今日の在庫を貼る!$I$6:$I$10005,$I2246)&gt;0,N(U2245),N(U2245)+1))</f>
        <v>2</v>
      </c>
    </row>
    <row r="2247" customFormat="false" ht="15" hidden="false" customHeight="false" outlineLevel="0" collapsed="false">
      <c r="B2247" s="53"/>
      <c r="I2247" s="53"/>
      <c r="U2247" s="31" t="n">
        <f aca="false">IF($B2247&lt;&gt;'設定（最初に1回）'!$C$4,N(U2246),IF(COUNTIFS(①今日の在庫を貼る!$B$6:$B$10005,$B2247,①今日の在庫を貼る!$I$6:$I$10005,$I2247)&gt;0,N(U2246),N(U2246)+1))</f>
        <v>2</v>
      </c>
    </row>
    <row r="2248" customFormat="false" ht="15" hidden="false" customHeight="false" outlineLevel="0" collapsed="false">
      <c r="B2248" s="53"/>
      <c r="I2248" s="53"/>
      <c r="U2248" s="31" t="n">
        <f aca="false">IF($B2248&lt;&gt;'設定（最初に1回）'!$C$4,N(U2247),IF(COUNTIFS(①今日の在庫を貼る!$B$6:$B$10005,$B2248,①今日の在庫を貼る!$I$6:$I$10005,$I2248)&gt;0,N(U2247),N(U2247)+1))</f>
        <v>2</v>
      </c>
    </row>
    <row r="2249" customFormat="false" ht="15" hidden="false" customHeight="false" outlineLevel="0" collapsed="false">
      <c r="B2249" s="53"/>
      <c r="I2249" s="53"/>
      <c r="U2249" s="31" t="n">
        <f aca="false">IF($B2249&lt;&gt;'設定（最初に1回）'!$C$4,N(U2248),IF(COUNTIFS(①今日の在庫を貼る!$B$6:$B$10005,$B2249,①今日の在庫を貼る!$I$6:$I$10005,$I2249)&gt;0,N(U2248),N(U2248)+1))</f>
        <v>2</v>
      </c>
    </row>
    <row r="2250" customFormat="false" ht="15" hidden="false" customHeight="false" outlineLevel="0" collapsed="false">
      <c r="B2250" s="53"/>
      <c r="I2250" s="53"/>
      <c r="U2250" s="31" t="n">
        <f aca="false">IF($B2250&lt;&gt;'設定（最初に1回）'!$C$4,N(U2249),IF(COUNTIFS(①今日の在庫を貼る!$B$6:$B$10005,$B2250,①今日の在庫を貼る!$I$6:$I$10005,$I2250)&gt;0,N(U2249),N(U2249)+1))</f>
        <v>2</v>
      </c>
    </row>
    <row r="2251" customFormat="false" ht="15" hidden="false" customHeight="false" outlineLevel="0" collapsed="false">
      <c r="B2251" s="53"/>
      <c r="I2251" s="53"/>
      <c r="U2251" s="31" t="n">
        <f aca="false">IF($B2251&lt;&gt;'設定（最初に1回）'!$C$4,N(U2250),IF(COUNTIFS(①今日の在庫を貼る!$B$6:$B$10005,$B2251,①今日の在庫を貼る!$I$6:$I$10005,$I2251)&gt;0,N(U2250),N(U2250)+1))</f>
        <v>2</v>
      </c>
    </row>
    <row r="2252" customFormat="false" ht="15" hidden="false" customHeight="false" outlineLevel="0" collapsed="false">
      <c r="B2252" s="53"/>
      <c r="I2252" s="53"/>
      <c r="U2252" s="31" t="n">
        <f aca="false">IF($B2252&lt;&gt;'設定（最初に1回）'!$C$4,N(U2251),IF(COUNTIFS(①今日の在庫を貼る!$B$6:$B$10005,$B2252,①今日の在庫を貼る!$I$6:$I$10005,$I2252)&gt;0,N(U2251),N(U2251)+1))</f>
        <v>2</v>
      </c>
    </row>
    <row r="2253" customFormat="false" ht="15" hidden="false" customHeight="false" outlineLevel="0" collapsed="false">
      <c r="B2253" s="53"/>
      <c r="I2253" s="53"/>
      <c r="U2253" s="31" t="n">
        <f aca="false">IF($B2253&lt;&gt;'設定（最初に1回）'!$C$4,N(U2252),IF(COUNTIFS(①今日の在庫を貼る!$B$6:$B$10005,$B2253,①今日の在庫を貼る!$I$6:$I$10005,$I2253)&gt;0,N(U2252),N(U2252)+1))</f>
        <v>2</v>
      </c>
    </row>
    <row r="2254" customFormat="false" ht="15" hidden="false" customHeight="false" outlineLevel="0" collapsed="false">
      <c r="B2254" s="53"/>
      <c r="I2254" s="53"/>
      <c r="U2254" s="31" t="n">
        <f aca="false">IF($B2254&lt;&gt;'設定（最初に1回）'!$C$4,N(U2253),IF(COUNTIFS(①今日の在庫を貼る!$B$6:$B$10005,$B2254,①今日の在庫を貼る!$I$6:$I$10005,$I2254)&gt;0,N(U2253),N(U2253)+1))</f>
        <v>2</v>
      </c>
    </row>
    <row r="2255" customFormat="false" ht="15" hidden="false" customHeight="false" outlineLevel="0" collapsed="false">
      <c r="B2255" s="53"/>
      <c r="I2255" s="53"/>
      <c r="U2255" s="31" t="n">
        <f aca="false">IF($B2255&lt;&gt;'設定（最初に1回）'!$C$4,N(U2254),IF(COUNTIFS(①今日の在庫を貼る!$B$6:$B$10005,$B2255,①今日の在庫を貼る!$I$6:$I$10005,$I2255)&gt;0,N(U2254),N(U2254)+1))</f>
        <v>2</v>
      </c>
    </row>
    <row r="2256" customFormat="false" ht="15" hidden="false" customHeight="false" outlineLevel="0" collapsed="false">
      <c r="B2256" s="53"/>
      <c r="I2256" s="53"/>
      <c r="U2256" s="31" t="n">
        <f aca="false">IF($B2256&lt;&gt;'設定（最初に1回）'!$C$4,N(U2255),IF(COUNTIFS(①今日の在庫を貼る!$B$6:$B$10005,$B2256,①今日の在庫を貼る!$I$6:$I$10005,$I2256)&gt;0,N(U2255),N(U2255)+1))</f>
        <v>2</v>
      </c>
    </row>
    <row r="2257" customFormat="false" ht="15" hidden="false" customHeight="false" outlineLevel="0" collapsed="false">
      <c r="B2257" s="53"/>
      <c r="I2257" s="53"/>
      <c r="U2257" s="31" t="n">
        <f aca="false">IF($B2257&lt;&gt;'設定（最初に1回）'!$C$4,N(U2256),IF(COUNTIFS(①今日の在庫を貼る!$B$6:$B$10005,$B2257,①今日の在庫を貼る!$I$6:$I$10005,$I2257)&gt;0,N(U2256),N(U2256)+1))</f>
        <v>2</v>
      </c>
    </row>
    <row r="2258" customFormat="false" ht="15" hidden="false" customHeight="false" outlineLevel="0" collapsed="false">
      <c r="B2258" s="53"/>
      <c r="I2258" s="53"/>
      <c r="U2258" s="31" t="n">
        <f aca="false">IF($B2258&lt;&gt;'設定（最初に1回）'!$C$4,N(U2257),IF(COUNTIFS(①今日の在庫を貼る!$B$6:$B$10005,$B2258,①今日の在庫を貼る!$I$6:$I$10005,$I2258)&gt;0,N(U2257),N(U2257)+1))</f>
        <v>2</v>
      </c>
    </row>
    <row r="2259" customFormat="false" ht="15" hidden="false" customHeight="false" outlineLevel="0" collapsed="false">
      <c r="B2259" s="53"/>
      <c r="I2259" s="53"/>
      <c r="U2259" s="31" t="n">
        <f aca="false">IF($B2259&lt;&gt;'設定（最初に1回）'!$C$4,N(U2258),IF(COUNTIFS(①今日の在庫を貼る!$B$6:$B$10005,$B2259,①今日の在庫を貼る!$I$6:$I$10005,$I2259)&gt;0,N(U2258),N(U2258)+1))</f>
        <v>2</v>
      </c>
    </row>
    <row r="2260" customFormat="false" ht="15" hidden="false" customHeight="false" outlineLevel="0" collapsed="false">
      <c r="B2260" s="53"/>
      <c r="I2260" s="53"/>
      <c r="U2260" s="31" t="n">
        <f aca="false">IF($B2260&lt;&gt;'設定（最初に1回）'!$C$4,N(U2259),IF(COUNTIFS(①今日の在庫を貼る!$B$6:$B$10005,$B2260,①今日の在庫を貼る!$I$6:$I$10005,$I2260)&gt;0,N(U2259),N(U2259)+1))</f>
        <v>2</v>
      </c>
    </row>
    <row r="2261" customFormat="false" ht="15" hidden="false" customHeight="false" outlineLevel="0" collapsed="false">
      <c r="B2261" s="53"/>
      <c r="I2261" s="53"/>
      <c r="U2261" s="31" t="n">
        <f aca="false">IF($B2261&lt;&gt;'設定（最初に1回）'!$C$4,N(U2260),IF(COUNTIFS(①今日の在庫を貼る!$B$6:$B$10005,$B2261,①今日の在庫を貼る!$I$6:$I$10005,$I2261)&gt;0,N(U2260),N(U2260)+1))</f>
        <v>2</v>
      </c>
    </row>
    <row r="2262" customFormat="false" ht="15" hidden="false" customHeight="false" outlineLevel="0" collapsed="false">
      <c r="B2262" s="53"/>
      <c r="I2262" s="53"/>
      <c r="U2262" s="31" t="n">
        <f aca="false">IF($B2262&lt;&gt;'設定（最初に1回）'!$C$4,N(U2261),IF(COUNTIFS(①今日の在庫を貼る!$B$6:$B$10005,$B2262,①今日の在庫を貼る!$I$6:$I$10005,$I2262)&gt;0,N(U2261),N(U2261)+1))</f>
        <v>2</v>
      </c>
    </row>
    <row r="2263" customFormat="false" ht="15" hidden="false" customHeight="false" outlineLevel="0" collapsed="false">
      <c r="B2263" s="53"/>
      <c r="I2263" s="53"/>
      <c r="U2263" s="31" t="n">
        <f aca="false">IF($B2263&lt;&gt;'設定（最初に1回）'!$C$4,N(U2262),IF(COUNTIFS(①今日の在庫を貼る!$B$6:$B$10005,$B2263,①今日の在庫を貼る!$I$6:$I$10005,$I2263)&gt;0,N(U2262),N(U2262)+1))</f>
        <v>2</v>
      </c>
    </row>
    <row r="2264" customFormat="false" ht="15" hidden="false" customHeight="false" outlineLevel="0" collapsed="false">
      <c r="B2264" s="53"/>
      <c r="I2264" s="53"/>
      <c r="U2264" s="31" t="n">
        <f aca="false">IF($B2264&lt;&gt;'設定（最初に1回）'!$C$4,N(U2263),IF(COUNTIFS(①今日の在庫を貼る!$B$6:$B$10005,$B2264,①今日の在庫を貼る!$I$6:$I$10005,$I2264)&gt;0,N(U2263),N(U2263)+1))</f>
        <v>2</v>
      </c>
    </row>
    <row r="2265" customFormat="false" ht="15" hidden="false" customHeight="false" outlineLevel="0" collapsed="false">
      <c r="B2265" s="53"/>
      <c r="I2265" s="53"/>
      <c r="U2265" s="31" t="n">
        <f aca="false">IF($B2265&lt;&gt;'設定（最初に1回）'!$C$4,N(U2264),IF(COUNTIFS(①今日の在庫を貼る!$B$6:$B$10005,$B2265,①今日の在庫を貼る!$I$6:$I$10005,$I2265)&gt;0,N(U2264),N(U2264)+1))</f>
        <v>2</v>
      </c>
    </row>
    <row r="2266" customFormat="false" ht="15" hidden="false" customHeight="false" outlineLevel="0" collapsed="false">
      <c r="B2266" s="53"/>
      <c r="I2266" s="53"/>
      <c r="U2266" s="31" t="n">
        <f aca="false">IF($B2266&lt;&gt;'設定（最初に1回）'!$C$4,N(U2265),IF(COUNTIFS(①今日の在庫を貼る!$B$6:$B$10005,$B2266,①今日の在庫を貼る!$I$6:$I$10005,$I2266)&gt;0,N(U2265),N(U2265)+1))</f>
        <v>2</v>
      </c>
    </row>
    <row r="2267" customFormat="false" ht="15" hidden="false" customHeight="false" outlineLevel="0" collapsed="false">
      <c r="B2267" s="53"/>
      <c r="I2267" s="53"/>
      <c r="U2267" s="31" t="n">
        <f aca="false">IF($B2267&lt;&gt;'設定（最初に1回）'!$C$4,N(U2266),IF(COUNTIFS(①今日の在庫を貼る!$B$6:$B$10005,$B2267,①今日の在庫を貼る!$I$6:$I$10005,$I2267)&gt;0,N(U2266),N(U2266)+1))</f>
        <v>2</v>
      </c>
    </row>
    <row r="2268" customFormat="false" ht="15" hidden="false" customHeight="false" outlineLevel="0" collapsed="false">
      <c r="B2268" s="53"/>
      <c r="I2268" s="53"/>
      <c r="U2268" s="31" t="n">
        <f aca="false">IF($B2268&lt;&gt;'設定（最初に1回）'!$C$4,N(U2267),IF(COUNTIFS(①今日の在庫を貼る!$B$6:$B$10005,$B2268,①今日の在庫を貼る!$I$6:$I$10005,$I2268)&gt;0,N(U2267),N(U2267)+1))</f>
        <v>2</v>
      </c>
    </row>
    <row r="2269" customFormat="false" ht="15" hidden="false" customHeight="false" outlineLevel="0" collapsed="false">
      <c r="B2269" s="53"/>
      <c r="I2269" s="53"/>
      <c r="U2269" s="31" t="n">
        <f aca="false">IF($B2269&lt;&gt;'設定（最初に1回）'!$C$4,N(U2268),IF(COUNTIFS(①今日の在庫を貼る!$B$6:$B$10005,$B2269,①今日の在庫を貼る!$I$6:$I$10005,$I2269)&gt;0,N(U2268),N(U2268)+1))</f>
        <v>2</v>
      </c>
    </row>
    <row r="2270" customFormat="false" ht="15" hidden="false" customHeight="false" outlineLevel="0" collapsed="false">
      <c r="B2270" s="53"/>
      <c r="I2270" s="53"/>
      <c r="U2270" s="31" t="n">
        <f aca="false">IF($B2270&lt;&gt;'設定（最初に1回）'!$C$4,N(U2269),IF(COUNTIFS(①今日の在庫を貼る!$B$6:$B$10005,$B2270,①今日の在庫を貼る!$I$6:$I$10005,$I2270)&gt;0,N(U2269),N(U2269)+1))</f>
        <v>2</v>
      </c>
    </row>
    <row r="2271" customFormat="false" ht="15" hidden="false" customHeight="false" outlineLevel="0" collapsed="false">
      <c r="B2271" s="53"/>
      <c r="I2271" s="53"/>
      <c r="U2271" s="31" t="n">
        <f aca="false">IF($B2271&lt;&gt;'設定（最初に1回）'!$C$4,N(U2270),IF(COUNTIFS(①今日の在庫を貼る!$B$6:$B$10005,$B2271,①今日の在庫を貼る!$I$6:$I$10005,$I2271)&gt;0,N(U2270),N(U2270)+1))</f>
        <v>2</v>
      </c>
    </row>
    <row r="2272" customFormat="false" ht="15" hidden="false" customHeight="false" outlineLevel="0" collapsed="false">
      <c r="B2272" s="53"/>
      <c r="I2272" s="53"/>
      <c r="U2272" s="31" t="n">
        <f aca="false">IF($B2272&lt;&gt;'設定（最初に1回）'!$C$4,N(U2271),IF(COUNTIFS(①今日の在庫を貼る!$B$6:$B$10005,$B2272,①今日の在庫を貼る!$I$6:$I$10005,$I2272)&gt;0,N(U2271),N(U2271)+1))</f>
        <v>2</v>
      </c>
    </row>
    <row r="2273" customFormat="false" ht="15" hidden="false" customHeight="false" outlineLevel="0" collapsed="false">
      <c r="B2273" s="53"/>
      <c r="I2273" s="53"/>
      <c r="U2273" s="31" t="n">
        <f aca="false">IF($B2273&lt;&gt;'設定（最初に1回）'!$C$4,N(U2272),IF(COUNTIFS(①今日の在庫を貼る!$B$6:$B$10005,$B2273,①今日の在庫を貼る!$I$6:$I$10005,$I2273)&gt;0,N(U2272),N(U2272)+1))</f>
        <v>2</v>
      </c>
    </row>
    <row r="2274" customFormat="false" ht="15" hidden="false" customHeight="false" outlineLevel="0" collapsed="false">
      <c r="B2274" s="53"/>
      <c r="I2274" s="53"/>
      <c r="U2274" s="31" t="n">
        <f aca="false">IF($B2274&lt;&gt;'設定（最初に1回）'!$C$4,N(U2273),IF(COUNTIFS(①今日の在庫を貼る!$B$6:$B$10005,$B2274,①今日の在庫を貼る!$I$6:$I$10005,$I2274)&gt;0,N(U2273),N(U2273)+1))</f>
        <v>2</v>
      </c>
    </row>
    <row r="2275" customFormat="false" ht="15" hidden="false" customHeight="false" outlineLevel="0" collapsed="false">
      <c r="B2275" s="53"/>
      <c r="I2275" s="53"/>
      <c r="U2275" s="31" t="n">
        <f aca="false">IF($B2275&lt;&gt;'設定（最初に1回）'!$C$4,N(U2274),IF(COUNTIFS(①今日の在庫を貼る!$B$6:$B$10005,$B2275,①今日の在庫を貼る!$I$6:$I$10005,$I2275)&gt;0,N(U2274),N(U2274)+1))</f>
        <v>2</v>
      </c>
    </row>
    <row r="2276" customFormat="false" ht="15" hidden="false" customHeight="false" outlineLevel="0" collapsed="false">
      <c r="B2276" s="53"/>
      <c r="I2276" s="53"/>
      <c r="U2276" s="31" t="n">
        <f aca="false">IF($B2276&lt;&gt;'設定（最初に1回）'!$C$4,N(U2275),IF(COUNTIFS(①今日の在庫を貼る!$B$6:$B$10005,$B2276,①今日の在庫を貼る!$I$6:$I$10005,$I2276)&gt;0,N(U2275),N(U2275)+1))</f>
        <v>2</v>
      </c>
    </row>
    <row r="2277" customFormat="false" ht="15" hidden="false" customHeight="false" outlineLevel="0" collapsed="false">
      <c r="B2277" s="53"/>
      <c r="I2277" s="53"/>
      <c r="U2277" s="31" t="n">
        <f aca="false">IF($B2277&lt;&gt;'設定（最初に1回）'!$C$4,N(U2276),IF(COUNTIFS(①今日の在庫を貼る!$B$6:$B$10005,$B2277,①今日の在庫を貼る!$I$6:$I$10005,$I2277)&gt;0,N(U2276),N(U2276)+1))</f>
        <v>2</v>
      </c>
    </row>
    <row r="2278" customFormat="false" ht="15" hidden="false" customHeight="false" outlineLevel="0" collapsed="false">
      <c r="B2278" s="53"/>
      <c r="I2278" s="53"/>
      <c r="U2278" s="31" t="n">
        <f aca="false">IF($B2278&lt;&gt;'設定（最初に1回）'!$C$4,N(U2277),IF(COUNTIFS(①今日の在庫を貼る!$B$6:$B$10005,$B2278,①今日の在庫を貼る!$I$6:$I$10005,$I2278)&gt;0,N(U2277),N(U2277)+1))</f>
        <v>2</v>
      </c>
    </row>
    <row r="2279" customFormat="false" ht="15" hidden="false" customHeight="false" outlineLevel="0" collapsed="false">
      <c r="B2279" s="53"/>
      <c r="I2279" s="53"/>
      <c r="U2279" s="31" t="n">
        <f aca="false">IF($B2279&lt;&gt;'設定（最初に1回）'!$C$4,N(U2278),IF(COUNTIFS(①今日の在庫を貼る!$B$6:$B$10005,$B2279,①今日の在庫を貼る!$I$6:$I$10005,$I2279)&gt;0,N(U2278),N(U2278)+1))</f>
        <v>2</v>
      </c>
    </row>
    <row r="2280" customFormat="false" ht="15" hidden="false" customHeight="false" outlineLevel="0" collapsed="false">
      <c r="B2280" s="53"/>
      <c r="I2280" s="53"/>
      <c r="U2280" s="31" t="n">
        <f aca="false">IF($B2280&lt;&gt;'設定（最初に1回）'!$C$4,N(U2279),IF(COUNTIFS(①今日の在庫を貼る!$B$6:$B$10005,$B2280,①今日の在庫を貼る!$I$6:$I$10005,$I2280)&gt;0,N(U2279),N(U2279)+1))</f>
        <v>2</v>
      </c>
    </row>
    <row r="2281" customFormat="false" ht="15" hidden="false" customHeight="false" outlineLevel="0" collapsed="false">
      <c r="B2281" s="53"/>
      <c r="I2281" s="53"/>
      <c r="U2281" s="31" t="n">
        <f aca="false">IF($B2281&lt;&gt;'設定（最初に1回）'!$C$4,N(U2280),IF(COUNTIFS(①今日の在庫を貼る!$B$6:$B$10005,$B2281,①今日の在庫を貼る!$I$6:$I$10005,$I2281)&gt;0,N(U2280),N(U2280)+1))</f>
        <v>2</v>
      </c>
    </row>
    <row r="2282" customFormat="false" ht="15" hidden="false" customHeight="false" outlineLevel="0" collapsed="false">
      <c r="B2282" s="53"/>
      <c r="I2282" s="53"/>
      <c r="U2282" s="31" t="n">
        <f aca="false">IF($B2282&lt;&gt;'設定（最初に1回）'!$C$4,N(U2281),IF(COUNTIFS(①今日の在庫を貼る!$B$6:$B$10005,$B2282,①今日の在庫を貼る!$I$6:$I$10005,$I2282)&gt;0,N(U2281),N(U2281)+1))</f>
        <v>2</v>
      </c>
    </row>
    <row r="2283" customFormat="false" ht="15" hidden="false" customHeight="false" outlineLevel="0" collapsed="false">
      <c r="B2283" s="53"/>
      <c r="I2283" s="53"/>
      <c r="U2283" s="31" t="n">
        <f aca="false">IF($B2283&lt;&gt;'設定（最初に1回）'!$C$4,N(U2282),IF(COUNTIFS(①今日の在庫を貼る!$B$6:$B$10005,$B2283,①今日の在庫を貼る!$I$6:$I$10005,$I2283)&gt;0,N(U2282),N(U2282)+1))</f>
        <v>2</v>
      </c>
    </row>
    <row r="2284" customFormat="false" ht="15" hidden="false" customHeight="false" outlineLevel="0" collapsed="false">
      <c r="B2284" s="53"/>
      <c r="I2284" s="53"/>
      <c r="U2284" s="31" t="n">
        <f aca="false">IF($B2284&lt;&gt;'設定（最初に1回）'!$C$4,N(U2283),IF(COUNTIFS(①今日の在庫を貼る!$B$6:$B$10005,$B2284,①今日の在庫を貼る!$I$6:$I$10005,$I2284)&gt;0,N(U2283),N(U2283)+1))</f>
        <v>2</v>
      </c>
    </row>
    <row r="2285" customFormat="false" ht="15" hidden="false" customHeight="false" outlineLevel="0" collapsed="false">
      <c r="B2285" s="53"/>
      <c r="I2285" s="53"/>
      <c r="U2285" s="31" t="n">
        <f aca="false">IF($B2285&lt;&gt;'設定（最初に1回）'!$C$4,N(U2284),IF(COUNTIFS(①今日の在庫を貼る!$B$6:$B$10005,$B2285,①今日の在庫を貼る!$I$6:$I$10005,$I2285)&gt;0,N(U2284),N(U2284)+1))</f>
        <v>2</v>
      </c>
    </row>
    <row r="2286" customFormat="false" ht="15" hidden="false" customHeight="false" outlineLevel="0" collapsed="false">
      <c r="B2286" s="53"/>
      <c r="I2286" s="53"/>
      <c r="U2286" s="31" t="n">
        <f aca="false">IF($B2286&lt;&gt;'設定（最初に1回）'!$C$4,N(U2285),IF(COUNTIFS(①今日の在庫を貼る!$B$6:$B$10005,$B2286,①今日の在庫を貼る!$I$6:$I$10005,$I2286)&gt;0,N(U2285),N(U2285)+1))</f>
        <v>2</v>
      </c>
    </row>
    <row r="2287" customFormat="false" ht="15" hidden="false" customHeight="false" outlineLevel="0" collapsed="false">
      <c r="B2287" s="53"/>
      <c r="I2287" s="53"/>
      <c r="U2287" s="31" t="n">
        <f aca="false">IF($B2287&lt;&gt;'設定（最初に1回）'!$C$4,N(U2286),IF(COUNTIFS(①今日の在庫を貼る!$B$6:$B$10005,$B2287,①今日の在庫を貼る!$I$6:$I$10005,$I2287)&gt;0,N(U2286),N(U2286)+1))</f>
        <v>2</v>
      </c>
    </row>
    <row r="2288" customFormat="false" ht="15" hidden="false" customHeight="false" outlineLevel="0" collapsed="false">
      <c r="B2288" s="53"/>
      <c r="I2288" s="53"/>
      <c r="U2288" s="31" t="n">
        <f aca="false">IF($B2288&lt;&gt;'設定（最初に1回）'!$C$4,N(U2287),IF(COUNTIFS(①今日の在庫を貼る!$B$6:$B$10005,$B2288,①今日の在庫を貼る!$I$6:$I$10005,$I2288)&gt;0,N(U2287),N(U2287)+1))</f>
        <v>2</v>
      </c>
    </row>
    <row r="2289" customFormat="false" ht="15" hidden="false" customHeight="false" outlineLevel="0" collapsed="false">
      <c r="B2289" s="53"/>
      <c r="I2289" s="53"/>
      <c r="U2289" s="31" t="n">
        <f aca="false">IF($B2289&lt;&gt;'設定（最初に1回）'!$C$4,N(U2288),IF(COUNTIFS(①今日の在庫を貼る!$B$6:$B$10005,$B2289,①今日の在庫を貼る!$I$6:$I$10005,$I2289)&gt;0,N(U2288),N(U2288)+1))</f>
        <v>2</v>
      </c>
    </row>
    <row r="2290" customFormat="false" ht="15" hidden="false" customHeight="false" outlineLevel="0" collapsed="false">
      <c r="B2290" s="53"/>
      <c r="I2290" s="53"/>
      <c r="U2290" s="31" t="n">
        <f aca="false">IF($B2290&lt;&gt;'設定（最初に1回）'!$C$4,N(U2289),IF(COUNTIFS(①今日の在庫を貼る!$B$6:$B$10005,$B2290,①今日の在庫を貼る!$I$6:$I$10005,$I2290)&gt;0,N(U2289),N(U2289)+1))</f>
        <v>2</v>
      </c>
    </row>
    <row r="2291" customFormat="false" ht="15" hidden="false" customHeight="false" outlineLevel="0" collapsed="false">
      <c r="B2291" s="53"/>
      <c r="I2291" s="53"/>
      <c r="U2291" s="31" t="n">
        <f aca="false">IF($B2291&lt;&gt;'設定（最初に1回）'!$C$4,N(U2290),IF(COUNTIFS(①今日の在庫を貼る!$B$6:$B$10005,$B2291,①今日の在庫を貼る!$I$6:$I$10005,$I2291)&gt;0,N(U2290),N(U2290)+1))</f>
        <v>2</v>
      </c>
    </row>
    <row r="2292" customFormat="false" ht="15" hidden="false" customHeight="false" outlineLevel="0" collapsed="false">
      <c r="B2292" s="53"/>
      <c r="I2292" s="53"/>
      <c r="U2292" s="31" t="n">
        <f aca="false">IF($B2292&lt;&gt;'設定（最初に1回）'!$C$4,N(U2291),IF(COUNTIFS(①今日の在庫を貼る!$B$6:$B$10005,$B2292,①今日の在庫を貼る!$I$6:$I$10005,$I2292)&gt;0,N(U2291),N(U2291)+1))</f>
        <v>2</v>
      </c>
    </row>
    <row r="2293" customFormat="false" ht="15" hidden="false" customHeight="false" outlineLevel="0" collapsed="false">
      <c r="B2293" s="53"/>
      <c r="I2293" s="53"/>
      <c r="U2293" s="31" t="n">
        <f aca="false">IF($B2293&lt;&gt;'設定（最初に1回）'!$C$4,N(U2292),IF(COUNTIFS(①今日の在庫を貼る!$B$6:$B$10005,$B2293,①今日の在庫を貼る!$I$6:$I$10005,$I2293)&gt;0,N(U2292),N(U2292)+1))</f>
        <v>2</v>
      </c>
    </row>
    <row r="2294" customFormat="false" ht="15" hidden="false" customHeight="false" outlineLevel="0" collapsed="false">
      <c r="B2294" s="53"/>
      <c r="I2294" s="53"/>
      <c r="U2294" s="31" t="n">
        <f aca="false">IF($B2294&lt;&gt;'設定（最初に1回）'!$C$4,N(U2293),IF(COUNTIFS(①今日の在庫を貼る!$B$6:$B$10005,$B2294,①今日の在庫を貼る!$I$6:$I$10005,$I2294)&gt;0,N(U2293),N(U2293)+1))</f>
        <v>2</v>
      </c>
    </row>
    <row r="2295" customFormat="false" ht="15" hidden="false" customHeight="false" outlineLevel="0" collapsed="false">
      <c r="B2295" s="53"/>
      <c r="I2295" s="53"/>
      <c r="U2295" s="31" t="n">
        <f aca="false">IF($B2295&lt;&gt;'設定（最初に1回）'!$C$4,N(U2294),IF(COUNTIFS(①今日の在庫を貼る!$B$6:$B$10005,$B2295,①今日の在庫を貼る!$I$6:$I$10005,$I2295)&gt;0,N(U2294),N(U2294)+1))</f>
        <v>2</v>
      </c>
    </row>
    <row r="2296" customFormat="false" ht="15" hidden="false" customHeight="false" outlineLevel="0" collapsed="false">
      <c r="B2296" s="53"/>
      <c r="I2296" s="53"/>
      <c r="U2296" s="31" t="n">
        <f aca="false">IF($B2296&lt;&gt;'設定（最初に1回）'!$C$4,N(U2295),IF(COUNTIFS(①今日の在庫を貼る!$B$6:$B$10005,$B2296,①今日の在庫を貼る!$I$6:$I$10005,$I2296)&gt;0,N(U2295),N(U2295)+1))</f>
        <v>2</v>
      </c>
    </row>
    <row r="2297" customFormat="false" ht="15" hidden="false" customHeight="false" outlineLevel="0" collapsed="false">
      <c r="B2297" s="53"/>
      <c r="I2297" s="53"/>
      <c r="U2297" s="31" t="n">
        <f aca="false">IF($B2297&lt;&gt;'設定（最初に1回）'!$C$4,N(U2296),IF(COUNTIFS(①今日の在庫を貼る!$B$6:$B$10005,$B2297,①今日の在庫を貼る!$I$6:$I$10005,$I2297)&gt;0,N(U2296),N(U2296)+1))</f>
        <v>2</v>
      </c>
    </row>
    <row r="2298" customFormat="false" ht="15" hidden="false" customHeight="false" outlineLevel="0" collapsed="false">
      <c r="B2298" s="53"/>
      <c r="I2298" s="53"/>
      <c r="U2298" s="31" t="n">
        <f aca="false">IF($B2298&lt;&gt;'設定（最初に1回）'!$C$4,N(U2297),IF(COUNTIFS(①今日の在庫を貼る!$B$6:$B$10005,$B2298,①今日の在庫を貼る!$I$6:$I$10005,$I2298)&gt;0,N(U2297),N(U2297)+1))</f>
        <v>2</v>
      </c>
    </row>
    <row r="2299" customFormat="false" ht="15" hidden="false" customHeight="false" outlineLevel="0" collapsed="false">
      <c r="B2299" s="53"/>
      <c r="I2299" s="53"/>
      <c r="U2299" s="31" t="n">
        <f aca="false">IF($B2299&lt;&gt;'設定（最初に1回）'!$C$4,N(U2298),IF(COUNTIFS(①今日の在庫を貼る!$B$6:$B$10005,$B2299,①今日の在庫を貼る!$I$6:$I$10005,$I2299)&gt;0,N(U2298),N(U2298)+1))</f>
        <v>2</v>
      </c>
    </row>
    <row r="2300" customFormat="false" ht="15" hidden="false" customHeight="false" outlineLevel="0" collapsed="false">
      <c r="B2300" s="53"/>
      <c r="I2300" s="53"/>
      <c r="U2300" s="31" t="n">
        <f aca="false">IF($B2300&lt;&gt;'設定（最初に1回）'!$C$4,N(U2299),IF(COUNTIFS(①今日の在庫を貼る!$B$6:$B$10005,$B2300,①今日の在庫を貼る!$I$6:$I$10005,$I2300)&gt;0,N(U2299),N(U2299)+1))</f>
        <v>2</v>
      </c>
    </row>
    <row r="2301" customFormat="false" ht="15" hidden="false" customHeight="false" outlineLevel="0" collapsed="false">
      <c r="B2301" s="53"/>
      <c r="I2301" s="53"/>
      <c r="U2301" s="31" t="n">
        <f aca="false">IF($B2301&lt;&gt;'設定（最初に1回）'!$C$4,N(U2300),IF(COUNTIFS(①今日の在庫を貼る!$B$6:$B$10005,$B2301,①今日の在庫を貼る!$I$6:$I$10005,$I2301)&gt;0,N(U2300),N(U2300)+1))</f>
        <v>2</v>
      </c>
    </row>
    <row r="2302" customFormat="false" ht="15" hidden="false" customHeight="false" outlineLevel="0" collapsed="false">
      <c r="B2302" s="53"/>
      <c r="I2302" s="53"/>
      <c r="U2302" s="31" t="n">
        <f aca="false">IF($B2302&lt;&gt;'設定（最初に1回）'!$C$4,N(U2301),IF(COUNTIFS(①今日の在庫を貼る!$B$6:$B$10005,$B2302,①今日の在庫を貼る!$I$6:$I$10005,$I2302)&gt;0,N(U2301),N(U2301)+1))</f>
        <v>2</v>
      </c>
    </row>
    <row r="2303" customFormat="false" ht="15" hidden="false" customHeight="false" outlineLevel="0" collapsed="false">
      <c r="B2303" s="53"/>
      <c r="I2303" s="53"/>
      <c r="U2303" s="31" t="n">
        <f aca="false">IF($B2303&lt;&gt;'設定（最初に1回）'!$C$4,N(U2302),IF(COUNTIFS(①今日の在庫を貼る!$B$6:$B$10005,$B2303,①今日の在庫を貼る!$I$6:$I$10005,$I2303)&gt;0,N(U2302),N(U2302)+1))</f>
        <v>2</v>
      </c>
    </row>
    <row r="2304" customFormat="false" ht="15" hidden="false" customHeight="false" outlineLevel="0" collapsed="false">
      <c r="B2304" s="53"/>
      <c r="I2304" s="53"/>
      <c r="U2304" s="31" t="n">
        <f aca="false">IF($B2304&lt;&gt;'設定（最初に1回）'!$C$4,N(U2303),IF(COUNTIFS(①今日の在庫を貼る!$B$6:$B$10005,$B2304,①今日の在庫を貼る!$I$6:$I$10005,$I2304)&gt;0,N(U2303),N(U2303)+1))</f>
        <v>2</v>
      </c>
    </row>
    <row r="2305" customFormat="false" ht="15" hidden="false" customHeight="false" outlineLevel="0" collapsed="false">
      <c r="B2305" s="53"/>
      <c r="I2305" s="53"/>
      <c r="U2305" s="31" t="n">
        <f aca="false">IF($B2305&lt;&gt;'設定（最初に1回）'!$C$4,N(U2304),IF(COUNTIFS(①今日の在庫を貼る!$B$6:$B$10005,$B2305,①今日の在庫を貼る!$I$6:$I$10005,$I2305)&gt;0,N(U2304),N(U2304)+1))</f>
        <v>2</v>
      </c>
    </row>
    <row r="2306" customFormat="false" ht="15" hidden="false" customHeight="false" outlineLevel="0" collapsed="false">
      <c r="B2306" s="53"/>
      <c r="I2306" s="53"/>
      <c r="U2306" s="31" t="n">
        <f aca="false">IF($B2306&lt;&gt;'設定（最初に1回）'!$C$4,N(U2305),IF(COUNTIFS(①今日の在庫を貼る!$B$6:$B$10005,$B2306,①今日の在庫を貼る!$I$6:$I$10005,$I2306)&gt;0,N(U2305),N(U2305)+1))</f>
        <v>2</v>
      </c>
    </row>
    <row r="2307" customFormat="false" ht="15" hidden="false" customHeight="false" outlineLevel="0" collapsed="false">
      <c r="B2307" s="53"/>
      <c r="I2307" s="53"/>
      <c r="U2307" s="31" t="n">
        <f aca="false">IF($B2307&lt;&gt;'設定（最初に1回）'!$C$4,N(U2306),IF(COUNTIFS(①今日の在庫を貼る!$B$6:$B$10005,$B2307,①今日の在庫を貼る!$I$6:$I$10005,$I2307)&gt;0,N(U2306),N(U2306)+1))</f>
        <v>2</v>
      </c>
    </row>
    <row r="2308" customFormat="false" ht="15" hidden="false" customHeight="false" outlineLevel="0" collapsed="false">
      <c r="B2308" s="53"/>
      <c r="I2308" s="53"/>
      <c r="U2308" s="31" t="n">
        <f aca="false">IF($B2308&lt;&gt;'設定（最初に1回）'!$C$4,N(U2307),IF(COUNTIFS(①今日の在庫を貼る!$B$6:$B$10005,$B2308,①今日の在庫を貼る!$I$6:$I$10005,$I2308)&gt;0,N(U2307),N(U2307)+1))</f>
        <v>2</v>
      </c>
    </row>
    <row r="2309" customFormat="false" ht="15" hidden="false" customHeight="false" outlineLevel="0" collapsed="false">
      <c r="B2309" s="53"/>
      <c r="I2309" s="53"/>
      <c r="U2309" s="31" t="n">
        <f aca="false">IF($B2309&lt;&gt;'設定（最初に1回）'!$C$4,N(U2308),IF(COUNTIFS(①今日の在庫を貼る!$B$6:$B$10005,$B2309,①今日の在庫を貼る!$I$6:$I$10005,$I2309)&gt;0,N(U2308),N(U2308)+1))</f>
        <v>2</v>
      </c>
    </row>
    <row r="2310" customFormat="false" ht="15" hidden="false" customHeight="false" outlineLevel="0" collapsed="false">
      <c r="B2310" s="53"/>
      <c r="I2310" s="53"/>
      <c r="U2310" s="31" t="n">
        <f aca="false">IF($B2310&lt;&gt;'設定（最初に1回）'!$C$4,N(U2309),IF(COUNTIFS(①今日の在庫を貼る!$B$6:$B$10005,$B2310,①今日の在庫を貼る!$I$6:$I$10005,$I2310)&gt;0,N(U2309),N(U2309)+1))</f>
        <v>2</v>
      </c>
    </row>
    <row r="2311" customFormat="false" ht="15" hidden="false" customHeight="false" outlineLevel="0" collapsed="false">
      <c r="B2311" s="53"/>
      <c r="I2311" s="53"/>
      <c r="U2311" s="31" t="n">
        <f aca="false">IF($B2311&lt;&gt;'設定（最初に1回）'!$C$4,N(U2310),IF(COUNTIFS(①今日の在庫を貼る!$B$6:$B$10005,$B2311,①今日の在庫を貼る!$I$6:$I$10005,$I2311)&gt;0,N(U2310),N(U2310)+1))</f>
        <v>2</v>
      </c>
    </row>
    <row r="2312" customFormat="false" ht="15" hidden="false" customHeight="false" outlineLevel="0" collapsed="false">
      <c r="B2312" s="53"/>
      <c r="I2312" s="53"/>
      <c r="U2312" s="31" t="n">
        <f aca="false">IF($B2312&lt;&gt;'設定（最初に1回）'!$C$4,N(U2311),IF(COUNTIFS(①今日の在庫を貼る!$B$6:$B$10005,$B2312,①今日の在庫を貼る!$I$6:$I$10005,$I2312)&gt;0,N(U2311),N(U2311)+1))</f>
        <v>2</v>
      </c>
    </row>
    <row r="2313" customFormat="false" ht="15" hidden="false" customHeight="false" outlineLevel="0" collapsed="false">
      <c r="B2313" s="53"/>
      <c r="I2313" s="53"/>
      <c r="U2313" s="31" t="n">
        <f aca="false">IF($B2313&lt;&gt;'設定（最初に1回）'!$C$4,N(U2312),IF(COUNTIFS(①今日の在庫を貼る!$B$6:$B$10005,$B2313,①今日の在庫を貼る!$I$6:$I$10005,$I2313)&gt;0,N(U2312),N(U2312)+1))</f>
        <v>2</v>
      </c>
    </row>
    <row r="2314" customFormat="false" ht="15" hidden="false" customHeight="false" outlineLevel="0" collapsed="false">
      <c r="B2314" s="53"/>
      <c r="I2314" s="53"/>
      <c r="U2314" s="31" t="n">
        <f aca="false">IF($B2314&lt;&gt;'設定（最初に1回）'!$C$4,N(U2313),IF(COUNTIFS(①今日の在庫を貼る!$B$6:$B$10005,$B2314,①今日の在庫を貼る!$I$6:$I$10005,$I2314)&gt;0,N(U2313),N(U2313)+1))</f>
        <v>2</v>
      </c>
    </row>
    <row r="2315" customFormat="false" ht="15" hidden="false" customHeight="false" outlineLevel="0" collapsed="false">
      <c r="B2315" s="53"/>
      <c r="I2315" s="53"/>
      <c r="U2315" s="31" t="n">
        <f aca="false">IF($B2315&lt;&gt;'設定（最初に1回）'!$C$4,N(U2314),IF(COUNTIFS(①今日の在庫を貼る!$B$6:$B$10005,$B2315,①今日の在庫を貼る!$I$6:$I$10005,$I2315)&gt;0,N(U2314),N(U2314)+1))</f>
        <v>2</v>
      </c>
    </row>
    <row r="2316" customFormat="false" ht="15" hidden="false" customHeight="false" outlineLevel="0" collapsed="false">
      <c r="B2316" s="53"/>
      <c r="I2316" s="53"/>
      <c r="U2316" s="31" t="n">
        <f aca="false">IF($B2316&lt;&gt;'設定（最初に1回）'!$C$4,N(U2315),IF(COUNTIFS(①今日の在庫を貼る!$B$6:$B$10005,$B2316,①今日の在庫を貼る!$I$6:$I$10005,$I2316)&gt;0,N(U2315),N(U2315)+1))</f>
        <v>2</v>
      </c>
    </row>
    <row r="2317" customFormat="false" ht="15" hidden="false" customHeight="false" outlineLevel="0" collapsed="false">
      <c r="B2317" s="53"/>
      <c r="I2317" s="53"/>
      <c r="U2317" s="31" t="n">
        <f aca="false">IF($B2317&lt;&gt;'設定（最初に1回）'!$C$4,N(U2316),IF(COUNTIFS(①今日の在庫を貼る!$B$6:$B$10005,$B2317,①今日の在庫を貼る!$I$6:$I$10005,$I2317)&gt;0,N(U2316),N(U2316)+1))</f>
        <v>2</v>
      </c>
    </row>
    <row r="2318" customFormat="false" ht="15" hidden="false" customHeight="false" outlineLevel="0" collapsed="false">
      <c r="B2318" s="53"/>
      <c r="I2318" s="53"/>
      <c r="U2318" s="31" t="n">
        <f aca="false">IF($B2318&lt;&gt;'設定（最初に1回）'!$C$4,N(U2317),IF(COUNTIFS(①今日の在庫を貼る!$B$6:$B$10005,$B2318,①今日の在庫を貼る!$I$6:$I$10005,$I2318)&gt;0,N(U2317),N(U2317)+1))</f>
        <v>2</v>
      </c>
    </row>
    <row r="2319" customFormat="false" ht="15" hidden="false" customHeight="false" outlineLevel="0" collapsed="false">
      <c r="B2319" s="53"/>
      <c r="I2319" s="53"/>
      <c r="U2319" s="31" t="n">
        <f aca="false">IF($B2319&lt;&gt;'設定（最初に1回）'!$C$4,N(U2318),IF(COUNTIFS(①今日の在庫を貼る!$B$6:$B$10005,$B2319,①今日の在庫を貼る!$I$6:$I$10005,$I2319)&gt;0,N(U2318),N(U2318)+1))</f>
        <v>2</v>
      </c>
    </row>
    <row r="2320" customFormat="false" ht="15" hidden="false" customHeight="false" outlineLevel="0" collapsed="false">
      <c r="B2320" s="53"/>
      <c r="I2320" s="53"/>
      <c r="U2320" s="31" t="n">
        <f aca="false">IF($B2320&lt;&gt;'設定（最初に1回）'!$C$4,N(U2319),IF(COUNTIFS(①今日の在庫を貼る!$B$6:$B$10005,$B2320,①今日の在庫を貼る!$I$6:$I$10005,$I2320)&gt;0,N(U2319),N(U2319)+1))</f>
        <v>2</v>
      </c>
    </row>
    <row r="2321" customFormat="false" ht="15" hidden="false" customHeight="false" outlineLevel="0" collapsed="false">
      <c r="B2321" s="53"/>
      <c r="I2321" s="53"/>
      <c r="U2321" s="31" t="n">
        <f aca="false">IF($B2321&lt;&gt;'設定（最初に1回）'!$C$4,N(U2320),IF(COUNTIFS(①今日の在庫を貼る!$B$6:$B$10005,$B2321,①今日の在庫を貼る!$I$6:$I$10005,$I2321)&gt;0,N(U2320),N(U2320)+1))</f>
        <v>2</v>
      </c>
    </row>
    <row r="2322" customFormat="false" ht="15" hidden="false" customHeight="false" outlineLevel="0" collapsed="false">
      <c r="B2322" s="53"/>
      <c r="I2322" s="53"/>
      <c r="U2322" s="31" t="n">
        <f aca="false">IF($B2322&lt;&gt;'設定（最初に1回）'!$C$4,N(U2321),IF(COUNTIFS(①今日の在庫を貼る!$B$6:$B$10005,$B2322,①今日の在庫を貼る!$I$6:$I$10005,$I2322)&gt;0,N(U2321),N(U2321)+1))</f>
        <v>2</v>
      </c>
    </row>
    <row r="2323" customFormat="false" ht="15" hidden="false" customHeight="false" outlineLevel="0" collapsed="false">
      <c r="B2323" s="53"/>
      <c r="I2323" s="53"/>
      <c r="U2323" s="31" t="n">
        <f aca="false">IF($B2323&lt;&gt;'設定（最初に1回）'!$C$4,N(U2322),IF(COUNTIFS(①今日の在庫を貼る!$B$6:$B$10005,$B2323,①今日の在庫を貼る!$I$6:$I$10005,$I2323)&gt;0,N(U2322),N(U2322)+1))</f>
        <v>2</v>
      </c>
    </row>
    <row r="2324" customFormat="false" ht="15" hidden="false" customHeight="false" outlineLevel="0" collapsed="false">
      <c r="B2324" s="53"/>
      <c r="I2324" s="53"/>
      <c r="U2324" s="31" t="n">
        <f aca="false">IF($B2324&lt;&gt;'設定（最初に1回）'!$C$4,N(U2323),IF(COUNTIFS(①今日の在庫を貼る!$B$6:$B$10005,$B2324,①今日の在庫を貼る!$I$6:$I$10005,$I2324)&gt;0,N(U2323),N(U2323)+1))</f>
        <v>2</v>
      </c>
    </row>
    <row r="2325" customFormat="false" ht="15" hidden="false" customHeight="false" outlineLevel="0" collapsed="false">
      <c r="B2325" s="53"/>
      <c r="I2325" s="53"/>
      <c r="U2325" s="31" t="n">
        <f aca="false">IF($B2325&lt;&gt;'設定（最初に1回）'!$C$4,N(U2324),IF(COUNTIFS(①今日の在庫を貼る!$B$6:$B$10005,$B2325,①今日の在庫を貼る!$I$6:$I$10005,$I2325)&gt;0,N(U2324),N(U2324)+1))</f>
        <v>2</v>
      </c>
    </row>
    <row r="2326" customFormat="false" ht="15" hidden="false" customHeight="false" outlineLevel="0" collapsed="false">
      <c r="B2326" s="53"/>
      <c r="I2326" s="53"/>
      <c r="U2326" s="31" t="n">
        <f aca="false">IF($B2326&lt;&gt;'設定（最初に1回）'!$C$4,N(U2325),IF(COUNTIFS(①今日の在庫を貼る!$B$6:$B$10005,$B2326,①今日の在庫を貼る!$I$6:$I$10005,$I2326)&gt;0,N(U2325),N(U2325)+1))</f>
        <v>2</v>
      </c>
    </row>
    <row r="2327" customFormat="false" ht="15" hidden="false" customHeight="false" outlineLevel="0" collapsed="false">
      <c r="B2327" s="53"/>
      <c r="I2327" s="53"/>
      <c r="U2327" s="31" t="n">
        <f aca="false">IF($B2327&lt;&gt;'設定（最初に1回）'!$C$4,N(U2326),IF(COUNTIFS(①今日の在庫を貼る!$B$6:$B$10005,$B2327,①今日の在庫を貼る!$I$6:$I$10005,$I2327)&gt;0,N(U2326),N(U2326)+1))</f>
        <v>2</v>
      </c>
    </row>
    <row r="2328" customFormat="false" ht="15" hidden="false" customHeight="false" outlineLevel="0" collapsed="false">
      <c r="B2328" s="53"/>
      <c r="I2328" s="53"/>
      <c r="U2328" s="31" t="n">
        <f aca="false">IF($B2328&lt;&gt;'設定（最初に1回）'!$C$4,N(U2327),IF(COUNTIFS(①今日の在庫を貼る!$B$6:$B$10005,$B2328,①今日の在庫を貼る!$I$6:$I$10005,$I2328)&gt;0,N(U2327),N(U2327)+1))</f>
        <v>2</v>
      </c>
    </row>
    <row r="2329" customFormat="false" ht="15" hidden="false" customHeight="false" outlineLevel="0" collapsed="false">
      <c r="B2329" s="53"/>
      <c r="I2329" s="53"/>
      <c r="U2329" s="31" t="n">
        <f aca="false">IF($B2329&lt;&gt;'設定（最初に1回）'!$C$4,N(U2328),IF(COUNTIFS(①今日の在庫を貼る!$B$6:$B$10005,$B2329,①今日の在庫を貼る!$I$6:$I$10005,$I2329)&gt;0,N(U2328),N(U2328)+1))</f>
        <v>2</v>
      </c>
    </row>
    <row r="2330" customFormat="false" ht="15" hidden="false" customHeight="false" outlineLevel="0" collapsed="false">
      <c r="B2330" s="53"/>
      <c r="I2330" s="53"/>
      <c r="U2330" s="31" t="n">
        <f aca="false">IF($B2330&lt;&gt;'設定（最初に1回）'!$C$4,N(U2329),IF(COUNTIFS(①今日の在庫を貼る!$B$6:$B$10005,$B2330,①今日の在庫を貼る!$I$6:$I$10005,$I2330)&gt;0,N(U2329),N(U2329)+1))</f>
        <v>2</v>
      </c>
    </row>
    <row r="2331" customFormat="false" ht="15" hidden="false" customHeight="false" outlineLevel="0" collapsed="false">
      <c r="B2331" s="53"/>
      <c r="I2331" s="53"/>
      <c r="U2331" s="31" t="n">
        <f aca="false">IF($B2331&lt;&gt;'設定（最初に1回）'!$C$4,N(U2330),IF(COUNTIFS(①今日の在庫を貼る!$B$6:$B$10005,$B2331,①今日の在庫を貼る!$I$6:$I$10005,$I2331)&gt;0,N(U2330),N(U2330)+1))</f>
        <v>2</v>
      </c>
    </row>
    <row r="2332" customFormat="false" ht="15" hidden="false" customHeight="false" outlineLevel="0" collapsed="false">
      <c r="B2332" s="53"/>
      <c r="I2332" s="53"/>
      <c r="U2332" s="31" t="n">
        <f aca="false">IF($B2332&lt;&gt;'設定（最初に1回）'!$C$4,N(U2331),IF(COUNTIFS(①今日の在庫を貼る!$B$6:$B$10005,$B2332,①今日の在庫を貼る!$I$6:$I$10005,$I2332)&gt;0,N(U2331),N(U2331)+1))</f>
        <v>2</v>
      </c>
    </row>
    <row r="2333" customFormat="false" ht="15" hidden="false" customHeight="false" outlineLevel="0" collapsed="false">
      <c r="B2333" s="53"/>
      <c r="I2333" s="53"/>
      <c r="U2333" s="31" t="n">
        <f aca="false">IF($B2333&lt;&gt;'設定（最初に1回）'!$C$4,N(U2332),IF(COUNTIFS(①今日の在庫を貼る!$B$6:$B$10005,$B2333,①今日の在庫を貼る!$I$6:$I$10005,$I2333)&gt;0,N(U2332),N(U2332)+1))</f>
        <v>2</v>
      </c>
    </row>
    <row r="2334" customFormat="false" ht="15" hidden="false" customHeight="false" outlineLevel="0" collapsed="false">
      <c r="B2334" s="53"/>
      <c r="I2334" s="53"/>
      <c r="U2334" s="31" t="n">
        <f aca="false">IF($B2334&lt;&gt;'設定（最初に1回）'!$C$4,N(U2333),IF(COUNTIFS(①今日の在庫を貼る!$B$6:$B$10005,$B2334,①今日の在庫を貼る!$I$6:$I$10005,$I2334)&gt;0,N(U2333),N(U2333)+1))</f>
        <v>2</v>
      </c>
    </row>
    <row r="2335" customFormat="false" ht="15" hidden="false" customHeight="false" outlineLevel="0" collapsed="false">
      <c r="B2335" s="53"/>
      <c r="I2335" s="53"/>
      <c r="U2335" s="31" t="n">
        <f aca="false">IF($B2335&lt;&gt;'設定（最初に1回）'!$C$4,N(U2334),IF(COUNTIFS(①今日の在庫を貼る!$B$6:$B$10005,$B2335,①今日の在庫を貼る!$I$6:$I$10005,$I2335)&gt;0,N(U2334),N(U2334)+1))</f>
        <v>2</v>
      </c>
    </row>
    <row r="2336" customFormat="false" ht="15" hidden="false" customHeight="false" outlineLevel="0" collapsed="false">
      <c r="B2336" s="53"/>
      <c r="I2336" s="53"/>
      <c r="U2336" s="31" t="n">
        <f aca="false">IF($B2336&lt;&gt;'設定（最初に1回）'!$C$4,N(U2335),IF(COUNTIFS(①今日の在庫を貼る!$B$6:$B$10005,$B2336,①今日の在庫を貼る!$I$6:$I$10005,$I2336)&gt;0,N(U2335),N(U2335)+1))</f>
        <v>2</v>
      </c>
    </row>
    <row r="2337" customFormat="false" ht="15" hidden="false" customHeight="false" outlineLevel="0" collapsed="false">
      <c r="B2337" s="53"/>
      <c r="I2337" s="53"/>
      <c r="U2337" s="31" t="n">
        <f aca="false">IF($B2337&lt;&gt;'設定（最初に1回）'!$C$4,N(U2336),IF(COUNTIFS(①今日の在庫を貼る!$B$6:$B$10005,$B2337,①今日の在庫を貼る!$I$6:$I$10005,$I2337)&gt;0,N(U2336),N(U2336)+1))</f>
        <v>2</v>
      </c>
    </row>
    <row r="2338" customFormat="false" ht="15" hidden="false" customHeight="false" outlineLevel="0" collapsed="false">
      <c r="B2338" s="53"/>
      <c r="I2338" s="53"/>
      <c r="U2338" s="31" t="n">
        <f aca="false">IF($B2338&lt;&gt;'設定（最初に1回）'!$C$4,N(U2337),IF(COUNTIFS(①今日の在庫を貼る!$B$6:$B$10005,$B2338,①今日の在庫を貼る!$I$6:$I$10005,$I2338)&gt;0,N(U2337),N(U2337)+1))</f>
        <v>2</v>
      </c>
    </row>
    <row r="2339" customFormat="false" ht="15" hidden="false" customHeight="false" outlineLevel="0" collapsed="false">
      <c r="B2339" s="53"/>
      <c r="I2339" s="53"/>
      <c r="U2339" s="31" t="n">
        <f aca="false">IF($B2339&lt;&gt;'設定（最初に1回）'!$C$4,N(U2338),IF(COUNTIFS(①今日の在庫を貼る!$B$6:$B$10005,$B2339,①今日の在庫を貼る!$I$6:$I$10005,$I2339)&gt;0,N(U2338),N(U2338)+1))</f>
        <v>2</v>
      </c>
    </row>
    <row r="2340" customFormat="false" ht="15" hidden="false" customHeight="false" outlineLevel="0" collapsed="false">
      <c r="B2340" s="53"/>
      <c r="I2340" s="53"/>
      <c r="U2340" s="31" t="n">
        <f aca="false">IF($B2340&lt;&gt;'設定（最初に1回）'!$C$4,N(U2339),IF(COUNTIFS(①今日の在庫を貼る!$B$6:$B$10005,$B2340,①今日の在庫を貼る!$I$6:$I$10005,$I2340)&gt;0,N(U2339),N(U2339)+1))</f>
        <v>2</v>
      </c>
    </row>
    <row r="2341" customFormat="false" ht="15" hidden="false" customHeight="false" outlineLevel="0" collapsed="false">
      <c r="B2341" s="53"/>
      <c r="I2341" s="53"/>
      <c r="U2341" s="31" t="n">
        <f aca="false">IF($B2341&lt;&gt;'設定（最初に1回）'!$C$4,N(U2340),IF(COUNTIFS(①今日の在庫を貼る!$B$6:$B$10005,$B2341,①今日の在庫を貼る!$I$6:$I$10005,$I2341)&gt;0,N(U2340),N(U2340)+1))</f>
        <v>2</v>
      </c>
    </row>
    <row r="2342" customFormat="false" ht="15" hidden="false" customHeight="false" outlineLevel="0" collapsed="false">
      <c r="B2342" s="53"/>
      <c r="I2342" s="53"/>
      <c r="U2342" s="31" t="n">
        <f aca="false">IF($B2342&lt;&gt;'設定（最初に1回）'!$C$4,N(U2341),IF(COUNTIFS(①今日の在庫を貼る!$B$6:$B$10005,$B2342,①今日の在庫を貼る!$I$6:$I$10005,$I2342)&gt;0,N(U2341),N(U2341)+1))</f>
        <v>2</v>
      </c>
    </row>
    <row r="2343" customFormat="false" ht="15" hidden="false" customHeight="false" outlineLevel="0" collapsed="false">
      <c r="B2343" s="53"/>
      <c r="I2343" s="53"/>
      <c r="U2343" s="31" t="n">
        <f aca="false">IF($B2343&lt;&gt;'設定（最初に1回）'!$C$4,N(U2342),IF(COUNTIFS(①今日の在庫を貼る!$B$6:$B$10005,$B2343,①今日の在庫を貼る!$I$6:$I$10005,$I2343)&gt;0,N(U2342),N(U2342)+1))</f>
        <v>2</v>
      </c>
    </row>
    <row r="2344" customFormat="false" ht="15" hidden="false" customHeight="false" outlineLevel="0" collapsed="false">
      <c r="B2344" s="53"/>
      <c r="I2344" s="53"/>
      <c r="U2344" s="31" t="n">
        <f aca="false">IF($B2344&lt;&gt;'設定（最初に1回）'!$C$4,N(U2343),IF(COUNTIFS(①今日の在庫を貼る!$B$6:$B$10005,$B2344,①今日の在庫を貼る!$I$6:$I$10005,$I2344)&gt;0,N(U2343),N(U2343)+1))</f>
        <v>2</v>
      </c>
    </row>
    <row r="2345" customFormat="false" ht="15" hidden="false" customHeight="false" outlineLevel="0" collapsed="false">
      <c r="B2345" s="53"/>
      <c r="I2345" s="53"/>
      <c r="U2345" s="31" t="n">
        <f aca="false">IF($B2345&lt;&gt;'設定（最初に1回）'!$C$4,N(U2344),IF(COUNTIFS(①今日の在庫を貼る!$B$6:$B$10005,$B2345,①今日の在庫を貼る!$I$6:$I$10005,$I2345)&gt;0,N(U2344),N(U2344)+1))</f>
        <v>2</v>
      </c>
    </row>
    <row r="2346" customFormat="false" ht="15" hidden="false" customHeight="false" outlineLevel="0" collapsed="false">
      <c r="B2346" s="53"/>
      <c r="I2346" s="53"/>
      <c r="U2346" s="31" t="n">
        <f aca="false">IF($B2346&lt;&gt;'設定（最初に1回）'!$C$4,N(U2345),IF(COUNTIFS(①今日の在庫を貼る!$B$6:$B$10005,$B2346,①今日の在庫を貼る!$I$6:$I$10005,$I2346)&gt;0,N(U2345),N(U2345)+1))</f>
        <v>2</v>
      </c>
    </row>
    <row r="2347" customFormat="false" ht="15" hidden="false" customHeight="false" outlineLevel="0" collapsed="false">
      <c r="B2347" s="53"/>
      <c r="I2347" s="53"/>
      <c r="U2347" s="31" t="n">
        <f aca="false">IF($B2347&lt;&gt;'設定（最初に1回）'!$C$4,N(U2346),IF(COUNTIFS(①今日の在庫を貼る!$B$6:$B$10005,$B2347,①今日の在庫を貼る!$I$6:$I$10005,$I2347)&gt;0,N(U2346),N(U2346)+1))</f>
        <v>2</v>
      </c>
    </row>
    <row r="2348" customFormat="false" ht="15" hidden="false" customHeight="false" outlineLevel="0" collapsed="false">
      <c r="B2348" s="53"/>
      <c r="I2348" s="53"/>
      <c r="U2348" s="31" t="n">
        <f aca="false">IF($B2348&lt;&gt;'設定（最初に1回）'!$C$4,N(U2347),IF(COUNTIFS(①今日の在庫を貼る!$B$6:$B$10005,$B2348,①今日の在庫を貼る!$I$6:$I$10005,$I2348)&gt;0,N(U2347),N(U2347)+1))</f>
        <v>2</v>
      </c>
    </row>
    <row r="2349" customFormat="false" ht="15" hidden="false" customHeight="false" outlineLevel="0" collapsed="false">
      <c r="B2349" s="53"/>
      <c r="I2349" s="53"/>
      <c r="U2349" s="31" t="n">
        <f aca="false">IF($B2349&lt;&gt;'設定（最初に1回）'!$C$4,N(U2348),IF(COUNTIFS(①今日の在庫を貼る!$B$6:$B$10005,$B2349,①今日の在庫を貼る!$I$6:$I$10005,$I2349)&gt;0,N(U2348),N(U2348)+1))</f>
        <v>2</v>
      </c>
    </row>
    <row r="2350" customFormat="false" ht="15" hidden="false" customHeight="false" outlineLevel="0" collapsed="false">
      <c r="B2350" s="53"/>
      <c r="I2350" s="53"/>
      <c r="U2350" s="31" t="n">
        <f aca="false">IF($B2350&lt;&gt;'設定（最初に1回）'!$C$4,N(U2349),IF(COUNTIFS(①今日の在庫を貼る!$B$6:$B$10005,$B2350,①今日の在庫を貼る!$I$6:$I$10005,$I2350)&gt;0,N(U2349),N(U2349)+1))</f>
        <v>2</v>
      </c>
    </row>
    <row r="2351" customFormat="false" ht="15" hidden="false" customHeight="false" outlineLevel="0" collapsed="false">
      <c r="B2351" s="53"/>
      <c r="I2351" s="53"/>
      <c r="U2351" s="31" t="n">
        <f aca="false">IF($B2351&lt;&gt;'設定（最初に1回）'!$C$4,N(U2350),IF(COUNTIFS(①今日の在庫を貼る!$B$6:$B$10005,$B2351,①今日の在庫を貼る!$I$6:$I$10005,$I2351)&gt;0,N(U2350),N(U2350)+1))</f>
        <v>2</v>
      </c>
    </row>
    <row r="2352" customFormat="false" ht="15" hidden="false" customHeight="false" outlineLevel="0" collapsed="false">
      <c r="B2352" s="53"/>
      <c r="I2352" s="53"/>
      <c r="U2352" s="31" t="n">
        <f aca="false">IF($B2352&lt;&gt;'設定（最初に1回）'!$C$4,N(U2351),IF(COUNTIFS(①今日の在庫を貼る!$B$6:$B$10005,$B2352,①今日の在庫を貼る!$I$6:$I$10005,$I2352)&gt;0,N(U2351),N(U2351)+1))</f>
        <v>2</v>
      </c>
    </row>
    <row r="2353" customFormat="false" ht="15" hidden="false" customHeight="false" outlineLevel="0" collapsed="false">
      <c r="B2353" s="53"/>
      <c r="I2353" s="53"/>
      <c r="U2353" s="31" t="n">
        <f aca="false">IF($B2353&lt;&gt;'設定（最初に1回）'!$C$4,N(U2352),IF(COUNTIFS(①今日の在庫を貼る!$B$6:$B$10005,$B2353,①今日の在庫を貼る!$I$6:$I$10005,$I2353)&gt;0,N(U2352),N(U2352)+1))</f>
        <v>2</v>
      </c>
    </row>
    <row r="2354" customFormat="false" ht="15" hidden="false" customHeight="false" outlineLevel="0" collapsed="false">
      <c r="B2354" s="53"/>
      <c r="I2354" s="53"/>
      <c r="U2354" s="31" t="n">
        <f aca="false">IF($B2354&lt;&gt;'設定（最初に1回）'!$C$4,N(U2353),IF(COUNTIFS(①今日の在庫を貼る!$B$6:$B$10005,$B2354,①今日の在庫を貼る!$I$6:$I$10005,$I2354)&gt;0,N(U2353),N(U2353)+1))</f>
        <v>2</v>
      </c>
    </row>
    <row r="2355" customFormat="false" ht="15" hidden="false" customHeight="false" outlineLevel="0" collapsed="false">
      <c r="B2355" s="53"/>
      <c r="I2355" s="53"/>
      <c r="U2355" s="31" t="n">
        <f aca="false">IF($B2355&lt;&gt;'設定（最初に1回）'!$C$4,N(U2354),IF(COUNTIFS(①今日の在庫を貼る!$B$6:$B$10005,$B2355,①今日の在庫を貼る!$I$6:$I$10005,$I2355)&gt;0,N(U2354),N(U2354)+1))</f>
        <v>2</v>
      </c>
    </row>
    <row r="2356" customFormat="false" ht="15" hidden="false" customHeight="false" outlineLevel="0" collapsed="false">
      <c r="B2356" s="53"/>
      <c r="I2356" s="53"/>
      <c r="U2356" s="31" t="n">
        <f aca="false">IF($B2356&lt;&gt;'設定（最初に1回）'!$C$4,N(U2355),IF(COUNTIFS(①今日の在庫を貼る!$B$6:$B$10005,$B2356,①今日の在庫を貼る!$I$6:$I$10005,$I2356)&gt;0,N(U2355),N(U2355)+1))</f>
        <v>2</v>
      </c>
    </row>
    <row r="2357" customFormat="false" ht="15" hidden="false" customHeight="false" outlineLevel="0" collapsed="false">
      <c r="B2357" s="53"/>
      <c r="I2357" s="53"/>
      <c r="U2357" s="31" t="n">
        <f aca="false">IF($B2357&lt;&gt;'設定（最初に1回）'!$C$4,N(U2356),IF(COUNTIFS(①今日の在庫を貼る!$B$6:$B$10005,$B2357,①今日の在庫を貼る!$I$6:$I$10005,$I2357)&gt;0,N(U2356),N(U2356)+1))</f>
        <v>2</v>
      </c>
    </row>
    <row r="2358" customFormat="false" ht="15" hidden="false" customHeight="false" outlineLevel="0" collapsed="false">
      <c r="B2358" s="53"/>
      <c r="I2358" s="53"/>
      <c r="U2358" s="31" t="n">
        <f aca="false">IF($B2358&lt;&gt;'設定（最初に1回）'!$C$4,N(U2357),IF(COUNTIFS(①今日の在庫を貼る!$B$6:$B$10005,$B2358,①今日の在庫を貼る!$I$6:$I$10005,$I2358)&gt;0,N(U2357),N(U2357)+1))</f>
        <v>2</v>
      </c>
    </row>
    <row r="2359" customFormat="false" ht="15" hidden="false" customHeight="false" outlineLevel="0" collapsed="false">
      <c r="B2359" s="53"/>
      <c r="I2359" s="53"/>
      <c r="U2359" s="31" t="n">
        <f aca="false">IF($B2359&lt;&gt;'設定（最初に1回）'!$C$4,N(U2358),IF(COUNTIFS(①今日の在庫を貼る!$B$6:$B$10005,$B2359,①今日の在庫を貼る!$I$6:$I$10005,$I2359)&gt;0,N(U2358),N(U2358)+1))</f>
        <v>2</v>
      </c>
    </row>
    <row r="2360" customFormat="false" ht="15" hidden="false" customHeight="false" outlineLevel="0" collapsed="false">
      <c r="B2360" s="53"/>
      <c r="I2360" s="53"/>
      <c r="U2360" s="31" t="n">
        <f aca="false">IF($B2360&lt;&gt;'設定（最初に1回）'!$C$4,N(U2359),IF(COUNTIFS(①今日の在庫を貼る!$B$6:$B$10005,$B2360,①今日の在庫を貼る!$I$6:$I$10005,$I2360)&gt;0,N(U2359),N(U2359)+1))</f>
        <v>2</v>
      </c>
    </row>
    <row r="2361" customFormat="false" ht="15" hidden="false" customHeight="false" outlineLevel="0" collapsed="false">
      <c r="B2361" s="53"/>
      <c r="I2361" s="53"/>
      <c r="U2361" s="31" t="n">
        <f aca="false">IF($B2361&lt;&gt;'設定（最初に1回）'!$C$4,N(U2360),IF(COUNTIFS(①今日の在庫を貼る!$B$6:$B$10005,$B2361,①今日の在庫を貼る!$I$6:$I$10005,$I2361)&gt;0,N(U2360),N(U2360)+1))</f>
        <v>2</v>
      </c>
    </row>
    <row r="2362" customFormat="false" ht="15" hidden="false" customHeight="false" outlineLevel="0" collapsed="false">
      <c r="B2362" s="53"/>
      <c r="I2362" s="53"/>
      <c r="U2362" s="31" t="n">
        <f aca="false">IF($B2362&lt;&gt;'設定（最初に1回）'!$C$4,N(U2361),IF(COUNTIFS(①今日の在庫を貼る!$B$6:$B$10005,$B2362,①今日の在庫を貼る!$I$6:$I$10005,$I2362)&gt;0,N(U2361),N(U2361)+1))</f>
        <v>2</v>
      </c>
    </row>
    <row r="2363" customFormat="false" ht="15" hidden="false" customHeight="false" outlineLevel="0" collapsed="false">
      <c r="B2363" s="53"/>
      <c r="I2363" s="53"/>
      <c r="U2363" s="31" t="n">
        <f aca="false">IF($B2363&lt;&gt;'設定（最初に1回）'!$C$4,N(U2362),IF(COUNTIFS(①今日の在庫を貼る!$B$6:$B$10005,$B2363,①今日の在庫を貼る!$I$6:$I$10005,$I2363)&gt;0,N(U2362),N(U2362)+1))</f>
        <v>2</v>
      </c>
    </row>
    <row r="2364" customFormat="false" ht="15" hidden="false" customHeight="false" outlineLevel="0" collapsed="false">
      <c r="B2364" s="53"/>
      <c r="I2364" s="53"/>
      <c r="U2364" s="31" t="n">
        <f aca="false">IF($B2364&lt;&gt;'設定（最初に1回）'!$C$4,N(U2363),IF(COUNTIFS(①今日の在庫を貼る!$B$6:$B$10005,$B2364,①今日の在庫を貼る!$I$6:$I$10005,$I2364)&gt;0,N(U2363),N(U2363)+1))</f>
        <v>2</v>
      </c>
    </row>
    <row r="2365" customFormat="false" ht="15" hidden="false" customHeight="false" outlineLevel="0" collapsed="false">
      <c r="B2365" s="53"/>
      <c r="I2365" s="53"/>
      <c r="U2365" s="31" t="n">
        <f aca="false">IF($B2365&lt;&gt;'設定（最初に1回）'!$C$4,N(U2364),IF(COUNTIFS(①今日の在庫を貼る!$B$6:$B$10005,$B2365,①今日の在庫を貼る!$I$6:$I$10005,$I2365)&gt;0,N(U2364),N(U2364)+1))</f>
        <v>2</v>
      </c>
    </row>
    <row r="2366" customFormat="false" ht="15" hidden="false" customHeight="false" outlineLevel="0" collapsed="false">
      <c r="B2366" s="53"/>
      <c r="I2366" s="53"/>
      <c r="U2366" s="31" t="n">
        <f aca="false">IF($B2366&lt;&gt;'設定（最初に1回）'!$C$4,N(U2365),IF(COUNTIFS(①今日の在庫を貼る!$B$6:$B$10005,$B2366,①今日の在庫を貼る!$I$6:$I$10005,$I2366)&gt;0,N(U2365),N(U2365)+1))</f>
        <v>2</v>
      </c>
    </row>
    <row r="2367" customFormat="false" ht="15" hidden="false" customHeight="false" outlineLevel="0" collapsed="false">
      <c r="B2367" s="53"/>
      <c r="I2367" s="53"/>
      <c r="U2367" s="31" t="n">
        <f aca="false">IF($B2367&lt;&gt;'設定（最初に1回）'!$C$4,N(U2366),IF(COUNTIFS(①今日の在庫を貼る!$B$6:$B$10005,$B2367,①今日の在庫を貼る!$I$6:$I$10005,$I2367)&gt;0,N(U2366),N(U2366)+1))</f>
        <v>2</v>
      </c>
    </row>
    <row r="2368" customFormat="false" ht="15" hidden="false" customHeight="false" outlineLevel="0" collapsed="false">
      <c r="B2368" s="53"/>
      <c r="I2368" s="53"/>
      <c r="U2368" s="31" t="n">
        <f aca="false">IF($B2368&lt;&gt;'設定（最初に1回）'!$C$4,N(U2367),IF(COUNTIFS(①今日の在庫を貼る!$B$6:$B$10005,$B2368,①今日の在庫を貼る!$I$6:$I$10005,$I2368)&gt;0,N(U2367),N(U2367)+1))</f>
        <v>2</v>
      </c>
    </row>
    <row r="2369" customFormat="false" ht="15" hidden="false" customHeight="false" outlineLevel="0" collapsed="false">
      <c r="B2369" s="53"/>
      <c r="I2369" s="53"/>
      <c r="U2369" s="31" t="n">
        <f aca="false">IF($B2369&lt;&gt;'設定（最初に1回）'!$C$4,N(U2368),IF(COUNTIFS(①今日の在庫を貼る!$B$6:$B$10005,$B2369,①今日の在庫を貼る!$I$6:$I$10005,$I2369)&gt;0,N(U2368),N(U2368)+1))</f>
        <v>2</v>
      </c>
    </row>
    <row r="2370" customFormat="false" ht="15" hidden="false" customHeight="false" outlineLevel="0" collapsed="false">
      <c r="B2370" s="53"/>
      <c r="I2370" s="53"/>
      <c r="U2370" s="31" t="n">
        <f aca="false">IF($B2370&lt;&gt;'設定（最初に1回）'!$C$4,N(U2369),IF(COUNTIFS(①今日の在庫を貼る!$B$6:$B$10005,$B2370,①今日の在庫を貼る!$I$6:$I$10005,$I2370)&gt;0,N(U2369),N(U2369)+1))</f>
        <v>2</v>
      </c>
    </row>
    <row r="2371" customFormat="false" ht="15" hidden="false" customHeight="false" outlineLevel="0" collapsed="false">
      <c r="B2371" s="53"/>
      <c r="I2371" s="53"/>
      <c r="U2371" s="31" t="n">
        <f aca="false">IF($B2371&lt;&gt;'設定（最初に1回）'!$C$4,N(U2370),IF(COUNTIFS(①今日の在庫を貼る!$B$6:$B$10005,$B2371,①今日の在庫を貼る!$I$6:$I$10005,$I2371)&gt;0,N(U2370),N(U2370)+1))</f>
        <v>2</v>
      </c>
    </row>
    <row r="2372" customFormat="false" ht="15" hidden="false" customHeight="false" outlineLevel="0" collapsed="false">
      <c r="B2372" s="53"/>
      <c r="I2372" s="53"/>
      <c r="U2372" s="31" t="n">
        <f aca="false">IF($B2372&lt;&gt;'設定（最初に1回）'!$C$4,N(U2371),IF(COUNTIFS(①今日の在庫を貼る!$B$6:$B$10005,$B2372,①今日の在庫を貼る!$I$6:$I$10005,$I2372)&gt;0,N(U2371),N(U2371)+1))</f>
        <v>2</v>
      </c>
    </row>
    <row r="2373" customFormat="false" ht="15" hidden="false" customHeight="false" outlineLevel="0" collapsed="false">
      <c r="B2373" s="53"/>
      <c r="I2373" s="53"/>
      <c r="U2373" s="31" t="n">
        <f aca="false">IF($B2373&lt;&gt;'設定（最初に1回）'!$C$4,N(U2372),IF(COUNTIFS(①今日の在庫を貼る!$B$6:$B$10005,$B2373,①今日の在庫を貼る!$I$6:$I$10005,$I2373)&gt;0,N(U2372),N(U2372)+1))</f>
        <v>2</v>
      </c>
    </row>
    <row r="2374" customFormat="false" ht="15" hidden="false" customHeight="false" outlineLevel="0" collapsed="false">
      <c r="B2374" s="53"/>
      <c r="I2374" s="53"/>
      <c r="U2374" s="31" t="n">
        <f aca="false">IF($B2374&lt;&gt;'設定（最初に1回）'!$C$4,N(U2373),IF(COUNTIFS(①今日の在庫を貼る!$B$6:$B$10005,$B2374,①今日の在庫を貼る!$I$6:$I$10005,$I2374)&gt;0,N(U2373),N(U2373)+1))</f>
        <v>2</v>
      </c>
    </row>
    <row r="2375" customFormat="false" ht="15" hidden="false" customHeight="false" outlineLevel="0" collapsed="false">
      <c r="B2375" s="53"/>
      <c r="I2375" s="53"/>
      <c r="U2375" s="31" t="n">
        <f aca="false">IF($B2375&lt;&gt;'設定（最初に1回）'!$C$4,N(U2374),IF(COUNTIFS(①今日の在庫を貼る!$B$6:$B$10005,$B2375,①今日の在庫を貼る!$I$6:$I$10005,$I2375)&gt;0,N(U2374),N(U2374)+1))</f>
        <v>2</v>
      </c>
    </row>
    <row r="2376" customFormat="false" ht="15" hidden="false" customHeight="false" outlineLevel="0" collapsed="false">
      <c r="B2376" s="53"/>
      <c r="I2376" s="53"/>
      <c r="U2376" s="31" t="n">
        <f aca="false">IF($B2376&lt;&gt;'設定（最初に1回）'!$C$4,N(U2375),IF(COUNTIFS(①今日の在庫を貼る!$B$6:$B$10005,$B2376,①今日の在庫を貼る!$I$6:$I$10005,$I2376)&gt;0,N(U2375),N(U2375)+1))</f>
        <v>2</v>
      </c>
    </row>
    <row r="2377" customFormat="false" ht="15" hidden="false" customHeight="false" outlineLevel="0" collapsed="false">
      <c r="B2377" s="53"/>
      <c r="I2377" s="53"/>
      <c r="U2377" s="31" t="n">
        <f aca="false">IF($B2377&lt;&gt;'設定（最初に1回）'!$C$4,N(U2376),IF(COUNTIFS(①今日の在庫を貼る!$B$6:$B$10005,$B2377,①今日の在庫を貼る!$I$6:$I$10005,$I2377)&gt;0,N(U2376),N(U2376)+1))</f>
        <v>2</v>
      </c>
    </row>
    <row r="2378" customFormat="false" ht="15" hidden="false" customHeight="false" outlineLevel="0" collapsed="false">
      <c r="B2378" s="53"/>
      <c r="I2378" s="53"/>
      <c r="U2378" s="31" t="n">
        <f aca="false">IF($B2378&lt;&gt;'設定（最初に1回）'!$C$4,N(U2377),IF(COUNTIFS(①今日の在庫を貼る!$B$6:$B$10005,$B2378,①今日の在庫を貼る!$I$6:$I$10005,$I2378)&gt;0,N(U2377),N(U2377)+1))</f>
        <v>2</v>
      </c>
    </row>
    <row r="2379" customFormat="false" ht="15" hidden="false" customHeight="false" outlineLevel="0" collapsed="false">
      <c r="B2379" s="53"/>
      <c r="I2379" s="53"/>
      <c r="U2379" s="31" t="n">
        <f aca="false">IF($B2379&lt;&gt;'設定（最初に1回）'!$C$4,N(U2378),IF(COUNTIFS(①今日の在庫を貼る!$B$6:$B$10005,$B2379,①今日の在庫を貼る!$I$6:$I$10005,$I2379)&gt;0,N(U2378),N(U2378)+1))</f>
        <v>2</v>
      </c>
    </row>
    <row r="2380" customFormat="false" ht="15" hidden="false" customHeight="false" outlineLevel="0" collapsed="false">
      <c r="B2380" s="53"/>
      <c r="I2380" s="53"/>
      <c r="U2380" s="31" t="n">
        <f aca="false">IF($B2380&lt;&gt;'設定（最初に1回）'!$C$4,N(U2379),IF(COUNTIFS(①今日の在庫を貼る!$B$6:$B$10005,$B2380,①今日の在庫を貼る!$I$6:$I$10005,$I2380)&gt;0,N(U2379),N(U2379)+1))</f>
        <v>2</v>
      </c>
    </row>
    <row r="2381" customFormat="false" ht="15" hidden="false" customHeight="false" outlineLevel="0" collapsed="false">
      <c r="B2381" s="53"/>
      <c r="I2381" s="53"/>
      <c r="U2381" s="31" t="n">
        <f aca="false">IF($B2381&lt;&gt;'設定（最初に1回）'!$C$4,N(U2380),IF(COUNTIFS(①今日の在庫を貼る!$B$6:$B$10005,$B2381,①今日の在庫を貼る!$I$6:$I$10005,$I2381)&gt;0,N(U2380),N(U2380)+1))</f>
        <v>2</v>
      </c>
    </row>
    <row r="2382" customFormat="false" ht="15" hidden="false" customHeight="false" outlineLevel="0" collapsed="false">
      <c r="B2382" s="53"/>
      <c r="I2382" s="53"/>
      <c r="U2382" s="31" t="n">
        <f aca="false">IF($B2382&lt;&gt;'設定（最初に1回）'!$C$4,N(U2381),IF(COUNTIFS(①今日の在庫を貼る!$B$6:$B$10005,$B2382,①今日の在庫を貼る!$I$6:$I$10005,$I2382)&gt;0,N(U2381),N(U2381)+1))</f>
        <v>2</v>
      </c>
    </row>
    <row r="2383" customFormat="false" ht="15" hidden="false" customHeight="false" outlineLevel="0" collapsed="false">
      <c r="B2383" s="53"/>
      <c r="I2383" s="53"/>
      <c r="U2383" s="31" t="n">
        <f aca="false">IF($B2383&lt;&gt;'設定（最初に1回）'!$C$4,N(U2382),IF(COUNTIFS(①今日の在庫を貼る!$B$6:$B$10005,$B2383,①今日の在庫を貼る!$I$6:$I$10005,$I2383)&gt;0,N(U2382),N(U2382)+1))</f>
        <v>2</v>
      </c>
    </row>
    <row r="2384" customFormat="false" ht="15" hidden="false" customHeight="false" outlineLevel="0" collapsed="false">
      <c r="B2384" s="53"/>
      <c r="I2384" s="53"/>
      <c r="U2384" s="31" t="n">
        <f aca="false">IF($B2384&lt;&gt;'設定（最初に1回）'!$C$4,N(U2383),IF(COUNTIFS(①今日の在庫を貼る!$B$6:$B$10005,$B2384,①今日の在庫を貼る!$I$6:$I$10005,$I2384)&gt;0,N(U2383),N(U2383)+1))</f>
        <v>2</v>
      </c>
    </row>
    <row r="2385" customFormat="false" ht="15" hidden="false" customHeight="false" outlineLevel="0" collapsed="false">
      <c r="B2385" s="53"/>
      <c r="I2385" s="53"/>
      <c r="U2385" s="31" t="n">
        <f aca="false">IF($B2385&lt;&gt;'設定（最初に1回）'!$C$4,N(U2384),IF(COUNTIFS(①今日の在庫を貼る!$B$6:$B$10005,$B2385,①今日の在庫を貼る!$I$6:$I$10005,$I2385)&gt;0,N(U2384),N(U2384)+1))</f>
        <v>2</v>
      </c>
    </row>
    <row r="2386" customFormat="false" ht="15" hidden="false" customHeight="false" outlineLevel="0" collapsed="false">
      <c r="B2386" s="53"/>
      <c r="I2386" s="53"/>
      <c r="U2386" s="31" t="n">
        <f aca="false">IF($B2386&lt;&gt;'設定（最初に1回）'!$C$4,N(U2385),IF(COUNTIFS(①今日の在庫を貼る!$B$6:$B$10005,$B2386,①今日の在庫を貼る!$I$6:$I$10005,$I2386)&gt;0,N(U2385),N(U2385)+1))</f>
        <v>2</v>
      </c>
    </row>
    <row r="2387" customFormat="false" ht="15" hidden="false" customHeight="false" outlineLevel="0" collapsed="false">
      <c r="B2387" s="53"/>
      <c r="I2387" s="53"/>
      <c r="U2387" s="31" t="n">
        <f aca="false">IF($B2387&lt;&gt;'設定（最初に1回）'!$C$4,N(U2386),IF(COUNTIFS(①今日の在庫を貼る!$B$6:$B$10005,$B2387,①今日の在庫を貼る!$I$6:$I$10005,$I2387)&gt;0,N(U2386),N(U2386)+1))</f>
        <v>2</v>
      </c>
    </row>
    <row r="2388" customFormat="false" ht="15" hidden="false" customHeight="false" outlineLevel="0" collapsed="false">
      <c r="B2388" s="53"/>
      <c r="I2388" s="53"/>
      <c r="U2388" s="31" t="n">
        <f aca="false">IF($B2388&lt;&gt;'設定（最初に1回）'!$C$4,N(U2387),IF(COUNTIFS(①今日の在庫を貼る!$B$6:$B$10005,$B2388,①今日の在庫を貼る!$I$6:$I$10005,$I2388)&gt;0,N(U2387),N(U2387)+1))</f>
        <v>2</v>
      </c>
    </row>
    <row r="2389" customFormat="false" ht="15" hidden="false" customHeight="false" outlineLevel="0" collapsed="false">
      <c r="B2389" s="53"/>
      <c r="I2389" s="53"/>
      <c r="U2389" s="31" t="n">
        <f aca="false">IF($B2389&lt;&gt;'設定（最初に1回）'!$C$4,N(U2388),IF(COUNTIFS(①今日の在庫を貼る!$B$6:$B$10005,$B2389,①今日の在庫を貼る!$I$6:$I$10005,$I2389)&gt;0,N(U2388),N(U2388)+1))</f>
        <v>2</v>
      </c>
    </row>
    <row r="2390" customFormat="false" ht="15" hidden="false" customHeight="false" outlineLevel="0" collapsed="false">
      <c r="B2390" s="53"/>
      <c r="I2390" s="53"/>
      <c r="U2390" s="31" t="n">
        <f aca="false">IF($B2390&lt;&gt;'設定（最初に1回）'!$C$4,N(U2389),IF(COUNTIFS(①今日の在庫を貼る!$B$6:$B$10005,$B2390,①今日の在庫を貼る!$I$6:$I$10005,$I2390)&gt;0,N(U2389),N(U2389)+1))</f>
        <v>2</v>
      </c>
    </row>
    <row r="2391" customFormat="false" ht="15" hidden="false" customHeight="false" outlineLevel="0" collapsed="false">
      <c r="B2391" s="53"/>
      <c r="I2391" s="53"/>
      <c r="U2391" s="31" t="n">
        <f aca="false">IF($B2391&lt;&gt;'設定（最初に1回）'!$C$4,N(U2390),IF(COUNTIFS(①今日の在庫を貼る!$B$6:$B$10005,$B2391,①今日の在庫を貼る!$I$6:$I$10005,$I2391)&gt;0,N(U2390),N(U2390)+1))</f>
        <v>2</v>
      </c>
    </row>
    <row r="2392" customFormat="false" ht="15" hidden="false" customHeight="false" outlineLevel="0" collapsed="false">
      <c r="B2392" s="53"/>
      <c r="I2392" s="53"/>
      <c r="U2392" s="31" t="n">
        <f aca="false">IF($B2392&lt;&gt;'設定（最初に1回）'!$C$4,N(U2391),IF(COUNTIFS(①今日の在庫を貼る!$B$6:$B$10005,$B2392,①今日の在庫を貼る!$I$6:$I$10005,$I2392)&gt;0,N(U2391),N(U2391)+1))</f>
        <v>2</v>
      </c>
    </row>
    <row r="2393" customFormat="false" ht="15" hidden="false" customHeight="false" outlineLevel="0" collapsed="false">
      <c r="B2393" s="53"/>
      <c r="I2393" s="53"/>
      <c r="U2393" s="31" t="n">
        <f aca="false">IF($B2393&lt;&gt;'設定（最初に1回）'!$C$4,N(U2392),IF(COUNTIFS(①今日の在庫を貼る!$B$6:$B$10005,$B2393,①今日の在庫を貼る!$I$6:$I$10005,$I2393)&gt;0,N(U2392),N(U2392)+1))</f>
        <v>2</v>
      </c>
    </row>
    <row r="2394" customFormat="false" ht="15" hidden="false" customHeight="false" outlineLevel="0" collapsed="false">
      <c r="B2394" s="53"/>
      <c r="I2394" s="53"/>
      <c r="U2394" s="31" t="n">
        <f aca="false">IF($B2394&lt;&gt;'設定（最初に1回）'!$C$4,N(U2393),IF(COUNTIFS(①今日の在庫を貼る!$B$6:$B$10005,$B2394,①今日の在庫を貼る!$I$6:$I$10005,$I2394)&gt;0,N(U2393),N(U2393)+1))</f>
        <v>2</v>
      </c>
    </row>
    <row r="2395" customFormat="false" ht="15" hidden="false" customHeight="false" outlineLevel="0" collapsed="false">
      <c r="B2395" s="53"/>
      <c r="I2395" s="53"/>
      <c r="U2395" s="31" t="n">
        <f aca="false">IF($B2395&lt;&gt;'設定（最初に1回）'!$C$4,N(U2394),IF(COUNTIFS(①今日の在庫を貼る!$B$6:$B$10005,$B2395,①今日の在庫を貼る!$I$6:$I$10005,$I2395)&gt;0,N(U2394),N(U2394)+1))</f>
        <v>2</v>
      </c>
    </row>
    <row r="2396" customFormat="false" ht="15" hidden="false" customHeight="false" outlineLevel="0" collapsed="false">
      <c r="B2396" s="53"/>
      <c r="I2396" s="53"/>
      <c r="U2396" s="31" t="n">
        <f aca="false">IF($B2396&lt;&gt;'設定（最初に1回）'!$C$4,N(U2395),IF(COUNTIFS(①今日の在庫を貼る!$B$6:$B$10005,$B2396,①今日の在庫を貼る!$I$6:$I$10005,$I2396)&gt;0,N(U2395),N(U2395)+1))</f>
        <v>2</v>
      </c>
    </row>
    <row r="2397" customFormat="false" ht="15" hidden="false" customHeight="false" outlineLevel="0" collapsed="false">
      <c r="B2397" s="53"/>
      <c r="I2397" s="53"/>
      <c r="U2397" s="31" t="n">
        <f aca="false">IF($B2397&lt;&gt;'設定（最初に1回）'!$C$4,N(U2396),IF(COUNTIFS(①今日の在庫を貼る!$B$6:$B$10005,$B2397,①今日の在庫を貼る!$I$6:$I$10005,$I2397)&gt;0,N(U2396),N(U2396)+1))</f>
        <v>2</v>
      </c>
    </row>
    <row r="2398" customFormat="false" ht="15" hidden="false" customHeight="false" outlineLevel="0" collapsed="false">
      <c r="B2398" s="53"/>
      <c r="I2398" s="53"/>
      <c r="U2398" s="31" t="n">
        <f aca="false">IF($B2398&lt;&gt;'設定（最初に1回）'!$C$4,N(U2397),IF(COUNTIFS(①今日の在庫を貼る!$B$6:$B$10005,$B2398,①今日の在庫を貼る!$I$6:$I$10005,$I2398)&gt;0,N(U2397),N(U2397)+1))</f>
        <v>2</v>
      </c>
    </row>
    <row r="2399" customFormat="false" ht="15" hidden="false" customHeight="false" outlineLevel="0" collapsed="false">
      <c r="B2399" s="53"/>
      <c r="I2399" s="53"/>
      <c r="U2399" s="31" t="n">
        <f aca="false">IF($B2399&lt;&gt;'設定（最初に1回）'!$C$4,N(U2398),IF(COUNTIFS(①今日の在庫を貼る!$B$6:$B$10005,$B2399,①今日の在庫を貼る!$I$6:$I$10005,$I2399)&gt;0,N(U2398),N(U2398)+1))</f>
        <v>2</v>
      </c>
    </row>
    <row r="2400" customFormat="false" ht="15" hidden="false" customHeight="false" outlineLevel="0" collapsed="false">
      <c r="B2400" s="53"/>
      <c r="I2400" s="53"/>
      <c r="U2400" s="31" t="n">
        <f aca="false">IF($B2400&lt;&gt;'設定（最初に1回）'!$C$4,N(U2399),IF(COUNTIFS(①今日の在庫を貼る!$B$6:$B$10005,$B2400,①今日の在庫を貼る!$I$6:$I$10005,$I2400)&gt;0,N(U2399),N(U2399)+1))</f>
        <v>2</v>
      </c>
    </row>
    <row r="2401" customFormat="false" ht="15" hidden="false" customHeight="false" outlineLevel="0" collapsed="false">
      <c r="B2401" s="53"/>
      <c r="I2401" s="53"/>
      <c r="U2401" s="31" t="n">
        <f aca="false">IF($B2401&lt;&gt;'設定（最初に1回）'!$C$4,N(U2400),IF(COUNTIFS(①今日の在庫を貼る!$B$6:$B$10005,$B2401,①今日の在庫を貼る!$I$6:$I$10005,$I2401)&gt;0,N(U2400),N(U2400)+1))</f>
        <v>2</v>
      </c>
    </row>
    <row r="2402" customFormat="false" ht="15" hidden="false" customHeight="false" outlineLevel="0" collapsed="false">
      <c r="B2402" s="53"/>
      <c r="I2402" s="53"/>
      <c r="U2402" s="31" t="n">
        <f aca="false">IF($B2402&lt;&gt;'設定（最初に1回）'!$C$4,N(U2401),IF(COUNTIFS(①今日の在庫を貼る!$B$6:$B$10005,$B2402,①今日の在庫を貼る!$I$6:$I$10005,$I2402)&gt;0,N(U2401),N(U2401)+1))</f>
        <v>2</v>
      </c>
    </row>
    <row r="2403" customFormat="false" ht="15" hidden="false" customHeight="false" outlineLevel="0" collapsed="false">
      <c r="B2403" s="53"/>
      <c r="I2403" s="53"/>
      <c r="U2403" s="31" t="n">
        <f aca="false">IF($B2403&lt;&gt;'設定（最初に1回）'!$C$4,N(U2402),IF(COUNTIFS(①今日の在庫を貼る!$B$6:$B$10005,$B2403,①今日の在庫を貼る!$I$6:$I$10005,$I2403)&gt;0,N(U2402),N(U2402)+1))</f>
        <v>2</v>
      </c>
    </row>
    <row r="2404" customFormat="false" ht="15" hidden="false" customHeight="false" outlineLevel="0" collapsed="false">
      <c r="B2404" s="53"/>
      <c r="I2404" s="53"/>
      <c r="U2404" s="31" t="n">
        <f aca="false">IF($B2404&lt;&gt;'設定（最初に1回）'!$C$4,N(U2403),IF(COUNTIFS(①今日の在庫を貼る!$B$6:$B$10005,$B2404,①今日の在庫を貼る!$I$6:$I$10005,$I2404)&gt;0,N(U2403),N(U2403)+1))</f>
        <v>2</v>
      </c>
    </row>
    <row r="2405" customFormat="false" ht="15" hidden="false" customHeight="false" outlineLevel="0" collapsed="false">
      <c r="B2405" s="53"/>
      <c r="I2405" s="53"/>
      <c r="U2405" s="31" t="n">
        <f aca="false">IF($B2405&lt;&gt;'設定（最初に1回）'!$C$4,N(U2404),IF(COUNTIFS(①今日の在庫を貼る!$B$6:$B$10005,$B2405,①今日の在庫を貼る!$I$6:$I$10005,$I2405)&gt;0,N(U2404),N(U2404)+1))</f>
        <v>2</v>
      </c>
    </row>
    <row r="2406" customFormat="false" ht="15" hidden="false" customHeight="false" outlineLevel="0" collapsed="false">
      <c r="B2406" s="53"/>
      <c r="I2406" s="53"/>
      <c r="U2406" s="31" t="n">
        <f aca="false">IF($B2406&lt;&gt;'設定（最初に1回）'!$C$4,N(U2405),IF(COUNTIFS(①今日の在庫を貼る!$B$6:$B$10005,$B2406,①今日の在庫を貼る!$I$6:$I$10005,$I2406)&gt;0,N(U2405),N(U2405)+1))</f>
        <v>2</v>
      </c>
    </row>
    <row r="2407" customFormat="false" ht="15" hidden="false" customHeight="false" outlineLevel="0" collapsed="false">
      <c r="B2407" s="53"/>
      <c r="I2407" s="53"/>
      <c r="U2407" s="31" t="n">
        <f aca="false">IF($B2407&lt;&gt;'設定（最初に1回）'!$C$4,N(U2406),IF(COUNTIFS(①今日の在庫を貼る!$B$6:$B$10005,$B2407,①今日の在庫を貼る!$I$6:$I$10005,$I2407)&gt;0,N(U2406),N(U2406)+1))</f>
        <v>2</v>
      </c>
    </row>
    <row r="2408" customFormat="false" ht="15" hidden="false" customHeight="false" outlineLevel="0" collapsed="false">
      <c r="B2408" s="53"/>
      <c r="I2408" s="53"/>
      <c r="U2408" s="31" t="n">
        <f aca="false">IF($B2408&lt;&gt;'設定（最初に1回）'!$C$4,N(U2407),IF(COUNTIFS(①今日の在庫を貼る!$B$6:$B$10005,$B2408,①今日の在庫を貼る!$I$6:$I$10005,$I2408)&gt;0,N(U2407),N(U2407)+1))</f>
        <v>2</v>
      </c>
    </row>
    <row r="2409" customFormat="false" ht="15" hidden="false" customHeight="false" outlineLevel="0" collapsed="false">
      <c r="B2409" s="53"/>
      <c r="I2409" s="53"/>
      <c r="U2409" s="31" t="n">
        <f aca="false">IF($B2409&lt;&gt;'設定（最初に1回）'!$C$4,N(U2408),IF(COUNTIFS(①今日の在庫を貼る!$B$6:$B$10005,$B2409,①今日の在庫を貼る!$I$6:$I$10005,$I2409)&gt;0,N(U2408),N(U2408)+1))</f>
        <v>2</v>
      </c>
    </row>
    <row r="2410" customFormat="false" ht="15" hidden="false" customHeight="false" outlineLevel="0" collapsed="false">
      <c r="B2410" s="53"/>
      <c r="I2410" s="53"/>
      <c r="U2410" s="31" t="n">
        <f aca="false">IF($B2410&lt;&gt;'設定（最初に1回）'!$C$4,N(U2409),IF(COUNTIFS(①今日の在庫を貼る!$B$6:$B$10005,$B2410,①今日の在庫を貼る!$I$6:$I$10005,$I2410)&gt;0,N(U2409),N(U2409)+1))</f>
        <v>2</v>
      </c>
    </row>
    <row r="2411" customFormat="false" ht="15" hidden="false" customHeight="false" outlineLevel="0" collapsed="false">
      <c r="B2411" s="53"/>
      <c r="I2411" s="53"/>
      <c r="U2411" s="31" t="n">
        <f aca="false">IF($B2411&lt;&gt;'設定（最初に1回）'!$C$4,N(U2410),IF(COUNTIFS(①今日の在庫を貼る!$B$6:$B$10005,$B2411,①今日の在庫を貼る!$I$6:$I$10005,$I2411)&gt;0,N(U2410),N(U2410)+1))</f>
        <v>2</v>
      </c>
    </row>
    <row r="2412" customFormat="false" ht="15" hidden="false" customHeight="false" outlineLevel="0" collapsed="false">
      <c r="B2412" s="53"/>
      <c r="I2412" s="53"/>
      <c r="U2412" s="31" t="n">
        <f aca="false">IF($B2412&lt;&gt;'設定（最初に1回）'!$C$4,N(U2411),IF(COUNTIFS(①今日の在庫を貼る!$B$6:$B$10005,$B2412,①今日の在庫を貼る!$I$6:$I$10005,$I2412)&gt;0,N(U2411),N(U2411)+1))</f>
        <v>2</v>
      </c>
    </row>
    <row r="2413" customFormat="false" ht="15" hidden="false" customHeight="false" outlineLevel="0" collapsed="false">
      <c r="B2413" s="53"/>
      <c r="I2413" s="53"/>
      <c r="U2413" s="31" t="n">
        <f aca="false">IF($B2413&lt;&gt;'設定（最初に1回）'!$C$4,N(U2412),IF(COUNTIFS(①今日の在庫を貼る!$B$6:$B$10005,$B2413,①今日の在庫を貼る!$I$6:$I$10005,$I2413)&gt;0,N(U2412),N(U2412)+1))</f>
        <v>2</v>
      </c>
    </row>
    <row r="2414" customFormat="false" ht="15" hidden="false" customHeight="false" outlineLevel="0" collapsed="false">
      <c r="B2414" s="53"/>
      <c r="I2414" s="53"/>
      <c r="U2414" s="31" t="n">
        <f aca="false">IF($B2414&lt;&gt;'設定（最初に1回）'!$C$4,N(U2413),IF(COUNTIFS(①今日の在庫を貼る!$B$6:$B$10005,$B2414,①今日の在庫を貼る!$I$6:$I$10005,$I2414)&gt;0,N(U2413),N(U2413)+1))</f>
        <v>2</v>
      </c>
    </row>
    <row r="2415" customFormat="false" ht="15" hidden="false" customHeight="false" outlineLevel="0" collapsed="false">
      <c r="B2415" s="53"/>
      <c r="I2415" s="53"/>
      <c r="U2415" s="31" t="n">
        <f aca="false">IF($B2415&lt;&gt;'設定（最初に1回）'!$C$4,N(U2414),IF(COUNTIFS(①今日の在庫を貼る!$B$6:$B$10005,$B2415,①今日の在庫を貼る!$I$6:$I$10005,$I2415)&gt;0,N(U2414),N(U2414)+1))</f>
        <v>2</v>
      </c>
    </row>
    <row r="2416" customFormat="false" ht="15" hidden="false" customHeight="false" outlineLevel="0" collapsed="false">
      <c r="B2416" s="53"/>
      <c r="I2416" s="53"/>
      <c r="U2416" s="31" t="n">
        <f aca="false">IF($B2416&lt;&gt;'設定（最初に1回）'!$C$4,N(U2415),IF(COUNTIFS(①今日の在庫を貼る!$B$6:$B$10005,$B2416,①今日の在庫を貼る!$I$6:$I$10005,$I2416)&gt;0,N(U2415),N(U2415)+1))</f>
        <v>2</v>
      </c>
    </row>
    <row r="2417" customFormat="false" ht="15" hidden="false" customHeight="false" outlineLevel="0" collapsed="false">
      <c r="B2417" s="53"/>
      <c r="I2417" s="53"/>
      <c r="U2417" s="31" t="n">
        <f aca="false">IF($B2417&lt;&gt;'設定（最初に1回）'!$C$4,N(U2416),IF(COUNTIFS(①今日の在庫を貼る!$B$6:$B$10005,$B2417,①今日の在庫を貼る!$I$6:$I$10005,$I2417)&gt;0,N(U2416),N(U2416)+1))</f>
        <v>2</v>
      </c>
    </row>
    <row r="2418" customFormat="false" ht="15" hidden="false" customHeight="false" outlineLevel="0" collapsed="false">
      <c r="B2418" s="53"/>
      <c r="I2418" s="53"/>
      <c r="U2418" s="31" t="n">
        <f aca="false">IF($B2418&lt;&gt;'設定（最初に1回）'!$C$4,N(U2417),IF(COUNTIFS(①今日の在庫を貼る!$B$6:$B$10005,$B2418,①今日の在庫を貼る!$I$6:$I$10005,$I2418)&gt;0,N(U2417),N(U2417)+1))</f>
        <v>2</v>
      </c>
    </row>
    <row r="2419" customFormat="false" ht="15" hidden="false" customHeight="false" outlineLevel="0" collapsed="false">
      <c r="B2419" s="53"/>
      <c r="I2419" s="53"/>
      <c r="U2419" s="31" t="n">
        <f aca="false">IF($B2419&lt;&gt;'設定（最初に1回）'!$C$4,N(U2418),IF(COUNTIFS(①今日の在庫を貼る!$B$6:$B$10005,$B2419,①今日の在庫を貼る!$I$6:$I$10005,$I2419)&gt;0,N(U2418),N(U2418)+1))</f>
        <v>2</v>
      </c>
    </row>
    <row r="2420" customFormat="false" ht="15" hidden="false" customHeight="false" outlineLevel="0" collapsed="false">
      <c r="B2420" s="53"/>
      <c r="I2420" s="53"/>
      <c r="U2420" s="31" t="n">
        <f aca="false">IF($B2420&lt;&gt;'設定（最初に1回）'!$C$4,N(U2419),IF(COUNTIFS(①今日の在庫を貼る!$B$6:$B$10005,$B2420,①今日の在庫を貼る!$I$6:$I$10005,$I2420)&gt;0,N(U2419),N(U2419)+1))</f>
        <v>2</v>
      </c>
    </row>
    <row r="2421" customFormat="false" ht="15" hidden="false" customHeight="false" outlineLevel="0" collapsed="false">
      <c r="B2421" s="53"/>
      <c r="I2421" s="53"/>
      <c r="U2421" s="31" t="n">
        <f aca="false">IF($B2421&lt;&gt;'設定（最初に1回）'!$C$4,N(U2420),IF(COUNTIFS(①今日の在庫を貼る!$B$6:$B$10005,$B2421,①今日の在庫を貼る!$I$6:$I$10005,$I2421)&gt;0,N(U2420),N(U2420)+1))</f>
        <v>2</v>
      </c>
    </row>
    <row r="2422" customFormat="false" ht="15" hidden="false" customHeight="false" outlineLevel="0" collapsed="false">
      <c r="B2422" s="53"/>
      <c r="I2422" s="53"/>
      <c r="U2422" s="31" t="n">
        <f aca="false">IF($B2422&lt;&gt;'設定（最初に1回）'!$C$4,N(U2421),IF(COUNTIFS(①今日の在庫を貼る!$B$6:$B$10005,$B2422,①今日の在庫を貼る!$I$6:$I$10005,$I2422)&gt;0,N(U2421),N(U2421)+1))</f>
        <v>2</v>
      </c>
    </row>
    <row r="2423" customFormat="false" ht="15" hidden="false" customHeight="false" outlineLevel="0" collapsed="false">
      <c r="B2423" s="53"/>
      <c r="I2423" s="53"/>
      <c r="U2423" s="31" t="n">
        <f aca="false">IF($B2423&lt;&gt;'設定（最初に1回）'!$C$4,N(U2422),IF(COUNTIFS(①今日の在庫を貼る!$B$6:$B$10005,$B2423,①今日の在庫を貼る!$I$6:$I$10005,$I2423)&gt;0,N(U2422),N(U2422)+1))</f>
        <v>2</v>
      </c>
    </row>
    <row r="2424" customFormat="false" ht="15" hidden="false" customHeight="false" outlineLevel="0" collapsed="false">
      <c r="B2424" s="53"/>
      <c r="I2424" s="53"/>
      <c r="U2424" s="31" t="n">
        <f aca="false">IF($B2424&lt;&gt;'設定（最初に1回）'!$C$4,N(U2423),IF(COUNTIFS(①今日の在庫を貼る!$B$6:$B$10005,$B2424,①今日の在庫を貼る!$I$6:$I$10005,$I2424)&gt;0,N(U2423),N(U2423)+1))</f>
        <v>2</v>
      </c>
    </row>
    <row r="2425" customFormat="false" ht="15" hidden="false" customHeight="false" outlineLevel="0" collapsed="false">
      <c r="B2425" s="53"/>
      <c r="I2425" s="53"/>
      <c r="U2425" s="31" t="n">
        <f aca="false">IF($B2425&lt;&gt;'設定（最初に1回）'!$C$4,N(U2424),IF(COUNTIFS(①今日の在庫を貼る!$B$6:$B$10005,$B2425,①今日の在庫を貼る!$I$6:$I$10005,$I2425)&gt;0,N(U2424),N(U2424)+1))</f>
        <v>2</v>
      </c>
    </row>
    <row r="2426" customFormat="false" ht="15" hidden="false" customHeight="false" outlineLevel="0" collapsed="false">
      <c r="B2426" s="53"/>
      <c r="I2426" s="53"/>
      <c r="U2426" s="31" t="n">
        <f aca="false">IF($B2426&lt;&gt;'設定（最初に1回）'!$C$4,N(U2425),IF(COUNTIFS(①今日の在庫を貼る!$B$6:$B$10005,$B2426,①今日の在庫を貼る!$I$6:$I$10005,$I2426)&gt;0,N(U2425),N(U2425)+1))</f>
        <v>2</v>
      </c>
    </row>
    <row r="2427" customFormat="false" ht="15" hidden="false" customHeight="false" outlineLevel="0" collapsed="false">
      <c r="B2427" s="53"/>
      <c r="I2427" s="53"/>
      <c r="U2427" s="31" t="n">
        <f aca="false">IF($B2427&lt;&gt;'設定（最初に1回）'!$C$4,N(U2426),IF(COUNTIFS(①今日の在庫を貼る!$B$6:$B$10005,$B2427,①今日の在庫を貼る!$I$6:$I$10005,$I2427)&gt;0,N(U2426),N(U2426)+1))</f>
        <v>2</v>
      </c>
    </row>
    <row r="2428" customFormat="false" ht="15" hidden="false" customHeight="false" outlineLevel="0" collapsed="false">
      <c r="B2428" s="53"/>
      <c r="I2428" s="53"/>
      <c r="U2428" s="31" t="n">
        <f aca="false">IF($B2428&lt;&gt;'設定（最初に1回）'!$C$4,N(U2427),IF(COUNTIFS(①今日の在庫を貼る!$B$6:$B$10005,$B2428,①今日の在庫を貼る!$I$6:$I$10005,$I2428)&gt;0,N(U2427),N(U2427)+1))</f>
        <v>2</v>
      </c>
    </row>
    <row r="2429" customFormat="false" ht="15" hidden="false" customHeight="false" outlineLevel="0" collapsed="false">
      <c r="B2429" s="53"/>
      <c r="I2429" s="53"/>
      <c r="U2429" s="31" t="n">
        <f aca="false">IF($B2429&lt;&gt;'設定（最初に1回）'!$C$4,N(U2428),IF(COUNTIFS(①今日の在庫を貼る!$B$6:$B$10005,$B2429,①今日の在庫を貼る!$I$6:$I$10005,$I2429)&gt;0,N(U2428),N(U2428)+1))</f>
        <v>2</v>
      </c>
    </row>
    <row r="2430" customFormat="false" ht="15" hidden="false" customHeight="false" outlineLevel="0" collapsed="false">
      <c r="B2430" s="53"/>
      <c r="I2430" s="53"/>
      <c r="U2430" s="31" t="n">
        <f aca="false">IF($B2430&lt;&gt;'設定（最初に1回）'!$C$4,N(U2429),IF(COUNTIFS(①今日の在庫を貼る!$B$6:$B$10005,$B2430,①今日の在庫を貼る!$I$6:$I$10005,$I2430)&gt;0,N(U2429),N(U2429)+1))</f>
        <v>2</v>
      </c>
    </row>
    <row r="2431" customFormat="false" ht="15" hidden="false" customHeight="false" outlineLevel="0" collapsed="false">
      <c r="B2431" s="53"/>
      <c r="I2431" s="53"/>
      <c r="U2431" s="31" t="n">
        <f aca="false">IF($B2431&lt;&gt;'設定（最初に1回）'!$C$4,N(U2430),IF(COUNTIFS(①今日の在庫を貼る!$B$6:$B$10005,$B2431,①今日の在庫を貼る!$I$6:$I$10005,$I2431)&gt;0,N(U2430),N(U2430)+1))</f>
        <v>2</v>
      </c>
    </row>
    <row r="2432" customFormat="false" ht="15" hidden="false" customHeight="false" outlineLevel="0" collapsed="false">
      <c r="B2432" s="53"/>
      <c r="I2432" s="53"/>
      <c r="U2432" s="31" t="n">
        <f aca="false">IF($B2432&lt;&gt;'設定（最初に1回）'!$C$4,N(U2431),IF(COUNTIFS(①今日の在庫を貼る!$B$6:$B$10005,$B2432,①今日の在庫を貼る!$I$6:$I$10005,$I2432)&gt;0,N(U2431),N(U2431)+1))</f>
        <v>2</v>
      </c>
    </row>
    <row r="2433" customFormat="false" ht="15" hidden="false" customHeight="false" outlineLevel="0" collapsed="false">
      <c r="B2433" s="53"/>
      <c r="I2433" s="53"/>
      <c r="U2433" s="31" t="n">
        <f aca="false">IF($B2433&lt;&gt;'設定（最初に1回）'!$C$4,N(U2432),IF(COUNTIFS(①今日の在庫を貼る!$B$6:$B$10005,$B2433,①今日の在庫を貼る!$I$6:$I$10005,$I2433)&gt;0,N(U2432),N(U2432)+1))</f>
        <v>2</v>
      </c>
    </row>
    <row r="2434" customFormat="false" ht="15" hidden="false" customHeight="false" outlineLevel="0" collapsed="false">
      <c r="B2434" s="53"/>
      <c r="I2434" s="53"/>
      <c r="U2434" s="31" t="n">
        <f aca="false">IF($B2434&lt;&gt;'設定（最初に1回）'!$C$4,N(U2433),IF(COUNTIFS(①今日の在庫を貼る!$B$6:$B$10005,$B2434,①今日の在庫を貼る!$I$6:$I$10005,$I2434)&gt;0,N(U2433),N(U2433)+1))</f>
        <v>2</v>
      </c>
    </row>
    <row r="2435" customFormat="false" ht="15" hidden="false" customHeight="false" outlineLevel="0" collapsed="false">
      <c r="B2435" s="53"/>
      <c r="I2435" s="53"/>
      <c r="U2435" s="31" t="n">
        <f aca="false">IF($B2435&lt;&gt;'設定（最初に1回）'!$C$4,N(U2434),IF(COUNTIFS(①今日の在庫を貼る!$B$6:$B$10005,$B2435,①今日の在庫を貼る!$I$6:$I$10005,$I2435)&gt;0,N(U2434),N(U2434)+1))</f>
        <v>2</v>
      </c>
    </row>
    <row r="2436" customFormat="false" ht="15" hidden="false" customHeight="false" outlineLevel="0" collapsed="false">
      <c r="B2436" s="53"/>
      <c r="I2436" s="53"/>
      <c r="U2436" s="31" t="n">
        <f aca="false">IF($B2436&lt;&gt;'設定（最初に1回）'!$C$4,N(U2435),IF(COUNTIFS(①今日の在庫を貼る!$B$6:$B$10005,$B2436,①今日の在庫を貼る!$I$6:$I$10005,$I2436)&gt;0,N(U2435),N(U2435)+1))</f>
        <v>2</v>
      </c>
    </row>
    <row r="2437" customFormat="false" ht="15" hidden="false" customHeight="false" outlineLevel="0" collapsed="false">
      <c r="B2437" s="53"/>
      <c r="I2437" s="53"/>
      <c r="U2437" s="31" t="n">
        <f aca="false">IF($B2437&lt;&gt;'設定（最初に1回）'!$C$4,N(U2436),IF(COUNTIFS(①今日の在庫を貼る!$B$6:$B$10005,$B2437,①今日の在庫を貼る!$I$6:$I$10005,$I2437)&gt;0,N(U2436),N(U2436)+1))</f>
        <v>2</v>
      </c>
    </row>
    <row r="2438" customFormat="false" ht="15" hidden="false" customHeight="false" outlineLevel="0" collapsed="false">
      <c r="B2438" s="53"/>
      <c r="I2438" s="53"/>
      <c r="U2438" s="31" t="n">
        <f aca="false">IF($B2438&lt;&gt;'設定（最初に1回）'!$C$4,N(U2437),IF(COUNTIFS(①今日の在庫を貼る!$B$6:$B$10005,$B2438,①今日の在庫を貼る!$I$6:$I$10005,$I2438)&gt;0,N(U2437),N(U2437)+1))</f>
        <v>2</v>
      </c>
    </row>
    <row r="2439" customFormat="false" ht="15" hidden="false" customHeight="false" outlineLevel="0" collapsed="false">
      <c r="B2439" s="53"/>
      <c r="I2439" s="53"/>
      <c r="U2439" s="31" t="n">
        <f aca="false">IF($B2439&lt;&gt;'設定（最初に1回）'!$C$4,N(U2438),IF(COUNTIFS(①今日の在庫を貼る!$B$6:$B$10005,$B2439,①今日の在庫を貼る!$I$6:$I$10005,$I2439)&gt;0,N(U2438),N(U2438)+1))</f>
        <v>2</v>
      </c>
    </row>
    <row r="2440" customFormat="false" ht="15" hidden="false" customHeight="false" outlineLevel="0" collapsed="false">
      <c r="B2440" s="53"/>
      <c r="I2440" s="53"/>
      <c r="U2440" s="31" t="n">
        <f aca="false">IF($B2440&lt;&gt;'設定（最初に1回）'!$C$4,N(U2439),IF(COUNTIFS(①今日の在庫を貼る!$B$6:$B$10005,$B2440,①今日の在庫を貼る!$I$6:$I$10005,$I2440)&gt;0,N(U2439),N(U2439)+1))</f>
        <v>2</v>
      </c>
    </row>
    <row r="2441" customFormat="false" ht="15" hidden="false" customHeight="false" outlineLevel="0" collapsed="false">
      <c r="B2441" s="53"/>
      <c r="I2441" s="53"/>
      <c r="U2441" s="31" t="n">
        <f aca="false">IF($B2441&lt;&gt;'設定（最初に1回）'!$C$4,N(U2440),IF(COUNTIFS(①今日の在庫を貼る!$B$6:$B$10005,$B2441,①今日の在庫を貼る!$I$6:$I$10005,$I2441)&gt;0,N(U2440),N(U2440)+1))</f>
        <v>2</v>
      </c>
    </row>
    <row r="2442" customFormat="false" ht="15" hidden="false" customHeight="false" outlineLevel="0" collapsed="false">
      <c r="B2442" s="53"/>
      <c r="I2442" s="53"/>
      <c r="U2442" s="31" t="n">
        <f aca="false">IF($B2442&lt;&gt;'設定（最初に1回）'!$C$4,N(U2441),IF(COUNTIFS(①今日の在庫を貼る!$B$6:$B$10005,$B2442,①今日の在庫を貼る!$I$6:$I$10005,$I2442)&gt;0,N(U2441),N(U2441)+1))</f>
        <v>2</v>
      </c>
    </row>
    <row r="2443" customFormat="false" ht="15" hidden="false" customHeight="false" outlineLevel="0" collapsed="false">
      <c r="B2443" s="53"/>
      <c r="I2443" s="53"/>
      <c r="U2443" s="31" t="n">
        <f aca="false">IF($B2443&lt;&gt;'設定（最初に1回）'!$C$4,N(U2442),IF(COUNTIFS(①今日の在庫を貼る!$B$6:$B$10005,$B2443,①今日の在庫を貼る!$I$6:$I$10005,$I2443)&gt;0,N(U2442),N(U2442)+1))</f>
        <v>2</v>
      </c>
    </row>
    <row r="2444" customFormat="false" ht="15" hidden="false" customHeight="false" outlineLevel="0" collapsed="false">
      <c r="B2444" s="53"/>
      <c r="I2444" s="53"/>
      <c r="U2444" s="31" t="n">
        <f aca="false">IF($B2444&lt;&gt;'設定（最初に1回）'!$C$4,N(U2443),IF(COUNTIFS(①今日の在庫を貼る!$B$6:$B$10005,$B2444,①今日の在庫を貼る!$I$6:$I$10005,$I2444)&gt;0,N(U2443),N(U2443)+1))</f>
        <v>2</v>
      </c>
    </row>
    <row r="2445" customFormat="false" ht="15" hidden="false" customHeight="false" outlineLevel="0" collapsed="false">
      <c r="B2445" s="53"/>
      <c r="I2445" s="53"/>
      <c r="U2445" s="31" t="n">
        <f aca="false">IF($B2445&lt;&gt;'設定（最初に1回）'!$C$4,N(U2444),IF(COUNTIFS(①今日の在庫を貼る!$B$6:$B$10005,$B2445,①今日の在庫を貼る!$I$6:$I$10005,$I2445)&gt;0,N(U2444),N(U2444)+1))</f>
        <v>2</v>
      </c>
    </row>
    <row r="2446" customFormat="false" ht="15" hidden="false" customHeight="false" outlineLevel="0" collapsed="false">
      <c r="B2446" s="53"/>
      <c r="I2446" s="53"/>
      <c r="U2446" s="31" t="n">
        <f aca="false">IF($B2446&lt;&gt;'設定（最初に1回）'!$C$4,N(U2445),IF(COUNTIFS(①今日の在庫を貼る!$B$6:$B$10005,$B2446,①今日の在庫を貼る!$I$6:$I$10005,$I2446)&gt;0,N(U2445),N(U2445)+1))</f>
        <v>2</v>
      </c>
    </row>
    <row r="2447" customFormat="false" ht="15" hidden="false" customHeight="false" outlineLevel="0" collapsed="false">
      <c r="B2447" s="53"/>
      <c r="I2447" s="53"/>
      <c r="U2447" s="31" t="n">
        <f aca="false">IF($B2447&lt;&gt;'設定（最初に1回）'!$C$4,N(U2446),IF(COUNTIFS(①今日の在庫を貼る!$B$6:$B$10005,$B2447,①今日の在庫を貼る!$I$6:$I$10005,$I2447)&gt;0,N(U2446),N(U2446)+1))</f>
        <v>2</v>
      </c>
    </row>
    <row r="2448" customFormat="false" ht="15" hidden="false" customHeight="false" outlineLevel="0" collapsed="false">
      <c r="B2448" s="53"/>
      <c r="I2448" s="53"/>
      <c r="U2448" s="31" t="n">
        <f aca="false">IF($B2448&lt;&gt;'設定（最初に1回）'!$C$4,N(U2447),IF(COUNTIFS(①今日の在庫を貼る!$B$6:$B$10005,$B2448,①今日の在庫を貼る!$I$6:$I$10005,$I2448)&gt;0,N(U2447),N(U2447)+1))</f>
        <v>2</v>
      </c>
    </row>
    <row r="2449" customFormat="false" ht="15" hidden="false" customHeight="false" outlineLevel="0" collapsed="false">
      <c r="B2449" s="53"/>
      <c r="I2449" s="53"/>
      <c r="U2449" s="31" t="n">
        <f aca="false">IF($B2449&lt;&gt;'設定（最初に1回）'!$C$4,N(U2448),IF(COUNTIFS(①今日の在庫を貼る!$B$6:$B$10005,$B2449,①今日の在庫を貼る!$I$6:$I$10005,$I2449)&gt;0,N(U2448),N(U2448)+1))</f>
        <v>2</v>
      </c>
    </row>
    <row r="2450" customFormat="false" ht="15" hidden="false" customHeight="false" outlineLevel="0" collapsed="false">
      <c r="B2450" s="53"/>
      <c r="I2450" s="53"/>
      <c r="U2450" s="31" t="n">
        <f aca="false">IF($B2450&lt;&gt;'設定（最初に1回）'!$C$4,N(U2449),IF(COUNTIFS(①今日の在庫を貼る!$B$6:$B$10005,$B2450,①今日の在庫を貼る!$I$6:$I$10005,$I2450)&gt;0,N(U2449),N(U2449)+1))</f>
        <v>2</v>
      </c>
    </row>
    <row r="2451" customFormat="false" ht="15" hidden="false" customHeight="false" outlineLevel="0" collapsed="false">
      <c r="B2451" s="53"/>
      <c r="I2451" s="53"/>
      <c r="U2451" s="31" t="n">
        <f aca="false">IF($B2451&lt;&gt;'設定（最初に1回）'!$C$4,N(U2450),IF(COUNTIFS(①今日の在庫を貼る!$B$6:$B$10005,$B2451,①今日の在庫を貼る!$I$6:$I$10005,$I2451)&gt;0,N(U2450),N(U2450)+1))</f>
        <v>2</v>
      </c>
    </row>
    <row r="2452" customFormat="false" ht="15" hidden="false" customHeight="false" outlineLevel="0" collapsed="false">
      <c r="B2452" s="53"/>
      <c r="I2452" s="53"/>
      <c r="U2452" s="31" t="n">
        <f aca="false">IF($B2452&lt;&gt;'設定（最初に1回）'!$C$4,N(U2451),IF(COUNTIFS(①今日の在庫を貼る!$B$6:$B$10005,$B2452,①今日の在庫を貼る!$I$6:$I$10005,$I2452)&gt;0,N(U2451),N(U2451)+1))</f>
        <v>2</v>
      </c>
    </row>
    <row r="2453" customFormat="false" ht="15" hidden="false" customHeight="false" outlineLevel="0" collapsed="false">
      <c r="B2453" s="53"/>
      <c r="I2453" s="53"/>
      <c r="U2453" s="31" t="n">
        <f aca="false">IF($B2453&lt;&gt;'設定（最初に1回）'!$C$4,N(U2452),IF(COUNTIFS(①今日の在庫を貼る!$B$6:$B$10005,$B2453,①今日の在庫を貼る!$I$6:$I$10005,$I2453)&gt;0,N(U2452),N(U2452)+1))</f>
        <v>2</v>
      </c>
    </row>
    <row r="2454" customFormat="false" ht="15" hidden="false" customHeight="false" outlineLevel="0" collapsed="false">
      <c r="B2454" s="53"/>
      <c r="I2454" s="53"/>
      <c r="U2454" s="31" t="n">
        <f aca="false">IF($B2454&lt;&gt;'設定（最初に1回）'!$C$4,N(U2453),IF(COUNTIFS(①今日の在庫を貼る!$B$6:$B$10005,$B2454,①今日の在庫を貼る!$I$6:$I$10005,$I2454)&gt;0,N(U2453),N(U2453)+1))</f>
        <v>2</v>
      </c>
    </row>
    <row r="2455" customFormat="false" ht="15" hidden="false" customHeight="false" outlineLevel="0" collapsed="false">
      <c r="B2455" s="53"/>
      <c r="I2455" s="53"/>
      <c r="U2455" s="31" t="n">
        <f aca="false">IF($B2455&lt;&gt;'設定（最初に1回）'!$C$4,N(U2454),IF(COUNTIFS(①今日の在庫を貼る!$B$6:$B$10005,$B2455,①今日の在庫を貼る!$I$6:$I$10005,$I2455)&gt;0,N(U2454),N(U2454)+1))</f>
        <v>2</v>
      </c>
    </row>
    <row r="2456" customFormat="false" ht="15" hidden="false" customHeight="false" outlineLevel="0" collapsed="false">
      <c r="B2456" s="53"/>
      <c r="I2456" s="53"/>
      <c r="U2456" s="31" t="n">
        <f aca="false">IF($B2456&lt;&gt;'設定（最初に1回）'!$C$4,N(U2455),IF(COUNTIFS(①今日の在庫を貼る!$B$6:$B$10005,$B2456,①今日の在庫を貼る!$I$6:$I$10005,$I2456)&gt;0,N(U2455),N(U2455)+1))</f>
        <v>2</v>
      </c>
    </row>
    <row r="2457" customFormat="false" ht="15" hidden="false" customHeight="false" outlineLevel="0" collapsed="false">
      <c r="B2457" s="53"/>
      <c r="I2457" s="53"/>
      <c r="U2457" s="31" t="n">
        <f aca="false">IF($B2457&lt;&gt;'設定（最初に1回）'!$C$4,N(U2456),IF(COUNTIFS(①今日の在庫を貼る!$B$6:$B$10005,$B2457,①今日の在庫を貼る!$I$6:$I$10005,$I2457)&gt;0,N(U2456),N(U2456)+1))</f>
        <v>2</v>
      </c>
    </row>
    <row r="2458" customFormat="false" ht="15" hidden="false" customHeight="false" outlineLevel="0" collapsed="false">
      <c r="B2458" s="53"/>
      <c r="I2458" s="53"/>
      <c r="U2458" s="31" t="n">
        <f aca="false">IF($B2458&lt;&gt;'設定（最初に1回）'!$C$4,N(U2457),IF(COUNTIFS(①今日の在庫を貼る!$B$6:$B$10005,$B2458,①今日の在庫を貼る!$I$6:$I$10005,$I2458)&gt;0,N(U2457),N(U2457)+1))</f>
        <v>2</v>
      </c>
    </row>
    <row r="2459" customFormat="false" ht="15" hidden="false" customHeight="false" outlineLevel="0" collapsed="false">
      <c r="B2459" s="53"/>
      <c r="I2459" s="53"/>
      <c r="U2459" s="31" t="n">
        <f aca="false">IF($B2459&lt;&gt;'設定（最初に1回）'!$C$4,N(U2458),IF(COUNTIFS(①今日の在庫を貼る!$B$6:$B$10005,$B2459,①今日の在庫を貼る!$I$6:$I$10005,$I2459)&gt;0,N(U2458),N(U2458)+1))</f>
        <v>2</v>
      </c>
    </row>
    <row r="2460" customFormat="false" ht="15" hidden="false" customHeight="false" outlineLevel="0" collapsed="false">
      <c r="B2460" s="53"/>
      <c r="I2460" s="53"/>
      <c r="U2460" s="31" t="n">
        <f aca="false">IF($B2460&lt;&gt;'設定（最初に1回）'!$C$4,N(U2459),IF(COUNTIFS(①今日の在庫を貼る!$B$6:$B$10005,$B2460,①今日の在庫を貼る!$I$6:$I$10005,$I2460)&gt;0,N(U2459),N(U2459)+1))</f>
        <v>2</v>
      </c>
    </row>
    <row r="2461" customFormat="false" ht="15" hidden="false" customHeight="false" outlineLevel="0" collapsed="false">
      <c r="B2461" s="53"/>
      <c r="I2461" s="53"/>
      <c r="U2461" s="31" t="n">
        <f aca="false">IF($B2461&lt;&gt;'設定（最初に1回）'!$C$4,N(U2460),IF(COUNTIFS(①今日の在庫を貼る!$B$6:$B$10005,$B2461,①今日の在庫を貼る!$I$6:$I$10005,$I2461)&gt;0,N(U2460),N(U2460)+1))</f>
        <v>2</v>
      </c>
    </row>
    <row r="2462" customFormat="false" ht="15" hidden="false" customHeight="false" outlineLevel="0" collapsed="false">
      <c r="B2462" s="53"/>
      <c r="I2462" s="53"/>
      <c r="U2462" s="31" t="n">
        <f aca="false">IF($B2462&lt;&gt;'設定（最初に1回）'!$C$4,N(U2461),IF(COUNTIFS(①今日の在庫を貼る!$B$6:$B$10005,$B2462,①今日の在庫を貼る!$I$6:$I$10005,$I2462)&gt;0,N(U2461),N(U2461)+1))</f>
        <v>2</v>
      </c>
    </row>
    <row r="2463" customFormat="false" ht="15" hidden="false" customHeight="false" outlineLevel="0" collapsed="false">
      <c r="B2463" s="53"/>
      <c r="I2463" s="53"/>
      <c r="U2463" s="31" t="n">
        <f aca="false">IF($B2463&lt;&gt;'設定（最初に1回）'!$C$4,N(U2462),IF(COUNTIFS(①今日の在庫を貼る!$B$6:$B$10005,$B2463,①今日の在庫を貼る!$I$6:$I$10005,$I2463)&gt;0,N(U2462),N(U2462)+1))</f>
        <v>2</v>
      </c>
    </row>
    <row r="2464" customFormat="false" ht="15" hidden="false" customHeight="false" outlineLevel="0" collapsed="false">
      <c r="B2464" s="53"/>
      <c r="I2464" s="53"/>
      <c r="U2464" s="31" t="n">
        <f aca="false">IF($B2464&lt;&gt;'設定（最初に1回）'!$C$4,N(U2463),IF(COUNTIFS(①今日の在庫を貼る!$B$6:$B$10005,$B2464,①今日の在庫を貼る!$I$6:$I$10005,$I2464)&gt;0,N(U2463),N(U2463)+1))</f>
        <v>2</v>
      </c>
    </row>
    <row r="2465" customFormat="false" ht="15" hidden="false" customHeight="false" outlineLevel="0" collapsed="false">
      <c r="B2465" s="53"/>
      <c r="I2465" s="53"/>
      <c r="U2465" s="31" t="n">
        <f aca="false">IF($B2465&lt;&gt;'設定（最初に1回）'!$C$4,N(U2464),IF(COUNTIFS(①今日の在庫を貼る!$B$6:$B$10005,$B2465,①今日の在庫を貼る!$I$6:$I$10005,$I2465)&gt;0,N(U2464),N(U2464)+1))</f>
        <v>2</v>
      </c>
    </row>
    <row r="2466" customFormat="false" ht="15" hidden="false" customHeight="false" outlineLevel="0" collapsed="false">
      <c r="B2466" s="53"/>
      <c r="I2466" s="53"/>
      <c r="U2466" s="31" t="n">
        <f aca="false">IF($B2466&lt;&gt;'設定（最初に1回）'!$C$4,N(U2465),IF(COUNTIFS(①今日の在庫を貼る!$B$6:$B$10005,$B2466,①今日の在庫を貼る!$I$6:$I$10005,$I2466)&gt;0,N(U2465),N(U2465)+1))</f>
        <v>2</v>
      </c>
    </row>
    <row r="2467" customFormat="false" ht="15" hidden="false" customHeight="false" outlineLevel="0" collapsed="false">
      <c r="B2467" s="53"/>
      <c r="I2467" s="53"/>
      <c r="U2467" s="31" t="n">
        <f aca="false">IF($B2467&lt;&gt;'設定（最初に1回）'!$C$4,N(U2466),IF(COUNTIFS(①今日の在庫を貼る!$B$6:$B$10005,$B2467,①今日の在庫を貼る!$I$6:$I$10005,$I2467)&gt;0,N(U2466),N(U2466)+1))</f>
        <v>2</v>
      </c>
    </row>
    <row r="2468" customFormat="false" ht="15" hidden="false" customHeight="false" outlineLevel="0" collapsed="false">
      <c r="B2468" s="53"/>
      <c r="I2468" s="53"/>
      <c r="U2468" s="31" t="n">
        <f aca="false">IF($B2468&lt;&gt;'設定（最初に1回）'!$C$4,N(U2467),IF(COUNTIFS(①今日の在庫を貼る!$B$6:$B$10005,$B2468,①今日の在庫を貼る!$I$6:$I$10005,$I2468)&gt;0,N(U2467),N(U2467)+1))</f>
        <v>2</v>
      </c>
    </row>
    <row r="2469" customFormat="false" ht="15" hidden="false" customHeight="false" outlineLevel="0" collapsed="false">
      <c r="B2469" s="53"/>
      <c r="I2469" s="53"/>
      <c r="U2469" s="31" t="n">
        <f aca="false">IF($B2469&lt;&gt;'設定（最初に1回）'!$C$4,N(U2468),IF(COUNTIFS(①今日の在庫を貼る!$B$6:$B$10005,$B2469,①今日の在庫を貼る!$I$6:$I$10005,$I2469)&gt;0,N(U2468),N(U2468)+1))</f>
        <v>2</v>
      </c>
    </row>
    <row r="2470" customFormat="false" ht="15" hidden="false" customHeight="false" outlineLevel="0" collapsed="false">
      <c r="B2470" s="53"/>
      <c r="I2470" s="53"/>
      <c r="U2470" s="31" t="n">
        <f aca="false">IF($B2470&lt;&gt;'設定（最初に1回）'!$C$4,N(U2469),IF(COUNTIFS(①今日の在庫を貼る!$B$6:$B$10005,$B2470,①今日の在庫を貼る!$I$6:$I$10005,$I2470)&gt;0,N(U2469),N(U2469)+1))</f>
        <v>2</v>
      </c>
    </row>
    <row r="2471" customFormat="false" ht="15" hidden="false" customHeight="false" outlineLevel="0" collapsed="false">
      <c r="B2471" s="53"/>
      <c r="I2471" s="53"/>
      <c r="U2471" s="31" t="n">
        <f aca="false">IF($B2471&lt;&gt;'設定（最初に1回）'!$C$4,N(U2470),IF(COUNTIFS(①今日の在庫を貼る!$B$6:$B$10005,$B2471,①今日の在庫を貼る!$I$6:$I$10005,$I2471)&gt;0,N(U2470),N(U2470)+1))</f>
        <v>2</v>
      </c>
    </row>
    <row r="2472" customFormat="false" ht="15" hidden="false" customHeight="false" outlineLevel="0" collapsed="false">
      <c r="B2472" s="53"/>
      <c r="I2472" s="53"/>
      <c r="U2472" s="31" t="n">
        <f aca="false">IF($B2472&lt;&gt;'設定（最初に1回）'!$C$4,N(U2471),IF(COUNTIFS(①今日の在庫を貼る!$B$6:$B$10005,$B2472,①今日の在庫を貼る!$I$6:$I$10005,$I2472)&gt;0,N(U2471),N(U2471)+1))</f>
        <v>2</v>
      </c>
    </row>
    <row r="2473" customFormat="false" ht="15" hidden="false" customHeight="false" outlineLevel="0" collapsed="false">
      <c r="B2473" s="53"/>
      <c r="I2473" s="53"/>
      <c r="U2473" s="31" t="n">
        <f aca="false">IF($B2473&lt;&gt;'設定（最初に1回）'!$C$4,N(U2472),IF(COUNTIFS(①今日の在庫を貼る!$B$6:$B$10005,$B2473,①今日の在庫を貼る!$I$6:$I$10005,$I2473)&gt;0,N(U2472),N(U2472)+1))</f>
        <v>2</v>
      </c>
    </row>
    <row r="2474" customFormat="false" ht="15" hidden="false" customHeight="false" outlineLevel="0" collapsed="false">
      <c r="B2474" s="53"/>
      <c r="I2474" s="53"/>
      <c r="U2474" s="31" t="n">
        <f aca="false">IF($B2474&lt;&gt;'設定（最初に1回）'!$C$4,N(U2473),IF(COUNTIFS(①今日の在庫を貼る!$B$6:$B$10005,$B2474,①今日の在庫を貼る!$I$6:$I$10005,$I2474)&gt;0,N(U2473),N(U2473)+1))</f>
        <v>2</v>
      </c>
    </row>
    <row r="2475" customFormat="false" ht="15" hidden="false" customHeight="false" outlineLevel="0" collapsed="false">
      <c r="B2475" s="53"/>
      <c r="I2475" s="53"/>
      <c r="U2475" s="31" t="n">
        <f aca="false">IF($B2475&lt;&gt;'設定（最初に1回）'!$C$4,N(U2474),IF(COUNTIFS(①今日の在庫を貼る!$B$6:$B$10005,$B2475,①今日の在庫を貼る!$I$6:$I$10005,$I2475)&gt;0,N(U2474),N(U2474)+1))</f>
        <v>2</v>
      </c>
    </row>
    <row r="2476" customFormat="false" ht="15" hidden="false" customHeight="false" outlineLevel="0" collapsed="false">
      <c r="B2476" s="53"/>
      <c r="I2476" s="53"/>
      <c r="U2476" s="31" t="n">
        <f aca="false">IF($B2476&lt;&gt;'設定（最初に1回）'!$C$4,N(U2475),IF(COUNTIFS(①今日の在庫を貼る!$B$6:$B$10005,$B2476,①今日の在庫を貼る!$I$6:$I$10005,$I2476)&gt;0,N(U2475),N(U2475)+1))</f>
        <v>2</v>
      </c>
    </row>
    <row r="2477" customFormat="false" ht="15" hidden="false" customHeight="false" outlineLevel="0" collapsed="false">
      <c r="B2477" s="53"/>
      <c r="I2477" s="53"/>
      <c r="U2477" s="31" t="n">
        <f aca="false">IF($B2477&lt;&gt;'設定（最初に1回）'!$C$4,N(U2476),IF(COUNTIFS(①今日の在庫を貼る!$B$6:$B$10005,$B2477,①今日の在庫を貼る!$I$6:$I$10005,$I2477)&gt;0,N(U2476),N(U2476)+1))</f>
        <v>2</v>
      </c>
    </row>
    <row r="2478" customFormat="false" ht="15" hidden="false" customHeight="false" outlineLevel="0" collapsed="false">
      <c r="B2478" s="53"/>
      <c r="I2478" s="53"/>
      <c r="U2478" s="31" t="n">
        <f aca="false">IF($B2478&lt;&gt;'設定（最初に1回）'!$C$4,N(U2477),IF(COUNTIFS(①今日の在庫を貼る!$B$6:$B$10005,$B2478,①今日の在庫を貼る!$I$6:$I$10005,$I2478)&gt;0,N(U2477),N(U2477)+1))</f>
        <v>2</v>
      </c>
    </row>
    <row r="2479" customFormat="false" ht="15" hidden="false" customHeight="false" outlineLevel="0" collapsed="false">
      <c r="B2479" s="53"/>
      <c r="I2479" s="53"/>
      <c r="U2479" s="31" t="n">
        <f aca="false">IF($B2479&lt;&gt;'設定（最初に1回）'!$C$4,N(U2478),IF(COUNTIFS(①今日の在庫を貼る!$B$6:$B$10005,$B2479,①今日の在庫を貼る!$I$6:$I$10005,$I2479)&gt;0,N(U2478),N(U2478)+1))</f>
        <v>2</v>
      </c>
    </row>
    <row r="2480" customFormat="false" ht="15" hidden="false" customHeight="false" outlineLevel="0" collapsed="false">
      <c r="B2480" s="53"/>
      <c r="I2480" s="53"/>
      <c r="U2480" s="31" t="n">
        <f aca="false">IF($B2480&lt;&gt;'設定（最初に1回）'!$C$4,N(U2479),IF(COUNTIFS(①今日の在庫を貼る!$B$6:$B$10005,$B2480,①今日の在庫を貼る!$I$6:$I$10005,$I2480)&gt;0,N(U2479),N(U2479)+1))</f>
        <v>2</v>
      </c>
    </row>
    <row r="2481" customFormat="false" ht="15" hidden="false" customHeight="false" outlineLevel="0" collapsed="false">
      <c r="B2481" s="53"/>
      <c r="I2481" s="53"/>
      <c r="U2481" s="31" t="n">
        <f aca="false">IF($B2481&lt;&gt;'設定（最初に1回）'!$C$4,N(U2480),IF(COUNTIFS(①今日の在庫を貼る!$B$6:$B$10005,$B2481,①今日の在庫を貼る!$I$6:$I$10005,$I2481)&gt;0,N(U2480),N(U2480)+1))</f>
        <v>2</v>
      </c>
    </row>
    <row r="2482" customFormat="false" ht="15" hidden="false" customHeight="false" outlineLevel="0" collapsed="false">
      <c r="B2482" s="53"/>
      <c r="I2482" s="53"/>
      <c r="U2482" s="31" t="n">
        <f aca="false">IF($B2482&lt;&gt;'設定（最初に1回）'!$C$4,N(U2481),IF(COUNTIFS(①今日の在庫を貼る!$B$6:$B$10005,$B2482,①今日の在庫を貼る!$I$6:$I$10005,$I2482)&gt;0,N(U2481),N(U2481)+1))</f>
        <v>2</v>
      </c>
    </row>
    <row r="2483" customFormat="false" ht="15" hidden="false" customHeight="false" outlineLevel="0" collapsed="false">
      <c r="B2483" s="53"/>
      <c r="I2483" s="53"/>
      <c r="U2483" s="31" t="n">
        <f aca="false">IF($B2483&lt;&gt;'設定（最初に1回）'!$C$4,N(U2482),IF(COUNTIFS(①今日の在庫を貼る!$B$6:$B$10005,$B2483,①今日の在庫を貼る!$I$6:$I$10005,$I2483)&gt;0,N(U2482),N(U2482)+1))</f>
        <v>2</v>
      </c>
    </row>
    <row r="2484" customFormat="false" ht="15" hidden="false" customHeight="false" outlineLevel="0" collapsed="false">
      <c r="B2484" s="53"/>
      <c r="I2484" s="53"/>
      <c r="U2484" s="31" t="n">
        <f aca="false">IF($B2484&lt;&gt;'設定（最初に1回）'!$C$4,N(U2483),IF(COUNTIFS(①今日の在庫を貼る!$B$6:$B$10005,$B2484,①今日の在庫を貼る!$I$6:$I$10005,$I2484)&gt;0,N(U2483),N(U2483)+1))</f>
        <v>2</v>
      </c>
    </row>
    <row r="2485" customFormat="false" ht="15" hidden="false" customHeight="false" outlineLevel="0" collapsed="false">
      <c r="B2485" s="53"/>
      <c r="I2485" s="53"/>
      <c r="U2485" s="31" t="n">
        <f aca="false">IF($B2485&lt;&gt;'設定（最初に1回）'!$C$4,N(U2484),IF(COUNTIFS(①今日の在庫を貼る!$B$6:$B$10005,$B2485,①今日の在庫を貼る!$I$6:$I$10005,$I2485)&gt;0,N(U2484),N(U2484)+1))</f>
        <v>2</v>
      </c>
    </row>
    <row r="2486" customFormat="false" ht="15" hidden="false" customHeight="false" outlineLevel="0" collapsed="false">
      <c r="B2486" s="53"/>
      <c r="I2486" s="53"/>
      <c r="U2486" s="31" t="n">
        <f aca="false">IF($B2486&lt;&gt;'設定（最初に1回）'!$C$4,N(U2485),IF(COUNTIFS(①今日の在庫を貼る!$B$6:$B$10005,$B2486,①今日の在庫を貼る!$I$6:$I$10005,$I2486)&gt;0,N(U2485),N(U2485)+1))</f>
        <v>2</v>
      </c>
    </row>
    <row r="2487" customFormat="false" ht="15" hidden="false" customHeight="false" outlineLevel="0" collapsed="false">
      <c r="B2487" s="53"/>
      <c r="I2487" s="53"/>
      <c r="U2487" s="31" t="n">
        <f aca="false">IF($B2487&lt;&gt;'設定（最初に1回）'!$C$4,N(U2486),IF(COUNTIFS(①今日の在庫を貼る!$B$6:$B$10005,$B2487,①今日の在庫を貼る!$I$6:$I$10005,$I2487)&gt;0,N(U2486),N(U2486)+1))</f>
        <v>2</v>
      </c>
    </row>
    <row r="2488" customFormat="false" ht="15" hidden="false" customHeight="false" outlineLevel="0" collapsed="false">
      <c r="B2488" s="53"/>
      <c r="I2488" s="53"/>
      <c r="U2488" s="31" t="n">
        <f aca="false">IF($B2488&lt;&gt;'設定（最初に1回）'!$C$4,N(U2487),IF(COUNTIFS(①今日の在庫を貼る!$B$6:$B$10005,$B2488,①今日の在庫を貼る!$I$6:$I$10005,$I2488)&gt;0,N(U2487),N(U2487)+1))</f>
        <v>2</v>
      </c>
    </row>
    <row r="2489" customFormat="false" ht="15" hidden="false" customHeight="false" outlineLevel="0" collapsed="false">
      <c r="B2489" s="53"/>
      <c r="I2489" s="53"/>
      <c r="U2489" s="31" t="n">
        <f aca="false">IF($B2489&lt;&gt;'設定（最初に1回）'!$C$4,N(U2488),IF(COUNTIFS(①今日の在庫を貼る!$B$6:$B$10005,$B2489,①今日の在庫を貼る!$I$6:$I$10005,$I2489)&gt;0,N(U2488),N(U2488)+1))</f>
        <v>2</v>
      </c>
    </row>
    <row r="2490" customFormat="false" ht="15" hidden="false" customHeight="false" outlineLevel="0" collapsed="false">
      <c r="B2490" s="53"/>
      <c r="I2490" s="53"/>
      <c r="U2490" s="31" t="n">
        <f aca="false">IF($B2490&lt;&gt;'設定（最初に1回）'!$C$4,N(U2489),IF(COUNTIFS(①今日の在庫を貼る!$B$6:$B$10005,$B2490,①今日の在庫を貼る!$I$6:$I$10005,$I2490)&gt;0,N(U2489),N(U2489)+1))</f>
        <v>2</v>
      </c>
    </row>
    <row r="2491" customFormat="false" ht="15" hidden="false" customHeight="false" outlineLevel="0" collapsed="false">
      <c r="B2491" s="53"/>
      <c r="I2491" s="53"/>
      <c r="U2491" s="31" t="n">
        <f aca="false">IF($B2491&lt;&gt;'設定（最初に1回）'!$C$4,N(U2490),IF(COUNTIFS(①今日の在庫を貼る!$B$6:$B$10005,$B2491,①今日の在庫を貼る!$I$6:$I$10005,$I2491)&gt;0,N(U2490),N(U2490)+1))</f>
        <v>2</v>
      </c>
    </row>
    <row r="2492" customFormat="false" ht="15" hidden="false" customHeight="false" outlineLevel="0" collapsed="false">
      <c r="B2492" s="53"/>
      <c r="I2492" s="53"/>
      <c r="U2492" s="31" t="n">
        <f aca="false">IF($B2492&lt;&gt;'設定（最初に1回）'!$C$4,N(U2491),IF(COUNTIFS(①今日の在庫を貼る!$B$6:$B$10005,$B2492,①今日の在庫を貼る!$I$6:$I$10005,$I2492)&gt;0,N(U2491),N(U2491)+1))</f>
        <v>2</v>
      </c>
    </row>
    <row r="2493" customFormat="false" ht="15" hidden="false" customHeight="false" outlineLevel="0" collapsed="false">
      <c r="B2493" s="53"/>
      <c r="I2493" s="53"/>
      <c r="U2493" s="31" t="n">
        <f aca="false">IF($B2493&lt;&gt;'設定（最初に1回）'!$C$4,N(U2492),IF(COUNTIFS(①今日の在庫を貼る!$B$6:$B$10005,$B2493,①今日の在庫を貼る!$I$6:$I$10005,$I2493)&gt;0,N(U2492),N(U2492)+1))</f>
        <v>2</v>
      </c>
    </row>
    <row r="2494" customFormat="false" ht="15" hidden="false" customHeight="false" outlineLevel="0" collapsed="false">
      <c r="B2494" s="53"/>
      <c r="I2494" s="53"/>
      <c r="U2494" s="31" t="n">
        <f aca="false">IF($B2494&lt;&gt;'設定（最初に1回）'!$C$4,N(U2493),IF(COUNTIFS(①今日の在庫を貼る!$B$6:$B$10005,$B2494,①今日の在庫を貼る!$I$6:$I$10005,$I2494)&gt;0,N(U2493),N(U2493)+1))</f>
        <v>2</v>
      </c>
    </row>
    <row r="2495" customFormat="false" ht="15" hidden="false" customHeight="false" outlineLevel="0" collapsed="false">
      <c r="B2495" s="53"/>
      <c r="I2495" s="53"/>
      <c r="U2495" s="31" t="n">
        <f aca="false">IF($B2495&lt;&gt;'設定（最初に1回）'!$C$4,N(U2494),IF(COUNTIFS(①今日の在庫を貼る!$B$6:$B$10005,$B2495,①今日の在庫を貼る!$I$6:$I$10005,$I2495)&gt;0,N(U2494),N(U2494)+1))</f>
        <v>2</v>
      </c>
    </row>
    <row r="2496" customFormat="false" ht="15" hidden="false" customHeight="false" outlineLevel="0" collapsed="false">
      <c r="B2496" s="53"/>
      <c r="I2496" s="53"/>
      <c r="U2496" s="31" t="n">
        <f aca="false">IF($B2496&lt;&gt;'設定（最初に1回）'!$C$4,N(U2495),IF(COUNTIFS(①今日の在庫を貼る!$B$6:$B$10005,$B2496,①今日の在庫を貼る!$I$6:$I$10005,$I2496)&gt;0,N(U2495),N(U2495)+1))</f>
        <v>2</v>
      </c>
    </row>
    <row r="2497" customFormat="false" ht="15" hidden="false" customHeight="false" outlineLevel="0" collapsed="false">
      <c r="B2497" s="53"/>
      <c r="I2497" s="53"/>
      <c r="U2497" s="31" t="n">
        <f aca="false">IF($B2497&lt;&gt;'設定（最初に1回）'!$C$4,N(U2496),IF(COUNTIFS(①今日の在庫を貼る!$B$6:$B$10005,$B2497,①今日の在庫を貼る!$I$6:$I$10005,$I2497)&gt;0,N(U2496),N(U2496)+1))</f>
        <v>2</v>
      </c>
    </row>
    <row r="2498" customFormat="false" ht="15" hidden="false" customHeight="false" outlineLevel="0" collapsed="false">
      <c r="B2498" s="53"/>
      <c r="I2498" s="53"/>
      <c r="U2498" s="31" t="n">
        <f aca="false">IF($B2498&lt;&gt;'設定（最初に1回）'!$C$4,N(U2497),IF(COUNTIFS(①今日の在庫を貼る!$B$6:$B$10005,$B2498,①今日の在庫を貼る!$I$6:$I$10005,$I2498)&gt;0,N(U2497),N(U2497)+1))</f>
        <v>2</v>
      </c>
    </row>
    <row r="2499" customFormat="false" ht="15" hidden="false" customHeight="false" outlineLevel="0" collapsed="false">
      <c r="B2499" s="53"/>
      <c r="I2499" s="53"/>
      <c r="U2499" s="31" t="n">
        <f aca="false">IF($B2499&lt;&gt;'設定（最初に1回）'!$C$4,N(U2498),IF(COUNTIFS(①今日の在庫を貼る!$B$6:$B$10005,$B2499,①今日の在庫を貼る!$I$6:$I$10005,$I2499)&gt;0,N(U2498),N(U2498)+1))</f>
        <v>2</v>
      </c>
    </row>
    <row r="2500" customFormat="false" ht="15" hidden="false" customHeight="false" outlineLevel="0" collapsed="false">
      <c r="B2500" s="53"/>
      <c r="I2500" s="53"/>
      <c r="U2500" s="31" t="n">
        <f aca="false">IF($B2500&lt;&gt;'設定（最初に1回）'!$C$4,N(U2499),IF(COUNTIFS(①今日の在庫を貼る!$B$6:$B$10005,$B2500,①今日の在庫を貼る!$I$6:$I$10005,$I2500)&gt;0,N(U2499),N(U2499)+1))</f>
        <v>2</v>
      </c>
    </row>
    <row r="2501" customFormat="false" ht="15" hidden="false" customHeight="false" outlineLevel="0" collapsed="false">
      <c r="B2501" s="53"/>
      <c r="I2501" s="53"/>
      <c r="U2501" s="31" t="n">
        <f aca="false">IF($B2501&lt;&gt;'設定（最初に1回）'!$C$4,N(U2500),IF(COUNTIFS(①今日の在庫を貼る!$B$6:$B$10005,$B2501,①今日の在庫を貼る!$I$6:$I$10005,$I2501)&gt;0,N(U2500),N(U2500)+1))</f>
        <v>2</v>
      </c>
    </row>
    <row r="2502" customFormat="false" ht="15" hidden="false" customHeight="false" outlineLevel="0" collapsed="false">
      <c r="B2502" s="53"/>
      <c r="I2502" s="53"/>
      <c r="U2502" s="31" t="n">
        <f aca="false">IF($B2502&lt;&gt;'設定（最初に1回）'!$C$4,N(U2501),IF(COUNTIFS(①今日の在庫を貼る!$B$6:$B$10005,$B2502,①今日の在庫を貼る!$I$6:$I$10005,$I2502)&gt;0,N(U2501),N(U2501)+1))</f>
        <v>2</v>
      </c>
    </row>
    <row r="2503" customFormat="false" ht="15" hidden="false" customHeight="false" outlineLevel="0" collapsed="false">
      <c r="B2503" s="53"/>
      <c r="I2503" s="53"/>
      <c r="U2503" s="31" t="n">
        <f aca="false">IF($B2503&lt;&gt;'設定（最初に1回）'!$C$4,N(U2502),IF(COUNTIFS(①今日の在庫を貼る!$B$6:$B$10005,$B2503,①今日の在庫を貼る!$I$6:$I$10005,$I2503)&gt;0,N(U2502),N(U2502)+1))</f>
        <v>2</v>
      </c>
    </row>
    <row r="2504" customFormat="false" ht="15" hidden="false" customHeight="false" outlineLevel="0" collapsed="false">
      <c r="B2504" s="53"/>
      <c r="I2504" s="53"/>
      <c r="U2504" s="31" t="n">
        <f aca="false">IF($B2504&lt;&gt;'設定（最初に1回）'!$C$4,N(U2503),IF(COUNTIFS(①今日の在庫を貼る!$B$6:$B$10005,$B2504,①今日の在庫を貼る!$I$6:$I$10005,$I2504)&gt;0,N(U2503),N(U2503)+1))</f>
        <v>2</v>
      </c>
    </row>
    <row r="2505" customFormat="false" ht="15" hidden="false" customHeight="false" outlineLevel="0" collapsed="false">
      <c r="B2505" s="53"/>
      <c r="I2505" s="53"/>
      <c r="U2505" s="31" t="n">
        <f aca="false">IF($B2505&lt;&gt;'設定（最初に1回）'!$C$4,N(U2504),IF(COUNTIFS(①今日の在庫を貼る!$B$6:$B$10005,$B2505,①今日の在庫を貼る!$I$6:$I$10005,$I2505)&gt;0,N(U2504),N(U2504)+1))</f>
        <v>2</v>
      </c>
    </row>
    <row r="2506" customFormat="false" ht="15" hidden="false" customHeight="false" outlineLevel="0" collapsed="false">
      <c r="B2506" s="53"/>
      <c r="I2506" s="53"/>
      <c r="U2506" s="31" t="n">
        <f aca="false">IF($B2506&lt;&gt;'設定（最初に1回）'!$C$4,N(U2505),IF(COUNTIFS(①今日の在庫を貼る!$B$6:$B$10005,$B2506,①今日の在庫を貼る!$I$6:$I$10005,$I2506)&gt;0,N(U2505),N(U2505)+1))</f>
        <v>2</v>
      </c>
    </row>
    <row r="2507" customFormat="false" ht="15" hidden="false" customHeight="false" outlineLevel="0" collapsed="false">
      <c r="B2507" s="53"/>
      <c r="I2507" s="53"/>
      <c r="U2507" s="31" t="n">
        <f aca="false">IF($B2507&lt;&gt;'設定（最初に1回）'!$C$4,N(U2506),IF(COUNTIFS(①今日の在庫を貼る!$B$6:$B$10005,$B2507,①今日の在庫を貼る!$I$6:$I$10005,$I2507)&gt;0,N(U2506),N(U2506)+1))</f>
        <v>2</v>
      </c>
    </row>
    <row r="2508" customFormat="false" ht="15" hidden="false" customHeight="false" outlineLevel="0" collapsed="false">
      <c r="B2508" s="53"/>
      <c r="I2508" s="53"/>
      <c r="U2508" s="31" t="n">
        <f aca="false">IF($B2508&lt;&gt;'設定（最初に1回）'!$C$4,N(U2507),IF(COUNTIFS(①今日の在庫を貼る!$B$6:$B$10005,$B2508,①今日の在庫を貼る!$I$6:$I$10005,$I2508)&gt;0,N(U2507),N(U2507)+1))</f>
        <v>2</v>
      </c>
    </row>
    <row r="2509" customFormat="false" ht="15" hidden="false" customHeight="false" outlineLevel="0" collapsed="false">
      <c r="B2509" s="53"/>
      <c r="I2509" s="53"/>
      <c r="U2509" s="31" t="n">
        <f aca="false">IF($B2509&lt;&gt;'設定（最初に1回）'!$C$4,N(U2508),IF(COUNTIFS(①今日の在庫を貼る!$B$6:$B$10005,$B2509,①今日の在庫を貼る!$I$6:$I$10005,$I2509)&gt;0,N(U2508),N(U2508)+1))</f>
        <v>2</v>
      </c>
    </row>
    <row r="2510" customFormat="false" ht="15" hidden="false" customHeight="false" outlineLevel="0" collapsed="false">
      <c r="B2510" s="53"/>
      <c r="I2510" s="53"/>
      <c r="U2510" s="31" t="n">
        <f aca="false">IF($B2510&lt;&gt;'設定（最初に1回）'!$C$4,N(U2509),IF(COUNTIFS(①今日の在庫を貼る!$B$6:$B$10005,$B2510,①今日の在庫を貼る!$I$6:$I$10005,$I2510)&gt;0,N(U2509),N(U2509)+1))</f>
        <v>2</v>
      </c>
    </row>
    <row r="2511" customFormat="false" ht="15" hidden="false" customHeight="false" outlineLevel="0" collapsed="false">
      <c r="B2511" s="53"/>
      <c r="I2511" s="53"/>
      <c r="U2511" s="31" t="n">
        <f aca="false">IF($B2511&lt;&gt;'設定（最初に1回）'!$C$4,N(U2510),IF(COUNTIFS(①今日の在庫を貼る!$B$6:$B$10005,$B2511,①今日の在庫を貼る!$I$6:$I$10005,$I2511)&gt;0,N(U2510),N(U2510)+1))</f>
        <v>2</v>
      </c>
    </row>
    <row r="2512" customFormat="false" ht="15" hidden="false" customHeight="false" outlineLevel="0" collapsed="false">
      <c r="B2512" s="53"/>
      <c r="I2512" s="53"/>
      <c r="U2512" s="31" t="n">
        <f aca="false">IF($B2512&lt;&gt;'設定（最初に1回）'!$C$4,N(U2511),IF(COUNTIFS(①今日の在庫を貼る!$B$6:$B$10005,$B2512,①今日の在庫を貼る!$I$6:$I$10005,$I2512)&gt;0,N(U2511),N(U2511)+1))</f>
        <v>2</v>
      </c>
    </row>
    <row r="2513" customFormat="false" ht="15" hidden="false" customHeight="false" outlineLevel="0" collapsed="false">
      <c r="B2513" s="53"/>
      <c r="I2513" s="53"/>
      <c r="U2513" s="31" t="n">
        <f aca="false">IF($B2513&lt;&gt;'設定（最初に1回）'!$C$4,N(U2512),IF(COUNTIFS(①今日の在庫を貼る!$B$6:$B$10005,$B2513,①今日の在庫を貼る!$I$6:$I$10005,$I2513)&gt;0,N(U2512),N(U2512)+1))</f>
        <v>2</v>
      </c>
    </row>
    <row r="2514" customFormat="false" ht="15" hidden="false" customHeight="false" outlineLevel="0" collapsed="false">
      <c r="B2514" s="53"/>
      <c r="I2514" s="53"/>
      <c r="U2514" s="31" t="n">
        <f aca="false">IF($B2514&lt;&gt;'設定（最初に1回）'!$C$4,N(U2513),IF(COUNTIFS(①今日の在庫を貼る!$B$6:$B$10005,$B2514,①今日の在庫を貼る!$I$6:$I$10005,$I2514)&gt;0,N(U2513),N(U2513)+1))</f>
        <v>2</v>
      </c>
    </row>
    <row r="2515" customFormat="false" ht="15" hidden="false" customHeight="false" outlineLevel="0" collapsed="false">
      <c r="B2515" s="53"/>
      <c r="I2515" s="53"/>
      <c r="U2515" s="31" t="n">
        <f aca="false">IF($B2515&lt;&gt;'設定（最初に1回）'!$C$4,N(U2514),IF(COUNTIFS(①今日の在庫を貼る!$B$6:$B$10005,$B2515,①今日の在庫を貼る!$I$6:$I$10005,$I2515)&gt;0,N(U2514),N(U2514)+1))</f>
        <v>2</v>
      </c>
    </row>
    <row r="2516" customFormat="false" ht="15" hidden="false" customHeight="false" outlineLevel="0" collapsed="false">
      <c r="B2516" s="53"/>
      <c r="I2516" s="53"/>
      <c r="U2516" s="31" t="n">
        <f aca="false">IF($B2516&lt;&gt;'設定（最初に1回）'!$C$4,N(U2515),IF(COUNTIFS(①今日の在庫を貼る!$B$6:$B$10005,$B2516,①今日の在庫を貼る!$I$6:$I$10005,$I2516)&gt;0,N(U2515),N(U2515)+1))</f>
        <v>2</v>
      </c>
    </row>
    <row r="2517" customFormat="false" ht="15" hidden="false" customHeight="false" outlineLevel="0" collapsed="false">
      <c r="B2517" s="53"/>
      <c r="I2517" s="53"/>
      <c r="U2517" s="31" t="n">
        <f aca="false">IF($B2517&lt;&gt;'設定（最初に1回）'!$C$4,N(U2516),IF(COUNTIFS(①今日の在庫を貼る!$B$6:$B$10005,$B2517,①今日の在庫を貼る!$I$6:$I$10005,$I2517)&gt;0,N(U2516),N(U2516)+1))</f>
        <v>2</v>
      </c>
    </row>
    <row r="2518" customFormat="false" ht="15" hidden="false" customHeight="false" outlineLevel="0" collapsed="false">
      <c r="B2518" s="53"/>
      <c r="I2518" s="53"/>
      <c r="U2518" s="31" t="n">
        <f aca="false">IF($B2518&lt;&gt;'設定（最初に1回）'!$C$4,N(U2517),IF(COUNTIFS(①今日の在庫を貼る!$B$6:$B$10005,$B2518,①今日の在庫を貼る!$I$6:$I$10005,$I2518)&gt;0,N(U2517),N(U2517)+1))</f>
        <v>2</v>
      </c>
    </row>
    <row r="2519" customFormat="false" ht="15" hidden="false" customHeight="false" outlineLevel="0" collapsed="false">
      <c r="B2519" s="53"/>
      <c r="I2519" s="53"/>
      <c r="U2519" s="31" t="n">
        <f aca="false">IF($B2519&lt;&gt;'設定（最初に1回）'!$C$4,N(U2518),IF(COUNTIFS(①今日の在庫を貼る!$B$6:$B$10005,$B2519,①今日の在庫を貼る!$I$6:$I$10005,$I2519)&gt;0,N(U2518),N(U2518)+1))</f>
        <v>2</v>
      </c>
    </row>
    <row r="2520" customFormat="false" ht="15" hidden="false" customHeight="false" outlineLevel="0" collapsed="false">
      <c r="B2520" s="53"/>
      <c r="I2520" s="53"/>
      <c r="U2520" s="31" t="n">
        <f aca="false">IF($B2520&lt;&gt;'設定（最初に1回）'!$C$4,N(U2519),IF(COUNTIFS(①今日の在庫を貼る!$B$6:$B$10005,$B2520,①今日の在庫を貼る!$I$6:$I$10005,$I2520)&gt;0,N(U2519),N(U2519)+1))</f>
        <v>2</v>
      </c>
    </row>
    <row r="2521" customFormat="false" ht="15" hidden="false" customHeight="false" outlineLevel="0" collapsed="false">
      <c r="B2521" s="53"/>
      <c r="I2521" s="53"/>
      <c r="U2521" s="31" t="n">
        <f aca="false">IF($B2521&lt;&gt;'設定（最初に1回）'!$C$4,N(U2520),IF(COUNTIFS(①今日の在庫を貼る!$B$6:$B$10005,$B2521,①今日の在庫を貼る!$I$6:$I$10005,$I2521)&gt;0,N(U2520),N(U2520)+1))</f>
        <v>2</v>
      </c>
    </row>
    <row r="2522" customFormat="false" ht="15" hidden="false" customHeight="false" outlineLevel="0" collapsed="false">
      <c r="B2522" s="53"/>
      <c r="I2522" s="53"/>
      <c r="U2522" s="31" t="n">
        <f aca="false">IF($B2522&lt;&gt;'設定（最初に1回）'!$C$4,N(U2521),IF(COUNTIFS(①今日の在庫を貼る!$B$6:$B$10005,$B2522,①今日の在庫を貼る!$I$6:$I$10005,$I2522)&gt;0,N(U2521),N(U2521)+1))</f>
        <v>2</v>
      </c>
    </row>
    <row r="2523" customFormat="false" ht="15" hidden="false" customHeight="false" outlineLevel="0" collapsed="false">
      <c r="B2523" s="53"/>
      <c r="I2523" s="53"/>
      <c r="U2523" s="31" t="n">
        <f aca="false">IF($B2523&lt;&gt;'設定（最初に1回）'!$C$4,N(U2522),IF(COUNTIFS(①今日の在庫を貼る!$B$6:$B$10005,$B2523,①今日の在庫を貼る!$I$6:$I$10005,$I2523)&gt;0,N(U2522),N(U2522)+1))</f>
        <v>2</v>
      </c>
    </row>
    <row r="2524" customFormat="false" ht="15" hidden="false" customHeight="false" outlineLevel="0" collapsed="false">
      <c r="B2524" s="53"/>
      <c r="I2524" s="53"/>
      <c r="U2524" s="31" t="n">
        <f aca="false">IF($B2524&lt;&gt;'設定（最初に1回）'!$C$4,N(U2523),IF(COUNTIFS(①今日の在庫を貼る!$B$6:$B$10005,$B2524,①今日の在庫を貼る!$I$6:$I$10005,$I2524)&gt;0,N(U2523),N(U2523)+1))</f>
        <v>2</v>
      </c>
    </row>
    <row r="2525" customFormat="false" ht="15" hidden="false" customHeight="false" outlineLevel="0" collapsed="false">
      <c r="B2525" s="53"/>
      <c r="I2525" s="53"/>
      <c r="U2525" s="31" t="n">
        <f aca="false">IF($B2525&lt;&gt;'設定（最初に1回）'!$C$4,N(U2524),IF(COUNTIFS(①今日の在庫を貼る!$B$6:$B$10005,$B2525,①今日の在庫を貼る!$I$6:$I$10005,$I2525)&gt;0,N(U2524),N(U2524)+1))</f>
        <v>2</v>
      </c>
    </row>
    <row r="2526" customFormat="false" ht="15" hidden="false" customHeight="false" outlineLevel="0" collapsed="false">
      <c r="B2526" s="53"/>
      <c r="I2526" s="53"/>
      <c r="U2526" s="31" t="n">
        <f aca="false">IF($B2526&lt;&gt;'設定（最初に1回）'!$C$4,N(U2525),IF(COUNTIFS(①今日の在庫を貼る!$B$6:$B$10005,$B2526,①今日の在庫を貼る!$I$6:$I$10005,$I2526)&gt;0,N(U2525),N(U2525)+1))</f>
        <v>2</v>
      </c>
    </row>
    <row r="2527" customFormat="false" ht="15" hidden="false" customHeight="false" outlineLevel="0" collapsed="false">
      <c r="B2527" s="53"/>
      <c r="I2527" s="53"/>
      <c r="U2527" s="31" t="n">
        <f aca="false">IF($B2527&lt;&gt;'設定（最初に1回）'!$C$4,N(U2526),IF(COUNTIFS(①今日の在庫を貼る!$B$6:$B$10005,$B2527,①今日の在庫を貼る!$I$6:$I$10005,$I2527)&gt;0,N(U2526),N(U2526)+1))</f>
        <v>2</v>
      </c>
    </row>
    <row r="2528" customFormat="false" ht="15" hidden="false" customHeight="false" outlineLevel="0" collapsed="false">
      <c r="B2528" s="53"/>
      <c r="I2528" s="53"/>
      <c r="U2528" s="31" t="n">
        <f aca="false">IF($B2528&lt;&gt;'設定（最初に1回）'!$C$4,N(U2527),IF(COUNTIFS(①今日の在庫を貼る!$B$6:$B$10005,$B2528,①今日の在庫を貼る!$I$6:$I$10005,$I2528)&gt;0,N(U2527),N(U2527)+1))</f>
        <v>2</v>
      </c>
    </row>
    <row r="2529" customFormat="false" ht="15" hidden="false" customHeight="false" outlineLevel="0" collapsed="false">
      <c r="B2529" s="53"/>
      <c r="I2529" s="53"/>
      <c r="U2529" s="31" t="n">
        <f aca="false">IF($B2529&lt;&gt;'設定（最初に1回）'!$C$4,N(U2528),IF(COUNTIFS(①今日の在庫を貼る!$B$6:$B$10005,$B2529,①今日の在庫を貼る!$I$6:$I$10005,$I2529)&gt;0,N(U2528),N(U2528)+1))</f>
        <v>2</v>
      </c>
    </row>
    <row r="2530" customFormat="false" ht="15" hidden="false" customHeight="false" outlineLevel="0" collapsed="false">
      <c r="B2530" s="53"/>
      <c r="I2530" s="53"/>
      <c r="U2530" s="31" t="n">
        <f aca="false">IF($B2530&lt;&gt;'設定（最初に1回）'!$C$4,N(U2529),IF(COUNTIFS(①今日の在庫を貼る!$B$6:$B$10005,$B2530,①今日の在庫を貼る!$I$6:$I$10005,$I2530)&gt;0,N(U2529),N(U2529)+1))</f>
        <v>2</v>
      </c>
    </row>
    <row r="2531" customFormat="false" ht="15" hidden="false" customHeight="false" outlineLevel="0" collapsed="false">
      <c r="B2531" s="53"/>
      <c r="I2531" s="53"/>
      <c r="U2531" s="31" t="n">
        <f aca="false">IF($B2531&lt;&gt;'設定（最初に1回）'!$C$4,N(U2530),IF(COUNTIFS(①今日の在庫を貼る!$B$6:$B$10005,$B2531,①今日の在庫を貼る!$I$6:$I$10005,$I2531)&gt;0,N(U2530),N(U2530)+1))</f>
        <v>2</v>
      </c>
    </row>
    <row r="2532" customFormat="false" ht="15" hidden="false" customHeight="false" outlineLevel="0" collapsed="false">
      <c r="B2532" s="53"/>
      <c r="I2532" s="53"/>
      <c r="U2532" s="31" t="n">
        <f aca="false">IF($B2532&lt;&gt;'設定（最初に1回）'!$C$4,N(U2531),IF(COUNTIFS(①今日の在庫を貼る!$B$6:$B$10005,$B2532,①今日の在庫を貼る!$I$6:$I$10005,$I2532)&gt;0,N(U2531),N(U2531)+1))</f>
        <v>2</v>
      </c>
    </row>
    <row r="2533" customFormat="false" ht="15" hidden="false" customHeight="false" outlineLevel="0" collapsed="false">
      <c r="B2533" s="53"/>
      <c r="I2533" s="53"/>
      <c r="U2533" s="31" t="n">
        <f aca="false">IF($B2533&lt;&gt;'設定（最初に1回）'!$C$4,N(U2532),IF(COUNTIFS(①今日の在庫を貼る!$B$6:$B$10005,$B2533,①今日の在庫を貼る!$I$6:$I$10005,$I2533)&gt;0,N(U2532),N(U2532)+1))</f>
        <v>2</v>
      </c>
    </row>
    <row r="2534" customFormat="false" ht="15" hidden="false" customHeight="false" outlineLevel="0" collapsed="false">
      <c r="B2534" s="53"/>
      <c r="I2534" s="53"/>
      <c r="U2534" s="31" t="n">
        <f aca="false">IF($B2534&lt;&gt;'設定（最初に1回）'!$C$4,N(U2533),IF(COUNTIFS(①今日の在庫を貼る!$B$6:$B$10005,$B2534,①今日の在庫を貼る!$I$6:$I$10005,$I2534)&gt;0,N(U2533),N(U2533)+1))</f>
        <v>2</v>
      </c>
    </row>
    <row r="2535" customFormat="false" ht="15" hidden="false" customHeight="false" outlineLevel="0" collapsed="false">
      <c r="B2535" s="53"/>
      <c r="I2535" s="53"/>
      <c r="U2535" s="31" t="n">
        <f aca="false">IF($B2535&lt;&gt;'設定（最初に1回）'!$C$4,N(U2534),IF(COUNTIFS(①今日の在庫を貼る!$B$6:$B$10005,$B2535,①今日の在庫を貼る!$I$6:$I$10005,$I2535)&gt;0,N(U2534),N(U2534)+1))</f>
        <v>2</v>
      </c>
    </row>
    <row r="2536" customFormat="false" ht="15" hidden="false" customHeight="false" outlineLevel="0" collapsed="false">
      <c r="B2536" s="53"/>
      <c r="I2536" s="53"/>
      <c r="U2536" s="31" t="n">
        <f aca="false">IF($B2536&lt;&gt;'設定（最初に1回）'!$C$4,N(U2535),IF(COUNTIFS(①今日の在庫を貼る!$B$6:$B$10005,$B2536,①今日の在庫を貼る!$I$6:$I$10005,$I2536)&gt;0,N(U2535),N(U2535)+1))</f>
        <v>2</v>
      </c>
    </row>
    <row r="2537" customFormat="false" ht="15" hidden="false" customHeight="false" outlineLevel="0" collapsed="false">
      <c r="B2537" s="53"/>
      <c r="I2537" s="53"/>
      <c r="U2537" s="31" t="n">
        <f aca="false">IF($B2537&lt;&gt;'設定（最初に1回）'!$C$4,N(U2536),IF(COUNTIFS(①今日の在庫を貼る!$B$6:$B$10005,$B2537,①今日の在庫を貼る!$I$6:$I$10005,$I2537)&gt;0,N(U2536),N(U2536)+1))</f>
        <v>2</v>
      </c>
    </row>
    <row r="2538" customFormat="false" ht="15" hidden="false" customHeight="false" outlineLevel="0" collapsed="false">
      <c r="B2538" s="53"/>
      <c r="I2538" s="53"/>
      <c r="U2538" s="31" t="n">
        <f aca="false">IF($B2538&lt;&gt;'設定（最初に1回）'!$C$4,N(U2537),IF(COUNTIFS(①今日の在庫を貼る!$B$6:$B$10005,$B2538,①今日の在庫を貼る!$I$6:$I$10005,$I2538)&gt;0,N(U2537),N(U2537)+1))</f>
        <v>2</v>
      </c>
    </row>
    <row r="2539" customFormat="false" ht="15" hidden="false" customHeight="false" outlineLevel="0" collapsed="false">
      <c r="B2539" s="53"/>
      <c r="I2539" s="53"/>
      <c r="U2539" s="31" t="n">
        <f aca="false">IF($B2539&lt;&gt;'設定（最初に1回）'!$C$4,N(U2538),IF(COUNTIFS(①今日の在庫を貼る!$B$6:$B$10005,$B2539,①今日の在庫を貼る!$I$6:$I$10005,$I2539)&gt;0,N(U2538),N(U2538)+1))</f>
        <v>2</v>
      </c>
    </row>
    <row r="2540" customFormat="false" ht="15" hidden="false" customHeight="false" outlineLevel="0" collapsed="false">
      <c r="B2540" s="53"/>
      <c r="I2540" s="53"/>
      <c r="U2540" s="31" t="n">
        <f aca="false">IF($B2540&lt;&gt;'設定（最初に1回）'!$C$4,N(U2539),IF(COUNTIFS(①今日の在庫を貼る!$B$6:$B$10005,$B2540,①今日の在庫を貼る!$I$6:$I$10005,$I2540)&gt;0,N(U2539),N(U2539)+1))</f>
        <v>2</v>
      </c>
    </row>
    <row r="2541" customFormat="false" ht="15" hidden="false" customHeight="false" outlineLevel="0" collapsed="false">
      <c r="B2541" s="53"/>
      <c r="I2541" s="53"/>
      <c r="U2541" s="31" t="n">
        <f aca="false">IF($B2541&lt;&gt;'設定（最初に1回）'!$C$4,N(U2540),IF(COUNTIFS(①今日の在庫を貼る!$B$6:$B$10005,$B2541,①今日の在庫を貼る!$I$6:$I$10005,$I2541)&gt;0,N(U2540),N(U2540)+1))</f>
        <v>2</v>
      </c>
    </row>
    <row r="2542" customFormat="false" ht="15" hidden="false" customHeight="false" outlineLevel="0" collapsed="false">
      <c r="B2542" s="53"/>
      <c r="I2542" s="53"/>
      <c r="U2542" s="31" t="n">
        <f aca="false">IF($B2542&lt;&gt;'設定（最初に1回）'!$C$4,N(U2541),IF(COUNTIFS(①今日の在庫を貼る!$B$6:$B$10005,$B2542,①今日の在庫を貼る!$I$6:$I$10005,$I2542)&gt;0,N(U2541),N(U2541)+1))</f>
        <v>2</v>
      </c>
    </row>
    <row r="2543" customFormat="false" ht="15" hidden="false" customHeight="false" outlineLevel="0" collapsed="false">
      <c r="B2543" s="53"/>
      <c r="I2543" s="53"/>
      <c r="U2543" s="31" t="n">
        <f aca="false">IF($B2543&lt;&gt;'設定（最初に1回）'!$C$4,N(U2542),IF(COUNTIFS(①今日の在庫を貼る!$B$6:$B$10005,$B2543,①今日の在庫を貼る!$I$6:$I$10005,$I2543)&gt;0,N(U2542),N(U2542)+1))</f>
        <v>2</v>
      </c>
    </row>
    <row r="2544" customFormat="false" ht="15" hidden="false" customHeight="false" outlineLevel="0" collapsed="false">
      <c r="B2544" s="53"/>
      <c r="I2544" s="53"/>
      <c r="U2544" s="31" t="n">
        <f aca="false">IF($B2544&lt;&gt;'設定（最初に1回）'!$C$4,N(U2543),IF(COUNTIFS(①今日の在庫を貼る!$B$6:$B$10005,$B2544,①今日の在庫を貼る!$I$6:$I$10005,$I2544)&gt;0,N(U2543),N(U2543)+1))</f>
        <v>2</v>
      </c>
    </row>
    <row r="2545" customFormat="false" ht="15" hidden="false" customHeight="false" outlineLevel="0" collapsed="false">
      <c r="B2545" s="53"/>
      <c r="I2545" s="53"/>
      <c r="U2545" s="31" t="n">
        <f aca="false">IF($B2545&lt;&gt;'設定（最初に1回）'!$C$4,N(U2544),IF(COUNTIFS(①今日の在庫を貼る!$B$6:$B$10005,$B2545,①今日の在庫を貼る!$I$6:$I$10005,$I2545)&gt;0,N(U2544),N(U2544)+1))</f>
        <v>2</v>
      </c>
    </row>
    <row r="2546" customFormat="false" ht="15" hidden="false" customHeight="false" outlineLevel="0" collapsed="false">
      <c r="B2546" s="53"/>
      <c r="I2546" s="53"/>
      <c r="U2546" s="31" t="n">
        <f aca="false">IF($B2546&lt;&gt;'設定（最初に1回）'!$C$4,N(U2545),IF(COUNTIFS(①今日の在庫を貼る!$B$6:$B$10005,$B2546,①今日の在庫を貼る!$I$6:$I$10005,$I2546)&gt;0,N(U2545),N(U2545)+1))</f>
        <v>2</v>
      </c>
    </row>
    <row r="2547" customFormat="false" ht="15" hidden="false" customHeight="false" outlineLevel="0" collapsed="false">
      <c r="B2547" s="53"/>
      <c r="I2547" s="53"/>
      <c r="U2547" s="31" t="n">
        <f aca="false">IF($B2547&lt;&gt;'設定（最初に1回）'!$C$4,N(U2546),IF(COUNTIFS(①今日の在庫を貼る!$B$6:$B$10005,$B2547,①今日の在庫を貼る!$I$6:$I$10005,$I2547)&gt;0,N(U2546),N(U2546)+1))</f>
        <v>2</v>
      </c>
    </row>
    <row r="2548" customFormat="false" ht="15" hidden="false" customHeight="false" outlineLevel="0" collapsed="false">
      <c r="B2548" s="53"/>
      <c r="I2548" s="53"/>
      <c r="U2548" s="31" t="n">
        <f aca="false">IF($B2548&lt;&gt;'設定（最初に1回）'!$C$4,N(U2547),IF(COUNTIFS(①今日の在庫を貼る!$B$6:$B$10005,$B2548,①今日の在庫を貼る!$I$6:$I$10005,$I2548)&gt;0,N(U2547),N(U2547)+1))</f>
        <v>2</v>
      </c>
    </row>
    <row r="2549" customFormat="false" ht="15" hidden="false" customHeight="false" outlineLevel="0" collapsed="false">
      <c r="B2549" s="53"/>
      <c r="I2549" s="53"/>
      <c r="U2549" s="31" t="n">
        <f aca="false">IF($B2549&lt;&gt;'設定（最初に1回）'!$C$4,N(U2548),IF(COUNTIFS(①今日の在庫を貼る!$B$6:$B$10005,$B2549,①今日の在庫を貼る!$I$6:$I$10005,$I2549)&gt;0,N(U2548),N(U2548)+1))</f>
        <v>2</v>
      </c>
    </row>
    <row r="2550" customFormat="false" ht="15" hidden="false" customHeight="false" outlineLevel="0" collapsed="false">
      <c r="B2550" s="53"/>
      <c r="I2550" s="53"/>
      <c r="U2550" s="31" t="n">
        <f aca="false">IF($B2550&lt;&gt;'設定（最初に1回）'!$C$4,N(U2549),IF(COUNTIFS(①今日の在庫を貼る!$B$6:$B$10005,$B2550,①今日の在庫を貼る!$I$6:$I$10005,$I2550)&gt;0,N(U2549),N(U2549)+1))</f>
        <v>2</v>
      </c>
    </row>
    <row r="2551" customFormat="false" ht="15" hidden="false" customHeight="false" outlineLevel="0" collapsed="false">
      <c r="B2551" s="53"/>
      <c r="I2551" s="53"/>
      <c r="U2551" s="31" t="n">
        <f aca="false">IF($B2551&lt;&gt;'設定（最初に1回）'!$C$4,N(U2550),IF(COUNTIFS(①今日の在庫を貼る!$B$6:$B$10005,$B2551,①今日の在庫を貼る!$I$6:$I$10005,$I2551)&gt;0,N(U2550),N(U2550)+1))</f>
        <v>2</v>
      </c>
    </row>
    <row r="2552" customFormat="false" ht="15" hidden="false" customHeight="false" outlineLevel="0" collapsed="false">
      <c r="B2552" s="53"/>
      <c r="I2552" s="53"/>
      <c r="U2552" s="31" t="n">
        <f aca="false">IF($B2552&lt;&gt;'設定（最初に1回）'!$C$4,N(U2551),IF(COUNTIFS(①今日の在庫を貼る!$B$6:$B$10005,$B2552,①今日の在庫を貼る!$I$6:$I$10005,$I2552)&gt;0,N(U2551),N(U2551)+1))</f>
        <v>2</v>
      </c>
    </row>
    <row r="2553" customFormat="false" ht="15" hidden="false" customHeight="false" outlineLevel="0" collapsed="false">
      <c r="B2553" s="53"/>
      <c r="I2553" s="53"/>
      <c r="U2553" s="31" t="n">
        <f aca="false">IF($B2553&lt;&gt;'設定（最初に1回）'!$C$4,N(U2552),IF(COUNTIFS(①今日の在庫を貼る!$B$6:$B$10005,$B2553,①今日の在庫を貼る!$I$6:$I$10005,$I2553)&gt;0,N(U2552),N(U2552)+1))</f>
        <v>2</v>
      </c>
    </row>
    <row r="2554" customFormat="false" ht="15" hidden="false" customHeight="false" outlineLevel="0" collapsed="false">
      <c r="B2554" s="53"/>
      <c r="I2554" s="53"/>
      <c r="U2554" s="31" t="n">
        <f aca="false">IF($B2554&lt;&gt;'設定（最初に1回）'!$C$4,N(U2553),IF(COUNTIFS(①今日の在庫を貼る!$B$6:$B$10005,$B2554,①今日の在庫を貼る!$I$6:$I$10005,$I2554)&gt;0,N(U2553),N(U2553)+1))</f>
        <v>2</v>
      </c>
    </row>
    <row r="2555" customFormat="false" ht="15" hidden="false" customHeight="false" outlineLevel="0" collapsed="false">
      <c r="B2555" s="53"/>
      <c r="I2555" s="53"/>
      <c r="U2555" s="31" t="n">
        <f aca="false">IF($B2555&lt;&gt;'設定（最初に1回）'!$C$4,N(U2554),IF(COUNTIFS(①今日の在庫を貼る!$B$6:$B$10005,$B2555,①今日の在庫を貼る!$I$6:$I$10005,$I2555)&gt;0,N(U2554),N(U2554)+1))</f>
        <v>2</v>
      </c>
    </row>
    <row r="2556" customFormat="false" ht="15" hidden="false" customHeight="false" outlineLevel="0" collapsed="false">
      <c r="B2556" s="53"/>
      <c r="I2556" s="53"/>
      <c r="U2556" s="31" t="n">
        <f aca="false">IF($B2556&lt;&gt;'設定（最初に1回）'!$C$4,N(U2555),IF(COUNTIFS(①今日の在庫を貼る!$B$6:$B$10005,$B2556,①今日の在庫を貼る!$I$6:$I$10005,$I2556)&gt;0,N(U2555),N(U2555)+1))</f>
        <v>2</v>
      </c>
    </row>
    <row r="2557" customFormat="false" ht="15" hidden="false" customHeight="false" outlineLevel="0" collapsed="false">
      <c r="B2557" s="53"/>
      <c r="I2557" s="53"/>
      <c r="U2557" s="31" t="n">
        <f aca="false">IF($B2557&lt;&gt;'設定（最初に1回）'!$C$4,N(U2556),IF(COUNTIFS(①今日の在庫を貼る!$B$6:$B$10005,$B2557,①今日の在庫を貼る!$I$6:$I$10005,$I2557)&gt;0,N(U2556),N(U2556)+1))</f>
        <v>2</v>
      </c>
    </row>
    <row r="2558" customFormat="false" ht="15" hidden="false" customHeight="false" outlineLevel="0" collapsed="false">
      <c r="B2558" s="53"/>
      <c r="I2558" s="53"/>
      <c r="U2558" s="31" t="n">
        <f aca="false">IF($B2558&lt;&gt;'設定（最初に1回）'!$C$4,N(U2557),IF(COUNTIFS(①今日の在庫を貼る!$B$6:$B$10005,$B2558,①今日の在庫を貼る!$I$6:$I$10005,$I2558)&gt;0,N(U2557),N(U2557)+1))</f>
        <v>2</v>
      </c>
    </row>
    <row r="2559" customFormat="false" ht="15" hidden="false" customHeight="false" outlineLevel="0" collapsed="false">
      <c r="B2559" s="53"/>
      <c r="I2559" s="53"/>
      <c r="U2559" s="31" t="n">
        <f aca="false">IF($B2559&lt;&gt;'設定（最初に1回）'!$C$4,N(U2558),IF(COUNTIFS(①今日の在庫を貼る!$B$6:$B$10005,$B2559,①今日の在庫を貼る!$I$6:$I$10005,$I2559)&gt;0,N(U2558),N(U2558)+1))</f>
        <v>2</v>
      </c>
    </row>
    <row r="2560" customFormat="false" ht="15" hidden="false" customHeight="false" outlineLevel="0" collapsed="false">
      <c r="B2560" s="53"/>
      <c r="I2560" s="53"/>
      <c r="U2560" s="31" t="n">
        <f aca="false">IF($B2560&lt;&gt;'設定（最初に1回）'!$C$4,N(U2559),IF(COUNTIFS(①今日の在庫を貼る!$B$6:$B$10005,$B2560,①今日の在庫を貼る!$I$6:$I$10005,$I2560)&gt;0,N(U2559),N(U2559)+1))</f>
        <v>2</v>
      </c>
    </row>
    <row r="2561" customFormat="false" ht="15" hidden="false" customHeight="false" outlineLevel="0" collapsed="false">
      <c r="B2561" s="53"/>
      <c r="I2561" s="53"/>
      <c r="U2561" s="31" t="n">
        <f aca="false">IF($B2561&lt;&gt;'設定（最初に1回）'!$C$4,N(U2560),IF(COUNTIFS(①今日の在庫を貼る!$B$6:$B$10005,$B2561,①今日の在庫を貼る!$I$6:$I$10005,$I2561)&gt;0,N(U2560),N(U2560)+1))</f>
        <v>2</v>
      </c>
    </row>
    <row r="2562" customFormat="false" ht="15" hidden="false" customHeight="false" outlineLevel="0" collapsed="false">
      <c r="B2562" s="53"/>
      <c r="I2562" s="53"/>
      <c r="U2562" s="31" t="n">
        <f aca="false">IF($B2562&lt;&gt;'設定（最初に1回）'!$C$4,N(U2561),IF(COUNTIFS(①今日の在庫を貼る!$B$6:$B$10005,$B2562,①今日の在庫を貼る!$I$6:$I$10005,$I2562)&gt;0,N(U2561),N(U2561)+1))</f>
        <v>2</v>
      </c>
    </row>
    <row r="2563" customFormat="false" ht="15" hidden="false" customHeight="false" outlineLevel="0" collapsed="false">
      <c r="B2563" s="53"/>
      <c r="I2563" s="53"/>
      <c r="U2563" s="31" t="n">
        <f aca="false">IF($B2563&lt;&gt;'設定（最初に1回）'!$C$4,N(U2562),IF(COUNTIFS(①今日の在庫を貼る!$B$6:$B$10005,$B2563,①今日の在庫を貼る!$I$6:$I$10005,$I2563)&gt;0,N(U2562),N(U2562)+1))</f>
        <v>2</v>
      </c>
    </row>
    <row r="2564" customFormat="false" ht="15" hidden="false" customHeight="false" outlineLevel="0" collapsed="false">
      <c r="B2564" s="53"/>
      <c r="I2564" s="53"/>
      <c r="U2564" s="31" t="n">
        <f aca="false">IF($B2564&lt;&gt;'設定（最初に1回）'!$C$4,N(U2563),IF(COUNTIFS(①今日の在庫を貼る!$B$6:$B$10005,$B2564,①今日の在庫を貼る!$I$6:$I$10005,$I2564)&gt;0,N(U2563),N(U2563)+1))</f>
        <v>2</v>
      </c>
    </row>
    <row r="2565" customFormat="false" ht="15" hidden="false" customHeight="false" outlineLevel="0" collapsed="false">
      <c r="B2565" s="53"/>
      <c r="I2565" s="53"/>
      <c r="U2565" s="31" t="n">
        <f aca="false">IF($B2565&lt;&gt;'設定（最初に1回）'!$C$4,N(U2564),IF(COUNTIFS(①今日の在庫を貼る!$B$6:$B$10005,$B2565,①今日の在庫を貼る!$I$6:$I$10005,$I2565)&gt;0,N(U2564),N(U2564)+1))</f>
        <v>2</v>
      </c>
    </row>
    <row r="2566" customFormat="false" ht="15" hidden="false" customHeight="false" outlineLevel="0" collapsed="false">
      <c r="B2566" s="53"/>
      <c r="I2566" s="53"/>
      <c r="U2566" s="31" t="n">
        <f aca="false">IF($B2566&lt;&gt;'設定（最初に1回）'!$C$4,N(U2565),IF(COUNTIFS(①今日の在庫を貼る!$B$6:$B$10005,$B2566,①今日の在庫を貼る!$I$6:$I$10005,$I2566)&gt;0,N(U2565),N(U2565)+1))</f>
        <v>2</v>
      </c>
    </row>
    <row r="2567" customFormat="false" ht="15" hidden="false" customHeight="false" outlineLevel="0" collapsed="false">
      <c r="B2567" s="53"/>
      <c r="I2567" s="53"/>
      <c r="U2567" s="31" t="n">
        <f aca="false">IF($B2567&lt;&gt;'設定（最初に1回）'!$C$4,N(U2566),IF(COUNTIFS(①今日の在庫を貼る!$B$6:$B$10005,$B2567,①今日の在庫を貼る!$I$6:$I$10005,$I2567)&gt;0,N(U2566),N(U2566)+1))</f>
        <v>2</v>
      </c>
    </row>
    <row r="2568" customFormat="false" ht="15" hidden="false" customHeight="false" outlineLevel="0" collapsed="false">
      <c r="B2568" s="53"/>
      <c r="I2568" s="53"/>
      <c r="U2568" s="31" t="n">
        <f aca="false">IF($B2568&lt;&gt;'設定（最初に1回）'!$C$4,N(U2567),IF(COUNTIFS(①今日の在庫を貼る!$B$6:$B$10005,$B2568,①今日の在庫を貼る!$I$6:$I$10005,$I2568)&gt;0,N(U2567),N(U2567)+1))</f>
        <v>2</v>
      </c>
    </row>
    <row r="2569" customFormat="false" ht="15" hidden="false" customHeight="false" outlineLevel="0" collapsed="false">
      <c r="B2569" s="53"/>
      <c r="I2569" s="53"/>
      <c r="U2569" s="31" t="n">
        <f aca="false">IF($B2569&lt;&gt;'設定（最初に1回）'!$C$4,N(U2568),IF(COUNTIFS(①今日の在庫を貼る!$B$6:$B$10005,$B2569,①今日の在庫を貼る!$I$6:$I$10005,$I2569)&gt;0,N(U2568),N(U2568)+1))</f>
        <v>2</v>
      </c>
    </row>
    <row r="2570" customFormat="false" ht="15" hidden="false" customHeight="false" outlineLevel="0" collapsed="false">
      <c r="B2570" s="53"/>
      <c r="I2570" s="53"/>
      <c r="U2570" s="31" t="n">
        <f aca="false">IF($B2570&lt;&gt;'設定（最初に1回）'!$C$4,N(U2569),IF(COUNTIFS(①今日の在庫を貼る!$B$6:$B$10005,$B2570,①今日の在庫を貼る!$I$6:$I$10005,$I2570)&gt;0,N(U2569),N(U2569)+1))</f>
        <v>2</v>
      </c>
    </row>
    <row r="2571" customFormat="false" ht="15" hidden="false" customHeight="false" outlineLevel="0" collapsed="false">
      <c r="B2571" s="53"/>
      <c r="I2571" s="53"/>
      <c r="U2571" s="31" t="n">
        <f aca="false">IF($B2571&lt;&gt;'設定（最初に1回）'!$C$4,N(U2570),IF(COUNTIFS(①今日の在庫を貼る!$B$6:$B$10005,$B2571,①今日の在庫を貼る!$I$6:$I$10005,$I2571)&gt;0,N(U2570),N(U2570)+1))</f>
        <v>2</v>
      </c>
    </row>
    <row r="2572" customFormat="false" ht="15" hidden="false" customHeight="false" outlineLevel="0" collapsed="false">
      <c r="B2572" s="53"/>
      <c r="I2572" s="53"/>
      <c r="U2572" s="31" t="n">
        <f aca="false">IF($B2572&lt;&gt;'設定（最初に1回）'!$C$4,N(U2571),IF(COUNTIFS(①今日の在庫を貼る!$B$6:$B$10005,$B2572,①今日の在庫を貼る!$I$6:$I$10005,$I2572)&gt;0,N(U2571),N(U2571)+1))</f>
        <v>2</v>
      </c>
    </row>
    <row r="2573" customFormat="false" ht="15" hidden="false" customHeight="false" outlineLevel="0" collapsed="false">
      <c r="B2573" s="53"/>
      <c r="I2573" s="53"/>
      <c r="U2573" s="31" t="n">
        <f aca="false">IF($B2573&lt;&gt;'設定（最初に1回）'!$C$4,N(U2572),IF(COUNTIFS(①今日の在庫を貼る!$B$6:$B$10005,$B2573,①今日の在庫を貼る!$I$6:$I$10005,$I2573)&gt;0,N(U2572),N(U2572)+1))</f>
        <v>2</v>
      </c>
    </row>
    <row r="2574" customFormat="false" ht="15" hidden="false" customHeight="false" outlineLevel="0" collapsed="false">
      <c r="B2574" s="53"/>
      <c r="I2574" s="53"/>
      <c r="U2574" s="31" t="n">
        <f aca="false">IF($B2574&lt;&gt;'設定（最初に1回）'!$C$4,N(U2573),IF(COUNTIFS(①今日の在庫を貼る!$B$6:$B$10005,$B2574,①今日の在庫を貼る!$I$6:$I$10005,$I2574)&gt;0,N(U2573),N(U2573)+1))</f>
        <v>2</v>
      </c>
    </row>
    <row r="2575" customFormat="false" ht="15" hidden="false" customHeight="false" outlineLevel="0" collapsed="false">
      <c r="B2575" s="53"/>
      <c r="I2575" s="53"/>
      <c r="U2575" s="31" t="n">
        <f aca="false">IF($B2575&lt;&gt;'設定（最初に1回）'!$C$4,N(U2574),IF(COUNTIFS(①今日の在庫を貼る!$B$6:$B$10005,$B2575,①今日の在庫を貼る!$I$6:$I$10005,$I2575)&gt;0,N(U2574),N(U2574)+1))</f>
        <v>2</v>
      </c>
    </row>
    <row r="2576" customFormat="false" ht="15" hidden="false" customHeight="false" outlineLevel="0" collapsed="false">
      <c r="B2576" s="53"/>
      <c r="I2576" s="53"/>
      <c r="U2576" s="31" t="n">
        <f aca="false">IF($B2576&lt;&gt;'設定（最初に1回）'!$C$4,N(U2575),IF(COUNTIFS(①今日の在庫を貼る!$B$6:$B$10005,$B2576,①今日の在庫を貼る!$I$6:$I$10005,$I2576)&gt;0,N(U2575),N(U2575)+1))</f>
        <v>2</v>
      </c>
    </row>
    <row r="2577" customFormat="false" ht="15" hidden="false" customHeight="false" outlineLevel="0" collapsed="false">
      <c r="B2577" s="53"/>
      <c r="I2577" s="53"/>
      <c r="U2577" s="31" t="n">
        <f aca="false">IF($B2577&lt;&gt;'設定（最初に1回）'!$C$4,N(U2576),IF(COUNTIFS(①今日の在庫を貼る!$B$6:$B$10005,$B2577,①今日の在庫を貼る!$I$6:$I$10005,$I2577)&gt;0,N(U2576),N(U2576)+1))</f>
        <v>2</v>
      </c>
    </row>
    <row r="2578" customFormat="false" ht="15" hidden="false" customHeight="false" outlineLevel="0" collapsed="false">
      <c r="B2578" s="53"/>
      <c r="I2578" s="53"/>
      <c r="U2578" s="31" t="n">
        <f aca="false">IF($B2578&lt;&gt;'設定（最初に1回）'!$C$4,N(U2577),IF(COUNTIFS(①今日の在庫を貼る!$B$6:$B$10005,$B2578,①今日の在庫を貼る!$I$6:$I$10005,$I2578)&gt;0,N(U2577),N(U2577)+1))</f>
        <v>2</v>
      </c>
    </row>
    <row r="2579" customFormat="false" ht="15" hidden="false" customHeight="false" outlineLevel="0" collapsed="false">
      <c r="B2579" s="53"/>
      <c r="I2579" s="53"/>
      <c r="U2579" s="31" t="n">
        <f aca="false">IF($B2579&lt;&gt;'設定（最初に1回）'!$C$4,N(U2578),IF(COUNTIFS(①今日の在庫を貼る!$B$6:$B$10005,$B2579,①今日の在庫を貼る!$I$6:$I$10005,$I2579)&gt;0,N(U2578),N(U2578)+1))</f>
        <v>2</v>
      </c>
    </row>
    <row r="2580" customFormat="false" ht="15" hidden="false" customHeight="false" outlineLevel="0" collapsed="false">
      <c r="B2580" s="53"/>
      <c r="I2580" s="53"/>
      <c r="U2580" s="31" t="n">
        <f aca="false">IF($B2580&lt;&gt;'設定（最初に1回）'!$C$4,N(U2579),IF(COUNTIFS(①今日の在庫を貼る!$B$6:$B$10005,$B2580,①今日の在庫を貼る!$I$6:$I$10005,$I2580)&gt;0,N(U2579),N(U2579)+1))</f>
        <v>2</v>
      </c>
    </row>
    <row r="2581" customFormat="false" ht="15" hidden="false" customHeight="false" outlineLevel="0" collapsed="false">
      <c r="B2581" s="53"/>
      <c r="I2581" s="53"/>
      <c r="U2581" s="31" t="n">
        <f aca="false">IF($B2581&lt;&gt;'設定（最初に1回）'!$C$4,N(U2580),IF(COUNTIFS(①今日の在庫を貼る!$B$6:$B$10005,$B2581,①今日の在庫を貼る!$I$6:$I$10005,$I2581)&gt;0,N(U2580),N(U2580)+1))</f>
        <v>2</v>
      </c>
    </row>
    <row r="2582" customFormat="false" ht="15" hidden="false" customHeight="false" outlineLevel="0" collapsed="false">
      <c r="B2582" s="53"/>
      <c r="I2582" s="53"/>
      <c r="U2582" s="31" t="n">
        <f aca="false">IF($B2582&lt;&gt;'設定（最初に1回）'!$C$4,N(U2581),IF(COUNTIFS(①今日の在庫を貼る!$B$6:$B$10005,$B2582,①今日の在庫を貼る!$I$6:$I$10005,$I2582)&gt;0,N(U2581),N(U2581)+1))</f>
        <v>2</v>
      </c>
    </row>
    <row r="2583" customFormat="false" ht="15" hidden="false" customHeight="false" outlineLevel="0" collapsed="false">
      <c r="B2583" s="53"/>
      <c r="I2583" s="53"/>
      <c r="U2583" s="31" t="n">
        <f aca="false">IF($B2583&lt;&gt;'設定（最初に1回）'!$C$4,N(U2582),IF(COUNTIFS(①今日の在庫を貼る!$B$6:$B$10005,$B2583,①今日の在庫を貼る!$I$6:$I$10005,$I2583)&gt;0,N(U2582),N(U2582)+1))</f>
        <v>2</v>
      </c>
    </row>
    <row r="2584" customFormat="false" ht="15" hidden="false" customHeight="false" outlineLevel="0" collapsed="false">
      <c r="B2584" s="53"/>
      <c r="I2584" s="53"/>
      <c r="U2584" s="31" t="n">
        <f aca="false">IF($B2584&lt;&gt;'設定（最初に1回）'!$C$4,N(U2583),IF(COUNTIFS(①今日の在庫を貼る!$B$6:$B$10005,$B2584,①今日の在庫を貼る!$I$6:$I$10005,$I2584)&gt;0,N(U2583),N(U2583)+1))</f>
        <v>2</v>
      </c>
    </row>
    <row r="2585" customFormat="false" ht="15" hidden="false" customHeight="false" outlineLevel="0" collapsed="false">
      <c r="B2585" s="53"/>
      <c r="I2585" s="53"/>
      <c r="U2585" s="31" t="n">
        <f aca="false">IF($B2585&lt;&gt;'設定（最初に1回）'!$C$4,N(U2584),IF(COUNTIFS(①今日の在庫を貼る!$B$6:$B$10005,$B2585,①今日の在庫を貼る!$I$6:$I$10005,$I2585)&gt;0,N(U2584),N(U2584)+1))</f>
        <v>2</v>
      </c>
    </row>
    <row r="2586" customFormat="false" ht="15" hidden="false" customHeight="false" outlineLevel="0" collapsed="false">
      <c r="B2586" s="53"/>
      <c r="I2586" s="53"/>
      <c r="U2586" s="31" t="n">
        <f aca="false">IF($B2586&lt;&gt;'設定（最初に1回）'!$C$4,N(U2585),IF(COUNTIFS(①今日の在庫を貼る!$B$6:$B$10005,$B2586,①今日の在庫を貼る!$I$6:$I$10005,$I2586)&gt;0,N(U2585),N(U2585)+1))</f>
        <v>2</v>
      </c>
    </row>
    <row r="2587" customFormat="false" ht="15" hidden="false" customHeight="false" outlineLevel="0" collapsed="false">
      <c r="B2587" s="53"/>
      <c r="I2587" s="53"/>
      <c r="U2587" s="31" t="n">
        <f aca="false">IF($B2587&lt;&gt;'設定（最初に1回）'!$C$4,N(U2586),IF(COUNTIFS(①今日の在庫を貼る!$B$6:$B$10005,$B2587,①今日の在庫を貼る!$I$6:$I$10005,$I2587)&gt;0,N(U2586),N(U2586)+1))</f>
        <v>2</v>
      </c>
    </row>
    <row r="2588" customFormat="false" ht="15" hidden="false" customHeight="false" outlineLevel="0" collapsed="false">
      <c r="B2588" s="53"/>
      <c r="I2588" s="53"/>
      <c r="U2588" s="31" t="n">
        <f aca="false">IF($B2588&lt;&gt;'設定（最初に1回）'!$C$4,N(U2587),IF(COUNTIFS(①今日の在庫を貼る!$B$6:$B$10005,$B2588,①今日の在庫を貼る!$I$6:$I$10005,$I2588)&gt;0,N(U2587),N(U2587)+1))</f>
        <v>2</v>
      </c>
    </row>
    <row r="2589" customFormat="false" ht="15" hidden="false" customHeight="false" outlineLevel="0" collapsed="false">
      <c r="B2589" s="53"/>
      <c r="I2589" s="53"/>
      <c r="U2589" s="31" t="n">
        <f aca="false">IF($B2589&lt;&gt;'設定（最初に1回）'!$C$4,N(U2588),IF(COUNTIFS(①今日の在庫を貼る!$B$6:$B$10005,$B2589,①今日の在庫を貼る!$I$6:$I$10005,$I2589)&gt;0,N(U2588),N(U2588)+1))</f>
        <v>2</v>
      </c>
    </row>
    <row r="2590" customFormat="false" ht="15" hidden="false" customHeight="false" outlineLevel="0" collapsed="false">
      <c r="B2590" s="53"/>
      <c r="I2590" s="53"/>
      <c r="U2590" s="31" t="n">
        <f aca="false">IF($B2590&lt;&gt;'設定（最初に1回）'!$C$4,N(U2589),IF(COUNTIFS(①今日の在庫を貼る!$B$6:$B$10005,$B2590,①今日の在庫を貼る!$I$6:$I$10005,$I2590)&gt;0,N(U2589),N(U2589)+1))</f>
        <v>2</v>
      </c>
    </row>
    <row r="2591" customFormat="false" ht="15" hidden="false" customHeight="false" outlineLevel="0" collapsed="false">
      <c r="B2591" s="53"/>
      <c r="I2591" s="53"/>
      <c r="U2591" s="31" t="n">
        <f aca="false">IF($B2591&lt;&gt;'設定（最初に1回）'!$C$4,N(U2590),IF(COUNTIFS(①今日の在庫を貼る!$B$6:$B$10005,$B2591,①今日の在庫を貼る!$I$6:$I$10005,$I2591)&gt;0,N(U2590),N(U2590)+1))</f>
        <v>2</v>
      </c>
    </row>
    <row r="2592" customFormat="false" ht="15" hidden="false" customHeight="false" outlineLevel="0" collapsed="false">
      <c r="B2592" s="53"/>
      <c r="I2592" s="53"/>
      <c r="U2592" s="31" t="n">
        <f aca="false">IF($B2592&lt;&gt;'設定（最初に1回）'!$C$4,N(U2591),IF(COUNTIFS(①今日の在庫を貼る!$B$6:$B$10005,$B2592,①今日の在庫を貼る!$I$6:$I$10005,$I2592)&gt;0,N(U2591),N(U2591)+1))</f>
        <v>2</v>
      </c>
    </row>
    <row r="2593" customFormat="false" ht="15" hidden="false" customHeight="false" outlineLevel="0" collapsed="false">
      <c r="B2593" s="53"/>
      <c r="I2593" s="53"/>
      <c r="U2593" s="31" t="n">
        <f aca="false">IF($B2593&lt;&gt;'設定（最初に1回）'!$C$4,N(U2592),IF(COUNTIFS(①今日の在庫を貼る!$B$6:$B$10005,$B2593,①今日の在庫を貼る!$I$6:$I$10005,$I2593)&gt;0,N(U2592),N(U2592)+1))</f>
        <v>2</v>
      </c>
    </row>
    <row r="2594" customFormat="false" ht="15" hidden="false" customHeight="false" outlineLevel="0" collapsed="false">
      <c r="B2594" s="53"/>
      <c r="I2594" s="53"/>
      <c r="U2594" s="31" t="n">
        <f aca="false">IF($B2594&lt;&gt;'設定（最初に1回）'!$C$4,N(U2593),IF(COUNTIFS(①今日の在庫を貼る!$B$6:$B$10005,$B2594,①今日の在庫を貼る!$I$6:$I$10005,$I2594)&gt;0,N(U2593),N(U2593)+1))</f>
        <v>2</v>
      </c>
    </row>
    <row r="2595" customFormat="false" ht="15" hidden="false" customHeight="false" outlineLevel="0" collapsed="false">
      <c r="B2595" s="53"/>
      <c r="I2595" s="53"/>
      <c r="U2595" s="31" t="n">
        <f aca="false">IF($B2595&lt;&gt;'設定（最初に1回）'!$C$4,N(U2594),IF(COUNTIFS(①今日の在庫を貼る!$B$6:$B$10005,$B2595,①今日の在庫を貼る!$I$6:$I$10005,$I2595)&gt;0,N(U2594),N(U2594)+1))</f>
        <v>2</v>
      </c>
    </row>
    <row r="2596" customFormat="false" ht="15" hidden="false" customHeight="false" outlineLevel="0" collapsed="false">
      <c r="B2596" s="53"/>
      <c r="I2596" s="53"/>
      <c r="U2596" s="31" t="n">
        <f aca="false">IF($B2596&lt;&gt;'設定（最初に1回）'!$C$4,N(U2595),IF(COUNTIFS(①今日の在庫を貼る!$B$6:$B$10005,$B2596,①今日の在庫を貼る!$I$6:$I$10005,$I2596)&gt;0,N(U2595),N(U2595)+1))</f>
        <v>2</v>
      </c>
    </row>
    <row r="2597" customFormat="false" ht="15" hidden="false" customHeight="false" outlineLevel="0" collapsed="false">
      <c r="B2597" s="53"/>
      <c r="I2597" s="53"/>
      <c r="U2597" s="31" t="n">
        <f aca="false">IF($B2597&lt;&gt;'設定（最初に1回）'!$C$4,N(U2596),IF(COUNTIFS(①今日の在庫を貼る!$B$6:$B$10005,$B2597,①今日の在庫を貼る!$I$6:$I$10005,$I2597)&gt;0,N(U2596),N(U2596)+1))</f>
        <v>2</v>
      </c>
    </row>
    <row r="2598" customFormat="false" ht="15" hidden="false" customHeight="false" outlineLevel="0" collapsed="false">
      <c r="B2598" s="53"/>
      <c r="I2598" s="53"/>
      <c r="U2598" s="31" t="n">
        <f aca="false">IF($B2598&lt;&gt;'設定（最初に1回）'!$C$4,N(U2597),IF(COUNTIFS(①今日の在庫を貼る!$B$6:$B$10005,$B2598,①今日の在庫を貼る!$I$6:$I$10005,$I2598)&gt;0,N(U2597),N(U2597)+1))</f>
        <v>2</v>
      </c>
    </row>
    <row r="2599" customFormat="false" ht="15" hidden="false" customHeight="false" outlineLevel="0" collapsed="false">
      <c r="B2599" s="53"/>
      <c r="I2599" s="53"/>
      <c r="U2599" s="31" t="n">
        <f aca="false">IF($B2599&lt;&gt;'設定（最初に1回）'!$C$4,N(U2598),IF(COUNTIFS(①今日の在庫を貼る!$B$6:$B$10005,$B2599,①今日の在庫を貼る!$I$6:$I$10005,$I2599)&gt;0,N(U2598),N(U2598)+1))</f>
        <v>2</v>
      </c>
    </row>
    <row r="2600" customFormat="false" ht="15" hidden="false" customHeight="false" outlineLevel="0" collapsed="false">
      <c r="B2600" s="53"/>
      <c r="I2600" s="53"/>
      <c r="U2600" s="31" t="n">
        <f aca="false">IF($B2600&lt;&gt;'設定（最初に1回）'!$C$4,N(U2599),IF(COUNTIFS(①今日の在庫を貼る!$B$6:$B$10005,$B2600,①今日の在庫を貼る!$I$6:$I$10005,$I2600)&gt;0,N(U2599),N(U2599)+1))</f>
        <v>2</v>
      </c>
    </row>
    <row r="2601" customFormat="false" ht="15" hidden="false" customHeight="false" outlineLevel="0" collapsed="false">
      <c r="B2601" s="53"/>
      <c r="I2601" s="53"/>
      <c r="U2601" s="31" t="n">
        <f aca="false">IF($B2601&lt;&gt;'設定（最初に1回）'!$C$4,N(U2600),IF(COUNTIFS(①今日の在庫を貼る!$B$6:$B$10005,$B2601,①今日の在庫を貼る!$I$6:$I$10005,$I2601)&gt;0,N(U2600),N(U2600)+1))</f>
        <v>2</v>
      </c>
    </row>
    <row r="2602" customFormat="false" ht="15" hidden="false" customHeight="false" outlineLevel="0" collapsed="false">
      <c r="B2602" s="53"/>
      <c r="I2602" s="53"/>
      <c r="U2602" s="31" t="n">
        <f aca="false">IF($B2602&lt;&gt;'設定（最初に1回）'!$C$4,N(U2601),IF(COUNTIFS(①今日の在庫を貼る!$B$6:$B$10005,$B2602,①今日の在庫を貼る!$I$6:$I$10005,$I2602)&gt;0,N(U2601),N(U2601)+1))</f>
        <v>2</v>
      </c>
    </row>
    <row r="2603" customFormat="false" ht="15" hidden="false" customHeight="false" outlineLevel="0" collapsed="false">
      <c r="B2603" s="53"/>
      <c r="I2603" s="53"/>
      <c r="U2603" s="31" t="n">
        <f aca="false">IF($B2603&lt;&gt;'設定（最初に1回）'!$C$4,N(U2602),IF(COUNTIFS(①今日の在庫を貼る!$B$6:$B$10005,$B2603,①今日の在庫を貼る!$I$6:$I$10005,$I2603)&gt;0,N(U2602),N(U2602)+1))</f>
        <v>2</v>
      </c>
    </row>
    <row r="2604" customFormat="false" ht="15" hidden="false" customHeight="false" outlineLevel="0" collapsed="false">
      <c r="B2604" s="53"/>
      <c r="I2604" s="53"/>
      <c r="U2604" s="31" t="n">
        <f aca="false">IF($B2604&lt;&gt;'設定（最初に1回）'!$C$4,N(U2603),IF(COUNTIFS(①今日の在庫を貼る!$B$6:$B$10005,$B2604,①今日の在庫を貼る!$I$6:$I$10005,$I2604)&gt;0,N(U2603),N(U2603)+1))</f>
        <v>2</v>
      </c>
    </row>
    <row r="2605" customFormat="false" ht="15" hidden="false" customHeight="false" outlineLevel="0" collapsed="false">
      <c r="B2605" s="53"/>
      <c r="I2605" s="53"/>
      <c r="U2605" s="31" t="n">
        <f aca="false">IF($B2605&lt;&gt;'設定（最初に1回）'!$C$4,N(U2604),IF(COUNTIFS(①今日の在庫を貼る!$B$6:$B$10005,$B2605,①今日の在庫を貼る!$I$6:$I$10005,$I2605)&gt;0,N(U2604),N(U2604)+1))</f>
        <v>2</v>
      </c>
    </row>
    <row r="2606" customFormat="false" ht="15" hidden="false" customHeight="false" outlineLevel="0" collapsed="false">
      <c r="B2606" s="53"/>
      <c r="I2606" s="53"/>
      <c r="U2606" s="31" t="n">
        <f aca="false">IF($B2606&lt;&gt;'設定（最初に1回）'!$C$4,N(U2605),IF(COUNTIFS(①今日の在庫を貼る!$B$6:$B$10005,$B2606,①今日の在庫を貼る!$I$6:$I$10005,$I2606)&gt;0,N(U2605),N(U2605)+1))</f>
        <v>2</v>
      </c>
    </row>
    <row r="2607" customFormat="false" ht="15" hidden="false" customHeight="false" outlineLevel="0" collapsed="false">
      <c r="B2607" s="53"/>
      <c r="I2607" s="53"/>
      <c r="U2607" s="31" t="n">
        <f aca="false">IF($B2607&lt;&gt;'設定（最初に1回）'!$C$4,N(U2606),IF(COUNTIFS(①今日の在庫を貼る!$B$6:$B$10005,$B2607,①今日の在庫を貼る!$I$6:$I$10005,$I2607)&gt;0,N(U2606),N(U2606)+1))</f>
        <v>2</v>
      </c>
    </row>
    <row r="2608" customFormat="false" ht="15" hidden="false" customHeight="false" outlineLevel="0" collapsed="false">
      <c r="B2608" s="53"/>
      <c r="I2608" s="53"/>
      <c r="U2608" s="31" t="n">
        <f aca="false">IF($B2608&lt;&gt;'設定（最初に1回）'!$C$4,N(U2607),IF(COUNTIFS(①今日の在庫を貼る!$B$6:$B$10005,$B2608,①今日の在庫を貼る!$I$6:$I$10005,$I2608)&gt;0,N(U2607),N(U2607)+1))</f>
        <v>2</v>
      </c>
    </row>
    <row r="2609" customFormat="false" ht="15" hidden="false" customHeight="false" outlineLevel="0" collapsed="false">
      <c r="B2609" s="53"/>
      <c r="I2609" s="53"/>
      <c r="U2609" s="31" t="n">
        <f aca="false">IF($B2609&lt;&gt;'設定（最初に1回）'!$C$4,N(U2608),IF(COUNTIFS(①今日の在庫を貼る!$B$6:$B$10005,$B2609,①今日の在庫を貼る!$I$6:$I$10005,$I2609)&gt;0,N(U2608),N(U2608)+1))</f>
        <v>2</v>
      </c>
    </row>
    <row r="2610" customFormat="false" ht="15" hidden="false" customHeight="false" outlineLevel="0" collapsed="false">
      <c r="B2610" s="53"/>
      <c r="I2610" s="53"/>
      <c r="U2610" s="31" t="n">
        <f aca="false">IF($B2610&lt;&gt;'設定（最初に1回）'!$C$4,N(U2609),IF(COUNTIFS(①今日の在庫を貼る!$B$6:$B$10005,$B2610,①今日の在庫を貼る!$I$6:$I$10005,$I2610)&gt;0,N(U2609),N(U2609)+1))</f>
        <v>2</v>
      </c>
    </row>
    <row r="2611" customFormat="false" ht="15" hidden="false" customHeight="false" outlineLevel="0" collapsed="false">
      <c r="B2611" s="53"/>
      <c r="I2611" s="53"/>
      <c r="U2611" s="31" t="n">
        <f aca="false">IF($B2611&lt;&gt;'設定（最初に1回）'!$C$4,N(U2610),IF(COUNTIFS(①今日の在庫を貼る!$B$6:$B$10005,$B2611,①今日の在庫を貼る!$I$6:$I$10005,$I2611)&gt;0,N(U2610),N(U2610)+1))</f>
        <v>2</v>
      </c>
    </row>
    <row r="2612" customFormat="false" ht="15" hidden="false" customHeight="false" outlineLevel="0" collapsed="false">
      <c r="B2612" s="53"/>
      <c r="I2612" s="53"/>
      <c r="U2612" s="31" t="n">
        <f aca="false">IF($B2612&lt;&gt;'設定（最初に1回）'!$C$4,N(U2611),IF(COUNTIFS(①今日の在庫を貼る!$B$6:$B$10005,$B2612,①今日の在庫を貼る!$I$6:$I$10005,$I2612)&gt;0,N(U2611),N(U2611)+1))</f>
        <v>2</v>
      </c>
    </row>
    <row r="2613" customFormat="false" ht="15" hidden="false" customHeight="false" outlineLevel="0" collapsed="false">
      <c r="B2613" s="53"/>
      <c r="I2613" s="53"/>
      <c r="U2613" s="31" t="n">
        <f aca="false">IF($B2613&lt;&gt;'設定（最初に1回）'!$C$4,N(U2612),IF(COUNTIFS(①今日の在庫を貼る!$B$6:$B$10005,$B2613,①今日の在庫を貼る!$I$6:$I$10005,$I2613)&gt;0,N(U2612),N(U2612)+1))</f>
        <v>2</v>
      </c>
    </row>
    <row r="2614" customFormat="false" ht="15" hidden="false" customHeight="false" outlineLevel="0" collapsed="false">
      <c r="B2614" s="53"/>
      <c r="I2614" s="53"/>
      <c r="U2614" s="31" t="n">
        <f aca="false">IF($B2614&lt;&gt;'設定（最初に1回）'!$C$4,N(U2613),IF(COUNTIFS(①今日の在庫を貼る!$B$6:$B$10005,$B2614,①今日の在庫を貼る!$I$6:$I$10005,$I2614)&gt;0,N(U2613),N(U2613)+1))</f>
        <v>2</v>
      </c>
    </row>
    <row r="2615" customFormat="false" ht="15" hidden="false" customHeight="false" outlineLevel="0" collapsed="false">
      <c r="B2615" s="53"/>
      <c r="I2615" s="53"/>
      <c r="U2615" s="31" t="n">
        <f aca="false">IF($B2615&lt;&gt;'設定（最初に1回）'!$C$4,N(U2614),IF(COUNTIFS(①今日の在庫を貼る!$B$6:$B$10005,$B2615,①今日の在庫を貼る!$I$6:$I$10005,$I2615)&gt;0,N(U2614),N(U2614)+1))</f>
        <v>2</v>
      </c>
    </row>
    <row r="2616" customFormat="false" ht="15" hidden="false" customHeight="false" outlineLevel="0" collapsed="false">
      <c r="B2616" s="53"/>
      <c r="I2616" s="53"/>
      <c r="U2616" s="31" t="n">
        <f aca="false">IF($B2616&lt;&gt;'設定（最初に1回）'!$C$4,N(U2615),IF(COUNTIFS(①今日の在庫を貼る!$B$6:$B$10005,$B2616,①今日の在庫を貼る!$I$6:$I$10005,$I2616)&gt;0,N(U2615),N(U2615)+1))</f>
        <v>2</v>
      </c>
    </row>
    <row r="2617" customFormat="false" ht="15" hidden="false" customHeight="false" outlineLevel="0" collapsed="false">
      <c r="B2617" s="53"/>
      <c r="I2617" s="53"/>
      <c r="U2617" s="31" t="n">
        <f aca="false">IF($B2617&lt;&gt;'設定（最初に1回）'!$C$4,N(U2616),IF(COUNTIFS(①今日の在庫を貼る!$B$6:$B$10005,$B2617,①今日の在庫を貼る!$I$6:$I$10005,$I2617)&gt;0,N(U2616),N(U2616)+1))</f>
        <v>2</v>
      </c>
    </row>
    <row r="2618" customFormat="false" ht="15" hidden="false" customHeight="false" outlineLevel="0" collapsed="false">
      <c r="B2618" s="53"/>
      <c r="I2618" s="53"/>
      <c r="U2618" s="31" t="n">
        <f aca="false">IF($B2618&lt;&gt;'設定（最初に1回）'!$C$4,N(U2617),IF(COUNTIFS(①今日の在庫を貼る!$B$6:$B$10005,$B2618,①今日の在庫を貼る!$I$6:$I$10005,$I2618)&gt;0,N(U2617),N(U2617)+1))</f>
        <v>2</v>
      </c>
    </row>
    <row r="2619" customFormat="false" ht="15" hidden="false" customHeight="false" outlineLevel="0" collapsed="false">
      <c r="B2619" s="53"/>
      <c r="I2619" s="53"/>
      <c r="U2619" s="31" t="n">
        <f aca="false">IF($B2619&lt;&gt;'設定（最初に1回）'!$C$4,N(U2618),IF(COUNTIFS(①今日の在庫を貼る!$B$6:$B$10005,$B2619,①今日の在庫を貼る!$I$6:$I$10005,$I2619)&gt;0,N(U2618),N(U2618)+1))</f>
        <v>2</v>
      </c>
    </row>
    <row r="2620" customFormat="false" ht="15" hidden="false" customHeight="false" outlineLevel="0" collapsed="false">
      <c r="B2620" s="53"/>
      <c r="I2620" s="53"/>
      <c r="U2620" s="31" t="n">
        <f aca="false">IF($B2620&lt;&gt;'設定（最初に1回）'!$C$4,N(U2619),IF(COUNTIFS(①今日の在庫を貼る!$B$6:$B$10005,$B2620,①今日の在庫を貼る!$I$6:$I$10005,$I2620)&gt;0,N(U2619),N(U2619)+1))</f>
        <v>2</v>
      </c>
    </row>
    <row r="2621" customFormat="false" ht="15" hidden="false" customHeight="false" outlineLevel="0" collapsed="false">
      <c r="B2621" s="53"/>
      <c r="I2621" s="53"/>
      <c r="U2621" s="31" t="n">
        <f aca="false">IF($B2621&lt;&gt;'設定（最初に1回）'!$C$4,N(U2620),IF(COUNTIFS(①今日の在庫を貼る!$B$6:$B$10005,$B2621,①今日の在庫を貼る!$I$6:$I$10005,$I2621)&gt;0,N(U2620),N(U2620)+1))</f>
        <v>2</v>
      </c>
    </row>
    <row r="2622" customFormat="false" ht="15" hidden="false" customHeight="false" outlineLevel="0" collapsed="false">
      <c r="B2622" s="53"/>
      <c r="I2622" s="53"/>
      <c r="U2622" s="31" t="n">
        <f aca="false">IF($B2622&lt;&gt;'設定（最初に1回）'!$C$4,N(U2621),IF(COUNTIFS(①今日の在庫を貼る!$B$6:$B$10005,$B2622,①今日の在庫を貼る!$I$6:$I$10005,$I2622)&gt;0,N(U2621),N(U2621)+1))</f>
        <v>2</v>
      </c>
    </row>
    <row r="2623" customFormat="false" ht="15" hidden="false" customHeight="false" outlineLevel="0" collapsed="false">
      <c r="B2623" s="53"/>
      <c r="I2623" s="53"/>
      <c r="U2623" s="31" t="n">
        <f aca="false">IF($B2623&lt;&gt;'設定（最初に1回）'!$C$4,N(U2622),IF(COUNTIFS(①今日の在庫を貼る!$B$6:$B$10005,$B2623,①今日の在庫を貼る!$I$6:$I$10005,$I2623)&gt;0,N(U2622),N(U2622)+1))</f>
        <v>2</v>
      </c>
    </row>
    <row r="2624" customFormat="false" ht="15" hidden="false" customHeight="false" outlineLevel="0" collapsed="false">
      <c r="B2624" s="53"/>
      <c r="I2624" s="53"/>
      <c r="U2624" s="31" t="n">
        <f aca="false">IF($B2624&lt;&gt;'設定（最初に1回）'!$C$4,N(U2623),IF(COUNTIFS(①今日の在庫を貼る!$B$6:$B$10005,$B2624,①今日の在庫を貼る!$I$6:$I$10005,$I2624)&gt;0,N(U2623),N(U2623)+1))</f>
        <v>2</v>
      </c>
    </row>
    <row r="2625" customFormat="false" ht="15" hidden="false" customHeight="false" outlineLevel="0" collapsed="false">
      <c r="B2625" s="53"/>
      <c r="I2625" s="53"/>
      <c r="U2625" s="31" t="n">
        <f aca="false">IF($B2625&lt;&gt;'設定（最初に1回）'!$C$4,N(U2624),IF(COUNTIFS(①今日の在庫を貼る!$B$6:$B$10005,$B2625,①今日の在庫を貼る!$I$6:$I$10005,$I2625)&gt;0,N(U2624),N(U2624)+1))</f>
        <v>2</v>
      </c>
    </row>
    <row r="2626" customFormat="false" ht="15" hidden="false" customHeight="false" outlineLevel="0" collapsed="false">
      <c r="B2626" s="53"/>
      <c r="I2626" s="53"/>
      <c r="U2626" s="31" t="n">
        <f aca="false">IF($B2626&lt;&gt;'設定（最初に1回）'!$C$4,N(U2625),IF(COUNTIFS(①今日の在庫を貼る!$B$6:$B$10005,$B2626,①今日の在庫を貼る!$I$6:$I$10005,$I2626)&gt;0,N(U2625),N(U2625)+1))</f>
        <v>2</v>
      </c>
    </row>
    <row r="2627" customFormat="false" ht="15" hidden="false" customHeight="false" outlineLevel="0" collapsed="false">
      <c r="B2627" s="53"/>
      <c r="I2627" s="53"/>
      <c r="U2627" s="31" t="n">
        <f aca="false">IF($B2627&lt;&gt;'設定（最初に1回）'!$C$4,N(U2626),IF(COUNTIFS(①今日の在庫を貼る!$B$6:$B$10005,$B2627,①今日の在庫を貼る!$I$6:$I$10005,$I2627)&gt;0,N(U2626),N(U2626)+1))</f>
        <v>2</v>
      </c>
    </row>
    <row r="2628" customFormat="false" ht="15" hidden="false" customHeight="false" outlineLevel="0" collapsed="false">
      <c r="B2628" s="53"/>
      <c r="I2628" s="53"/>
      <c r="U2628" s="31" t="n">
        <f aca="false">IF($B2628&lt;&gt;'設定（最初に1回）'!$C$4,N(U2627),IF(COUNTIFS(①今日の在庫を貼る!$B$6:$B$10005,$B2628,①今日の在庫を貼る!$I$6:$I$10005,$I2628)&gt;0,N(U2627),N(U2627)+1))</f>
        <v>2</v>
      </c>
    </row>
    <row r="2629" customFormat="false" ht="15" hidden="false" customHeight="false" outlineLevel="0" collapsed="false">
      <c r="B2629" s="53"/>
      <c r="I2629" s="53"/>
      <c r="U2629" s="31" t="n">
        <f aca="false">IF($B2629&lt;&gt;'設定（最初に1回）'!$C$4,N(U2628),IF(COUNTIFS(①今日の在庫を貼る!$B$6:$B$10005,$B2629,①今日の在庫を貼る!$I$6:$I$10005,$I2629)&gt;0,N(U2628),N(U2628)+1))</f>
        <v>2</v>
      </c>
    </row>
    <row r="2630" customFormat="false" ht="15" hidden="false" customHeight="false" outlineLevel="0" collapsed="false">
      <c r="B2630" s="53"/>
      <c r="I2630" s="53"/>
      <c r="U2630" s="31" t="n">
        <f aca="false">IF($B2630&lt;&gt;'設定（最初に1回）'!$C$4,N(U2629),IF(COUNTIFS(①今日の在庫を貼る!$B$6:$B$10005,$B2630,①今日の在庫を貼る!$I$6:$I$10005,$I2630)&gt;0,N(U2629),N(U2629)+1))</f>
        <v>2</v>
      </c>
    </row>
    <row r="2631" customFormat="false" ht="15" hidden="false" customHeight="false" outlineLevel="0" collapsed="false">
      <c r="B2631" s="53"/>
      <c r="I2631" s="53"/>
      <c r="U2631" s="31" t="n">
        <f aca="false">IF($B2631&lt;&gt;'設定（最初に1回）'!$C$4,N(U2630),IF(COUNTIFS(①今日の在庫を貼る!$B$6:$B$10005,$B2631,①今日の在庫を貼る!$I$6:$I$10005,$I2631)&gt;0,N(U2630),N(U2630)+1))</f>
        <v>2</v>
      </c>
    </row>
    <row r="2632" customFormat="false" ht="15" hidden="false" customHeight="false" outlineLevel="0" collapsed="false">
      <c r="B2632" s="53"/>
      <c r="I2632" s="53"/>
      <c r="U2632" s="31" t="n">
        <f aca="false">IF($B2632&lt;&gt;'設定（最初に1回）'!$C$4,N(U2631),IF(COUNTIFS(①今日の在庫を貼る!$B$6:$B$10005,$B2632,①今日の在庫を貼る!$I$6:$I$10005,$I2632)&gt;0,N(U2631),N(U2631)+1))</f>
        <v>2</v>
      </c>
    </row>
    <row r="2633" customFormat="false" ht="15" hidden="false" customHeight="false" outlineLevel="0" collapsed="false">
      <c r="B2633" s="53"/>
      <c r="I2633" s="53"/>
      <c r="U2633" s="31" t="n">
        <f aca="false">IF($B2633&lt;&gt;'設定（最初に1回）'!$C$4,N(U2632),IF(COUNTIFS(①今日の在庫を貼る!$B$6:$B$10005,$B2633,①今日の在庫を貼る!$I$6:$I$10005,$I2633)&gt;0,N(U2632),N(U2632)+1))</f>
        <v>2</v>
      </c>
    </row>
    <row r="2634" customFormat="false" ht="15" hidden="false" customHeight="false" outlineLevel="0" collapsed="false">
      <c r="B2634" s="53"/>
      <c r="I2634" s="53"/>
      <c r="U2634" s="31" t="n">
        <f aca="false">IF($B2634&lt;&gt;'設定（最初に1回）'!$C$4,N(U2633),IF(COUNTIFS(①今日の在庫を貼る!$B$6:$B$10005,$B2634,①今日の在庫を貼る!$I$6:$I$10005,$I2634)&gt;0,N(U2633),N(U2633)+1))</f>
        <v>2</v>
      </c>
    </row>
    <row r="2635" customFormat="false" ht="15" hidden="false" customHeight="false" outlineLevel="0" collapsed="false">
      <c r="B2635" s="53"/>
      <c r="I2635" s="53"/>
      <c r="U2635" s="31" t="n">
        <f aca="false">IF($B2635&lt;&gt;'設定（最初に1回）'!$C$4,N(U2634),IF(COUNTIFS(①今日の在庫を貼る!$B$6:$B$10005,$B2635,①今日の在庫を貼る!$I$6:$I$10005,$I2635)&gt;0,N(U2634),N(U2634)+1))</f>
        <v>2</v>
      </c>
    </row>
    <row r="2636" customFormat="false" ht="15" hidden="false" customHeight="false" outlineLevel="0" collapsed="false">
      <c r="B2636" s="53"/>
      <c r="I2636" s="53"/>
      <c r="U2636" s="31" t="n">
        <f aca="false">IF($B2636&lt;&gt;'設定（最初に1回）'!$C$4,N(U2635),IF(COUNTIFS(①今日の在庫を貼る!$B$6:$B$10005,$B2636,①今日の在庫を貼る!$I$6:$I$10005,$I2636)&gt;0,N(U2635),N(U2635)+1))</f>
        <v>2</v>
      </c>
    </row>
    <row r="2637" customFormat="false" ht="15" hidden="false" customHeight="false" outlineLevel="0" collapsed="false">
      <c r="B2637" s="53"/>
      <c r="I2637" s="53"/>
      <c r="U2637" s="31" t="n">
        <f aca="false">IF($B2637&lt;&gt;'設定（最初に1回）'!$C$4,N(U2636),IF(COUNTIFS(①今日の在庫を貼る!$B$6:$B$10005,$B2637,①今日の在庫を貼る!$I$6:$I$10005,$I2637)&gt;0,N(U2636),N(U2636)+1))</f>
        <v>2</v>
      </c>
    </row>
    <row r="2638" customFormat="false" ht="15" hidden="false" customHeight="false" outlineLevel="0" collapsed="false">
      <c r="B2638" s="53"/>
      <c r="I2638" s="53"/>
      <c r="U2638" s="31" t="n">
        <f aca="false">IF($B2638&lt;&gt;'設定（最初に1回）'!$C$4,N(U2637),IF(COUNTIFS(①今日の在庫を貼る!$B$6:$B$10005,$B2638,①今日の在庫を貼る!$I$6:$I$10005,$I2638)&gt;0,N(U2637),N(U2637)+1))</f>
        <v>2</v>
      </c>
    </row>
    <row r="2639" customFormat="false" ht="15" hidden="false" customHeight="false" outlineLevel="0" collapsed="false">
      <c r="B2639" s="53"/>
      <c r="I2639" s="53"/>
      <c r="U2639" s="31" t="n">
        <f aca="false">IF($B2639&lt;&gt;'設定（最初に1回）'!$C$4,N(U2638),IF(COUNTIFS(①今日の在庫を貼る!$B$6:$B$10005,$B2639,①今日の在庫を貼る!$I$6:$I$10005,$I2639)&gt;0,N(U2638),N(U2638)+1))</f>
        <v>2</v>
      </c>
    </row>
    <row r="2640" customFormat="false" ht="15" hidden="false" customHeight="false" outlineLevel="0" collapsed="false">
      <c r="B2640" s="53"/>
      <c r="I2640" s="53"/>
      <c r="U2640" s="31" t="n">
        <f aca="false">IF($B2640&lt;&gt;'設定（最初に1回）'!$C$4,N(U2639),IF(COUNTIFS(①今日の在庫を貼る!$B$6:$B$10005,$B2640,①今日の在庫を貼る!$I$6:$I$10005,$I2640)&gt;0,N(U2639),N(U2639)+1))</f>
        <v>2</v>
      </c>
    </row>
    <row r="2641" customFormat="false" ht="15" hidden="false" customHeight="false" outlineLevel="0" collapsed="false">
      <c r="B2641" s="53"/>
      <c r="I2641" s="53"/>
      <c r="U2641" s="31" t="n">
        <f aca="false">IF($B2641&lt;&gt;'設定（最初に1回）'!$C$4,N(U2640),IF(COUNTIFS(①今日の在庫を貼る!$B$6:$B$10005,$B2641,①今日の在庫を貼る!$I$6:$I$10005,$I2641)&gt;0,N(U2640),N(U2640)+1))</f>
        <v>2</v>
      </c>
    </row>
    <row r="2642" customFormat="false" ht="15" hidden="false" customHeight="false" outlineLevel="0" collapsed="false">
      <c r="B2642" s="53"/>
      <c r="I2642" s="53"/>
      <c r="U2642" s="31" t="n">
        <f aca="false">IF($B2642&lt;&gt;'設定（最初に1回）'!$C$4,N(U2641),IF(COUNTIFS(①今日の在庫を貼る!$B$6:$B$10005,$B2642,①今日の在庫を貼る!$I$6:$I$10005,$I2642)&gt;0,N(U2641),N(U2641)+1))</f>
        <v>2</v>
      </c>
    </row>
    <row r="2643" customFormat="false" ht="15" hidden="false" customHeight="false" outlineLevel="0" collapsed="false">
      <c r="B2643" s="53"/>
      <c r="I2643" s="53"/>
      <c r="U2643" s="31" t="n">
        <f aca="false">IF($B2643&lt;&gt;'設定（最初に1回）'!$C$4,N(U2642),IF(COUNTIFS(①今日の在庫を貼る!$B$6:$B$10005,$B2643,①今日の在庫を貼る!$I$6:$I$10005,$I2643)&gt;0,N(U2642),N(U2642)+1))</f>
        <v>2</v>
      </c>
    </row>
    <row r="2644" customFormat="false" ht="15" hidden="false" customHeight="false" outlineLevel="0" collapsed="false">
      <c r="B2644" s="53"/>
      <c r="I2644" s="53"/>
      <c r="U2644" s="31" t="n">
        <f aca="false">IF($B2644&lt;&gt;'設定（最初に1回）'!$C$4,N(U2643),IF(COUNTIFS(①今日の在庫を貼る!$B$6:$B$10005,$B2644,①今日の在庫を貼る!$I$6:$I$10005,$I2644)&gt;0,N(U2643),N(U2643)+1))</f>
        <v>2</v>
      </c>
    </row>
    <row r="2645" customFormat="false" ht="15" hidden="false" customHeight="false" outlineLevel="0" collapsed="false">
      <c r="B2645" s="53"/>
      <c r="I2645" s="53"/>
      <c r="U2645" s="31" t="n">
        <f aca="false">IF($B2645&lt;&gt;'設定（最初に1回）'!$C$4,N(U2644),IF(COUNTIFS(①今日の在庫を貼る!$B$6:$B$10005,$B2645,①今日の在庫を貼る!$I$6:$I$10005,$I2645)&gt;0,N(U2644),N(U2644)+1))</f>
        <v>2</v>
      </c>
    </row>
    <row r="2646" customFormat="false" ht="15" hidden="false" customHeight="false" outlineLevel="0" collapsed="false">
      <c r="B2646" s="53"/>
      <c r="I2646" s="53"/>
      <c r="U2646" s="31" t="n">
        <f aca="false">IF($B2646&lt;&gt;'設定（最初に1回）'!$C$4,N(U2645),IF(COUNTIFS(①今日の在庫を貼る!$B$6:$B$10005,$B2646,①今日の在庫を貼る!$I$6:$I$10005,$I2646)&gt;0,N(U2645),N(U2645)+1))</f>
        <v>2</v>
      </c>
    </row>
    <row r="2647" customFormat="false" ht="15" hidden="false" customHeight="false" outlineLevel="0" collapsed="false">
      <c r="B2647" s="53"/>
      <c r="I2647" s="53"/>
      <c r="U2647" s="31" t="n">
        <f aca="false">IF($B2647&lt;&gt;'設定（最初に1回）'!$C$4,N(U2646),IF(COUNTIFS(①今日の在庫を貼る!$B$6:$B$10005,$B2647,①今日の在庫を貼る!$I$6:$I$10005,$I2647)&gt;0,N(U2646),N(U2646)+1))</f>
        <v>2</v>
      </c>
    </row>
    <row r="2648" customFormat="false" ht="15" hidden="false" customHeight="false" outlineLevel="0" collapsed="false">
      <c r="B2648" s="53"/>
      <c r="I2648" s="53"/>
      <c r="U2648" s="31" t="n">
        <f aca="false">IF($B2648&lt;&gt;'設定（最初に1回）'!$C$4,N(U2647),IF(COUNTIFS(①今日の在庫を貼る!$B$6:$B$10005,$B2648,①今日の在庫を貼る!$I$6:$I$10005,$I2648)&gt;0,N(U2647),N(U2647)+1))</f>
        <v>2</v>
      </c>
    </row>
    <row r="2649" customFormat="false" ht="15" hidden="false" customHeight="false" outlineLevel="0" collapsed="false">
      <c r="B2649" s="53"/>
      <c r="I2649" s="53"/>
      <c r="U2649" s="31" t="n">
        <f aca="false">IF($B2649&lt;&gt;'設定（最初に1回）'!$C$4,N(U2648),IF(COUNTIFS(①今日の在庫を貼る!$B$6:$B$10005,$B2649,①今日の在庫を貼る!$I$6:$I$10005,$I2649)&gt;0,N(U2648),N(U2648)+1))</f>
        <v>2</v>
      </c>
    </row>
    <row r="2650" customFormat="false" ht="15" hidden="false" customHeight="false" outlineLevel="0" collapsed="false">
      <c r="B2650" s="53"/>
      <c r="I2650" s="53"/>
      <c r="U2650" s="31" t="n">
        <f aca="false">IF($B2650&lt;&gt;'設定（最初に1回）'!$C$4,N(U2649),IF(COUNTIFS(①今日の在庫を貼る!$B$6:$B$10005,$B2650,①今日の在庫を貼る!$I$6:$I$10005,$I2650)&gt;0,N(U2649),N(U2649)+1))</f>
        <v>2</v>
      </c>
    </row>
    <row r="2651" customFormat="false" ht="15" hidden="false" customHeight="false" outlineLevel="0" collapsed="false">
      <c r="B2651" s="53"/>
      <c r="I2651" s="53"/>
      <c r="U2651" s="31" t="n">
        <f aca="false">IF($B2651&lt;&gt;'設定（最初に1回）'!$C$4,N(U2650),IF(COUNTIFS(①今日の在庫を貼る!$B$6:$B$10005,$B2651,①今日の在庫を貼る!$I$6:$I$10005,$I2651)&gt;0,N(U2650),N(U2650)+1))</f>
        <v>2</v>
      </c>
    </row>
    <row r="2652" customFormat="false" ht="15" hidden="false" customHeight="false" outlineLevel="0" collapsed="false">
      <c r="B2652" s="53"/>
      <c r="I2652" s="53"/>
      <c r="U2652" s="31" t="n">
        <f aca="false">IF($B2652&lt;&gt;'設定（最初に1回）'!$C$4,N(U2651),IF(COUNTIFS(①今日の在庫を貼る!$B$6:$B$10005,$B2652,①今日の在庫を貼る!$I$6:$I$10005,$I2652)&gt;0,N(U2651),N(U2651)+1))</f>
        <v>2</v>
      </c>
    </row>
    <row r="2653" customFormat="false" ht="15" hidden="false" customHeight="false" outlineLevel="0" collapsed="false">
      <c r="B2653" s="53"/>
      <c r="I2653" s="53"/>
      <c r="U2653" s="31" t="n">
        <f aca="false">IF($B2653&lt;&gt;'設定（最初に1回）'!$C$4,N(U2652),IF(COUNTIFS(①今日の在庫を貼る!$B$6:$B$10005,$B2653,①今日の在庫を貼る!$I$6:$I$10005,$I2653)&gt;0,N(U2652),N(U2652)+1))</f>
        <v>2</v>
      </c>
    </row>
    <row r="2654" customFormat="false" ht="15" hidden="false" customHeight="false" outlineLevel="0" collapsed="false">
      <c r="B2654" s="53"/>
      <c r="I2654" s="53"/>
      <c r="U2654" s="31" t="n">
        <f aca="false">IF($B2654&lt;&gt;'設定（最初に1回）'!$C$4,N(U2653),IF(COUNTIFS(①今日の在庫を貼る!$B$6:$B$10005,$B2654,①今日の在庫を貼る!$I$6:$I$10005,$I2654)&gt;0,N(U2653),N(U2653)+1))</f>
        <v>2</v>
      </c>
    </row>
    <row r="2655" customFormat="false" ht="15" hidden="false" customHeight="false" outlineLevel="0" collapsed="false">
      <c r="B2655" s="53"/>
      <c r="I2655" s="53"/>
      <c r="U2655" s="31" t="n">
        <f aca="false">IF($B2655&lt;&gt;'設定（最初に1回）'!$C$4,N(U2654),IF(COUNTIFS(①今日の在庫を貼る!$B$6:$B$10005,$B2655,①今日の在庫を貼る!$I$6:$I$10005,$I2655)&gt;0,N(U2654),N(U2654)+1))</f>
        <v>2</v>
      </c>
    </row>
    <row r="2656" customFormat="false" ht="15" hidden="false" customHeight="false" outlineLevel="0" collapsed="false">
      <c r="B2656" s="53"/>
      <c r="I2656" s="53"/>
      <c r="U2656" s="31" t="n">
        <f aca="false">IF($B2656&lt;&gt;'設定（最初に1回）'!$C$4,N(U2655),IF(COUNTIFS(①今日の在庫を貼る!$B$6:$B$10005,$B2656,①今日の在庫を貼る!$I$6:$I$10005,$I2656)&gt;0,N(U2655),N(U2655)+1))</f>
        <v>2</v>
      </c>
    </row>
    <row r="2657" customFormat="false" ht="15" hidden="false" customHeight="false" outlineLevel="0" collapsed="false">
      <c r="B2657" s="53"/>
      <c r="I2657" s="53"/>
      <c r="U2657" s="31" t="n">
        <f aca="false">IF($B2657&lt;&gt;'設定（最初に1回）'!$C$4,N(U2656),IF(COUNTIFS(①今日の在庫を貼る!$B$6:$B$10005,$B2657,①今日の在庫を貼る!$I$6:$I$10005,$I2657)&gt;0,N(U2656),N(U2656)+1))</f>
        <v>2</v>
      </c>
    </row>
    <row r="2658" customFormat="false" ht="15" hidden="false" customHeight="false" outlineLevel="0" collapsed="false">
      <c r="B2658" s="53"/>
      <c r="I2658" s="53"/>
      <c r="U2658" s="31" t="n">
        <f aca="false">IF($B2658&lt;&gt;'設定（最初に1回）'!$C$4,N(U2657),IF(COUNTIFS(①今日の在庫を貼る!$B$6:$B$10005,$B2658,①今日の在庫を貼る!$I$6:$I$10005,$I2658)&gt;0,N(U2657),N(U2657)+1))</f>
        <v>2</v>
      </c>
    </row>
    <row r="2659" customFormat="false" ht="15" hidden="false" customHeight="false" outlineLevel="0" collapsed="false">
      <c r="B2659" s="53"/>
      <c r="I2659" s="53"/>
      <c r="U2659" s="31" t="n">
        <f aca="false">IF($B2659&lt;&gt;'設定（最初に1回）'!$C$4,N(U2658),IF(COUNTIFS(①今日の在庫を貼る!$B$6:$B$10005,$B2659,①今日の在庫を貼る!$I$6:$I$10005,$I2659)&gt;0,N(U2658),N(U2658)+1))</f>
        <v>2</v>
      </c>
    </row>
    <row r="2660" customFormat="false" ht="15" hidden="false" customHeight="false" outlineLevel="0" collapsed="false">
      <c r="B2660" s="53"/>
      <c r="I2660" s="53"/>
      <c r="U2660" s="31" t="n">
        <f aca="false">IF($B2660&lt;&gt;'設定（最初に1回）'!$C$4,N(U2659),IF(COUNTIFS(①今日の在庫を貼る!$B$6:$B$10005,$B2660,①今日の在庫を貼る!$I$6:$I$10005,$I2660)&gt;0,N(U2659),N(U2659)+1))</f>
        <v>2</v>
      </c>
    </row>
    <row r="2661" customFormat="false" ht="15" hidden="false" customHeight="false" outlineLevel="0" collapsed="false">
      <c r="B2661" s="53"/>
      <c r="I2661" s="53"/>
      <c r="U2661" s="31" t="n">
        <f aca="false">IF($B2661&lt;&gt;'設定（最初に1回）'!$C$4,N(U2660),IF(COUNTIFS(①今日の在庫を貼る!$B$6:$B$10005,$B2661,①今日の在庫を貼る!$I$6:$I$10005,$I2661)&gt;0,N(U2660),N(U2660)+1))</f>
        <v>2</v>
      </c>
    </row>
    <row r="2662" customFormat="false" ht="15" hidden="false" customHeight="false" outlineLevel="0" collapsed="false">
      <c r="B2662" s="53"/>
      <c r="I2662" s="53"/>
      <c r="U2662" s="31" t="n">
        <f aca="false">IF($B2662&lt;&gt;'設定（最初に1回）'!$C$4,N(U2661),IF(COUNTIFS(①今日の在庫を貼る!$B$6:$B$10005,$B2662,①今日の在庫を貼る!$I$6:$I$10005,$I2662)&gt;0,N(U2661),N(U2661)+1))</f>
        <v>2</v>
      </c>
    </row>
    <row r="2663" customFormat="false" ht="15" hidden="false" customHeight="false" outlineLevel="0" collapsed="false">
      <c r="B2663" s="53"/>
      <c r="I2663" s="53"/>
      <c r="U2663" s="31" t="n">
        <f aca="false">IF($B2663&lt;&gt;'設定（最初に1回）'!$C$4,N(U2662),IF(COUNTIFS(①今日の在庫を貼る!$B$6:$B$10005,$B2663,①今日の在庫を貼る!$I$6:$I$10005,$I2663)&gt;0,N(U2662),N(U2662)+1))</f>
        <v>2</v>
      </c>
    </row>
    <row r="2664" customFormat="false" ht="15" hidden="false" customHeight="false" outlineLevel="0" collapsed="false">
      <c r="B2664" s="53"/>
      <c r="I2664" s="53"/>
      <c r="U2664" s="31" t="n">
        <f aca="false">IF($B2664&lt;&gt;'設定（最初に1回）'!$C$4,N(U2663),IF(COUNTIFS(①今日の在庫を貼る!$B$6:$B$10005,$B2664,①今日の在庫を貼る!$I$6:$I$10005,$I2664)&gt;0,N(U2663),N(U2663)+1))</f>
        <v>2</v>
      </c>
    </row>
    <row r="2665" customFormat="false" ht="15" hidden="false" customHeight="false" outlineLevel="0" collapsed="false">
      <c r="B2665" s="53"/>
      <c r="I2665" s="53"/>
      <c r="U2665" s="31" t="n">
        <f aca="false">IF($B2665&lt;&gt;'設定（最初に1回）'!$C$4,N(U2664),IF(COUNTIFS(①今日の在庫を貼る!$B$6:$B$10005,$B2665,①今日の在庫を貼る!$I$6:$I$10005,$I2665)&gt;0,N(U2664),N(U2664)+1))</f>
        <v>2</v>
      </c>
    </row>
    <row r="2666" customFormat="false" ht="15" hidden="false" customHeight="false" outlineLevel="0" collapsed="false">
      <c r="B2666" s="53"/>
      <c r="I2666" s="53"/>
      <c r="U2666" s="31" t="n">
        <f aca="false">IF($B2666&lt;&gt;'設定（最初に1回）'!$C$4,N(U2665),IF(COUNTIFS(①今日の在庫を貼る!$B$6:$B$10005,$B2666,①今日の在庫を貼る!$I$6:$I$10005,$I2666)&gt;0,N(U2665),N(U2665)+1))</f>
        <v>2</v>
      </c>
    </row>
    <row r="2667" customFormat="false" ht="15" hidden="false" customHeight="false" outlineLevel="0" collapsed="false">
      <c r="B2667" s="53"/>
      <c r="I2667" s="53"/>
      <c r="U2667" s="31" t="n">
        <f aca="false">IF($B2667&lt;&gt;'設定（最初に1回）'!$C$4,N(U2666),IF(COUNTIFS(①今日の在庫を貼る!$B$6:$B$10005,$B2667,①今日の在庫を貼る!$I$6:$I$10005,$I2667)&gt;0,N(U2666),N(U2666)+1))</f>
        <v>2</v>
      </c>
    </row>
    <row r="2668" customFormat="false" ht="15" hidden="false" customHeight="false" outlineLevel="0" collapsed="false">
      <c r="B2668" s="53"/>
      <c r="I2668" s="53"/>
      <c r="U2668" s="31" t="n">
        <f aca="false">IF($B2668&lt;&gt;'設定（最初に1回）'!$C$4,N(U2667),IF(COUNTIFS(①今日の在庫を貼る!$B$6:$B$10005,$B2668,①今日の在庫を貼る!$I$6:$I$10005,$I2668)&gt;0,N(U2667),N(U2667)+1))</f>
        <v>2</v>
      </c>
    </row>
    <row r="2669" customFormat="false" ht="15" hidden="false" customHeight="false" outlineLevel="0" collapsed="false">
      <c r="B2669" s="53"/>
      <c r="I2669" s="53"/>
      <c r="U2669" s="31" t="n">
        <f aca="false">IF($B2669&lt;&gt;'設定（最初に1回）'!$C$4,N(U2668),IF(COUNTIFS(①今日の在庫を貼る!$B$6:$B$10005,$B2669,①今日の在庫を貼る!$I$6:$I$10005,$I2669)&gt;0,N(U2668),N(U2668)+1))</f>
        <v>2</v>
      </c>
    </row>
    <row r="2670" customFormat="false" ht="15" hidden="false" customHeight="false" outlineLevel="0" collapsed="false">
      <c r="B2670" s="53"/>
      <c r="I2670" s="53"/>
      <c r="U2670" s="31" t="n">
        <f aca="false">IF($B2670&lt;&gt;'設定（最初に1回）'!$C$4,N(U2669),IF(COUNTIFS(①今日の在庫を貼る!$B$6:$B$10005,$B2670,①今日の在庫を貼る!$I$6:$I$10005,$I2670)&gt;0,N(U2669),N(U2669)+1))</f>
        <v>2</v>
      </c>
    </row>
    <row r="2671" customFormat="false" ht="15" hidden="false" customHeight="false" outlineLevel="0" collapsed="false">
      <c r="B2671" s="53"/>
      <c r="I2671" s="53"/>
      <c r="U2671" s="31" t="n">
        <f aca="false">IF($B2671&lt;&gt;'設定（最初に1回）'!$C$4,N(U2670),IF(COUNTIFS(①今日の在庫を貼る!$B$6:$B$10005,$B2671,①今日の在庫を貼る!$I$6:$I$10005,$I2671)&gt;0,N(U2670),N(U2670)+1))</f>
        <v>2</v>
      </c>
    </row>
    <row r="2672" customFormat="false" ht="15" hidden="false" customHeight="false" outlineLevel="0" collapsed="false">
      <c r="B2672" s="53"/>
      <c r="I2672" s="53"/>
      <c r="U2672" s="31" t="n">
        <f aca="false">IF($B2672&lt;&gt;'設定（最初に1回）'!$C$4,N(U2671),IF(COUNTIFS(①今日の在庫を貼る!$B$6:$B$10005,$B2672,①今日の在庫を貼る!$I$6:$I$10005,$I2672)&gt;0,N(U2671),N(U2671)+1))</f>
        <v>2</v>
      </c>
    </row>
    <row r="2673" customFormat="false" ht="15" hidden="false" customHeight="false" outlineLevel="0" collapsed="false">
      <c r="B2673" s="53"/>
      <c r="I2673" s="53"/>
      <c r="U2673" s="31" t="n">
        <f aca="false">IF($B2673&lt;&gt;'設定（最初に1回）'!$C$4,N(U2672),IF(COUNTIFS(①今日の在庫を貼る!$B$6:$B$10005,$B2673,①今日の在庫を貼る!$I$6:$I$10005,$I2673)&gt;0,N(U2672),N(U2672)+1))</f>
        <v>2</v>
      </c>
    </row>
    <row r="2674" customFormat="false" ht="15" hidden="false" customHeight="false" outlineLevel="0" collapsed="false">
      <c r="B2674" s="53"/>
      <c r="I2674" s="53"/>
      <c r="U2674" s="31" t="n">
        <f aca="false">IF($B2674&lt;&gt;'設定（最初に1回）'!$C$4,N(U2673),IF(COUNTIFS(①今日の在庫を貼る!$B$6:$B$10005,$B2674,①今日の在庫を貼る!$I$6:$I$10005,$I2674)&gt;0,N(U2673),N(U2673)+1))</f>
        <v>2</v>
      </c>
    </row>
    <row r="2675" customFormat="false" ht="15" hidden="false" customHeight="false" outlineLevel="0" collapsed="false">
      <c r="B2675" s="53"/>
      <c r="I2675" s="53"/>
      <c r="U2675" s="31" t="n">
        <f aca="false">IF($B2675&lt;&gt;'設定（最初に1回）'!$C$4,N(U2674),IF(COUNTIFS(①今日の在庫を貼る!$B$6:$B$10005,$B2675,①今日の在庫を貼る!$I$6:$I$10005,$I2675)&gt;0,N(U2674),N(U2674)+1))</f>
        <v>2</v>
      </c>
    </row>
    <row r="2676" customFormat="false" ht="15" hidden="false" customHeight="false" outlineLevel="0" collapsed="false">
      <c r="B2676" s="53"/>
      <c r="I2676" s="53"/>
      <c r="U2676" s="31" t="n">
        <f aca="false">IF($B2676&lt;&gt;'設定（最初に1回）'!$C$4,N(U2675),IF(COUNTIFS(①今日の在庫を貼る!$B$6:$B$10005,$B2676,①今日の在庫を貼る!$I$6:$I$10005,$I2676)&gt;0,N(U2675),N(U2675)+1))</f>
        <v>2</v>
      </c>
    </row>
    <row r="2677" customFormat="false" ht="15" hidden="false" customHeight="false" outlineLevel="0" collapsed="false">
      <c r="B2677" s="53"/>
      <c r="I2677" s="53"/>
      <c r="U2677" s="31" t="n">
        <f aca="false">IF($B2677&lt;&gt;'設定（最初に1回）'!$C$4,N(U2676),IF(COUNTIFS(①今日の在庫を貼る!$B$6:$B$10005,$B2677,①今日の在庫を貼る!$I$6:$I$10005,$I2677)&gt;0,N(U2676),N(U2676)+1))</f>
        <v>2</v>
      </c>
    </row>
    <row r="2678" customFormat="false" ht="15" hidden="false" customHeight="false" outlineLevel="0" collapsed="false">
      <c r="B2678" s="53"/>
      <c r="I2678" s="53"/>
      <c r="U2678" s="31" t="n">
        <f aca="false">IF($B2678&lt;&gt;'設定（最初に1回）'!$C$4,N(U2677),IF(COUNTIFS(①今日の在庫を貼る!$B$6:$B$10005,$B2678,①今日の在庫を貼る!$I$6:$I$10005,$I2678)&gt;0,N(U2677),N(U2677)+1))</f>
        <v>2</v>
      </c>
    </row>
    <row r="2679" customFormat="false" ht="15" hidden="false" customHeight="false" outlineLevel="0" collapsed="false">
      <c r="B2679" s="53"/>
      <c r="I2679" s="53"/>
      <c r="U2679" s="31" t="n">
        <f aca="false">IF($B2679&lt;&gt;'設定（最初に1回）'!$C$4,N(U2678),IF(COUNTIFS(①今日の在庫を貼る!$B$6:$B$10005,$B2679,①今日の在庫を貼る!$I$6:$I$10005,$I2679)&gt;0,N(U2678),N(U2678)+1))</f>
        <v>2</v>
      </c>
    </row>
    <row r="2680" customFormat="false" ht="15" hidden="false" customHeight="false" outlineLevel="0" collapsed="false">
      <c r="B2680" s="53"/>
      <c r="I2680" s="53"/>
      <c r="U2680" s="31" t="n">
        <f aca="false">IF($B2680&lt;&gt;'設定（最初に1回）'!$C$4,N(U2679),IF(COUNTIFS(①今日の在庫を貼る!$B$6:$B$10005,$B2680,①今日の在庫を貼る!$I$6:$I$10005,$I2680)&gt;0,N(U2679),N(U2679)+1))</f>
        <v>2</v>
      </c>
    </row>
    <row r="2681" customFormat="false" ht="15" hidden="false" customHeight="false" outlineLevel="0" collapsed="false">
      <c r="B2681" s="53"/>
      <c r="I2681" s="53"/>
      <c r="U2681" s="31" t="n">
        <f aca="false">IF($B2681&lt;&gt;'設定（最初に1回）'!$C$4,N(U2680),IF(COUNTIFS(①今日の在庫を貼る!$B$6:$B$10005,$B2681,①今日の在庫を貼る!$I$6:$I$10005,$I2681)&gt;0,N(U2680),N(U2680)+1))</f>
        <v>2</v>
      </c>
    </row>
    <row r="2682" customFormat="false" ht="15" hidden="false" customHeight="false" outlineLevel="0" collapsed="false">
      <c r="B2682" s="53"/>
      <c r="I2682" s="53"/>
      <c r="U2682" s="31" t="n">
        <f aca="false">IF($B2682&lt;&gt;'設定（最初に1回）'!$C$4,N(U2681),IF(COUNTIFS(①今日の在庫を貼る!$B$6:$B$10005,$B2682,①今日の在庫を貼る!$I$6:$I$10005,$I2682)&gt;0,N(U2681),N(U2681)+1))</f>
        <v>2</v>
      </c>
    </row>
    <row r="2683" customFormat="false" ht="15" hidden="false" customHeight="false" outlineLevel="0" collapsed="false">
      <c r="B2683" s="53"/>
      <c r="I2683" s="53"/>
      <c r="U2683" s="31" t="n">
        <f aca="false">IF($B2683&lt;&gt;'設定（最初に1回）'!$C$4,N(U2682),IF(COUNTIFS(①今日の在庫を貼る!$B$6:$B$10005,$B2683,①今日の在庫を貼る!$I$6:$I$10005,$I2683)&gt;0,N(U2682),N(U2682)+1))</f>
        <v>2</v>
      </c>
    </row>
    <row r="2684" customFormat="false" ht="15" hidden="false" customHeight="false" outlineLevel="0" collapsed="false">
      <c r="B2684" s="53"/>
      <c r="I2684" s="53"/>
      <c r="U2684" s="31" t="n">
        <f aca="false">IF($B2684&lt;&gt;'設定（最初に1回）'!$C$4,N(U2683),IF(COUNTIFS(①今日の在庫を貼る!$B$6:$B$10005,$B2684,①今日の在庫を貼る!$I$6:$I$10005,$I2684)&gt;0,N(U2683),N(U2683)+1))</f>
        <v>2</v>
      </c>
    </row>
    <row r="2685" customFormat="false" ht="15" hidden="false" customHeight="false" outlineLevel="0" collapsed="false">
      <c r="B2685" s="53"/>
      <c r="I2685" s="53"/>
      <c r="U2685" s="31" t="n">
        <f aca="false">IF($B2685&lt;&gt;'設定（最初に1回）'!$C$4,N(U2684),IF(COUNTIFS(①今日の在庫を貼る!$B$6:$B$10005,$B2685,①今日の在庫を貼る!$I$6:$I$10005,$I2685)&gt;0,N(U2684),N(U2684)+1))</f>
        <v>2</v>
      </c>
    </row>
    <row r="2686" customFormat="false" ht="15" hidden="false" customHeight="false" outlineLevel="0" collapsed="false">
      <c r="B2686" s="53"/>
      <c r="I2686" s="53"/>
      <c r="U2686" s="31" t="n">
        <f aca="false">IF($B2686&lt;&gt;'設定（最初に1回）'!$C$4,N(U2685),IF(COUNTIFS(①今日の在庫を貼る!$B$6:$B$10005,$B2686,①今日の在庫を貼る!$I$6:$I$10005,$I2686)&gt;0,N(U2685),N(U2685)+1))</f>
        <v>2</v>
      </c>
    </row>
    <row r="2687" customFormat="false" ht="15" hidden="false" customHeight="false" outlineLevel="0" collapsed="false">
      <c r="B2687" s="53"/>
      <c r="I2687" s="53"/>
      <c r="U2687" s="31" t="n">
        <f aca="false">IF($B2687&lt;&gt;'設定（最初に1回）'!$C$4,N(U2686),IF(COUNTIFS(①今日の在庫を貼る!$B$6:$B$10005,$B2687,①今日の在庫を貼る!$I$6:$I$10005,$I2687)&gt;0,N(U2686),N(U2686)+1))</f>
        <v>2</v>
      </c>
    </row>
    <row r="2688" customFormat="false" ht="15" hidden="false" customHeight="false" outlineLevel="0" collapsed="false">
      <c r="B2688" s="53"/>
      <c r="I2688" s="53"/>
      <c r="U2688" s="31" t="n">
        <f aca="false">IF($B2688&lt;&gt;'設定（最初に1回）'!$C$4,N(U2687),IF(COUNTIFS(①今日の在庫を貼る!$B$6:$B$10005,$B2688,①今日の在庫を貼る!$I$6:$I$10005,$I2688)&gt;0,N(U2687),N(U2687)+1))</f>
        <v>2</v>
      </c>
    </row>
    <row r="2689" customFormat="false" ht="15" hidden="false" customHeight="false" outlineLevel="0" collapsed="false">
      <c r="B2689" s="53"/>
      <c r="I2689" s="53"/>
      <c r="U2689" s="31" t="n">
        <f aca="false">IF($B2689&lt;&gt;'設定（最初に1回）'!$C$4,N(U2688),IF(COUNTIFS(①今日の在庫を貼る!$B$6:$B$10005,$B2689,①今日の在庫を貼る!$I$6:$I$10005,$I2689)&gt;0,N(U2688),N(U2688)+1))</f>
        <v>2</v>
      </c>
    </row>
    <row r="2690" customFormat="false" ht="15" hidden="false" customHeight="false" outlineLevel="0" collapsed="false">
      <c r="B2690" s="53"/>
      <c r="I2690" s="53"/>
      <c r="U2690" s="31" t="n">
        <f aca="false">IF($B2690&lt;&gt;'設定（最初に1回）'!$C$4,N(U2689),IF(COUNTIFS(①今日の在庫を貼る!$B$6:$B$10005,$B2690,①今日の在庫を貼る!$I$6:$I$10005,$I2690)&gt;0,N(U2689),N(U2689)+1))</f>
        <v>2</v>
      </c>
    </row>
    <row r="2691" customFormat="false" ht="15" hidden="false" customHeight="false" outlineLevel="0" collapsed="false">
      <c r="B2691" s="53"/>
      <c r="I2691" s="53"/>
      <c r="U2691" s="31" t="n">
        <f aca="false">IF($B2691&lt;&gt;'設定（最初に1回）'!$C$4,N(U2690),IF(COUNTIFS(①今日の在庫を貼る!$B$6:$B$10005,$B2691,①今日の在庫を貼る!$I$6:$I$10005,$I2691)&gt;0,N(U2690),N(U2690)+1))</f>
        <v>2</v>
      </c>
    </row>
    <row r="2692" customFormat="false" ht="15" hidden="false" customHeight="false" outlineLevel="0" collapsed="false">
      <c r="B2692" s="53"/>
      <c r="I2692" s="53"/>
      <c r="U2692" s="31" t="n">
        <f aca="false">IF($B2692&lt;&gt;'設定（最初に1回）'!$C$4,N(U2691),IF(COUNTIFS(①今日の在庫を貼る!$B$6:$B$10005,$B2692,①今日の在庫を貼る!$I$6:$I$10005,$I2692)&gt;0,N(U2691),N(U2691)+1))</f>
        <v>2</v>
      </c>
    </row>
    <row r="2693" customFormat="false" ht="15" hidden="false" customHeight="false" outlineLevel="0" collapsed="false">
      <c r="B2693" s="53"/>
      <c r="I2693" s="53"/>
      <c r="U2693" s="31" t="n">
        <f aca="false">IF($B2693&lt;&gt;'設定（最初に1回）'!$C$4,N(U2692),IF(COUNTIFS(①今日の在庫を貼る!$B$6:$B$10005,$B2693,①今日の在庫を貼る!$I$6:$I$10005,$I2693)&gt;0,N(U2692),N(U2692)+1))</f>
        <v>2</v>
      </c>
    </row>
    <row r="2694" customFormat="false" ht="15" hidden="false" customHeight="false" outlineLevel="0" collapsed="false">
      <c r="B2694" s="53"/>
      <c r="I2694" s="53"/>
      <c r="U2694" s="31" t="n">
        <f aca="false">IF($B2694&lt;&gt;'設定（最初に1回）'!$C$4,N(U2693),IF(COUNTIFS(①今日の在庫を貼る!$B$6:$B$10005,$B2694,①今日の在庫を貼る!$I$6:$I$10005,$I2694)&gt;0,N(U2693),N(U2693)+1))</f>
        <v>2</v>
      </c>
    </row>
    <row r="2695" customFormat="false" ht="15" hidden="false" customHeight="false" outlineLevel="0" collapsed="false">
      <c r="B2695" s="53"/>
      <c r="I2695" s="53"/>
      <c r="U2695" s="31" t="n">
        <f aca="false">IF($B2695&lt;&gt;'設定（最初に1回）'!$C$4,N(U2694),IF(COUNTIFS(①今日の在庫を貼る!$B$6:$B$10005,$B2695,①今日の在庫を貼る!$I$6:$I$10005,$I2695)&gt;0,N(U2694),N(U2694)+1))</f>
        <v>2</v>
      </c>
    </row>
    <row r="2696" customFormat="false" ht="15" hidden="false" customHeight="false" outlineLevel="0" collapsed="false">
      <c r="B2696" s="53"/>
      <c r="I2696" s="53"/>
      <c r="U2696" s="31" t="n">
        <f aca="false">IF($B2696&lt;&gt;'設定（最初に1回）'!$C$4,N(U2695),IF(COUNTIFS(①今日の在庫を貼る!$B$6:$B$10005,$B2696,①今日の在庫を貼る!$I$6:$I$10005,$I2696)&gt;0,N(U2695),N(U2695)+1))</f>
        <v>2</v>
      </c>
    </row>
    <row r="2697" customFormat="false" ht="15" hidden="false" customHeight="false" outlineLevel="0" collapsed="false">
      <c r="B2697" s="53"/>
      <c r="I2697" s="53"/>
      <c r="U2697" s="31" t="n">
        <f aca="false">IF($B2697&lt;&gt;'設定（最初に1回）'!$C$4,N(U2696),IF(COUNTIFS(①今日の在庫を貼る!$B$6:$B$10005,$B2697,①今日の在庫を貼る!$I$6:$I$10005,$I2697)&gt;0,N(U2696),N(U2696)+1))</f>
        <v>2</v>
      </c>
    </row>
    <row r="2698" customFormat="false" ht="15" hidden="false" customHeight="false" outlineLevel="0" collapsed="false">
      <c r="B2698" s="53"/>
      <c r="I2698" s="53"/>
      <c r="U2698" s="31" t="n">
        <f aca="false">IF($B2698&lt;&gt;'設定（最初に1回）'!$C$4,N(U2697),IF(COUNTIFS(①今日の在庫を貼る!$B$6:$B$10005,$B2698,①今日の在庫を貼る!$I$6:$I$10005,$I2698)&gt;0,N(U2697),N(U2697)+1))</f>
        <v>2</v>
      </c>
    </row>
    <row r="2699" customFormat="false" ht="15" hidden="false" customHeight="false" outlineLevel="0" collapsed="false">
      <c r="B2699" s="53"/>
      <c r="I2699" s="53"/>
      <c r="U2699" s="31" t="n">
        <f aca="false">IF($B2699&lt;&gt;'設定（最初に1回）'!$C$4,N(U2698),IF(COUNTIFS(①今日の在庫を貼る!$B$6:$B$10005,$B2699,①今日の在庫を貼る!$I$6:$I$10005,$I2699)&gt;0,N(U2698),N(U2698)+1))</f>
        <v>2</v>
      </c>
    </row>
    <row r="2700" customFormat="false" ht="15" hidden="false" customHeight="false" outlineLevel="0" collapsed="false">
      <c r="B2700" s="53"/>
      <c r="I2700" s="53"/>
      <c r="U2700" s="31" t="n">
        <f aca="false">IF($B2700&lt;&gt;'設定（最初に1回）'!$C$4,N(U2699),IF(COUNTIFS(①今日の在庫を貼る!$B$6:$B$10005,$B2700,①今日の在庫を貼る!$I$6:$I$10005,$I2700)&gt;0,N(U2699),N(U2699)+1))</f>
        <v>2</v>
      </c>
    </row>
    <row r="2701" customFormat="false" ht="15" hidden="false" customHeight="false" outlineLevel="0" collapsed="false">
      <c r="B2701" s="53"/>
      <c r="I2701" s="53"/>
      <c r="U2701" s="31" t="n">
        <f aca="false">IF($B2701&lt;&gt;'設定（最初に1回）'!$C$4,N(U2700),IF(COUNTIFS(①今日の在庫を貼る!$B$6:$B$10005,$B2701,①今日の在庫を貼る!$I$6:$I$10005,$I2701)&gt;0,N(U2700),N(U2700)+1))</f>
        <v>2</v>
      </c>
    </row>
    <row r="2702" customFormat="false" ht="15" hidden="false" customHeight="false" outlineLevel="0" collapsed="false">
      <c r="B2702" s="53"/>
      <c r="I2702" s="53"/>
      <c r="U2702" s="31" t="n">
        <f aca="false">IF($B2702&lt;&gt;'設定（最初に1回）'!$C$4,N(U2701),IF(COUNTIFS(①今日の在庫を貼る!$B$6:$B$10005,$B2702,①今日の在庫を貼る!$I$6:$I$10005,$I2702)&gt;0,N(U2701),N(U2701)+1))</f>
        <v>2</v>
      </c>
    </row>
    <row r="2703" customFormat="false" ht="15" hidden="false" customHeight="false" outlineLevel="0" collapsed="false">
      <c r="B2703" s="53"/>
      <c r="I2703" s="53"/>
      <c r="U2703" s="31" t="n">
        <f aca="false">IF($B2703&lt;&gt;'設定（最初に1回）'!$C$4,N(U2702),IF(COUNTIFS(①今日の在庫を貼る!$B$6:$B$10005,$B2703,①今日の在庫を貼る!$I$6:$I$10005,$I2703)&gt;0,N(U2702),N(U2702)+1))</f>
        <v>2</v>
      </c>
    </row>
    <row r="2704" customFormat="false" ht="15" hidden="false" customHeight="false" outlineLevel="0" collapsed="false">
      <c r="B2704" s="53"/>
      <c r="I2704" s="53"/>
      <c r="U2704" s="31" t="n">
        <f aca="false">IF($B2704&lt;&gt;'設定（最初に1回）'!$C$4,N(U2703),IF(COUNTIFS(①今日の在庫を貼る!$B$6:$B$10005,$B2704,①今日の在庫を貼る!$I$6:$I$10005,$I2704)&gt;0,N(U2703),N(U2703)+1))</f>
        <v>2</v>
      </c>
    </row>
    <row r="2705" customFormat="false" ht="15" hidden="false" customHeight="false" outlineLevel="0" collapsed="false">
      <c r="B2705" s="53"/>
      <c r="I2705" s="53"/>
      <c r="U2705" s="31" t="n">
        <f aca="false">IF($B2705&lt;&gt;'設定（最初に1回）'!$C$4,N(U2704),IF(COUNTIFS(①今日の在庫を貼る!$B$6:$B$10005,$B2705,①今日の在庫を貼る!$I$6:$I$10005,$I2705)&gt;0,N(U2704),N(U2704)+1))</f>
        <v>2</v>
      </c>
    </row>
    <row r="2706" customFormat="false" ht="15" hidden="false" customHeight="false" outlineLevel="0" collapsed="false">
      <c r="B2706" s="53"/>
      <c r="I2706" s="53"/>
      <c r="U2706" s="31" t="n">
        <f aca="false">IF($B2706&lt;&gt;'設定（最初に1回）'!$C$4,N(U2705),IF(COUNTIFS(①今日の在庫を貼る!$B$6:$B$10005,$B2706,①今日の在庫を貼る!$I$6:$I$10005,$I2706)&gt;0,N(U2705),N(U2705)+1))</f>
        <v>2</v>
      </c>
    </row>
    <row r="2707" customFormat="false" ht="15" hidden="false" customHeight="false" outlineLevel="0" collapsed="false">
      <c r="B2707" s="53"/>
      <c r="I2707" s="53"/>
      <c r="U2707" s="31" t="n">
        <f aca="false">IF($B2707&lt;&gt;'設定（最初に1回）'!$C$4,N(U2706),IF(COUNTIFS(①今日の在庫を貼る!$B$6:$B$10005,$B2707,①今日の在庫を貼る!$I$6:$I$10005,$I2707)&gt;0,N(U2706),N(U2706)+1))</f>
        <v>2</v>
      </c>
    </row>
    <row r="2708" customFormat="false" ht="15" hidden="false" customHeight="false" outlineLevel="0" collapsed="false">
      <c r="B2708" s="53"/>
      <c r="I2708" s="53"/>
      <c r="U2708" s="31" t="n">
        <f aca="false">IF($B2708&lt;&gt;'設定（最初に1回）'!$C$4,N(U2707),IF(COUNTIFS(①今日の在庫を貼る!$B$6:$B$10005,$B2708,①今日の在庫を貼る!$I$6:$I$10005,$I2708)&gt;0,N(U2707),N(U2707)+1))</f>
        <v>2</v>
      </c>
    </row>
    <row r="2709" customFormat="false" ht="15" hidden="false" customHeight="false" outlineLevel="0" collapsed="false">
      <c r="B2709" s="53"/>
      <c r="I2709" s="53"/>
      <c r="U2709" s="31" t="n">
        <f aca="false">IF($B2709&lt;&gt;'設定（最初に1回）'!$C$4,N(U2708),IF(COUNTIFS(①今日の在庫を貼る!$B$6:$B$10005,$B2709,①今日の在庫を貼る!$I$6:$I$10005,$I2709)&gt;0,N(U2708),N(U2708)+1))</f>
        <v>2</v>
      </c>
    </row>
    <row r="2710" customFormat="false" ht="15" hidden="false" customHeight="false" outlineLevel="0" collapsed="false">
      <c r="B2710" s="53"/>
      <c r="I2710" s="53"/>
      <c r="U2710" s="31" t="n">
        <f aca="false">IF($B2710&lt;&gt;'設定（最初に1回）'!$C$4,N(U2709),IF(COUNTIFS(①今日の在庫を貼る!$B$6:$B$10005,$B2710,①今日の在庫を貼る!$I$6:$I$10005,$I2710)&gt;0,N(U2709),N(U2709)+1))</f>
        <v>2</v>
      </c>
    </row>
    <row r="2711" customFormat="false" ht="15" hidden="false" customHeight="false" outlineLevel="0" collapsed="false">
      <c r="B2711" s="53"/>
      <c r="I2711" s="53"/>
      <c r="U2711" s="31" t="n">
        <f aca="false">IF($B2711&lt;&gt;'設定（最初に1回）'!$C$4,N(U2710),IF(COUNTIFS(①今日の在庫を貼る!$B$6:$B$10005,$B2711,①今日の在庫を貼る!$I$6:$I$10005,$I2711)&gt;0,N(U2710),N(U2710)+1))</f>
        <v>2</v>
      </c>
    </row>
    <row r="2712" customFormat="false" ht="15" hidden="false" customHeight="false" outlineLevel="0" collapsed="false">
      <c r="B2712" s="53"/>
      <c r="I2712" s="53"/>
      <c r="U2712" s="31" t="n">
        <f aca="false">IF($B2712&lt;&gt;'設定（最初に1回）'!$C$4,N(U2711),IF(COUNTIFS(①今日の在庫を貼る!$B$6:$B$10005,$B2712,①今日の在庫を貼る!$I$6:$I$10005,$I2712)&gt;0,N(U2711),N(U2711)+1))</f>
        <v>2</v>
      </c>
    </row>
    <row r="2713" customFormat="false" ht="15" hidden="false" customHeight="false" outlineLevel="0" collapsed="false">
      <c r="B2713" s="53"/>
      <c r="I2713" s="53"/>
      <c r="U2713" s="31" t="n">
        <f aca="false">IF($B2713&lt;&gt;'設定（最初に1回）'!$C$4,N(U2712),IF(COUNTIFS(①今日の在庫を貼る!$B$6:$B$10005,$B2713,①今日の在庫を貼る!$I$6:$I$10005,$I2713)&gt;0,N(U2712),N(U2712)+1))</f>
        <v>2</v>
      </c>
    </row>
    <row r="2714" customFormat="false" ht="15" hidden="false" customHeight="false" outlineLevel="0" collapsed="false">
      <c r="B2714" s="53"/>
      <c r="I2714" s="53"/>
      <c r="U2714" s="31" t="n">
        <f aca="false">IF($B2714&lt;&gt;'設定（最初に1回）'!$C$4,N(U2713),IF(COUNTIFS(①今日の在庫を貼る!$B$6:$B$10005,$B2714,①今日の在庫を貼る!$I$6:$I$10005,$I2714)&gt;0,N(U2713),N(U2713)+1))</f>
        <v>2</v>
      </c>
    </row>
    <row r="2715" customFormat="false" ht="15" hidden="false" customHeight="false" outlineLevel="0" collapsed="false">
      <c r="B2715" s="53"/>
      <c r="I2715" s="53"/>
      <c r="U2715" s="31" t="n">
        <f aca="false">IF($B2715&lt;&gt;'設定（最初に1回）'!$C$4,N(U2714),IF(COUNTIFS(①今日の在庫を貼る!$B$6:$B$10005,$B2715,①今日の在庫を貼る!$I$6:$I$10005,$I2715)&gt;0,N(U2714),N(U2714)+1))</f>
        <v>2</v>
      </c>
    </row>
    <row r="2716" customFormat="false" ht="15" hidden="false" customHeight="false" outlineLevel="0" collapsed="false">
      <c r="B2716" s="53"/>
      <c r="I2716" s="53"/>
      <c r="U2716" s="31" t="n">
        <f aca="false">IF($B2716&lt;&gt;'設定（最初に1回）'!$C$4,N(U2715),IF(COUNTIFS(①今日の在庫を貼る!$B$6:$B$10005,$B2716,①今日の在庫を貼る!$I$6:$I$10005,$I2716)&gt;0,N(U2715),N(U2715)+1))</f>
        <v>2</v>
      </c>
    </row>
    <row r="2717" customFormat="false" ht="15" hidden="false" customHeight="false" outlineLevel="0" collapsed="false">
      <c r="B2717" s="53"/>
      <c r="I2717" s="53"/>
      <c r="U2717" s="31" t="n">
        <f aca="false">IF($B2717&lt;&gt;'設定（最初に1回）'!$C$4,N(U2716),IF(COUNTIFS(①今日の在庫を貼る!$B$6:$B$10005,$B2717,①今日の在庫を貼る!$I$6:$I$10005,$I2717)&gt;0,N(U2716),N(U2716)+1))</f>
        <v>2</v>
      </c>
    </row>
    <row r="2718" customFormat="false" ht="15" hidden="false" customHeight="false" outlineLevel="0" collapsed="false">
      <c r="B2718" s="53"/>
      <c r="I2718" s="53"/>
      <c r="U2718" s="31" t="n">
        <f aca="false">IF($B2718&lt;&gt;'設定（最初に1回）'!$C$4,N(U2717),IF(COUNTIFS(①今日の在庫を貼る!$B$6:$B$10005,$B2718,①今日の在庫を貼る!$I$6:$I$10005,$I2718)&gt;0,N(U2717),N(U2717)+1))</f>
        <v>2</v>
      </c>
    </row>
    <row r="2719" customFormat="false" ht="15" hidden="false" customHeight="false" outlineLevel="0" collapsed="false">
      <c r="B2719" s="53"/>
      <c r="I2719" s="53"/>
      <c r="U2719" s="31" t="n">
        <f aca="false">IF($B2719&lt;&gt;'設定（最初に1回）'!$C$4,N(U2718),IF(COUNTIFS(①今日の在庫を貼る!$B$6:$B$10005,$B2719,①今日の在庫を貼る!$I$6:$I$10005,$I2719)&gt;0,N(U2718),N(U2718)+1))</f>
        <v>2</v>
      </c>
    </row>
    <row r="2720" customFormat="false" ht="15" hidden="false" customHeight="false" outlineLevel="0" collapsed="false">
      <c r="B2720" s="53"/>
      <c r="I2720" s="53"/>
      <c r="U2720" s="31" t="n">
        <f aca="false">IF($B2720&lt;&gt;'設定（最初に1回）'!$C$4,N(U2719),IF(COUNTIFS(①今日の在庫を貼る!$B$6:$B$10005,$B2720,①今日の在庫を貼る!$I$6:$I$10005,$I2720)&gt;0,N(U2719),N(U2719)+1))</f>
        <v>2</v>
      </c>
    </row>
    <row r="2721" customFormat="false" ht="15" hidden="false" customHeight="false" outlineLevel="0" collapsed="false">
      <c r="B2721" s="53"/>
      <c r="I2721" s="53"/>
      <c r="U2721" s="31" t="n">
        <f aca="false">IF($B2721&lt;&gt;'設定（最初に1回）'!$C$4,N(U2720),IF(COUNTIFS(①今日の在庫を貼る!$B$6:$B$10005,$B2721,①今日の在庫を貼る!$I$6:$I$10005,$I2721)&gt;0,N(U2720),N(U2720)+1))</f>
        <v>2</v>
      </c>
    </row>
    <row r="2722" customFormat="false" ht="15" hidden="false" customHeight="false" outlineLevel="0" collapsed="false">
      <c r="B2722" s="53"/>
      <c r="I2722" s="53"/>
      <c r="U2722" s="31" t="n">
        <f aca="false">IF($B2722&lt;&gt;'設定（最初に1回）'!$C$4,N(U2721),IF(COUNTIFS(①今日の在庫を貼る!$B$6:$B$10005,$B2722,①今日の在庫を貼る!$I$6:$I$10005,$I2722)&gt;0,N(U2721),N(U2721)+1))</f>
        <v>2</v>
      </c>
    </row>
    <row r="2723" customFormat="false" ht="15" hidden="false" customHeight="false" outlineLevel="0" collapsed="false">
      <c r="B2723" s="53"/>
      <c r="I2723" s="53"/>
      <c r="U2723" s="31" t="n">
        <f aca="false">IF($B2723&lt;&gt;'設定（最初に1回）'!$C$4,N(U2722),IF(COUNTIFS(①今日の在庫を貼る!$B$6:$B$10005,$B2723,①今日の在庫を貼る!$I$6:$I$10005,$I2723)&gt;0,N(U2722),N(U2722)+1))</f>
        <v>2</v>
      </c>
    </row>
    <row r="2724" customFormat="false" ht="15" hidden="false" customHeight="false" outlineLevel="0" collapsed="false">
      <c r="B2724" s="53"/>
      <c r="I2724" s="53"/>
      <c r="U2724" s="31" t="n">
        <f aca="false">IF($B2724&lt;&gt;'設定（最初に1回）'!$C$4,N(U2723),IF(COUNTIFS(①今日の在庫を貼る!$B$6:$B$10005,$B2724,①今日の在庫を貼る!$I$6:$I$10005,$I2724)&gt;0,N(U2723),N(U2723)+1))</f>
        <v>2</v>
      </c>
    </row>
    <row r="2725" customFormat="false" ht="15" hidden="false" customHeight="false" outlineLevel="0" collapsed="false">
      <c r="B2725" s="53"/>
      <c r="I2725" s="53"/>
      <c r="U2725" s="31" t="n">
        <f aca="false">IF($B2725&lt;&gt;'設定（最初に1回）'!$C$4,N(U2724),IF(COUNTIFS(①今日の在庫を貼る!$B$6:$B$10005,$B2725,①今日の在庫を貼る!$I$6:$I$10005,$I2725)&gt;0,N(U2724),N(U2724)+1))</f>
        <v>2</v>
      </c>
    </row>
    <row r="2726" customFormat="false" ht="15" hidden="false" customHeight="false" outlineLevel="0" collapsed="false">
      <c r="B2726" s="53"/>
      <c r="I2726" s="53"/>
      <c r="U2726" s="31" t="n">
        <f aca="false">IF($B2726&lt;&gt;'設定（最初に1回）'!$C$4,N(U2725),IF(COUNTIFS(①今日の在庫を貼る!$B$6:$B$10005,$B2726,①今日の在庫を貼る!$I$6:$I$10005,$I2726)&gt;0,N(U2725),N(U2725)+1))</f>
        <v>2</v>
      </c>
    </row>
    <row r="2727" customFormat="false" ht="15" hidden="false" customHeight="false" outlineLevel="0" collapsed="false">
      <c r="B2727" s="53"/>
      <c r="I2727" s="53"/>
      <c r="U2727" s="31" t="n">
        <f aca="false">IF($B2727&lt;&gt;'設定（最初に1回）'!$C$4,N(U2726),IF(COUNTIFS(①今日の在庫を貼る!$B$6:$B$10005,$B2727,①今日の在庫を貼る!$I$6:$I$10005,$I2727)&gt;0,N(U2726),N(U2726)+1))</f>
        <v>2</v>
      </c>
    </row>
    <row r="2728" customFormat="false" ht="15" hidden="false" customHeight="false" outlineLevel="0" collapsed="false">
      <c r="B2728" s="53"/>
      <c r="I2728" s="53"/>
      <c r="U2728" s="31" t="n">
        <f aca="false">IF($B2728&lt;&gt;'設定（最初に1回）'!$C$4,N(U2727),IF(COUNTIFS(①今日の在庫を貼る!$B$6:$B$10005,$B2728,①今日の在庫を貼る!$I$6:$I$10005,$I2728)&gt;0,N(U2727),N(U2727)+1))</f>
        <v>2</v>
      </c>
    </row>
    <row r="2729" customFormat="false" ht="15" hidden="false" customHeight="false" outlineLevel="0" collapsed="false">
      <c r="B2729" s="53"/>
      <c r="I2729" s="53"/>
      <c r="U2729" s="31" t="n">
        <f aca="false">IF($B2729&lt;&gt;'設定（最初に1回）'!$C$4,N(U2728),IF(COUNTIFS(①今日の在庫を貼る!$B$6:$B$10005,$B2729,①今日の在庫を貼る!$I$6:$I$10005,$I2729)&gt;0,N(U2728),N(U2728)+1))</f>
        <v>2</v>
      </c>
    </row>
    <row r="2730" customFormat="false" ht="15" hidden="false" customHeight="false" outlineLevel="0" collapsed="false">
      <c r="B2730" s="53"/>
      <c r="I2730" s="53"/>
      <c r="U2730" s="31" t="n">
        <f aca="false">IF($B2730&lt;&gt;'設定（最初に1回）'!$C$4,N(U2729),IF(COUNTIFS(①今日の在庫を貼る!$B$6:$B$10005,$B2730,①今日の在庫を貼る!$I$6:$I$10005,$I2730)&gt;0,N(U2729),N(U2729)+1))</f>
        <v>2</v>
      </c>
    </row>
    <row r="2731" customFormat="false" ht="15" hidden="false" customHeight="false" outlineLevel="0" collapsed="false">
      <c r="B2731" s="53"/>
      <c r="I2731" s="53"/>
      <c r="U2731" s="31" t="n">
        <f aca="false">IF($B2731&lt;&gt;'設定（最初に1回）'!$C$4,N(U2730),IF(COUNTIFS(①今日の在庫を貼る!$B$6:$B$10005,$B2731,①今日の在庫を貼る!$I$6:$I$10005,$I2731)&gt;0,N(U2730),N(U2730)+1))</f>
        <v>2</v>
      </c>
    </row>
    <row r="2732" customFormat="false" ht="15" hidden="false" customHeight="false" outlineLevel="0" collapsed="false">
      <c r="B2732" s="53"/>
      <c r="I2732" s="53"/>
      <c r="U2732" s="31" t="n">
        <f aca="false">IF($B2732&lt;&gt;'設定（最初に1回）'!$C$4,N(U2731),IF(COUNTIFS(①今日の在庫を貼る!$B$6:$B$10005,$B2732,①今日の在庫を貼る!$I$6:$I$10005,$I2732)&gt;0,N(U2731),N(U2731)+1))</f>
        <v>2</v>
      </c>
    </row>
    <row r="2733" customFormat="false" ht="15" hidden="false" customHeight="false" outlineLevel="0" collapsed="false">
      <c r="B2733" s="53"/>
      <c r="I2733" s="53"/>
      <c r="U2733" s="31" t="n">
        <f aca="false">IF($B2733&lt;&gt;'設定（最初に1回）'!$C$4,N(U2732),IF(COUNTIFS(①今日の在庫を貼る!$B$6:$B$10005,$B2733,①今日の在庫を貼る!$I$6:$I$10005,$I2733)&gt;0,N(U2732),N(U2732)+1))</f>
        <v>2</v>
      </c>
    </row>
    <row r="2734" customFormat="false" ht="15" hidden="false" customHeight="false" outlineLevel="0" collapsed="false">
      <c r="B2734" s="53"/>
      <c r="I2734" s="53"/>
      <c r="U2734" s="31" t="n">
        <f aca="false">IF($B2734&lt;&gt;'設定（最初に1回）'!$C$4,N(U2733),IF(COUNTIFS(①今日の在庫を貼る!$B$6:$B$10005,$B2734,①今日の在庫を貼る!$I$6:$I$10005,$I2734)&gt;0,N(U2733),N(U2733)+1))</f>
        <v>2</v>
      </c>
    </row>
    <row r="2735" customFormat="false" ht="15" hidden="false" customHeight="false" outlineLevel="0" collapsed="false">
      <c r="B2735" s="53"/>
      <c r="I2735" s="53"/>
      <c r="U2735" s="31" t="n">
        <f aca="false">IF($B2735&lt;&gt;'設定（最初に1回）'!$C$4,N(U2734),IF(COUNTIFS(①今日の在庫を貼る!$B$6:$B$10005,$B2735,①今日の在庫を貼る!$I$6:$I$10005,$I2735)&gt;0,N(U2734),N(U2734)+1))</f>
        <v>2</v>
      </c>
    </row>
    <row r="2736" customFormat="false" ht="15" hidden="false" customHeight="false" outlineLevel="0" collapsed="false">
      <c r="B2736" s="53"/>
      <c r="I2736" s="53"/>
      <c r="U2736" s="31" t="n">
        <f aca="false">IF($B2736&lt;&gt;'設定（最初に1回）'!$C$4,N(U2735),IF(COUNTIFS(①今日の在庫を貼る!$B$6:$B$10005,$B2736,①今日の在庫を貼る!$I$6:$I$10005,$I2736)&gt;0,N(U2735),N(U2735)+1))</f>
        <v>2</v>
      </c>
    </row>
    <row r="2737" customFormat="false" ht="15" hidden="false" customHeight="false" outlineLevel="0" collapsed="false">
      <c r="B2737" s="53"/>
      <c r="I2737" s="53"/>
      <c r="U2737" s="31" t="n">
        <f aca="false">IF($B2737&lt;&gt;'設定（最初に1回）'!$C$4,N(U2736),IF(COUNTIFS(①今日の在庫を貼る!$B$6:$B$10005,$B2737,①今日の在庫を貼る!$I$6:$I$10005,$I2737)&gt;0,N(U2736),N(U2736)+1))</f>
        <v>2</v>
      </c>
    </row>
    <row r="2738" customFormat="false" ht="15" hidden="false" customHeight="false" outlineLevel="0" collapsed="false">
      <c r="B2738" s="53"/>
      <c r="I2738" s="53"/>
      <c r="U2738" s="31" t="n">
        <f aca="false">IF($B2738&lt;&gt;'設定（最初に1回）'!$C$4,N(U2737),IF(COUNTIFS(①今日の在庫を貼る!$B$6:$B$10005,$B2738,①今日の在庫を貼る!$I$6:$I$10005,$I2738)&gt;0,N(U2737),N(U2737)+1))</f>
        <v>2</v>
      </c>
    </row>
    <row r="2739" customFormat="false" ht="15" hidden="false" customHeight="false" outlineLevel="0" collapsed="false">
      <c r="B2739" s="53"/>
      <c r="I2739" s="53"/>
      <c r="U2739" s="31" t="n">
        <f aca="false">IF($B2739&lt;&gt;'設定（最初に1回）'!$C$4,N(U2738),IF(COUNTIFS(①今日の在庫を貼る!$B$6:$B$10005,$B2739,①今日の在庫を貼る!$I$6:$I$10005,$I2739)&gt;0,N(U2738),N(U2738)+1))</f>
        <v>2</v>
      </c>
    </row>
    <row r="2740" customFormat="false" ht="15" hidden="false" customHeight="false" outlineLevel="0" collapsed="false">
      <c r="B2740" s="53"/>
      <c r="I2740" s="53"/>
      <c r="U2740" s="31" t="n">
        <f aca="false">IF($B2740&lt;&gt;'設定（最初に1回）'!$C$4,N(U2739),IF(COUNTIFS(①今日の在庫を貼る!$B$6:$B$10005,$B2740,①今日の在庫を貼る!$I$6:$I$10005,$I2740)&gt;0,N(U2739),N(U2739)+1))</f>
        <v>2</v>
      </c>
    </row>
    <row r="2741" customFormat="false" ht="15" hidden="false" customHeight="false" outlineLevel="0" collapsed="false">
      <c r="B2741" s="53"/>
      <c r="I2741" s="53"/>
      <c r="U2741" s="31" t="n">
        <f aca="false">IF($B2741&lt;&gt;'設定（最初に1回）'!$C$4,N(U2740),IF(COUNTIFS(①今日の在庫を貼る!$B$6:$B$10005,$B2741,①今日の在庫を貼る!$I$6:$I$10005,$I2741)&gt;0,N(U2740),N(U2740)+1))</f>
        <v>2</v>
      </c>
    </row>
    <row r="2742" customFormat="false" ht="15" hidden="false" customHeight="false" outlineLevel="0" collapsed="false">
      <c r="B2742" s="53"/>
      <c r="I2742" s="53"/>
      <c r="U2742" s="31" t="n">
        <f aca="false">IF($B2742&lt;&gt;'設定（最初に1回）'!$C$4,N(U2741),IF(COUNTIFS(①今日の在庫を貼る!$B$6:$B$10005,$B2742,①今日の在庫を貼る!$I$6:$I$10005,$I2742)&gt;0,N(U2741),N(U2741)+1))</f>
        <v>2</v>
      </c>
    </row>
    <row r="2743" customFormat="false" ht="15" hidden="false" customHeight="false" outlineLevel="0" collapsed="false">
      <c r="B2743" s="53"/>
      <c r="I2743" s="53"/>
      <c r="U2743" s="31" t="n">
        <f aca="false">IF($B2743&lt;&gt;'設定（最初に1回）'!$C$4,N(U2742),IF(COUNTIFS(①今日の在庫を貼る!$B$6:$B$10005,$B2743,①今日の在庫を貼る!$I$6:$I$10005,$I2743)&gt;0,N(U2742),N(U2742)+1))</f>
        <v>2</v>
      </c>
    </row>
    <row r="2744" customFormat="false" ht="15" hidden="false" customHeight="false" outlineLevel="0" collapsed="false">
      <c r="B2744" s="53"/>
      <c r="I2744" s="53"/>
      <c r="U2744" s="31" t="n">
        <f aca="false">IF($B2744&lt;&gt;'設定（最初に1回）'!$C$4,N(U2743),IF(COUNTIFS(①今日の在庫を貼る!$B$6:$B$10005,$B2744,①今日の在庫を貼る!$I$6:$I$10005,$I2744)&gt;0,N(U2743),N(U2743)+1))</f>
        <v>2</v>
      </c>
    </row>
    <row r="2745" customFormat="false" ht="15" hidden="false" customHeight="false" outlineLevel="0" collapsed="false">
      <c r="B2745" s="53"/>
      <c r="I2745" s="53"/>
      <c r="U2745" s="31" t="n">
        <f aca="false">IF($B2745&lt;&gt;'設定（最初に1回）'!$C$4,N(U2744),IF(COUNTIFS(①今日の在庫を貼る!$B$6:$B$10005,$B2745,①今日の在庫を貼る!$I$6:$I$10005,$I2745)&gt;0,N(U2744),N(U2744)+1))</f>
        <v>2</v>
      </c>
    </row>
    <row r="2746" customFormat="false" ht="15" hidden="false" customHeight="false" outlineLevel="0" collapsed="false">
      <c r="B2746" s="53"/>
      <c r="I2746" s="53"/>
      <c r="U2746" s="31" t="n">
        <f aca="false">IF($B2746&lt;&gt;'設定（最初に1回）'!$C$4,N(U2745),IF(COUNTIFS(①今日の在庫を貼る!$B$6:$B$10005,$B2746,①今日の在庫を貼る!$I$6:$I$10005,$I2746)&gt;0,N(U2745),N(U2745)+1))</f>
        <v>2</v>
      </c>
    </row>
    <row r="2747" customFormat="false" ht="15" hidden="false" customHeight="false" outlineLevel="0" collapsed="false">
      <c r="B2747" s="53"/>
      <c r="I2747" s="53"/>
      <c r="U2747" s="31" t="n">
        <f aca="false">IF($B2747&lt;&gt;'設定（最初に1回）'!$C$4,N(U2746),IF(COUNTIFS(①今日の在庫を貼る!$B$6:$B$10005,$B2747,①今日の在庫を貼る!$I$6:$I$10005,$I2747)&gt;0,N(U2746),N(U2746)+1))</f>
        <v>2</v>
      </c>
    </row>
    <row r="2748" customFormat="false" ht="15" hidden="false" customHeight="false" outlineLevel="0" collapsed="false">
      <c r="B2748" s="53"/>
      <c r="I2748" s="53"/>
      <c r="U2748" s="31" t="n">
        <f aca="false">IF($B2748&lt;&gt;'設定（最初に1回）'!$C$4,N(U2747),IF(COUNTIFS(①今日の在庫を貼る!$B$6:$B$10005,$B2748,①今日の在庫を貼る!$I$6:$I$10005,$I2748)&gt;0,N(U2747),N(U2747)+1))</f>
        <v>2</v>
      </c>
    </row>
    <row r="2749" customFormat="false" ht="15" hidden="false" customHeight="false" outlineLevel="0" collapsed="false">
      <c r="B2749" s="53"/>
      <c r="I2749" s="53"/>
      <c r="U2749" s="31" t="n">
        <f aca="false">IF($B2749&lt;&gt;'設定（最初に1回）'!$C$4,N(U2748),IF(COUNTIFS(①今日の在庫を貼る!$B$6:$B$10005,$B2749,①今日の在庫を貼る!$I$6:$I$10005,$I2749)&gt;0,N(U2748),N(U2748)+1))</f>
        <v>2</v>
      </c>
    </row>
    <row r="2750" customFormat="false" ht="15" hidden="false" customHeight="false" outlineLevel="0" collapsed="false">
      <c r="B2750" s="53"/>
      <c r="I2750" s="53"/>
      <c r="U2750" s="31" t="n">
        <f aca="false">IF($B2750&lt;&gt;'設定（最初に1回）'!$C$4,N(U2749),IF(COUNTIFS(①今日の在庫を貼る!$B$6:$B$10005,$B2750,①今日の在庫を貼る!$I$6:$I$10005,$I2750)&gt;0,N(U2749),N(U2749)+1))</f>
        <v>2</v>
      </c>
    </row>
    <row r="2751" customFormat="false" ht="15" hidden="false" customHeight="false" outlineLevel="0" collapsed="false">
      <c r="B2751" s="53"/>
      <c r="I2751" s="53"/>
      <c r="U2751" s="31" t="n">
        <f aca="false">IF($B2751&lt;&gt;'設定（最初に1回）'!$C$4,N(U2750),IF(COUNTIFS(①今日の在庫を貼る!$B$6:$B$10005,$B2751,①今日の在庫を貼る!$I$6:$I$10005,$I2751)&gt;0,N(U2750),N(U2750)+1))</f>
        <v>2</v>
      </c>
    </row>
    <row r="2752" customFormat="false" ht="15" hidden="false" customHeight="false" outlineLevel="0" collapsed="false">
      <c r="B2752" s="53"/>
      <c r="I2752" s="53"/>
      <c r="U2752" s="31" t="n">
        <f aca="false">IF($B2752&lt;&gt;'設定（最初に1回）'!$C$4,N(U2751),IF(COUNTIFS(①今日の在庫を貼る!$B$6:$B$10005,$B2752,①今日の在庫を貼る!$I$6:$I$10005,$I2752)&gt;0,N(U2751),N(U2751)+1))</f>
        <v>2</v>
      </c>
    </row>
    <row r="2753" customFormat="false" ht="15" hidden="false" customHeight="false" outlineLevel="0" collapsed="false">
      <c r="B2753" s="53"/>
      <c r="I2753" s="53"/>
      <c r="U2753" s="31" t="n">
        <f aca="false">IF($B2753&lt;&gt;'設定（最初に1回）'!$C$4,N(U2752),IF(COUNTIFS(①今日の在庫を貼る!$B$6:$B$10005,$B2753,①今日の在庫を貼る!$I$6:$I$10005,$I2753)&gt;0,N(U2752),N(U2752)+1))</f>
        <v>2</v>
      </c>
    </row>
    <row r="2754" customFormat="false" ht="15" hidden="false" customHeight="false" outlineLevel="0" collapsed="false">
      <c r="B2754" s="53"/>
      <c r="I2754" s="53"/>
      <c r="U2754" s="31" t="n">
        <f aca="false">IF($B2754&lt;&gt;'設定（最初に1回）'!$C$4,N(U2753),IF(COUNTIFS(①今日の在庫を貼る!$B$6:$B$10005,$B2754,①今日の在庫を貼る!$I$6:$I$10005,$I2754)&gt;0,N(U2753),N(U2753)+1))</f>
        <v>2</v>
      </c>
    </row>
    <row r="2755" customFormat="false" ht="15" hidden="false" customHeight="false" outlineLevel="0" collapsed="false">
      <c r="B2755" s="53"/>
      <c r="I2755" s="53"/>
      <c r="U2755" s="31" t="n">
        <f aca="false">IF($B2755&lt;&gt;'設定（最初に1回）'!$C$4,N(U2754),IF(COUNTIFS(①今日の在庫を貼る!$B$6:$B$10005,$B2755,①今日の在庫を貼る!$I$6:$I$10005,$I2755)&gt;0,N(U2754),N(U2754)+1))</f>
        <v>2</v>
      </c>
    </row>
    <row r="2756" customFormat="false" ht="15" hidden="false" customHeight="false" outlineLevel="0" collapsed="false">
      <c r="B2756" s="53"/>
      <c r="I2756" s="53"/>
      <c r="U2756" s="31" t="n">
        <f aca="false">IF($B2756&lt;&gt;'設定（最初に1回）'!$C$4,N(U2755),IF(COUNTIFS(①今日の在庫を貼る!$B$6:$B$10005,$B2756,①今日の在庫を貼る!$I$6:$I$10005,$I2756)&gt;0,N(U2755),N(U2755)+1))</f>
        <v>2</v>
      </c>
    </row>
    <row r="2757" customFormat="false" ht="15" hidden="false" customHeight="false" outlineLevel="0" collapsed="false">
      <c r="B2757" s="53"/>
      <c r="I2757" s="53"/>
      <c r="U2757" s="31" t="n">
        <f aca="false">IF($B2757&lt;&gt;'設定（最初に1回）'!$C$4,N(U2756),IF(COUNTIFS(①今日の在庫を貼る!$B$6:$B$10005,$B2757,①今日の在庫を貼る!$I$6:$I$10005,$I2757)&gt;0,N(U2756),N(U2756)+1))</f>
        <v>2</v>
      </c>
    </row>
    <row r="2758" customFormat="false" ht="15" hidden="false" customHeight="false" outlineLevel="0" collapsed="false">
      <c r="B2758" s="53"/>
      <c r="I2758" s="53"/>
      <c r="U2758" s="31" t="n">
        <f aca="false">IF($B2758&lt;&gt;'設定（最初に1回）'!$C$4,N(U2757),IF(COUNTIFS(①今日の在庫を貼る!$B$6:$B$10005,$B2758,①今日の在庫を貼る!$I$6:$I$10005,$I2758)&gt;0,N(U2757),N(U2757)+1))</f>
        <v>2</v>
      </c>
    </row>
    <row r="2759" customFormat="false" ht="15" hidden="false" customHeight="false" outlineLevel="0" collapsed="false">
      <c r="B2759" s="53"/>
      <c r="I2759" s="53"/>
      <c r="U2759" s="31" t="n">
        <f aca="false">IF($B2759&lt;&gt;'設定（最初に1回）'!$C$4,N(U2758),IF(COUNTIFS(①今日の在庫を貼る!$B$6:$B$10005,$B2759,①今日の在庫を貼る!$I$6:$I$10005,$I2759)&gt;0,N(U2758),N(U2758)+1))</f>
        <v>2</v>
      </c>
    </row>
    <row r="2760" customFormat="false" ht="15" hidden="false" customHeight="false" outlineLevel="0" collapsed="false">
      <c r="B2760" s="53"/>
      <c r="I2760" s="53"/>
      <c r="U2760" s="31" t="n">
        <f aca="false">IF($B2760&lt;&gt;'設定（最初に1回）'!$C$4,N(U2759),IF(COUNTIFS(①今日の在庫を貼る!$B$6:$B$10005,$B2760,①今日の在庫を貼る!$I$6:$I$10005,$I2760)&gt;0,N(U2759),N(U2759)+1))</f>
        <v>2</v>
      </c>
    </row>
    <row r="2761" customFormat="false" ht="15" hidden="false" customHeight="false" outlineLevel="0" collapsed="false">
      <c r="B2761" s="53"/>
      <c r="I2761" s="53"/>
      <c r="U2761" s="31" t="n">
        <f aca="false">IF($B2761&lt;&gt;'設定（最初に1回）'!$C$4,N(U2760),IF(COUNTIFS(①今日の在庫を貼る!$B$6:$B$10005,$B2761,①今日の在庫を貼る!$I$6:$I$10005,$I2761)&gt;0,N(U2760),N(U2760)+1))</f>
        <v>2</v>
      </c>
    </row>
    <row r="2762" customFormat="false" ht="15" hidden="false" customHeight="false" outlineLevel="0" collapsed="false">
      <c r="B2762" s="53"/>
      <c r="I2762" s="53"/>
      <c r="U2762" s="31" t="n">
        <f aca="false">IF($B2762&lt;&gt;'設定（最初に1回）'!$C$4,N(U2761),IF(COUNTIFS(①今日の在庫を貼る!$B$6:$B$10005,$B2762,①今日の在庫を貼る!$I$6:$I$10005,$I2762)&gt;0,N(U2761),N(U2761)+1))</f>
        <v>2</v>
      </c>
    </row>
    <row r="2763" customFormat="false" ht="15" hidden="false" customHeight="false" outlineLevel="0" collapsed="false">
      <c r="B2763" s="53"/>
      <c r="I2763" s="53"/>
      <c r="U2763" s="31" t="n">
        <f aca="false">IF($B2763&lt;&gt;'設定（最初に1回）'!$C$4,N(U2762),IF(COUNTIFS(①今日の在庫を貼る!$B$6:$B$10005,$B2763,①今日の在庫を貼る!$I$6:$I$10005,$I2763)&gt;0,N(U2762),N(U2762)+1))</f>
        <v>2</v>
      </c>
    </row>
    <row r="2764" customFormat="false" ht="15" hidden="false" customHeight="false" outlineLevel="0" collapsed="false">
      <c r="B2764" s="53"/>
      <c r="I2764" s="53"/>
      <c r="U2764" s="31" t="n">
        <f aca="false">IF($B2764&lt;&gt;'設定（最初に1回）'!$C$4,N(U2763),IF(COUNTIFS(①今日の在庫を貼る!$B$6:$B$10005,$B2764,①今日の在庫を貼る!$I$6:$I$10005,$I2764)&gt;0,N(U2763),N(U2763)+1))</f>
        <v>2</v>
      </c>
    </row>
    <row r="2765" customFormat="false" ht="15" hidden="false" customHeight="false" outlineLevel="0" collapsed="false">
      <c r="B2765" s="53"/>
      <c r="I2765" s="53"/>
      <c r="U2765" s="31" t="n">
        <f aca="false">IF($B2765&lt;&gt;'設定（最初に1回）'!$C$4,N(U2764),IF(COUNTIFS(①今日の在庫を貼る!$B$6:$B$10005,$B2765,①今日の在庫を貼る!$I$6:$I$10005,$I2765)&gt;0,N(U2764),N(U2764)+1))</f>
        <v>2</v>
      </c>
    </row>
    <row r="2766" customFormat="false" ht="15" hidden="false" customHeight="false" outlineLevel="0" collapsed="false">
      <c r="B2766" s="53"/>
      <c r="I2766" s="53"/>
      <c r="U2766" s="31" t="n">
        <f aca="false">IF($B2766&lt;&gt;'設定（最初に1回）'!$C$4,N(U2765),IF(COUNTIFS(①今日の在庫を貼る!$B$6:$B$10005,$B2766,①今日の在庫を貼る!$I$6:$I$10005,$I2766)&gt;0,N(U2765),N(U2765)+1))</f>
        <v>2</v>
      </c>
    </row>
    <row r="2767" customFormat="false" ht="15" hidden="false" customHeight="false" outlineLevel="0" collapsed="false">
      <c r="B2767" s="53"/>
      <c r="I2767" s="53"/>
      <c r="U2767" s="31" t="n">
        <f aca="false">IF($B2767&lt;&gt;'設定（最初に1回）'!$C$4,N(U2766),IF(COUNTIFS(①今日の在庫を貼る!$B$6:$B$10005,$B2767,①今日の在庫を貼る!$I$6:$I$10005,$I2767)&gt;0,N(U2766),N(U2766)+1))</f>
        <v>2</v>
      </c>
    </row>
    <row r="2768" customFormat="false" ht="15" hidden="false" customHeight="false" outlineLevel="0" collapsed="false">
      <c r="B2768" s="53"/>
      <c r="I2768" s="53"/>
      <c r="U2768" s="31" t="n">
        <f aca="false">IF($B2768&lt;&gt;'設定（最初に1回）'!$C$4,N(U2767),IF(COUNTIFS(①今日の在庫を貼る!$B$6:$B$10005,$B2768,①今日の在庫を貼る!$I$6:$I$10005,$I2768)&gt;0,N(U2767),N(U2767)+1))</f>
        <v>2</v>
      </c>
    </row>
    <row r="2769" customFormat="false" ht="15" hidden="false" customHeight="false" outlineLevel="0" collapsed="false">
      <c r="B2769" s="53"/>
      <c r="I2769" s="53"/>
      <c r="U2769" s="31" t="n">
        <f aca="false">IF($B2769&lt;&gt;'設定（最初に1回）'!$C$4,N(U2768),IF(COUNTIFS(①今日の在庫を貼る!$B$6:$B$10005,$B2769,①今日の在庫を貼る!$I$6:$I$10005,$I2769)&gt;0,N(U2768),N(U2768)+1))</f>
        <v>2</v>
      </c>
    </row>
    <row r="2770" customFormat="false" ht="15" hidden="false" customHeight="false" outlineLevel="0" collapsed="false">
      <c r="B2770" s="53"/>
      <c r="I2770" s="53"/>
      <c r="U2770" s="31" t="n">
        <f aca="false">IF($B2770&lt;&gt;'設定（最初に1回）'!$C$4,N(U2769),IF(COUNTIFS(①今日の在庫を貼る!$B$6:$B$10005,$B2770,①今日の在庫を貼る!$I$6:$I$10005,$I2770)&gt;0,N(U2769),N(U2769)+1))</f>
        <v>2</v>
      </c>
    </row>
    <row r="2771" customFormat="false" ht="15" hidden="false" customHeight="false" outlineLevel="0" collapsed="false">
      <c r="B2771" s="53"/>
      <c r="I2771" s="53"/>
      <c r="U2771" s="31" t="n">
        <f aca="false">IF($B2771&lt;&gt;'設定（最初に1回）'!$C$4,N(U2770),IF(COUNTIFS(①今日の在庫を貼る!$B$6:$B$10005,$B2771,①今日の在庫を貼る!$I$6:$I$10005,$I2771)&gt;0,N(U2770),N(U2770)+1))</f>
        <v>2</v>
      </c>
    </row>
    <row r="2772" customFormat="false" ht="15" hidden="false" customHeight="false" outlineLevel="0" collapsed="false">
      <c r="B2772" s="53"/>
      <c r="I2772" s="53"/>
      <c r="U2772" s="31" t="n">
        <f aca="false">IF($B2772&lt;&gt;'設定（最初に1回）'!$C$4,N(U2771),IF(COUNTIFS(①今日の在庫を貼る!$B$6:$B$10005,$B2772,①今日の在庫を貼る!$I$6:$I$10005,$I2772)&gt;0,N(U2771),N(U2771)+1))</f>
        <v>2</v>
      </c>
    </row>
    <row r="2773" customFormat="false" ht="15" hidden="false" customHeight="false" outlineLevel="0" collapsed="false">
      <c r="B2773" s="53"/>
      <c r="I2773" s="53"/>
      <c r="U2773" s="31" t="n">
        <f aca="false">IF($B2773&lt;&gt;'設定（最初に1回）'!$C$4,N(U2772),IF(COUNTIFS(①今日の在庫を貼る!$B$6:$B$10005,$B2773,①今日の在庫を貼る!$I$6:$I$10005,$I2773)&gt;0,N(U2772),N(U2772)+1))</f>
        <v>2</v>
      </c>
    </row>
    <row r="2774" customFormat="false" ht="15" hidden="false" customHeight="false" outlineLevel="0" collapsed="false">
      <c r="B2774" s="53"/>
      <c r="I2774" s="53"/>
      <c r="U2774" s="31" t="n">
        <f aca="false">IF($B2774&lt;&gt;'設定（最初に1回）'!$C$4,N(U2773),IF(COUNTIFS(①今日の在庫を貼る!$B$6:$B$10005,$B2774,①今日の在庫を貼る!$I$6:$I$10005,$I2774)&gt;0,N(U2773),N(U2773)+1))</f>
        <v>2</v>
      </c>
    </row>
    <row r="2775" customFormat="false" ht="15" hidden="false" customHeight="false" outlineLevel="0" collapsed="false">
      <c r="B2775" s="53"/>
      <c r="I2775" s="53"/>
      <c r="U2775" s="31" t="n">
        <f aca="false">IF($B2775&lt;&gt;'設定（最初に1回）'!$C$4,N(U2774),IF(COUNTIFS(①今日の在庫を貼る!$B$6:$B$10005,$B2775,①今日の在庫を貼る!$I$6:$I$10005,$I2775)&gt;0,N(U2774),N(U2774)+1))</f>
        <v>2</v>
      </c>
    </row>
    <row r="2776" customFormat="false" ht="15" hidden="false" customHeight="false" outlineLevel="0" collapsed="false">
      <c r="B2776" s="53"/>
      <c r="I2776" s="53"/>
      <c r="U2776" s="31" t="n">
        <f aca="false">IF($B2776&lt;&gt;'設定（最初に1回）'!$C$4,N(U2775),IF(COUNTIFS(①今日の在庫を貼る!$B$6:$B$10005,$B2776,①今日の在庫を貼る!$I$6:$I$10005,$I2776)&gt;0,N(U2775),N(U2775)+1))</f>
        <v>2</v>
      </c>
    </row>
    <row r="2777" customFormat="false" ht="15" hidden="false" customHeight="false" outlineLevel="0" collapsed="false">
      <c r="B2777" s="53"/>
      <c r="I2777" s="53"/>
      <c r="U2777" s="31" t="n">
        <f aca="false">IF($B2777&lt;&gt;'設定（最初に1回）'!$C$4,N(U2776),IF(COUNTIFS(①今日の在庫を貼る!$B$6:$B$10005,$B2777,①今日の在庫を貼る!$I$6:$I$10005,$I2777)&gt;0,N(U2776),N(U2776)+1))</f>
        <v>2</v>
      </c>
    </row>
    <row r="2778" customFormat="false" ht="15" hidden="false" customHeight="false" outlineLevel="0" collapsed="false">
      <c r="B2778" s="53"/>
      <c r="I2778" s="53"/>
      <c r="U2778" s="31" t="n">
        <f aca="false">IF($B2778&lt;&gt;'設定（最初に1回）'!$C$4,N(U2777),IF(COUNTIFS(①今日の在庫を貼る!$B$6:$B$10005,$B2778,①今日の在庫を貼る!$I$6:$I$10005,$I2778)&gt;0,N(U2777),N(U2777)+1))</f>
        <v>2</v>
      </c>
    </row>
    <row r="2779" customFormat="false" ht="15" hidden="false" customHeight="false" outlineLevel="0" collapsed="false">
      <c r="B2779" s="53"/>
      <c r="I2779" s="53"/>
      <c r="U2779" s="31" t="n">
        <f aca="false">IF($B2779&lt;&gt;'設定（最初に1回）'!$C$4,N(U2778),IF(COUNTIFS(①今日の在庫を貼る!$B$6:$B$10005,$B2779,①今日の在庫を貼る!$I$6:$I$10005,$I2779)&gt;0,N(U2778),N(U2778)+1))</f>
        <v>2</v>
      </c>
    </row>
    <row r="2780" customFormat="false" ht="15" hidden="false" customHeight="false" outlineLevel="0" collapsed="false">
      <c r="B2780" s="53"/>
      <c r="I2780" s="53"/>
      <c r="U2780" s="31" t="n">
        <f aca="false">IF($B2780&lt;&gt;'設定（最初に1回）'!$C$4,N(U2779),IF(COUNTIFS(①今日の在庫を貼る!$B$6:$B$10005,$B2780,①今日の在庫を貼る!$I$6:$I$10005,$I2780)&gt;0,N(U2779),N(U2779)+1))</f>
        <v>2</v>
      </c>
    </row>
    <row r="2781" customFormat="false" ht="15" hidden="false" customHeight="false" outlineLevel="0" collapsed="false">
      <c r="B2781" s="53"/>
      <c r="I2781" s="53"/>
      <c r="U2781" s="31" t="n">
        <f aca="false">IF($B2781&lt;&gt;'設定（最初に1回）'!$C$4,N(U2780),IF(COUNTIFS(①今日の在庫を貼る!$B$6:$B$10005,$B2781,①今日の在庫を貼る!$I$6:$I$10005,$I2781)&gt;0,N(U2780),N(U2780)+1))</f>
        <v>2</v>
      </c>
    </row>
    <row r="2782" customFormat="false" ht="15" hidden="false" customHeight="false" outlineLevel="0" collapsed="false">
      <c r="B2782" s="53"/>
      <c r="I2782" s="53"/>
      <c r="U2782" s="31" t="n">
        <f aca="false">IF($B2782&lt;&gt;'設定（最初に1回）'!$C$4,N(U2781),IF(COUNTIFS(①今日の在庫を貼る!$B$6:$B$10005,$B2782,①今日の在庫を貼る!$I$6:$I$10005,$I2782)&gt;0,N(U2781),N(U2781)+1))</f>
        <v>2</v>
      </c>
    </row>
    <row r="2783" customFormat="false" ht="15" hidden="false" customHeight="false" outlineLevel="0" collapsed="false">
      <c r="B2783" s="53"/>
      <c r="I2783" s="53"/>
      <c r="U2783" s="31" t="n">
        <f aca="false">IF($B2783&lt;&gt;'設定（最初に1回）'!$C$4,N(U2782),IF(COUNTIFS(①今日の在庫を貼る!$B$6:$B$10005,$B2783,①今日の在庫を貼る!$I$6:$I$10005,$I2783)&gt;0,N(U2782),N(U2782)+1))</f>
        <v>2</v>
      </c>
    </row>
    <row r="2784" customFormat="false" ht="15" hidden="false" customHeight="false" outlineLevel="0" collapsed="false">
      <c r="B2784" s="53"/>
      <c r="I2784" s="53"/>
      <c r="U2784" s="31" t="n">
        <f aca="false">IF($B2784&lt;&gt;'設定（最初に1回）'!$C$4,N(U2783),IF(COUNTIFS(①今日の在庫を貼る!$B$6:$B$10005,$B2784,①今日の在庫を貼る!$I$6:$I$10005,$I2784)&gt;0,N(U2783),N(U2783)+1))</f>
        <v>2</v>
      </c>
    </row>
    <row r="2785" customFormat="false" ht="15" hidden="false" customHeight="false" outlineLevel="0" collapsed="false">
      <c r="B2785" s="53"/>
      <c r="I2785" s="53"/>
      <c r="U2785" s="31" t="n">
        <f aca="false">IF($B2785&lt;&gt;'設定（最初に1回）'!$C$4,N(U2784),IF(COUNTIFS(①今日の在庫を貼る!$B$6:$B$10005,$B2785,①今日の在庫を貼る!$I$6:$I$10005,$I2785)&gt;0,N(U2784),N(U2784)+1))</f>
        <v>2</v>
      </c>
    </row>
    <row r="2786" customFormat="false" ht="15" hidden="false" customHeight="false" outlineLevel="0" collapsed="false">
      <c r="B2786" s="53"/>
      <c r="I2786" s="53"/>
      <c r="U2786" s="31" t="n">
        <f aca="false">IF($B2786&lt;&gt;'設定（最初に1回）'!$C$4,N(U2785),IF(COUNTIFS(①今日の在庫を貼る!$B$6:$B$10005,$B2786,①今日の在庫を貼る!$I$6:$I$10005,$I2786)&gt;0,N(U2785),N(U2785)+1))</f>
        <v>2</v>
      </c>
    </row>
    <row r="2787" customFormat="false" ht="15" hidden="false" customHeight="false" outlineLevel="0" collapsed="false">
      <c r="B2787" s="53"/>
      <c r="I2787" s="53"/>
      <c r="U2787" s="31" t="n">
        <f aca="false">IF($B2787&lt;&gt;'設定（最初に1回）'!$C$4,N(U2786),IF(COUNTIFS(①今日の在庫を貼る!$B$6:$B$10005,$B2787,①今日の在庫を貼る!$I$6:$I$10005,$I2787)&gt;0,N(U2786),N(U2786)+1))</f>
        <v>2</v>
      </c>
    </row>
    <row r="2788" customFormat="false" ht="15" hidden="false" customHeight="false" outlineLevel="0" collapsed="false">
      <c r="B2788" s="53"/>
      <c r="I2788" s="53"/>
      <c r="U2788" s="31" t="n">
        <f aca="false">IF($B2788&lt;&gt;'設定（最初に1回）'!$C$4,N(U2787),IF(COUNTIFS(①今日の在庫を貼る!$B$6:$B$10005,$B2788,①今日の在庫を貼る!$I$6:$I$10005,$I2788)&gt;0,N(U2787),N(U2787)+1))</f>
        <v>2</v>
      </c>
    </row>
    <row r="2789" customFormat="false" ht="15" hidden="false" customHeight="false" outlineLevel="0" collapsed="false">
      <c r="B2789" s="53"/>
      <c r="I2789" s="53"/>
      <c r="U2789" s="31" t="n">
        <f aca="false">IF($B2789&lt;&gt;'設定（最初に1回）'!$C$4,N(U2788),IF(COUNTIFS(①今日の在庫を貼る!$B$6:$B$10005,$B2789,①今日の在庫を貼る!$I$6:$I$10005,$I2789)&gt;0,N(U2788),N(U2788)+1))</f>
        <v>2</v>
      </c>
    </row>
    <row r="2790" customFormat="false" ht="15" hidden="false" customHeight="false" outlineLevel="0" collapsed="false">
      <c r="B2790" s="53"/>
      <c r="I2790" s="53"/>
      <c r="U2790" s="31" t="n">
        <f aca="false">IF($B2790&lt;&gt;'設定（最初に1回）'!$C$4,N(U2789),IF(COUNTIFS(①今日の在庫を貼る!$B$6:$B$10005,$B2790,①今日の在庫を貼る!$I$6:$I$10005,$I2790)&gt;0,N(U2789),N(U2789)+1))</f>
        <v>2</v>
      </c>
    </row>
    <row r="2791" customFormat="false" ht="15" hidden="false" customHeight="false" outlineLevel="0" collapsed="false">
      <c r="B2791" s="53"/>
      <c r="I2791" s="53"/>
      <c r="U2791" s="31" t="n">
        <f aca="false">IF($B2791&lt;&gt;'設定（最初に1回）'!$C$4,N(U2790),IF(COUNTIFS(①今日の在庫を貼る!$B$6:$B$10005,$B2791,①今日の在庫を貼る!$I$6:$I$10005,$I2791)&gt;0,N(U2790),N(U2790)+1))</f>
        <v>2</v>
      </c>
    </row>
    <row r="2792" customFormat="false" ht="15" hidden="false" customHeight="false" outlineLevel="0" collapsed="false">
      <c r="B2792" s="53"/>
      <c r="I2792" s="53"/>
      <c r="U2792" s="31" t="n">
        <f aca="false">IF($B2792&lt;&gt;'設定（最初に1回）'!$C$4,N(U2791),IF(COUNTIFS(①今日の在庫を貼る!$B$6:$B$10005,$B2792,①今日の在庫を貼る!$I$6:$I$10005,$I2792)&gt;0,N(U2791),N(U2791)+1))</f>
        <v>2</v>
      </c>
    </row>
    <row r="2793" customFormat="false" ht="15" hidden="false" customHeight="false" outlineLevel="0" collapsed="false">
      <c r="B2793" s="53"/>
      <c r="I2793" s="53"/>
      <c r="U2793" s="31" t="n">
        <f aca="false">IF($B2793&lt;&gt;'設定（最初に1回）'!$C$4,N(U2792),IF(COUNTIFS(①今日の在庫を貼る!$B$6:$B$10005,$B2793,①今日の在庫を貼る!$I$6:$I$10005,$I2793)&gt;0,N(U2792),N(U2792)+1))</f>
        <v>2</v>
      </c>
    </row>
    <row r="2794" customFormat="false" ht="15" hidden="false" customHeight="false" outlineLevel="0" collapsed="false">
      <c r="B2794" s="53"/>
      <c r="I2794" s="53"/>
      <c r="U2794" s="31" t="n">
        <f aca="false">IF($B2794&lt;&gt;'設定（最初に1回）'!$C$4,N(U2793),IF(COUNTIFS(①今日の在庫を貼る!$B$6:$B$10005,$B2794,①今日の在庫を貼る!$I$6:$I$10005,$I2794)&gt;0,N(U2793),N(U2793)+1))</f>
        <v>2</v>
      </c>
    </row>
    <row r="2795" customFormat="false" ht="15" hidden="false" customHeight="false" outlineLevel="0" collapsed="false">
      <c r="B2795" s="53"/>
      <c r="I2795" s="53"/>
      <c r="U2795" s="31" t="n">
        <f aca="false">IF($B2795&lt;&gt;'設定（最初に1回）'!$C$4,N(U2794),IF(COUNTIFS(①今日の在庫を貼る!$B$6:$B$10005,$B2795,①今日の在庫を貼る!$I$6:$I$10005,$I2795)&gt;0,N(U2794),N(U2794)+1))</f>
        <v>2</v>
      </c>
    </row>
    <row r="2796" customFormat="false" ht="15" hidden="false" customHeight="false" outlineLevel="0" collapsed="false">
      <c r="B2796" s="53"/>
      <c r="I2796" s="53"/>
      <c r="U2796" s="31" t="n">
        <f aca="false">IF($B2796&lt;&gt;'設定（最初に1回）'!$C$4,N(U2795),IF(COUNTIFS(①今日の在庫を貼る!$B$6:$B$10005,$B2796,①今日の在庫を貼る!$I$6:$I$10005,$I2796)&gt;0,N(U2795),N(U2795)+1))</f>
        <v>2</v>
      </c>
    </row>
    <row r="2797" customFormat="false" ht="15" hidden="false" customHeight="false" outlineLevel="0" collapsed="false">
      <c r="B2797" s="53"/>
      <c r="I2797" s="53"/>
      <c r="U2797" s="31" t="n">
        <f aca="false">IF($B2797&lt;&gt;'設定（最初に1回）'!$C$4,N(U2796),IF(COUNTIFS(①今日の在庫を貼る!$B$6:$B$10005,$B2797,①今日の在庫を貼る!$I$6:$I$10005,$I2797)&gt;0,N(U2796),N(U2796)+1))</f>
        <v>2</v>
      </c>
    </row>
    <row r="2798" customFormat="false" ht="15" hidden="false" customHeight="false" outlineLevel="0" collapsed="false">
      <c r="B2798" s="53"/>
      <c r="I2798" s="53"/>
      <c r="U2798" s="31" t="n">
        <f aca="false">IF($B2798&lt;&gt;'設定（最初に1回）'!$C$4,N(U2797),IF(COUNTIFS(①今日の在庫を貼る!$B$6:$B$10005,$B2798,①今日の在庫を貼る!$I$6:$I$10005,$I2798)&gt;0,N(U2797),N(U2797)+1))</f>
        <v>2</v>
      </c>
    </row>
    <row r="2799" customFormat="false" ht="15" hidden="false" customHeight="false" outlineLevel="0" collapsed="false">
      <c r="B2799" s="53"/>
      <c r="I2799" s="53"/>
      <c r="U2799" s="31" t="n">
        <f aca="false">IF($B2799&lt;&gt;'設定（最初に1回）'!$C$4,N(U2798),IF(COUNTIFS(①今日の在庫を貼る!$B$6:$B$10005,$B2799,①今日の在庫を貼る!$I$6:$I$10005,$I2799)&gt;0,N(U2798),N(U2798)+1))</f>
        <v>2</v>
      </c>
    </row>
    <row r="2800" customFormat="false" ht="15" hidden="false" customHeight="false" outlineLevel="0" collapsed="false">
      <c r="B2800" s="53"/>
      <c r="I2800" s="53"/>
      <c r="U2800" s="31" t="n">
        <f aca="false">IF($B2800&lt;&gt;'設定（最初に1回）'!$C$4,N(U2799),IF(COUNTIFS(①今日の在庫を貼る!$B$6:$B$10005,$B2800,①今日の在庫を貼る!$I$6:$I$10005,$I2800)&gt;0,N(U2799),N(U2799)+1))</f>
        <v>2</v>
      </c>
    </row>
    <row r="2801" customFormat="false" ht="15" hidden="false" customHeight="false" outlineLevel="0" collapsed="false">
      <c r="B2801" s="53"/>
      <c r="I2801" s="53"/>
      <c r="U2801" s="31" t="n">
        <f aca="false">IF($B2801&lt;&gt;'設定（最初に1回）'!$C$4,N(U2800),IF(COUNTIFS(①今日の在庫を貼る!$B$6:$B$10005,$B2801,①今日の在庫を貼る!$I$6:$I$10005,$I2801)&gt;0,N(U2800),N(U2800)+1))</f>
        <v>2</v>
      </c>
    </row>
    <row r="2802" customFormat="false" ht="15" hidden="false" customHeight="false" outlineLevel="0" collapsed="false">
      <c r="B2802" s="53"/>
      <c r="I2802" s="53"/>
      <c r="U2802" s="31" t="n">
        <f aca="false">IF($B2802&lt;&gt;'設定（最初に1回）'!$C$4,N(U2801),IF(COUNTIFS(①今日の在庫を貼る!$B$6:$B$10005,$B2802,①今日の在庫を貼る!$I$6:$I$10005,$I2802)&gt;0,N(U2801),N(U2801)+1))</f>
        <v>2</v>
      </c>
    </row>
    <row r="2803" customFormat="false" ht="15" hidden="false" customHeight="false" outlineLevel="0" collapsed="false">
      <c r="B2803" s="53"/>
      <c r="I2803" s="53"/>
      <c r="U2803" s="31" t="n">
        <f aca="false">IF($B2803&lt;&gt;'設定（最初に1回）'!$C$4,N(U2802),IF(COUNTIFS(①今日の在庫を貼る!$B$6:$B$10005,$B2803,①今日の在庫を貼る!$I$6:$I$10005,$I2803)&gt;0,N(U2802),N(U2802)+1))</f>
        <v>2</v>
      </c>
    </row>
    <row r="2804" customFormat="false" ht="15" hidden="false" customHeight="false" outlineLevel="0" collapsed="false">
      <c r="B2804" s="53"/>
      <c r="I2804" s="53"/>
      <c r="U2804" s="31" t="n">
        <f aca="false">IF($B2804&lt;&gt;'設定（最初に1回）'!$C$4,N(U2803),IF(COUNTIFS(①今日の在庫を貼る!$B$6:$B$10005,$B2804,①今日の在庫を貼る!$I$6:$I$10005,$I2804)&gt;0,N(U2803),N(U2803)+1))</f>
        <v>2</v>
      </c>
    </row>
    <row r="2805" customFormat="false" ht="15" hidden="false" customHeight="false" outlineLevel="0" collapsed="false">
      <c r="B2805" s="53"/>
      <c r="I2805" s="53"/>
      <c r="U2805" s="31" t="n">
        <f aca="false">IF($B2805&lt;&gt;'設定（最初に1回）'!$C$4,N(U2804),IF(COUNTIFS(①今日の在庫を貼る!$B$6:$B$10005,$B2805,①今日の在庫を貼る!$I$6:$I$10005,$I2805)&gt;0,N(U2804),N(U2804)+1))</f>
        <v>2</v>
      </c>
    </row>
    <row r="2806" customFormat="false" ht="15" hidden="false" customHeight="false" outlineLevel="0" collapsed="false">
      <c r="B2806" s="53"/>
      <c r="I2806" s="53"/>
      <c r="U2806" s="31" t="n">
        <f aca="false">IF($B2806&lt;&gt;'設定（最初に1回）'!$C$4,N(U2805),IF(COUNTIFS(①今日の在庫を貼る!$B$6:$B$10005,$B2806,①今日の在庫を貼る!$I$6:$I$10005,$I2806)&gt;0,N(U2805),N(U2805)+1))</f>
        <v>2</v>
      </c>
    </row>
    <row r="2807" customFormat="false" ht="15" hidden="false" customHeight="false" outlineLevel="0" collapsed="false">
      <c r="B2807" s="53"/>
      <c r="I2807" s="53"/>
      <c r="U2807" s="31" t="n">
        <f aca="false">IF($B2807&lt;&gt;'設定（最初に1回）'!$C$4,N(U2806),IF(COUNTIFS(①今日の在庫を貼る!$B$6:$B$10005,$B2807,①今日の在庫を貼る!$I$6:$I$10005,$I2807)&gt;0,N(U2806),N(U2806)+1))</f>
        <v>2</v>
      </c>
    </row>
    <row r="2808" customFormat="false" ht="15" hidden="false" customHeight="false" outlineLevel="0" collapsed="false">
      <c r="B2808" s="53"/>
      <c r="I2808" s="53"/>
      <c r="U2808" s="31" t="n">
        <f aca="false">IF($B2808&lt;&gt;'設定（最初に1回）'!$C$4,N(U2807),IF(COUNTIFS(①今日の在庫を貼る!$B$6:$B$10005,$B2808,①今日の在庫を貼る!$I$6:$I$10005,$I2808)&gt;0,N(U2807),N(U2807)+1))</f>
        <v>2</v>
      </c>
    </row>
    <row r="2809" customFormat="false" ht="15" hidden="false" customHeight="false" outlineLevel="0" collapsed="false">
      <c r="B2809" s="53"/>
      <c r="I2809" s="53"/>
      <c r="U2809" s="31" t="n">
        <f aca="false">IF($B2809&lt;&gt;'設定（最初に1回）'!$C$4,N(U2808),IF(COUNTIFS(①今日の在庫を貼る!$B$6:$B$10005,$B2809,①今日の在庫を貼る!$I$6:$I$10005,$I2809)&gt;0,N(U2808),N(U2808)+1))</f>
        <v>2</v>
      </c>
    </row>
    <row r="2810" customFormat="false" ht="15" hidden="false" customHeight="false" outlineLevel="0" collapsed="false">
      <c r="B2810" s="53"/>
      <c r="I2810" s="53"/>
      <c r="U2810" s="31" t="n">
        <f aca="false">IF($B2810&lt;&gt;'設定（最初に1回）'!$C$4,N(U2809),IF(COUNTIFS(①今日の在庫を貼る!$B$6:$B$10005,$B2810,①今日の在庫を貼る!$I$6:$I$10005,$I2810)&gt;0,N(U2809),N(U2809)+1))</f>
        <v>2</v>
      </c>
    </row>
    <row r="2811" customFormat="false" ht="15" hidden="false" customHeight="false" outlineLevel="0" collapsed="false">
      <c r="B2811" s="53"/>
      <c r="I2811" s="53"/>
      <c r="U2811" s="31" t="n">
        <f aca="false">IF($B2811&lt;&gt;'設定（最初に1回）'!$C$4,N(U2810),IF(COUNTIFS(①今日の在庫を貼る!$B$6:$B$10005,$B2811,①今日の在庫を貼る!$I$6:$I$10005,$I2811)&gt;0,N(U2810),N(U2810)+1))</f>
        <v>2</v>
      </c>
    </row>
    <row r="2812" customFormat="false" ht="15" hidden="false" customHeight="false" outlineLevel="0" collapsed="false">
      <c r="B2812" s="53"/>
      <c r="I2812" s="53"/>
      <c r="U2812" s="31" t="n">
        <f aca="false">IF($B2812&lt;&gt;'設定（最初に1回）'!$C$4,N(U2811),IF(COUNTIFS(①今日の在庫を貼る!$B$6:$B$10005,$B2812,①今日の在庫を貼る!$I$6:$I$10005,$I2812)&gt;0,N(U2811),N(U2811)+1))</f>
        <v>2</v>
      </c>
    </row>
    <row r="2813" customFormat="false" ht="15" hidden="false" customHeight="false" outlineLevel="0" collapsed="false">
      <c r="B2813" s="53"/>
      <c r="I2813" s="53"/>
      <c r="U2813" s="31" t="n">
        <f aca="false">IF($B2813&lt;&gt;'設定（最初に1回）'!$C$4,N(U2812),IF(COUNTIFS(①今日の在庫を貼る!$B$6:$B$10005,$B2813,①今日の在庫を貼る!$I$6:$I$10005,$I2813)&gt;0,N(U2812),N(U2812)+1))</f>
        <v>2</v>
      </c>
    </row>
    <row r="2814" customFormat="false" ht="15" hidden="false" customHeight="false" outlineLevel="0" collapsed="false">
      <c r="B2814" s="53"/>
      <c r="I2814" s="53"/>
      <c r="U2814" s="31" t="n">
        <f aca="false">IF($B2814&lt;&gt;'設定（最初に1回）'!$C$4,N(U2813),IF(COUNTIFS(①今日の在庫を貼る!$B$6:$B$10005,$B2814,①今日の在庫を貼る!$I$6:$I$10005,$I2814)&gt;0,N(U2813),N(U2813)+1))</f>
        <v>2</v>
      </c>
    </row>
    <row r="2815" customFormat="false" ht="15" hidden="false" customHeight="false" outlineLevel="0" collapsed="false">
      <c r="B2815" s="53"/>
      <c r="I2815" s="53"/>
      <c r="U2815" s="31" t="n">
        <f aca="false">IF($B2815&lt;&gt;'設定（最初に1回）'!$C$4,N(U2814),IF(COUNTIFS(①今日の在庫を貼る!$B$6:$B$10005,$B2815,①今日の在庫を貼る!$I$6:$I$10005,$I2815)&gt;0,N(U2814),N(U2814)+1))</f>
        <v>2</v>
      </c>
    </row>
    <row r="2816" customFormat="false" ht="15" hidden="false" customHeight="false" outlineLevel="0" collapsed="false">
      <c r="B2816" s="53"/>
      <c r="I2816" s="53"/>
      <c r="U2816" s="31" t="n">
        <f aca="false">IF($B2816&lt;&gt;'設定（最初に1回）'!$C$4,N(U2815),IF(COUNTIFS(①今日の在庫を貼る!$B$6:$B$10005,$B2816,①今日の在庫を貼る!$I$6:$I$10005,$I2816)&gt;0,N(U2815),N(U2815)+1))</f>
        <v>2</v>
      </c>
    </row>
    <row r="2817" customFormat="false" ht="15" hidden="false" customHeight="false" outlineLevel="0" collapsed="false">
      <c r="B2817" s="53"/>
      <c r="I2817" s="53"/>
      <c r="U2817" s="31" t="n">
        <f aca="false">IF($B2817&lt;&gt;'設定（最初に1回）'!$C$4,N(U2816),IF(COUNTIFS(①今日の在庫を貼る!$B$6:$B$10005,$B2817,①今日の在庫を貼る!$I$6:$I$10005,$I2817)&gt;0,N(U2816),N(U2816)+1))</f>
        <v>2</v>
      </c>
    </row>
    <row r="2818" customFormat="false" ht="15" hidden="false" customHeight="false" outlineLevel="0" collapsed="false">
      <c r="B2818" s="53"/>
      <c r="I2818" s="53"/>
      <c r="U2818" s="31" t="n">
        <f aca="false">IF($B2818&lt;&gt;'設定（最初に1回）'!$C$4,N(U2817),IF(COUNTIFS(①今日の在庫を貼る!$B$6:$B$10005,$B2818,①今日の在庫を貼る!$I$6:$I$10005,$I2818)&gt;0,N(U2817),N(U2817)+1))</f>
        <v>2</v>
      </c>
    </row>
    <row r="2819" customFormat="false" ht="15" hidden="false" customHeight="false" outlineLevel="0" collapsed="false">
      <c r="B2819" s="53"/>
      <c r="I2819" s="53"/>
      <c r="U2819" s="31" t="n">
        <f aca="false">IF($B2819&lt;&gt;'設定（最初に1回）'!$C$4,N(U2818),IF(COUNTIFS(①今日の在庫を貼る!$B$6:$B$10005,$B2819,①今日の在庫を貼る!$I$6:$I$10005,$I2819)&gt;0,N(U2818),N(U2818)+1))</f>
        <v>2</v>
      </c>
    </row>
    <row r="2820" customFormat="false" ht="15" hidden="false" customHeight="false" outlineLevel="0" collapsed="false">
      <c r="B2820" s="53"/>
      <c r="I2820" s="53"/>
      <c r="U2820" s="31" t="n">
        <f aca="false">IF($B2820&lt;&gt;'設定（最初に1回）'!$C$4,N(U2819),IF(COUNTIFS(①今日の在庫を貼る!$B$6:$B$10005,$B2820,①今日の在庫を貼る!$I$6:$I$10005,$I2820)&gt;0,N(U2819),N(U2819)+1))</f>
        <v>2</v>
      </c>
    </row>
    <row r="2821" customFormat="false" ht="15" hidden="false" customHeight="false" outlineLevel="0" collapsed="false">
      <c r="B2821" s="53"/>
      <c r="I2821" s="53"/>
      <c r="U2821" s="31" t="n">
        <f aca="false">IF($B2821&lt;&gt;'設定（最初に1回）'!$C$4,N(U2820),IF(COUNTIFS(①今日の在庫を貼る!$B$6:$B$10005,$B2821,①今日の在庫を貼る!$I$6:$I$10005,$I2821)&gt;0,N(U2820),N(U2820)+1))</f>
        <v>2</v>
      </c>
    </row>
    <row r="2822" customFormat="false" ht="15" hidden="false" customHeight="false" outlineLevel="0" collapsed="false">
      <c r="B2822" s="53"/>
      <c r="I2822" s="53"/>
      <c r="U2822" s="31" t="n">
        <f aca="false">IF($B2822&lt;&gt;'設定（最初に1回）'!$C$4,N(U2821),IF(COUNTIFS(①今日の在庫を貼る!$B$6:$B$10005,$B2822,①今日の在庫を貼る!$I$6:$I$10005,$I2822)&gt;0,N(U2821),N(U2821)+1))</f>
        <v>2</v>
      </c>
    </row>
    <row r="2823" customFormat="false" ht="15" hidden="false" customHeight="false" outlineLevel="0" collapsed="false">
      <c r="B2823" s="53"/>
      <c r="I2823" s="53"/>
      <c r="U2823" s="31" t="n">
        <f aca="false">IF($B2823&lt;&gt;'設定（最初に1回）'!$C$4,N(U2822),IF(COUNTIFS(①今日の在庫を貼る!$B$6:$B$10005,$B2823,①今日の在庫を貼る!$I$6:$I$10005,$I2823)&gt;0,N(U2822),N(U2822)+1))</f>
        <v>2</v>
      </c>
    </row>
    <row r="2824" customFormat="false" ht="15" hidden="false" customHeight="false" outlineLevel="0" collapsed="false">
      <c r="B2824" s="53"/>
      <c r="I2824" s="53"/>
      <c r="U2824" s="31" t="n">
        <f aca="false">IF($B2824&lt;&gt;'設定（最初に1回）'!$C$4,N(U2823),IF(COUNTIFS(①今日の在庫を貼る!$B$6:$B$10005,$B2824,①今日の在庫を貼る!$I$6:$I$10005,$I2824)&gt;0,N(U2823),N(U2823)+1))</f>
        <v>2</v>
      </c>
    </row>
    <row r="2825" customFormat="false" ht="15" hidden="false" customHeight="false" outlineLevel="0" collapsed="false">
      <c r="B2825" s="53"/>
      <c r="I2825" s="53"/>
      <c r="U2825" s="31" t="n">
        <f aca="false">IF($B2825&lt;&gt;'設定（最初に1回）'!$C$4,N(U2824),IF(COUNTIFS(①今日の在庫を貼る!$B$6:$B$10005,$B2825,①今日の在庫を貼る!$I$6:$I$10005,$I2825)&gt;0,N(U2824),N(U2824)+1))</f>
        <v>2</v>
      </c>
    </row>
    <row r="2826" customFormat="false" ht="15" hidden="false" customHeight="false" outlineLevel="0" collapsed="false">
      <c r="B2826" s="53"/>
      <c r="I2826" s="53"/>
      <c r="U2826" s="31" t="n">
        <f aca="false">IF($B2826&lt;&gt;'設定（最初に1回）'!$C$4,N(U2825),IF(COUNTIFS(①今日の在庫を貼る!$B$6:$B$10005,$B2826,①今日の在庫を貼る!$I$6:$I$10005,$I2826)&gt;0,N(U2825),N(U2825)+1))</f>
        <v>2</v>
      </c>
    </row>
    <row r="2827" customFormat="false" ht="15" hidden="false" customHeight="false" outlineLevel="0" collapsed="false">
      <c r="B2827" s="53"/>
      <c r="I2827" s="53"/>
      <c r="U2827" s="31" t="n">
        <f aca="false">IF($B2827&lt;&gt;'設定（最初に1回）'!$C$4,N(U2826),IF(COUNTIFS(①今日の在庫を貼る!$B$6:$B$10005,$B2827,①今日の在庫を貼る!$I$6:$I$10005,$I2827)&gt;0,N(U2826),N(U2826)+1))</f>
        <v>2</v>
      </c>
    </row>
    <row r="2828" customFormat="false" ht="15" hidden="false" customHeight="false" outlineLevel="0" collapsed="false">
      <c r="B2828" s="53"/>
      <c r="I2828" s="53"/>
      <c r="U2828" s="31" t="n">
        <f aca="false">IF($B2828&lt;&gt;'設定（最初に1回）'!$C$4,N(U2827),IF(COUNTIFS(①今日の在庫を貼る!$B$6:$B$10005,$B2828,①今日の在庫を貼る!$I$6:$I$10005,$I2828)&gt;0,N(U2827),N(U2827)+1))</f>
        <v>2</v>
      </c>
    </row>
    <row r="2829" customFormat="false" ht="15" hidden="false" customHeight="false" outlineLevel="0" collapsed="false">
      <c r="B2829" s="53"/>
      <c r="I2829" s="53"/>
      <c r="U2829" s="31" t="n">
        <f aca="false">IF($B2829&lt;&gt;'設定（最初に1回）'!$C$4,N(U2828),IF(COUNTIFS(①今日の在庫を貼る!$B$6:$B$10005,$B2829,①今日の在庫を貼る!$I$6:$I$10005,$I2829)&gt;0,N(U2828),N(U2828)+1))</f>
        <v>2</v>
      </c>
    </row>
    <row r="2830" customFormat="false" ht="15" hidden="false" customHeight="false" outlineLevel="0" collapsed="false">
      <c r="B2830" s="53"/>
      <c r="I2830" s="53"/>
      <c r="U2830" s="31" t="n">
        <f aca="false">IF($B2830&lt;&gt;'設定（最初に1回）'!$C$4,N(U2829),IF(COUNTIFS(①今日の在庫を貼る!$B$6:$B$10005,$B2830,①今日の在庫を貼る!$I$6:$I$10005,$I2830)&gt;0,N(U2829),N(U2829)+1))</f>
        <v>2</v>
      </c>
    </row>
    <row r="2831" customFormat="false" ht="15" hidden="false" customHeight="false" outlineLevel="0" collapsed="false">
      <c r="B2831" s="53"/>
      <c r="I2831" s="53"/>
      <c r="U2831" s="31" t="n">
        <f aca="false">IF($B2831&lt;&gt;'設定（最初に1回）'!$C$4,N(U2830),IF(COUNTIFS(①今日の在庫を貼る!$B$6:$B$10005,$B2831,①今日の在庫を貼る!$I$6:$I$10005,$I2831)&gt;0,N(U2830),N(U2830)+1))</f>
        <v>2</v>
      </c>
    </row>
    <row r="2832" customFormat="false" ht="15" hidden="false" customHeight="false" outlineLevel="0" collapsed="false">
      <c r="B2832" s="53"/>
      <c r="I2832" s="53"/>
      <c r="U2832" s="31" t="n">
        <f aca="false">IF($B2832&lt;&gt;'設定（最初に1回）'!$C$4,N(U2831),IF(COUNTIFS(①今日の在庫を貼る!$B$6:$B$10005,$B2832,①今日の在庫を貼る!$I$6:$I$10005,$I2832)&gt;0,N(U2831),N(U2831)+1))</f>
        <v>2</v>
      </c>
    </row>
    <row r="2833" customFormat="false" ht="15" hidden="false" customHeight="false" outlineLevel="0" collapsed="false">
      <c r="B2833" s="53"/>
      <c r="I2833" s="53"/>
      <c r="U2833" s="31" t="n">
        <f aca="false">IF($B2833&lt;&gt;'設定（最初に1回）'!$C$4,N(U2832),IF(COUNTIFS(①今日の在庫を貼る!$B$6:$B$10005,$B2833,①今日の在庫を貼る!$I$6:$I$10005,$I2833)&gt;0,N(U2832),N(U2832)+1))</f>
        <v>2</v>
      </c>
    </row>
    <row r="2834" customFormat="false" ht="15" hidden="false" customHeight="false" outlineLevel="0" collapsed="false">
      <c r="B2834" s="53"/>
      <c r="I2834" s="53"/>
      <c r="U2834" s="31" t="n">
        <f aca="false">IF($B2834&lt;&gt;'設定（最初に1回）'!$C$4,N(U2833),IF(COUNTIFS(①今日の在庫を貼る!$B$6:$B$10005,$B2834,①今日の在庫を貼る!$I$6:$I$10005,$I2834)&gt;0,N(U2833),N(U2833)+1))</f>
        <v>2</v>
      </c>
    </row>
    <row r="2835" customFormat="false" ht="15" hidden="false" customHeight="false" outlineLevel="0" collapsed="false">
      <c r="B2835" s="53"/>
      <c r="I2835" s="53"/>
      <c r="U2835" s="31" t="n">
        <f aca="false">IF($B2835&lt;&gt;'設定（最初に1回）'!$C$4,N(U2834),IF(COUNTIFS(①今日の在庫を貼る!$B$6:$B$10005,$B2835,①今日の在庫を貼る!$I$6:$I$10005,$I2835)&gt;0,N(U2834),N(U2834)+1))</f>
        <v>2</v>
      </c>
    </row>
    <row r="2836" customFormat="false" ht="15" hidden="false" customHeight="false" outlineLevel="0" collapsed="false">
      <c r="B2836" s="53"/>
      <c r="I2836" s="53"/>
      <c r="U2836" s="31" t="n">
        <f aca="false">IF($B2836&lt;&gt;'設定（最初に1回）'!$C$4,N(U2835),IF(COUNTIFS(①今日の在庫を貼る!$B$6:$B$10005,$B2836,①今日の在庫を貼る!$I$6:$I$10005,$I2836)&gt;0,N(U2835),N(U2835)+1))</f>
        <v>2</v>
      </c>
    </row>
    <row r="2837" customFormat="false" ht="15" hidden="false" customHeight="false" outlineLevel="0" collapsed="false">
      <c r="B2837" s="53"/>
      <c r="I2837" s="53"/>
      <c r="U2837" s="31" t="n">
        <f aca="false">IF($B2837&lt;&gt;'設定（最初に1回）'!$C$4,N(U2836),IF(COUNTIFS(①今日の在庫を貼る!$B$6:$B$10005,$B2837,①今日の在庫を貼る!$I$6:$I$10005,$I2837)&gt;0,N(U2836),N(U2836)+1))</f>
        <v>2</v>
      </c>
    </row>
    <row r="2838" customFormat="false" ht="15" hidden="false" customHeight="false" outlineLevel="0" collapsed="false">
      <c r="B2838" s="53"/>
      <c r="I2838" s="53"/>
      <c r="U2838" s="31" t="n">
        <f aca="false">IF($B2838&lt;&gt;'設定（最初に1回）'!$C$4,N(U2837),IF(COUNTIFS(①今日の在庫を貼る!$B$6:$B$10005,$B2838,①今日の在庫を貼る!$I$6:$I$10005,$I2838)&gt;0,N(U2837),N(U2837)+1))</f>
        <v>2</v>
      </c>
    </row>
    <row r="2839" customFormat="false" ht="15" hidden="false" customHeight="false" outlineLevel="0" collapsed="false">
      <c r="B2839" s="53"/>
      <c r="I2839" s="53"/>
      <c r="U2839" s="31" t="n">
        <f aca="false">IF($B2839&lt;&gt;'設定（最初に1回）'!$C$4,N(U2838),IF(COUNTIFS(①今日の在庫を貼る!$B$6:$B$10005,$B2839,①今日の在庫を貼る!$I$6:$I$10005,$I2839)&gt;0,N(U2838),N(U2838)+1))</f>
        <v>2</v>
      </c>
    </row>
    <row r="2840" customFormat="false" ht="15" hidden="false" customHeight="false" outlineLevel="0" collapsed="false">
      <c r="B2840" s="53"/>
      <c r="I2840" s="53"/>
      <c r="U2840" s="31" t="n">
        <f aca="false">IF($B2840&lt;&gt;'設定（最初に1回）'!$C$4,N(U2839),IF(COUNTIFS(①今日の在庫を貼る!$B$6:$B$10005,$B2840,①今日の在庫を貼る!$I$6:$I$10005,$I2840)&gt;0,N(U2839),N(U2839)+1))</f>
        <v>2</v>
      </c>
    </row>
    <row r="2841" customFormat="false" ht="15" hidden="false" customHeight="false" outlineLevel="0" collapsed="false">
      <c r="B2841" s="53"/>
      <c r="I2841" s="53"/>
      <c r="U2841" s="31" t="n">
        <f aca="false">IF($B2841&lt;&gt;'設定（最初に1回）'!$C$4,N(U2840),IF(COUNTIFS(①今日の在庫を貼る!$B$6:$B$10005,$B2841,①今日の在庫を貼る!$I$6:$I$10005,$I2841)&gt;0,N(U2840),N(U2840)+1))</f>
        <v>2</v>
      </c>
    </row>
    <row r="2842" customFormat="false" ht="15" hidden="false" customHeight="false" outlineLevel="0" collapsed="false">
      <c r="B2842" s="53"/>
      <c r="I2842" s="53"/>
      <c r="U2842" s="31" t="n">
        <f aca="false">IF($B2842&lt;&gt;'設定（最初に1回）'!$C$4,N(U2841),IF(COUNTIFS(①今日の在庫を貼る!$B$6:$B$10005,$B2842,①今日の在庫を貼る!$I$6:$I$10005,$I2842)&gt;0,N(U2841),N(U2841)+1))</f>
        <v>2</v>
      </c>
    </row>
    <row r="2843" customFormat="false" ht="15" hidden="false" customHeight="false" outlineLevel="0" collapsed="false">
      <c r="B2843" s="53"/>
      <c r="I2843" s="53"/>
      <c r="U2843" s="31" t="n">
        <f aca="false">IF($B2843&lt;&gt;'設定（最初に1回）'!$C$4,N(U2842),IF(COUNTIFS(①今日の在庫を貼る!$B$6:$B$10005,$B2843,①今日の在庫を貼る!$I$6:$I$10005,$I2843)&gt;0,N(U2842),N(U2842)+1))</f>
        <v>2</v>
      </c>
    </row>
    <row r="2844" customFormat="false" ht="15" hidden="false" customHeight="false" outlineLevel="0" collapsed="false">
      <c r="B2844" s="53"/>
      <c r="I2844" s="53"/>
      <c r="U2844" s="31" t="n">
        <f aca="false">IF($B2844&lt;&gt;'設定（最初に1回）'!$C$4,N(U2843),IF(COUNTIFS(①今日の在庫を貼る!$B$6:$B$10005,$B2844,①今日の在庫を貼る!$I$6:$I$10005,$I2844)&gt;0,N(U2843),N(U2843)+1))</f>
        <v>2</v>
      </c>
    </row>
    <row r="2845" customFormat="false" ht="15" hidden="false" customHeight="false" outlineLevel="0" collapsed="false">
      <c r="B2845" s="53"/>
      <c r="I2845" s="53"/>
      <c r="U2845" s="31" t="n">
        <f aca="false">IF($B2845&lt;&gt;'設定（最初に1回）'!$C$4,N(U2844),IF(COUNTIFS(①今日の在庫を貼る!$B$6:$B$10005,$B2845,①今日の在庫を貼る!$I$6:$I$10005,$I2845)&gt;0,N(U2844),N(U2844)+1))</f>
        <v>2</v>
      </c>
    </row>
    <row r="2846" customFormat="false" ht="15" hidden="false" customHeight="false" outlineLevel="0" collapsed="false">
      <c r="B2846" s="53"/>
      <c r="I2846" s="53"/>
      <c r="U2846" s="31" t="n">
        <f aca="false">IF($B2846&lt;&gt;'設定（最初に1回）'!$C$4,N(U2845),IF(COUNTIFS(①今日の在庫を貼る!$B$6:$B$10005,$B2846,①今日の在庫を貼る!$I$6:$I$10005,$I2846)&gt;0,N(U2845),N(U2845)+1))</f>
        <v>2</v>
      </c>
    </row>
    <row r="2847" customFormat="false" ht="15" hidden="false" customHeight="false" outlineLevel="0" collapsed="false">
      <c r="B2847" s="53"/>
      <c r="I2847" s="53"/>
      <c r="U2847" s="31" t="n">
        <f aca="false">IF($B2847&lt;&gt;'設定（最初に1回）'!$C$4,N(U2846),IF(COUNTIFS(①今日の在庫を貼る!$B$6:$B$10005,$B2847,①今日の在庫を貼る!$I$6:$I$10005,$I2847)&gt;0,N(U2846),N(U2846)+1))</f>
        <v>2</v>
      </c>
    </row>
    <row r="2848" customFormat="false" ht="15" hidden="false" customHeight="false" outlineLevel="0" collapsed="false">
      <c r="B2848" s="53"/>
      <c r="I2848" s="53"/>
      <c r="U2848" s="31" t="n">
        <f aca="false">IF($B2848&lt;&gt;'設定（最初に1回）'!$C$4,N(U2847),IF(COUNTIFS(①今日の在庫を貼る!$B$6:$B$10005,$B2848,①今日の在庫を貼る!$I$6:$I$10005,$I2848)&gt;0,N(U2847),N(U2847)+1))</f>
        <v>2</v>
      </c>
    </row>
    <row r="2849" customFormat="false" ht="15" hidden="false" customHeight="false" outlineLevel="0" collapsed="false">
      <c r="B2849" s="53"/>
      <c r="I2849" s="53"/>
      <c r="U2849" s="31" t="n">
        <f aca="false">IF($B2849&lt;&gt;'設定（最初に1回）'!$C$4,N(U2848),IF(COUNTIFS(①今日の在庫を貼る!$B$6:$B$10005,$B2849,①今日の在庫を貼る!$I$6:$I$10005,$I2849)&gt;0,N(U2848),N(U2848)+1))</f>
        <v>2</v>
      </c>
    </row>
    <row r="2850" customFormat="false" ht="15" hidden="false" customHeight="false" outlineLevel="0" collapsed="false">
      <c r="B2850" s="53"/>
      <c r="I2850" s="53"/>
      <c r="U2850" s="31" t="n">
        <f aca="false">IF($B2850&lt;&gt;'設定（最初に1回）'!$C$4,N(U2849),IF(COUNTIFS(①今日の在庫を貼る!$B$6:$B$10005,$B2850,①今日の在庫を貼る!$I$6:$I$10005,$I2850)&gt;0,N(U2849),N(U2849)+1))</f>
        <v>2</v>
      </c>
    </row>
    <row r="2851" customFormat="false" ht="15" hidden="false" customHeight="false" outlineLevel="0" collapsed="false">
      <c r="B2851" s="53"/>
      <c r="I2851" s="53"/>
      <c r="U2851" s="31" t="n">
        <f aca="false">IF($B2851&lt;&gt;'設定（最初に1回）'!$C$4,N(U2850),IF(COUNTIFS(①今日の在庫を貼る!$B$6:$B$10005,$B2851,①今日の在庫を貼る!$I$6:$I$10005,$I2851)&gt;0,N(U2850),N(U2850)+1))</f>
        <v>2</v>
      </c>
    </row>
    <row r="2852" customFormat="false" ht="15" hidden="false" customHeight="false" outlineLevel="0" collapsed="false">
      <c r="B2852" s="53"/>
      <c r="I2852" s="53"/>
      <c r="U2852" s="31" t="n">
        <f aca="false">IF($B2852&lt;&gt;'設定（最初に1回）'!$C$4,N(U2851),IF(COUNTIFS(①今日の在庫を貼る!$B$6:$B$10005,$B2852,①今日の在庫を貼る!$I$6:$I$10005,$I2852)&gt;0,N(U2851),N(U2851)+1))</f>
        <v>2</v>
      </c>
    </row>
    <row r="2853" customFormat="false" ht="15" hidden="false" customHeight="false" outlineLevel="0" collapsed="false">
      <c r="B2853" s="53"/>
      <c r="I2853" s="53"/>
      <c r="U2853" s="31" t="n">
        <f aca="false">IF($B2853&lt;&gt;'設定（最初に1回）'!$C$4,N(U2852),IF(COUNTIFS(①今日の在庫を貼る!$B$6:$B$10005,$B2853,①今日の在庫を貼る!$I$6:$I$10005,$I2853)&gt;0,N(U2852),N(U2852)+1))</f>
        <v>2</v>
      </c>
    </row>
    <row r="2854" customFormat="false" ht="15" hidden="false" customHeight="false" outlineLevel="0" collapsed="false">
      <c r="B2854" s="53"/>
      <c r="I2854" s="53"/>
      <c r="U2854" s="31" t="n">
        <f aca="false">IF($B2854&lt;&gt;'設定（最初に1回）'!$C$4,N(U2853),IF(COUNTIFS(①今日の在庫を貼る!$B$6:$B$10005,$B2854,①今日の在庫を貼る!$I$6:$I$10005,$I2854)&gt;0,N(U2853),N(U2853)+1))</f>
        <v>2</v>
      </c>
    </row>
    <row r="2855" customFormat="false" ht="15" hidden="false" customHeight="false" outlineLevel="0" collapsed="false">
      <c r="B2855" s="53"/>
      <c r="I2855" s="53"/>
      <c r="U2855" s="31" t="n">
        <f aca="false">IF($B2855&lt;&gt;'設定（最初に1回）'!$C$4,N(U2854),IF(COUNTIFS(①今日の在庫を貼る!$B$6:$B$10005,$B2855,①今日の在庫を貼る!$I$6:$I$10005,$I2855)&gt;0,N(U2854),N(U2854)+1))</f>
        <v>2</v>
      </c>
    </row>
    <row r="2856" customFormat="false" ht="15" hidden="false" customHeight="false" outlineLevel="0" collapsed="false">
      <c r="B2856" s="53"/>
      <c r="I2856" s="53"/>
      <c r="U2856" s="31" t="n">
        <f aca="false">IF($B2856&lt;&gt;'設定（最初に1回）'!$C$4,N(U2855),IF(COUNTIFS(①今日の在庫を貼る!$B$6:$B$10005,$B2856,①今日の在庫を貼る!$I$6:$I$10005,$I2856)&gt;0,N(U2855),N(U2855)+1))</f>
        <v>2</v>
      </c>
    </row>
    <row r="2857" customFormat="false" ht="15" hidden="false" customHeight="false" outlineLevel="0" collapsed="false">
      <c r="B2857" s="53"/>
      <c r="I2857" s="53"/>
      <c r="U2857" s="31" t="n">
        <f aca="false">IF($B2857&lt;&gt;'設定（最初に1回）'!$C$4,N(U2856),IF(COUNTIFS(①今日の在庫を貼る!$B$6:$B$10005,$B2857,①今日の在庫を貼る!$I$6:$I$10005,$I2857)&gt;0,N(U2856),N(U2856)+1))</f>
        <v>2</v>
      </c>
    </row>
    <row r="2858" customFormat="false" ht="15" hidden="false" customHeight="false" outlineLevel="0" collapsed="false">
      <c r="B2858" s="53"/>
      <c r="I2858" s="53"/>
      <c r="U2858" s="31" t="n">
        <f aca="false">IF($B2858&lt;&gt;'設定（最初に1回）'!$C$4,N(U2857),IF(COUNTIFS(①今日の在庫を貼る!$B$6:$B$10005,$B2858,①今日の在庫を貼る!$I$6:$I$10005,$I2858)&gt;0,N(U2857),N(U2857)+1))</f>
        <v>2</v>
      </c>
    </row>
    <row r="2859" customFormat="false" ht="15" hidden="false" customHeight="false" outlineLevel="0" collapsed="false">
      <c r="B2859" s="53"/>
      <c r="I2859" s="53"/>
      <c r="U2859" s="31" t="n">
        <f aca="false">IF($B2859&lt;&gt;'設定（最初に1回）'!$C$4,N(U2858),IF(COUNTIFS(①今日の在庫を貼る!$B$6:$B$10005,$B2859,①今日の在庫を貼る!$I$6:$I$10005,$I2859)&gt;0,N(U2858),N(U2858)+1))</f>
        <v>2</v>
      </c>
    </row>
    <row r="2860" customFormat="false" ht="15" hidden="false" customHeight="false" outlineLevel="0" collapsed="false">
      <c r="B2860" s="53"/>
      <c r="I2860" s="53"/>
      <c r="U2860" s="31" t="n">
        <f aca="false">IF($B2860&lt;&gt;'設定（最初に1回）'!$C$4,N(U2859),IF(COUNTIFS(①今日の在庫を貼る!$B$6:$B$10005,$B2860,①今日の在庫を貼る!$I$6:$I$10005,$I2860)&gt;0,N(U2859),N(U2859)+1))</f>
        <v>2</v>
      </c>
    </row>
    <row r="2861" customFormat="false" ht="15" hidden="false" customHeight="false" outlineLevel="0" collapsed="false">
      <c r="B2861" s="53"/>
      <c r="I2861" s="53"/>
      <c r="U2861" s="31" t="n">
        <f aca="false">IF($B2861&lt;&gt;'設定（最初に1回）'!$C$4,N(U2860),IF(COUNTIFS(①今日の在庫を貼る!$B$6:$B$10005,$B2861,①今日の在庫を貼る!$I$6:$I$10005,$I2861)&gt;0,N(U2860),N(U2860)+1))</f>
        <v>2</v>
      </c>
    </row>
    <row r="2862" customFormat="false" ht="15" hidden="false" customHeight="false" outlineLevel="0" collapsed="false">
      <c r="B2862" s="53"/>
      <c r="I2862" s="53"/>
      <c r="U2862" s="31" t="n">
        <f aca="false">IF($B2862&lt;&gt;'設定（最初に1回）'!$C$4,N(U2861),IF(COUNTIFS(①今日の在庫を貼る!$B$6:$B$10005,$B2862,①今日の在庫を貼る!$I$6:$I$10005,$I2862)&gt;0,N(U2861),N(U2861)+1))</f>
        <v>2</v>
      </c>
    </row>
    <row r="2863" customFormat="false" ht="15" hidden="false" customHeight="false" outlineLevel="0" collapsed="false">
      <c r="B2863" s="53"/>
      <c r="I2863" s="53"/>
      <c r="U2863" s="31" t="n">
        <f aca="false">IF($B2863&lt;&gt;'設定（最初に1回）'!$C$4,N(U2862),IF(COUNTIFS(①今日の在庫を貼る!$B$6:$B$10005,$B2863,①今日の在庫を貼る!$I$6:$I$10005,$I2863)&gt;0,N(U2862),N(U2862)+1))</f>
        <v>2</v>
      </c>
    </row>
    <row r="2864" customFormat="false" ht="15" hidden="false" customHeight="false" outlineLevel="0" collapsed="false">
      <c r="B2864" s="53"/>
      <c r="I2864" s="53"/>
      <c r="U2864" s="31" t="n">
        <f aca="false">IF($B2864&lt;&gt;'設定（最初に1回）'!$C$4,N(U2863),IF(COUNTIFS(①今日の在庫を貼る!$B$6:$B$10005,$B2864,①今日の在庫を貼る!$I$6:$I$10005,$I2864)&gt;0,N(U2863),N(U2863)+1))</f>
        <v>2</v>
      </c>
    </row>
    <row r="2865" customFormat="false" ht="15" hidden="false" customHeight="false" outlineLevel="0" collapsed="false">
      <c r="B2865" s="53"/>
      <c r="I2865" s="53"/>
      <c r="U2865" s="31" t="n">
        <f aca="false">IF($B2865&lt;&gt;'設定（最初に1回）'!$C$4,N(U2864),IF(COUNTIFS(①今日の在庫を貼る!$B$6:$B$10005,$B2865,①今日の在庫を貼る!$I$6:$I$10005,$I2865)&gt;0,N(U2864),N(U2864)+1))</f>
        <v>2</v>
      </c>
    </row>
    <row r="2866" customFormat="false" ht="15" hidden="false" customHeight="false" outlineLevel="0" collapsed="false">
      <c r="B2866" s="53"/>
      <c r="I2866" s="53"/>
      <c r="U2866" s="31" t="n">
        <f aca="false">IF($B2866&lt;&gt;'設定（最初に1回）'!$C$4,N(U2865),IF(COUNTIFS(①今日の在庫を貼る!$B$6:$B$10005,$B2866,①今日の在庫を貼る!$I$6:$I$10005,$I2866)&gt;0,N(U2865),N(U2865)+1))</f>
        <v>2</v>
      </c>
    </row>
    <row r="2867" customFormat="false" ht="15" hidden="false" customHeight="false" outlineLevel="0" collapsed="false">
      <c r="B2867" s="53"/>
      <c r="I2867" s="53"/>
      <c r="U2867" s="31" t="n">
        <f aca="false">IF($B2867&lt;&gt;'設定（最初に1回）'!$C$4,N(U2866),IF(COUNTIFS(①今日の在庫を貼る!$B$6:$B$10005,$B2867,①今日の在庫を貼る!$I$6:$I$10005,$I2867)&gt;0,N(U2866),N(U2866)+1))</f>
        <v>2</v>
      </c>
    </row>
    <row r="2868" customFormat="false" ht="15" hidden="false" customHeight="false" outlineLevel="0" collapsed="false">
      <c r="B2868" s="53"/>
      <c r="I2868" s="53"/>
      <c r="U2868" s="31" t="n">
        <f aca="false">IF($B2868&lt;&gt;'設定（最初に1回）'!$C$4,N(U2867),IF(COUNTIFS(①今日の在庫を貼る!$B$6:$B$10005,$B2868,①今日の在庫を貼る!$I$6:$I$10005,$I2868)&gt;0,N(U2867),N(U2867)+1))</f>
        <v>2</v>
      </c>
    </row>
    <row r="2869" customFormat="false" ht="15" hidden="false" customHeight="false" outlineLevel="0" collapsed="false">
      <c r="B2869" s="53"/>
      <c r="I2869" s="53"/>
      <c r="U2869" s="31" t="n">
        <f aca="false">IF($B2869&lt;&gt;'設定（最初に1回）'!$C$4,N(U2868),IF(COUNTIFS(①今日の在庫を貼る!$B$6:$B$10005,$B2869,①今日の在庫を貼る!$I$6:$I$10005,$I2869)&gt;0,N(U2868),N(U2868)+1))</f>
        <v>2</v>
      </c>
    </row>
    <row r="2870" customFormat="false" ht="15" hidden="false" customHeight="false" outlineLevel="0" collapsed="false">
      <c r="B2870" s="53"/>
      <c r="I2870" s="53"/>
      <c r="U2870" s="31" t="n">
        <f aca="false">IF($B2870&lt;&gt;'設定（最初に1回）'!$C$4,N(U2869),IF(COUNTIFS(①今日の在庫を貼る!$B$6:$B$10005,$B2870,①今日の在庫を貼る!$I$6:$I$10005,$I2870)&gt;0,N(U2869),N(U2869)+1))</f>
        <v>2</v>
      </c>
    </row>
    <row r="2871" customFormat="false" ht="15" hidden="false" customHeight="false" outlineLevel="0" collapsed="false">
      <c r="B2871" s="53"/>
      <c r="I2871" s="53"/>
      <c r="U2871" s="31" t="n">
        <f aca="false">IF($B2871&lt;&gt;'設定（最初に1回）'!$C$4,N(U2870),IF(COUNTIFS(①今日の在庫を貼る!$B$6:$B$10005,$B2871,①今日の在庫を貼る!$I$6:$I$10005,$I2871)&gt;0,N(U2870),N(U2870)+1))</f>
        <v>2</v>
      </c>
    </row>
    <row r="2872" customFormat="false" ht="15" hidden="false" customHeight="false" outlineLevel="0" collapsed="false">
      <c r="B2872" s="53"/>
      <c r="I2872" s="53"/>
      <c r="U2872" s="31" t="n">
        <f aca="false">IF($B2872&lt;&gt;'設定（最初に1回）'!$C$4,N(U2871),IF(COUNTIFS(①今日の在庫を貼る!$B$6:$B$10005,$B2872,①今日の在庫を貼る!$I$6:$I$10005,$I2872)&gt;0,N(U2871),N(U2871)+1))</f>
        <v>2</v>
      </c>
    </row>
    <row r="2873" customFormat="false" ht="15" hidden="false" customHeight="false" outlineLevel="0" collapsed="false">
      <c r="B2873" s="53"/>
      <c r="I2873" s="53"/>
      <c r="U2873" s="31" t="n">
        <f aca="false">IF($B2873&lt;&gt;'設定（最初に1回）'!$C$4,N(U2872),IF(COUNTIFS(①今日の在庫を貼る!$B$6:$B$10005,$B2873,①今日の在庫を貼る!$I$6:$I$10005,$I2873)&gt;0,N(U2872),N(U2872)+1))</f>
        <v>2</v>
      </c>
    </row>
    <row r="2874" customFormat="false" ht="15" hidden="false" customHeight="false" outlineLevel="0" collapsed="false">
      <c r="B2874" s="53"/>
      <c r="I2874" s="53"/>
      <c r="U2874" s="31" t="n">
        <f aca="false">IF($B2874&lt;&gt;'設定（最初に1回）'!$C$4,N(U2873),IF(COUNTIFS(①今日の在庫を貼る!$B$6:$B$10005,$B2874,①今日の在庫を貼る!$I$6:$I$10005,$I2874)&gt;0,N(U2873),N(U2873)+1))</f>
        <v>2</v>
      </c>
    </row>
    <row r="2875" customFormat="false" ht="15" hidden="false" customHeight="false" outlineLevel="0" collapsed="false">
      <c r="B2875" s="53"/>
      <c r="I2875" s="53"/>
      <c r="U2875" s="31" t="n">
        <f aca="false">IF($B2875&lt;&gt;'設定（最初に1回）'!$C$4,N(U2874),IF(COUNTIFS(①今日の在庫を貼る!$B$6:$B$10005,$B2875,①今日の在庫を貼る!$I$6:$I$10005,$I2875)&gt;0,N(U2874),N(U2874)+1))</f>
        <v>2</v>
      </c>
    </row>
    <row r="2876" customFormat="false" ht="15" hidden="false" customHeight="false" outlineLevel="0" collapsed="false">
      <c r="B2876" s="53"/>
      <c r="I2876" s="53"/>
      <c r="U2876" s="31" t="n">
        <f aca="false">IF($B2876&lt;&gt;'設定（最初に1回）'!$C$4,N(U2875),IF(COUNTIFS(①今日の在庫を貼る!$B$6:$B$10005,$B2876,①今日の在庫を貼る!$I$6:$I$10005,$I2876)&gt;0,N(U2875),N(U2875)+1))</f>
        <v>2</v>
      </c>
    </row>
    <row r="2877" customFormat="false" ht="15" hidden="false" customHeight="false" outlineLevel="0" collapsed="false">
      <c r="B2877" s="53"/>
      <c r="I2877" s="53"/>
      <c r="U2877" s="31" t="n">
        <f aca="false">IF($B2877&lt;&gt;'設定（最初に1回）'!$C$4,N(U2876),IF(COUNTIFS(①今日の在庫を貼る!$B$6:$B$10005,$B2877,①今日の在庫を貼る!$I$6:$I$10005,$I2877)&gt;0,N(U2876),N(U2876)+1))</f>
        <v>2</v>
      </c>
    </row>
    <row r="2878" customFormat="false" ht="15" hidden="false" customHeight="false" outlineLevel="0" collapsed="false">
      <c r="B2878" s="53"/>
      <c r="I2878" s="53"/>
      <c r="U2878" s="31" t="n">
        <f aca="false">IF($B2878&lt;&gt;'設定（最初に1回）'!$C$4,N(U2877),IF(COUNTIFS(①今日の在庫を貼る!$B$6:$B$10005,$B2878,①今日の在庫を貼る!$I$6:$I$10005,$I2878)&gt;0,N(U2877),N(U2877)+1))</f>
        <v>2</v>
      </c>
    </row>
    <row r="2879" customFormat="false" ht="15" hidden="false" customHeight="false" outlineLevel="0" collapsed="false">
      <c r="B2879" s="53"/>
      <c r="I2879" s="53"/>
      <c r="U2879" s="31" t="n">
        <f aca="false">IF($B2879&lt;&gt;'設定（最初に1回）'!$C$4,N(U2878),IF(COUNTIFS(①今日の在庫を貼る!$B$6:$B$10005,$B2879,①今日の在庫を貼る!$I$6:$I$10005,$I2879)&gt;0,N(U2878),N(U2878)+1))</f>
        <v>2</v>
      </c>
    </row>
    <row r="2880" customFormat="false" ht="15" hidden="false" customHeight="false" outlineLevel="0" collapsed="false">
      <c r="B2880" s="53"/>
      <c r="I2880" s="53"/>
      <c r="U2880" s="31" t="n">
        <f aca="false">IF($B2880&lt;&gt;'設定（最初に1回）'!$C$4,N(U2879),IF(COUNTIFS(①今日の在庫を貼る!$B$6:$B$10005,$B2880,①今日の在庫を貼る!$I$6:$I$10005,$I2880)&gt;0,N(U2879),N(U2879)+1))</f>
        <v>2</v>
      </c>
    </row>
    <row r="2881" customFormat="false" ht="15" hidden="false" customHeight="false" outlineLevel="0" collapsed="false">
      <c r="B2881" s="53"/>
      <c r="I2881" s="53"/>
      <c r="U2881" s="31" t="n">
        <f aca="false">IF($B2881&lt;&gt;'設定（最初に1回）'!$C$4,N(U2880),IF(COUNTIFS(①今日の在庫を貼る!$B$6:$B$10005,$B2881,①今日の在庫を貼る!$I$6:$I$10005,$I2881)&gt;0,N(U2880),N(U2880)+1))</f>
        <v>2</v>
      </c>
    </row>
    <row r="2882" customFormat="false" ht="15" hidden="false" customHeight="false" outlineLevel="0" collapsed="false">
      <c r="B2882" s="53"/>
      <c r="I2882" s="53"/>
      <c r="U2882" s="31" t="n">
        <f aca="false">IF($B2882&lt;&gt;'設定（最初に1回）'!$C$4,N(U2881),IF(COUNTIFS(①今日の在庫を貼る!$B$6:$B$10005,$B2882,①今日の在庫を貼る!$I$6:$I$10005,$I2882)&gt;0,N(U2881),N(U2881)+1))</f>
        <v>2</v>
      </c>
    </row>
    <row r="2883" customFormat="false" ht="15" hidden="false" customHeight="false" outlineLevel="0" collapsed="false">
      <c r="B2883" s="53"/>
      <c r="I2883" s="53"/>
      <c r="U2883" s="31" t="n">
        <f aca="false">IF($B2883&lt;&gt;'設定（最初に1回）'!$C$4,N(U2882),IF(COUNTIFS(①今日の在庫を貼る!$B$6:$B$10005,$B2883,①今日の在庫を貼る!$I$6:$I$10005,$I2883)&gt;0,N(U2882),N(U2882)+1))</f>
        <v>2</v>
      </c>
    </row>
    <row r="2884" customFormat="false" ht="15" hidden="false" customHeight="false" outlineLevel="0" collapsed="false">
      <c r="B2884" s="53"/>
      <c r="I2884" s="53"/>
      <c r="U2884" s="31" t="n">
        <f aca="false">IF($B2884&lt;&gt;'設定（最初に1回）'!$C$4,N(U2883),IF(COUNTIFS(①今日の在庫を貼る!$B$6:$B$10005,$B2884,①今日の在庫を貼る!$I$6:$I$10005,$I2884)&gt;0,N(U2883),N(U2883)+1))</f>
        <v>2</v>
      </c>
    </row>
    <row r="2885" customFormat="false" ht="15" hidden="false" customHeight="false" outlineLevel="0" collapsed="false">
      <c r="B2885" s="53"/>
      <c r="I2885" s="53"/>
      <c r="U2885" s="31" t="n">
        <f aca="false">IF($B2885&lt;&gt;'設定（最初に1回）'!$C$4,N(U2884),IF(COUNTIFS(①今日の在庫を貼る!$B$6:$B$10005,$B2885,①今日の在庫を貼る!$I$6:$I$10005,$I2885)&gt;0,N(U2884),N(U2884)+1))</f>
        <v>2</v>
      </c>
    </row>
    <row r="2886" customFormat="false" ht="15" hidden="false" customHeight="false" outlineLevel="0" collapsed="false">
      <c r="B2886" s="53"/>
      <c r="I2886" s="53"/>
      <c r="U2886" s="31" t="n">
        <f aca="false">IF($B2886&lt;&gt;'設定（最初に1回）'!$C$4,N(U2885),IF(COUNTIFS(①今日の在庫を貼る!$B$6:$B$10005,$B2886,①今日の在庫を貼る!$I$6:$I$10005,$I2886)&gt;0,N(U2885),N(U2885)+1))</f>
        <v>2</v>
      </c>
    </row>
    <row r="2887" customFormat="false" ht="15" hidden="false" customHeight="false" outlineLevel="0" collapsed="false">
      <c r="B2887" s="53"/>
      <c r="I2887" s="53"/>
      <c r="U2887" s="31" t="n">
        <f aca="false">IF($B2887&lt;&gt;'設定（最初に1回）'!$C$4,N(U2886),IF(COUNTIFS(①今日の在庫を貼る!$B$6:$B$10005,$B2887,①今日の在庫を貼る!$I$6:$I$10005,$I2887)&gt;0,N(U2886),N(U2886)+1))</f>
        <v>2</v>
      </c>
    </row>
    <row r="2888" customFormat="false" ht="15" hidden="false" customHeight="false" outlineLevel="0" collapsed="false">
      <c r="B2888" s="53"/>
      <c r="I2888" s="53"/>
      <c r="U2888" s="31" t="n">
        <f aca="false">IF($B2888&lt;&gt;'設定（最初に1回）'!$C$4,N(U2887),IF(COUNTIFS(①今日の在庫を貼る!$B$6:$B$10005,$B2888,①今日の在庫を貼る!$I$6:$I$10005,$I2888)&gt;0,N(U2887),N(U2887)+1))</f>
        <v>2</v>
      </c>
    </row>
    <row r="2889" customFormat="false" ht="15" hidden="false" customHeight="false" outlineLevel="0" collapsed="false">
      <c r="B2889" s="53"/>
      <c r="I2889" s="53"/>
      <c r="U2889" s="31" t="n">
        <f aca="false">IF($B2889&lt;&gt;'設定（最初に1回）'!$C$4,N(U2888),IF(COUNTIFS(①今日の在庫を貼る!$B$6:$B$10005,$B2889,①今日の在庫を貼る!$I$6:$I$10005,$I2889)&gt;0,N(U2888),N(U2888)+1))</f>
        <v>2</v>
      </c>
    </row>
    <row r="2890" customFormat="false" ht="15" hidden="false" customHeight="false" outlineLevel="0" collapsed="false">
      <c r="B2890" s="53"/>
      <c r="I2890" s="53"/>
      <c r="U2890" s="31" t="n">
        <f aca="false">IF($B2890&lt;&gt;'設定（最初に1回）'!$C$4,N(U2889),IF(COUNTIFS(①今日の在庫を貼る!$B$6:$B$10005,$B2890,①今日の在庫を貼る!$I$6:$I$10005,$I2890)&gt;0,N(U2889),N(U2889)+1))</f>
        <v>2</v>
      </c>
    </row>
    <row r="2891" customFormat="false" ht="15" hidden="false" customHeight="false" outlineLevel="0" collapsed="false">
      <c r="B2891" s="53"/>
      <c r="I2891" s="53"/>
      <c r="U2891" s="31" t="n">
        <f aca="false">IF($B2891&lt;&gt;'設定（最初に1回）'!$C$4,N(U2890),IF(COUNTIFS(①今日の在庫を貼る!$B$6:$B$10005,$B2891,①今日の在庫を貼る!$I$6:$I$10005,$I2891)&gt;0,N(U2890),N(U2890)+1))</f>
        <v>2</v>
      </c>
    </row>
    <row r="2892" customFormat="false" ht="15" hidden="false" customHeight="false" outlineLevel="0" collapsed="false">
      <c r="B2892" s="53"/>
      <c r="I2892" s="53"/>
      <c r="U2892" s="31" t="n">
        <f aca="false">IF($B2892&lt;&gt;'設定（最初に1回）'!$C$4,N(U2891),IF(COUNTIFS(①今日の在庫を貼る!$B$6:$B$10005,$B2892,①今日の在庫を貼る!$I$6:$I$10005,$I2892)&gt;0,N(U2891),N(U2891)+1))</f>
        <v>2</v>
      </c>
    </row>
    <row r="2893" customFormat="false" ht="15" hidden="false" customHeight="false" outlineLevel="0" collapsed="false">
      <c r="B2893" s="53"/>
      <c r="I2893" s="53"/>
      <c r="U2893" s="31" t="n">
        <f aca="false">IF($B2893&lt;&gt;'設定（最初に1回）'!$C$4,N(U2892),IF(COUNTIFS(①今日の在庫を貼る!$B$6:$B$10005,$B2893,①今日の在庫を貼る!$I$6:$I$10005,$I2893)&gt;0,N(U2892),N(U2892)+1))</f>
        <v>2</v>
      </c>
    </row>
    <row r="2894" customFormat="false" ht="15" hidden="false" customHeight="false" outlineLevel="0" collapsed="false">
      <c r="B2894" s="53"/>
      <c r="I2894" s="53"/>
      <c r="U2894" s="31" t="n">
        <f aca="false">IF($B2894&lt;&gt;'設定（最初に1回）'!$C$4,N(U2893),IF(COUNTIFS(①今日の在庫を貼る!$B$6:$B$10005,$B2894,①今日の在庫を貼る!$I$6:$I$10005,$I2894)&gt;0,N(U2893),N(U2893)+1))</f>
        <v>2</v>
      </c>
    </row>
    <row r="2895" customFormat="false" ht="15" hidden="false" customHeight="false" outlineLevel="0" collapsed="false">
      <c r="B2895" s="53"/>
      <c r="I2895" s="53"/>
      <c r="U2895" s="31" t="n">
        <f aca="false">IF($B2895&lt;&gt;'設定（最初に1回）'!$C$4,N(U2894),IF(COUNTIFS(①今日の在庫を貼る!$B$6:$B$10005,$B2895,①今日の在庫を貼る!$I$6:$I$10005,$I2895)&gt;0,N(U2894),N(U2894)+1))</f>
        <v>2</v>
      </c>
    </row>
    <row r="2896" customFormat="false" ht="15" hidden="false" customHeight="false" outlineLevel="0" collapsed="false">
      <c r="B2896" s="53"/>
      <c r="I2896" s="53"/>
      <c r="U2896" s="31" t="n">
        <f aca="false">IF($B2896&lt;&gt;'設定（最初に1回）'!$C$4,N(U2895),IF(COUNTIFS(①今日の在庫を貼る!$B$6:$B$10005,$B2896,①今日の在庫を貼る!$I$6:$I$10005,$I2896)&gt;0,N(U2895),N(U2895)+1))</f>
        <v>2</v>
      </c>
    </row>
    <row r="2897" customFormat="false" ht="15" hidden="false" customHeight="false" outlineLevel="0" collapsed="false">
      <c r="B2897" s="53"/>
      <c r="I2897" s="53"/>
      <c r="U2897" s="31" t="n">
        <f aca="false">IF($B2897&lt;&gt;'設定（最初に1回）'!$C$4,N(U2896),IF(COUNTIFS(①今日の在庫を貼る!$B$6:$B$10005,$B2897,①今日の在庫を貼る!$I$6:$I$10005,$I2897)&gt;0,N(U2896),N(U2896)+1))</f>
        <v>2</v>
      </c>
    </row>
    <row r="2898" customFormat="false" ht="15" hidden="false" customHeight="false" outlineLevel="0" collapsed="false">
      <c r="B2898" s="53"/>
      <c r="I2898" s="53"/>
      <c r="U2898" s="31" t="n">
        <f aca="false">IF($B2898&lt;&gt;'設定（最初に1回）'!$C$4,N(U2897),IF(COUNTIFS(①今日の在庫を貼る!$B$6:$B$10005,$B2898,①今日の在庫を貼る!$I$6:$I$10005,$I2898)&gt;0,N(U2897),N(U2897)+1))</f>
        <v>2</v>
      </c>
    </row>
    <row r="2899" customFormat="false" ht="15" hidden="false" customHeight="false" outlineLevel="0" collapsed="false">
      <c r="B2899" s="53"/>
      <c r="I2899" s="53"/>
      <c r="U2899" s="31" t="n">
        <f aca="false">IF($B2899&lt;&gt;'設定（最初に1回）'!$C$4,N(U2898),IF(COUNTIFS(①今日の在庫を貼る!$B$6:$B$10005,$B2899,①今日の在庫を貼る!$I$6:$I$10005,$I2899)&gt;0,N(U2898),N(U2898)+1))</f>
        <v>2</v>
      </c>
    </row>
    <row r="2900" customFormat="false" ht="15" hidden="false" customHeight="false" outlineLevel="0" collapsed="false">
      <c r="B2900" s="53"/>
      <c r="I2900" s="53"/>
      <c r="U2900" s="31" t="n">
        <f aca="false">IF($B2900&lt;&gt;'設定（最初に1回）'!$C$4,N(U2899),IF(COUNTIFS(①今日の在庫を貼る!$B$6:$B$10005,$B2900,①今日の在庫を貼る!$I$6:$I$10005,$I2900)&gt;0,N(U2899),N(U2899)+1))</f>
        <v>2</v>
      </c>
    </row>
    <row r="2901" customFormat="false" ht="15" hidden="false" customHeight="false" outlineLevel="0" collapsed="false">
      <c r="B2901" s="53"/>
      <c r="I2901" s="53"/>
      <c r="U2901" s="31" t="n">
        <f aca="false">IF($B2901&lt;&gt;'設定（最初に1回）'!$C$4,N(U2900),IF(COUNTIFS(①今日の在庫を貼る!$B$6:$B$10005,$B2901,①今日の在庫を貼る!$I$6:$I$10005,$I2901)&gt;0,N(U2900),N(U2900)+1))</f>
        <v>2</v>
      </c>
    </row>
    <row r="2902" customFormat="false" ht="15" hidden="false" customHeight="false" outlineLevel="0" collapsed="false">
      <c r="B2902" s="53"/>
      <c r="I2902" s="53"/>
      <c r="U2902" s="31" t="n">
        <f aca="false">IF($B2902&lt;&gt;'設定（最初に1回）'!$C$4,N(U2901),IF(COUNTIFS(①今日の在庫を貼る!$B$6:$B$10005,$B2902,①今日の在庫を貼る!$I$6:$I$10005,$I2902)&gt;0,N(U2901),N(U2901)+1))</f>
        <v>2</v>
      </c>
    </row>
    <row r="2903" customFormat="false" ht="15" hidden="false" customHeight="false" outlineLevel="0" collapsed="false">
      <c r="B2903" s="53"/>
      <c r="I2903" s="53"/>
      <c r="U2903" s="31" t="n">
        <f aca="false">IF($B2903&lt;&gt;'設定（最初に1回）'!$C$4,N(U2902),IF(COUNTIFS(①今日の在庫を貼る!$B$6:$B$10005,$B2903,①今日の在庫を貼る!$I$6:$I$10005,$I2903)&gt;0,N(U2902),N(U2902)+1))</f>
        <v>2</v>
      </c>
    </row>
    <row r="2904" customFormat="false" ht="15" hidden="false" customHeight="false" outlineLevel="0" collapsed="false">
      <c r="B2904" s="53"/>
      <c r="I2904" s="53"/>
      <c r="U2904" s="31" t="n">
        <f aca="false">IF($B2904&lt;&gt;'設定（最初に1回）'!$C$4,N(U2903),IF(COUNTIFS(①今日の在庫を貼る!$B$6:$B$10005,$B2904,①今日の在庫を貼る!$I$6:$I$10005,$I2904)&gt;0,N(U2903),N(U2903)+1))</f>
        <v>2</v>
      </c>
    </row>
    <row r="2905" customFormat="false" ht="15" hidden="false" customHeight="false" outlineLevel="0" collapsed="false">
      <c r="B2905" s="53"/>
      <c r="I2905" s="53"/>
      <c r="U2905" s="31" t="n">
        <f aca="false">IF($B2905&lt;&gt;'設定（最初に1回）'!$C$4,N(U2904),IF(COUNTIFS(①今日の在庫を貼る!$B$6:$B$10005,$B2905,①今日の在庫を貼る!$I$6:$I$10005,$I2905)&gt;0,N(U2904),N(U2904)+1))</f>
        <v>2</v>
      </c>
    </row>
    <row r="2906" customFormat="false" ht="15" hidden="false" customHeight="false" outlineLevel="0" collapsed="false">
      <c r="B2906" s="53"/>
      <c r="I2906" s="53"/>
      <c r="U2906" s="31" t="n">
        <f aca="false">IF($B2906&lt;&gt;'設定（最初に1回）'!$C$4,N(U2905),IF(COUNTIFS(①今日の在庫を貼る!$B$6:$B$10005,$B2906,①今日の在庫を貼る!$I$6:$I$10005,$I2906)&gt;0,N(U2905),N(U2905)+1))</f>
        <v>2</v>
      </c>
    </row>
    <row r="2907" customFormat="false" ht="15" hidden="false" customHeight="false" outlineLevel="0" collapsed="false">
      <c r="B2907" s="53"/>
      <c r="I2907" s="53"/>
      <c r="U2907" s="31" t="n">
        <f aca="false">IF($B2907&lt;&gt;'設定（最初に1回）'!$C$4,N(U2906),IF(COUNTIFS(①今日の在庫を貼る!$B$6:$B$10005,$B2907,①今日の在庫を貼る!$I$6:$I$10005,$I2907)&gt;0,N(U2906),N(U2906)+1))</f>
        <v>2</v>
      </c>
    </row>
    <row r="2908" customFormat="false" ht="15" hidden="false" customHeight="false" outlineLevel="0" collapsed="false">
      <c r="B2908" s="53"/>
      <c r="I2908" s="53"/>
      <c r="U2908" s="31" t="n">
        <f aca="false">IF($B2908&lt;&gt;'設定（最初に1回）'!$C$4,N(U2907),IF(COUNTIFS(①今日の在庫を貼る!$B$6:$B$10005,$B2908,①今日の在庫を貼る!$I$6:$I$10005,$I2908)&gt;0,N(U2907),N(U2907)+1))</f>
        <v>2</v>
      </c>
    </row>
    <row r="2909" customFormat="false" ht="15" hidden="false" customHeight="false" outlineLevel="0" collapsed="false">
      <c r="B2909" s="53"/>
      <c r="I2909" s="53"/>
      <c r="U2909" s="31" t="n">
        <f aca="false">IF($B2909&lt;&gt;'設定（最初に1回）'!$C$4,N(U2908),IF(COUNTIFS(①今日の在庫を貼る!$B$6:$B$10005,$B2909,①今日の在庫を貼る!$I$6:$I$10005,$I2909)&gt;0,N(U2908),N(U2908)+1))</f>
        <v>2</v>
      </c>
    </row>
    <row r="2910" customFormat="false" ht="15" hidden="false" customHeight="false" outlineLevel="0" collapsed="false">
      <c r="B2910" s="53"/>
      <c r="I2910" s="53"/>
      <c r="U2910" s="31" t="n">
        <f aca="false">IF($B2910&lt;&gt;'設定（最初に1回）'!$C$4,N(U2909),IF(COUNTIFS(①今日の在庫を貼る!$B$6:$B$10005,$B2910,①今日の在庫を貼る!$I$6:$I$10005,$I2910)&gt;0,N(U2909),N(U2909)+1))</f>
        <v>2</v>
      </c>
    </row>
    <row r="2911" customFormat="false" ht="15" hidden="false" customHeight="false" outlineLevel="0" collapsed="false">
      <c r="B2911" s="53"/>
      <c r="I2911" s="53"/>
      <c r="U2911" s="31" t="n">
        <f aca="false">IF($B2911&lt;&gt;'設定（最初に1回）'!$C$4,N(U2910),IF(COUNTIFS(①今日の在庫を貼る!$B$6:$B$10005,$B2911,①今日の在庫を貼る!$I$6:$I$10005,$I2911)&gt;0,N(U2910),N(U2910)+1))</f>
        <v>2</v>
      </c>
    </row>
    <row r="2912" customFormat="false" ht="15" hidden="false" customHeight="false" outlineLevel="0" collapsed="false">
      <c r="B2912" s="53"/>
      <c r="I2912" s="53"/>
      <c r="U2912" s="31" t="n">
        <f aca="false">IF($B2912&lt;&gt;'設定（最初に1回）'!$C$4,N(U2911),IF(COUNTIFS(①今日の在庫を貼る!$B$6:$B$10005,$B2912,①今日の在庫を貼る!$I$6:$I$10005,$I2912)&gt;0,N(U2911),N(U2911)+1))</f>
        <v>2</v>
      </c>
    </row>
    <row r="2913" customFormat="false" ht="15" hidden="false" customHeight="false" outlineLevel="0" collapsed="false">
      <c r="B2913" s="53"/>
      <c r="I2913" s="53"/>
      <c r="U2913" s="31" t="n">
        <f aca="false">IF($B2913&lt;&gt;'設定（最初に1回）'!$C$4,N(U2912),IF(COUNTIFS(①今日の在庫を貼る!$B$6:$B$10005,$B2913,①今日の在庫を貼る!$I$6:$I$10005,$I2913)&gt;0,N(U2912),N(U2912)+1))</f>
        <v>2</v>
      </c>
    </row>
    <row r="2914" customFormat="false" ht="15" hidden="false" customHeight="false" outlineLevel="0" collapsed="false">
      <c r="B2914" s="53"/>
      <c r="I2914" s="53"/>
      <c r="U2914" s="31" t="n">
        <f aca="false">IF($B2914&lt;&gt;'設定（最初に1回）'!$C$4,N(U2913),IF(COUNTIFS(①今日の在庫を貼る!$B$6:$B$10005,$B2914,①今日の在庫を貼る!$I$6:$I$10005,$I2914)&gt;0,N(U2913),N(U2913)+1))</f>
        <v>2</v>
      </c>
    </row>
    <row r="2915" customFormat="false" ht="15" hidden="false" customHeight="false" outlineLevel="0" collapsed="false">
      <c r="B2915" s="53"/>
      <c r="I2915" s="53"/>
      <c r="U2915" s="31" t="n">
        <f aca="false">IF($B2915&lt;&gt;'設定（最初に1回）'!$C$4,N(U2914),IF(COUNTIFS(①今日の在庫を貼る!$B$6:$B$10005,$B2915,①今日の在庫を貼る!$I$6:$I$10005,$I2915)&gt;0,N(U2914),N(U2914)+1))</f>
        <v>2</v>
      </c>
    </row>
    <row r="2916" customFormat="false" ht="15" hidden="false" customHeight="false" outlineLevel="0" collapsed="false">
      <c r="B2916" s="53"/>
      <c r="I2916" s="53"/>
      <c r="U2916" s="31" t="n">
        <f aca="false">IF($B2916&lt;&gt;'設定（最初に1回）'!$C$4,N(U2915),IF(COUNTIFS(①今日の在庫を貼る!$B$6:$B$10005,$B2916,①今日の在庫を貼る!$I$6:$I$10005,$I2916)&gt;0,N(U2915),N(U2915)+1))</f>
        <v>2</v>
      </c>
    </row>
    <row r="2917" customFormat="false" ht="15" hidden="false" customHeight="false" outlineLevel="0" collapsed="false">
      <c r="B2917" s="53"/>
      <c r="I2917" s="53"/>
      <c r="U2917" s="31" t="n">
        <f aca="false">IF($B2917&lt;&gt;'設定（最初に1回）'!$C$4,N(U2916),IF(COUNTIFS(①今日の在庫を貼る!$B$6:$B$10005,$B2917,①今日の在庫を貼る!$I$6:$I$10005,$I2917)&gt;0,N(U2916),N(U2916)+1))</f>
        <v>2</v>
      </c>
    </row>
    <row r="2918" customFormat="false" ht="15" hidden="false" customHeight="false" outlineLevel="0" collapsed="false">
      <c r="B2918" s="53"/>
      <c r="I2918" s="53"/>
      <c r="U2918" s="31" t="n">
        <f aca="false">IF($B2918&lt;&gt;'設定（最初に1回）'!$C$4,N(U2917),IF(COUNTIFS(①今日の在庫を貼る!$B$6:$B$10005,$B2918,①今日の在庫を貼る!$I$6:$I$10005,$I2918)&gt;0,N(U2917),N(U2917)+1))</f>
        <v>2</v>
      </c>
    </row>
    <row r="2919" customFormat="false" ht="15" hidden="false" customHeight="false" outlineLevel="0" collapsed="false">
      <c r="B2919" s="53"/>
      <c r="I2919" s="53"/>
      <c r="U2919" s="31" t="n">
        <f aca="false">IF($B2919&lt;&gt;'設定（最初に1回）'!$C$4,N(U2918),IF(COUNTIFS(①今日の在庫を貼る!$B$6:$B$10005,$B2919,①今日の在庫を貼る!$I$6:$I$10005,$I2919)&gt;0,N(U2918),N(U2918)+1))</f>
        <v>2</v>
      </c>
    </row>
    <row r="2920" customFormat="false" ht="15" hidden="false" customHeight="false" outlineLevel="0" collapsed="false">
      <c r="B2920" s="53"/>
      <c r="I2920" s="53"/>
      <c r="U2920" s="31" t="n">
        <f aca="false">IF($B2920&lt;&gt;'設定（最初に1回）'!$C$4,N(U2919),IF(COUNTIFS(①今日の在庫を貼る!$B$6:$B$10005,$B2920,①今日の在庫を貼る!$I$6:$I$10005,$I2920)&gt;0,N(U2919),N(U2919)+1))</f>
        <v>2</v>
      </c>
    </row>
    <row r="2921" customFormat="false" ht="15" hidden="false" customHeight="false" outlineLevel="0" collapsed="false">
      <c r="B2921" s="53"/>
      <c r="I2921" s="53"/>
      <c r="U2921" s="31" t="n">
        <f aca="false">IF($B2921&lt;&gt;'設定（最初に1回）'!$C$4,N(U2920),IF(COUNTIFS(①今日の在庫を貼る!$B$6:$B$10005,$B2921,①今日の在庫を貼る!$I$6:$I$10005,$I2921)&gt;0,N(U2920),N(U2920)+1))</f>
        <v>2</v>
      </c>
    </row>
    <row r="2922" customFormat="false" ht="15" hidden="false" customHeight="false" outlineLevel="0" collapsed="false">
      <c r="B2922" s="53"/>
      <c r="I2922" s="53"/>
      <c r="U2922" s="31" t="n">
        <f aca="false">IF($B2922&lt;&gt;'設定（最初に1回）'!$C$4,N(U2921),IF(COUNTIFS(①今日の在庫を貼る!$B$6:$B$10005,$B2922,①今日の在庫を貼る!$I$6:$I$10005,$I2922)&gt;0,N(U2921),N(U2921)+1))</f>
        <v>2</v>
      </c>
    </row>
    <row r="2923" customFormat="false" ht="15" hidden="false" customHeight="false" outlineLevel="0" collapsed="false">
      <c r="B2923" s="53"/>
      <c r="I2923" s="53"/>
      <c r="U2923" s="31" t="n">
        <f aca="false">IF($B2923&lt;&gt;'設定（最初に1回）'!$C$4,N(U2922),IF(COUNTIFS(①今日の在庫を貼る!$B$6:$B$10005,$B2923,①今日の在庫を貼る!$I$6:$I$10005,$I2923)&gt;0,N(U2922),N(U2922)+1))</f>
        <v>2</v>
      </c>
    </row>
    <row r="2924" customFormat="false" ht="15" hidden="false" customHeight="false" outlineLevel="0" collapsed="false">
      <c r="B2924" s="53"/>
      <c r="I2924" s="53"/>
      <c r="U2924" s="31" t="n">
        <f aca="false">IF($B2924&lt;&gt;'設定（最初に1回）'!$C$4,N(U2923),IF(COUNTIFS(①今日の在庫を貼る!$B$6:$B$10005,$B2924,①今日の在庫を貼る!$I$6:$I$10005,$I2924)&gt;0,N(U2923),N(U2923)+1))</f>
        <v>2</v>
      </c>
    </row>
    <row r="2925" customFormat="false" ht="15" hidden="false" customHeight="false" outlineLevel="0" collapsed="false">
      <c r="B2925" s="53"/>
      <c r="I2925" s="53"/>
      <c r="U2925" s="31" t="n">
        <f aca="false">IF($B2925&lt;&gt;'設定（最初に1回）'!$C$4,N(U2924),IF(COUNTIFS(①今日の在庫を貼る!$B$6:$B$10005,$B2925,①今日の在庫を貼る!$I$6:$I$10005,$I2925)&gt;0,N(U2924),N(U2924)+1))</f>
        <v>2</v>
      </c>
    </row>
    <row r="2926" customFormat="false" ht="15" hidden="false" customHeight="false" outlineLevel="0" collapsed="false">
      <c r="B2926" s="53"/>
      <c r="I2926" s="53"/>
      <c r="U2926" s="31" t="n">
        <f aca="false">IF($B2926&lt;&gt;'設定（最初に1回）'!$C$4,N(U2925),IF(COUNTIFS(①今日の在庫を貼る!$B$6:$B$10005,$B2926,①今日の在庫を貼る!$I$6:$I$10005,$I2926)&gt;0,N(U2925),N(U2925)+1))</f>
        <v>2</v>
      </c>
    </row>
    <row r="2927" customFormat="false" ht="15" hidden="false" customHeight="false" outlineLevel="0" collapsed="false">
      <c r="B2927" s="53"/>
      <c r="I2927" s="53"/>
      <c r="U2927" s="31" t="n">
        <f aca="false">IF($B2927&lt;&gt;'設定（最初に1回）'!$C$4,N(U2926),IF(COUNTIFS(①今日の在庫を貼る!$B$6:$B$10005,$B2927,①今日の在庫を貼る!$I$6:$I$10005,$I2927)&gt;0,N(U2926),N(U2926)+1))</f>
        <v>2</v>
      </c>
    </row>
    <row r="2928" customFormat="false" ht="15" hidden="false" customHeight="false" outlineLevel="0" collapsed="false">
      <c r="B2928" s="53"/>
      <c r="I2928" s="53"/>
      <c r="U2928" s="31" t="n">
        <f aca="false">IF($B2928&lt;&gt;'設定（最初に1回）'!$C$4,N(U2927),IF(COUNTIFS(①今日の在庫を貼る!$B$6:$B$10005,$B2928,①今日の在庫を貼る!$I$6:$I$10005,$I2928)&gt;0,N(U2927),N(U2927)+1))</f>
        <v>2</v>
      </c>
    </row>
    <row r="2929" customFormat="false" ht="15" hidden="false" customHeight="false" outlineLevel="0" collapsed="false">
      <c r="B2929" s="53"/>
      <c r="I2929" s="53"/>
      <c r="U2929" s="31" t="n">
        <f aca="false">IF($B2929&lt;&gt;'設定（最初に1回）'!$C$4,N(U2928),IF(COUNTIFS(①今日の在庫を貼る!$B$6:$B$10005,$B2929,①今日の在庫を貼る!$I$6:$I$10005,$I2929)&gt;0,N(U2928),N(U2928)+1))</f>
        <v>2</v>
      </c>
    </row>
    <row r="2930" customFormat="false" ht="15" hidden="false" customHeight="false" outlineLevel="0" collapsed="false">
      <c r="B2930" s="53"/>
      <c r="I2930" s="53"/>
      <c r="U2930" s="31" t="n">
        <f aca="false">IF($B2930&lt;&gt;'設定（最初に1回）'!$C$4,N(U2929),IF(COUNTIFS(①今日の在庫を貼る!$B$6:$B$10005,$B2930,①今日の在庫を貼る!$I$6:$I$10005,$I2930)&gt;0,N(U2929),N(U2929)+1))</f>
        <v>2</v>
      </c>
    </row>
    <row r="2931" customFormat="false" ht="15" hidden="false" customHeight="false" outlineLevel="0" collapsed="false">
      <c r="B2931" s="53"/>
      <c r="I2931" s="53"/>
      <c r="U2931" s="31" t="n">
        <f aca="false">IF($B2931&lt;&gt;'設定（最初に1回）'!$C$4,N(U2930),IF(COUNTIFS(①今日の在庫を貼る!$B$6:$B$10005,$B2931,①今日の在庫を貼る!$I$6:$I$10005,$I2931)&gt;0,N(U2930),N(U2930)+1))</f>
        <v>2</v>
      </c>
    </row>
    <row r="2932" customFormat="false" ht="15" hidden="false" customHeight="false" outlineLevel="0" collapsed="false">
      <c r="B2932" s="53"/>
      <c r="I2932" s="53"/>
      <c r="U2932" s="31" t="n">
        <f aca="false">IF($B2932&lt;&gt;'設定（最初に1回）'!$C$4,N(U2931),IF(COUNTIFS(①今日の在庫を貼る!$B$6:$B$10005,$B2932,①今日の在庫を貼る!$I$6:$I$10005,$I2932)&gt;0,N(U2931),N(U2931)+1))</f>
        <v>2</v>
      </c>
    </row>
    <row r="2933" customFormat="false" ht="15" hidden="false" customHeight="false" outlineLevel="0" collapsed="false">
      <c r="B2933" s="53"/>
      <c r="I2933" s="53"/>
      <c r="U2933" s="31" t="n">
        <f aca="false">IF($B2933&lt;&gt;'設定（最初に1回）'!$C$4,N(U2932),IF(COUNTIFS(①今日の在庫を貼る!$B$6:$B$10005,$B2933,①今日の在庫を貼る!$I$6:$I$10005,$I2933)&gt;0,N(U2932),N(U2932)+1))</f>
        <v>2</v>
      </c>
    </row>
    <row r="2934" customFormat="false" ht="15" hidden="false" customHeight="false" outlineLevel="0" collapsed="false">
      <c r="B2934" s="53"/>
      <c r="I2934" s="53"/>
      <c r="U2934" s="31" t="n">
        <f aca="false">IF($B2934&lt;&gt;'設定（最初に1回）'!$C$4,N(U2933),IF(COUNTIFS(①今日の在庫を貼る!$B$6:$B$10005,$B2934,①今日の在庫を貼る!$I$6:$I$10005,$I2934)&gt;0,N(U2933),N(U2933)+1))</f>
        <v>2</v>
      </c>
    </row>
    <row r="2935" customFormat="false" ht="15" hidden="false" customHeight="false" outlineLevel="0" collapsed="false">
      <c r="B2935" s="53"/>
      <c r="I2935" s="53"/>
      <c r="U2935" s="31" t="n">
        <f aca="false">IF($B2935&lt;&gt;'設定（最初に1回）'!$C$4,N(U2934),IF(COUNTIFS(①今日の在庫を貼る!$B$6:$B$10005,$B2935,①今日の在庫を貼る!$I$6:$I$10005,$I2935)&gt;0,N(U2934),N(U2934)+1))</f>
        <v>2</v>
      </c>
    </row>
    <row r="2936" customFormat="false" ht="15" hidden="false" customHeight="false" outlineLevel="0" collapsed="false">
      <c r="B2936" s="53"/>
      <c r="I2936" s="53"/>
      <c r="U2936" s="31" t="n">
        <f aca="false">IF($B2936&lt;&gt;'設定（最初に1回）'!$C$4,N(U2935),IF(COUNTIFS(①今日の在庫を貼る!$B$6:$B$10005,$B2936,①今日の在庫を貼る!$I$6:$I$10005,$I2936)&gt;0,N(U2935),N(U2935)+1))</f>
        <v>2</v>
      </c>
    </row>
    <row r="2937" customFormat="false" ht="15" hidden="false" customHeight="false" outlineLevel="0" collapsed="false">
      <c r="B2937" s="53"/>
      <c r="I2937" s="53"/>
      <c r="U2937" s="31" t="n">
        <f aca="false">IF($B2937&lt;&gt;'設定（最初に1回）'!$C$4,N(U2936),IF(COUNTIFS(①今日の在庫を貼る!$B$6:$B$10005,$B2937,①今日の在庫を貼る!$I$6:$I$10005,$I2937)&gt;0,N(U2936),N(U2936)+1))</f>
        <v>2</v>
      </c>
    </row>
    <row r="2938" customFormat="false" ht="15" hidden="false" customHeight="false" outlineLevel="0" collapsed="false">
      <c r="B2938" s="53"/>
      <c r="I2938" s="53"/>
      <c r="U2938" s="31" t="n">
        <f aca="false">IF($B2938&lt;&gt;'設定（最初に1回）'!$C$4,N(U2937),IF(COUNTIFS(①今日の在庫を貼る!$B$6:$B$10005,$B2938,①今日の在庫を貼る!$I$6:$I$10005,$I2938)&gt;0,N(U2937),N(U2937)+1))</f>
        <v>2</v>
      </c>
    </row>
    <row r="2939" customFormat="false" ht="15" hidden="false" customHeight="false" outlineLevel="0" collapsed="false">
      <c r="B2939" s="53"/>
      <c r="I2939" s="53"/>
      <c r="U2939" s="31" t="n">
        <f aca="false">IF($B2939&lt;&gt;'設定（最初に1回）'!$C$4,N(U2938),IF(COUNTIFS(①今日の在庫を貼る!$B$6:$B$10005,$B2939,①今日の在庫を貼る!$I$6:$I$10005,$I2939)&gt;0,N(U2938),N(U2938)+1))</f>
        <v>2</v>
      </c>
    </row>
    <row r="2940" customFormat="false" ht="15" hidden="false" customHeight="false" outlineLevel="0" collapsed="false">
      <c r="B2940" s="53"/>
      <c r="I2940" s="53"/>
      <c r="U2940" s="31" t="n">
        <f aca="false">IF($B2940&lt;&gt;'設定（最初に1回）'!$C$4,N(U2939),IF(COUNTIFS(①今日の在庫を貼る!$B$6:$B$10005,$B2940,①今日の在庫を貼る!$I$6:$I$10005,$I2940)&gt;0,N(U2939),N(U2939)+1))</f>
        <v>2</v>
      </c>
    </row>
    <row r="2941" customFormat="false" ht="15" hidden="false" customHeight="false" outlineLevel="0" collapsed="false">
      <c r="B2941" s="53"/>
      <c r="I2941" s="53"/>
      <c r="U2941" s="31" t="n">
        <f aca="false">IF($B2941&lt;&gt;'設定（最初に1回）'!$C$4,N(U2940),IF(COUNTIFS(①今日の在庫を貼る!$B$6:$B$10005,$B2941,①今日の在庫を貼る!$I$6:$I$10005,$I2941)&gt;0,N(U2940),N(U2940)+1))</f>
        <v>2</v>
      </c>
    </row>
    <row r="2942" customFormat="false" ht="15" hidden="false" customHeight="false" outlineLevel="0" collapsed="false">
      <c r="B2942" s="53"/>
      <c r="I2942" s="53"/>
      <c r="U2942" s="31" t="n">
        <f aca="false">IF($B2942&lt;&gt;'設定（最初に1回）'!$C$4,N(U2941),IF(COUNTIFS(①今日の在庫を貼る!$B$6:$B$10005,$B2942,①今日の在庫を貼る!$I$6:$I$10005,$I2942)&gt;0,N(U2941),N(U2941)+1))</f>
        <v>2</v>
      </c>
    </row>
    <row r="2943" customFormat="false" ht="15" hidden="false" customHeight="false" outlineLevel="0" collapsed="false">
      <c r="B2943" s="53"/>
      <c r="I2943" s="53"/>
      <c r="U2943" s="31" t="n">
        <f aca="false">IF($B2943&lt;&gt;'設定（最初に1回）'!$C$4,N(U2942),IF(COUNTIFS(①今日の在庫を貼る!$B$6:$B$10005,$B2943,①今日の在庫を貼る!$I$6:$I$10005,$I2943)&gt;0,N(U2942),N(U2942)+1))</f>
        <v>2</v>
      </c>
    </row>
    <row r="2944" customFormat="false" ht="15" hidden="false" customHeight="false" outlineLevel="0" collapsed="false">
      <c r="B2944" s="53"/>
      <c r="I2944" s="53"/>
      <c r="U2944" s="31" t="n">
        <f aca="false">IF($B2944&lt;&gt;'設定（最初に1回）'!$C$4,N(U2943),IF(COUNTIFS(①今日の在庫を貼る!$B$6:$B$10005,$B2944,①今日の在庫を貼る!$I$6:$I$10005,$I2944)&gt;0,N(U2943),N(U2943)+1))</f>
        <v>2</v>
      </c>
    </row>
    <row r="2945" customFormat="false" ht="15" hidden="false" customHeight="false" outlineLevel="0" collapsed="false">
      <c r="B2945" s="53"/>
      <c r="I2945" s="53"/>
      <c r="U2945" s="31" t="n">
        <f aca="false">IF($B2945&lt;&gt;'設定（最初に1回）'!$C$4,N(U2944),IF(COUNTIFS(①今日の在庫を貼る!$B$6:$B$10005,$B2945,①今日の在庫を貼る!$I$6:$I$10005,$I2945)&gt;0,N(U2944),N(U2944)+1))</f>
        <v>2</v>
      </c>
    </row>
    <row r="2946" customFormat="false" ht="15" hidden="false" customHeight="false" outlineLevel="0" collapsed="false">
      <c r="B2946" s="53"/>
      <c r="I2946" s="53"/>
      <c r="U2946" s="31" t="n">
        <f aca="false">IF($B2946&lt;&gt;'設定（最初に1回）'!$C$4,N(U2945),IF(COUNTIFS(①今日の在庫を貼る!$B$6:$B$10005,$B2946,①今日の在庫を貼る!$I$6:$I$10005,$I2946)&gt;0,N(U2945),N(U2945)+1))</f>
        <v>2</v>
      </c>
    </row>
    <row r="2947" customFormat="false" ht="15" hidden="false" customHeight="false" outlineLevel="0" collapsed="false">
      <c r="B2947" s="53"/>
      <c r="I2947" s="53"/>
      <c r="U2947" s="31" t="n">
        <f aca="false">IF($B2947&lt;&gt;'設定（最初に1回）'!$C$4,N(U2946),IF(COUNTIFS(①今日の在庫を貼る!$B$6:$B$10005,$B2947,①今日の在庫を貼る!$I$6:$I$10005,$I2947)&gt;0,N(U2946),N(U2946)+1))</f>
        <v>2</v>
      </c>
    </row>
    <row r="2948" customFormat="false" ht="15" hidden="false" customHeight="false" outlineLevel="0" collapsed="false">
      <c r="B2948" s="53"/>
      <c r="I2948" s="53"/>
      <c r="U2948" s="31" t="n">
        <f aca="false">IF($B2948&lt;&gt;'設定（最初に1回）'!$C$4,N(U2947),IF(COUNTIFS(①今日の在庫を貼る!$B$6:$B$10005,$B2948,①今日の在庫を貼る!$I$6:$I$10005,$I2948)&gt;0,N(U2947),N(U2947)+1))</f>
        <v>2</v>
      </c>
    </row>
    <row r="2949" customFormat="false" ht="15" hidden="false" customHeight="false" outlineLevel="0" collapsed="false">
      <c r="B2949" s="53"/>
      <c r="I2949" s="53"/>
      <c r="U2949" s="31" t="n">
        <f aca="false">IF($B2949&lt;&gt;'設定（最初に1回）'!$C$4,N(U2948),IF(COUNTIFS(①今日の在庫を貼る!$B$6:$B$10005,$B2949,①今日の在庫を貼る!$I$6:$I$10005,$I2949)&gt;0,N(U2948),N(U2948)+1))</f>
        <v>2</v>
      </c>
    </row>
    <row r="2950" customFormat="false" ht="15" hidden="false" customHeight="false" outlineLevel="0" collapsed="false">
      <c r="B2950" s="53"/>
      <c r="I2950" s="53"/>
      <c r="U2950" s="31" t="n">
        <f aca="false">IF($B2950&lt;&gt;'設定（最初に1回）'!$C$4,N(U2949),IF(COUNTIFS(①今日の在庫を貼る!$B$6:$B$10005,$B2950,①今日の在庫を貼る!$I$6:$I$10005,$I2950)&gt;0,N(U2949),N(U2949)+1))</f>
        <v>2</v>
      </c>
    </row>
    <row r="2951" customFormat="false" ht="15" hidden="false" customHeight="false" outlineLevel="0" collapsed="false">
      <c r="B2951" s="53"/>
      <c r="I2951" s="53"/>
      <c r="U2951" s="31" t="n">
        <f aca="false">IF($B2951&lt;&gt;'設定（最初に1回）'!$C$4,N(U2950),IF(COUNTIFS(①今日の在庫を貼る!$B$6:$B$10005,$B2951,①今日の在庫を貼る!$I$6:$I$10005,$I2951)&gt;0,N(U2950),N(U2950)+1))</f>
        <v>2</v>
      </c>
    </row>
    <row r="2952" customFormat="false" ht="15" hidden="false" customHeight="false" outlineLevel="0" collapsed="false">
      <c r="B2952" s="53"/>
      <c r="I2952" s="53"/>
      <c r="U2952" s="31" t="n">
        <f aca="false">IF($B2952&lt;&gt;'設定（最初に1回）'!$C$4,N(U2951),IF(COUNTIFS(①今日の在庫を貼る!$B$6:$B$10005,$B2952,①今日の在庫を貼る!$I$6:$I$10005,$I2952)&gt;0,N(U2951),N(U2951)+1))</f>
        <v>2</v>
      </c>
    </row>
    <row r="2953" customFormat="false" ht="15" hidden="false" customHeight="false" outlineLevel="0" collapsed="false">
      <c r="B2953" s="53"/>
      <c r="I2953" s="53"/>
      <c r="U2953" s="31" t="n">
        <f aca="false">IF($B2953&lt;&gt;'設定（最初に1回）'!$C$4,N(U2952),IF(COUNTIFS(①今日の在庫を貼る!$B$6:$B$10005,$B2953,①今日の在庫を貼る!$I$6:$I$10005,$I2953)&gt;0,N(U2952),N(U2952)+1))</f>
        <v>2</v>
      </c>
    </row>
    <row r="2954" customFormat="false" ht="15" hidden="false" customHeight="false" outlineLevel="0" collapsed="false">
      <c r="B2954" s="53"/>
      <c r="I2954" s="53"/>
      <c r="U2954" s="31" t="n">
        <f aca="false">IF($B2954&lt;&gt;'設定（最初に1回）'!$C$4,N(U2953),IF(COUNTIFS(①今日の在庫を貼る!$B$6:$B$10005,$B2954,①今日の在庫を貼る!$I$6:$I$10005,$I2954)&gt;0,N(U2953),N(U2953)+1))</f>
        <v>2</v>
      </c>
    </row>
    <row r="2955" customFormat="false" ht="15" hidden="false" customHeight="false" outlineLevel="0" collapsed="false">
      <c r="B2955" s="53"/>
      <c r="I2955" s="53"/>
      <c r="U2955" s="31" t="n">
        <f aca="false">IF($B2955&lt;&gt;'設定（最初に1回）'!$C$4,N(U2954),IF(COUNTIFS(①今日の在庫を貼る!$B$6:$B$10005,$B2955,①今日の在庫を貼る!$I$6:$I$10005,$I2955)&gt;0,N(U2954),N(U2954)+1))</f>
        <v>2</v>
      </c>
    </row>
    <row r="2956" customFormat="false" ht="15" hidden="false" customHeight="false" outlineLevel="0" collapsed="false">
      <c r="B2956" s="53"/>
      <c r="I2956" s="53"/>
      <c r="U2956" s="31" t="n">
        <f aca="false">IF($B2956&lt;&gt;'設定（最初に1回）'!$C$4,N(U2955),IF(COUNTIFS(①今日の在庫を貼る!$B$6:$B$10005,$B2956,①今日の在庫を貼る!$I$6:$I$10005,$I2956)&gt;0,N(U2955),N(U2955)+1))</f>
        <v>2</v>
      </c>
    </row>
    <row r="2957" customFormat="false" ht="15" hidden="false" customHeight="false" outlineLevel="0" collapsed="false">
      <c r="B2957" s="53"/>
      <c r="I2957" s="53"/>
      <c r="U2957" s="31" t="n">
        <f aca="false">IF($B2957&lt;&gt;'設定（最初に1回）'!$C$4,N(U2956),IF(COUNTIFS(①今日の在庫を貼る!$B$6:$B$10005,$B2957,①今日の在庫を貼る!$I$6:$I$10005,$I2957)&gt;0,N(U2956),N(U2956)+1))</f>
        <v>2</v>
      </c>
    </row>
    <row r="2958" customFormat="false" ht="15" hidden="false" customHeight="false" outlineLevel="0" collapsed="false">
      <c r="B2958" s="53"/>
      <c r="I2958" s="53"/>
      <c r="U2958" s="31" t="n">
        <f aca="false">IF($B2958&lt;&gt;'設定（最初に1回）'!$C$4,N(U2957),IF(COUNTIFS(①今日の在庫を貼る!$B$6:$B$10005,$B2958,①今日の在庫を貼る!$I$6:$I$10005,$I2958)&gt;0,N(U2957),N(U2957)+1))</f>
        <v>2</v>
      </c>
    </row>
    <row r="2959" customFormat="false" ht="15" hidden="false" customHeight="false" outlineLevel="0" collapsed="false">
      <c r="B2959" s="53"/>
      <c r="I2959" s="53"/>
      <c r="U2959" s="31" t="n">
        <f aca="false">IF($B2959&lt;&gt;'設定（最初に1回）'!$C$4,N(U2958),IF(COUNTIFS(①今日の在庫を貼る!$B$6:$B$10005,$B2959,①今日の在庫を貼る!$I$6:$I$10005,$I2959)&gt;0,N(U2958),N(U2958)+1))</f>
        <v>2</v>
      </c>
    </row>
    <row r="2960" customFormat="false" ht="15" hidden="false" customHeight="false" outlineLevel="0" collapsed="false">
      <c r="B2960" s="53"/>
      <c r="I2960" s="53"/>
      <c r="U2960" s="31" t="n">
        <f aca="false">IF($B2960&lt;&gt;'設定（最初に1回）'!$C$4,N(U2959),IF(COUNTIFS(①今日の在庫を貼る!$B$6:$B$10005,$B2960,①今日の在庫を貼る!$I$6:$I$10005,$I2960)&gt;0,N(U2959),N(U2959)+1))</f>
        <v>2</v>
      </c>
    </row>
    <row r="2961" customFormat="false" ht="15" hidden="false" customHeight="false" outlineLevel="0" collapsed="false">
      <c r="B2961" s="53"/>
      <c r="I2961" s="53"/>
      <c r="U2961" s="31" t="n">
        <f aca="false">IF($B2961&lt;&gt;'設定（最初に1回）'!$C$4,N(U2960),IF(COUNTIFS(①今日の在庫を貼る!$B$6:$B$10005,$B2961,①今日の在庫を貼る!$I$6:$I$10005,$I2961)&gt;0,N(U2960),N(U2960)+1))</f>
        <v>2</v>
      </c>
    </row>
    <row r="2962" customFormat="false" ht="15" hidden="false" customHeight="false" outlineLevel="0" collapsed="false">
      <c r="B2962" s="53"/>
      <c r="I2962" s="53"/>
      <c r="U2962" s="31" t="n">
        <f aca="false">IF($B2962&lt;&gt;'設定（最初に1回）'!$C$4,N(U2961),IF(COUNTIFS(①今日の在庫を貼る!$B$6:$B$10005,$B2962,①今日の在庫を貼る!$I$6:$I$10005,$I2962)&gt;0,N(U2961),N(U2961)+1))</f>
        <v>2</v>
      </c>
    </row>
    <row r="2963" customFormat="false" ht="15" hidden="false" customHeight="false" outlineLevel="0" collapsed="false">
      <c r="B2963" s="53"/>
      <c r="I2963" s="53"/>
      <c r="U2963" s="31" t="n">
        <f aca="false">IF($B2963&lt;&gt;'設定（最初に1回）'!$C$4,N(U2962),IF(COUNTIFS(①今日の在庫を貼る!$B$6:$B$10005,$B2963,①今日の在庫を貼る!$I$6:$I$10005,$I2963)&gt;0,N(U2962),N(U2962)+1))</f>
        <v>2</v>
      </c>
    </row>
    <row r="2964" customFormat="false" ht="15" hidden="false" customHeight="false" outlineLevel="0" collapsed="false">
      <c r="B2964" s="53"/>
      <c r="I2964" s="53"/>
      <c r="U2964" s="31" t="n">
        <f aca="false">IF($B2964&lt;&gt;'設定（最初に1回）'!$C$4,N(U2963),IF(COUNTIFS(①今日の在庫を貼る!$B$6:$B$10005,$B2964,①今日の在庫を貼る!$I$6:$I$10005,$I2964)&gt;0,N(U2963),N(U2963)+1))</f>
        <v>2</v>
      </c>
    </row>
    <row r="2965" customFormat="false" ht="15" hidden="false" customHeight="false" outlineLevel="0" collapsed="false">
      <c r="B2965" s="53"/>
      <c r="I2965" s="53"/>
      <c r="U2965" s="31" t="n">
        <f aca="false">IF($B2965&lt;&gt;'設定（最初に1回）'!$C$4,N(U2964),IF(COUNTIFS(①今日の在庫を貼る!$B$6:$B$10005,$B2965,①今日の在庫を貼る!$I$6:$I$10005,$I2965)&gt;0,N(U2964),N(U2964)+1))</f>
        <v>2</v>
      </c>
    </row>
    <row r="2966" customFormat="false" ht="15" hidden="false" customHeight="false" outlineLevel="0" collapsed="false">
      <c r="B2966" s="53"/>
      <c r="I2966" s="53"/>
      <c r="U2966" s="31" t="n">
        <f aca="false">IF($B2966&lt;&gt;'設定（最初に1回）'!$C$4,N(U2965),IF(COUNTIFS(①今日の在庫を貼る!$B$6:$B$10005,$B2966,①今日の在庫を貼る!$I$6:$I$10005,$I2966)&gt;0,N(U2965),N(U2965)+1))</f>
        <v>2</v>
      </c>
    </row>
    <row r="2967" customFormat="false" ht="15" hidden="false" customHeight="false" outlineLevel="0" collapsed="false">
      <c r="B2967" s="53"/>
      <c r="I2967" s="53"/>
      <c r="U2967" s="31" t="n">
        <f aca="false">IF($B2967&lt;&gt;'設定（最初に1回）'!$C$4,N(U2966),IF(COUNTIFS(①今日の在庫を貼る!$B$6:$B$10005,$B2967,①今日の在庫を貼る!$I$6:$I$10005,$I2967)&gt;0,N(U2966),N(U2966)+1))</f>
        <v>2</v>
      </c>
    </row>
    <row r="2968" customFormat="false" ht="15" hidden="false" customHeight="false" outlineLevel="0" collapsed="false">
      <c r="B2968" s="53"/>
      <c r="I2968" s="53"/>
      <c r="U2968" s="31" t="n">
        <f aca="false">IF($B2968&lt;&gt;'設定（最初に1回）'!$C$4,N(U2967),IF(COUNTIFS(①今日の在庫を貼る!$B$6:$B$10005,$B2968,①今日の在庫を貼る!$I$6:$I$10005,$I2968)&gt;0,N(U2967),N(U2967)+1))</f>
        <v>2</v>
      </c>
    </row>
    <row r="2969" customFormat="false" ht="15" hidden="false" customHeight="false" outlineLevel="0" collapsed="false">
      <c r="B2969" s="53"/>
      <c r="I2969" s="53"/>
      <c r="U2969" s="31" t="n">
        <f aca="false">IF($B2969&lt;&gt;'設定（最初に1回）'!$C$4,N(U2968),IF(COUNTIFS(①今日の在庫を貼る!$B$6:$B$10005,$B2969,①今日の在庫を貼る!$I$6:$I$10005,$I2969)&gt;0,N(U2968),N(U2968)+1))</f>
        <v>2</v>
      </c>
    </row>
    <row r="2970" customFormat="false" ht="15" hidden="false" customHeight="false" outlineLevel="0" collapsed="false">
      <c r="B2970" s="53"/>
      <c r="I2970" s="53"/>
      <c r="U2970" s="31" t="n">
        <f aca="false">IF($B2970&lt;&gt;'設定（最初に1回）'!$C$4,N(U2969),IF(COUNTIFS(①今日の在庫を貼る!$B$6:$B$10005,$B2970,①今日の在庫を貼る!$I$6:$I$10005,$I2970)&gt;0,N(U2969),N(U2969)+1))</f>
        <v>2</v>
      </c>
    </row>
    <row r="2971" customFormat="false" ht="15" hidden="false" customHeight="false" outlineLevel="0" collapsed="false">
      <c r="B2971" s="53"/>
      <c r="I2971" s="53"/>
      <c r="U2971" s="31" t="n">
        <f aca="false">IF($B2971&lt;&gt;'設定（最初に1回）'!$C$4,N(U2970),IF(COUNTIFS(①今日の在庫を貼る!$B$6:$B$10005,$B2971,①今日の在庫を貼る!$I$6:$I$10005,$I2971)&gt;0,N(U2970),N(U2970)+1))</f>
        <v>2</v>
      </c>
    </row>
    <row r="2972" customFormat="false" ht="15" hidden="false" customHeight="false" outlineLevel="0" collapsed="false">
      <c r="B2972" s="53"/>
      <c r="I2972" s="53"/>
      <c r="U2972" s="31" t="n">
        <f aca="false">IF($B2972&lt;&gt;'設定（最初に1回）'!$C$4,N(U2971),IF(COUNTIFS(①今日の在庫を貼る!$B$6:$B$10005,$B2972,①今日の在庫を貼る!$I$6:$I$10005,$I2972)&gt;0,N(U2971),N(U2971)+1))</f>
        <v>2</v>
      </c>
    </row>
    <row r="2973" customFormat="false" ht="15" hidden="false" customHeight="false" outlineLevel="0" collapsed="false">
      <c r="B2973" s="53"/>
      <c r="I2973" s="53"/>
      <c r="U2973" s="31" t="n">
        <f aca="false">IF($B2973&lt;&gt;'設定（最初に1回）'!$C$4,N(U2972),IF(COUNTIFS(①今日の在庫を貼る!$B$6:$B$10005,$B2973,①今日の在庫を貼る!$I$6:$I$10005,$I2973)&gt;0,N(U2972),N(U2972)+1))</f>
        <v>2</v>
      </c>
    </row>
    <row r="2974" customFormat="false" ht="15" hidden="false" customHeight="false" outlineLevel="0" collapsed="false">
      <c r="B2974" s="53"/>
      <c r="I2974" s="53"/>
      <c r="U2974" s="31" t="n">
        <f aca="false">IF($B2974&lt;&gt;'設定（最初に1回）'!$C$4,N(U2973),IF(COUNTIFS(①今日の在庫を貼る!$B$6:$B$10005,$B2974,①今日の在庫を貼る!$I$6:$I$10005,$I2974)&gt;0,N(U2973),N(U2973)+1))</f>
        <v>2</v>
      </c>
    </row>
    <row r="2975" customFormat="false" ht="15" hidden="false" customHeight="false" outlineLevel="0" collapsed="false">
      <c r="B2975" s="53"/>
      <c r="I2975" s="53"/>
      <c r="U2975" s="31" t="n">
        <f aca="false">IF($B2975&lt;&gt;'設定（最初に1回）'!$C$4,N(U2974),IF(COUNTIFS(①今日の在庫を貼る!$B$6:$B$10005,$B2975,①今日の在庫を貼る!$I$6:$I$10005,$I2975)&gt;0,N(U2974),N(U2974)+1))</f>
        <v>2</v>
      </c>
    </row>
    <row r="2976" customFormat="false" ht="15" hidden="false" customHeight="false" outlineLevel="0" collapsed="false">
      <c r="B2976" s="53"/>
      <c r="I2976" s="53"/>
      <c r="U2976" s="31" t="n">
        <f aca="false">IF($B2976&lt;&gt;'設定（最初に1回）'!$C$4,N(U2975),IF(COUNTIFS(①今日の在庫を貼る!$B$6:$B$10005,$B2976,①今日の在庫を貼る!$I$6:$I$10005,$I2976)&gt;0,N(U2975),N(U2975)+1))</f>
        <v>2</v>
      </c>
    </row>
    <row r="2977" customFormat="false" ht="15" hidden="false" customHeight="false" outlineLevel="0" collapsed="false">
      <c r="B2977" s="53"/>
      <c r="I2977" s="53"/>
      <c r="U2977" s="31" t="n">
        <f aca="false">IF($B2977&lt;&gt;'設定（最初に1回）'!$C$4,N(U2976),IF(COUNTIFS(①今日の在庫を貼る!$B$6:$B$10005,$B2977,①今日の在庫を貼る!$I$6:$I$10005,$I2977)&gt;0,N(U2976),N(U2976)+1))</f>
        <v>2</v>
      </c>
    </row>
    <row r="2978" customFormat="false" ht="15" hidden="false" customHeight="false" outlineLevel="0" collapsed="false">
      <c r="B2978" s="53"/>
      <c r="I2978" s="53"/>
      <c r="U2978" s="31" t="n">
        <f aca="false">IF($B2978&lt;&gt;'設定（最初に1回）'!$C$4,N(U2977),IF(COUNTIFS(①今日の在庫を貼る!$B$6:$B$10005,$B2978,①今日の在庫を貼る!$I$6:$I$10005,$I2978)&gt;0,N(U2977),N(U2977)+1))</f>
        <v>2</v>
      </c>
    </row>
    <row r="2979" customFormat="false" ht="15" hidden="false" customHeight="false" outlineLevel="0" collapsed="false">
      <c r="B2979" s="53"/>
      <c r="I2979" s="53"/>
      <c r="U2979" s="31" t="n">
        <f aca="false">IF($B2979&lt;&gt;'設定（最初に1回）'!$C$4,N(U2978),IF(COUNTIFS(①今日の在庫を貼る!$B$6:$B$10005,$B2979,①今日の在庫を貼る!$I$6:$I$10005,$I2979)&gt;0,N(U2978),N(U2978)+1))</f>
        <v>2</v>
      </c>
    </row>
    <row r="2980" customFormat="false" ht="15" hidden="false" customHeight="false" outlineLevel="0" collapsed="false">
      <c r="B2980" s="53"/>
      <c r="I2980" s="53"/>
      <c r="U2980" s="31" t="n">
        <f aca="false">IF($B2980&lt;&gt;'設定（最初に1回）'!$C$4,N(U2979),IF(COUNTIFS(①今日の在庫を貼る!$B$6:$B$10005,$B2980,①今日の在庫を貼る!$I$6:$I$10005,$I2980)&gt;0,N(U2979),N(U2979)+1))</f>
        <v>2</v>
      </c>
    </row>
    <row r="2981" customFormat="false" ht="15" hidden="false" customHeight="false" outlineLevel="0" collapsed="false">
      <c r="B2981" s="53"/>
      <c r="I2981" s="53"/>
      <c r="U2981" s="31" t="n">
        <f aca="false">IF($B2981&lt;&gt;'設定（最初に1回）'!$C$4,N(U2980),IF(COUNTIFS(①今日の在庫を貼る!$B$6:$B$10005,$B2981,①今日の在庫を貼る!$I$6:$I$10005,$I2981)&gt;0,N(U2980),N(U2980)+1))</f>
        <v>2</v>
      </c>
    </row>
    <row r="2982" customFormat="false" ht="15" hidden="false" customHeight="false" outlineLevel="0" collapsed="false">
      <c r="B2982" s="53"/>
      <c r="I2982" s="53"/>
      <c r="U2982" s="31" t="n">
        <f aca="false">IF($B2982&lt;&gt;'設定（最初に1回）'!$C$4,N(U2981),IF(COUNTIFS(①今日の在庫を貼る!$B$6:$B$10005,$B2982,①今日の在庫を貼る!$I$6:$I$10005,$I2982)&gt;0,N(U2981),N(U2981)+1))</f>
        <v>2</v>
      </c>
    </row>
    <row r="2983" customFormat="false" ht="15" hidden="false" customHeight="false" outlineLevel="0" collapsed="false">
      <c r="B2983" s="53"/>
      <c r="I2983" s="53"/>
      <c r="U2983" s="31" t="n">
        <f aca="false">IF($B2983&lt;&gt;'設定（最初に1回）'!$C$4,N(U2982),IF(COUNTIFS(①今日の在庫を貼る!$B$6:$B$10005,$B2983,①今日の在庫を貼る!$I$6:$I$10005,$I2983)&gt;0,N(U2982),N(U2982)+1))</f>
        <v>2</v>
      </c>
    </row>
    <row r="2984" customFormat="false" ht="15" hidden="false" customHeight="false" outlineLevel="0" collapsed="false">
      <c r="B2984" s="53"/>
      <c r="I2984" s="53"/>
      <c r="U2984" s="31" t="n">
        <f aca="false">IF($B2984&lt;&gt;'設定（最初に1回）'!$C$4,N(U2983),IF(COUNTIFS(①今日の在庫を貼る!$B$6:$B$10005,$B2984,①今日の在庫を貼る!$I$6:$I$10005,$I2984)&gt;0,N(U2983),N(U2983)+1))</f>
        <v>2</v>
      </c>
    </row>
    <row r="2985" customFormat="false" ht="15" hidden="false" customHeight="false" outlineLevel="0" collapsed="false">
      <c r="B2985" s="53"/>
      <c r="I2985" s="53"/>
      <c r="U2985" s="31" t="n">
        <f aca="false">IF($B2985&lt;&gt;'設定（最初に1回）'!$C$4,N(U2984),IF(COUNTIFS(①今日の在庫を貼る!$B$6:$B$10005,$B2985,①今日の在庫を貼る!$I$6:$I$10005,$I2985)&gt;0,N(U2984),N(U2984)+1))</f>
        <v>2</v>
      </c>
    </row>
    <row r="2986" customFormat="false" ht="15" hidden="false" customHeight="false" outlineLevel="0" collapsed="false">
      <c r="B2986" s="53"/>
      <c r="I2986" s="53"/>
      <c r="U2986" s="31" t="n">
        <f aca="false">IF($B2986&lt;&gt;'設定（最初に1回）'!$C$4,N(U2985),IF(COUNTIFS(①今日の在庫を貼る!$B$6:$B$10005,$B2986,①今日の在庫を貼る!$I$6:$I$10005,$I2986)&gt;0,N(U2985),N(U2985)+1))</f>
        <v>2</v>
      </c>
    </row>
    <row r="2987" customFormat="false" ht="15" hidden="false" customHeight="false" outlineLevel="0" collapsed="false">
      <c r="B2987" s="53"/>
      <c r="I2987" s="53"/>
      <c r="U2987" s="31" t="n">
        <f aca="false">IF($B2987&lt;&gt;'設定（最初に1回）'!$C$4,N(U2986),IF(COUNTIFS(①今日の在庫を貼る!$B$6:$B$10005,$B2987,①今日の在庫を貼る!$I$6:$I$10005,$I2987)&gt;0,N(U2986),N(U2986)+1))</f>
        <v>2</v>
      </c>
    </row>
    <row r="2988" customFormat="false" ht="15" hidden="false" customHeight="false" outlineLevel="0" collapsed="false">
      <c r="B2988" s="53"/>
      <c r="I2988" s="53"/>
      <c r="U2988" s="31" t="n">
        <f aca="false">IF($B2988&lt;&gt;'設定（最初に1回）'!$C$4,N(U2987),IF(COUNTIFS(①今日の在庫を貼る!$B$6:$B$10005,$B2988,①今日の在庫を貼る!$I$6:$I$10005,$I2988)&gt;0,N(U2987),N(U2987)+1))</f>
        <v>2</v>
      </c>
    </row>
    <row r="2989" customFormat="false" ht="15" hidden="false" customHeight="false" outlineLevel="0" collapsed="false">
      <c r="B2989" s="53"/>
      <c r="I2989" s="53"/>
      <c r="U2989" s="31" t="n">
        <f aca="false">IF($B2989&lt;&gt;'設定（最初に1回）'!$C$4,N(U2988),IF(COUNTIFS(①今日の在庫を貼る!$B$6:$B$10005,$B2989,①今日の在庫を貼る!$I$6:$I$10005,$I2989)&gt;0,N(U2988),N(U2988)+1))</f>
        <v>2</v>
      </c>
    </row>
    <row r="2990" customFormat="false" ht="15" hidden="false" customHeight="false" outlineLevel="0" collapsed="false">
      <c r="B2990" s="53"/>
      <c r="I2990" s="53"/>
      <c r="U2990" s="31" t="n">
        <f aca="false">IF($B2990&lt;&gt;'設定（最初に1回）'!$C$4,N(U2989),IF(COUNTIFS(①今日の在庫を貼る!$B$6:$B$10005,$B2990,①今日の在庫を貼る!$I$6:$I$10005,$I2990)&gt;0,N(U2989),N(U2989)+1))</f>
        <v>2</v>
      </c>
    </row>
    <row r="2991" customFormat="false" ht="15" hidden="false" customHeight="false" outlineLevel="0" collapsed="false">
      <c r="B2991" s="53"/>
      <c r="I2991" s="53"/>
      <c r="U2991" s="31" t="n">
        <f aca="false">IF($B2991&lt;&gt;'設定（最初に1回）'!$C$4,N(U2990),IF(COUNTIFS(①今日の在庫を貼る!$B$6:$B$10005,$B2991,①今日の在庫を貼る!$I$6:$I$10005,$I2991)&gt;0,N(U2990),N(U2990)+1))</f>
        <v>2</v>
      </c>
    </row>
    <row r="2992" customFormat="false" ht="15" hidden="false" customHeight="false" outlineLevel="0" collapsed="false">
      <c r="B2992" s="53"/>
      <c r="I2992" s="53"/>
      <c r="U2992" s="31" t="n">
        <f aca="false">IF($B2992&lt;&gt;'設定（最初に1回）'!$C$4,N(U2991),IF(COUNTIFS(①今日の在庫を貼る!$B$6:$B$10005,$B2992,①今日の在庫を貼る!$I$6:$I$10005,$I2992)&gt;0,N(U2991),N(U2991)+1))</f>
        <v>2</v>
      </c>
    </row>
    <row r="2993" customFormat="false" ht="15" hidden="false" customHeight="false" outlineLevel="0" collapsed="false">
      <c r="B2993" s="53"/>
      <c r="I2993" s="53"/>
      <c r="U2993" s="31" t="n">
        <f aca="false">IF($B2993&lt;&gt;'設定（最初に1回）'!$C$4,N(U2992),IF(COUNTIFS(①今日の在庫を貼る!$B$6:$B$10005,$B2993,①今日の在庫を貼る!$I$6:$I$10005,$I2993)&gt;0,N(U2992),N(U2992)+1))</f>
        <v>2</v>
      </c>
    </row>
    <row r="2994" customFormat="false" ht="15" hidden="false" customHeight="false" outlineLevel="0" collapsed="false">
      <c r="B2994" s="53"/>
      <c r="I2994" s="53"/>
      <c r="U2994" s="31" t="n">
        <f aca="false">IF($B2994&lt;&gt;'設定（最初に1回）'!$C$4,N(U2993),IF(COUNTIFS(①今日の在庫を貼る!$B$6:$B$10005,$B2994,①今日の在庫を貼る!$I$6:$I$10005,$I2994)&gt;0,N(U2993),N(U2993)+1))</f>
        <v>2</v>
      </c>
    </row>
    <row r="2995" customFormat="false" ht="15" hidden="false" customHeight="false" outlineLevel="0" collapsed="false">
      <c r="B2995" s="53"/>
      <c r="I2995" s="53"/>
      <c r="U2995" s="31" t="n">
        <f aca="false">IF($B2995&lt;&gt;'設定（最初に1回）'!$C$4,N(U2994),IF(COUNTIFS(①今日の在庫を貼る!$B$6:$B$10005,$B2995,①今日の在庫を貼る!$I$6:$I$10005,$I2995)&gt;0,N(U2994),N(U2994)+1))</f>
        <v>2</v>
      </c>
    </row>
    <row r="2996" customFormat="false" ht="15" hidden="false" customHeight="false" outlineLevel="0" collapsed="false">
      <c r="B2996" s="53"/>
      <c r="I2996" s="53"/>
      <c r="U2996" s="31" t="n">
        <f aca="false">IF($B2996&lt;&gt;'設定（最初に1回）'!$C$4,N(U2995),IF(COUNTIFS(①今日の在庫を貼る!$B$6:$B$10005,$B2996,①今日の在庫を貼る!$I$6:$I$10005,$I2996)&gt;0,N(U2995),N(U2995)+1))</f>
        <v>2</v>
      </c>
    </row>
    <row r="2997" customFormat="false" ht="15" hidden="false" customHeight="false" outlineLevel="0" collapsed="false">
      <c r="B2997" s="53"/>
      <c r="I2997" s="53"/>
      <c r="U2997" s="31" t="n">
        <f aca="false">IF($B2997&lt;&gt;'設定（最初に1回）'!$C$4,N(U2996),IF(COUNTIFS(①今日の在庫を貼る!$B$6:$B$10005,$B2997,①今日の在庫を貼る!$I$6:$I$10005,$I2997)&gt;0,N(U2996),N(U2996)+1))</f>
        <v>2</v>
      </c>
    </row>
    <row r="2998" customFormat="false" ht="15" hidden="false" customHeight="false" outlineLevel="0" collapsed="false">
      <c r="B2998" s="53"/>
      <c r="I2998" s="53"/>
      <c r="U2998" s="31" t="n">
        <f aca="false">IF($B2998&lt;&gt;'設定（最初に1回）'!$C$4,N(U2997),IF(COUNTIFS(①今日の在庫を貼る!$B$6:$B$10005,$B2998,①今日の在庫を貼る!$I$6:$I$10005,$I2998)&gt;0,N(U2997),N(U2997)+1))</f>
        <v>2</v>
      </c>
    </row>
    <row r="2999" customFormat="false" ht="15" hidden="false" customHeight="false" outlineLevel="0" collapsed="false">
      <c r="B2999" s="53"/>
      <c r="I2999" s="53"/>
      <c r="U2999" s="31" t="n">
        <f aca="false">IF($B2999&lt;&gt;'設定（最初に1回）'!$C$4,N(U2998),IF(COUNTIFS(①今日の在庫を貼る!$B$6:$B$10005,$B2999,①今日の在庫を貼る!$I$6:$I$10005,$I2999)&gt;0,N(U2998),N(U2998)+1))</f>
        <v>2</v>
      </c>
    </row>
    <row r="3000" customFormat="false" ht="15" hidden="false" customHeight="false" outlineLevel="0" collapsed="false">
      <c r="B3000" s="53"/>
      <c r="I3000" s="53"/>
      <c r="U3000" s="31" t="n">
        <f aca="false">IF($B3000&lt;&gt;'設定（最初に1回）'!$C$4,N(U2999),IF(COUNTIFS(①今日の在庫を貼る!$B$6:$B$10005,$B3000,①今日の在庫を貼る!$I$6:$I$10005,$I3000)&gt;0,N(U2999),N(U2999)+1))</f>
        <v>2</v>
      </c>
    </row>
    <row r="3001" customFormat="false" ht="15" hidden="false" customHeight="false" outlineLevel="0" collapsed="false">
      <c r="B3001" s="53"/>
      <c r="I3001" s="53"/>
      <c r="U3001" s="31" t="n">
        <f aca="false">IF($B3001&lt;&gt;'設定（最初に1回）'!$C$4,N(U3000),IF(COUNTIFS(①今日の在庫を貼る!$B$6:$B$10005,$B3001,①今日の在庫を貼る!$I$6:$I$10005,$I3001)&gt;0,N(U3000),N(U3000)+1))</f>
        <v>2</v>
      </c>
    </row>
    <row r="3002" customFormat="false" ht="15" hidden="false" customHeight="false" outlineLevel="0" collapsed="false">
      <c r="B3002" s="53"/>
      <c r="I3002" s="53"/>
      <c r="U3002" s="31" t="n">
        <f aca="false">IF($B3002&lt;&gt;'設定（最初に1回）'!$C$4,N(U3001),IF(COUNTIFS(①今日の在庫を貼る!$B$6:$B$10005,$B3002,①今日の在庫を貼る!$I$6:$I$10005,$I3002)&gt;0,N(U3001),N(U3001)+1))</f>
        <v>2</v>
      </c>
    </row>
    <row r="3003" customFormat="false" ht="15" hidden="false" customHeight="false" outlineLevel="0" collapsed="false">
      <c r="B3003" s="53"/>
      <c r="I3003" s="53"/>
      <c r="U3003" s="31" t="n">
        <f aca="false">IF($B3003&lt;&gt;'設定（最初に1回）'!$C$4,N(U3002),IF(COUNTIFS(①今日の在庫を貼る!$B$6:$B$10005,$B3003,①今日の在庫を貼る!$I$6:$I$10005,$I3003)&gt;0,N(U3002),N(U3002)+1))</f>
        <v>2</v>
      </c>
    </row>
    <row r="3004" customFormat="false" ht="15" hidden="false" customHeight="false" outlineLevel="0" collapsed="false">
      <c r="B3004" s="53"/>
      <c r="I3004" s="53"/>
      <c r="U3004" s="31" t="n">
        <f aca="false">IF($B3004&lt;&gt;'設定（最初に1回）'!$C$4,N(U3003),IF(COUNTIFS(①今日の在庫を貼る!$B$6:$B$10005,$B3004,①今日の在庫を貼る!$I$6:$I$10005,$I3004)&gt;0,N(U3003),N(U3003)+1))</f>
        <v>2</v>
      </c>
    </row>
    <row r="3005" customFormat="false" ht="15" hidden="false" customHeight="false" outlineLevel="0" collapsed="false">
      <c r="B3005" s="53"/>
      <c r="I3005" s="53"/>
      <c r="U3005" s="31" t="n">
        <f aca="false">IF($B3005&lt;&gt;'設定（最初に1回）'!$C$4,N(U3004),IF(COUNTIFS(①今日の在庫を貼る!$B$6:$B$10005,$B3005,①今日の在庫を貼る!$I$6:$I$10005,$I3005)&gt;0,N(U3004),N(U3004)+1))</f>
        <v>2</v>
      </c>
    </row>
    <row r="3006" customFormat="false" ht="15" hidden="false" customHeight="false" outlineLevel="0" collapsed="false">
      <c r="B3006" s="53"/>
      <c r="I3006" s="53"/>
      <c r="U3006" s="31" t="n">
        <f aca="false">IF($B3006&lt;&gt;'設定（最初に1回）'!$C$4,N(U3005),IF(COUNTIFS(①今日の在庫を貼る!$B$6:$B$10005,$B3006,①今日の在庫を貼る!$I$6:$I$10005,$I3006)&gt;0,N(U3005),N(U3005)+1))</f>
        <v>2</v>
      </c>
    </row>
    <row r="3007" customFormat="false" ht="15" hidden="false" customHeight="false" outlineLevel="0" collapsed="false">
      <c r="B3007" s="53"/>
      <c r="I3007" s="53"/>
      <c r="U3007" s="31" t="n">
        <f aca="false">IF($B3007&lt;&gt;'設定（最初に1回）'!$C$4,N(U3006),IF(COUNTIFS(①今日の在庫を貼る!$B$6:$B$10005,$B3007,①今日の在庫を貼る!$I$6:$I$10005,$I3007)&gt;0,N(U3006),N(U3006)+1))</f>
        <v>2</v>
      </c>
    </row>
    <row r="3008" customFormat="false" ht="15" hidden="false" customHeight="false" outlineLevel="0" collapsed="false">
      <c r="B3008" s="53"/>
      <c r="I3008" s="53"/>
      <c r="U3008" s="31" t="n">
        <f aca="false">IF($B3008&lt;&gt;'設定（最初に1回）'!$C$4,N(U3007),IF(COUNTIFS(①今日の在庫を貼る!$B$6:$B$10005,$B3008,①今日の在庫を貼る!$I$6:$I$10005,$I3008)&gt;0,N(U3007),N(U3007)+1))</f>
        <v>2</v>
      </c>
    </row>
    <row r="3009" customFormat="false" ht="15" hidden="false" customHeight="false" outlineLevel="0" collapsed="false">
      <c r="B3009" s="53"/>
      <c r="I3009" s="53"/>
      <c r="U3009" s="31" t="n">
        <f aca="false">IF($B3009&lt;&gt;'設定（最初に1回）'!$C$4,N(U3008),IF(COUNTIFS(①今日の在庫を貼る!$B$6:$B$10005,$B3009,①今日の在庫を貼る!$I$6:$I$10005,$I3009)&gt;0,N(U3008),N(U3008)+1))</f>
        <v>2</v>
      </c>
    </row>
    <row r="3010" customFormat="false" ht="15" hidden="false" customHeight="false" outlineLevel="0" collapsed="false">
      <c r="B3010" s="53"/>
      <c r="I3010" s="53"/>
      <c r="U3010" s="31" t="n">
        <f aca="false">IF($B3010&lt;&gt;'設定（最初に1回）'!$C$4,N(U3009),IF(COUNTIFS(①今日の在庫を貼る!$B$6:$B$10005,$B3010,①今日の在庫を貼る!$I$6:$I$10005,$I3010)&gt;0,N(U3009),N(U3009)+1))</f>
        <v>2</v>
      </c>
    </row>
    <row r="3011" customFormat="false" ht="15" hidden="false" customHeight="false" outlineLevel="0" collapsed="false">
      <c r="B3011" s="53"/>
      <c r="I3011" s="53"/>
      <c r="U3011" s="31" t="n">
        <f aca="false">IF($B3011&lt;&gt;'設定（最初に1回）'!$C$4,N(U3010),IF(COUNTIFS(①今日の在庫を貼る!$B$6:$B$10005,$B3011,①今日の在庫を貼る!$I$6:$I$10005,$I3011)&gt;0,N(U3010),N(U3010)+1))</f>
        <v>2</v>
      </c>
    </row>
    <row r="3012" customFormat="false" ht="15" hidden="false" customHeight="false" outlineLevel="0" collapsed="false">
      <c r="B3012" s="53"/>
      <c r="I3012" s="53"/>
      <c r="U3012" s="31" t="n">
        <f aca="false">IF($B3012&lt;&gt;'設定（最初に1回）'!$C$4,N(U3011),IF(COUNTIFS(①今日の在庫を貼る!$B$6:$B$10005,$B3012,①今日の在庫を貼る!$I$6:$I$10005,$I3012)&gt;0,N(U3011),N(U3011)+1))</f>
        <v>2</v>
      </c>
    </row>
    <row r="3013" customFormat="false" ht="15" hidden="false" customHeight="false" outlineLevel="0" collapsed="false">
      <c r="B3013" s="53"/>
      <c r="I3013" s="53"/>
      <c r="U3013" s="31" t="n">
        <f aca="false">IF($B3013&lt;&gt;'設定（最初に1回）'!$C$4,N(U3012),IF(COUNTIFS(①今日の在庫を貼る!$B$6:$B$10005,$B3013,①今日の在庫を貼る!$I$6:$I$10005,$I3013)&gt;0,N(U3012),N(U3012)+1))</f>
        <v>2</v>
      </c>
    </row>
    <row r="3014" customFormat="false" ht="15" hidden="false" customHeight="false" outlineLevel="0" collapsed="false">
      <c r="B3014" s="53"/>
      <c r="I3014" s="53"/>
      <c r="U3014" s="31" t="n">
        <f aca="false">IF($B3014&lt;&gt;'設定（最初に1回）'!$C$4,N(U3013),IF(COUNTIFS(①今日の在庫を貼る!$B$6:$B$10005,$B3014,①今日の在庫を貼る!$I$6:$I$10005,$I3014)&gt;0,N(U3013),N(U3013)+1))</f>
        <v>2</v>
      </c>
    </row>
    <row r="3015" customFormat="false" ht="15" hidden="false" customHeight="false" outlineLevel="0" collapsed="false">
      <c r="B3015" s="53"/>
      <c r="I3015" s="53"/>
      <c r="U3015" s="31" t="n">
        <f aca="false">IF($B3015&lt;&gt;'設定（最初に1回）'!$C$4,N(U3014),IF(COUNTIFS(①今日の在庫を貼る!$B$6:$B$10005,$B3015,①今日の在庫を貼る!$I$6:$I$10005,$I3015)&gt;0,N(U3014),N(U3014)+1))</f>
        <v>2</v>
      </c>
    </row>
    <row r="3016" customFormat="false" ht="15" hidden="false" customHeight="false" outlineLevel="0" collapsed="false">
      <c r="B3016" s="53"/>
      <c r="I3016" s="53"/>
      <c r="U3016" s="31" t="n">
        <f aca="false">IF($B3016&lt;&gt;'設定（最初に1回）'!$C$4,N(U3015),IF(COUNTIFS(①今日の在庫を貼る!$B$6:$B$10005,$B3016,①今日の在庫を貼る!$I$6:$I$10005,$I3016)&gt;0,N(U3015),N(U3015)+1))</f>
        <v>2</v>
      </c>
    </row>
    <row r="3017" customFormat="false" ht="15" hidden="false" customHeight="false" outlineLevel="0" collapsed="false">
      <c r="B3017" s="53"/>
      <c r="I3017" s="53"/>
      <c r="U3017" s="31" t="n">
        <f aca="false">IF($B3017&lt;&gt;'設定（最初に1回）'!$C$4,N(U3016),IF(COUNTIFS(①今日の在庫を貼る!$B$6:$B$10005,$B3017,①今日の在庫を貼る!$I$6:$I$10005,$I3017)&gt;0,N(U3016),N(U3016)+1))</f>
        <v>2</v>
      </c>
    </row>
    <row r="3018" customFormat="false" ht="15" hidden="false" customHeight="false" outlineLevel="0" collapsed="false">
      <c r="B3018" s="53"/>
      <c r="I3018" s="53"/>
      <c r="U3018" s="31" t="n">
        <f aca="false">IF($B3018&lt;&gt;'設定（最初に1回）'!$C$4,N(U3017),IF(COUNTIFS(①今日の在庫を貼る!$B$6:$B$10005,$B3018,①今日の在庫を貼る!$I$6:$I$10005,$I3018)&gt;0,N(U3017),N(U3017)+1))</f>
        <v>2</v>
      </c>
    </row>
    <row r="3019" customFormat="false" ht="15" hidden="false" customHeight="false" outlineLevel="0" collapsed="false">
      <c r="B3019" s="53"/>
      <c r="I3019" s="53"/>
      <c r="U3019" s="31" t="n">
        <f aca="false">IF($B3019&lt;&gt;'設定（最初に1回）'!$C$4,N(U3018),IF(COUNTIFS(①今日の在庫を貼る!$B$6:$B$10005,$B3019,①今日の在庫を貼る!$I$6:$I$10005,$I3019)&gt;0,N(U3018),N(U3018)+1))</f>
        <v>2</v>
      </c>
    </row>
    <row r="3020" customFormat="false" ht="15" hidden="false" customHeight="false" outlineLevel="0" collapsed="false">
      <c r="B3020" s="53"/>
      <c r="I3020" s="53"/>
      <c r="U3020" s="31" t="n">
        <f aca="false">IF($B3020&lt;&gt;'設定（最初に1回）'!$C$4,N(U3019),IF(COUNTIFS(①今日の在庫を貼る!$B$6:$B$10005,$B3020,①今日の在庫を貼る!$I$6:$I$10005,$I3020)&gt;0,N(U3019),N(U3019)+1))</f>
        <v>2</v>
      </c>
    </row>
    <row r="3021" customFormat="false" ht="15" hidden="false" customHeight="false" outlineLevel="0" collapsed="false">
      <c r="B3021" s="53"/>
      <c r="I3021" s="53"/>
      <c r="U3021" s="31" t="n">
        <f aca="false">IF($B3021&lt;&gt;'設定（最初に1回）'!$C$4,N(U3020),IF(COUNTIFS(①今日の在庫を貼る!$B$6:$B$10005,$B3021,①今日の在庫を貼る!$I$6:$I$10005,$I3021)&gt;0,N(U3020),N(U3020)+1))</f>
        <v>2</v>
      </c>
    </row>
    <row r="3022" customFormat="false" ht="15" hidden="false" customHeight="false" outlineLevel="0" collapsed="false">
      <c r="B3022" s="53"/>
      <c r="I3022" s="53"/>
      <c r="U3022" s="31" t="n">
        <f aca="false">IF($B3022&lt;&gt;'設定（最初に1回）'!$C$4,N(U3021),IF(COUNTIFS(①今日の在庫を貼る!$B$6:$B$10005,$B3022,①今日の在庫を貼る!$I$6:$I$10005,$I3022)&gt;0,N(U3021),N(U3021)+1))</f>
        <v>2</v>
      </c>
    </row>
    <row r="3023" customFormat="false" ht="15" hidden="false" customHeight="false" outlineLevel="0" collapsed="false">
      <c r="B3023" s="53"/>
      <c r="I3023" s="53"/>
      <c r="U3023" s="31" t="n">
        <f aca="false">IF($B3023&lt;&gt;'設定（最初に1回）'!$C$4,N(U3022),IF(COUNTIFS(①今日の在庫を貼る!$B$6:$B$10005,$B3023,①今日の在庫を貼る!$I$6:$I$10005,$I3023)&gt;0,N(U3022),N(U3022)+1))</f>
        <v>2</v>
      </c>
    </row>
    <row r="3024" customFormat="false" ht="15" hidden="false" customHeight="false" outlineLevel="0" collapsed="false">
      <c r="B3024" s="53"/>
      <c r="I3024" s="53"/>
      <c r="U3024" s="31" t="n">
        <f aca="false">IF($B3024&lt;&gt;'設定（最初に1回）'!$C$4,N(U3023),IF(COUNTIFS(①今日の在庫を貼る!$B$6:$B$10005,$B3024,①今日の在庫を貼る!$I$6:$I$10005,$I3024)&gt;0,N(U3023),N(U3023)+1))</f>
        <v>2</v>
      </c>
    </row>
    <row r="3025" customFormat="false" ht="15" hidden="false" customHeight="false" outlineLevel="0" collapsed="false">
      <c r="B3025" s="53"/>
      <c r="I3025" s="53"/>
      <c r="U3025" s="31" t="n">
        <f aca="false">IF($B3025&lt;&gt;'設定（最初に1回）'!$C$4,N(U3024),IF(COUNTIFS(①今日の在庫を貼る!$B$6:$B$10005,$B3025,①今日の在庫を貼る!$I$6:$I$10005,$I3025)&gt;0,N(U3024),N(U3024)+1))</f>
        <v>2</v>
      </c>
    </row>
    <row r="3026" customFormat="false" ht="15" hidden="false" customHeight="false" outlineLevel="0" collapsed="false">
      <c r="B3026" s="53"/>
      <c r="I3026" s="53"/>
      <c r="U3026" s="31" t="n">
        <f aca="false">IF($B3026&lt;&gt;'設定（最初に1回）'!$C$4,N(U3025),IF(COUNTIFS(①今日の在庫を貼る!$B$6:$B$10005,$B3026,①今日の在庫を貼る!$I$6:$I$10005,$I3026)&gt;0,N(U3025),N(U3025)+1))</f>
        <v>2</v>
      </c>
    </row>
    <row r="3027" customFormat="false" ht="15" hidden="false" customHeight="false" outlineLevel="0" collapsed="false">
      <c r="B3027" s="53"/>
      <c r="I3027" s="53"/>
      <c r="U3027" s="31" t="n">
        <f aca="false">IF($B3027&lt;&gt;'設定（最初に1回）'!$C$4,N(U3026),IF(COUNTIFS(①今日の在庫を貼る!$B$6:$B$10005,$B3027,①今日の在庫を貼る!$I$6:$I$10005,$I3027)&gt;0,N(U3026),N(U3026)+1))</f>
        <v>2</v>
      </c>
    </row>
    <row r="3028" customFormat="false" ht="15" hidden="false" customHeight="false" outlineLevel="0" collapsed="false">
      <c r="B3028" s="53"/>
      <c r="I3028" s="53"/>
      <c r="U3028" s="31" t="n">
        <f aca="false">IF($B3028&lt;&gt;'設定（最初に1回）'!$C$4,N(U3027),IF(COUNTIFS(①今日の在庫を貼る!$B$6:$B$10005,$B3028,①今日の在庫を貼る!$I$6:$I$10005,$I3028)&gt;0,N(U3027),N(U3027)+1))</f>
        <v>2</v>
      </c>
    </row>
    <row r="3029" customFormat="false" ht="15" hidden="false" customHeight="false" outlineLevel="0" collapsed="false">
      <c r="B3029" s="53"/>
      <c r="I3029" s="53"/>
      <c r="U3029" s="31" t="n">
        <f aca="false">IF($B3029&lt;&gt;'設定（最初に1回）'!$C$4,N(U3028),IF(COUNTIFS(①今日の在庫を貼る!$B$6:$B$10005,$B3029,①今日の在庫を貼る!$I$6:$I$10005,$I3029)&gt;0,N(U3028),N(U3028)+1))</f>
        <v>2</v>
      </c>
    </row>
    <row r="3030" customFormat="false" ht="15" hidden="false" customHeight="false" outlineLevel="0" collapsed="false">
      <c r="B3030" s="53"/>
      <c r="I3030" s="53"/>
      <c r="U3030" s="31" t="n">
        <f aca="false">IF($B3030&lt;&gt;'設定（最初に1回）'!$C$4,N(U3029),IF(COUNTIFS(①今日の在庫を貼る!$B$6:$B$10005,$B3030,①今日の在庫を貼る!$I$6:$I$10005,$I3030)&gt;0,N(U3029),N(U3029)+1))</f>
        <v>2</v>
      </c>
    </row>
    <row r="3031" customFormat="false" ht="15" hidden="false" customHeight="false" outlineLevel="0" collapsed="false">
      <c r="B3031" s="53"/>
      <c r="I3031" s="53"/>
      <c r="U3031" s="31" t="n">
        <f aca="false">IF($B3031&lt;&gt;'設定（最初に1回）'!$C$4,N(U3030),IF(COUNTIFS(①今日の在庫を貼る!$B$6:$B$10005,$B3031,①今日の在庫を貼る!$I$6:$I$10005,$I3031)&gt;0,N(U3030),N(U3030)+1))</f>
        <v>2</v>
      </c>
    </row>
    <row r="3032" customFormat="false" ht="15" hidden="false" customHeight="false" outlineLevel="0" collapsed="false">
      <c r="B3032" s="53"/>
      <c r="I3032" s="53"/>
      <c r="U3032" s="31" t="n">
        <f aca="false">IF($B3032&lt;&gt;'設定（最初に1回）'!$C$4,N(U3031),IF(COUNTIFS(①今日の在庫を貼る!$B$6:$B$10005,$B3032,①今日の在庫を貼る!$I$6:$I$10005,$I3032)&gt;0,N(U3031),N(U3031)+1))</f>
        <v>2</v>
      </c>
    </row>
    <row r="3033" customFormat="false" ht="15" hidden="false" customHeight="false" outlineLevel="0" collapsed="false">
      <c r="B3033" s="53"/>
      <c r="I3033" s="53"/>
      <c r="U3033" s="31" t="n">
        <f aca="false">IF($B3033&lt;&gt;'設定（最初に1回）'!$C$4,N(U3032),IF(COUNTIFS(①今日の在庫を貼る!$B$6:$B$10005,$B3033,①今日の在庫を貼る!$I$6:$I$10005,$I3033)&gt;0,N(U3032),N(U3032)+1))</f>
        <v>2</v>
      </c>
    </row>
    <row r="3034" customFormat="false" ht="15" hidden="false" customHeight="false" outlineLevel="0" collapsed="false">
      <c r="B3034" s="53"/>
      <c r="I3034" s="53"/>
      <c r="U3034" s="31" t="n">
        <f aca="false">IF($B3034&lt;&gt;'設定（最初に1回）'!$C$4,N(U3033),IF(COUNTIFS(①今日の在庫を貼る!$B$6:$B$10005,$B3034,①今日の在庫を貼る!$I$6:$I$10005,$I3034)&gt;0,N(U3033),N(U3033)+1))</f>
        <v>2</v>
      </c>
    </row>
    <row r="3035" customFormat="false" ht="15" hidden="false" customHeight="false" outlineLevel="0" collapsed="false">
      <c r="B3035" s="53"/>
      <c r="I3035" s="53"/>
      <c r="U3035" s="31" t="n">
        <f aca="false">IF($B3035&lt;&gt;'設定（最初に1回）'!$C$4,N(U3034),IF(COUNTIFS(①今日の在庫を貼る!$B$6:$B$10005,$B3035,①今日の在庫を貼る!$I$6:$I$10005,$I3035)&gt;0,N(U3034),N(U3034)+1))</f>
        <v>2</v>
      </c>
    </row>
    <row r="3036" customFormat="false" ht="15" hidden="false" customHeight="false" outlineLevel="0" collapsed="false">
      <c r="B3036" s="53"/>
      <c r="I3036" s="53"/>
      <c r="U3036" s="31" t="n">
        <f aca="false">IF($B3036&lt;&gt;'設定（最初に1回）'!$C$4,N(U3035),IF(COUNTIFS(①今日の在庫を貼る!$B$6:$B$10005,$B3036,①今日の在庫を貼る!$I$6:$I$10005,$I3036)&gt;0,N(U3035),N(U3035)+1))</f>
        <v>2</v>
      </c>
    </row>
    <row r="3037" customFormat="false" ht="15" hidden="false" customHeight="false" outlineLevel="0" collapsed="false">
      <c r="B3037" s="53"/>
      <c r="I3037" s="53"/>
      <c r="U3037" s="31" t="n">
        <f aca="false">IF($B3037&lt;&gt;'設定（最初に1回）'!$C$4,N(U3036),IF(COUNTIFS(①今日の在庫を貼る!$B$6:$B$10005,$B3037,①今日の在庫を貼る!$I$6:$I$10005,$I3037)&gt;0,N(U3036),N(U3036)+1))</f>
        <v>2</v>
      </c>
    </row>
    <row r="3038" customFormat="false" ht="15" hidden="false" customHeight="false" outlineLevel="0" collapsed="false">
      <c r="B3038" s="53"/>
      <c r="I3038" s="53"/>
      <c r="U3038" s="31" t="n">
        <f aca="false">IF($B3038&lt;&gt;'設定（最初に1回）'!$C$4,N(U3037),IF(COUNTIFS(①今日の在庫を貼る!$B$6:$B$10005,$B3038,①今日の在庫を貼る!$I$6:$I$10005,$I3038)&gt;0,N(U3037),N(U3037)+1))</f>
        <v>2</v>
      </c>
    </row>
    <row r="3039" customFormat="false" ht="15" hidden="false" customHeight="false" outlineLevel="0" collapsed="false">
      <c r="B3039" s="53"/>
      <c r="I3039" s="53"/>
      <c r="U3039" s="31" t="n">
        <f aca="false">IF($B3039&lt;&gt;'設定（最初に1回）'!$C$4,N(U3038),IF(COUNTIFS(①今日の在庫を貼る!$B$6:$B$10005,$B3039,①今日の在庫を貼る!$I$6:$I$10005,$I3039)&gt;0,N(U3038),N(U3038)+1))</f>
        <v>2</v>
      </c>
    </row>
    <row r="3040" customFormat="false" ht="15" hidden="false" customHeight="false" outlineLevel="0" collapsed="false">
      <c r="B3040" s="53"/>
      <c r="I3040" s="53"/>
      <c r="U3040" s="31" t="n">
        <f aca="false">IF($B3040&lt;&gt;'設定（最初に1回）'!$C$4,N(U3039),IF(COUNTIFS(①今日の在庫を貼る!$B$6:$B$10005,$B3040,①今日の在庫を貼る!$I$6:$I$10005,$I3040)&gt;0,N(U3039),N(U3039)+1))</f>
        <v>2</v>
      </c>
    </row>
    <row r="3041" customFormat="false" ht="15" hidden="false" customHeight="false" outlineLevel="0" collapsed="false">
      <c r="B3041" s="53"/>
      <c r="I3041" s="53"/>
      <c r="U3041" s="31" t="n">
        <f aca="false">IF($B3041&lt;&gt;'設定（最初に1回）'!$C$4,N(U3040),IF(COUNTIFS(①今日の在庫を貼る!$B$6:$B$10005,$B3041,①今日の在庫を貼る!$I$6:$I$10005,$I3041)&gt;0,N(U3040),N(U3040)+1))</f>
        <v>2</v>
      </c>
    </row>
    <row r="3042" customFormat="false" ht="15" hidden="false" customHeight="false" outlineLevel="0" collapsed="false">
      <c r="B3042" s="53"/>
      <c r="I3042" s="53"/>
      <c r="U3042" s="31" t="n">
        <f aca="false">IF($B3042&lt;&gt;'設定（最初に1回）'!$C$4,N(U3041),IF(COUNTIFS(①今日の在庫を貼る!$B$6:$B$10005,$B3042,①今日の在庫を貼る!$I$6:$I$10005,$I3042)&gt;0,N(U3041),N(U3041)+1))</f>
        <v>2</v>
      </c>
    </row>
    <row r="3043" customFormat="false" ht="15" hidden="false" customHeight="false" outlineLevel="0" collapsed="false">
      <c r="B3043" s="53"/>
      <c r="I3043" s="53"/>
      <c r="U3043" s="31" t="n">
        <f aca="false">IF($B3043&lt;&gt;'設定（最初に1回）'!$C$4,N(U3042),IF(COUNTIFS(①今日の在庫を貼る!$B$6:$B$10005,$B3043,①今日の在庫を貼る!$I$6:$I$10005,$I3043)&gt;0,N(U3042),N(U3042)+1))</f>
        <v>2</v>
      </c>
    </row>
    <row r="3044" customFormat="false" ht="15" hidden="false" customHeight="false" outlineLevel="0" collapsed="false">
      <c r="B3044" s="53"/>
      <c r="I3044" s="53"/>
      <c r="U3044" s="31" t="n">
        <f aca="false">IF($B3044&lt;&gt;'設定（最初に1回）'!$C$4,N(U3043),IF(COUNTIFS(①今日の在庫を貼る!$B$6:$B$10005,$B3044,①今日の在庫を貼る!$I$6:$I$10005,$I3044)&gt;0,N(U3043),N(U3043)+1))</f>
        <v>2</v>
      </c>
    </row>
    <row r="3045" customFormat="false" ht="15" hidden="false" customHeight="false" outlineLevel="0" collapsed="false">
      <c r="B3045" s="53"/>
      <c r="I3045" s="53"/>
      <c r="U3045" s="31" t="n">
        <f aca="false">IF($B3045&lt;&gt;'設定（最初に1回）'!$C$4,N(U3044),IF(COUNTIFS(①今日の在庫を貼る!$B$6:$B$10005,$B3045,①今日の在庫を貼る!$I$6:$I$10005,$I3045)&gt;0,N(U3044),N(U3044)+1))</f>
        <v>2</v>
      </c>
    </row>
    <row r="3046" customFormat="false" ht="15" hidden="false" customHeight="false" outlineLevel="0" collapsed="false">
      <c r="B3046" s="53"/>
      <c r="I3046" s="53"/>
      <c r="U3046" s="31" t="n">
        <f aca="false">IF($B3046&lt;&gt;'設定（最初に1回）'!$C$4,N(U3045),IF(COUNTIFS(①今日の在庫を貼る!$B$6:$B$10005,$B3046,①今日の在庫を貼る!$I$6:$I$10005,$I3046)&gt;0,N(U3045),N(U3045)+1))</f>
        <v>2</v>
      </c>
    </row>
    <row r="3047" customFormat="false" ht="15" hidden="false" customHeight="false" outlineLevel="0" collapsed="false">
      <c r="B3047" s="53"/>
      <c r="I3047" s="53"/>
      <c r="U3047" s="31" t="n">
        <f aca="false">IF($B3047&lt;&gt;'設定（最初に1回）'!$C$4,N(U3046),IF(COUNTIFS(①今日の在庫を貼る!$B$6:$B$10005,$B3047,①今日の在庫を貼る!$I$6:$I$10005,$I3047)&gt;0,N(U3046),N(U3046)+1))</f>
        <v>2</v>
      </c>
    </row>
    <row r="3048" customFormat="false" ht="15" hidden="false" customHeight="false" outlineLevel="0" collapsed="false">
      <c r="B3048" s="53"/>
      <c r="I3048" s="53"/>
      <c r="U3048" s="31" t="n">
        <f aca="false">IF($B3048&lt;&gt;'設定（最初に1回）'!$C$4,N(U3047),IF(COUNTIFS(①今日の在庫を貼る!$B$6:$B$10005,$B3048,①今日の在庫を貼る!$I$6:$I$10005,$I3048)&gt;0,N(U3047),N(U3047)+1))</f>
        <v>2</v>
      </c>
    </row>
    <row r="3049" customFormat="false" ht="15" hidden="false" customHeight="false" outlineLevel="0" collapsed="false">
      <c r="B3049" s="53"/>
      <c r="I3049" s="53"/>
      <c r="U3049" s="31" t="n">
        <f aca="false">IF($B3049&lt;&gt;'設定（最初に1回）'!$C$4,N(U3048),IF(COUNTIFS(①今日の在庫を貼る!$B$6:$B$10005,$B3049,①今日の在庫を貼る!$I$6:$I$10005,$I3049)&gt;0,N(U3048),N(U3048)+1))</f>
        <v>2</v>
      </c>
    </row>
    <row r="3050" customFormat="false" ht="15" hidden="false" customHeight="false" outlineLevel="0" collapsed="false">
      <c r="B3050" s="53"/>
      <c r="I3050" s="53"/>
      <c r="U3050" s="31" t="n">
        <f aca="false">IF($B3050&lt;&gt;'設定（最初に1回）'!$C$4,N(U3049),IF(COUNTIFS(①今日の在庫を貼る!$B$6:$B$10005,$B3050,①今日の在庫を貼る!$I$6:$I$10005,$I3050)&gt;0,N(U3049),N(U3049)+1))</f>
        <v>2</v>
      </c>
    </row>
    <row r="3051" customFormat="false" ht="15" hidden="false" customHeight="false" outlineLevel="0" collapsed="false">
      <c r="B3051" s="53"/>
      <c r="I3051" s="53"/>
      <c r="U3051" s="31" t="n">
        <f aca="false">IF($B3051&lt;&gt;'設定（最初に1回）'!$C$4,N(U3050),IF(COUNTIFS(①今日の在庫を貼る!$B$6:$B$10005,$B3051,①今日の在庫を貼る!$I$6:$I$10005,$I3051)&gt;0,N(U3050),N(U3050)+1))</f>
        <v>2</v>
      </c>
    </row>
    <row r="3052" customFormat="false" ht="15" hidden="false" customHeight="false" outlineLevel="0" collapsed="false">
      <c r="B3052" s="53"/>
      <c r="I3052" s="53"/>
      <c r="U3052" s="31" t="n">
        <f aca="false">IF($B3052&lt;&gt;'設定（最初に1回）'!$C$4,N(U3051),IF(COUNTIFS(①今日の在庫を貼る!$B$6:$B$10005,$B3052,①今日の在庫を貼る!$I$6:$I$10005,$I3052)&gt;0,N(U3051),N(U3051)+1))</f>
        <v>2</v>
      </c>
    </row>
    <row r="3053" customFormat="false" ht="15" hidden="false" customHeight="false" outlineLevel="0" collapsed="false">
      <c r="B3053" s="53"/>
      <c r="I3053" s="53"/>
      <c r="U3053" s="31" t="n">
        <f aca="false">IF($B3053&lt;&gt;'設定（最初に1回）'!$C$4,N(U3052),IF(COUNTIFS(①今日の在庫を貼る!$B$6:$B$10005,$B3053,①今日の在庫を貼る!$I$6:$I$10005,$I3053)&gt;0,N(U3052),N(U3052)+1))</f>
        <v>2</v>
      </c>
    </row>
    <row r="3054" customFormat="false" ht="15" hidden="false" customHeight="false" outlineLevel="0" collapsed="false">
      <c r="B3054" s="53"/>
      <c r="I3054" s="53"/>
      <c r="U3054" s="31" t="n">
        <f aca="false">IF($B3054&lt;&gt;'設定（最初に1回）'!$C$4,N(U3053),IF(COUNTIFS(①今日の在庫を貼る!$B$6:$B$10005,$B3054,①今日の在庫を貼る!$I$6:$I$10005,$I3054)&gt;0,N(U3053),N(U3053)+1))</f>
        <v>2</v>
      </c>
    </row>
    <row r="3055" customFormat="false" ht="15" hidden="false" customHeight="false" outlineLevel="0" collapsed="false">
      <c r="B3055" s="53"/>
      <c r="I3055" s="53"/>
      <c r="U3055" s="31" t="n">
        <f aca="false">IF($B3055&lt;&gt;'設定（最初に1回）'!$C$4,N(U3054),IF(COUNTIFS(①今日の在庫を貼る!$B$6:$B$10005,$B3055,①今日の在庫を貼る!$I$6:$I$10005,$I3055)&gt;0,N(U3054),N(U3054)+1))</f>
        <v>2</v>
      </c>
    </row>
    <row r="3056" customFormat="false" ht="15" hidden="false" customHeight="false" outlineLevel="0" collapsed="false">
      <c r="B3056" s="53"/>
      <c r="I3056" s="53"/>
      <c r="U3056" s="31" t="n">
        <f aca="false">IF($B3056&lt;&gt;'設定（最初に1回）'!$C$4,N(U3055),IF(COUNTIFS(①今日の在庫を貼る!$B$6:$B$10005,$B3056,①今日の在庫を貼る!$I$6:$I$10005,$I3056)&gt;0,N(U3055),N(U3055)+1))</f>
        <v>2</v>
      </c>
    </row>
    <row r="3057" customFormat="false" ht="15" hidden="false" customHeight="false" outlineLevel="0" collapsed="false">
      <c r="B3057" s="53"/>
      <c r="I3057" s="53"/>
      <c r="U3057" s="31" t="n">
        <f aca="false">IF($B3057&lt;&gt;'設定（最初に1回）'!$C$4,N(U3056),IF(COUNTIFS(①今日の在庫を貼る!$B$6:$B$10005,$B3057,①今日の在庫を貼る!$I$6:$I$10005,$I3057)&gt;0,N(U3056),N(U3056)+1))</f>
        <v>2</v>
      </c>
    </row>
    <row r="3058" customFormat="false" ht="15" hidden="false" customHeight="false" outlineLevel="0" collapsed="false">
      <c r="B3058" s="53"/>
      <c r="I3058" s="53"/>
      <c r="U3058" s="31" t="n">
        <f aca="false">IF($B3058&lt;&gt;'設定（最初に1回）'!$C$4,N(U3057),IF(COUNTIFS(①今日の在庫を貼る!$B$6:$B$10005,$B3058,①今日の在庫を貼る!$I$6:$I$10005,$I3058)&gt;0,N(U3057),N(U3057)+1))</f>
        <v>2</v>
      </c>
    </row>
    <row r="3059" customFormat="false" ht="15" hidden="false" customHeight="false" outlineLevel="0" collapsed="false">
      <c r="B3059" s="53"/>
      <c r="I3059" s="53"/>
      <c r="U3059" s="31" t="n">
        <f aca="false">IF($B3059&lt;&gt;'設定（最初に1回）'!$C$4,N(U3058),IF(COUNTIFS(①今日の在庫を貼る!$B$6:$B$10005,$B3059,①今日の在庫を貼る!$I$6:$I$10005,$I3059)&gt;0,N(U3058),N(U3058)+1))</f>
        <v>2</v>
      </c>
    </row>
    <row r="3060" customFormat="false" ht="15" hidden="false" customHeight="false" outlineLevel="0" collapsed="false">
      <c r="B3060" s="53"/>
      <c r="I3060" s="53"/>
      <c r="U3060" s="31" t="n">
        <f aca="false">IF($B3060&lt;&gt;'設定（最初に1回）'!$C$4,N(U3059),IF(COUNTIFS(①今日の在庫を貼る!$B$6:$B$10005,$B3060,①今日の在庫を貼る!$I$6:$I$10005,$I3060)&gt;0,N(U3059),N(U3059)+1))</f>
        <v>2</v>
      </c>
    </row>
    <row r="3061" customFormat="false" ht="15" hidden="false" customHeight="false" outlineLevel="0" collapsed="false">
      <c r="B3061" s="53"/>
      <c r="I3061" s="53"/>
      <c r="U3061" s="31" t="n">
        <f aca="false">IF($B3061&lt;&gt;'設定（最初に1回）'!$C$4,N(U3060),IF(COUNTIFS(①今日の在庫を貼る!$B$6:$B$10005,$B3061,①今日の在庫を貼る!$I$6:$I$10005,$I3061)&gt;0,N(U3060),N(U3060)+1))</f>
        <v>2</v>
      </c>
    </row>
    <row r="3062" customFormat="false" ht="15" hidden="false" customHeight="false" outlineLevel="0" collapsed="false">
      <c r="B3062" s="53"/>
      <c r="I3062" s="53"/>
      <c r="U3062" s="31" t="n">
        <f aca="false">IF($B3062&lt;&gt;'設定（最初に1回）'!$C$4,N(U3061),IF(COUNTIFS(①今日の在庫を貼る!$B$6:$B$10005,$B3062,①今日の在庫を貼る!$I$6:$I$10005,$I3062)&gt;0,N(U3061),N(U3061)+1))</f>
        <v>2</v>
      </c>
    </row>
    <row r="3063" customFormat="false" ht="15" hidden="false" customHeight="false" outlineLevel="0" collapsed="false">
      <c r="B3063" s="53"/>
      <c r="I3063" s="53"/>
      <c r="U3063" s="31" t="n">
        <f aca="false">IF($B3063&lt;&gt;'設定（最初に1回）'!$C$4,N(U3062),IF(COUNTIFS(①今日の在庫を貼る!$B$6:$B$10005,$B3063,①今日の在庫を貼る!$I$6:$I$10005,$I3063)&gt;0,N(U3062),N(U3062)+1))</f>
        <v>2</v>
      </c>
    </row>
    <row r="3064" customFormat="false" ht="15" hidden="false" customHeight="false" outlineLevel="0" collapsed="false">
      <c r="B3064" s="53"/>
      <c r="I3064" s="53"/>
      <c r="U3064" s="31" t="n">
        <f aca="false">IF($B3064&lt;&gt;'設定（最初に1回）'!$C$4,N(U3063),IF(COUNTIFS(①今日の在庫を貼る!$B$6:$B$10005,$B3064,①今日の在庫を貼る!$I$6:$I$10005,$I3064)&gt;0,N(U3063),N(U3063)+1))</f>
        <v>2</v>
      </c>
    </row>
    <row r="3065" customFormat="false" ht="15" hidden="false" customHeight="false" outlineLevel="0" collapsed="false">
      <c r="B3065" s="53"/>
      <c r="I3065" s="53"/>
      <c r="U3065" s="31" t="n">
        <f aca="false">IF($B3065&lt;&gt;'設定（最初に1回）'!$C$4,N(U3064),IF(COUNTIFS(①今日の在庫を貼る!$B$6:$B$10005,$B3065,①今日の在庫を貼る!$I$6:$I$10005,$I3065)&gt;0,N(U3064),N(U3064)+1))</f>
        <v>2</v>
      </c>
    </row>
    <row r="3066" customFormat="false" ht="15" hidden="false" customHeight="false" outlineLevel="0" collapsed="false">
      <c r="B3066" s="53"/>
      <c r="I3066" s="53"/>
      <c r="U3066" s="31" t="n">
        <f aca="false">IF($B3066&lt;&gt;'設定（最初に1回）'!$C$4,N(U3065),IF(COUNTIFS(①今日の在庫を貼る!$B$6:$B$10005,$B3066,①今日の在庫を貼る!$I$6:$I$10005,$I3066)&gt;0,N(U3065),N(U3065)+1))</f>
        <v>2</v>
      </c>
    </row>
    <row r="3067" customFormat="false" ht="15" hidden="false" customHeight="false" outlineLevel="0" collapsed="false">
      <c r="B3067" s="53"/>
      <c r="I3067" s="53"/>
      <c r="U3067" s="31" t="n">
        <f aca="false">IF($B3067&lt;&gt;'設定（最初に1回）'!$C$4,N(U3066),IF(COUNTIFS(①今日の在庫を貼る!$B$6:$B$10005,$B3067,①今日の在庫を貼る!$I$6:$I$10005,$I3067)&gt;0,N(U3066),N(U3066)+1))</f>
        <v>2</v>
      </c>
    </row>
    <row r="3068" customFormat="false" ht="15" hidden="false" customHeight="false" outlineLevel="0" collapsed="false">
      <c r="B3068" s="53"/>
      <c r="I3068" s="53"/>
      <c r="U3068" s="31" t="n">
        <f aca="false">IF($B3068&lt;&gt;'設定（最初に1回）'!$C$4,N(U3067),IF(COUNTIFS(①今日の在庫を貼る!$B$6:$B$10005,$B3068,①今日の在庫を貼る!$I$6:$I$10005,$I3068)&gt;0,N(U3067),N(U3067)+1))</f>
        <v>2</v>
      </c>
    </row>
    <row r="3069" customFormat="false" ht="15" hidden="false" customHeight="false" outlineLevel="0" collapsed="false">
      <c r="B3069" s="53"/>
      <c r="I3069" s="53"/>
      <c r="U3069" s="31" t="n">
        <f aca="false">IF($B3069&lt;&gt;'設定（最初に1回）'!$C$4,N(U3068),IF(COUNTIFS(①今日の在庫を貼る!$B$6:$B$10005,$B3069,①今日の在庫を貼る!$I$6:$I$10005,$I3069)&gt;0,N(U3068),N(U3068)+1))</f>
        <v>2</v>
      </c>
    </row>
    <row r="3070" customFormat="false" ht="15" hidden="false" customHeight="false" outlineLevel="0" collapsed="false">
      <c r="B3070" s="53"/>
      <c r="I3070" s="53"/>
      <c r="U3070" s="31" t="n">
        <f aca="false">IF($B3070&lt;&gt;'設定（最初に1回）'!$C$4,N(U3069),IF(COUNTIFS(①今日の在庫を貼る!$B$6:$B$10005,$B3070,①今日の在庫を貼る!$I$6:$I$10005,$I3070)&gt;0,N(U3069),N(U3069)+1))</f>
        <v>2</v>
      </c>
    </row>
    <row r="3071" customFormat="false" ht="15" hidden="false" customHeight="false" outlineLevel="0" collapsed="false">
      <c r="B3071" s="53"/>
      <c r="I3071" s="53"/>
      <c r="U3071" s="31" t="n">
        <f aca="false">IF($B3071&lt;&gt;'設定（最初に1回）'!$C$4,N(U3070),IF(COUNTIFS(①今日の在庫を貼る!$B$6:$B$10005,$B3071,①今日の在庫を貼る!$I$6:$I$10005,$I3071)&gt;0,N(U3070),N(U3070)+1))</f>
        <v>2</v>
      </c>
    </row>
    <row r="3072" customFormat="false" ht="15" hidden="false" customHeight="false" outlineLevel="0" collapsed="false">
      <c r="B3072" s="53"/>
      <c r="I3072" s="53"/>
      <c r="U3072" s="31" t="n">
        <f aca="false">IF($B3072&lt;&gt;'設定（最初に1回）'!$C$4,N(U3071),IF(COUNTIFS(①今日の在庫を貼る!$B$6:$B$10005,$B3072,①今日の在庫を貼る!$I$6:$I$10005,$I3072)&gt;0,N(U3071),N(U3071)+1))</f>
        <v>2</v>
      </c>
    </row>
    <row r="3073" customFormat="false" ht="15" hidden="false" customHeight="false" outlineLevel="0" collapsed="false">
      <c r="B3073" s="53"/>
      <c r="I3073" s="53"/>
      <c r="U3073" s="31" t="n">
        <f aca="false">IF($B3073&lt;&gt;'設定（最初に1回）'!$C$4,N(U3072),IF(COUNTIFS(①今日の在庫を貼る!$B$6:$B$10005,$B3073,①今日の在庫を貼る!$I$6:$I$10005,$I3073)&gt;0,N(U3072),N(U3072)+1))</f>
        <v>2</v>
      </c>
    </row>
    <row r="3074" customFormat="false" ht="15" hidden="false" customHeight="false" outlineLevel="0" collapsed="false">
      <c r="B3074" s="53"/>
      <c r="I3074" s="53"/>
      <c r="U3074" s="31" t="n">
        <f aca="false">IF($B3074&lt;&gt;'設定（最初に1回）'!$C$4,N(U3073),IF(COUNTIFS(①今日の在庫を貼る!$B$6:$B$10005,$B3074,①今日の在庫を貼る!$I$6:$I$10005,$I3074)&gt;0,N(U3073),N(U3073)+1))</f>
        <v>2</v>
      </c>
    </row>
    <row r="3075" customFormat="false" ht="15" hidden="false" customHeight="false" outlineLevel="0" collapsed="false">
      <c r="B3075" s="53"/>
      <c r="I3075" s="53"/>
      <c r="U3075" s="31" t="n">
        <f aca="false">IF($B3075&lt;&gt;'設定（最初に1回）'!$C$4,N(U3074),IF(COUNTIFS(①今日の在庫を貼る!$B$6:$B$10005,$B3075,①今日の在庫を貼る!$I$6:$I$10005,$I3075)&gt;0,N(U3074),N(U3074)+1))</f>
        <v>2</v>
      </c>
    </row>
    <row r="3076" customFormat="false" ht="15" hidden="false" customHeight="false" outlineLevel="0" collapsed="false">
      <c r="B3076" s="53"/>
      <c r="I3076" s="53"/>
      <c r="U3076" s="31" t="n">
        <f aca="false">IF($B3076&lt;&gt;'設定（最初に1回）'!$C$4,N(U3075),IF(COUNTIFS(①今日の在庫を貼る!$B$6:$B$10005,$B3076,①今日の在庫を貼る!$I$6:$I$10005,$I3076)&gt;0,N(U3075),N(U3075)+1))</f>
        <v>2</v>
      </c>
    </row>
    <row r="3077" customFormat="false" ht="15" hidden="false" customHeight="false" outlineLevel="0" collapsed="false">
      <c r="B3077" s="53"/>
      <c r="I3077" s="53"/>
      <c r="U3077" s="31" t="n">
        <f aca="false">IF($B3077&lt;&gt;'設定（最初に1回）'!$C$4,N(U3076),IF(COUNTIFS(①今日の在庫を貼る!$B$6:$B$10005,$B3077,①今日の在庫を貼る!$I$6:$I$10005,$I3077)&gt;0,N(U3076),N(U3076)+1))</f>
        <v>2</v>
      </c>
    </row>
    <row r="3078" customFormat="false" ht="15" hidden="false" customHeight="false" outlineLevel="0" collapsed="false">
      <c r="B3078" s="53"/>
      <c r="I3078" s="53"/>
      <c r="U3078" s="31" t="n">
        <f aca="false">IF($B3078&lt;&gt;'設定（最初に1回）'!$C$4,N(U3077),IF(COUNTIFS(①今日の在庫を貼る!$B$6:$B$10005,$B3078,①今日の在庫を貼る!$I$6:$I$10005,$I3078)&gt;0,N(U3077),N(U3077)+1))</f>
        <v>2</v>
      </c>
    </row>
    <row r="3079" customFormat="false" ht="15" hidden="false" customHeight="false" outlineLevel="0" collapsed="false">
      <c r="B3079" s="53"/>
      <c r="I3079" s="53"/>
      <c r="U3079" s="31" t="n">
        <f aca="false">IF($B3079&lt;&gt;'設定（最初に1回）'!$C$4,N(U3078),IF(COUNTIFS(①今日の在庫を貼る!$B$6:$B$10005,$B3079,①今日の在庫を貼る!$I$6:$I$10005,$I3079)&gt;0,N(U3078),N(U3078)+1))</f>
        <v>2</v>
      </c>
    </row>
    <row r="3080" customFormat="false" ht="15" hidden="false" customHeight="false" outlineLevel="0" collapsed="false">
      <c r="B3080" s="53"/>
      <c r="I3080" s="53"/>
      <c r="U3080" s="31" t="n">
        <f aca="false">IF($B3080&lt;&gt;'設定（最初に1回）'!$C$4,N(U3079),IF(COUNTIFS(①今日の在庫を貼る!$B$6:$B$10005,$B3080,①今日の在庫を貼る!$I$6:$I$10005,$I3080)&gt;0,N(U3079),N(U3079)+1))</f>
        <v>2</v>
      </c>
    </row>
    <row r="3081" customFormat="false" ht="15" hidden="false" customHeight="false" outlineLevel="0" collapsed="false">
      <c r="B3081" s="53"/>
      <c r="I3081" s="53"/>
      <c r="U3081" s="31" t="n">
        <f aca="false">IF($B3081&lt;&gt;'設定（最初に1回）'!$C$4,N(U3080),IF(COUNTIFS(①今日の在庫を貼る!$B$6:$B$10005,$B3081,①今日の在庫を貼る!$I$6:$I$10005,$I3081)&gt;0,N(U3080),N(U3080)+1))</f>
        <v>2</v>
      </c>
    </row>
    <row r="3082" customFormat="false" ht="15" hidden="false" customHeight="false" outlineLevel="0" collapsed="false">
      <c r="B3082" s="53"/>
      <c r="I3082" s="53"/>
      <c r="U3082" s="31" t="n">
        <f aca="false">IF($B3082&lt;&gt;'設定（最初に1回）'!$C$4,N(U3081),IF(COUNTIFS(①今日の在庫を貼る!$B$6:$B$10005,$B3082,①今日の在庫を貼る!$I$6:$I$10005,$I3082)&gt;0,N(U3081),N(U3081)+1))</f>
        <v>2</v>
      </c>
    </row>
    <row r="3083" customFormat="false" ht="15" hidden="false" customHeight="false" outlineLevel="0" collapsed="false">
      <c r="B3083" s="53"/>
      <c r="I3083" s="53"/>
      <c r="U3083" s="31" t="n">
        <f aca="false">IF($B3083&lt;&gt;'設定（最初に1回）'!$C$4,N(U3082),IF(COUNTIFS(①今日の在庫を貼る!$B$6:$B$10005,$B3083,①今日の在庫を貼る!$I$6:$I$10005,$I3083)&gt;0,N(U3082),N(U3082)+1))</f>
        <v>2</v>
      </c>
    </row>
    <row r="3084" customFormat="false" ht="15" hidden="false" customHeight="false" outlineLevel="0" collapsed="false">
      <c r="B3084" s="53"/>
      <c r="I3084" s="53"/>
      <c r="U3084" s="31" t="n">
        <f aca="false">IF($B3084&lt;&gt;'設定（最初に1回）'!$C$4,N(U3083),IF(COUNTIFS(①今日の在庫を貼る!$B$6:$B$10005,$B3084,①今日の在庫を貼る!$I$6:$I$10005,$I3084)&gt;0,N(U3083),N(U3083)+1))</f>
        <v>2</v>
      </c>
    </row>
    <row r="3085" customFormat="false" ht="15" hidden="false" customHeight="false" outlineLevel="0" collapsed="false">
      <c r="B3085" s="53"/>
      <c r="I3085" s="53"/>
      <c r="U3085" s="31" t="n">
        <f aca="false">IF($B3085&lt;&gt;'設定（最初に1回）'!$C$4,N(U3084),IF(COUNTIFS(①今日の在庫を貼る!$B$6:$B$10005,$B3085,①今日の在庫を貼る!$I$6:$I$10005,$I3085)&gt;0,N(U3084),N(U3084)+1))</f>
        <v>2</v>
      </c>
    </row>
    <row r="3086" customFormat="false" ht="15" hidden="false" customHeight="false" outlineLevel="0" collapsed="false">
      <c r="B3086" s="53"/>
      <c r="I3086" s="53"/>
      <c r="U3086" s="31" t="n">
        <f aca="false">IF($B3086&lt;&gt;'設定（最初に1回）'!$C$4,N(U3085),IF(COUNTIFS(①今日の在庫を貼る!$B$6:$B$10005,$B3086,①今日の在庫を貼る!$I$6:$I$10005,$I3086)&gt;0,N(U3085),N(U3085)+1))</f>
        <v>2</v>
      </c>
    </row>
    <row r="3087" customFormat="false" ht="15" hidden="false" customHeight="false" outlineLevel="0" collapsed="false">
      <c r="B3087" s="53"/>
      <c r="I3087" s="53"/>
      <c r="U3087" s="31" t="n">
        <f aca="false">IF($B3087&lt;&gt;'設定（最初に1回）'!$C$4,N(U3086),IF(COUNTIFS(①今日の在庫を貼る!$B$6:$B$10005,$B3087,①今日の在庫を貼る!$I$6:$I$10005,$I3087)&gt;0,N(U3086),N(U3086)+1))</f>
        <v>2</v>
      </c>
    </row>
    <row r="3088" customFormat="false" ht="15" hidden="false" customHeight="false" outlineLevel="0" collapsed="false">
      <c r="B3088" s="53"/>
      <c r="I3088" s="53"/>
      <c r="U3088" s="31" t="n">
        <f aca="false">IF($B3088&lt;&gt;'設定（最初に1回）'!$C$4,N(U3087),IF(COUNTIFS(①今日の在庫を貼る!$B$6:$B$10005,$B3088,①今日の在庫を貼る!$I$6:$I$10005,$I3088)&gt;0,N(U3087),N(U3087)+1))</f>
        <v>2</v>
      </c>
    </row>
    <row r="3089" customFormat="false" ht="15" hidden="false" customHeight="false" outlineLevel="0" collapsed="false">
      <c r="B3089" s="53"/>
      <c r="I3089" s="53"/>
      <c r="U3089" s="31" t="n">
        <f aca="false">IF($B3089&lt;&gt;'設定（最初に1回）'!$C$4,N(U3088),IF(COUNTIFS(①今日の在庫を貼る!$B$6:$B$10005,$B3089,①今日の在庫を貼る!$I$6:$I$10005,$I3089)&gt;0,N(U3088),N(U3088)+1))</f>
        <v>2</v>
      </c>
    </row>
    <row r="3090" customFormat="false" ht="15" hidden="false" customHeight="false" outlineLevel="0" collapsed="false">
      <c r="B3090" s="53"/>
      <c r="I3090" s="53"/>
      <c r="U3090" s="31" t="n">
        <f aca="false">IF($B3090&lt;&gt;'設定（最初に1回）'!$C$4,N(U3089),IF(COUNTIFS(①今日の在庫を貼る!$B$6:$B$10005,$B3090,①今日の在庫を貼る!$I$6:$I$10005,$I3090)&gt;0,N(U3089),N(U3089)+1))</f>
        <v>2</v>
      </c>
    </row>
    <row r="3091" customFormat="false" ht="15" hidden="false" customHeight="false" outlineLevel="0" collapsed="false">
      <c r="B3091" s="53"/>
      <c r="I3091" s="53"/>
      <c r="U3091" s="31" t="n">
        <f aca="false">IF($B3091&lt;&gt;'設定（最初に1回）'!$C$4,N(U3090),IF(COUNTIFS(①今日の在庫を貼る!$B$6:$B$10005,$B3091,①今日の在庫を貼る!$I$6:$I$10005,$I3091)&gt;0,N(U3090),N(U3090)+1))</f>
        <v>2</v>
      </c>
    </row>
    <row r="3092" customFormat="false" ht="15" hidden="false" customHeight="false" outlineLevel="0" collapsed="false">
      <c r="B3092" s="53"/>
      <c r="I3092" s="53"/>
      <c r="U3092" s="31" t="n">
        <f aca="false">IF($B3092&lt;&gt;'設定（最初に1回）'!$C$4,N(U3091),IF(COUNTIFS(①今日の在庫を貼る!$B$6:$B$10005,$B3092,①今日の在庫を貼る!$I$6:$I$10005,$I3092)&gt;0,N(U3091),N(U3091)+1))</f>
        <v>2</v>
      </c>
    </row>
    <row r="3093" customFormat="false" ht="15" hidden="false" customHeight="false" outlineLevel="0" collapsed="false">
      <c r="B3093" s="53"/>
      <c r="I3093" s="53"/>
      <c r="U3093" s="31" t="n">
        <f aca="false">IF($B3093&lt;&gt;'設定（最初に1回）'!$C$4,N(U3092),IF(COUNTIFS(①今日の在庫を貼る!$B$6:$B$10005,$B3093,①今日の在庫を貼る!$I$6:$I$10005,$I3093)&gt;0,N(U3092),N(U3092)+1))</f>
        <v>2</v>
      </c>
    </row>
    <row r="3094" customFormat="false" ht="15" hidden="false" customHeight="false" outlineLevel="0" collapsed="false">
      <c r="B3094" s="53"/>
      <c r="I3094" s="53"/>
      <c r="U3094" s="31" t="n">
        <f aca="false">IF($B3094&lt;&gt;'設定（最初に1回）'!$C$4,N(U3093),IF(COUNTIFS(①今日の在庫を貼る!$B$6:$B$10005,$B3094,①今日の在庫を貼る!$I$6:$I$10005,$I3094)&gt;0,N(U3093),N(U3093)+1))</f>
        <v>2</v>
      </c>
    </row>
    <row r="3095" customFormat="false" ht="15" hidden="false" customHeight="false" outlineLevel="0" collapsed="false">
      <c r="B3095" s="53"/>
      <c r="I3095" s="53"/>
      <c r="U3095" s="31" t="n">
        <f aca="false">IF($B3095&lt;&gt;'設定（最初に1回）'!$C$4,N(U3094),IF(COUNTIFS(①今日の在庫を貼る!$B$6:$B$10005,$B3095,①今日の在庫を貼る!$I$6:$I$10005,$I3095)&gt;0,N(U3094),N(U3094)+1))</f>
        <v>2</v>
      </c>
    </row>
    <row r="3096" customFormat="false" ht="15" hidden="false" customHeight="false" outlineLevel="0" collapsed="false">
      <c r="B3096" s="53"/>
      <c r="I3096" s="53"/>
      <c r="U3096" s="31" t="n">
        <f aca="false">IF($B3096&lt;&gt;'設定（最初に1回）'!$C$4,N(U3095),IF(COUNTIFS(①今日の在庫を貼る!$B$6:$B$10005,$B3096,①今日の在庫を貼る!$I$6:$I$10005,$I3096)&gt;0,N(U3095),N(U3095)+1))</f>
        <v>2</v>
      </c>
    </row>
    <row r="3097" customFormat="false" ht="15" hidden="false" customHeight="false" outlineLevel="0" collapsed="false">
      <c r="B3097" s="53"/>
      <c r="I3097" s="53"/>
      <c r="U3097" s="31" t="n">
        <f aca="false">IF($B3097&lt;&gt;'設定（最初に1回）'!$C$4,N(U3096),IF(COUNTIFS(①今日の在庫を貼る!$B$6:$B$10005,$B3097,①今日の在庫を貼る!$I$6:$I$10005,$I3097)&gt;0,N(U3096),N(U3096)+1))</f>
        <v>2</v>
      </c>
    </row>
    <row r="3098" customFormat="false" ht="15" hidden="false" customHeight="false" outlineLevel="0" collapsed="false">
      <c r="B3098" s="53"/>
      <c r="I3098" s="53"/>
      <c r="U3098" s="31" t="n">
        <f aca="false">IF($B3098&lt;&gt;'設定（最初に1回）'!$C$4,N(U3097),IF(COUNTIFS(①今日の在庫を貼る!$B$6:$B$10005,$B3098,①今日の在庫を貼る!$I$6:$I$10005,$I3098)&gt;0,N(U3097),N(U3097)+1))</f>
        <v>2</v>
      </c>
    </row>
    <row r="3099" customFormat="false" ht="15" hidden="false" customHeight="false" outlineLevel="0" collapsed="false">
      <c r="B3099" s="53"/>
      <c r="I3099" s="53"/>
      <c r="U3099" s="31" t="n">
        <f aca="false">IF($B3099&lt;&gt;'設定（最初に1回）'!$C$4,N(U3098),IF(COUNTIFS(①今日の在庫を貼る!$B$6:$B$10005,$B3099,①今日の在庫を貼る!$I$6:$I$10005,$I3099)&gt;0,N(U3098),N(U3098)+1))</f>
        <v>2</v>
      </c>
    </row>
    <row r="3100" customFormat="false" ht="15" hidden="false" customHeight="false" outlineLevel="0" collapsed="false">
      <c r="B3100" s="53"/>
      <c r="I3100" s="53"/>
      <c r="U3100" s="31" t="n">
        <f aca="false">IF($B3100&lt;&gt;'設定（最初に1回）'!$C$4,N(U3099),IF(COUNTIFS(①今日の在庫を貼る!$B$6:$B$10005,$B3100,①今日の在庫を貼る!$I$6:$I$10005,$I3100)&gt;0,N(U3099),N(U3099)+1))</f>
        <v>2</v>
      </c>
    </row>
    <row r="3101" customFormat="false" ht="15" hidden="false" customHeight="false" outlineLevel="0" collapsed="false">
      <c r="B3101" s="53"/>
      <c r="I3101" s="53"/>
      <c r="U3101" s="31" t="n">
        <f aca="false">IF($B3101&lt;&gt;'設定（最初に1回）'!$C$4,N(U3100),IF(COUNTIFS(①今日の在庫を貼る!$B$6:$B$10005,$B3101,①今日の在庫を貼る!$I$6:$I$10005,$I3101)&gt;0,N(U3100),N(U3100)+1))</f>
        <v>2</v>
      </c>
    </row>
    <row r="3102" customFormat="false" ht="15" hidden="false" customHeight="false" outlineLevel="0" collapsed="false">
      <c r="B3102" s="53"/>
      <c r="I3102" s="53"/>
      <c r="U3102" s="31" t="n">
        <f aca="false">IF($B3102&lt;&gt;'設定（最初に1回）'!$C$4,N(U3101),IF(COUNTIFS(①今日の在庫を貼る!$B$6:$B$10005,$B3102,①今日の在庫を貼る!$I$6:$I$10005,$I3102)&gt;0,N(U3101),N(U3101)+1))</f>
        <v>2</v>
      </c>
    </row>
    <row r="3103" customFormat="false" ht="15" hidden="false" customHeight="false" outlineLevel="0" collapsed="false">
      <c r="B3103" s="53"/>
      <c r="I3103" s="53"/>
      <c r="U3103" s="31" t="n">
        <f aca="false">IF($B3103&lt;&gt;'設定（最初に1回）'!$C$4,N(U3102),IF(COUNTIFS(①今日の在庫を貼る!$B$6:$B$10005,$B3103,①今日の在庫を貼る!$I$6:$I$10005,$I3103)&gt;0,N(U3102),N(U3102)+1))</f>
        <v>2</v>
      </c>
    </row>
    <row r="3104" customFormat="false" ht="15" hidden="false" customHeight="false" outlineLevel="0" collapsed="false">
      <c r="B3104" s="53"/>
      <c r="I3104" s="53"/>
      <c r="U3104" s="31" t="n">
        <f aca="false">IF($B3104&lt;&gt;'設定（最初に1回）'!$C$4,N(U3103),IF(COUNTIFS(①今日の在庫を貼る!$B$6:$B$10005,$B3104,①今日の在庫を貼る!$I$6:$I$10005,$I3104)&gt;0,N(U3103),N(U3103)+1))</f>
        <v>2</v>
      </c>
    </row>
    <row r="3105" customFormat="false" ht="15" hidden="false" customHeight="false" outlineLevel="0" collapsed="false">
      <c r="B3105" s="53"/>
      <c r="I3105" s="53"/>
      <c r="U3105" s="31" t="n">
        <f aca="false">IF($B3105&lt;&gt;'設定（最初に1回）'!$C$4,N(U3104),IF(COUNTIFS(①今日の在庫を貼る!$B$6:$B$10005,$B3105,①今日の在庫を貼る!$I$6:$I$10005,$I3105)&gt;0,N(U3104),N(U3104)+1))</f>
        <v>2</v>
      </c>
    </row>
    <row r="3106" customFormat="false" ht="15" hidden="false" customHeight="false" outlineLevel="0" collapsed="false">
      <c r="B3106" s="53"/>
      <c r="I3106" s="53"/>
      <c r="U3106" s="31" t="n">
        <f aca="false">IF($B3106&lt;&gt;'設定（最初に1回）'!$C$4,N(U3105),IF(COUNTIFS(①今日の在庫を貼る!$B$6:$B$10005,$B3106,①今日の在庫を貼る!$I$6:$I$10005,$I3106)&gt;0,N(U3105),N(U3105)+1))</f>
        <v>2</v>
      </c>
    </row>
    <row r="3107" customFormat="false" ht="15" hidden="false" customHeight="false" outlineLevel="0" collapsed="false">
      <c r="B3107" s="53"/>
      <c r="I3107" s="53"/>
      <c r="U3107" s="31" t="n">
        <f aca="false">IF($B3107&lt;&gt;'設定（最初に1回）'!$C$4,N(U3106),IF(COUNTIFS(①今日の在庫を貼る!$B$6:$B$10005,$B3107,①今日の在庫を貼る!$I$6:$I$10005,$I3107)&gt;0,N(U3106),N(U3106)+1))</f>
        <v>2</v>
      </c>
    </row>
    <row r="3108" customFormat="false" ht="15" hidden="false" customHeight="false" outlineLevel="0" collapsed="false">
      <c r="B3108" s="53"/>
      <c r="I3108" s="53"/>
      <c r="U3108" s="31" t="n">
        <f aca="false">IF($B3108&lt;&gt;'設定（最初に1回）'!$C$4,N(U3107),IF(COUNTIFS(①今日の在庫を貼る!$B$6:$B$10005,$B3108,①今日の在庫を貼る!$I$6:$I$10005,$I3108)&gt;0,N(U3107),N(U3107)+1))</f>
        <v>2</v>
      </c>
    </row>
    <row r="3109" customFormat="false" ht="15" hidden="false" customHeight="false" outlineLevel="0" collapsed="false">
      <c r="B3109" s="53"/>
      <c r="I3109" s="53"/>
      <c r="U3109" s="31" t="n">
        <f aca="false">IF($B3109&lt;&gt;'設定（最初に1回）'!$C$4,N(U3108),IF(COUNTIFS(①今日の在庫を貼る!$B$6:$B$10005,$B3109,①今日の在庫を貼る!$I$6:$I$10005,$I3109)&gt;0,N(U3108),N(U3108)+1))</f>
        <v>2</v>
      </c>
    </row>
    <row r="3110" customFormat="false" ht="15" hidden="false" customHeight="false" outlineLevel="0" collapsed="false">
      <c r="B3110" s="53"/>
      <c r="I3110" s="53"/>
      <c r="U3110" s="31" t="n">
        <f aca="false">IF($B3110&lt;&gt;'設定（最初に1回）'!$C$4,N(U3109),IF(COUNTIFS(①今日の在庫を貼る!$B$6:$B$10005,$B3110,①今日の在庫を貼る!$I$6:$I$10005,$I3110)&gt;0,N(U3109),N(U3109)+1))</f>
        <v>2</v>
      </c>
    </row>
    <row r="3111" customFormat="false" ht="15" hidden="false" customHeight="false" outlineLevel="0" collapsed="false">
      <c r="B3111" s="53"/>
      <c r="I3111" s="53"/>
      <c r="U3111" s="31" t="n">
        <f aca="false">IF($B3111&lt;&gt;'設定（最初に1回）'!$C$4,N(U3110),IF(COUNTIFS(①今日の在庫を貼る!$B$6:$B$10005,$B3111,①今日の在庫を貼る!$I$6:$I$10005,$I3111)&gt;0,N(U3110),N(U3110)+1))</f>
        <v>2</v>
      </c>
    </row>
    <row r="3112" customFormat="false" ht="15" hidden="false" customHeight="false" outlineLevel="0" collapsed="false">
      <c r="B3112" s="53"/>
      <c r="I3112" s="53"/>
      <c r="U3112" s="31" t="n">
        <f aca="false">IF($B3112&lt;&gt;'設定（最初に1回）'!$C$4,N(U3111),IF(COUNTIFS(①今日の在庫を貼る!$B$6:$B$10005,$B3112,①今日の在庫を貼る!$I$6:$I$10005,$I3112)&gt;0,N(U3111),N(U3111)+1))</f>
        <v>2</v>
      </c>
    </row>
    <row r="3113" customFormat="false" ht="15" hidden="false" customHeight="false" outlineLevel="0" collapsed="false">
      <c r="B3113" s="53"/>
      <c r="I3113" s="53"/>
      <c r="U3113" s="31" t="n">
        <f aca="false">IF($B3113&lt;&gt;'設定（最初に1回）'!$C$4,N(U3112),IF(COUNTIFS(①今日の在庫を貼る!$B$6:$B$10005,$B3113,①今日の在庫を貼る!$I$6:$I$10005,$I3113)&gt;0,N(U3112),N(U3112)+1))</f>
        <v>2</v>
      </c>
    </row>
    <row r="3114" customFormat="false" ht="15" hidden="false" customHeight="false" outlineLevel="0" collapsed="false">
      <c r="B3114" s="53"/>
      <c r="I3114" s="53"/>
      <c r="U3114" s="31" t="n">
        <f aca="false">IF($B3114&lt;&gt;'設定（最初に1回）'!$C$4,N(U3113),IF(COUNTIFS(①今日の在庫を貼る!$B$6:$B$10005,$B3114,①今日の在庫を貼る!$I$6:$I$10005,$I3114)&gt;0,N(U3113),N(U3113)+1))</f>
        <v>2</v>
      </c>
    </row>
    <row r="3115" customFormat="false" ht="15" hidden="false" customHeight="false" outlineLevel="0" collapsed="false">
      <c r="B3115" s="53"/>
      <c r="I3115" s="53"/>
      <c r="U3115" s="31" t="n">
        <f aca="false">IF($B3115&lt;&gt;'設定（最初に1回）'!$C$4,N(U3114),IF(COUNTIFS(①今日の在庫を貼る!$B$6:$B$10005,$B3115,①今日の在庫を貼る!$I$6:$I$10005,$I3115)&gt;0,N(U3114),N(U3114)+1))</f>
        <v>2</v>
      </c>
    </row>
    <row r="3116" customFormat="false" ht="15" hidden="false" customHeight="false" outlineLevel="0" collapsed="false">
      <c r="B3116" s="53"/>
      <c r="I3116" s="53"/>
      <c r="U3116" s="31" t="n">
        <f aca="false">IF($B3116&lt;&gt;'設定（最初に1回）'!$C$4,N(U3115),IF(COUNTIFS(①今日の在庫を貼る!$B$6:$B$10005,$B3116,①今日の在庫を貼る!$I$6:$I$10005,$I3116)&gt;0,N(U3115),N(U3115)+1))</f>
        <v>2</v>
      </c>
    </row>
    <row r="3117" customFormat="false" ht="15" hidden="false" customHeight="false" outlineLevel="0" collapsed="false">
      <c r="B3117" s="53"/>
      <c r="I3117" s="53"/>
      <c r="U3117" s="31" t="n">
        <f aca="false">IF($B3117&lt;&gt;'設定（最初に1回）'!$C$4,N(U3116),IF(COUNTIFS(①今日の在庫を貼る!$B$6:$B$10005,$B3117,①今日の在庫を貼る!$I$6:$I$10005,$I3117)&gt;0,N(U3116),N(U3116)+1))</f>
        <v>2</v>
      </c>
    </row>
    <row r="3118" customFormat="false" ht="15" hidden="false" customHeight="false" outlineLevel="0" collapsed="false">
      <c r="B3118" s="53"/>
      <c r="I3118" s="53"/>
      <c r="U3118" s="31" t="n">
        <f aca="false">IF($B3118&lt;&gt;'設定（最初に1回）'!$C$4,N(U3117),IF(COUNTIFS(①今日の在庫を貼る!$B$6:$B$10005,$B3118,①今日の在庫を貼る!$I$6:$I$10005,$I3118)&gt;0,N(U3117),N(U3117)+1))</f>
        <v>2</v>
      </c>
    </row>
    <row r="3119" customFormat="false" ht="15" hidden="false" customHeight="false" outlineLevel="0" collapsed="false">
      <c r="B3119" s="53"/>
      <c r="I3119" s="53"/>
      <c r="U3119" s="31" t="n">
        <f aca="false">IF($B3119&lt;&gt;'設定（最初に1回）'!$C$4,N(U3118),IF(COUNTIFS(①今日の在庫を貼る!$B$6:$B$10005,$B3119,①今日の在庫を貼る!$I$6:$I$10005,$I3119)&gt;0,N(U3118),N(U3118)+1))</f>
        <v>2</v>
      </c>
    </row>
    <row r="3120" customFormat="false" ht="15" hidden="false" customHeight="false" outlineLevel="0" collapsed="false">
      <c r="B3120" s="53"/>
      <c r="I3120" s="53"/>
      <c r="U3120" s="31" t="n">
        <f aca="false">IF($B3120&lt;&gt;'設定（最初に1回）'!$C$4,N(U3119),IF(COUNTIFS(①今日の在庫を貼る!$B$6:$B$10005,$B3120,①今日の在庫を貼る!$I$6:$I$10005,$I3120)&gt;0,N(U3119),N(U3119)+1))</f>
        <v>2</v>
      </c>
    </row>
    <row r="3121" customFormat="false" ht="15" hidden="false" customHeight="false" outlineLevel="0" collapsed="false">
      <c r="B3121" s="53"/>
      <c r="I3121" s="53"/>
      <c r="U3121" s="31" t="n">
        <f aca="false">IF($B3121&lt;&gt;'設定（最初に1回）'!$C$4,N(U3120),IF(COUNTIFS(①今日の在庫を貼る!$B$6:$B$10005,$B3121,①今日の在庫を貼る!$I$6:$I$10005,$I3121)&gt;0,N(U3120),N(U3120)+1))</f>
        <v>2</v>
      </c>
    </row>
    <row r="3122" customFormat="false" ht="15" hidden="false" customHeight="false" outlineLevel="0" collapsed="false">
      <c r="B3122" s="53"/>
      <c r="I3122" s="53"/>
      <c r="U3122" s="31" t="n">
        <f aca="false">IF($B3122&lt;&gt;'設定（最初に1回）'!$C$4,N(U3121),IF(COUNTIFS(①今日の在庫を貼る!$B$6:$B$10005,$B3122,①今日の在庫を貼る!$I$6:$I$10005,$I3122)&gt;0,N(U3121),N(U3121)+1))</f>
        <v>2</v>
      </c>
    </row>
    <row r="3123" customFormat="false" ht="15" hidden="false" customHeight="false" outlineLevel="0" collapsed="false">
      <c r="B3123" s="53"/>
      <c r="I3123" s="53"/>
      <c r="U3123" s="31" t="n">
        <f aca="false">IF($B3123&lt;&gt;'設定（最初に1回）'!$C$4,N(U3122),IF(COUNTIFS(①今日の在庫を貼る!$B$6:$B$10005,$B3123,①今日の在庫を貼る!$I$6:$I$10005,$I3123)&gt;0,N(U3122),N(U3122)+1))</f>
        <v>2</v>
      </c>
    </row>
    <row r="3124" customFormat="false" ht="15" hidden="false" customHeight="false" outlineLevel="0" collapsed="false">
      <c r="B3124" s="53"/>
      <c r="I3124" s="53"/>
      <c r="U3124" s="31" t="n">
        <f aca="false">IF($B3124&lt;&gt;'設定（最初に1回）'!$C$4,N(U3123),IF(COUNTIFS(①今日の在庫を貼る!$B$6:$B$10005,$B3124,①今日の在庫を貼る!$I$6:$I$10005,$I3124)&gt;0,N(U3123),N(U3123)+1))</f>
        <v>2</v>
      </c>
    </row>
    <row r="3125" customFormat="false" ht="15" hidden="false" customHeight="false" outlineLevel="0" collapsed="false">
      <c r="B3125" s="53"/>
      <c r="I3125" s="53"/>
      <c r="U3125" s="31" t="n">
        <f aca="false">IF($B3125&lt;&gt;'設定（最初に1回）'!$C$4,N(U3124),IF(COUNTIFS(①今日の在庫を貼る!$B$6:$B$10005,$B3125,①今日の在庫を貼る!$I$6:$I$10005,$I3125)&gt;0,N(U3124),N(U3124)+1))</f>
        <v>2</v>
      </c>
    </row>
    <row r="3126" customFormat="false" ht="15" hidden="false" customHeight="false" outlineLevel="0" collapsed="false">
      <c r="B3126" s="53"/>
      <c r="I3126" s="53"/>
      <c r="U3126" s="31" t="n">
        <f aca="false">IF($B3126&lt;&gt;'設定（最初に1回）'!$C$4,N(U3125),IF(COUNTIFS(①今日の在庫を貼る!$B$6:$B$10005,$B3126,①今日の在庫を貼る!$I$6:$I$10005,$I3126)&gt;0,N(U3125),N(U3125)+1))</f>
        <v>2</v>
      </c>
    </row>
    <row r="3127" customFormat="false" ht="15" hidden="false" customHeight="false" outlineLevel="0" collapsed="false">
      <c r="B3127" s="53"/>
      <c r="I3127" s="53"/>
      <c r="U3127" s="31" t="n">
        <f aca="false">IF($B3127&lt;&gt;'設定（最初に1回）'!$C$4,N(U3126),IF(COUNTIFS(①今日の在庫を貼る!$B$6:$B$10005,$B3127,①今日の在庫を貼る!$I$6:$I$10005,$I3127)&gt;0,N(U3126),N(U3126)+1))</f>
        <v>2</v>
      </c>
    </row>
    <row r="3128" customFormat="false" ht="15" hidden="false" customHeight="false" outlineLevel="0" collapsed="false">
      <c r="B3128" s="53"/>
      <c r="I3128" s="53"/>
      <c r="U3128" s="31" t="n">
        <f aca="false">IF($B3128&lt;&gt;'設定（最初に1回）'!$C$4,N(U3127),IF(COUNTIFS(①今日の在庫を貼る!$B$6:$B$10005,$B3128,①今日の在庫を貼る!$I$6:$I$10005,$I3128)&gt;0,N(U3127),N(U3127)+1))</f>
        <v>2</v>
      </c>
    </row>
    <row r="3129" customFormat="false" ht="15" hidden="false" customHeight="false" outlineLevel="0" collapsed="false">
      <c r="B3129" s="53"/>
      <c r="I3129" s="53"/>
      <c r="U3129" s="31" t="n">
        <f aca="false">IF($B3129&lt;&gt;'設定（最初に1回）'!$C$4,N(U3128),IF(COUNTIFS(①今日の在庫を貼る!$B$6:$B$10005,$B3129,①今日の在庫を貼る!$I$6:$I$10005,$I3129)&gt;0,N(U3128),N(U3128)+1))</f>
        <v>2</v>
      </c>
    </row>
    <row r="3130" customFormat="false" ht="15" hidden="false" customHeight="false" outlineLevel="0" collapsed="false">
      <c r="B3130" s="53"/>
      <c r="I3130" s="53"/>
      <c r="U3130" s="31" t="n">
        <f aca="false">IF($B3130&lt;&gt;'設定（最初に1回）'!$C$4,N(U3129),IF(COUNTIFS(①今日の在庫を貼る!$B$6:$B$10005,$B3130,①今日の在庫を貼る!$I$6:$I$10005,$I3130)&gt;0,N(U3129),N(U3129)+1))</f>
        <v>2</v>
      </c>
    </row>
    <row r="3131" customFormat="false" ht="15" hidden="false" customHeight="false" outlineLevel="0" collapsed="false">
      <c r="B3131" s="53"/>
      <c r="I3131" s="53"/>
      <c r="U3131" s="31" t="n">
        <f aca="false">IF($B3131&lt;&gt;'設定（最初に1回）'!$C$4,N(U3130),IF(COUNTIFS(①今日の在庫を貼る!$B$6:$B$10005,$B3131,①今日の在庫を貼る!$I$6:$I$10005,$I3131)&gt;0,N(U3130),N(U3130)+1))</f>
        <v>2</v>
      </c>
    </row>
    <row r="3132" customFormat="false" ht="15" hidden="false" customHeight="false" outlineLevel="0" collapsed="false">
      <c r="B3132" s="53"/>
      <c r="I3132" s="53"/>
      <c r="U3132" s="31" t="n">
        <f aca="false">IF($B3132&lt;&gt;'設定（最初に1回）'!$C$4,N(U3131),IF(COUNTIFS(①今日の在庫を貼る!$B$6:$B$10005,$B3132,①今日の在庫を貼る!$I$6:$I$10005,$I3132)&gt;0,N(U3131),N(U3131)+1))</f>
        <v>2</v>
      </c>
    </row>
    <row r="3133" customFormat="false" ht="15" hidden="false" customHeight="false" outlineLevel="0" collapsed="false">
      <c r="B3133" s="53"/>
      <c r="I3133" s="53"/>
      <c r="U3133" s="31" t="n">
        <f aca="false">IF($B3133&lt;&gt;'設定（最初に1回）'!$C$4,N(U3132),IF(COUNTIFS(①今日の在庫を貼る!$B$6:$B$10005,$B3133,①今日の在庫を貼る!$I$6:$I$10005,$I3133)&gt;0,N(U3132),N(U3132)+1))</f>
        <v>2</v>
      </c>
    </row>
    <row r="3134" customFormat="false" ht="15" hidden="false" customHeight="false" outlineLevel="0" collapsed="false">
      <c r="B3134" s="53"/>
      <c r="I3134" s="53"/>
      <c r="U3134" s="31" t="n">
        <f aca="false">IF($B3134&lt;&gt;'設定（最初に1回）'!$C$4,N(U3133),IF(COUNTIFS(①今日の在庫を貼る!$B$6:$B$10005,$B3134,①今日の在庫を貼る!$I$6:$I$10005,$I3134)&gt;0,N(U3133),N(U3133)+1))</f>
        <v>2</v>
      </c>
    </row>
    <row r="3135" customFormat="false" ht="15" hidden="false" customHeight="false" outlineLevel="0" collapsed="false">
      <c r="B3135" s="53"/>
      <c r="I3135" s="53"/>
      <c r="U3135" s="31" t="n">
        <f aca="false">IF($B3135&lt;&gt;'設定（最初に1回）'!$C$4,N(U3134),IF(COUNTIFS(①今日の在庫を貼る!$B$6:$B$10005,$B3135,①今日の在庫を貼る!$I$6:$I$10005,$I3135)&gt;0,N(U3134),N(U3134)+1))</f>
        <v>2</v>
      </c>
    </row>
    <row r="3136" customFormat="false" ht="15" hidden="false" customHeight="false" outlineLevel="0" collapsed="false">
      <c r="B3136" s="53"/>
      <c r="I3136" s="53"/>
      <c r="U3136" s="31" t="n">
        <f aca="false">IF($B3136&lt;&gt;'設定（最初に1回）'!$C$4,N(U3135),IF(COUNTIFS(①今日の在庫を貼る!$B$6:$B$10005,$B3136,①今日の在庫を貼る!$I$6:$I$10005,$I3136)&gt;0,N(U3135),N(U3135)+1))</f>
        <v>2</v>
      </c>
    </row>
    <row r="3137" customFormat="false" ht="15" hidden="false" customHeight="false" outlineLevel="0" collapsed="false">
      <c r="B3137" s="53"/>
      <c r="I3137" s="53"/>
      <c r="U3137" s="31" t="n">
        <f aca="false">IF($B3137&lt;&gt;'設定（最初に1回）'!$C$4,N(U3136),IF(COUNTIFS(①今日の在庫を貼る!$B$6:$B$10005,$B3137,①今日の在庫を貼る!$I$6:$I$10005,$I3137)&gt;0,N(U3136),N(U3136)+1))</f>
        <v>2</v>
      </c>
    </row>
    <row r="3138" customFormat="false" ht="15" hidden="false" customHeight="false" outlineLevel="0" collapsed="false">
      <c r="B3138" s="53"/>
      <c r="I3138" s="53"/>
      <c r="U3138" s="31" t="n">
        <f aca="false">IF($B3138&lt;&gt;'設定（最初に1回）'!$C$4,N(U3137),IF(COUNTIFS(①今日の在庫を貼る!$B$6:$B$10005,$B3138,①今日の在庫を貼る!$I$6:$I$10005,$I3138)&gt;0,N(U3137),N(U3137)+1))</f>
        <v>2</v>
      </c>
    </row>
    <row r="3139" customFormat="false" ht="15" hidden="false" customHeight="false" outlineLevel="0" collapsed="false">
      <c r="B3139" s="53"/>
      <c r="I3139" s="53"/>
      <c r="U3139" s="31" t="n">
        <f aca="false">IF($B3139&lt;&gt;'設定（最初に1回）'!$C$4,N(U3138),IF(COUNTIFS(①今日の在庫を貼る!$B$6:$B$10005,$B3139,①今日の在庫を貼る!$I$6:$I$10005,$I3139)&gt;0,N(U3138),N(U3138)+1))</f>
        <v>2</v>
      </c>
    </row>
    <row r="3140" customFormat="false" ht="15" hidden="false" customHeight="false" outlineLevel="0" collapsed="false">
      <c r="B3140" s="53"/>
      <c r="I3140" s="53"/>
      <c r="U3140" s="31" t="n">
        <f aca="false">IF($B3140&lt;&gt;'設定（最初に1回）'!$C$4,N(U3139),IF(COUNTIFS(①今日の在庫を貼る!$B$6:$B$10005,$B3140,①今日の在庫を貼る!$I$6:$I$10005,$I3140)&gt;0,N(U3139),N(U3139)+1))</f>
        <v>2</v>
      </c>
    </row>
    <row r="3141" customFormat="false" ht="15" hidden="false" customHeight="false" outlineLevel="0" collapsed="false">
      <c r="B3141" s="53"/>
      <c r="I3141" s="53"/>
      <c r="U3141" s="31" t="n">
        <f aca="false">IF($B3141&lt;&gt;'設定（最初に1回）'!$C$4,N(U3140),IF(COUNTIFS(①今日の在庫を貼る!$B$6:$B$10005,$B3141,①今日の在庫を貼る!$I$6:$I$10005,$I3141)&gt;0,N(U3140),N(U3140)+1))</f>
        <v>2</v>
      </c>
    </row>
    <row r="3142" customFormat="false" ht="15" hidden="false" customHeight="false" outlineLevel="0" collapsed="false">
      <c r="B3142" s="53"/>
      <c r="I3142" s="53"/>
      <c r="U3142" s="31" t="n">
        <f aca="false">IF($B3142&lt;&gt;'設定（最初に1回）'!$C$4,N(U3141),IF(COUNTIFS(①今日の在庫を貼る!$B$6:$B$10005,$B3142,①今日の在庫を貼る!$I$6:$I$10005,$I3142)&gt;0,N(U3141),N(U3141)+1))</f>
        <v>2</v>
      </c>
    </row>
    <row r="3143" customFormat="false" ht="15" hidden="false" customHeight="false" outlineLevel="0" collapsed="false">
      <c r="B3143" s="53"/>
      <c r="I3143" s="53"/>
      <c r="U3143" s="31" t="n">
        <f aca="false">IF($B3143&lt;&gt;'設定（最初に1回）'!$C$4,N(U3142),IF(COUNTIFS(①今日の在庫を貼る!$B$6:$B$10005,$B3143,①今日の在庫を貼る!$I$6:$I$10005,$I3143)&gt;0,N(U3142),N(U3142)+1))</f>
        <v>2</v>
      </c>
    </row>
    <row r="3144" customFormat="false" ht="15" hidden="false" customHeight="false" outlineLevel="0" collapsed="false">
      <c r="B3144" s="53"/>
      <c r="I3144" s="53"/>
      <c r="U3144" s="31" t="n">
        <f aca="false">IF($B3144&lt;&gt;'設定（最初に1回）'!$C$4,N(U3143),IF(COUNTIFS(①今日の在庫を貼る!$B$6:$B$10005,$B3144,①今日の在庫を貼る!$I$6:$I$10005,$I3144)&gt;0,N(U3143),N(U3143)+1))</f>
        <v>2</v>
      </c>
    </row>
    <row r="3145" customFormat="false" ht="15" hidden="false" customHeight="false" outlineLevel="0" collapsed="false">
      <c r="B3145" s="53"/>
      <c r="I3145" s="53"/>
      <c r="U3145" s="31" t="n">
        <f aca="false">IF($B3145&lt;&gt;'設定（最初に1回）'!$C$4,N(U3144),IF(COUNTIFS(①今日の在庫を貼る!$B$6:$B$10005,$B3145,①今日の在庫を貼る!$I$6:$I$10005,$I3145)&gt;0,N(U3144),N(U3144)+1))</f>
        <v>2</v>
      </c>
    </row>
    <row r="3146" customFormat="false" ht="15" hidden="false" customHeight="false" outlineLevel="0" collapsed="false">
      <c r="B3146" s="53"/>
      <c r="I3146" s="53"/>
      <c r="U3146" s="31" t="n">
        <f aca="false">IF($B3146&lt;&gt;'設定（最初に1回）'!$C$4,N(U3145),IF(COUNTIFS(①今日の在庫を貼る!$B$6:$B$10005,$B3146,①今日の在庫を貼る!$I$6:$I$10005,$I3146)&gt;0,N(U3145),N(U3145)+1))</f>
        <v>2</v>
      </c>
    </row>
    <row r="3147" customFormat="false" ht="15" hidden="false" customHeight="false" outlineLevel="0" collapsed="false">
      <c r="B3147" s="53"/>
      <c r="I3147" s="53"/>
      <c r="U3147" s="31" t="n">
        <f aca="false">IF($B3147&lt;&gt;'設定（最初に1回）'!$C$4,N(U3146),IF(COUNTIFS(①今日の在庫を貼る!$B$6:$B$10005,$B3147,①今日の在庫を貼る!$I$6:$I$10005,$I3147)&gt;0,N(U3146),N(U3146)+1))</f>
        <v>2</v>
      </c>
    </row>
    <row r="3148" customFormat="false" ht="15" hidden="false" customHeight="false" outlineLevel="0" collapsed="false">
      <c r="B3148" s="53"/>
      <c r="I3148" s="53"/>
      <c r="U3148" s="31" t="n">
        <f aca="false">IF($B3148&lt;&gt;'設定（最初に1回）'!$C$4,N(U3147),IF(COUNTIFS(①今日の在庫を貼る!$B$6:$B$10005,$B3148,①今日の在庫を貼る!$I$6:$I$10005,$I3148)&gt;0,N(U3147),N(U3147)+1))</f>
        <v>2</v>
      </c>
    </row>
    <row r="3149" customFormat="false" ht="15" hidden="false" customHeight="false" outlineLevel="0" collapsed="false">
      <c r="B3149" s="53"/>
      <c r="I3149" s="53"/>
      <c r="U3149" s="31" t="n">
        <f aca="false">IF($B3149&lt;&gt;'設定（最初に1回）'!$C$4,N(U3148),IF(COUNTIFS(①今日の在庫を貼る!$B$6:$B$10005,$B3149,①今日の在庫を貼る!$I$6:$I$10005,$I3149)&gt;0,N(U3148),N(U3148)+1))</f>
        <v>2</v>
      </c>
    </row>
    <row r="3150" customFormat="false" ht="15" hidden="false" customHeight="false" outlineLevel="0" collapsed="false">
      <c r="B3150" s="53"/>
      <c r="I3150" s="53"/>
      <c r="U3150" s="31" t="n">
        <f aca="false">IF($B3150&lt;&gt;'設定（最初に1回）'!$C$4,N(U3149),IF(COUNTIFS(①今日の在庫を貼る!$B$6:$B$10005,$B3150,①今日の在庫を貼る!$I$6:$I$10005,$I3150)&gt;0,N(U3149),N(U3149)+1))</f>
        <v>2</v>
      </c>
    </row>
    <row r="3151" customFormat="false" ht="15" hidden="false" customHeight="false" outlineLevel="0" collapsed="false">
      <c r="B3151" s="53"/>
      <c r="I3151" s="53"/>
      <c r="U3151" s="31" t="n">
        <f aca="false">IF($B3151&lt;&gt;'設定（最初に1回）'!$C$4,N(U3150),IF(COUNTIFS(①今日の在庫を貼る!$B$6:$B$10005,$B3151,①今日の在庫を貼る!$I$6:$I$10005,$I3151)&gt;0,N(U3150),N(U3150)+1))</f>
        <v>2</v>
      </c>
    </row>
    <row r="3152" customFormat="false" ht="15" hidden="false" customHeight="false" outlineLevel="0" collapsed="false">
      <c r="B3152" s="53"/>
      <c r="I3152" s="53"/>
      <c r="U3152" s="31" t="n">
        <f aca="false">IF($B3152&lt;&gt;'設定（最初に1回）'!$C$4,N(U3151),IF(COUNTIFS(①今日の在庫を貼る!$B$6:$B$10005,$B3152,①今日の在庫を貼る!$I$6:$I$10005,$I3152)&gt;0,N(U3151),N(U3151)+1))</f>
        <v>2</v>
      </c>
    </row>
    <row r="3153" customFormat="false" ht="15" hidden="false" customHeight="false" outlineLevel="0" collapsed="false">
      <c r="B3153" s="53"/>
      <c r="I3153" s="53"/>
      <c r="U3153" s="31" t="n">
        <f aca="false">IF($B3153&lt;&gt;'設定（最初に1回）'!$C$4,N(U3152),IF(COUNTIFS(①今日の在庫を貼る!$B$6:$B$10005,$B3153,①今日の在庫を貼る!$I$6:$I$10005,$I3153)&gt;0,N(U3152),N(U3152)+1))</f>
        <v>2</v>
      </c>
    </row>
    <row r="3154" customFormat="false" ht="15" hidden="false" customHeight="false" outlineLevel="0" collapsed="false">
      <c r="B3154" s="53"/>
      <c r="I3154" s="53"/>
      <c r="U3154" s="31" t="n">
        <f aca="false">IF($B3154&lt;&gt;'設定（最初に1回）'!$C$4,N(U3153),IF(COUNTIFS(①今日の在庫を貼る!$B$6:$B$10005,$B3154,①今日の在庫を貼る!$I$6:$I$10005,$I3154)&gt;0,N(U3153),N(U3153)+1))</f>
        <v>2</v>
      </c>
    </row>
    <row r="3155" customFormat="false" ht="15" hidden="false" customHeight="false" outlineLevel="0" collapsed="false">
      <c r="B3155" s="53"/>
      <c r="I3155" s="53"/>
      <c r="U3155" s="31" t="n">
        <f aca="false">IF($B3155&lt;&gt;'設定（最初に1回）'!$C$4,N(U3154),IF(COUNTIFS(①今日の在庫を貼る!$B$6:$B$10005,$B3155,①今日の在庫を貼る!$I$6:$I$10005,$I3155)&gt;0,N(U3154),N(U3154)+1))</f>
        <v>2</v>
      </c>
    </row>
    <row r="3156" customFormat="false" ht="15" hidden="false" customHeight="false" outlineLevel="0" collapsed="false">
      <c r="B3156" s="53"/>
      <c r="I3156" s="53"/>
      <c r="U3156" s="31" t="n">
        <f aca="false">IF($B3156&lt;&gt;'設定（最初に1回）'!$C$4,N(U3155),IF(COUNTIFS(①今日の在庫を貼る!$B$6:$B$10005,$B3156,①今日の在庫を貼る!$I$6:$I$10005,$I3156)&gt;0,N(U3155),N(U3155)+1))</f>
        <v>2</v>
      </c>
    </row>
    <row r="3157" customFormat="false" ht="15" hidden="false" customHeight="false" outlineLevel="0" collapsed="false">
      <c r="B3157" s="53"/>
      <c r="I3157" s="53"/>
      <c r="U3157" s="31" t="n">
        <f aca="false">IF($B3157&lt;&gt;'設定（最初に1回）'!$C$4,N(U3156),IF(COUNTIFS(①今日の在庫を貼る!$B$6:$B$10005,$B3157,①今日の在庫を貼る!$I$6:$I$10005,$I3157)&gt;0,N(U3156),N(U3156)+1))</f>
        <v>2</v>
      </c>
    </row>
    <row r="3158" customFormat="false" ht="15" hidden="false" customHeight="false" outlineLevel="0" collapsed="false">
      <c r="B3158" s="53"/>
      <c r="I3158" s="53"/>
      <c r="U3158" s="31" t="n">
        <f aca="false">IF($B3158&lt;&gt;'設定（最初に1回）'!$C$4,N(U3157),IF(COUNTIFS(①今日の在庫を貼る!$B$6:$B$10005,$B3158,①今日の在庫を貼る!$I$6:$I$10005,$I3158)&gt;0,N(U3157),N(U3157)+1))</f>
        <v>2</v>
      </c>
    </row>
    <row r="3159" customFormat="false" ht="15" hidden="false" customHeight="false" outlineLevel="0" collapsed="false">
      <c r="B3159" s="53"/>
      <c r="I3159" s="53"/>
      <c r="U3159" s="31" t="n">
        <f aca="false">IF($B3159&lt;&gt;'設定（最初に1回）'!$C$4,N(U3158),IF(COUNTIFS(①今日の在庫を貼る!$B$6:$B$10005,$B3159,①今日の在庫を貼る!$I$6:$I$10005,$I3159)&gt;0,N(U3158),N(U3158)+1))</f>
        <v>2</v>
      </c>
    </row>
    <row r="3160" customFormat="false" ht="15" hidden="false" customHeight="false" outlineLevel="0" collapsed="false">
      <c r="B3160" s="53"/>
      <c r="I3160" s="53"/>
      <c r="U3160" s="31" t="n">
        <f aca="false">IF($B3160&lt;&gt;'設定（最初に1回）'!$C$4,N(U3159),IF(COUNTIFS(①今日の在庫を貼る!$B$6:$B$10005,$B3160,①今日の在庫を貼る!$I$6:$I$10005,$I3160)&gt;0,N(U3159),N(U3159)+1))</f>
        <v>2</v>
      </c>
    </row>
    <row r="3161" customFormat="false" ht="15" hidden="false" customHeight="false" outlineLevel="0" collapsed="false">
      <c r="B3161" s="53"/>
      <c r="I3161" s="53"/>
      <c r="U3161" s="31" t="n">
        <f aca="false">IF($B3161&lt;&gt;'設定（最初に1回）'!$C$4,N(U3160),IF(COUNTIFS(①今日の在庫を貼る!$B$6:$B$10005,$B3161,①今日の在庫を貼る!$I$6:$I$10005,$I3161)&gt;0,N(U3160),N(U3160)+1))</f>
        <v>2</v>
      </c>
    </row>
    <row r="3162" customFormat="false" ht="15" hidden="false" customHeight="false" outlineLevel="0" collapsed="false">
      <c r="B3162" s="53"/>
      <c r="I3162" s="53"/>
      <c r="U3162" s="31" t="n">
        <f aca="false">IF($B3162&lt;&gt;'設定（最初に1回）'!$C$4,N(U3161),IF(COUNTIFS(①今日の在庫を貼る!$B$6:$B$10005,$B3162,①今日の在庫を貼る!$I$6:$I$10005,$I3162)&gt;0,N(U3161),N(U3161)+1))</f>
        <v>2</v>
      </c>
    </row>
    <row r="3163" customFormat="false" ht="15" hidden="false" customHeight="false" outlineLevel="0" collapsed="false">
      <c r="B3163" s="53"/>
      <c r="I3163" s="53"/>
      <c r="U3163" s="31" t="n">
        <f aca="false">IF($B3163&lt;&gt;'設定（最初に1回）'!$C$4,N(U3162),IF(COUNTIFS(①今日の在庫を貼る!$B$6:$B$10005,$B3163,①今日の在庫を貼る!$I$6:$I$10005,$I3163)&gt;0,N(U3162),N(U3162)+1))</f>
        <v>2</v>
      </c>
    </row>
    <row r="3164" customFormat="false" ht="15" hidden="false" customHeight="false" outlineLevel="0" collapsed="false">
      <c r="B3164" s="53"/>
      <c r="I3164" s="53"/>
      <c r="U3164" s="31" t="n">
        <f aca="false">IF($B3164&lt;&gt;'設定（最初に1回）'!$C$4,N(U3163),IF(COUNTIFS(①今日の在庫を貼る!$B$6:$B$10005,$B3164,①今日の在庫を貼る!$I$6:$I$10005,$I3164)&gt;0,N(U3163),N(U3163)+1))</f>
        <v>2</v>
      </c>
    </row>
    <row r="3165" customFormat="false" ht="15" hidden="false" customHeight="false" outlineLevel="0" collapsed="false">
      <c r="B3165" s="53"/>
      <c r="I3165" s="53"/>
      <c r="U3165" s="31" t="n">
        <f aca="false">IF($B3165&lt;&gt;'設定（最初に1回）'!$C$4,N(U3164),IF(COUNTIFS(①今日の在庫を貼る!$B$6:$B$10005,$B3165,①今日の在庫を貼る!$I$6:$I$10005,$I3165)&gt;0,N(U3164),N(U3164)+1))</f>
        <v>2</v>
      </c>
    </row>
    <row r="3166" customFormat="false" ht="15" hidden="false" customHeight="false" outlineLevel="0" collapsed="false">
      <c r="B3166" s="53"/>
      <c r="I3166" s="53"/>
      <c r="U3166" s="31" t="n">
        <f aca="false">IF($B3166&lt;&gt;'設定（最初に1回）'!$C$4,N(U3165),IF(COUNTIFS(①今日の在庫を貼る!$B$6:$B$10005,$B3166,①今日の在庫を貼る!$I$6:$I$10005,$I3166)&gt;0,N(U3165),N(U3165)+1))</f>
        <v>2</v>
      </c>
    </row>
    <row r="3167" customFormat="false" ht="15" hidden="false" customHeight="false" outlineLevel="0" collapsed="false">
      <c r="B3167" s="53"/>
      <c r="I3167" s="53"/>
      <c r="U3167" s="31" t="n">
        <f aca="false">IF($B3167&lt;&gt;'設定（最初に1回）'!$C$4,N(U3166),IF(COUNTIFS(①今日の在庫を貼る!$B$6:$B$10005,$B3167,①今日の在庫を貼る!$I$6:$I$10005,$I3167)&gt;0,N(U3166),N(U3166)+1))</f>
        <v>2</v>
      </c>
    </row>
    <row r="3168" customFormat="false" ht="15" hidden="false" customHeight="false" outlineLevel="0" collapsed="false">
      <c r="B3168" s="53"/>
      <c r="I3168" s="53"/>
      <c r="U3168" s="31" t="n">
        <f aca="false">IF($B3168&lt;&gt;'設定（最初に1回）'!$C$4,N(U3167),IF(COUNTIFS(①今日の在庫を貼る!$B$6:$B$10005,$B3168,①今日の在庫を貼る!$I$6:$I$10005,$I3168)&gt;0,N(U3167),N(U3167)+1))</f>
        <v>2</v>
      </c>
    </row>
    <row r="3169" customFormat="false" ht="15" hidden="false" customHeight="false" outlineLevel="0" collapsed="false">
      <c r="B3169" s="53"/>
      <c r="I3169" s="53"/>
      <c r="U3169" s="31" t="n">
        <f aca="false">IF($B3169&lt;&gt;'設定（最初に1回）'!$C$4,N(U3168),IF(COUNTIFS(①今日の在庫を貼る!$B$6:$B$10005,$B3169,①今日の在庫を貼る!$I$6:$I$10005,$I3169)&gt;0,N(U3168),N(U3168)+1))</f>
        <v>2</v>
      </c>
    </row>
    <row r="3170" customFormat="false" ht="15" hidden="false" customHeight="false" outlineLevel="0" collapsed="false">
      <c r="B3170" s="53"/>
      <c r="I3170" s="53"/>
      <c r="U3170" s="31" t="n">
        <f aca="false">IF($B3170&lt;&gt;'設定（最初に1回）'!$C$4,N(U3169),IF(COUNTIFS(①今日の在庫を貼る!$B$6:$B$10005,$B3170,①今日の在庫を貼る!$I$6:$I$10005,$I3170)&gt;0,N(U3169),N(U3169)+1))</f>
        <v>2</v>
      </c>
    </row>
    <row r="3171" customFormat="false" ht="15" hidden="false" customHeight="false" outlineLevel="0" collapsed="false">
      <c r="B3171" s="53"/>
      <c r="I3171" s="53"/>
      <c r="U3171" s="31" t="n">
        <f aca="false">IF($B3171&lt;&gt;'設定（最初に1回）'!$C$4,N(U3170),IF(COUNTIFS(①今日の在庫を貼る!$B$6:$B$10005,$B3171,①今日の在庫を貼る!$I$6:$I$10005,$I3171)&gt;0,N(U3170),N(U3170)+1))</f>
        <v>2</v>
      </c>
    </row>
    <row r="3172" customFormat="false" ht="15" hidden="false" customHeight="false" outlineLevel="0" collapsed="false">
      <c r="B3172" s="53"/>
      <c r="I3172" s="53"/>
      <c r="U3172" s="31" t="n">
        <f aca="false">IF($B3172&lt;&gt;'設定（最初に1回）'!$C$4,N(U3171),IF(COUNTIFS(①今日の在庫を貼る!$B$6:$B$10005,$B3172,①今日の在庫を貼る!$I$6:$I$10005,$I3172)&gt;0,N(U3171),N(U3171)+1))</f>
        <v>2</v>
      </c>
    </row>
    <row r="3173" customFormat="false" ht="15" hidden="false" customHeight="false" outlineLevel="0" collapsed="false">
      <c r="B3173" s="53"/>
      <c r="I3173" s="53"/>
      <c r="U3173" s="31" t="n">
        <f aca="false">IF($B3173&lt;&gt;'設定（最初に1回）'!$C$4,N(U3172),IF(COUNTIFS(①今日の在庫を貼る!$B$6:$B$10005,$B3173,①今日の在庫を貼る!$I$6:$I$10005,$I3173)&gt;0,N(U3172),N(U3172)+1))</f>
        <v>2</v>
      </c>
    </row>
    <row r="3174" customFormat="false" ht="15" hidden="false" customHeight="false" outlineLevel="0" collapsed="false">
      <c r="B3174" s="53"/>
      <c r="I3174" s="53"/>
      <c r="U3174" s="31" t="n">
        <f aca="false">IF($B3174&lt;&gt;'設定（最初に1回）'!$C$4,N(U3173),IF(COUNTIFS(①今日の在庫を貼る!$B$6:$B$10005,$B3174,①今日の在庫を貼る!$I$6:$I$10005,$I3174)&gt;0,N(U3173),N(U3173)+1))</f>
        <v>2</v>
      </c>
    </row>
    <row r="3175" customFormat="false" ht="15" hidden="false" customHeight="false" outlineLevel="0" collapsed="false">
      <c r="B3175" s="53"/>
      <c r="I3175" s="53"/>
      <c r="U3175" s="31" t="n">
        <f aca="false">IF($B3175&lt;&gt;'設定（最初に1回）'!$C$4,N(U3174),IF(COUNTIFS(①今日の在庫を貼る!$B$6:$B$10005,$B3175,①今日の在庫を貼る!$I$6:$I$10005,$I3175)&gt;0,N(U3174),N(U3174)+1))</f>
        <v>2</v>
      </c>
    </row>
    <row r="3176" customFormat="false" ht="15" hidden="false" customHeight="false" outlineLevel="0" collapsed="false">
      <c r="B3176" s="53"/>
      <c r="I3176" s="53"/>
      <c r="U3176" s="31" t="n">
        <f aca="false">IF($B3176&lt;&gt;'設定（最初に1回）'!$C$4,N(U3175),IF(COUNTIFS(①今日の在庫を貼る!$B$6:$B$10005,$B3176,①今日の在庫を貼る!$I$6:$I$10005,$I3176)&gt;0,N(U3175),N(U3175)+1))</f>
        <v>2</v>
      </c>
    </row>
    <row r="3177" customFormat="false" ht="15" hidden="false" customHeight="false" outlineLevel="0" collapsed="false">
      <c r="B3177" s="53"/>
      <c r="I3177" s="53"/>
      <c r="U3177" s="31" t="n">
        <f aca="false">IF($B3177&lt;&gt;'設定（最初に1回）'!$C$4,N(U3176),IF(COUNTIFS(①今日の在庫を貼る!$B$6:$B$10005,$B3177,①今日の在庫を貼る!$I$6:$I$10005,$I3177)&gt;0,N(U3176),N(U3176)+1))</f>
        <v>2</v>
      </c>
    </row>
    <row r="3178" customFormat="false" ht="15" hidden="false" customHeight="false" outlineLevel="0" collapsed="false">
      <c r="B3178" s="53"/>
      <c r="I3178" s="53"/>
      <c r="U3178" s="31" t="n">
        <f aca="false">IF($B3178&lt;&gt;'設定（最初に1回）'!$C$4,N(U3177),IF(COUNTIFS(①今日の在庫を貼る!$B$6:$B$10005,$B3178,①今日の在庫を貼る!$I$6:$I$10005,$I3178)&gt;0,N(U3177),N(U3177)+1))</f>
        <v>2</v>
      </c>
    </row>
    <row r="3179" customFormat="false" ht="15" hidden="false" customHeight="false" outlineLevel="0" collapsed="false">
      <c r="B3179" s="53"/>
      <c r="I3179" s="53"/>
      <c r="U3179" s="31" t="n">
        <f aca="false">IF($B3179&lt;&gt;'設定（最初に1回）'!$C$4,N(U3178),IF(COUNTIFS(①今日の在庫を貼る!$B$6:$B$10005,$B3179,①今日の在庫を貼る!$I$6:$I$10005,$I3179)&gt;0,N(U3178),N(U3178)+1))</f>
        <v>2</v>
      </c>
    </row>
    <row r="3180" customFormat="false" ht="15" hidden="false" customHeight="false" outlineLevel="0" collapsed="false">
      <c r="B3180" s="53"/>
      <c r="I3180" s="53"/>
      <c r="U3180" s="31" t="n">
        <f aca="false">IF($B3180&lt;&gt;'設定（最初に1回）'!$C$4,N(U3179),IF(COUNTIFS(①今日の在庫を貼る!$B$6:$B$10005,$B3180,①今日の在庫を貼る!$I$6:$I$10005,$I3180)&gt;0,N(U3179),N(U3179)+1))</f>
        <v>2</v>
      </c>
    </row>
    <row r="3181" customFormat="false" ht="15" hidden="false" customHeight="false" outlineLevel="0" collapsed="false">
      <c r="B3181" s="53"/>
      <c r="I3181" s="53"/>
      <c r="U3181" s="31" t="n">
        <f aca="false">IF($B3181&lt;&gt;'設定（最初に1回）'!$C$4,N(U3180),IF(COUNTIFS(①今日の在庫を貼る!$B$6:$B$10005,$B3181,①今日の在庫を貼る!$I$6:$I$10005,$I3181)&gt;0,N(U3180),N(U3180)+1))</f>
        <v>2</v>
      </c>
    </row>
    <row r="3182" customFormat="false" ht="15" hidden="false" customHeight="false" outlineLevel="0" collapsed="false">
      <c r="B3182" s="53"/>
      <c r="I3182" s="53"/>
      <c r="U3182" s="31" t="n">
        <f aca="false">IF($B3182&lt;&gt;'設定（最初に1回）'!$C$4,N(U3181),IF(COUNTIFS(①今日の在庫を貼る!$B$6:$B$10005,$B3182,①今日の在庫を貼る!$I$6:$I$10005,$I3182)&gt;0,N(U3181),N(U3181)+1))</f>
        <v>2</v>
      </c>
    </row>
    <row r="3183" customFormat="false" ht="15" hidden="false" customHeight="false" outlineLevel="0" collapsed="false">
      <c r="B3183" s="53"/>
      <c r="I3183" s="53"/>
      <c r="U3183" s="31" t="n">
        <f aca="false">IF($B3183&lt;&gt;'設定（最初に1回）'!$C$4,N(U3182),IF(COUNTIFS(①今日の在庫を貼る!$B$6:$B$10005,$B3183,①今日の在庫を貼る!$I$6:$I$10005,$I3183)&gt;0,N(U3182),N(U3182)+1))</f>
        <v>2</v>
      </c>
    </row>
    <row r="3184" customFormat="false" ht="15" hidden="false" customHeight="false" outlineLevel="0" collapsed="false">
      <c r="B3184" s="53"/>
      <c r="I3184" s="53"/>
      <c r="U3184" s="31" t="n">
        <f aca="false">IF($B3184&lt;&gt;'設定（最初に1回）'!$C$4,N(U3183),IF(COUNTIFS(①今日の在庫を貼る!$B$6:$B$10005,$B3184,①今日の在庫を貼る!$I$6:$I$10005,$I3184)&gt;0,N(U3183),N(U3183)+1))</f>
        <v>2</v>
      </c>
    </row>
    <row r="3185" customFormat="false" ht="15" hidden="false" customHeight="false" outlineLevel="0" collapsed="false">
      <c r="B3185" s="53"/>
      <c r="I3185" s="53"/>
      <c r="U3185" s="31" t="n">
        <f aca="false">IF($B3185&lt;&gt;'設定（最初に1回）'!$C$4,N(U3184),IF(COUNTIFS(①今日の在庫を貼る!$B$6:$B$10005,$B3185,①今日の在庫を貼る!$I$6:$I$10005,$I3185)&gt;0,N(U3184),N(U3184)+1))</f>
        <v>2</v>
      </c>
    </row>
    <row r="3186" customFormat="false" ht="15" hidden="false" customHeight="false" outlineLevel="0" collapsed="false">
      <c r="B3186" s="53"/>
      <c r="I3186" s="53"/>
      <c r="U3186" s="31" t="n">
        <f aca="false">IF($B3186&lt;&gt;'設定（最初に1回）'!$C$4,N(U3185),IF(COUNTIFS(①今日の在庫を貼る!$B$6:$B$10005,$B3186,①今日の在庫を貼る!$I$6:$I$10005,$I3186)&gt;0,N(U3185),N(U3185)+1))</f>
        <v>2</v>
      </c>
    </row>
    <row r="3187" customFormat="false" ht="15" hidden="false" customHeight="false" outlineLevel="0" collapsed="false">
      <c r="B3187" s="53"/>
      <c r="I3187" s="53"/>
      <c r="U3187" s="31" t="n">
        <f aca="false">IF($B3187&lt;&gt;'設定（最初に1回）'!$C$4,N(U3186),IF(COUNTIFS(①今日の在庫を貼る!$B$6:$B$10005,$B3187,①今日の在庫を貼る!$I$6:$I$10005,$I3187)&gt;0,N(U3186),N(U3186)+1))</f>
        <v>2</v>
      </c>
    </row>
    <row r="3188" customFormat="false" ht="15" hidden="false" customHeight="false" outlineLevel="0" collapsed="false">
      <c r="B3188" s="53"/>
      <c r="I3188" s="53"/>
      <c r="U3188" s="31" t="n">
        <f aca="false">IF($B3188&lt;&gt;'設定（最初に1回）'!$C$4,N(U3187),IF(COUNTIFS(①今日の在庫を貼る!$B$6:$B$10005,$B3188,①今日の在庫を貼る!$I$6:$I$10005,$I3188)&gt;0,N(U3187),N(U3187)+1))</f>
        <v>2</v>
      </c>
    </row>
    <row r="3189" customFormat="false" ht="15" hidden="false" customHeight="false" outlineLevel="0" collapsed="false">
      <c r="B3189" s="53"/>
      <c r="I3189" s="53"/>
      <c r="U3189" s="31" t="n">
        <f aca="false">IF($B3189&lt;&gt;'設定（最初に1回）'!$C$4,N(U3188),IF(COUNTIFS(①今日の在庫を貼る!$B$6:$B$10005,$B3189,①今日の在庫を貼る!$I$6:$I$10005,$I3189)&gt;0,N(U3188),N(U3188)+1))</f>
        <v>2</v>
      </c>
    </row>
    <row r="3190" customFormat="false" ht="15" hidden="false" customHeight="false" outlineLevel="0" collapsed="false">
      <c r="B3190" s="53"/>
      <c r="I3190" s="53"/>
      <c r="U3190" s="31" t="n">
        <f aca="false">IF($B3190&lt;&gt;'設定（最初に1回）'!$C$4,N(U3189),IF(COUNTIFS(①今日の在庫を貼る!$B$6:$B$10005,$B3190,①今日の在庫を貼る!$I$6:$I$10005,$I3190)&gt;0,N(U3189),N(U3189)+1))</f>
        <v>2</v>
      </c>
    </row>
    <row r="3191" customFormat="false" ht="15" hidden="false" customHeight="false" outlineLevel="0" collapsed="false">
      <c r="B3191" s="53"/>
      <c r="I3191" s="53"/>
      <c r="U3191" s="31" t="n">
        <f aca="false">IF($B3191&lt;&gt;'設定（最初に1回）'!$C$4,N(U3190),IF(COUNTIFS(①今日の在庫を貼る!$B$6:$B$10005,$B3191,①今日の在庫を貼る!$I$6:$I$10005,$I3191)&gt;0,N(U3190),N(U3190)+1))</f>
        <v>2</v>
      </c>
    </row>
    <row r="3192" customFormat="false" ht="15" hidden="false" customHeight="false" outlineLevel="0" collapsed="false">
      <c r="B3192" s="53"/>
      <c r="I3192" s="53"/>
      <c r="U3192" s="31" t="n">
        <f aca="false">IF($B3192&lt;&gt;'設定（最初に1回）'!$C$4,N(U3191),IF(COUNTIFS(①今日の在庫を貼る!$B$6:$B$10005,$B3192,①今日の在庫を貼る!$I$6:$I$10005,$I3192)&gt;0,N(U3191),N(U3191)+1))</f>
        <v>2</v>
      </c>
    </row>
    <row r="3193" customFormat="false" ht="15" hidden="false" customHeight="false" outlineLevel="0" collapsed="false">
      <c r="B3193" s="53"/>
      <c r="I3193" s="53"/>
      <c r="U3193" s="31" t="n">
        <f aca="false">IF($B3193&lt;&gt;'設定（最初に1回）'!$C$4,N(U3192),IF(COUNTIFS(①今日の在庫を貼る!$B$6:$B$10005,$B3193,①今日の在庫を貼る!$I$6:$I$10005,$I3193)&gt;0,N(U3192),N(U3192)+1))</f>
        <v>2</v>
      </c>
    </row>
    <row r="3194" customFormat="false" ht="15" hidden="false" customHeight="false" outlineLevel="0" collapsed="false">
      <c r="B3194" s="53"/>
      <c r="I3194" s="53"/>
      <c r="U3194" s="31" t="n">
        <f aca="false">IF($B3194&lt;&gt;'設定（最初に1回）'!$C$4,N(U3193),IF(COUNTIFS(①今日の在庫を貼る!$B$6:$B$10005,$B3194,①今日の在庫を貼る!$I$6:$I$10005,$I3194)&gt;0,N(U3193),N(U3193)+1))</f>
        <v>2</v>
      </c>
    </row>
    <row r="3195" customFormat="false" ht="15" hidden="false" customHeight="false" outlineLevel="0" collapsed="false">
      <c r="B3195" s="53"/>
      <c r="I3195" s="53"/>
      <c r="U3195" s="31" t="n">
        <f aca="false">IF($B3195&lt;&gt;'設定（最初に1回）'!$C$4,N(U3194),IF(COUNTIFS(①今日の在庫を貼る!$B$6:$B$10005,$B3195,①今日の在庫を貼る!$I$6:$I$10005,$I3195)&gt;0,N(U3194),N(U3194)+1))</f>
        <v>2</v>
      </c>
    </row>
    <row r="3196" customFormat="false" ht="15" hidden="false" customHeight="false" outlineLevel="0" collapsed="false">
      <c r="B3196" s="53"/>
      <c r="I3196" s="53"/>
      <c r="U3196" s="31" t="n">
        <f aca="false">IF($B3196&lt;&gt;'設定（最初に1回）'!$C$4,N(U3195),IF(COUNTIFS(①今日の在庫を貼る!$B$6:$B$10005,$B3196,①今日の在庫を貼る!$I$6:$I$10005,$I3196)&gt;0,N(U3195),N(U3195)+1))</f>
        <v>2</v>
      </c>
    </row>
    <row r="3197" customFormat="false" ht="15" hidden="false" customHeight="false" outlineLevel="0" collapsed="false">
      <c r="B3197" s="53"/>
      <c r="I3197" s="53"/>
      <c r="U3197" s="31" t="n">
        <f aca="false">IF($B3197&lt;&gt;'設定（最初に1回）'!$C$4,N(U3196),IF(COUNTIFS(①今日の在庫を貼る!$B$6:$B$10005,$B3197,①今日の在庫を貼る!$I$6:$I$10005,$I3197)&gt;0,N(U3196),N(U3196)+1))</f>
        <v>2</v>
      </c>
    </row>
    <row r="3198" customFormat="false" ht="15" hidden="false" customHeight="false" outlineLevel="0" collapsed="false">
      <c r="B3198" s="53"/>
      <c r="I3198" s="53"/>
      <c r="U3198" s="31" t="n">
        <f aca="false">IF($B3198&lt;&gt;'設定（最初に1回）'!$C$4,N(U3197),IF(COUNTIFS(①今日の在庫を貼る!$B$6:$B$10005,$B3198,①今日の在庫を貼る!$I$6:$I$10005,$I3198)&gt;0,N(U3197),N(U3197)+1))</f>
        <v>2</v>
      </c>
    </row>
    <row r="3199" customFormat="false" ht="15" hidden="false" customHeight="false" outlineLevel="0" collapsed="false">
      <c r="B3199" s="53"/>
      <c r="I3199" s="53"/>
      <c r="U3199" s="31" t="n">
        <f aca="false">IF($B3199&lt;&gt;'設定（最初に1回）'!$C$4,N(U3198),IF(COUNTIFS(①今日の在庫を貼る!$B$6:$B$10005,$B3199,①今日の在庫を貼る!$I$6:$I$10005,$I3199)&gt;0,N(U3198),N(U3198)+1))</f>
        <v>2</v>
      </c>
    </row>
    <row r="3200" customFormat="false" ht="15" hidden="false" customHeight="false" outlineLevel="0" collapsed="false">
      <c r="B3200" s="53"/>
      <c r="I3200" s="53"/>
      <c r="U3200" s="31" t="n">
        <f aca="false">IF($B3200&lt;&gt;'設定（最初に1回）'!$C$4,N(U3199),IF(COUNTIFS(①今日の在庫を貼る!$B$6:$B$10005,$B3200,①今日の在庫を貼る!$I$6:$I$10005,$I3200)&gt;0,N(U3199),N(U3199)+1))</f>
        <v>2</v>
      </c>
    </row>
    <row r="3201" customFormat="false" ht="15" hidden="false" customHeight="false" outlineLevel="0" collapsed="false">
      <c r="B3201" s="53"/>
      <c r="I3201" s="53"/>
      <c r="U3201" s="31" t="n">
        <f aca="false">IF($B3201&lt;&gt;'設定（最初に1回）'!$C$4,N(U3200),IF(COUNTIFS(①今日の在庫を貼る!$B$6:$B$10005,$B3201,①今日の在庫を貼る!$I$6:$I$10005,$I3201)&gt;0,N(U3200),N(U3200)+1))</f>
        <v>2</v>
      </c>
    </row>
    <row r="3202" customFormat="false" ht="15" hidden="false" customHeight="false" outlineLevel="0" collapsed="false">
      <c r="B3202" s="53"/>
      <c r="I3202" s="53"/>
      <c r="U3202" s="31" t="n">
        <f aca="false">IF($B3202&lt;&gt;'設定（最初に1回）'!$C$4,N(U3201),IF(COUNTIFS(①今日の在庫を貼る!$B$6:$B$10005,$B3202,①今日の在庫を貼る!$I$6:$I$10005,$I3202)&gt;0,N(U3201),N(U3201)+1))</f>
        <v>2</v>
      </c>
    </row>
    <row r="3203" customFormat="false" ht="15" hidden="false" customHeight="false" outlineLevel="0" collapsed="false">
      <c r="B3203" s="53"/>
      <c r="I3203" s="53"/>
      <c r="U3203" s="31" t="n">
        <f aca="false">IF($B3203&lt;&gt;'設定（最初に1回）'!$C$4,N(U3202),IF(COUNTIFS(①今日の在庫を貼る!$B$6:$B$10005,$B3203,①今日の在庫を貼る!$I$6:$I$10005,$I3203)&gt;0,N(U3202),N(U3202)+1))</f>
        <v>2</v>
      </c>
    </row>
    <row r="3204" customFormat="false" ht="15" hidden="false" customHeight="false" outlineLevel="0" collapsed="false">
      <c r="B3204" s="53"/>
      <c r="I3204" s="53"/>
      <c r="U3204" s="31" t="n">
        <f aca="false">IF($B3204&lt;&gt;'設定（最初に1回）'!$C$4,N(U3203),IF(COUNTIFS(①今日の在庫を貼る!$B$6:$B$10005,$B3204,①今日の在庫を貼る!$I$6:$I$10005,$I3204)&gt;0,N(U3203),N(U3203)+1))</f>
        <v>2</v>
      </c>
    </row>
    <row r="3205" customFormat="false" ht="15" hidden="false" customHeight="false" outlineLevel="0" collapsed="false">
      <c r="B3205" s="53"/>
      <c r="I3205" s="53"/>
      <c r="U3205" s="31" t="n">
        <f aca="false">IF($B3205&lt;&gt;'設定（最初に1回）'!$C$4,N(U3204),IF(COUNTIFS(①今日の在庫を貼る!$B$6:$B$10005,$B3205,①今日の在庫を貼る!$I$6:$I$10005,$I3205)&gt;0,N(U3204),N(U3204)+1))</f>
        <v>2</v>
      </c>
    </row>
    <row r="3206" customFormat="false" ht="15" hidden="false" customHeight="false" outlineLevel="0" collapsed="false">
      <c r="B3206" s="53"/>
      <c r="I3206" s="53"/>
      <c r="U3206" s="31" t="n">
        <f aca="false">IF($B3206&lt;&gt;'設定（最初に1回）'!$C$4,N(U3205),IF(COUNTIFS(①今日の在庫を貼る!$B$6:$B$10005,$B3206,①今日の在庫を貼る!$I$6:$I$10005,$I3206)&gt;0,N(U3205),N(U3205)+1))</f>
        <v>2</v>
      </c>
    </row>
    <row r="3207" customFormat="false" ht="15" hidden="false" customHeight="false" outlineLevel="0" collapsed="false">
      <c r="B3207" s="53"/>
      <c r="I3207" s="53"/>
      <c r="U3207" s="31" t="n">
        <f aca="false">IF($B3207&lt;&gt;'設定（最初に1回）'!$C$4,N(U3206),IF(COUNTIFS(①今日の在庫を貼る!$B$6:$B$10005,$B3207,①今日の在庫を貼る!$I$6:$I$10005,$I3207)&gt;0,N(U3206),N(U3206)+1))</f>
        <v>2</v>
      </c>
    </row>
    <row r="3208" customFormat="false" ht="15" hidden="false" customHeight="false" outlineLevel="0" collapsed="false">
      <c r="B3208" s="53"/>
      <c r="I3208" s="53"/>
      <c r="U3208" s="31" t="n">
        <f aca="false">IF($B3208&lt;&gt;'設定（最初に1回）'!$C$4,N(U3207),IF(COUNTIFS(①今日の在庫を貼る!$B$6:$B$10005,$B3208,①今日の在庫を貼る!$I$6:$I$10005,$I3208)&gt;0,N(U3207),N(U3207)+1))</f>
        <v>2</v>
      </c>
    </row>
    <row r="3209" customFormat="false" ht="15" hidden="false" customHeight="false" outlineLevel="0" collapsed="false">
      <c r="B3209" s="53"/>
      <c r="I3209" s="53"/>
      <c r="U3209" s="31" t="n">
        <f aca="false">IF($B3209&lt;&gt;'設定（最初に1回）'!$C$4,N(U3208),IF(COUNTIFS(①今日の在庫を貼る!$B$6:$B$10005,$B3209,①今日の在庫を貼る!$I$6:$I$10005,$I3209)&gt;0,N(U3208),N(U3208)+1))</f>
        <v>2</v>
      </c>
    </row>
    <row r="3210" customFormat="false" ht="15" hidden="false" customHeight="false" outlineLevel="0" collapsed="false">
      <c r="B3210" s="53"/>
      <c r="I3210" s="53"/>
      <c r="U3210" s="31" t="n">
        <f aca="false">IF($B3210&lt;&gt;'設定（最初に1回）'!$C$4,N(U3209),IF(COUNTIFS(①今日の在庫を貼る!$B$6:$B$10005,$B3210,①今日の在庫を貼る!$I$6:$I$10005,$I3210)&gt;0,N(U3209),N(U3209)+1))</f>
        <v>2</v>
      </c>
    </row>
    <row r="3211" customFormat="false" ht="15" hidden="false" customHeight="false" outlineLevel="0" collapsed="false">
      <c r="B3211" s="53"/>
      <c r="I3211" s="53"/>
      <c r="U3211" s="31" t="n">
        <f aca="false">IF($B3211&lt;&gt;'設定（最初に1回）'!$C$4,N(U3210),IF(COUNTIFS(①今日の在庫を貼る!$B$6:$B$10005,$B3211,①今日の在庫を貼る!$I$6:$I$10005,$I3211)&gt;0,N(U3210),N(U3210)+1))</f>
        <v>2</v>
      </c>
    </row>
    <row r="3212" customFormat="false" ht="15" hidden="false" customHeight="false" outlineLevel="0" collapsed="false">
      <c r="B3212" s="53"/>
      <c r="I3212" s="53"/>
      <c r="U3212" s="31" t="n">
        <f aca="false">IF($B3212&lt;&gt;'設定（最初に1回）'!$C$4,N(U3211),IF(COUNTIFS(①今日の在庫を貼る!$B$6:$B$10005,$B3212,①今日の在庫を貼る!$I$6:$I$10005,$I3212)&gt;0,N(U3211),N(U3211)+1))</f>
        <v>2</v>
      </c>
    </row>
    <row r="3213" customFormat="false" ht="15" hidden="false" customHeight="false" outlineLevel="0" collapsed="false">
      <c r="B3213" s="53"/>
      <c r="I3213" s="53"/>
      <c r="U3213" s="31" t="n">
        <f aca="false">IF($B3213&lt;&gt;'設定（最初に1回）'!$C$4,N(U3212),IF(COUNTIFS(①今日の在庫を貼る!$B$6:$B$10005,$B3213,①今日の在庫を貼る!$I$6:$I$10005,$I3213)&gt;0,N(U3212),N(U3212)+1))</f>
        <v>2</v>
      </c>
    </row>
    <row r="3214" customFormat="false" ht="15" hidden="false" customHeight="false" outlineLevel="0" collapsed="false">
      <c r="B3214" s="53"/>
      <c r="I3214" s="53"/>
      <c r="U3214" s="31" t="n">
        <f aca="false">IF($B3214&lt;&gt;'設定（最初に1回）'!$C$4,N(U3213),IF(COUNTIFS(①今日の在庫を貼る!$B$6:$B$10005,$B3214,①今日の在庫を貼る!$I$6:$I$10005,$I3214)&gt;0,N(U3213),N(U3213)+1))</f>
        <v>2</v>
      </c>
    </row>
    <row r="3215" customFormat="false" ht="15" hidden="false" customHeight="false" outlineLevel="0" collapsed="false">
      <c r="B3215" s="53"/>
      <c r="I3215" s="53"/>
      <c r="U3215" s="31" t="n">
        <f aca="false">IF($B3215&lt;&gt;'設定（最初に1回）'!$C$4,N(U3214),IF(COUNTIFS(①今日の在庫を貼る!$B$6:$B$10005,$B3215,①今日の在庫を貼る!$I$6:$I$10005,$I3215)&gt;0,N(U3214),N(U3214)+1))</f>
        <v>2</v>
      </c>
    </row>
    <row r="3216" customFormat="false" ht="15" hidden="false" customHeight="false" outlineLevel="0" collapsed="false">
      <c r="B3216" s="53"/>
      <c r="I3216" s="53"/>
      <c r="U3216" s="31" t="n">
        <f aca="false">IF($B3216&lt;&gt;'設定（最初に1回）'!$C$4,N(U3215),IF(COUNTIFS(①今日の在庫を貼る!$B$6:$B$10005,$B3216,①今日の在庫を貼る!$I$6:$I$10005,$I3216)&gt;0,N(U3215),N(U3215)+1))</f>
        <v>2</v>
      </c>
    </row>
    <row r="3217" customFormat="false" ht="15" hidden="false" customHeight="false" outlineLevel="0" collapsed="false">
      <c r="B3217" s="53"/>
      <c r="I3217" s="53"/>
      <c r="U3217" s="31" t="n">
        <f aca="false">IF($B3217&lt;&gt;'設定（最初に1回）'!$C$4,N(U3216),IF(COUNTIFS(①今日の在庫を貼る!$B$6:$B$10005,$B3217,①今日の在庫を貼る!$I$6:$I$10005,$I3217)&gt;0,N(U3216),N(U3216)+1))</f>
        <v>2</v>
      </c>
    </row>
    <row r="3218" customFormat="false" ht="15" hidden="false" customHeight="false" outlineLevel="0" collapsed="false">
      <c r="B3218" s="53"/>
      <c r="I3218" s="53"/>
      <c r="U3218" s="31" t="n">
        <f aca="false">IF($B3218&lt;&gt;'設定（最初に1回）'!$C$4,N(U3217),IF(COUNTIFS(①今日の在庫を貼る!$B$6:$B$10005,$B3218,①今日の在庫を貼る!$I$6:$I$10005,$I3218)&gt;0,N(U3217),N(U3217)+1))</f>
        <v>2</v>
      </c>
    </row>
    <row r="3219" customFormat="false" ht="15" hidden="false" customHeight="false" outlineLevel="0" collapsed="false">
      <c r="B3219" s="53"/>
      <c r="I3219" s="53"/>
      <c r="U3219" s="31" t="n">
        <f aca="false">IF($B3219&lt;&gt;'設定（最初に1回）'!$C$4,N(U3218),IF(COUNTIFS(①今日の在庫を貼る!$B$6:$B$10005,$B3219,①今日の在庫を貼る!$I$6:$I$10005,$I3219)&gt;0,N(U3218),N(U3218)+1))</f>
        <v>2</v>
      </c>
    </row>
    <row r="3220" customFormat="false" ht="15" hidden="false" customHeight="false" outlineLevel="0" collapsed="false">
      <c r="B3220" s="53"/>
      <c r="I3220" s="53"/>
      <c r="U3220" s="31" t="n">
        <f aca="false">IF($B3220&lt;&gt;'設定（最初に1回）'!$C$4,N(U3219),IF(COUNTIFS(①今日の在庫を貼る!$B$6:$B$10005,$B3220,①今日の在庫を貼る!$I$6:$I$10005,$I3220)&gt;0,N(U3219),N(U3219)+1))</f>
        <v>2</v>
      </c>
    </row>
    <row r="3221" customFormat="false" ht="15" hidden="false" customHeight="false" outlineLevel="0" collapsed="false">
      <c r="B3221" s="53"/>
      <c r="I3221" s="53"/>
      <c r="U3221" s="31" t="n">
        <f aca="false">IF($B3221&lt;&gt;'設定（最初に1回）'!$C$4,N(U3220),IF(COUNTIFS(①今日の在庫を貼る!$B$6:$B$10005,$B3221,①今日の在庫を貼る!$I$6:$I$10005,$I3221)&gt;0,N(U3220),N(U3220)+1))</f>
        <v>2</v>
      </c>
    </row>
    <row r="3222" customFormat="false" ht="15" hidden="false" customHeight="false" outlineLevel="0" collapsed="false">
      <c r="B3222" s="53"/>
      <c r="I3222" s="53"/>
      <c r="U3222" s="31" t="n">
        <f aca="false">IF($B3222&lt;&gt;'設定（最初に1回）'!$C$4,N(U3221),IF(COUNTIFS(①今日の在庫を貼る!$B$6:$B$10005,$B3222,①今日の在庫を貼る!$I$6:$I$10005,$I3222)&gt;0,N(U3221),N(U3221)+1))</f>
        <v>2</v>
      </c>
    </row>
    <row r="3223" customFormat="false" ht="15" hidden="false" customHeight="false" outlineLevel="0" collapsed="false">
      <c r="B3223" s="53"/>
      <c r="I3223" s="53"/>
      <c r="U3223" s="31" t="n">
        <f aca="false">IF($B3223&lt;&gt;'設定（最初に1回）'!$C$4,N(U3222),IF(COUNTIFS(①今日の在庫を貼る!$B$6:$B$10005,$B3223,①今日の在庫を貼る!$I$6:$I$10005,$I3223)&gt;0,N(U3222),N(U3222)+1))</f>
        <v>2</v>
      </c>
    </row>
    <row r="3224" customFormat="false" ht="15" hidden="false" customHeight="false" outlineLevel="0" collapsed="false">
      <c r="B3224" s="53"/>
      <c r="I3224" s="53"/>
      <c r="U3224" s="31" t="n">
        <f aca="false">IF($B3224&lt;&gt;'設定（最初に1回）'!$C$4,N(U3223),IF(COUNTIFS(①今日の在庫を貼る!$B$6:$B$10005,$B3224,①今日の在庫を貼る!$I$6:$I$10005,$I3224)&gt;0,N(U3223),N(U3223)+1))</f>
        <v>2</v>
      </c>
    </row>
    <row r="3225" customFormat="false" ht="15" hidden="false" customHeight="false" outlineLevel="0" collapsed="false">
      <c r="B3225" s="53"/>
      <c r="I3225" s="53"/>
      <c r="U3225" s="31" t="n">
        <f aca="false">IF($B3225&lt;&gt;'設定（最初に1回）'!$C$4,N(U3224),IF(COUNTIFS(①今日の在庫を貼る!$B$6:$B$10005,$B3225,①今日の在庫を貼る!$I$6:$I$10005,$I3225)&gt;0,N(U3224),N(U3224)+1))</f>
        <v>2</v>
      </c>
    </row>
    <row r="3226" customFormat="false" ht="15" hidden="false" customHeight="false" outlineLevel="0" collapsed="false">
      <c r="B3226" s="53"/>
      <c r="I3226" s="53"/>
      <c r="U3226" s="31" t="n">
        <f aca="false">IF($B3226&lt;&gt;'設定（最初に1回）'!$C$4,N(U3225),IF(COUNTIFS(①今日の在庫を貼る!$B$6:$B$10005,$B3226,①今日の在庫を貼る!$I$6:$I$10005,$I3226)&gt;0,N(U3225),N(U3225)+1))</f>
        <v>2</v>
      </c>
    </row>
    <row r="3227" customFormat="false" ht="15" hidden="false" customHeight="false" outlineLevel="0" collapsed="false">
      <c r="B3227" s="53"/>
      <c r="I3227" s="53"/>
      <c r="U3227" s="31" t="n">
        <f aca="false">IF($B3227&lt;&gt;'設定（最初に1回）'!$C$4,N(U3226),IF(COUNTIFS(①今日の在庫を貼る!$B$6:$B$10005,$B3227,①今日の在庫を貼る!$I$6:$I$10005,$I3227)&gt;0,N(U3226),N(U3226)+1))</f>
        <v>2</v>
      </c>
    </row>
    <row r="3228" customFormat="false" ht="15" hidden="false" customHeight="false" outlineLevel="0" collapsed="false">
      <c r="B3228" s="53"/>
      <c r="I3228" s="53"/>
      <c r="U3228" s="31" t="n">
        <f aca="false">IF($B3228&lt;&gt;'設定（最初に1回）'!$C$4,N(U3227),IF(COUNTIFS(①今日の在庫を貼る!$B$6:$B$10005,$B3228,①今日の在庫を貼る!$I$6:$I$10005,$I3228)&gt;0,N(U3227),N(U3227)+1))</f>
        <v>2</v>
      </c>
    </row>
    <row r="3229" customFormat="false" ht="15" hidden="false" customHeight="false" outlineLevel="0" collapsed="false">
      <c r="B3229" s="53"/>
      <c r="I3229" s="53"/>
      <c r="U3229" s="31" t="n">
        <f aca="false">IF($B3229&lt;&gt;'設定（最初に1回）'!$C$4,N(U3228),IF(COUNTIFS(①今日の在庫を貼る!$B$6:$B$10005,$B3229,①今日の在庫を貼る!$I$6:$I$10005,$I3229)&gt;0,N(U3228),N(U3228)+1))</f>
        <v>2</v>
      </c>
    </row>
    <row r="3230" customFormat="false" ht="15" hidden="false" customHeight="false" outlineLevel="0" collapsed="false">
      <c r="B3230" s="53"/>
      <c r="I3230" s="53"/>
      <c r="U3230" s="31" t="n">
        <f aca="false">IF($B3230&lt;&gt;'設定（最初に1回）'!$C$4,N(U3229),IF(COUNTIFS(①今日の在庫を貼る!$B$6:$B$10005,$B3230,①今日の在庫を貼る!$I$6:$I$10005,$I3230)&gt;0,N(U3229),N(U3229)+1))</f>
        <v>2</v>
      </c>
    </row>
    <row r="3231" customFormat="false" ht="15" hidden="false" customHeight="false" outlineLevel="0" collapsed="false">
      <c r="B3231" s="53"/>
      <c r="I3231" s="53"/>
      <c r="U3231" s="31" t="n">
        <f aca="false">IF($B3231&lt;&gt;'設定（最初に1回）'!$C$4,N(U3230),IF(COUNTIFS(①今日の在庫を貼る!$B$6:$B$10005,$B3231,①今日の在庫を貼る!$I$6:$I$10005,$I3231)&gt;0,N(U3230),N(U3230)+1))</f>
        <v>2</v>
      </c>
    </row>
    <row r="3232" customFormat="false" ht="15" hidden="false" customHeight="false" outlineLevel="0" collapsed="false">
      <c r="B3232" s="53"/>
      <c r="I3232" s="53"/>
      <c r="U3232" s="31" t="n">
        <f aca="false">IF($B3232&lt;&gt;'設定（最初に1回）'!$C$4,N(U3231),IF(COUNTIFS(①今日の在庫を貼る!$B$6:$B$10005,$B3232,①今日の在庫を貼る!$I$6:$I$10005,$I3232)&gt;0,N(U3231),N(U3231)+1))</f>
        <v>2</v>
      </c>
    </row>
    <row r="3233" customFormat="false" ht="15" hidden="false" customHeight="false" outlineLevel="0" collapsed="false">
      <c r="B3233" s="53"/>
      <c r="I3233" s="53"/>
      <c r="U3233" s="31" t="n">
        <f aca="false">IF($B3233&lt;&gt;'設定（最初に1回）'!$C$4,N(U3232),IF(COUNTIFS(①今日の在庫を貼る!$B$6:$B$10005,$B3233,①今日の在庫を貼る!$I$6:$I$10005,$I3233)&gt;0,N(U3232),N(U3232)+1))</f>
        <v>2</v>
      </c>
    </row>
    <row r="3234" customFormat="false" ht="15" hidden="false" customHeight="false" outlineLevel="0" collapsed="false">
      <c r="B3234" s="53"/>
      <c r="I3234" s="53"/>
      <c r="U3234" s="31" t="n">
        <f aca="false">IF($B3234&lt;&gt;'設定（最初に1回）'!$C$4,N(U3233),IF(COUNTIFS(①今日の在庫を貼る!$B$6:$B$10005,$B3234,①今日の在庫を貼る!$I$6:$I$10005,$I3234)&gt;0,N(U3233),N(U3233)+1))</f>
        <v>2</v>
      </c>
    </row>
    <row r="3235" customFormat="false" ht="15" hidden="false" customHeight="false" outlineLevel="0" collapsed="false">
      <c r="B3235" s="53"/>
      <c r="I3235" s="53"/>
      <c r="U3235" s="31" t="n">
        <f aca="false">IF($B3235&lt;&gt;'設定（最初に1回）'!$C$4,N(U3234),IF(COUNTIFS(①今日の在庫を貼る!$B$6:$B$10005,$B3235,①今日の在庫を貼る!$I$6:$I$10005,$I3235)&gt;0,N(U3234),N(U3234)+1))</f>
        <v>2</v>
      </c>
    </row>
    <row r="3236" customFormat="false" ht="15" hidden="false" customHeight="false" outlineLevel="0" collapsed="false">
      <c r="B3236" s="53"/>
      <c r="I3236" s="53"/>
      <c r="U3236" s="31" t="n">
        <f aca="false">IF($B3236&lt;&gt;'設定（最初に1回）'!$C$4,N(U3235),IF(COUNTIFS(①今日の在庫を貼る!$B$6:$B$10005,$B3236,①今日の在庫を貼る!$I$6:$I$10005,$I3236)&gt;0,N(U3235),N(U3235)+1))</f>
        <v>2</v>
      </c>
    </row>
    <row r="3237" customFormat="false" ht="15" hidden="false" customHeight="false" outlineLevel="0" collapsed="false">
      <c r="B3237" s="53"/>
      <c r="I3237" s="53"/>
      <c r="U3237" s="31" t="n">
        <f aca="false">IF($B3237&lt;&gt;'設定（最初に1回）'!$C$4,N(U3236),IF(COUNTIFS(①今日の在庫を貼る!$B$6:$B$10005,$B3237,①今日の在庫を貼る!$I$6:$I$10005,$I3237)&gt;0,N(U3236),N(U3236)+1))</f>
        <v>2</v>
      </c>
    </row>
    <row r="3238" customFormat="false" ht="15" hidden="false" customHeight="false" outlineLevel="0" collapsed="false">
      <c r="B3238" s="53"/>
      <c r="I3238" s="53"/>
      <c r="U3238" s="31" t="n">
        <f aca="false">IF($B3238&lt;&gt;'設定（最初に1回）'!$C$4,N(U3237),IF(COUNTIFS(①今日の在庫を貼る!$B$6:$B$10005,$B3238,①今日の在庫を貼る!$I$6:$I$10005,$I3238)&gt;0,N(U3237),N(U3237)+1))</f>
        <v>2</v>
      </c>
    </row>
    <row r="3239" customFormat="false" ht="15" hidden="false" customHeight="false" outlineLevel="0" collapsed="false">
      <c r="B3239" s="53"/>
      <c r="I3239" s="53"/>
      <c r="U3239" s="31" t="n">
        <f aca="false">IF($B3239&lt;&gt;'設定（最初に1回）'!$C$4,N(U3238),IF(COUNTIFS(①今日の在庫を貼る!$B$6:$B$10005,$B3239,①今日の在庫を貼る!$I$6:$I$10005,$I3239)&gt;0,N(U3238),N(U3238)+1))</f>
        <v>2</v>
      </c>
    </row>
    <row r="3240" customFormat="false" ht="15" hidden="false" customHeight="false" outlineLevel="0" collapsed="false">
      <c r="B3240" s="53"/>
      <c r="I3240" s="53"/>
      <c r="U3240" s="31" t="n">
        <f aca="false">IF($B3240&lt;&gt;'設定（最初に1回）'!$C$4,N(U3239),IF(COUNTIFS(①今日の在庫を貼る!$B$6:$B$10005,$B3240,①今日の在庫を貼る!$I$6:$I$10005,$I3240)&gt;0,N(U3239),N(U3239)+1))</f>
        <v>2</v>
      </c>
    </row>
    <row r="3241" customFormat="false" ht="15" hidden="false" customHeight="false" outlineLevel="0" collapsed="false">
      <c r="B3241" s="53"/>
      <c r="I3241" s="53"/>
      <c r="U3241" s="31" t="n">
        <f aca="false">IF($B3241&lt;&gt;'設定（最初に1回）'!$C$4,N(U3240),IF(COUNTIFS(①今日の在庫を貼る!$B$6:$B$10005,$B3241,①今日の在庫を貼る!$I$6:$I$10005,$I3241)&gt;0,N(U3240),N(U3240)+1))</f>
        <v>2</v>
      </c>
    </row>
    <row r="3242" customFormat="false" ht="15" hidden="false" customHeight="false" outlineLevel="0" collapsed="false">
      <c r="B3242" s="53"/>
      <c r="I3242" s="53"/>
      <c r="U3242" s="31" t="n">
        <f aca="false">IF($B3242&lt;&gt;'設定（最初に1回）'!$C$4,N(U3241),IF(COUNTIFS(①今日の在庫を貼る!$B$6:$B$10005,$B3242,①今日の在庫を貼る!$I$6:$I$10005,$I3242)&gt;0,N(U3241),N(U3241)+1))</f>
        <v>2</v>
      </c>
    </row>
    <row r="3243" customFormat="false" ht="15" hidden="false" customHeight="false" outlineLevel="0" collapsed="false">
      <c r="B3243" s="53"/>
      <c r="I3243" s="53"/>
      <c r="U3243" s="31" t="n">
        <f aca="false">IF($B3243&lt;&gt;'設定（最初に1回）'!$C$4,N(U3242),IF(COUNTIFS(①今日の在庫を貼る!$B$6:$B$10005,$B3243,①今日の在庫を貼る!$I$6:$I$10005,$I3243)&gt;0,N(U3242),N(U3242)+1))</f>
        <v>2</v>
      </c>
    </row>
    <row r="3244" customFormat="false" ht="15" hidden="false" customHeight="false" outlineLevel="0" collapsed="false">
      <c r="B3244" s="53"/>
      <c r="I3244" s="53"/>
      <c r="U3244" s="31" t="n">
        <f aca="false">IF($B3244&lt;&gt;'設定（最初に1回）'!$C$4,N(U3243),IF(COUNTIFS(①今日の在庫を貼る!$B$6:$B$10005,$B3244,①今日の在庫を貼る!$I$6:$I$10005,$I3244)&gt;0,N(U3243),N(U3243)+1))</f>
        <v>2</v>
      </c>
    </row>
    <row r="3245" customFormat="false" ht="15" hidden="false" customHeight="false" outlineLevel="0" collapsed="false">
      <c r="B3245" s="53"/>
      <c r="I3245" s="53"/>
      <c r="U3245" s="31" t="n">
        <f aca="false">IF($B3245&lt;&gt;'設定（最初に1回）'!$C$4,N(U3244),IF(COUNTIFS(①今日の在庫を貼る!$B$6:$B$10005,$B3245,①今日の在庫を貼る!$I$6:$I$10005,$I3245)&gt;0,N(U3244),N(U3244)+1))</f>
        <v>2</v>
      </c>
    </row>
    <row r="3246" customFormat="false" ht="15" hidden="false" customHeight="false" outlineLevel="0" collapsed="false">
      <c r="B3246" s="53"/>
      <c r="I3246" s="53"/>
      <c r="U3246" s="31" t="n">
        <f aca="false">IF($B3246&lt;&gt;'設定（最初に1回）'!$C$4,N(U3245),IF(COUNTIFS(①今日の在庫を貼る!$B$6:$B$10005,$B3246,①今日の在庫を貼る!$I$6:$I$10005,$I3246)&gt;0,N(U3245),N(U3245)+1))</f>
        <v>2</v>
      </c>
    </row>
    <row r="3247" customFormat="false" ht="15" hidden="false" customHeight="false" outlineLevel="0" collapsed="false">
      <c r="B3247" s="53"/>
      <c r="I3247" s="53"/>
      <c r="U3247" s="31" t="n">
        <f aca="false">IF($B3247&lt;&gt;'設定（最初に1回）'!$C$4,N(U3246),IF(COUNTIFS(①今日の在庫を貼る!$B$6:$B$10005,$B3247,①今日の在庫を貼る!$I$6:$I$10005,$I3247)&gt;0,N(U3246),N(U3246)+1))</f>
        <v>2</v>
      </c>
    </row>
    <row r="3248" customFormat="false" ht="15" hidden="false" customHeight="false" outlineLevel="0" collapsed="false">
      <c r="B3248" s="53"/>
      <c r="I3248" s="53"/>
      <c r="U3248" s="31" t="n">
        <f aca="false">IF($B3248&lt;&gt;'設定（最初に1回）'!$C$4,N(U3247),IF(COUNTIFS(①今日の在庫を貼る!$B$6:$B$10005,$B3248,①今日の在庫を貼る!$I$6:$I$10005,$I3248)&gt;0,N(U3247),N(U3247)+1))</f>
        <v>2</v>
      </c>
    </row>
    <row r="3249" customFormat="false" ht="15" hidden="false" customHeight="false" outlineLevel="0" collapsed="false">
      <c r="B3249" s="53"/>
      <c r="I3249" s="53"/>
      <c r="U3249" s="31" t="n">
        <f aca="false">IF($B3249&lt;&gt;'設定（最初に1回）'!$C$4,N(U3248),IF(COUNTIFS(①今日の在庫を貼る!$B$6:$B$10005,$B3249,①今日の在庫を貼る!$I$6:$I$10005,$I3249)&gt;0,N(U3248),N(U3248)+1))</f>
        <v>2</v>
      </c>
    </row>
    <row r="3250" customFormat="false" ht="15" hidden="false" customHeight="false" outlineLevel="0" collapsed="false">
      <c r="B3250" s="53"/>
      <c r="I3250" s="53"/>
      <c r="U3250" s="31" t="n">
        <f aca="false">IF($B3250&lt;&gt;'設定（最初に1回）'!$C$4,N(U3249),IF(COUNTIFS(①今日の在庫を貼る!$B$6:$B$10005,$B3250,①今日の在庫を貼る!$I$6:$I$10005,$I3250)&gt;0,N(U3249),N(U3249)+1))</f>
        <v>2</v>
      </c>
    </row>
    <row r="3251" customFormat="false" ht="15" hidden="false" customHeight="false" outlineLevel="0" collapsed="false">
      <c r="B3251" s="53"/>
      <c r="I3251" s="53"/>
      <c r="U3251" s="31" t="n">
        <f aca="false">IF($B3251&lt;&gt;'設定（最初に1回）'!$C$4,N(U3250),IF(COUNTIFS(①今日の在庫を貼る!$B$6:$B$10005,$B3251,①今日の在庫を貼る!$I$6:$I$10005,$I3251)&gt;0,N(U3250),N(U3250)+1))</f>
        <v>2</v>
      </c>
    </row>
    <row r="3252" customFormat="false" ht="15" hidden="false" customHeight="false" outlineLevel="0" collapsed="false">
      <c r="B3252" s="53"/>
      <c r="I3252" s="53"/>
      <c r="U3252" s="31" t="n">
        <f aca="false">IF($B3252&lt;&gt;'設定（最初に1回）'!$C$4,N(U3251),IF(COUNTIFS(①今日の在庫を貼る!$B$6:$B$10005,$B3252,①今日の在庫を貼る!$I$6:$I$10005,$I3252)&gt;0,N(U3251),N(U3251)+1))</f>
        <v>2</v>
      </c>
    </row>
    <row r="3253" customFormat="false" ht="15" hidden="false" customHeight="false" outlineLevel="0" collapsed="false">
      <c r="B3253" s="53"/>
      <c r="I3253" s="53"/>
      <c r="U3253" s="31" t="n">
        <f aca="false">IF($B3253&lt;&gt;'設定（最初に1回）'!$C$4,N(U3252),IF(COUNTIFS(①今日の在庫を貼る!$B$6:$B$10005,$B3253,①今日の在庫を貼る!$I$6:$I$10005,$I3253)&gt;0,N(U3252),N(U3252)+1))</f>
        <v>2</v>
      </c>
    </row>
    <row r="3254" customFormat="false" ht="15" hidden="false" customHeight="false" outlineLevel="0" collapsed="false">
      <c r="B3254" s="53"/>
      <c r="I3254" s="53"/>
      <c r="U3254" s="31" t="n">
        <f aca="false">IF($B3254&lt;&gt;'設定（最初に1回）'!$C$4,N(U3253),IF(COUNTIFS(①今日の在庫を貼る!$B$6:$B$10005,$B3254,①今日の在庫を貼る!$I$6:$I$10005,$I3254)&gt;0,N(U3253),N(U3253)+1))</f>
        <v>2</v>
      </c>
    </row>
    <row r="3255" customFormat="false" ht="15" hidden="false" customHeight="false" outlineLevel="0" collapsed="false">
      <c r="B3255" s="53"/>
      <c r="I3255" s="53"/>
      <c r="U3255" s="31" t="n">
        <f aca="false">IF($B3255&lt;&gt;'設定（最初に1回）'!$C$4,N(U3254),IF(COUNTIFS(①今日の在庫を貼る!$B$6:$B$10005,$B3255,①今日の在庫を貼る!$I$6:$I$10005,$I3255)&gt;0,N(U3254),N(U3254)+1))</f>
        <v>2</v>
      </c>
    </row>
    <row r="3256" customFormat="false" ht="15" hidden="false" customHeight="false" outlineLevel="0" collapsed="false">
      <c r="B3256" s="53"/>
      <c r="I3256" s="53"/>
      <c r="U3256" s="31" t="n">
        <f aca="false">IF($B3256&lt;&gt;'設定（最初に1回）'!$C$4,N(U3255),IF(COUNTIFS(①今日の在庫を貼る!$B$6:$B$10005,$B3256,①今日の在庫を貼る!$I$6:$I$10005,$I3256)&gt;0,N(U3255),N(U3255)+1))</f>
        <v>2</v>
      </c>
    </row>
    <row r="3257" customFormat="false" ht="15" hidden="false" customHeight="false" outlineLevel="0" collapsed="false">
      <c r="B3257" s="53"/>
      <c r="I3257" s="53"/>
      <c r="U3257" s="31" t="n">
        <f aca="false">IF($B3257&lt;&gt;'設定（最初に1回）'!$C$4,N(U3256),IF(COUNTIFS(①今日の在庫を貼る!$B$6:$B$10005,$B3257,①今日の在庫を貼る!$I$6:$I$10005,$I3257)&gt;0,N(U3256),N(U3256)+1))</f>
        <v>2</v>
      </c>
    </row>
    <row r="3258" customFormat="false" ht="15" hidden="false" customHeight="false" outlineLevel="0" collapsed="false">
      <c r="B3258" s="53"/>
      <c r="I3258" s="53"/>
      <c r="U3258" s="31" t="n">
        <f aca="false">IF($B3258&lt;&gt;'設定（最初に1回）'!$C$4,N(U3257),IF(COUNTIFS(①今日の在庫を貼る!$B$6:$B$10005,$B3258,①今日の在庫を貼る!$I$6:$I$10005,$I3258)&gt;0,N(U3257),N(U3257)+1))</f>
        <v>2</v>
      </c>
    </row>
    <row r="3259" customFormat="false" ht="15" hidden="false" customHeight="false" outlineLevel="0" collapsed="false">
      <c r="B3259" s="53"/>
      <c r="I3259" s="53"/>
      <c r="U3259" s="31" t="n">
        <f aca="false">IF($B3259&lt;&gt;'設定（最初に1回）'!$C$4,N(U3258),IF(COUNTIFS(①今日の在庫を貼る!$B$6:$B$10005,$B3259,①今日の在庫を貼る!$I$6:$I$10005,$I3259)&gt;0,N(U3258),N(U3258)+1))</f>
        <v>2</v>
      </c>
    </row>
    <row r="3260" customFormat="false" ht="15" hidden="false" customHeight="false" outlineLevel="0" collapsed="false">
      <c r="B3260" s="53"/>
      <c r="I3260" s="53"/>
      <c r="U3260" s="31" t="n">
        <f aca="false">IF($B3260&lt;&gt;'設定（最初に1回）'!$C$4,N(U3259),IF(COUNTIFS(①今日の在庫を貼る!$B$6:$B$10005,$B3260,①今日の在庫を貼る!$I$6:$I$10005,$I3260)&gt;0,N(U3259),N(U3259)+1))</f>
        <v>2</v>
      </c>
    </row>
    <row r="3261" customFormat="false" ht="15" hidden="false" customHeight="false" outlineLevel="0" collapsed="false">
      <c r="B3261" s="53"/>
      <c r="I3261" s="53"/>
      <c r="U3261" s="31" t="n">
        <f aca="false">IF($B3261&lt;&gt;'設定（最初に1回）'!$C$4,N(U3260),IF(COUNTIFS(①今日の在庫を貼る!$B$6:$B$10005,$B3261,①今日の在庫を貼る!$I$6:$I$10005,$I3261)&gt;0,N(U3260),N(U3260)+1))</f>
        <v>2</v>
      </c>
    </row>
    <row r="3262" customFormat="false" ht="15" hidden="false" customHeight="false" outlineLevel="0" collapsed="false">
      <c r="B3262" s="53"/>
      <c r="I3262" s="53"/>
      <c r="U3262" s="31" t="n">
        <f aca="false">IF($B3262&lt;&gt;'設定（最初に1回）'!$C$4,N(U3261),IF(COUNTIFS(①今日の在庫を貼る!$B$6:$B$10005,$B3262,①今日の在庫を貼る!$I$6:$I$10005,$I3262)&gt;0,N(U3261),N(U3261)+1))</f>
        <v>2</v>
      </c>
    </row>
    <row r="3263" customFormat="false" ht="15" hidden="false" customHeight="false" outlineLevel="0" collapsed="false">
      <c r="B3263" s="53"/>
      <c r="I3263" s="53"/>
      <c r="U3263" s="31" t="n">
        <f aca="false">IF($B3263&lt;&gt;'設定（最初に1回）'!$C$4,N(U3262),IF(COUNTIFS(①今日の在庫を貼る!$B$6:$B$10005,$B3263,①今日の在庫を貼る!$I$6:$I$10005,$I3263)&gt;0,N(U3262),N(U3262)+1))</f>
        <v>2</v>
      </c>
    </row>
    <row r="3264" customFormat="false" ht="15" hidden="false" customHeight="false" outlineLevel="0" collapsed="false">
      <c r="B3264" s="53"/>
      <c r="I3264" s="53"/>
      <c r="U3264" s="31" t="n">
        <f aca="false">IF($B3264&lt;&gt;'設定（最初に1回）'!$C$4,N(U3263),IF(COUNTIFS(①今日の在庫を貼る!$B$6:$B$10005,$B3264,①今日の在庫を貼る!$I$6:$I$10005,$I3264)&gt;0,N(U3263),N(U3263)+1))</f>
        <v>2</v>
      </c>
    </row>
    <row r="3265" customFormat="false" ht="15" hidden="false" customHeight="false" outlineLevel="0" collapsed="false">
      <c r="B3265" s="53"/>
      <c r="I3265" s="53"/>
      <c r="U3265" s="31" t="n">
        <f aca="false">IF($B3265&lt;&gt;'設定（最初に1回）'!$C$4,N(U3264),IF(COUNTIFS(①今日の在庫を貼る!$B$6:$B$10005,$B3265,①今日の在庫を貼る!$I$6:$I$10005,$I3265)&gt;0,N(U3264),N(U3264)+1))</f>
        <v>2</v>
      </c>
    </row>
    <row r="3266" customFormat="false" ht="15" hidden="false" customHeight="false" outlineLevel="0" collapsed="false">
      <c r="B3266" s="53"/>
      <c r="I3266" s="53"/>
      <c r="U3266" s="31" t="n">
        <f aca="false">IF($B3266&lt;&gt;'設定（最初に1回）'!$C$4,N(U3265),IF(COUNTIFS(①今日の在庫を貼る!$B$6:$B$10005,$B3266,①今日の在庫を貼る!$I$6:$I$10005,$I3266)&gt;0,N(U3265),N(U3265)+1))</f>
        <v>2</v>
      </c>
    </row>
    <row r="3267" customFormat="false" ht="15" hidden="false" customHeight="false" outlineLevel="0" collapsed="false">
      <c r="B3267" s="53"/>
      <c r="I3267" s="53"/>
      <c r="U3267" s="31" t="n">
        <f aca="false">IF($B3267&lt;&gt;'設定（最初に1回）'!$C$4,N(U3266),IF(COUNTIFS(①今日の在庫を貼る!$B$6:$B$10005,$B3267,①今日の在庫を貼る!$I$6:$I$10005,$I3267)&gt;0,N(U3266),N(U3266)+1))</f>
        <v>2</v>
      </c>
    </row>
    <row r="3268" customFormat="false" ht="15" hidden="false" customHeight="false" outlineLevel="0" collapsed="false">
      <c r="B3268" s="53"/>
      <c r="I3268" s="53"/>
      <c r="U3268" s="31" t="n">
        <f aca="false">IF($B3268&lt;&gt;'設定（最初に1回）'!$C$4,N(U3267),IF(COUNTIFS(①今日の在庫を貼る!$B$6:$B$10005,$B3268,①今日の在庫を貼る!$I$6:$I$10005,$I3268)&gt;0,N(U3267),N(U3267)+1))</f>
        <v>2</v>
      </c>
    </row>
    <row r="3269" customFormat="false" ht="15" hidden="false" customHeight="false" outlineLevel="0" collapsed="false">
      <c r="B3269" s="53"/>
      <c r="I3269" s="53"/>
      <c r="U3269" s="31" t="n">
        <f aca="false">IF($B3269&lt;&gt;'設定（最初に1回）'!$C$4,N(U3268),IF(COUNTIFS(①今日の在庫を貼る!$B$6:$B$10005,$B3269,①今日の在庫を貼る!$I$6:$I$10005,$I3269)&gt;0,N(U3268),N(U3268)+1))</f>
        <v>2</v>
      </c>
    </row>
    <row r="3270" customFormat="false" ht="15" hidden="false" customHeight="false" outlineLevel="0" collapsed="false">
      <c r="B3270" s="53"/>
      <c r="I3270" s="53"/>
      <c r="U3270" s="31" t="n">
        <f aca="false">IF($B3270&lt;&gt;'設定（最初に1回）'!$C$4,N(U3269),IF(COUNTIFS(①今日の在庫を貼る!$B$6:$B$10005,$B3270,①今日の在庫を貼る!$I$6:$I$10005,$I3270)&gt;0,N(U3269),N(U3269)+1))</f>
        <v>2</v>
      </c>
    </row>
    <row r="3271" customFormat="false" ht="15" hidden="false" customHeight="false" outlineLevel="0" collapsed="false">
      <c r="B3271" s="53"/>
      <c r="I3271" s="53"/>
      <c r="U3271" s="31" t="n">
        <f aca="false">IF($B3271&lt;&gt;'設定（最初に1回）'!$C$4,N(U3270),IF(COUNTIFS(①今日の在庫を貼る!$B$6:$B$10005,$B3271,①今日の在庫を貼る!$I$6:$I$10005,$I3271)&gt;0,N(U3270),N(U3270)+1))</f>
        <v>2</v>
      </c>
    </row>
    <row r="3272" customFormat="false" ht="15" hidden="false" customHeight="false" outlineLevel="0" collapsed="false">
      <c r="B3272" s="53"/>
      <c r="I3272" s="53"/>
      <c r="U3272" s="31" t="n">
        <f aca="false">IF($B3272&lt;&gt;'設定（最初に1回）'!$C$4,N(U3271),IF(COUNTIFS(①今日の在庫を貼る!$B$6:$B$10005,$B3272,①今日の在庫を貼る!$I$6:$I$10005,$I3272)&gt;0,N(U3271),N(U3271)+1))</f>
        <v>2</v>
      </c>
    </row>
    <row r="3273" customFormat="false" ht="15" hidden="false" customHeight="false" outlineLevel="0" collapsed="false">
      <c r="B3273" s="53"/>
      <c r="I3273" s="53"/>
      <c r="U3273" s="31" t="n">
        <f aca="false">IF($B3273&lt;&gt;'設定（最初に1回）'!$C$4,N(U3272),IF(COUNTIFS(①今日の在庫を貼る!$B$6:$B$10005,$B3273,①今日の在庫を貼る!$I$6:$I$10005,$I3273)&gt;0,N(U3272),N(U3272)+1))</f>
        <v>2</v>
      </c>
    </row>
    <row r="3274" customFormat="false" ht="15" hidden="false" customHeight="false" outlineLevel="0" collapsed="false">
      <c r="B3274" s="53"/>
      <c r="I3274" s="53"/>
      <c r="U3274" s="31" t="n">
        <f aca="false">IF($B3274&lt;&gt;'設定（最初に1回）'!$C$4,N(U3273),IF(COUNTIFS(①今日の在庫を貼る!$B$6:$B$10005,$B3274,①今日の在庫を貼る!$I$6:$I$10005,$I3274)&gt;0,N(U3273),N(U3273)+1))</f>
        <v>2</v>
      </c>
    </row>
    <row r="3275" customFormat="false" ht="15" hidden="false" customHeight="false" outlineLevel="0" collapsed="false">
      <c r="B3275" s="53"/>
      <c r="I3275" s="53"/>
      <c r="U3275" s="31" t="n">
        <f aca="false">IF($B3275&lt;&gt;'設定（最初に1回）'!$C$4,N(U3274),IF(COUNTIFS(①今日の在庫を貼る!$B$6:$B$10005,$B3275,①今日の在庫を貼る!$I$6:$I$10005,$I3275)&gt;0,N(U3274),N(U3274)+1))</f>
        <v>2</v>
      </c>
    </row>
    <row r="3276" customFormat="false" ht="15" hidden="false" customHeight="false" outlineLevel="0" collapsed="false">
      <c r="B3276" s="53"/>
      <c r="I3276" s="53"/>
      <c r="U3276" s="31" t="n">
        <f aca="false">IF($B3276&lt;&gt;'設定（最初に1回）'!$C$4,N(U3275),IF(COUNTIFS(①今日の在庫を貼る!$B$6:$B$10005,$B3276,①今日の在庫を貼る!$I$6:$I$10005,$I3276)&gt;0,N(U3275),N(U3275)+1))</f>
        <v>2</v>
      </c>
    </row>
    <row r="3277" customFormat="false" ht="15" hidden="false" customHeight="false" outlineLevel="0" collapsed="false">
      <c r="B3277" s="53"/>
      <c r="I3277" s="53"/>
      <c r="U3277" s="31" t="n">
        <f aca="false">IF($B3277&lt;&gt;'設定（最初に1回）'!$C$4,N(U3276),IF(COUNTIFS(①今日の在庫を貼る!$B$6:$B$10005,$B3277,①今日の在庫を貼る!$I$6:$I$10005,$I3277)&gt;0,N(U3276),N(U3276)+1))</f>
        <v>2</v>
      </c>
    </row>
    <row r="3278" customFormat="false" ht="15" hidden="false" customHeight="false" outlineLevel="0" collapsed="false">
      <c r="B3278" s="53"/>
      <c r="I3278" s="53"/>
      <c r="U3278" s="31" t="n">
        <f aca="false">IF($B3278&lt;&gt;'設定（最初に1回）'!$C$4,N(U3277),IF(COUNTIFS(①今日の在庫を貼る!$B$6:$B$10005,$B3278,①今日の在庫を貼る!$I$6:$I$10005,$I3278)&gt;0,N(U3277),N(U3277)+1))</f>
        <v>2</v>
      </c>
    </row>
    <row r="3279" customFormat="false" ht="15" hidden="false" customHeight="false" outlineLevel="0" collapsed="false">
      <c r="B3279" s="53"/>
      <c r="I3279" s="53"/>
      <c r="U3279" s="31" t="n">
        <f aca="false">IF($B3279&lt;&gt;'設定（最初に1回）'!$C$4,N(U3278),IF(COUNTIFS(①今日の在庫を貼る!$B$6:$B$10005,$B3279,①今日の在庫を貼る!$I$6:$I$10005,$I3279)&gt;0,N(U3278),N(U3278)+1))</f>
        <v>2</v>
      </c>
    </row>
    <row r="3280" customFormat="false" ht="15" hidden="false" customHeight="false" outlineLevel="0" collapsed="false">
      <c r="B3280" s="53"/>
      <c r="I3280" s="53"/>
      <c r="U3280" s="31" t="n">
        <f aca="false">IF($B3280&lt;&gt;'設定（最初に1回）'!$C$4,N(U3279),IF(COUNTIFS(①今日の在庫を貼る!$B$6:$B$10005,$B3280,①今日の在庫を貼る!$I$6:$I$10005,$I3280)&gt;0,N(U3279),N(U3279)+1))</f>
        <v>2</v>
      </c>
    </row>
    <row r="3281" customFormat="false" ht="15" hidden="false" customHeight="false" outlineLevel="0" collapsed="false">
      <c r="B3281" s="53"/>
      <c r="I3281" s="53"/>
      <c r="U3281" s="31" t="n">
        <f aca="false">IF($B3281&lt;&gt;'設定（最初に1回）'!$C$4,N(U3280),IF(COUNTIFS(①今日の在庫を貼る!$B$6:$B$10005,$B3281,①今日の在庫を貼る!$I$6:$I$10005,$I3281)&gt;0,N(U3280),N(U3280)+1))</f>
        <v>2</v>
      </c>
    </row>
    <row r="3282" customFormat="false" ht="15" hidden="false" customHeight="false" outlineLevel="0" collapsed="false">
      <c r="B3282" s="53"/>
      <c r="I3282" s="53"/>
      <c r="U3282" s="31" t="n">
        <f aca="false">IF($B3282&lt;&gt;'設定（最初に1回）'!$C$4,N(U3281),IF(COUNTIFS(①今日の在庫を貼る!$B$6:$B$10005,$B3282,①今日の在庫を貼る!$I$6:$I$10005,$I3282)&gt;0,N(U3281),N(U3281)+1))</f>
        <v>2</v>
      </c>
    </row>
    <row r="3283" customFormat="false" ht="15" hidden="false" customHeight="false" outlineLevel="0" collapsed="false">
      <c r="B3283" s="53"/>
      <c r="I3283" s="53"/>
      <c r="U3283" s="31" t="n">
        <f aca="false">IF($B3283&lt;&gt;'設定（最初に1回）'!$C$4,N(U3282),IF(COUNTIFS(①今日の在庫を貼る!$B$6:$B$10005,$B3283,①今日の在庫を貼る!$I$6:$I$10005,$I3283)&gt;0,N(U3282),N(U3282)+1))</f>
        <v>2</v>
      </c>
    </row>
    <row r="3284" customFormat="false" ht="15" hidden="false" customHeight="false" outlineLevel="0" collapsed="false">
      <c r="B3284" s="53"/>
      <c r="I3284" s="53"/>
      <c r="U3284" s="31" t="n">
        <f aca="false">IF($B3284&lt;&gt;'設定（最初に1回）'!$C$4,N(U3283),IF(COUNTIFS(①今日の在庫を貼る!$B$6:$B$10005,$B3284,①今日の在庫を貼る!$I$6:$I$10005,$I3284)&gt;0,N(U3283),N(U3283)+1))</f>
        <v>2</v>
      </c>
    </row>
    <row r="3285" customFormat="false" ht="15" hidden="false" customHeight="false" outlineLevel="0" collapsed="false">
      <c r="B3285" s="53"/>
      <c r="I3285" s="53"/>
      <c r="U3285" s="31" t="n">
        <f aca="false">IF($B3285&lt;&gt;'設定（最初に1回）'!$C$4,N(U3284),IF(COUNTIFS(①今日の在庫を貼る!$B$6:$B$10005,$B3285,①今日の在庫を貼る!$I$6:$I$10005,$I3285)&gt;0,N(U3284),N(U3284)+1))</f>
        <v>2</v>
      </c>
    </row>
    <row r="3286" customFormat="false" ht="15" hidden="false" customHeight="false" outlineLevel="0" collapsed="false">
      <c r="B3286" s="53"/>
      <c r="I3286" s="53"/>
      <c r="U3286" s="31" t="n">
        <f aca="false">IF($B3286&lt;&gt;'設定（最初に1回）'!$C$4,N(U3285),IF(COUNTIFS(①今日の在庫を貼る!$B$6:$B$10005,$B3286,①今日の在庫を貼る!$I$6:$I$10005,$I3286)&gt;0,N(U3285),N(U3285)+1))</f>
        <v>2</v>
      </c>
    </row>
    <row r="3287" customFormat="false" ht="15" hidden="false" customHeight="false" outlineLevel="0" collapsed="false">
      <c r="B3287" s="53"/>
      <c r="I3287" s="53"/>
      <c r="U3287" s="31" t="n">
        <f aca="false">IF($B3287&lt;&gt;'設定（最初に1回）'!$C$4,N(U3286),IF(COUNTIFS(①今日の在庫を貼る!$B$6:$B$10005,$B3287,①今日の在庫を貼る!$I$6:$I$10005,$I3287)&gt;0,N(U3286),N(U3286)+1))</f>
        <v>2</v>
      </c>
    </row>
    <row r="3288" customFormat="false" ht="15" hidden="false" customHeight="false" outlineLevel="0" collapsed="false">
      <c r="B3288" s="53"/>
      <c r="I3288" s="53"/>
      <c r="U3288" s="31" t="n">
        <f aca="false">IF($B3288&lt;&gt;'設定（最初に1回）'!$C$4,N(U3287),IF(COUNTIFS(①今日の在庫を貼る!$B$6:$B$10005,$B3288,①今日の在庫を貼る!$I$6:$I$10005,$I3288)&gt;0,N(U3287),N(U3287)+1))</f>
        <v>2</v>
      </c>
    </row>
    <row r="3289" customFormat="false" ht="15" hidden="false" customHeight="false" outlineLevel="0" collapsed="false">
      <c r="B3289" s="53"/>
      <c r="I3289" s="53"/>
      <c r="U3289" s="31" t="n">
        <f aca="false">IF($B3289&lt;&gt;'設定（最初に1回）'!$C$4,N(U3288),IF(COUNTIFS(①今日の在庫を貼る!$B$6:$B$10005,$B3289,①今日の在庫を貼る!$I$6:$I$10005,$I3289)&gt;0,N(U3288),N(U3288)+1))</f>
        <v>2</v>
      </c>
    </row>
    <row r="3290" customFormat="false" ht="15" hidden="false" customHeight="false" outlineLevel="0" collapsed="false">
      <c r="B3290" s="53"/>
      <c r="I3290" s="53"/>
      <c r="U3290" s="31" t="n">
        <f aca="false">IF($B3290&lt;&gt;'設定（最初に1回）'!$C$4,N(U3289),IF(COUNTIFS(①今日の在庫を貼る!$B$6:$B$10005,$B3290,①今日の在庫を貼る!$I$6:$I$10005,$I3290)&gt;0,N(U3289),N(U3289)+1))</f>
        <v>2</v>
      </c>
    </row>
    <row r="3291" customFormat="false" ht="15" hidden="false" customHeight="false" outlineLevel="0" collapsed="false">
      <c r="B3291" s="53"/>
      <c r="I3291" s="53"/>
      <c r="U3291" s="31" t="n">
        <f aca="false">IF($B3291&lt;&gt;'設定（最初に1回）'!$C$4,N(U3290),IF(COUNTIFS(①今日の在庫を貼る!$B$6:$B$10005,$B3291,①今日の在庫を貼る!$I$6:$I$10005,$I3291)&gt;0,N(U3290),N(U3290)+1))</f>
        <v>2</v>
      </c>
    </row>
    <row r="3292" customFormat="false" ht="15" hidden="false" customHeight="false" outlineLevel="0" collapsed="false">
      <c r="B3292" s="53"/>
      <c r="I3292" s="53"/>
      <c r="U3292" s="31" t="n">
        <f aca="false">IF($B3292&lt;&gt;'設定（最初に1回）'!$C$4,N(U3291),IF(COUNTIFS(①今日の在庫を貼る!$B$6:$B$10005,$B3292,①今日の在庫を貼る!$I$6:$I$10005,$I3292)&gt;0,N(U3291),N(U3291)+1))</f>
        <v>2</v>
      </c>
    </row>
    <row r="3293" customFormat="false" ht="15" hidden="false" customHeight="false" outlineLevel="0" collapsed="false">
      <c r="B3293" s="53"/>
      <c r="I3293" s="53"/>
      <c r="U3293" s="31" t="n">
        <f aca="false">IF($B3293&lt;&gt;'設定（最初に1回）'!$C$4,N(U3292),IF(COUNTIFS(①今日の在庫を貼る!$B$6:$B$10005,$B3293,①今日の在庫を貼る!$I$6:$I$10005,$I3293)&gt;0,N(U3292),N(U3292)+1))</f>
        <v>2</v>
      </c>
    </row>
    <row r="3294" customFormat="false" ht="15" hidden="false" customHeight="false" outlineLevel="0" collapsed="false">
      <c r="B3294" s="53"/>
      <c r="I3294" s="53"/>
      <c r="U3294" s="31" t="n">
        <f aca="false">IF($B3294&lt;&gt;'設定（最初に1回）'!$C$4,N(U3293),IF(COUNTIFS(①今日の在庫を貼る!$B$6:$B$10005,$B3294,①今日の在庫を貼る!$I$6:$I$10005,$I3294)&gt;0,N(U3293),N(U3293)+1))</f>
        <v>2</v>
      </c>
    </row>
    <row r="3295" customFormat="false" ht="15" hidden="false" customHeight="false" outlineLevel="0" collapsed="false">
      <c r="B3295" s="53"/>
      <c r="I3295" s="53"/>
      <c r="U3295" s="31" t="n">
        <f aca="false">IF($B3295&lt;&gt;'設定（最初に1回）'!$C$4,N(U3294),IF(COUNTIFS(①今日の在庫を貼る!$B$6:$B$10005,$B3295,①今日の在庫を貼る!$I$6:$I$10005,$I3295)&gt;0,N(U3294),N(U3294)+1))</f>
        <v>2</v>
      </c>
    </row>
    <row r="3296" customFormat="false" ht="15" hidden="false" customHeight="false" outlineLevel="0" collapsed="false">
      <c r="B3296" s="53"/>
      <c r="I3296" s="53"/>
      <c r="U3296" s="31" t="n">
        <f aca="false">IF($B3296&lt;&gt;'設定（最初に1回）'!$C$4,N(U3295),IF(COUNTIFS(①今日の在庫を貼る!$B$6:$B$10005,$B3296,①今日の在庫を貼る!$I$6:$I$10005,$I3296)&gt;0,N(U3295),N(U3295)+1))</f>
        <v>2</v>
      </c>
    </row>
    <row r="3297" customFormat="false" ht="15" hidden="false" customHeight="false" outlineLevel="0" collapsed="false">
      <c r="B3297" s="53"/>
      <c r="I3297" s="53"/>
      <c r="U3297" s="31" t="n">
        <f aca="false">IF($B3297&lt;&gt;'設定（最初に1回）'!$C$4,N(U3296),IF(COUNTIFS(①今日の在庫を貼る!$B$6:$B$10005,$B3297,①今日の在庫を貼る!$I$6:$I$10005,$I3297)&gt;0,N(U3296),N(U3296)+1))</f>
        <v>2</v>
      </c>
    </row>
    <row r="3298" customFormat="false" ht="15" hidden="false" customHeight="false" outlineLevel="0" collapsed="false">
      <c r="B3298" s="53"/>
      <c r="I3298" s="53"/>
      <c r="U3298" s="31" t="n">
        <f aca="false">IF($B3298&lt;&gt;'設定（最初に1回）'!$C$4,N(U3297),IF(COUNTIFS(①今日の在庫を貼る!$B$6:$B$10005,$B3298,①今日の在庫を貼る!$I$6:$I$10005,$I3298)&gt;0,N(U3297),N(U3297)+1))</f>
        <v>2</v>
      </c>
    </row>
    <row r="3299" customFormat="false" ht="15" hidden="false" customHeight="false" outlineLevel="0" collapsed="false">
      <c r="B3299" s="53"/>
      <c r="I3299" s="53"/>
      <c r="U3299" s="31" t="n">
        <f aca="false">IF($B3299&lt;&gt;'設定（最初に1回）'!$C$4,N(U3298),IF(COUNTIFS(①今日の在庫を貼る!$B$6:$B$10005,$B3299,①今日の在庫を貼る!$I$6:$I$10005,$I3299)&gt;0,N(U3298),N(U3298)+1))</f>
        <v>2</v>
      </c>
    </row>
    <row r="3300" customFormat="false" ht="15" hidden="false" customHeight="false" outlineLevel="0" collapsed="false">
      <c r="B3300" s="53"/>
      <c r="I3300" s="53"/>
      <c r="U3300" s="31" t="n">
        <f aca="false">IF($B3300&lt;&gt;'設定（最初に1回）'!$C$4,N(U3299),IF(COUNTIFS(①今日の在庫を貼る!$B$6:$B$10005,$B3300,①今日の在庫を貼る!$I$6:$I$10005,$I3300)&gt;0,N(U3299),N(U3299)+1))</f>
        <v>2</v>
      </c>
    </row>
    <row r="3301" customFormat="false" ht="15" hidden="false" customHeight="false" outlineLevel="0" collapsed="false">
      <c r="B3301" s="53"/>
      <c r="I3301" s="53"/>
      <c r="U3301" s="31" t="n">
        <f aca="false">IF($B3301&lt;&gt;'設定（最初に1回）'!$C$4,N(U3300),IF(COUNTIFS(①今日の在庫を貼る!$B$6:$B$10005,$B3301,①今日の在庫を貼る!$I$6:$I$10005,$I3301)&gt;0,N(U3300),N(U3300)+1))</f>
        <v>2</v>
      </c>
    </row>
    <row r="3302" customFormat="false" ht="15" hidden="false" customHeight="false" outlineLevel="0" collapsed="false">
      <c r="B3302" s="53"/>
      <c r="I3302" s="53"/>
      <c r="U3302" s="31" t="n">
        <f aca="false">IF($B3302&lt;&gt;'設定（最初に1回）'!$C$4,N(U3301),IF(COUNTIFS(①今日の在庫を貼る!$B$6:$B$10005,$B3302,①今日の在庫を貼る!$I$6:$I$10005,$I3302)&gt;0,N(U3301),N(U3301)+1))</f>
        <v>2</v>
      </c>
    </row>
    <row r="3303" customFormat="false" ht="15" hidden="false" customHeight="false" outlineLevel="0" collapsed="false">
      <c r="B3303" s="53"/>
      <c r="I3303" s="53"/>
      <c r="U3303" s="31" t="n">
        <f aca="false">IF($B3303&lt;&gt;'設定（最初に1回）'!$C$4,N(U3302),IF(COUNTIFS(①今日の在庫を貼る!$B$6:$B$10005,$B3303,①今日の在庫を貼る!$I$6:$I$10005,$I3303)&gt;0,N(U3302),N(U3302)+1))</f>
        <v>2</v>
      </c>
    </row>
    <row r="3304" customFormat="false" ht="15" hidden="false" customHeight="false" outlineLevel="0" collapsed="false">
      <c r="B3304" s="53"/>
      <c r="I3304" s="53"/>
      <c r="U3304" s="31" t="n">
        <f aca="false">IF($B3304&lt;&gt;'設定（最初に1回）'!$C$4,N(U3303),IF(COUNTIFS(①今日の在庫を貼る!$B$6:$B$10005,$B3304,①今日の在庫を貼る!$I$6:$I$10005,$I3304)&gt;0,N(U3303),N(U3303)+1))</f>
        <v>2</v>
      </c>
    </row>
    <row r="3305" customFormat="false" ht="15" hidden="false" customHeight="false" outlineLevel="0" collapsed="false">
      <c r="B3305" s="53"/>
      <c r="I3305" s="53"/>
      <c r="U3305" s="31" t="n">
        <f aca="false">IF($B3305&lt;&gt;'設定（最初に1回）'!$C$4,N(U3304),IF(COUNTIFS(①今日の在庫を貼る!$B$6:$B$10005,$B3305,①今日の在庫を貼る!$I$6:$I$10005,$I3305)&gt;0,N(U3304),N(U3304)+1))</f>
        <v>2</v>
      </c>
    </row>
    <row r="3306" customFormat="false" ht="15" hidden="false" customHeight="false" outlineLevel="0" collapsed="false">
      <c r="B3306" s="53"/>
      <c r="I3306" s="53"/>
      <c r="U3306" s="31" t="n">
        <f aca="false">IF($B3306&lt;&gt;'設定（最初に1回）'!$C$4,N(U3305),IF(COUNTIFS(①今日の在庫を貼る!$B$6:$B$10005,$B3306,①今日の在庫を貼る!$I$6:$I$10005,$I3306)&gt;0,N(U3305),N(U3305)+1))</f>
        <v>2</v>
      </c>
    </row>
    <row r="3307" customFormat="false" ht="15" hidden="false" customHeight="false" outlineLevel="0" collapsed="false">
      <c r="B3307" s="53"/>
      <c r="I3307" s="53"/>
      <c r="U3307" s="31" t="n">
        <f aca="false">IF($B3307&lt;&gt;'設定（最初に1回）'!$C$4,N(U3306),IF(COUNTIFS(①今日の在庫を貼る!$B$6:$B$10005,$B3307,①今日の在庫を貼る!$I$6:$I$10005,$I3307)&gt;0,N(U3306),N(U3306)+1))</f>
        <v>2</v>
      </c>
    </row>
    <row r="3308" customFormat="false" ht="15" hidden="false" customHeight="false" outlineLevel="0" collapsed="false">
      <c r="B3308" s="53"/>
      <c r="I3308" s="53"/>
      <c r="U3308" s="31" t="n">
        <f aca="false">IF($B3308&lt;&gt;'設定（最初に1回）'!$C$4,N(U3307),IF(COUNTIFS(①今日の在庫を貼る!$B$6:$B$10005,$B3308,①今日の在庫を貼る!$I$6:$I$10005,$I3308)&gt;0,N(U3307),N(U3307)+1))</f>
        <v>2</v>
      </c>
    </row>
    <row r="3309" customFormat="false" ht="15" hidden="false" customHeight="false" outlineLevel="0" collapsed="false">
      <c r="B3309" s="53"/>
      <c r="I3309" s="53"/>
      <c r="U3309" s="31" t="n">
        <f aca="false">IF($B3309&lt;&gt;'設定（最初に1回）'!$C$4,N(U3308),IF(COUNTIFS(①今日の在庫を貼る!$B$6:$B$10005,$B3309,①今日の在庫を貼る!$I$6:$I$10005,$I3309)&gt;0,N(U3308),N(U3308)+1))</f>
        <v>2</v>
      </c>
    </row>
    <row r="3310" customFormat="false" ht="15" hidden="false" customHeight="false" outlineLevel="0" collapsed="false">
      <c r="B3310" s="53"/>
      <c r="I3310" s="53"/>
      <c r="U3310" s="31" t="n">
        <f aca="false">IF($B3310&lt;&gt;'設定（最初に1回）'!$C$4,N(U3309),IF(COUNTIFS(①今日の在庫を貼る!$B$6:$B$10005,$B3310,①今日の在庫を貼る!$I$6:$I$10005,$I3310)&gt;0,N(U3309),N(U3309)+1))</f>
        <v>2</v>
      </c>
    </row>
    <row r="3311" customFormat="false" ht="15" hidden="false" customHeight="false" outlineLevel="0" collapsed="false">
      <c r="B3311" s="53"/>
      <c r="I3311" s="53"/>
      <c r="U3311" s="31" t="n">
        <f aca="false">IF($B3311&lt;&gt;'設定（最初に1回）'!$C$4,N(U3310),IF(COUNTIFS(①今日の在庫を貼る!$B$6:$B$10005,$B3311,①今日の在庫を貼る!$I$6:$I$10005,$I3311)&gt;0,N(U3310),N(U3310)+1))</f>
        <v>2</v>
      </c>
    </row>
    <row r="3312" customFormat="false" ht="15" hidden="false" customHeight="false" outlineLevel="0" collapsed="false">
      <c r="B3312" s="53"/>
      <c r="I3312" s="53"/>
      <c r="U3312" s="31" t="n">
        <f aca="false">IF($B3312&lt;&gt;'設定（最初に1回）'!$C$4,N(U3311),IF(COUNTIFS(①今日の在庫を貼る!$B$6:$B$10005,$B3312,①今日の在庫を貼る!$I$6:$I$10005,$I3312)&gt;0,N(U3311),N(U3311)+1))</f>
        <v>2</v>
      </c>
    </row>
    <row r="3313" customFormat="false" ht="15" hidden="false" customHeight="false" outlineLevel="0" collapsed="false">
      <c r="B3313" s="53"/>
      <c r="I3313" s="53"/>
      <c r="U3313" s="31" t="n">
        <f aca="false">IF($B3313&lt;&gt;'設定（最初に1回）'!$C$4,N(U3312),IF(COUNTIFS(①今日の在庫を貼る!$B$6:$B$10005,$B3313,①今日の在庫を貼る!$I$6:$I$10005,$I3313)&gt;0,N(U3312),N(U3312)+1))</f>
        <v>2</v>
      </c>
    </row>
    <row r="3314" customFormat="false" ht="15" hidden="false" customHeight="false" outlineLevel="0" collapsed="false">
      <c r="B3314" s="53"/>
      <c r="I3314" s="53"/>
      <c r="U3314" s="31" t="n">
        <f aca="false">IF($B3314&lt;&gt;'設定（最初に1回）'!$C$4,N(U3313),IF(COUNTIFS(①今日の在庫を貼る!$B$6:$B$10005,$B3314,①今日の在庫を貼る!$I$6:$I$10005,$I3314)&gt;0,N(U3313),N(U3313)+1))</f>
        <v>2</v>
      </c>
    </row>
    <row r="3315" customFormat="false" ht="15" hidden="false" customHeight="false" outlineLevel="0" collapsed="false">
      <c r="B3315" s="53"/>
      <c r="I3315" s="53"/>
      <c r="U3315" s="31" t="n">
        <f aca="false">IF($B3315&lt;&gt;'設定（最初に1回）'!$C$4,N(U3314),IF(COUNTIFS(①今日の在庫を貼る!$B$6:$B$10005,$B3315,①今日の在庫を貼る!$I$6:$I$10005,$I3315)&gt;0,N(U3314),N(U3314)+1))</f>
        <v>2</v>
      </c>
    </row>
    <row r="3316" customFormat="false" ht="15" hidden="false" customHeight="false" outlineLevel="0" collapsed="false">
      <c r="B3316" s="53"/>
      <c r="I3316" s="53"/>
      <c r="U3316" s="31" t="n">
        <f aca="false">IF($B3316&lt;&gt;'設定（最初に1回）'!$C$4,N(U3315),IF(COUNTIFS(①今日の在庫を貼る!$B$6:$B$10005,$B3316,①今日の在庫を貼る!$I$6:$I$10005,$I3316)&gt;0,N(U3315),N(U3315)+1))</f>
        <v>2</v>
      </c>
    </row>
    <row r="3317" customFormat="false" ht="15" hidden="false" customHeight="false" outlineLevel="0" collapsed="false">
      <c r="B3317" s="53"/>
      <c r="I3317" s="53"/>
      <c r="U3317" s="31" t="n">
        <f aca="false">IF($B3317&lt;&gt;'設定（最初に1回）'!$C$4,N(U3316),IF(COUNTIFS(①今日の在庫を貼る!$B$6:$B$10005,$B3317,①今日の在庫を貼る!$I$6:$I$10005,$I3317)&gt;0,N(U3316),N(U3316)+1))</f>
        <v>2</v>
      </c>
    </row>
    <row r="3318" customFormat="false" ht="15" hidden="false" customHeight="false" outlineLevel="0" collapsed="false">
      <c r="B3318" s="53"/>
      <c r="I3318" s="53"/>
      <c r="U3318" s="31" t="n">
        <f aca="false">IF($B3318&lt;&gt;'設定（最初に1回）'!$C$4,N(U3317),IF(COUNTIFS(①今日の在庫を貼る!$B$6:$B$10005,$B3318,①今日の在庫を貼る!$I$6:$I$10005,$I3318)&gt;0,N(U3317),N(U3317)+1))</f>
        <v>2</v>
      </c>
    </row>
    <row r="3319" customFormat="false" ht="15" hidden="false" customHeight="false" outlineLevel="0" collapsed="false">
      <c r="B3319" s="53"/>
      <c r="I3319" s="53"/>
      <c r="U3319" s="31" t="n">
        <f aca="false">IF($B3319&lt;&gt;'設定（最初に1回）'!$C$4,N(U3318),IF(COUNTIFS(①今日の在庫を貼る!$B$6:$B$10005,$B3319,①今日の在庫を貼る!$I$6:$I$10005,$I3319)&gt;0,N(U3318),N(U3318)+1))</f>
        <v>2</v>
      </c>
    </row>
    <row r="3320" customFormat="false" ht="15" hidden="false" customHeight="false" outlineLevel="0" collapsed="false">
      <c r="B3320" s="53"/>
      <c r="I3320" s="53"/>
      <c r="U3320" s="31" t="n">
        <f aca="false">IF($B3320&lt;&gt;'設定（最初に1回）'!$C$4,N(U3319),IF(COUNTIFS(①今日の在庫を貼る!$B$6:$B$10005,$B3320,①今日の在庫を貼る!$I$6:$I$10005,$I3320)&gt;0,N(U3319),N(U3319)+1))</f>
        <v>2</v>
      </c>
    </row>
    <row r="3321" customFormat="false" ht="15" hidden="false" customHeight="false" outlineLevel="0" collapsed="false">
      <c r="B3321" s="53"/>
      <c r="I3321" s="53"/>
      <c r="U3321" s="31" t="n">
        <f aca="false">IF($B3321&lt;&gt;'設定（最初に1回）'!$C$4,N(U3320),IF(COUNTIFS(①今日の在庫を貼る!$B$6:$B$10005,$B3321,①今日の在庫を貼る!$I$6:$I$10005,$I3321)&gt;0,N(U3320),N(U3320)+1))</f>
        <v>2</v>
      </c>
    </row>
    <row r="3322" customFormat="false" ht="15" hidden="false" customHeight="false" outlineLevel="0" collapsed="false">
      <c r="B3322" s="53"/>
      <c r="I3322" s="53"/>
      <c r="U3322" s="31" t="n">
        <f aca="false">IF($B3322&lt;&gt;'設定（最初に1回）'!$C$4,N(U3321),IF(COUNTIFS(①今日の在庫を貼る!$B$6:$B$10005,$B3322,①今日の在庫を貼る!$I$6:$I$10005,$I3322)&gt;0,N(U3321),N(U3321)+1))</f>
        <v>2</v>
      </c>
    </row>
    <row r="3323" customFormat="false" ht="15" hidden="false" customHeight="false" outlineLevel="0" collapsed="false">
      <c r="B3323" s="53"/>
      <c r="I3323" s="53"/>
      <c r="U3323" s="31" t="n">
        <f aca="false">IF($B3323&lt;&gt;'設定（最初に1回）'!$C$4,N(U3322),IF(COUNTIFS(①今日の在庫を貼る!$B$6:$B$10005,$B3323,①今日の在庫を貼る!$I$6:$I$10005,$I3323)&gt;0,N(U3322),N(U3322)+1))</f>
        <v>2</v>
      </c>
    </row>
    <row r="3324" customFormat="false" ht="15" hidden="false" customHeight="false" outlineLevel="0" collapsed="false">
      <c r="B3324" s="53"/>
      <c r="I3324" s="53"/>
      <c r="U3324" s="31" t="n">
        <f aca="false">IF($B3324&lt;&gt;'設定（最初に1回）'!$C$4,N(U3323),IF(COUNTIFS(①今日の在庫を貼る!$B$6:$B$10005,$B3324,①今日の在庫を貼る!$I$6:$I$10005,$I3324)&gt;0,N(U3323),N(U3323)+1))</f>
        <v>2</v>
      </c>
    </row>
    <row r="3325" customFormat="false" ht="15" hidden="false" customHeight="false" outlineLevel="0" collapsed="false">
      <c r="B3325" s="53"/>
      <c r="I3325" s="53"/>
      <c r="U3325" s="31" t="n">
        <f aca="false">IF($B3325&lt;&gt;'設定（最初に1回）'!$C$4,N(U3324),IF(COUNTIFS(①今日の在庫を貼る!$B$6:$B$10005,$B3325,①今日の在庫を貼る!$I$6:$I$10005,$I3325)&gt;0,N(U3324),N(U3324)+1))</f>
        <v>2</v>
      </c>
    </row>
    <row r="3326" customFormat="false" ht="15" hidden="false" customHeight="false" outlineLevel="0" collapsed="false">
      <c r="B3326" s="53"/>
      <c r="I3326" s="53"/>
      <c r="U3326" s="31" t="n">
        <f aca="false">IF($B3326&lt;&gt;'設定（最初に1回）'!$C$4,N(U3325),IF(COUNTIFS(①今日の在庫を貼る!$B$6:$B$10005,$B3326,①今日の在庫を貼る!$I$6:$I$10005,$I3326)&gt;0,N(U3325),N(U3325)+1))</f>
        <v>2</v>
      </c>
    </row>
    <row r="3327" customFormat="false" ht="15" hidden="false" customHeight="false" outlineLevel="0" collapsed="false">
      <c r="B3327" s="53"/>
      <c r="I3327" s="53"/>
      <c r="U3327" s="31" t="n">
        <f aca="false">IF($B3327&lt;&gt;'設定（最初に1回）'!$C$4,N(U3326),IF(COUNTIFS(①今日の在庫を貼る!$B$6:$B$10005,$B3327,①今日の在庫を貼る!$I$6:$I$10005,$I3327)&gt;0,N(U3326),N(U3326)+1))</f>
        <v>2</v>
      </c>
    </row>
    <row r="3328" customFormat="false" ht="15" hidden="false" customHeight="false" outlineLevel="0" collapsed="false">
      <c r="B3328" s="53"/>
      <c r="I3328" s="53"/>
      <c r="U3328" s="31" t="n">
        <f aca="false">IF($B3328&lt;&gt;'設定（最初に1回）'!$C$4,N(U3327),IF(COUNTIFS(①今日の在庫を貼る!$B$6:$B$10005,$B3328,①今日の在庫を貼る!$I$6:$I$10005,$I3328)&gt;0,N(U3327),N(U3327)+1))</f>
        <v>2</v>
      </c>
    </row>
    <row r="3329" customFormat="false" ht="15" hidden="false" customHeight="false" outlineLevel="0" collapsed="false">
      <c r="B3329" s="53"/>
      <c r="I3329" s="53"/>
      <c r="U3329" s="31" t="n">
        <f aca="false">IF($B3329&lt;&gt;'設定（最初に1回）'!$C$4,N(U3328),IF(COUNTIFS(①今日の在庫を貼る!$B$6:$B$10005,$B3329,①今日の在庫を貼る!$I$6:$I$10005,$I3329)&gt;0,N(U3328),N(U3328)+1))</f>
        <v>2</v>
      </c>
    </row>
    <row r="3330" customFormat="false" ht="15" hidden="false" customHeight="false" outlineLevel="0" collapsed="false">
      <c r="B3330" s="53"/>
      <c r="I3330" s="53"/>
      <c r="U3330" s="31" t="n">
        <f aca="false">IF($B3330&lt;&gt;'設定（最初に1回）'!$C$4,N(U3329),IF(COUNTIFS(①今日の在庫を貼る!$B$6:$B$10005,$B3330,①今日の在庫を貼る!$I$6:$I$10005,$I3330)&gt;0,N(U3329),N(U3329)+1))</f>
        <v>2</v>
      </c>
    </row>
    <row r="3331" customFormat="false" ht="15" hidden="false" customHeight="false" outlineLevel="0" collapsed="false">
      <c r="B3331" s="53"/>
      <c r="I3331" s="53"/>
      <c r="U3331" s="31" t="n">
        <f aca="false">IF($B3331&lt;&gt;'設定（最初に1回）'!$C$4,N(U3330),IF(COUNTIFS(①今日の在庫を貼る!$B$6:$B$10005,$B3331,①今日の在庫を貼る!$I$6:$I$10005,$I3331)&gt;0,N(U3330),N(U3330)+1))</f>
        <v>2</v>
      </c>
    </row>
    <row r="3332" customFormat="false" ht="15" hidden="false" customHeight="false" outlineLevel="0" collapsed="false">
      <c r="B3332" s="53"/>
      <c r="I3332" s="53"/>
      <c r="U3332" s="31" t="n">
        <f aca="false">IF($B3332&lt;&gt;'設定（最初に1回）'!$C$4,N(U3331),IF(COUNTIFS(①今日の在庫を貼る!$B$6:$B$10005,$B3332,①今日の在庫を貼る!$I$6:$I$10005,$I3332)&gt;0,N(U3331),N(U3331)+1))</f>
        <v>2</v>
      </c>
    </row>
    <row r="3333" customFormat="false" ht="15" hidden="false" customHeight="false" outlineLevel="0" collapsed="false">
      <c r="B3333" s="53"/>
      <c r="I3333" s="53"/>
      <c r="U3333" s="31" t="n">
        <f aca="false">IF($B3333&lt;&gt;'設定（最初に1回）'!$C$4,N(U3332),IF(COUNTIFS(①今日の在庫を貼る!$B$6:$B$10005,$B3333,①今日の在庫を貼る!$I$6:$I$10005,$I3333)&gt;0,N(U3332),N(U3332)+1))</f>
        <v>2</v>
      </c>
    </row>
    <row r="3334" customFormat="false" ht="15" hidden="false" customHeight="false" outlineLevel="0" collapsed="false">
      <c r="B3334" s="53"/>
      <c r="I3334" s="53"/>
      <c r="U3334" s="31" t="n">
        <f aca="false">IF($B3334&lt;&gt;'設定（最初に1回）'!$C$4,N(U3333),IF(COUNTIFS(①今日の在庫を貼る!$B$6:$B$10005,$B3334,①今日の在庫を貼る!$I$6:$I$10005,$I3334)&gt;0,N(U3333),N(U3333)+1))</f>
        <v>2</v>
      </c>
    </row>
    <row r="3335" customFormat="false" ht="15" hidden="false" customHeight="false" outlineLevel="0" collapsed="false">
      <c r="B3335" s="53"/>
      <c r="I3335" s="53"/>
      <c r="U3335" s="31" t="n">
        <f aca="false">IF($B3335&lt;&gt;'設定（最初に1回）'!$C$4,N(U3334),IF(COUNTIFS(①今日の在庫を貼る!$B$6:$B$10005,$B3335,①今日の在庫を貼る!$I$6:$I$10005,$I3335)&gt;0,N(U3334),N(U3334)+1))</f>
        <v>2</v>
      </c>
    </row>
    <row r="3336" customFormat="false" ht="15" hidden="false" customHeight="false" outlineLevel="0" collapsed="false">
      <c r="B3336" s="53"/>
      <c r="I3336" s="53"/>
      <c r="U3336" s="31" t="n">
        <f aca="false">IF($B3336&lt;&gt;'設定（最初に1回）'!$C$4,N(U3335),IF(COUNTIFS(①今日の在庫を貼る!$B$6:$B$10005,$B3336,①今日の在庫を貼る!$I$6:$I$10005,$I3336)&gt;0,N(U3335),N(U3335)+1))</f>
        <v>2</v>
      </c>
    </row>
    <row r="3337" customFormat="false" ht="15" hidden="false" customHeight="false" outlineLevel="0" collapsed="false">
      <c r="B3337" s="53"/>
      <c r="I3337" s="53"/>
      <c r="U3337" s="31" t="n">
        <f aca="false">IF($B3337&lt;&gt;'設定（最初に1回）'!$C$4,N(U3336),IF(COUNTIFS(①今日の在庫を貼る!$B$6:$B$10005,$B3337,①今日の在庫を貼る!$I$6:$I$10005,$I3337)&gt;0,N(U3336),N(U3336)+1))</f>
        <v>2</v>
      </c>
    </row>
    <row r="3338" customFormat="false" ht="15" hidden="false" customHeight="false" outlineLevel="0" collapsed="false">
      <c r="B3338" s="53"/>
      <c r="I3338" s="53"/>
      <c r="U3338" s="31" t="n">
        <f aca="false">IF($B3338&lt;&gt;'設定（最初に1回）'!$C$4,N(U3337),IF(COUNTIFS(①今日の在庫を貼る!$B$6:$B$10005,$B3338,①今日の在庫を貼る!$I$6:$I$10005,$I3338)&gt;0,N(U3337),N(U3337)+1))</f>
        <v>2</v>
      </c>
    </row>
    <row r="3339" customFormat="false" ht="15" hidden="false" customHeight="false" outlineLevel="0" collapsed="false">
      <c r="B3339" s="53"/>
      <c r="I3339" s="53"/>
      <c r="U3339" s="31" t="n">
        <f aca="false">IF($B3339&lt;&gt;'設定（最初に1回）'!$C$4,N(U3338),IF(COUNTIFS(①今日の在庫を貼る!$B$6:$B$10005,$B3339,①今日の在庫を貼る!$I$6:$I$10005,$I3339)&gt;0,N(U3338),N(U3338)+1))</f>
        <v>2</v>
      </c>
    </row>
    <row r="3340" customFormat="false" ht="15" hidden="false" customHeight="false" outlineLevel="0" collapsed="false">
      <c r="B3340" s="53"/>
      <c r="I3340" s="53"/>
      <c r="U3340" s="31" t="n">
        <f aca="false">IF($B3340&lt;&gt;'設定（最初に1回）'!$C$4,N(U3339),IF(COUNTIFS(①今日の在庫を貼る!$B$6:$B$10005,$B3340,①今日の在庫を貼る!$I$6:$I$10005,$I3340)&gt;0,N(U3339),N(U3339)+1))</f>
        <v>2</v>
      </c>
    </row>
    <row r="3341" customFormat="false" ht="15" hidden="false" customHeight="false" outlineLevel="0" collapsed="false">
      <c r="B3341" s="53"/>
      <c r="I3341" s="53"/>
      <c r="U3341" s="31" t="n">
        <f aca="false">IF($B3341&lt;&gt;'設定（最初に1回）'!$C$4,N(U3340),IF(COUNTIFS(①今日の在庫を貼る!$B$6:$B$10005,$B3341,①今日の在庫を貼る!$I$6:$I$10005,$I3341)&gt;0,N(U3340),N(U3340)+1))</f>
        <v>2</v>
      </c>
    </row>
    <row r="3342" customFormat="false" ht="15" hidden="false" customHeight="false" outlineLevel="0" collapsed="false">
      <c r="B3342" s="53"/>
      <c r="I3342" s="53"/>
      <c r="U3342" s="31" t="n">
        <f aca="false">IF($B3342&lt;&gt;'設定（最初に1回）'!$C$4,N(U3341),IF(COUNTIFS(①今日の在庫を貼る!$B$6:$B$10005,$B3342,①今日の在庫を貼る!$I$6:$I$10005,$I3342)&gt;0,N(U3341),N(U3341)+1))</f>
        <v>2</v>
      </c>
    </row>
    <row r="3343" customFormat="false" ht="15" hidden="false" customHeight="false" outlineLevel="0" collapsed="false">
      <c r="B3343" s="53"/>
      <c r="I3343" s="53"/>
      <c r="U3343" s="31" t="n">
        <f aca="false">IF($B3343&lt;&gt;'設定（最初に1回）'!$C$4,N(U3342),IF(COUNTIFS(①今日の在庫を貼る!$B$6:$B$10005,$B3343,①今日の在庫を貼る!$I$6:$I$10005,$I3343)&gt;0,N(U3342),N(U3342)+1))</f>
        <v>2</v>
      </c>
    </row>
    <row r="3344" customFormat="false" ht="15" hidden="false" customHeight="false" outlineLevel="0" collapsed="false">
      <c r="B3344" s="53"/>
      <c r="I3344" s="53"/>
      <c r="U3344" s="31" t="n">
        <f aca="false">IF($B3344&lt;&gt;'設定（最初に1回）'!$C$4,N(U3343),IF(COUNTIFS(①今日の在庫を貼る!$B$6:$B$10005,$B3344,①今日の在庫を貼る!$I$6:$I$10005,$I3344)&gt;0,N(U3343),N(U3343)+1))</f>
        <v>2</v>
      </c>
    </row>
    <row r="3345" customFormat="false" ht="15" hidden="false" customHeight="false" outlineLevel="0" collapsed="false">
      <c r="B3345" s="53"/>
      <c r="I3345" s="53"/>
      <c r="U3345" s="31" t="n">
        <f aca="false">IF($B3345&lt;&gt;'設定（最初に1回）'!$C$4,N(U3344),IF(COUNTIFS(①今日の在庫を貼る!$B$6:$B$10005,$B3345,①今日の在庫を貼る!$I$6:$I$10005,$I3345)&gt;0,N(U3344),N(U3344)+1))</f>
        <v>2</v>
      </c>
    </row>
    <row r="3346" customFormat="false" ht="15" hidden="false" customHeight="false" outlineLevel="0" collapsed="false">
      <c r="B3346" s="53"/>
      <c r="I3346" s="53"/>
      <c r="U3346" s="31" t="n">
        <f aca="false">IF($B3346&lt;&gt;'設定（最初に1回）'!$C$4,N(U3345),IF(COUNTIFS(①今日の在庫を貼る!$B$6:$B$10005,$B3346,①今日の在庫を貼る!$I$6:$I$10005,$I3346)&gt;0,N(U3345),N(U3345)+1))</f>
        <v>2</v>
      </c>
    </row>
    <row r="3347" customFormat="false" ht="15" hidden="false" customHeight="false" outlineLevel="0" collapsed="false">
      <c r="B3347" s="53"/>
      <c r="I3347" s="53"/>
      <c r="U3347" s="31" t="n">
        <f aca="false">IF($B3347&lt;&gt;'設定（最初に1回）'!$C$4,N(U3346),IF(COUNTIFS(①今日の在庫を貼る!$B$6:$B$10005,$B3347,①今日の在庫を貼る!$I$6:$I$10005,$I3347)&gt;0,N(U3346),N(U3346)+1))</f>
        <v>2</v>
      </c>
    </row>
    <row r="3348" customFormat="false" ht="15" hidden="false" customHeight="false" outlineLevel="0" collapsed="false">
      <c r="B3348" s="53"/>
      <c r="I3348" s="53"/>
      <c r="U3348" s="31" t="n">
        <f aca="false">IF($B3348&lt;&gt;'設定（最初に1回）'!$C$4,N(U3347),IF(COUNTIFS(①今日の在庫を貼る!$B$6:$B$10005,$B3348,①今日の在庫を貼る!$I$6:$I$10005,$I3348)&gt;0,N(U3347),N(U3347)+1))</f>
        <v>2</v>
      </c>
    </row>
    <row r="3349" customFormat="false" ht="15" hidden="false" customHeight="false" outlineLevel="0" collapsed="false">
      <c r="B3349" s="53"/>
      <c r="I3349" s="53"/>
      <c r="U3349" s="31" t="n">
        <f aca="false">IF($B3349&lt;&gt;'設定（最初に1回）'!$C$4,N(U3348),IF(COUNTIFS(①今日の在庫を貼る!$B$6:$B$10005,$B3349,①今日の在庫を貼る!$I$6:$I$10005,$I3349)&gt;0,N(U3348),N(U3348)+1))</f>
        <v>2</v>
      </c>
    </row>
    <row r="3350" customFormat="false" ht="15" hidden="false" customHeight="false" outlineLevel="0" collapsed="false">
      <c r="B3350" s="53"/>
      <c r="I3350" s="53"/>
      <c r="U3350" s="31" t="n">
        <f aca="false">IF($B3350&lt;&gt;'設定（最初に1回）'!$C$4,N(U3349),IF(COUNTIFS(①今日の在庫を貼る!$B$6:$B$10005,$B3350,①今日の在庫を貼る!$I$6:$I$10005,$I3350)&gt;0,N(U3349),N(U3349)+1))</f>
        <v>2</v>
      </c>
    </row>
    <row r="3351" customFormat="false" ht="15" hidden="false" customHeight="false" outlineLevel="0" collapsed="false">
      <c r="B3351" s="53"/>
      <c r="I3351" s="53"/>
      <c r="U3351" s="31" t="n">
        <f aca="false">IF($B3351&lt;&gt;'設定（最初に1回）'!$C$4,N(U3350),IF(COUNTIFS(①今日の在庫を貼る!$B$6:$B$10005,$B3351,①今日の在庫を貼る!$I$6:$I$10005,$I3351)&gt;0,N(U3350),N(U3350)+1))</f>
        <v>2</v>
      </c>
    </row>
    <row r="3352" customFormat="false" ht="15" hidden="false" customHeight="false" outlineLevel="0" collapsed="false">
      <c r="B3352" s="53"/>
      <c r="I3352" s="53"/>
      <c r="U3352" s="31" t="n">
        <f aca="false">IF($B3352&lt;&gt;'設定（最初に1回）'!$C$4,N(U3351),IF(COUNTIFS(①今日の在庫を貼る!$B$6:$B$10005,$B3352,①今日の在庫を貼る!$I$6:$I$10005,$I3352)&gt;0,N(U3351),N(U3351)+1))</f>
        <v>2</v>
      </c>
    </row>
    <row r="3353" customFormat="false" ht="15" hidden="false" customHeight="false" outlineLevel="0" collapsed="false">
      <c r="B3353" s="53"/>
      <c r="I3353" s="53"/>
      <c r="U3353" s="31" t="n">
        <f aca="false">IF($B3353&lt;&gt;'設定（最初に1回）'!$C$4,N(U3352),IF(COUNTIFS(①今日の在庫を貼る!$B$6:$B$10005,$B3353,①今日の在庫を貼る!$I$6:$I$10005,$I3353)&gt;0,N(U3352),N(U3352)+1))</f>
        <v>2</v>
      </c>
    </row>
    <row r="3354" customFormat="false" ht="15" hidden="false" customHeight="false" outlineLevel="0" collapsed="false">
      <c r="B3354" s="53"/>
      <c r="I3354" s="53"/>
      <c r="U3354" s="31" t="n">
        <f aca="false">IF($B3354&lt;&gt;'設定（最初に1回）'!$C$4,N(U3353),IF(COUNTIFS(①今日の在庫を貼る!$B$6:$B$10005,$B3354,①今日の在庫を貼る!$I$6:$I$10005,$I3354)&gt;0,N(U3353),N(U3353)+1))</f>
        <v>2</v>
      </c>
    </row>
    <row r="3355" customFormat="false" ht="15" hidden="false" customHeight="false" outlineLevel="0" collapsed="false">
      <c r="B3355" s="53"/>
      <c r="I3355" s="53"/>
      <c r="U3355" s="31" t="n">
        <f aca="false">IF($B3355&lt;&gt;'設定（最初に1回）'!$C$4,N(U3354),IF(COUNTIFS(①今日の在庫を貼る!$B$6:$B$10005,$B3355,①今日の在庫を貼る!$I$6:$I$10005,$I3355)&gt;0,N(U3354),N(U3354)+1))</f>
        <v>2</v>
      </c>
    </row>
    <row r="3356" customFormat="false" ht="15" hidden="false" customHeight="false" outlineLevel="0" collapsed="false">
      <c r="B3356" s="53"/>
      <c r="I3356" s="53"/>
      <c r="U3356" s="31" t="n">
        <f aca="false">IF($B3356&lt;&gt;'設定（最初に1回）'!$C$4,N(U3355),IF(COUNTIFS(①今日の在庫を貼る!$B$6:$B$10005,$B3356,①今日の在庫を貼る!$I$6:$I$10005,$I3356)&gt;0,N(U3355),N(U3355)+1))</f>
        <v>2</v>
      </c>
    </row>
    <row r="3357" customFormat="false" ht="15" hidden="false" customHeight="false" outlineLevel="0" collapsed="false">
      <c r="B3357" s="53"/>
      <c r="I3357" s="53"/>
      <c r="U3357" s="31" t="n">
        <f aca="false">IF($B3357&lt;&gt;'設定（最初に1回）'!$C$4,N(U3356),IF(COUNTIFS(①今日の在庫を貼る!$B$6:$B$10005,$B3357,①今日の在庫を貼る!$I$6:$I$10005,$I3357)&gt;0,N(U3356),N(U3356)+1))</f>
        <v>2</v>
      </c>
    </row>
    <row r="3358" customFormat="false" ht="15" hidden="false" customHeight="false" outlineLevel="0" collapsed="false">
      <c r="B3358" s="53"/>
      <c r="I3358" s="53"/>
      <c r="U3358" s="31" t="n">
        <f aca="false">IF($B3358&lt;&gt;'設定（最初に1回）'!$C$4,N(U3357),IF(COUNTIFS(①今日の在庫を貼る!$B$6:$B$10005,$B3358,①今日の在庫を貼る!$I$6:$I$10005,$I3358)&gt;0,N(U3357),N(U3357)+1))</f>
        <v>2</v>
      </c>
    </row>
    <row r="3359" customFormat="false" ht="15" hidden="false" customHeight="false" outlineLevel="0" collapsed="false">
      <c r="B3359" s="53"/>
      <c r="I3359" s="53"/>
      <c r="U3359" s="31" t="n">
        <f aca="false">IF($B3359&lt;&gt;'設定（最初に1回）'!$C$4,N(U3358),IF(COUNTIFS(①今日の在庫を貼る!$B$6:$B$10005,$B3359,①今日の在庫を貼る!$I$6:$I$10005,$I3359)&gt;0,N(U3358),N(U3358)+1))</f>
        <v>2</v>
      </c>
    </row>
    <row r="3360" customFormat="false" ht="15" hidden="false" customHeight="false" outlineLevel="0" collapsed="false">
      <c r="B3360" s="53"/>
      <c r="I3360" s="53"/>
      <c r="U3360" s="31" t="n">
        <f aca="false">IF($B3360&lt;&gt;'設定（最初に1回）'!$C$4,N(U3359),IF(COUNTIFS(①今日の在庫を貼る!$B$6:$B$10005,$B3360,①今日の在庫を貼る!$I$6:$I$10005,$I3360)&gt;0,N(U3359),N(U3359)+1))</f>
        <v>2</v>
      </c>
    </row>
    <row r="3361" customFormat="false" ht="15" hidden="false" customHeight="false" outlineLevel="0" collapsed="false">
      <c r="B3361" s="53"/>
      <c r="I3361" s="53"/>
      <c r="U3361" s="31" t="n">
        <f aca="false">IF($B3361&lt;&gt;'設定（最初に1回）'!$C$4,N(U3360),IF(COUNTIFS(①今日の在庫を貼る!$B$6:$B$10005,$B3361,①今日の在庫を貼る!$I$6:$I$10005,$I3361)&gt;0,N(U3360),N(U3360)+1))</f>
        <v>2</v>
      </c>
    </row>
    <row r="3362" customFormat="false" ht="15" hidden="false" customHeight="false" outlineLevel="0" collapsed="false">
      <c r="B3362" s="53"/>
      <c r="I3362" s="53"/>
      <c r="U3362" s="31" t="n">
        <f aca="false">IF($B3362&lt;&gt;'設定（最初に1回）'!$C$4,N(U3361),IF(COUNTIFS(①今日の在庫を貼る!$B$6:$B$10005,$B3362,①今日の在庫を貼る!$I$6:$I$10005,$I3362)&gt;0,N(U3361),N(U3361)+1))</f>
        <v>2</v>
      </c>
    </row>
    <row r="3363" customFormat="false" ht="15" hidden="false" customHeight="false" outlineLevel="0" collapsed="false">
      <c r="B3363" s="53"/>
      <c r="I3363" s="53"/>
      <c r="U3363" s="31" t="n">
        <f aca="false">IF($B3363&lt;&gt;'設定（最初に1回）'!$C$4,N(U3362),IF(COUNTIFS(①今日の在庫を貼る!$B$6:$B$10005,$B3363,①今日の在庫を貼る!$I$6:$I$10005,$I3363)&gt;0,N(U3362),N(U3362)+1))</f>
        <v>2</v>
      </c>
    </row>
    <row r="3364" customFormat="false" ht="15" hidden="false" customHeight="false" outlineLevel="0" collapsed="false">
      <c r="B3364" s="53"/>
      <c r="I3364" s="53"/>
      <c r="U3364" s="31" t="n">
        <f aca="false">IF($B3364&lt;&gt;'設定（最初に1回）'!$C$4,N(U3363),IF(COUNTIFS(①今日の在庫を貼る!$B$6:$B$10005,$B3364,①今日の在庫を貼る!$I$6:$I$10005,$I3364)&gt;0,N(U3363),N(U3363)+1))</f>
        <v>2</v>
      </c>
    </row>
    <row r="3365" customFormat="false" ht="15" hidden="false" customHeight="false" outlineLevel="0" collapsed="false">
      <c r="B3365" s="53"/>
      <c r="I3365" s="53"/>
      <c r="U3365" s="31" t="n">
        <f aca="false">IF($B3365&lt;&gt;'設定（最初に1回）'!$C$4,N(U3364),IF(COUNTIFS(①今日の在庫を貼る!$B$6:$B$10005,$B3365,①今日の在庫を貼る!$I$6:$I$10005,$I3365)&gt;0,N(U3364),N(U3364)+1))</f>
        <v>2</v>
      </c>
    </row>
    <row r="3366" customFormat="false" ht="15" hidden="false" customHeight="false" outlineLevel="0" collapsed="false">
      <c r="B3366" s="53"/>
      <c r="I3366" s="53"/>
      <c r="U3366" s="31" t="n">
        <f aca="false">IF($B3366&lt;&gt;'設定（最初に1回）'!$C$4,N(U3365),IF(COUNTIFS(①今日の在庫を貼る!$B$6:$B$10005,$B3366,①今日の在庫を貼る!$I$6:$I$10005,$I3366)&gt;0,N(U3365),N(U3365)+1))</f>
        <v>2</v>
      </c>
    </row>
    <row r="3367" customFormat="false" ht="15" hidden="false" customHeight="false" outlineLevel="0" collapsed="false">
      <c r="B3367" s="53"/>
      <c r="I3367" s="53"/>
      <c r="U3367" s="31" t="n">
        <f aca="false">IF($B3367&lt;&gt;'設定（最初に1回）'!$C$4,N(U3366),IF(COUNTIFS(①今日の在庫を貼る!$B$6:$B$10005,$B3367,①今日の在庫を貼る!$I$6:$I$10005,$I3367)&gt;0,N(U3366),N(U3366)+1))</f>
        <v>2</v>
      </c>
    </row>
    <row r="3368" customFormat="false" ht="15" hidden="false" customHeight="false" outlineLevel="0" collapsed="false">
      <c r="B3368" s="53"/>
      <c r="I3368" s="53"/>
      <c r="U3368" s="31" t="n">
        <f aca="false">IF($B3368&lt;&gt;'設定（最初に1回）'!$C$4,N(U3367),IF(COUNTIFS(①今日の在庫を貼る!$B$6:$B$10005,$B3368,①今日の在庫を貼る!$I$6:$I$10005,$I3368)&gt;0,N(U3367),N(U3367)+1))</f>
        <v>2</v>
      </c>
    </row>
    <row r="3369" customFormat="false" ht="15" hidden="false" customHeight="false" outlineLevel="0" collapsed="false">
      <c r="B3369" s="53"/>
      <c r="I3369" s="53"/>
      <c r="U3369" s="31" t="n">
        <f aca="false">IF($B3369&lt;&gt;'設定（最初に1回）'!$C$4,N(U3368),IF(COUNTIFS(①今日の在庫を貼る!$B$6:$B$10005,$B3369,①今日の在庫を貼る!$I$6:$I$10005,$I3369)&gt;0,N(U3368),N(U3368)+1))</f>
        <v>2</v>
      </c>
    </row>
    <row r="3370" customFormat="false" ht="15" hidden="false" customHeight="false" outlineLevel="0" collapsed="false">
      <c r="B3370" s="53"/>
      <c r="I3370" s="53"/>
      <c r="U3370" s="31" t="n">
        <f aca="false">IF($B3370&lt;&gt;'設定（最初に1回）'!$C$4,N(U3369),IF(COUNTIFS(①今日の在庫を貼る!$B$6:$B$10005,$B3370,①今日の在庫を貼る!$I$6:$I$10005,$I3370)&gt;0,N(U3369),N(U3369)+1))</f>
        <v>2</v>
      </c>
    </row>
    <row r="3371" customFormat="false" ht="15" hidden="false" customHeight="false" outlineLevel="0" collapsed="false">
      <c r="B3371" s="53"/>
      <c r="I3371" s="53"/>
      <c r="U3371" s="31" t="n">
        <f aca="false">IF($B3371&lt;&gt;'設定（最初に1回）'!$C$4,N(U3370),IF(COUNTIFS(①今日の在庫を貼る!$B$6:$B$10005,$B3371,①今日の在庫を貼る!$I$6:$I$10005,$I3371)&gt;0,N(U3370),N(U3370)+1))</f>
        <v>2</v>
      </c>
    </row>
    <row r="3372" customFormat="false" ht="15" hidden="false" customHeight="false" outlineLevel="0" collapsed="false">
      <c r="B3372" s="53"/>
      <c r="I3372" s="53"/>
      <c r="U3372" s="31" t="n">
        <f aca="false">IF($B3372&lt;&gt;'設定（最初に1回）'!$C$4,N(U3371),IF(COUNTIFS(①今日の在庫を貼る!$B$6:$B$10005,$B3372,①今日の在庫を貼る!$I$6:$I$10005,$I3372)&gt;0,N(U3371),N(U3371)+1))</f>
        <v>2</v>
      </c>
    </row>
    <row r="3373" customFormat="false" ht="15" hidden="false" customHeight="false" outlineLevel="0" collapsed="false">
      <c r="B3373" s="53"/>
      <c r="I3373" s="53"/>
      <c r="U3373" s="31" t="n">
        <f aca="false">IF($B3373&lt;&gt;'設定（最初に1回）'!$C$4,N(U3372),IF(COUNTIFS(①今日の在庫を貼る!$B$6:$B$10005,$B3373,①今日の在庫を貼る!$I$6:$I$10005,$I3373)&gt;0,N(U3372),N(U3372)+1))</f>
        <v>2</v>
      </c>
    </row>
    <row r="3374" customFormat="false" ht="15" hidden="false" customHeight="false" outlineLevel="0" collapsed="false">
      <c r="B3374" s="53"/>
      <c r="I3374" s="53"/>
      <c r="U3374" s="31" t="n">
        <f aca="false">IF($B3374&lt;&gt;'設定（最初に1回）'!$C$4,N(U3373),IF(COUNTIFS(①今日の在庫を貼る!$B$6:$B$10005,$B3374,①今日の在庫を貼る!$I$6:$I$10005,$I3374)&gt;0,N(U3373),N(U3373)+1))</f>
        <v>2</v>
      </c>
    </row>
    <row r="3375" customFormat="false" ht="15" hidden="false" customHeight="false" outlineLevel="0" collapsed="false">
      <c r="B3375" s="53"/>
      <c r="I3375" s="53"/>
      <c r="U3375" s="31" t="n">
        <f aca="false">IF($B3375&lt;&gt;'設定（最初に1回）'!$C$4,N(U3374),IF(COUNTIFS(①今日の在庫を貼る!$B$6:$B$10005,$B3375,①今日の在庫を貼る!$I$6:$I$10005,$I3375)&gt;0,N(U3374),N(U3374)+1))</f>
        <v>2</v>
      </c>
    </row>
    <row r="3376" customFormat="false" ht="15" hidden="false" customHeight="false" outlineLevel="0" collapsed="false">
      <c r="B3376" s="53"/>
      <c r="I3376" s="53"/>
      <c r="U3376" s="31" t="n">
        <f aca="false">IF($B3376&lt;&gt;'設定（最初に1回）'!$C$4,N(U3375),IF(COUNTIFS(①今日の在庫を貼る!$B$6:$B$10005,$B3376,①今日の在庫を貼る!$I$6:$I$10005,$I3376)&gt;0,N(U3375),N(U3375)+1))</f>
        <v>2</v>
      </c>
    </row>
    <row r="3377" customFormat="false" ht="15" hidden="false" customHeight="false" outlineLevel="0" collapsed="false">
      <c r="B3377" s="53"/>
      <c r="I3377" s="53"/>
      <c r="U3377" s="31" t="n">
        <f aca="false">IF($B3377&lt;&gt;'設定（最初に1回）'!$C$4,N(U3376),IF(COUNTIFS(①今日の在庫を貼る!$B$6:$B$10005,$B3377,①今日の在庫を貼る!$I$6:$I$10005,$I3377)&gt;0,N(U3376),N(U3376)+1))</f>
        <v>2</v>
      </c>
    </row>
    <row r="3378" customFormat="false" ht="15" hidden="false" customHeight="false" outlineLevel="0" collapsed="false">
      <c r="B3378" s="53"/>
      <c r="I3378" s="53"/>
      <c r="U3378" s="31" t="n">
        <f aca="false">IF($B3378&lt;&gt;'設定（最初に1回）'!$C$4,N(U3377),IF(COUNTIFS(①今日の在庫を貼る!$B$6:$B$10005,$B3378,①今日の在庫を貼る!$I$6:$I$10005,$I3378)&gt;0,N(U3377),N(U3377)+1))</f>
        <v>2</v>
      </c>
    </row>
    <row r="3379" customFormat="false" ht="15" hidden="false" customHeight="false" outlineLevel="0" collapsed="false">
      <c r="B3379" s="53"/>
      <c r="I3379" s="53"/>
      <c r="U3379" s="31" t="n">
        <f aca="false">IF($B3379&lt;&gt;'設定（最初に1回）'!$C$4,N(U3378),IF(COUNTIFS(①今日の在庫を貼る!$B$6:$B$10005,$B3379,①今日の在庫を貼る!$I$6:$I$10005,$I3379)&gt;0,N(U3378),N(U3378)+1))</f>
        <v>2</v>
      </c>
    </row>
    <row r="3380" customFormat="false" ht="15" hidden="false" customHeight="false" outlineLevel="0" collapsed="false">
      <c r="B3380" s="53"/>
      <c r="I3380" s="53"/>
      <c r="U3380" s="31" t="n">
        <f aca="false">IF($B3380&lt;&gt;'設定（最初に1回）'!$C$4,N(U3379),IF(COUNTIFS(①今日の在庫を貼る!$B$6:$B$10005,$B3380,①今日の在庫を貼る!$I$6:$I$10005,$I3380)&gt;0,N(U3379),N(U3379)+1))</f>
        <v>2</v>
      </c>
    </row>
    <row r="3381" customFormat="false" ht="15" hidden="false" customHeight="false" outlineLevel="0" collapsed="false">
      <c r="B3381" s="53"/>
      <c r="I3381" s="53"/>
      <c r="U3381" s="31" t="n">
        <f aca="false">IF($B3381&lt;&gt;'設定（最初に1回）'!$C$4,N(U3380),IF(COUNTIFS(①今日の在庫を貼る!$B$6:$B$10005,$B3381,①今日の在庫を貼る!$I$6:$I$10005,$I3381)&gt;0,N(U3380),N(U3380)+1))</f>
        <v>2</v>
      </c>
    </row>
    <row r="3382" customFormat="false" ht="15" hidden="false" customHeight="false" outlineLevel="0" collapsed="false">
      <c r="B3382" s="53"/>
      <c r="I3382" s="53"/>
      <c r="U3382" s="31" t="n">
        <f aca="false">IF($B3382&lt;&gt;'設定（最初に1回）'!$C$4,N(U3381),IF(COUNTIFS(①今日の在庫を貼る!$B$6:$B$10005,$B3382,①今日の在庫を貼る!$I$6:$I$10005,$I3382)&gt;0,N(U3381),N(U3381)+1))</f>
        <v>2</v>
      </c>
    </row>
    <row r="3383" customFormat="false" ht="15" hidden="false" customHeight="false" outlineLevel="0" collapsed="false">
      <c r="B3383" s="53"/>
      <c r="I3383" s="53"/>
      <c r="U3383" s="31" t="n">
        <f aca="false">IF($B3383&lt;&gt;'設定（最初に1回）'!$C$4,N(U3382),IF(COUNTIFS(①今日の在庫を貼る!$B$6:$B$10005,$B3383,①今日の在庫を貼る!$I$6:$I$10005,$I3383)&gt;0,N(U3382),N(U3382)+1))</f>
        <v>2</v>
      </c>
    </row>
    <row r="3384" customFormat="false" ht="15" hidden="false" customHeight="false" outlineLevel="0" collapsed="false">
      <c r="B3384" s="53"/>
      <c r="I3384" s="53"/>
      <c r="U3384" s="31" t="n">
        <f aca="false">IF($B3384&lt;&gt;'設定（最初に1回）'!$C$4,N(U3383),IF(COUNTIFS(①今日の在庫を貼る!$B$6:$B$10005,$B3384,①今日の在庫を貼る!$I$6:$I$10005,$I3384)&gt;0,N(U3383),N(U3383)+1))</f>
        <v>2</v>
      </c>
    </row>
    <row r="3385" customFormat="false" ht="15" hidden="false" customHeight="false" outlineLevel="0" collapsed="false">
      <c r="B3385" s="53"/>
      <c r="I3385" s="53"/>
      <c r="U3385" s="31" t="n">
        <f aca="false">IF($B3385&lt;&gt;'設定（最初に1回）'!$C$4,N(U3384),IF(COUNTIFS(①今日の在庫を貼る!$B$6:$B$10005,$B3385,①今日の在庫を貼る!$I$6:$I$10005,$I3385)&gt;0,N(U3384),N(U3384)+1))</f>
        <v>2</v>
      </c>
    </row>
    <row r="3386" customFormat="false" ht="15" hidden="false" customHeight="false" outlineLevel="0" collapsed="false">
      <c r="B3386" s="53"/>
      <c r="I3386" s="53"/>
      <c r="U3386" s="31" t="n">
        <f aca="false">IF($B3386&lt;&gt;'設定（最初に1回）'!$C$4,N(U3385),IF(COUNTIFS(①今日の在庫を貼る!$B$6:$B$10005,$B3386,①今日の在庫を貼る!$I$6:$I$10005,$I3386)&gt;0,N(U3385),N(U3385)+1))</f>
        <v>2</v>
      </c>
    </row>
    <row r="3387" customFormat="false" ht="15" hidden="false" customHeight="false" outlineLevel="0" collapsed="false">
      <c r="B3387" s="53"/>
      <c r="I3387" s="53"/>
      <c r="U3387" s="31" t="n">
        <f aca="false">IF($B3387&lt;&gt;'設定（最初に1回）'!$C$4,N(U3386),IF(COUNTIFS(①今日の在庫を貼る!$B$6:$B$10005,$B3387,①今日の在庫を貼る!$I$6:$I$10005,$I3387)&gt;0,N(U3386),N(U3386)+1))</f>
        <v>2</v>
      </c>
    </row>
    <row r="3388" customFormat="false" ht="15" hidden="false" customHeight="false" outlineLevel="0" collapsed="false">
      <c r="B3388" s="53"/>
      <c r="I3388" s="53"/>
      <c r="U3388" s="31" t="n">
        <f aca="false">IF($B3388&lt;&gt;'設定（最初に1回）'!$C$4,N(U3387),IF(COUNTIFS(①今日の在庫を貼る!$B$6:$B$10005,$B3388,①今日の在庫を貼る!$I$6:$I$10005,$I3388)&gt;0,N(U3387),N(U3387)+1))</f>
        <v>2</v>
      </c>
    </row>
    <row r="3389" customFormat="false" ht="15" hidden="false" customHeight="false" outlineLevel="0" collapsed="false">
      <c r="B3389" s="53"/>
      <c r="I3389" s="53"/>
      <c r="U3389" s="31" t="n">
        <f aca="false">IF($B3389&lt;&gt;'設定（最初に1回）'!$C$4,N(U3388),IF(COUNTIFS(①今日の在庫を貼る!$B$6:$B$10005,$B3389,①今日の在庫を貼る!$I$6:$I$10005,$I3389)&gt;0,N(U3388),N(U3388)+1))</f>
        <v>2</v>
      </c>
    </row>
    <row r="3390" customFormat="false" ht="15" hidden="false" customHeight="false" outlineLevel="0" collapsed="false">
      <c r="B3390" s="53"/>
      <c r="I3390" s="53"/>
      <c r="U3390" s="31" t="n">
        <f aca="false">IF($B3390&lt;&gt;'設定（最初に1回）'!$C$4,N(U3389),IF(COUNTIFS(①今日の在庫を貼る!$B$6:$B$10005,$B3390,①今日の在庫を貼る!$I$6:$I$10005,$I3390)&gt;0,N(U3389),N(U3389)+1))</f>
        <v>2</v>
      </c>
    </row>
    <row r="3391" customFormat="false" ht="15" hidden="false" customHeight="false" outlineLevel="0" collapsed="false">
      <c r="B3391" s="53"/>
      <c r="I3391" s="53"/>
      <c r="U3391" s="31" t="n">
        <f aca="false">IF($B3391&lt;&gt;'設定（最初に1回）'!$C$4,N(U3390),IF(COUNTIFS(①今日の在庫を貼る!$B$6:$B$10005,$B3391,①今日の在庫を貼る!$I$6:$I$10005,$I3391)&gt;0,N(U3390),N(U3390)+1))</f>
        <v>2</v>
      </c>
    </row>
    <row r="3392" customFormat="false" ht="15" hidden="false" customHeight="false" outlineLevel="0" collapsed="false">
      <c r="B3392" s="53"/>
      <c r="I3392" s="53"/>
      <c r="U3392" s="31" t="n">
        <f aca="false">IF($B3392&lt;&gt;'設定（最初に1回）'!$C$4,N(U3391),IF(COUNTIFS(①今日の在庫を貼る!$B$6:$B$10005,$B3392,①今日の在庫を貼る!$I$6:$I$10005,$I3392)&gt;0,N(U3391),N(U3391)+1))</f>
        <v>2</v>
      </c>
    </row>
    <row r="3393" customFormat="false" ht="15" hidden="false" customHeight="false" outlineLevel="0" collapsed="false">
      <c r="B3393" s="53"/>
      <c r="I3393" s="53"/>
      <c r="U3393" s="31" t="n">
        <f aca="false">IF($B3393&lt;&gt;'設定（最初に1回）'!$C$4,N(U3392),IF(COUNTIFS(①今日の在庫を貼る!$B$6:$B$10005,$B3393,①今日の在庫を貼る!$I$6:$I$10005,$I3393)&gt;0,N(U3392),N(U3392)+1))</f>
        <v>2</v>
      </c>
    </row>
    <row r="3394" customFormat="false" ht="15" hidden="false" customHeight="false" outlineLevel="0" collapsed="false">
      <c r="B3394" s="53"/>
      <c r="I3394" s="53"/>
      <c r="U3394" s="31" t="n">
        <f aca="false">IF($B3394&lt;&gt;'設定（最初に1回）'!$C$4,N(U3393),IF(COUNTIFS(①今日の在庫を貼る!$B$6:$B$10005,$B3394,①今日の在庫を貼る!$I$6:$I$10005,$I3394)&gt;0,N(U3393),N(U3393)+1))</f>
        <v>2</v>
      </c>
    </row>
    <row r="3395" customFormat="false" ht="15" hidden="false" customHeight="false" outlineLevel="0" collapsed="false">
      <c r="B3395" s="53"/>
      <c r="I3395" s="53"/>
      <c r="U3395" s="31" t="n">
        <f aca="false">IF($B3395&lt;&gt;'設定（最初に1回）'!$C$4,N(U3394),IF(COUNTIFS(①今日の在庫を貼る!$B$6:$B$10005,$B3395,①今日の在庫を貼る!$I$6:$I$10005,$I3395)&gt;0,N(U3394),N(U3394)+1))</f>
        <v>2</v>
      </c>
    </row>
    <row r="3396" customFormat="false" ht="15" hidden="false" customHeight="false" outlineLevel="0" collapsed="false">
      <c r="B3396" s="53"/>
      <c r="I3396" s="53"/>
      <c r="U3396" s="31" t="n">
        <f aca="false">IF($B3396&lt;&gt;'設定（最初に1回）'!$C$4,N(U3395),IF(COUNTIFS(①今日の在庫を貼る!$B$6:$B$10005,$B3396,①今日の在庫を貼る!$I$6:$I$10005,$I3396)&gt;0,N(U3395),N(U3395)+1))</f>
        <v>2</v>
      </c>
    </row>
    <row r="3397" customFormat="false" ht="15" hidden="false" customHeight="false" outlineLevel="0" collapsed="false">
      <c r="B3397" s="53"/>
      <c r="I3397" s="53"/>
      <c r="U3397" s="31" t="n">
        <f aca="false">IF($B3397&lt;&gt;'設定（最初に1回）'!$C$4,N(U3396),IF(COUNTIFS(①今日の在庫を貼る!$B$6:$B$10005,$B3397,①今日の在庫を貼る!$I$6:$I$10005,$I3397)&gt;0,N(U3396),N(U3396)+1))</f>
        <v>2</v>
      </c>
    </row>
    <row r="3398" customFormat="false" ht="15" hidden="false" customHeight="false" outlineLevel="0" collapsed="false">
      <c r="B3398" s="53"/>
      <c r="I3398" s="53"/>
      <c r="U3398" s="31" t="n">
        <f aca="false">IF($B3398&lt;&gt;'設定（最初に1回）'!$C$4,N(U3397),IF(COUNTIFS(①今日の在庫を貼る!$B$6:$B$10005,$B3398,①今日の在庫を貼る!$I$6:$I$10005,$I3398)&gt;0,N(U3397),N(U3397)+1))</f>
        <v>2</v>
      </c>
    </row>
    <row r="3399" customFormat="false" ht="15" hidden="false" customHeight="false" outlineLevel="0" collapsed="false">
      <c r="B3399" s="53"/>
      <c r="I3399" s="53"/>
      <c r="U3399" s="31" t="n">
        <f aca="false">IF($B3399&lt;&gt;'設定（最初に1回）'!$C$4,N(U3398),IF(COUNTIFS(①今日の在庫を貼る!$B$6:$B$10005,$B3399,①今日の在庫を貼る!$I$6:$I$10005,$I3399)&gt;0,N(U3398),N(U3398)+1))</f>
        <v>2</v>
      </c>
    </row>
    <row r="3400" customFormat="false" ht="15" hidden="false" customHeight="false" outlineLevel="0" collapsed="false">
      <c r="B3400" s="53"/>
      <c r="I3400" s="53"/>
      <c r="U3400" s="31" t="n">
        <f aca="false">IF($B3400&lt;&gt;'設定（最初に1回）'!$C$4,N(U3399),IF(COUNTIFS(①今日の在庫を貼る!$B$6:$B$10005,$B3400,①今日の在庫を貼る!$I$6:$I$10005,$I3400)&gt;0,N(U3399),N(U3399)+1))</f>
        <v>2</v>
      </c>
    </row>
    <row r="3401" customFormat="false" ht="15" hidden="false" customHeight="false" outlineLevel="0" collapsed="false">
      <c r="B3401" s="53"/>
      <c r="I3401" s="53"/>
      <c r="U3401" s="31" t="n">
        <f aca="false">IF($B3401&lt;&gt;'設定（最初に1回）'!$C$4,N(U3400),IF(COUNTIFS(①今日の在庫を貼る!$B$6:$B$10005,$B3401,①今日の在庫を貼る!$I$6:$I$10005,$I3401)&gt;0,N(U3400),N(U3400)+1))</f>
        <v>2</v>
      </c>
    </row>
    <row r="3402" customFormat="false" ht="15" hidden="false" customHeight="false" outlineLevel="0" collapsed="false">
      <c r="B3402" s="53"/>
      <c r="I3402" s="53"/>
      <c r="U3402" s="31" t="n">
        <f aca="false">IF($B3402&lt;&gt;'設定（最初に1回）'!$C$4,N(U3401),IF(COUNTIFS(①今日の在庫を貼る!$B$6:$B$10005,$B3402,①今日の在庫を貼る!$I$6:$I$10005,$I3402)&gt;0,N(U3401),N(U3401)+1))</f>
        <v>2</v>
      </c>
    </row>
    <row r="3403" customFormat="false" ht="15" hidden="false" customHeight="false" outlineLevel="0" collapsed="false">
      <c r="B3403" s="53"/>
      <c r="I3403" s="53"/>
      <c r="U3403" s="31" t="n">
        <f aca="false">IF($B3403&lt;&gt;'設定（最初に1回）'!$C$4,N(U3402),IF(COUNTIFS(①今日の在庫を貼る!$B$6:$B$10005,$B3403,①今日の在庫を貼る!$I$6:$I$10005,$I3403)&gt;0,N(U3402),N(U3402)+1))</f>
        <v>2</v>
      </c>
    </row>
    <row r="3404" customFormat="false" ht="15" hidden="false" customHeight="false" outlineLevel="0" collapsed="false">
      <c r="B3404" s="53"/>
      <c r="I3404" s="53"/>
      <c r="U3404" s="31" t="n">
        <f aca="false">IF($B3404&lt;&gt;'設定（最初に1回）'!$C$4,N(U3403),IF(COUNTIFS(①今日の在庫を貼る!$B$6:$B$10005,$B3404,①今日の在庫を貼る!$I$6:$I$10005,$I3404)&gt;0,N(U3403),N(U3403)+1))</f>
        <v>2</v>
      </c>
    </row>
    <row r="3405" customFormat="false" ht="15" hidden="false" customHeight="false" outlineLevel="0" collapsed="false">
      <c r="B3405" s="53"/>
      <c r="I3405" s="53"/>
      <c r="U3405" s="31" t="n">
        <f aca="false">IF($B3405&lt;&gt;'設定（最初に1回）'!$C$4,N(U3404),IF(COUNTIFS(①今日の在庫を貼る!$B$6:$B$10005,$B3405,①今日の在庫を貼る!$I$6:$I$10005,$I3405)&gt;0,N(U3404),N(U3404)+1))</f>
        <v>2</v>
      </c>
    </row>
    <row r="3406" customFormat="false" ht="15" hidden="false" customHeight="false" outlineLevel="0" collapsed="false">
      <c r="B3406" s="53"/>
      <c r="I3406" s="53"/>
      <c r="U3406" s="31" t="n">
        <f aca="false">IF($B3406&lt;&gt;'設定（最初に1回）'!$C$4,N(U3405),IF(COUNTIFS(①今日の在庫を貼る!$B$6:$B$10005,$B3406,①今日の在庫を貼る!$I$6:$I$10005,$I3406)&gt;0,N(U3405),N(U3405)+1))</f>
        <v>2</v>
      </c>
    </row>
    <row r="3407" customFormat="false" ht="15" hidden="false" customHeight="false" outlineLevel="0" collapsed="false">
      <c r="B3407" s="53"/>
      <c r="I3407" s="53"/>
      <c r="U3407" s="31" t="n">
        <f aca="false">IF($B3407&lt;&gt;'設定（最初に1回）'!$C$4,N(U3406),IF(COUNTIFS(①今日の在庫を貼る!$B$6:$B$10005,$B3407,①今日の在庫を貼る!$I$6:$I$10005,$I3407)&gt;0,N(U3406),N(U3406)+1))</f>
        <v>2</v>
      </c>
    </row>
    <row r="3408" customFormat="false" ht="15" hidden="false" customHeight="false" outlineLevel="0" collapsed="false">
      <c r="B3408" s="53"/>
      <c r="I3408" s="53"/>
      <c r="U3408" s="31" t="n">
        <f aca="false">IF($B3408&lt;&gt;'設定（最初に1回）'!$C$4,N(U3407),IF(COUNTIFS(①今日の在庫を貼る!$B$6:$B$10005,$B3408,①今日の在庫を貼る!$I$6:$I$10005,$I3408)&gt;0,N(U3407),N(U3407)+1))</f>
        <v>2</v>
      </c>
    </row>
    <row r="3409" customFormat="false" ht="15" hidden="false" customHeight="false" outlineLevel="0" collapsed="false">
      <c r="B3409" s="53"/>
      <c r="I3409" s="53"/>
      <c r="U3409" s="31" t="n">
        <f aca="false">IF($B3409&lt;&gt;'設定（最初に1回）'!$C$4,N(U3408),IF(COUNTIFS(①今日の在庫を貼る!$B$6:$B$10005,$B3409,①今日の在庫を貼る!$I$6:$I$10005,$I3409)&gt;0,N(U3408),N(U3408)+1))</f>
        <v>2</v>
      </c>
    </row>
    <row r="3410" customFormat="false" ht="15" hidden="false" customHeight="false" outlineLevel="0" collapsed="false">
      <c r="B3410" s="53"/>
      <c r="I3410" s="53"/>
      <c r="U3410" s="31" t="n">
        <f aca="false">IF($B3410&lt;&gt;'設定（最初に1回）'!$C$4,N(U3409),IF(COUNTIFS(①今日の在庫を貼る!$B$6:$B$10005,$B3410,①今日の在庫を貼る!$I$6:$I$10005,$I3410)&gt;0,N(U3409),N(U3409)+1))</f>
        <v>2</v>
      </c>
    </row>
    <row r="3411" customFormat="false" ht="15" hidden="false" customHeight="false" outlineLevel="0" collapsed="false">
      <c r="B3411" s="53"/>
      <c r="I3411" s="53"/>
      <c r="U3411" s="31" t="n">
        <f aca="false">IF($B3411&lt;&gt;'設定（最初に1回）'!$C$4,N(U3410),IF(COUNTIFS(①今日の在庫を貼る!$B$6:$B$10005,$B3411,①今日の在庫を貼る!$I$6:$I$10005,$I3411)&gt;0,N(U3410),N(U3410)+1))</f>
        <v>2</v>
      </c>
    </row>
    <row r="3412" customFormat="false" ht="15" hidden="false" customHeight="false" outlineLevel="0" collapsed="false">
      <c r="B3412" s="53"/>
      <c r="I3412" s="53"/>
      <c r="U3412" s="31" t="n">
        <f aca="false">IF($B3412&lt;&gt;'設定（最初に1回）'!$C$4,N(U3411),IF(COUNTIFS(①今日の在庫を貼る!$B$6:$B$10005,$B3412,①今日の在庫を貼る!$I$6:$I$10005,$I3412)&gt;0,N(U3411),N(U3411)+1))</f>
        <v>2</v>
      </c>
    </row>
    <row r="3413" customFormat="false" ht="15" hidden="false" customHeight="false" outlineLevel="0" collapsed="false">
      <c r="B3413" s="53"/>
      <c r="I3413" s="53"/>
      <c r="U3413" s="31" t="n">
        <f aca="false">IF($B3413&lt;&gt;'設定（最初に1回）'!$C$4,N(U3412),IF(COUNTIFS(①今日の在庫を貼る!$B$6:$B$10005,$B3413,①今日の在庫を貼る!$I$6:$I$10005,$I3413)&gt;0,N(U3412),N(U3412)+1))</f>
        <v>2</v>
      </c>
    </row>
    <row r="3414" customFormat="false" ht="15" hidden="false" customHeight="false" outlineLevel="0" collapsed="false">
      <c r="B3414" s="53"/>
      <c r="I3414" s="53"/>
      <c r="U3414" s="31" t="n">
        <f aca="false">IF($B3414&lt;&gt;'設定（最初に1回）'!$C$4,N(U3413),IF(COUNTIFS(①今日の在庫を貼る!$B$6:$B$10005,$B3414,①今日の在庫を貼る!$I$6:$I$10005,$I3414)&gt;0,N(U3413),N(U3413)+1))</f>
        <v>2</v>
      </c>
    </row>
    <row r="3415" customFormat="false" ht="15" hidden="false" customHeight="false" outlineLevel="0" collapsed="false">
      <c r="B3415" s="53"/>
      <c r="I3415" s="53"/>
      <c r="U3415" s="31" t="n">
        <f aca="false">IF($B3415&lt;&gt;'設定（最初に1回）'!$C$4,N(U3414),IF(COUNTIFS(①今日の在庫を貼る!$B$6:$B$10005,$B3415,①今日の在庫を貼る!$I$6:$I$10005,$I3415)&gt;0,N(U3414),N(U3414)+1))</f>
        <v>2</v>
      </c>
    </row>
    <row r="3416" customFormat="false" ht="15" hidden="false" customHeight="false" outlineLevel="0" collapsed="false">
      <c r="B3416" s="53"/>
      <c r="I3416" s="53"/>
      <c r="U3416" s="31" t="n">
        <f aca="false">IF($B3416&lt;&gt;'設定（最初に1回）'!$C$4,N(U3415),IF(COUNTIFS(①今日の在庫を貼る!$B$6:$B$10005,$B3416,①今日の在庫を貼る!$I$6:$I$10005,$I3416)&gt;0,N(U3415),N(U3415)+1))</f>
        <v>2</v>
      </c>
    </row>
    <row r="3417" customFormat="false" ht="15" hidden="false" customHeight="false" outlineLevel="0" collapsed="false">
      <c r="B3417" s="53"/>
      <c r="I3417" s="53"/>
      <c r="U3417" s="31" t="n">
        <f aca="false">IF($B3417&lt;&gt;'設定（最初に1回）'!$C$4,N(U3416),IF(COUNTIFS(①今日の在庫を貼る!$B$6:$B$10005,$B3417,①今日の在庫を貼る!$I$6:$I$10005,$I3417)&gt;0,N(U3416),N(U3416)+1))</f>
        <v>2</v>
      </c>
    </row>
    <row r="3418" customFormat="false" ht="15" hidden="false" customHeight="false" outlineLevel="0" collapsed="false">
      <c r="B3418" s="53"/>
      <c r="I3418" s="53"/>
      <c r="U3418" s="31" t="n">
        <f aca="false">IF($B3418&lt;&gt;'設定（最初に1回）'!$C$4,N(U3417),IF(COUNTIFS(①今日の在庫を貼る!$B$6:$B$10005,$B3418,①今日の在庫を貼る!$I$6:$I$10005,$I3418)&gt;0,N(U3417),N(U3417)+1))</f>
        <v>2</v>
      </c>
    </row>
    <row r="3419" customFormat="false" ht="15" hidden="false" customHeight="false" outlineLevel="0" collapsed="false">
      <c r="B3419" s="53"/>
      <c r="I3419" s="53"/>
      <c r="U3419" s="31" t="n">
        <f aca="false">IF($B3419&lt;&gt;'設定（最初に1回）'!$C$4,N(U3418),IF(COUNTIFS(①今日の在庫を貼る!$B$6:$B$10005,$B3419,①今日の在庫を貼る!$I$6:$I$10005,$I3419)&gt;0,N(U3418),N(U3418)+1))</f>
        <v>2</v>
      </c>
    </row>
    <row r="3420" customFormat="false" ht="15" hidden="false" customHeight="false" outlineLevel="0" collapsed="false">
      <c r="B3420" s="53"/>
      <c r="I3420" s="53"/>
      <c r="U3420" s="31" t="n">
        <f aca="false">IF($B3420&lt;&gt;'設定（最初に1回）'!$C$4,N(U3419),IF(COUNTIFS(①今日の在庫を貼る!$B$6:$B$10005,$B3420,①今日の在庫を貼る!$I$6:$I$10005,$I3420)&gt;0,N(U3419),N(U3419)+1))</f>
        <v>2</v>
      </c>
    </row>
    <row r="3421" customFormat="false" ht="15" hidden="false" customHeight="false" outlineLevel="0" collapsed="false">
      <c r="B3421" s="53"/>
      <c r="I3421" s="53"/>
      <c r="U3421" s="31" t="n">
        <f aca="false">IF($B3421&lt;&gt;'設定（最初に1回）'!$C$4,N(U3420),IF(COUNTIFS(①今日の在庫を貼る!$B$6:$B$10005,$B3421,①今日の在庫を貼る!$I$6:$I$10005,$I3421)&gt;0,N(U3420),N(U3420)+1))</f>
        <v>2</v>
      </c>
    </row>
    <row r="3422" customFormat="false" ht="15" hidden="false" customHeight="false" outlineLevel="0" collapsed="false">
      <c r="B3422" s="53"/>
      <c r="I3422" s="53"/>
      <c r="U3422" s="31" t="n">
        <f aca="false">IF($B3422&lt;&gt;'設定（最初に1回）'!$C$4,N(U3421),IF(COUNTIFS(①今日の在庫を貼る!$B$6:$B$10005,$B3422,①今日の在庫を貼る!$I$6:$I$10005,$I3422)&gt;0,N(U3421),N(U3421)+1))</f>
        <v>2</v>
      </c>
    </row>
    <row r="3423" customFormat="false" ht="15" hidden="false" customHeight="false" outlineLevel="0" collapsed="false">
      <c r="B3423" s="53"/>
      <c r="I3423" s="53"/>
      <c r="U3423" s="31" t="n">
        <f aca="false">IF($B3423&lt;&gt;'設定（最初に1回）'!$C$4,N(U3422),IF(COUNTIFS(①今日の在庫を貼る!$B$6:$B$10005,$B3423,①今日の在庫を貼る!$I$6:$I$10005,$I3423)&gt;0,N(U3422),N(U3422)+1))</f>
        <v>2</v>
      </c>
    </row>
    <row r="3424" customFormat="false" ht="15" hidden="false" customHeight="false" outlineLevel="0" collapsed="false">
      <c r="B3424" s="53"/>
      <c r="I3424" s="53"/>
      <c r="U3424" s="31" t="n">
        <f aca="false">IF($B3424&lt;&gt;'設定（最初に1回）'!$C$4,N(U3423),IF(COUNTIFS(①今日の在庫を貼る!$B$6:$B$10005,$B3424,①今日の在庫を貼る!$I$6:$I$10005,$I3424)&gt;0,N(U3423),N(U3423)+1))</f>
        <v>2</v>
      </c>
    </row>
    <row r="3425" customFormat="false" ht="15" hidden="false" customHeight="false" outlineLevel="0" collapsed="false">
      <c r="B3425" s="53"/>
      <c r="I3425" s="53"/>
      <c r="U3425" s="31" t="n">
        <f aca="false">IF($B3425&lt;&gt;'設定（最初に1回）'!$C$4,N(U3424),IF(COUNTIFS(①今日の在庫を貼る!$B$6:$B$10005,$B3425,①今日の在庫を貼る!$I$6:$I$10005,$I3425)&gt;0,N(U3424),N(U3424)+1))</f>
        <v>2</v>
      </c>
    </row>
    <row r="3426" customFormat="false" ht="15" hidden="false" customHeight="false" outlineLevel="0" collapsed="false">
      <c r="B3426" s="53"/>
      <c r="I3426" s="53"/>
      <c r="U3426" s="31" t="n">
        <f aca="false">IF($B3426&lt;&gt;'設定（最初に1回）'!$C$4,N(U3425),IF(COUNTIFS(①今日の在庫を貼る!$B$6:$B$10005,$B3426,①今日の在庫を貼る!$I$6:$I$10005,$I3426)&gt;0,N(U3425),N(U3425)+1))</f>
        <v>2</v>
      </c>
    </row>
    <row r="3427" customFormat="false" ht="15" hidden="false" customHeight="false" outlineLevel="0" collapsed="false">
      <c r="B3427" s="53"/>
      <c r="I3427" s="53"/>
      <c r="U3427" s="31" t="n">
        <f aca="false">IF($B3427&lt;&gt;'設定（最初に1回）'!$C$4,N(U3426),IF(COUNTIFS(①今日の在庫を貼る!$B$6:$B$10005,$B3427,①今日の在庫を貼る!$I$6:$I$10005,$I3427)&gt;0,N(U3426),N(U3426)+1))</f>
        <v>2</v>
      </c>
    </row>
    <row r="3428" customFormat="false" ht="15" hidden="false" customHeight="false" outlineLevel="0" collapsed="false">
      <c r="B3428" s="53"/>
      <c r="I3428" s="53"/>
      <c r="U3428" s="31" t="n">
        <f aca="false">IF($B3428&lt;&gt;'設定（最初に1回）'!$C$4,N(U3427),IF(COUNTIFS(①今日の在庫を貼る!$B$6:$B$10005,$B3428,①今日の在庫を貼る!$I$6:$I$10005,$I3428)&gt;0,N(U3427),N(U3427)+1))</f>
        <v>2</v>
      </c>
    </row>
    <row r="3429" customFormat="false" ht="15" hidden="false" customHeight="false" outlineLevel="0" collapsed="false">
      <c r="B3429" s="53"/>
      <c r="I3429" s="53"/>
      <c r="U3429" s="31" t="n">
        <f aca="false">IF($B3429&lt;&gt;'設定（最初に1回）'!$C$4,N(U3428),IF(COUNTIFS(①今日の在庫を貼る!$B$6:$B$10005,$B3429,①今日の在庫を貼る!$I$6:$I$10005,$I3429)&gt;0,N(U3428),N(U3428)+1))</f>
        <v>2</v>
      </c>
    </row>
    <row r="3430" customFormat="false" ht="15" hidden="false" customHeight="false" outlineLevel="0" collapsed="false">
      <c r="B3430" s="53"/>
      <c r="I3430" s="53"/>
      <c r="U3430" s="31" t="n">
        <f aca="false">IF($B3430&lt;&gt;'設定（最初に1回）'!$C$4,N(U3429),IF(COUNTIFS(①今日の在庫を貼る!$B$6:$B$10005,$B3430,①今日の在庫を貼る!$I$6:$I$10005,$I3430)&gt;0,N(U3429),N(U3429)+1))</f>
        <v>2</v>
      </c>
    </row>
    <row r="3431" customFormat="false" ht="15" hidden="false" customHeight="false" outlineLevel="0" collapsed="false">
      <c r="B3431" s="53"/>
      <c r="I3431" s="53"/>
      <c r="U3431" s="31" t="n">
        <f aca="false">IF($B3431&lt;&gt;'設定（最初に1回）'!$C$4,N(U3430),IF(COUNTIFS(①今日の在庫を貼る!$B$6:$B$10005,$B3431,①今日の在庫を貼る!$I$6:$I$10005,$I3431)&gt;0,N(U3430),N(U3430)+1))</f>
        <v>2</v>
      </c>
    </row>
    <row r="3432" customFormat="false" ht="15" hidden="false" customHeight="false" outlineLevel="0" collapsed="false">
      <c r="B3432" s="53"/>
      <c r="I3432" s="53"/>
      <c r="U3432" s="31" t="n">
        <f aca="false">IF($B3432&lt;&gt;'設定（最初に1回）'!$C$4,N(U3431),IF(COUNTIFS(①今日の在庫を貼る!$B$6:$B$10005,$B3432,①今日の在庫を貼る!$I$6:$I$10005,$I3432)&gt;0,N(U3431),N(U3431)+1))</f>
        <v>2</v>
      </c>
    </row>
    <row r="3433" customFormat="false" ht="15" hidden="false" customHeight="false" outlineLevel="0" collapsed="false">
      <c r="B3433" s="53"/>
      <c r="I3433" s="53"/>
      <c r="U3433" s="31" t="n">
        <f aca="false">IF($B3433&lt;&gt;'設定（最初に1回）'!$C$4,N(U3432),IF(COUNTIFS(①今日の在庫を貼る!$B$6:$B$10005,$B3433,①今日の在庫を貼る!$I$6:$I$10005,$I3433)&gt;0,N(U3432),N(U3432)+1))</f>
        <v>2</v>
      </c>
    </row>
    <row r="3434" customFormat="false" ht="15" hidden="false" customHeight="false" outlineLevel="0" collapsed="false">
      <c r="B3434" s="53"/>
      <c r="I3434" s="53"/>
      <c r="U3434" s="31" t="n">
        <f aca="false">IF($B3434&lt;&gt;'設定（最初に1回）'!$C$4,N(U3433),IF(COUNTIFS(①今日の在庫を貼る!$B$6:$B$10005,$B3434,①今日の在庫を貼る!$I$6:$I$10005,$I3434)&gt;0,N(U3433),N(U3433)+1))</f>
        <v>2</v>
      </c>
    </row>
    <row r="3435" customFormat="false" ht="15" hidden="false" customHeight="false" outlineLevel="0" collapsed="false">
      <c r="B3435" s="53"/>
      <c r="I3435" s="53"/>
      <c r="U3435" s="31" t="n">
        <f aca="false">IF($B3435&lt;&gt;'設定（最初に1回）'!$C$4,N(U3434),IF(COUNTIFS(①今日の在庫を貼る!$B$6:$B$10005,$B3435,①今日の在庫を貼る!$I$6:$I$10005,$I3435)&gt;0,N(U3434),N(U3434)+1))</f>
        <v>2</v>
      </c>
    </row>
    <row r="3436" customFormat="false" ht="15" hidden="false" customHeight="false" outlineLevel="0" collapsed="false">
      <c r="B3436" s="53"/>
      <c r="I3436" s="53"/>
      <c r="U3436" s="31" t="n">
        <f aca="false">IF($B3436&lt;&gt;'設定（最初に1回）'!$C$4,N(U3435),IF(COUNTIFS(①今日の在庫を貼る!$B$6:$B$10005,$B3436,①今日の在庫を貼る!$I$6:$I$10005,$I3436)&gt;0,N(U3435),N(U3435)+1))</f>
        <v>2</v>
      </c>
    </row>
    <row r="3437" customFormat="false" ht="15" hidden="false" customHeight="false" outlineLevel="0" collapsed="false">
      <c r="B3437" s="53"/>
      <c r="I3437" s="53"/>
      <c r="U3437" s="31" t="n">
        <f aca="false">IF($B3437&lt;&gt;'設定（最初に1回）'!$C$4,N(U3436),IF(COUNTIFS(①今日の在庫を貼る!$B$6:$B$10005,$B3437,①今日の在庫を貼る!$I$6:$I$10005,$I3437)&gt;0,N(U3436),N(U3436)+1))</f>
        <v>2</v>
      </c>
    </row>
    <row r="3438" customFormat="false" ht="15" hidden="false" customHeight="false" outlineLevel="0" collapsed="false">
      <c r="B3438" s="53"/>
      <c r="I3438" s="53"/>
      <c r="U3438" s="31" t="n">
        <f aca="false">IF($B3438&lt;&gt;'設定（最初に1回）'!$C$4,N(U3437),IF(COUNTIFS(①今日の在庫を貼る!$B$6:$B$10005,$B3438,①今日の在庫を貼る!$I$6:$I$10005,$I3438)&gt;0,N(U3437),N(U3437)+1))</f>
        <v>2</v>
      </c>
    </row>
    <row r="3439" customFormat="false" ht="15" hidden="false" customHeight="false" outlineLevel="0" collapsed="false">
      <c r="B3439" s="53"/>
      <c r="I3439" s="53"/>
      <c r="U3439" s="31" t="n">
        <f aca="false">IF($B3439&lt;&gt;'設定（最初に1回）'!$C$4,N(U3438),IF(COUNTIFS(①今日の在庫を貼る!$B$6:$B$10005,$B3439,①今日の在庫を貼る!$I$6:$I$10005,$I3439)&gt;0,N(U3438),N(U3438)+1))</f>
        <v>2</v>
      </c>
    </row>
    <row r="3440" customFormat="false" ht="15" hidden="false" customHeight="false" outlineLevel="0" collapsed="false">
      <c r="B3440" s="53"/>
      <c r="I3440" s="53"/>
      <c r="U3440" s="31" t="n">
        <f aca="false">IF($B3440&lt;&gt;'設定（最初に1回）'!$C$4,N(U3439),IF(COUNTIFS(①今日の在庫を貼る!$B$6:$B$10005,$B3440,①今日の在庫を貼る!$I$6:$I$10005,$I3440)&gt;0,N(U3439),N(U3439)+1))</f>
        <v>2</v>
      </c>
    </row>
    <row r="3441" customFormat="false" ht="15" hidden="false" customHeight="false" outlineLevel="0" collapsed="false">
      <c r="B3441" s="53"/>
      <c r="I3441" s="53"/>
      <c r="U3441" s="31" t="n">
        <f aca="false">IF($B3441&lt;&gt;'設定（最初に1回）'!$C$4,N(U3440),IF(COUNTIFS(①今日の在庫を貼る!$B$6:$B$10005,$B3441,①今日の在庫を貼る!$I$6:$I$10005,$I3441)&gt;0,N(U3440),N(U3440)+1))</f>
        <v>2</v>
      </c>
    </row>
    <row r="3442" customFormat="false" ht="15" hidden="false" customHeight="false" outlineLevel="0" collapsed="false">
      <c r="B3442" s="53"/>
      <c r="I3442" s="53"/>
      <c r="U3442" s="31" t="n">
        <f aca="false">IF($B3442&lt;&gt;'設定（最初に1回）'!$C$4,N(U3441),IF(COUNTIFS(①今日の在庫を貼る!$B$6:$B$10005,$B3442,①今日の在庫を貼る!$I$6:$I$10005,$I3442)&gt;0,N(U3441),N(U3441)+1))</f>
        <v>2</v>
      </c>
    </row>
    <row r="3443" customFormat="false" ht="15" hidden="false" customHeight="false" outlineLevel="0" collapsed="false">
      <c r="B3443" s="53"/>
      <c r="I3443" s="53"/>
      <c r="U3443" s="31" t="n">
        <f aca="false">IF($B3443&lt;&gt;'設定（最初に1回）'!$C$4,N(U3442),IF(COUNTIFS(①今日の在庫を貼る!$B$6:$B$10005,$B3443,①今日の在庫を貼る!$I$6:$I$10005,$I3443)&gt;0,N(U3442),N(U3442)+1))</f>
        <v>2</v>
      </c>
    </row>
    <row r="3444" customFormat="false" ht="15" hidden="false" customHeight="false" outlineLevel="0" collapsed="false">
      <c r="B3444" s="53"/>
      <c r="I3444" s="53"/>
      <c r="U3444" s="31" t="n">
        <f aca="false">IF($B3444&lt;&gt;'設定（最初に1回）'!$C$4,N(U3443),IF(COUNTIFS(①今日の在庫を貼る!$B$6:$B$10005,$B3444,①今日の在庫を貼る!$I$6:$I$10005,$I3444)&gt;0,N(U3443),N(U3443)+1))</f>
        <v>2</v>
      </c>
    </row>
    <row r="3445" customFormat="false" ht="15" hidden="false" customHeight="false" outlineLevel="0" collapsed="false">
      <c r="B3445" s="53"/>
      <c r="I3445" s="53"/>
      <c r="U3445" s="31" t="n">
        <f aca="false">IF($B3445&lt;&gt;'設定（最初に1回）'!$C$4,N(U3444),IF(COUNTIFS(①今日の在庫を貼る!$B$6:$B$10005,$B3445,①今日の在庫を貼る!$I$6:$I$10005,$I3445)&gt;0,N(U3444),N(U3444)+1))</f>
        <v>2</v>
      </c>
    </row>
    <row r="3446" customFormat="false" ht="15" hidden="false" customHeight="false" outlineLevel="0" collapsed="false">
      <c r="B3446" s="53"/>
      <c r="I3446" s="53"/>
      <c r="U3446" s="31" t="n">
        <f aca="false">IF($B3446&lt;&gt;'設定（最初に1回）'!$C$4,N(U3445),IF(COUNTIFS(①今日の在庫を貼る!$B$6:$B$10005,$B3446,①今日の在庫を貼る!$I$6:$I$10005,$I3446)&gt;0,N(U3445),N(U3445)+1))</f>
        <v>2</v>
      </c>
    </row>
    <row r="3447" customFormat="false" ht="15" hidden="false" customHeight="false" outlineLevel="0" collapsed="false">
      <c r="B3447" s="53"/>
      <c r="I3447" s="53"/>
      <c r="U3447" s="31" t="n">
        <f aca="false">IF($B3447&lt;&gt;'設定（最初に1回）'!$C$4,N(U3446),IF(COUNTIFS(①今日の在庫を貼る!$B$6:$B$10005,$B3447,①今日の在庫を貼る!$I$6:$I$10005,$I3447)&gt;0,N(U3446),N(U3446)+1))</f>
        <v>2</v>
      </c>
    </row>
    <row r="3448" customFormat="false" ht="15" hidden="false" customHeight="false" outlineLevel="0" collapsed="false">
      <c r="B3448" s="53"/>
      <c r="I3448" s="53"/>
      <c r="U3448" s="31" t="n">
        <f aca="false">IF($B3448&lt;&gt;'設定（最初に1回）'!$C$4,N(U3447),IF(COUNTIFS(①今日の在庫を貼る!$B$6:$B$10005,$B3448,①今日の在庫を貼る!$I$6:$I$10005,$I3448)&gt;0,N(U3447),N(U3447)+1))</f>
        <v>2</v>
      </c>
    </row>
    <row r="3449" customFormat="false" ht="15" hidden="false" customHeight="false" outlineLevel="0" collapsed="false">
      <c r="B3449" s="53"/>
      <c r="I3449" s="53"/>
      <c r="U3449" s="31" t="n">
        <f aca="false">IF($B3449&lt;&gt;'設定（最初に1回）'!$C$4,N(U3448),IF(COUNTIFS(①今日の在庫を貼る!$B$6:$B$10005,$B3449,①今日の在庫を貼る!$I$6:$I$10005,$I3449)&gt;0,N(U3448),N(U3448)+1))</f>
        <v>2</v>
      </c>
    </row>
    <row r="3450" customFormat="false" ht="15" hidden="false" customHeight="false" outlineLevel="0" collapsed="false">
      <c r="B3450" s="53"/>
      <c r="I3450" s="53"/>
      <c r="U3450" s="31" t="n">
        <f aca="false">IF($B3450&lt;&gt;'設定（最初に1回）'!$C$4,N(U3449),IF(COUNTIFS(①今日の在庫を貼る!$B$6:$B$10005,$B3450,①今日の在庫を貼る!$I$6:$I$10005,$I3450)&gt;0,N(U3449),N(U3449)+1))</f>
        <v>2</v>
      </c>
    </row>
    <row r="3451" customFormat="false" ht="15" hidden="false" customHeight="false" outlineLevel="0" collapsed="false">
      <c r="B3451" s="53"/>
      <c r="I3451" s="53"/>
      <c r="U3451" s="31" t="n">
        <f aca="false">IF($B3451&lt;&gt;'設定（最初に1回）'!$C$4,N(U3450),IF(COUNTIFS(①今日の在庫を貼る!$B$6:$B$10005,$B3451,①今日の在庫を貼る!$I$6:$I$10005,$I3451)&gt;0,N(U3450),N(U3450)+1))</f>
        <v>2</v>
      </c>
    </row>
    <row r="3452" customFormat="false" ht="15" hidden="false" customHeight="false" outlineLevel="0" collapsed="false">
      <c r="B3452" s="53"/>
      <c r="I3452" s="53"/>
      <c r="U3452" s="31" t="n">
        <f aca="false">IF($B3452&lt;&gt;'設定（最初に1回）'!$C$4,N(U3451),IF(COUNTIFS(①今日の在庫を貼る!$B$6:$B$10005,$B3452,①今日の在庫を貼る!$I$6:$I$10005,$I3452)&gt;0,N(U3451),N(U3451)+1))</f>
        <v>2</v>
      </c>
    </row>
    <row r="3453" customFormat="false" ht="15" hidden="false" customHeight="false" outlineLevel="0" collapsed="false">
      <c r="B3453" s="53"/>
      <c r="I3453" s="53"/>
      <c r="U3453" s="31" t="n">
        <f aca="false">IF($B3453&lt;&gt;'設定（最初に1回）'!$C$4,N(U3452),IF(COUNTIFS(①今日の在庫を貼る!$B$6:$B$10005,$B3453,①今日の在庫を貼る!$I$6:$I$10005,$I3453)&gt;0,N(U3452),N(U3452)+1))</f>
        <v>2</v>
      </c>
    </row>
    <row r="3454" customFormat="false" ht="15" hidden="false" customHeight="false" outlineLevel="0" collapsed="false">
      <c r="B3454" s="53"/>
      <c r="I3454" s="53"/>
      <c r="U3454" s="31" t="n">
        <f aca="false">IF($B3454&lt;&gt;'設定（最初に1回）'!$C$4,N(U3453),IF(COUNTIFS(①今日の在庫を貼る!$B$6:$B$10005,$B3454,①今日の在庫を貼る!$I$6:$I$10005,$I3454)&gt;0,N(U3453),N(U3453)+1))</f>
        <v>2</v>
      </c>
    </row>
    <row r="3455" customFormat="false" ht="15" hidden="false" customHeight="false" outlineLevel="0" collapsed="false">
      <c r="B3455" s="53"/>
      <c r="I3455" s="53"/>
      <c r="U3455" s="31" t="n">
        <f aca="false">IF($B3455&lt;&gt;'設定（最初に1回）'!$C$4,N(U3454),IF(COUNTIFS(①今日の在庫を貼る!$B$6:$B$10005,$B3455,①今日の在庫を貼る!$I$6:$I$10005,$I3455)&gt;0,N(U3454),N(U3454)+1))</f>
        <v>2</v>
      </c>
    </row>
    <row r="3456" customFormat="false" ht="15" hidden="false" customHeight="false" outlineLevel="0" collapsed="false">
      <c r="B3456" s="53"/>
      <c r="I3456" s="53"/>
      <c r="U3456" s="31" t="n">
        <f aca="false">IF($B3456&lt;&gt;'設定（最初に1回）'!$C$4,N(U3455),IF(COUNTIFS(①今日の在庫を貼る!$B$6:$B$10005,$B3456,①今日の在庫を貼る!$I$6:$I$10005,$I3456)&gt;0,N(U3455),N(U3455)+1))</f>
        <v>2</v>
      </c>
    </row>
    <row r="3457" customFormat="false" ht="15" hidden="false" customHeight="false" outlineLevel="0" collapsed="false">
      <c r="B3457" s="53"/>
      <c r="I3457" s="53"/>
      <c r="U3457" s="31" t="n">
        <f aca="false">IF($B3457&lt;&gt;'設定（最初に1回）'!$C$4,N(U3456),IF(COUNTIFS(①今日の在庫を貼る!$B$6:$B$10005,$B3457,①今日の在庫を貼る!$I$6:$I$10005,$I3457)&gt;0,N(U3456),N(U3456)+1))</f>
        <v>2</v>
      </c>
    </row>
    <row r="3458" customFormat="false" ht="15" hidden="false" customHeight="false" outlineLevel="0" collapsed="false">
      <c r="B3458" s="53"/>
      <c r="I3458" s="53"/>
      <c r="U3458" s="31" t="n">
        <f aca="false">IF($B3458&lt;&gt;'設定（最初に1回）'!$C$4,N(U3457),IF(COUNTIFS(①今日の在庫を貼る!$B$6:$B$10005,$B3458,①今日の在庫を貼る!$I$6:$I$10005,$I3458)&gt;0,N(U3457),N(U3457)+1))</f>
        <v>2</v>
      </c>
    </row>
    <row r="3459" customFormat="false" ht="15" hidden="false" customHeight="false" outlineLevel="0" collapsed="false">
      <c r="B3459" s="53"/>
      <c r="I3459" s="53"/>
      <c r="U3459" s="31" t="n">
        <f aca="false">IF($B3459&lt;&gt;'設定（最初に1回）'!$C$4,N(U3458),IF(COUNTIFS(①今日の在庫を貼る!$B$6:$B$10005,$B3459,①今日の在庫を貼る!$I$6:$I$10005,$I3459)&gt;0,N(U3458),N(U3458)+1))</f>
        <v>2</v>
      </c>
    </row>
    <row r="3460" customFormat="false" ht="15" hidden="false" customHeight="false" outlineLevel="0" collapsed="false">
      <c r="B3460" s="53"/>
      <c r="I3460" s="53"/>
      <c r="U3460" s="31" t="n">
        <f aca="false">IF($B3460&lt;&gt;'設定（最初に1回）'!$C$4,N(U3459),IF(COUNTIFS(①今日の在庫を貼る!$B$6:$B$10005,$B3460,①今日の在庫を貼る!$I$6:$I$10005,$I3460)&gt;0,N(U3459),N(U3459)+1))</f>
        <v>2</v>
      </c>
    </row>
    <row r="3461" customFormat="false" ht="15" hidden="false" customHeight="false" outlineLevel="0" collapsed="false">
      <c r="B3461" s="53"/>
      <c r="I3461" s="53"/>
      <c r="U3461" s="31" t="n">
        <f aca="false">IF($B3461&lt;&gt;'設定（最初に1回）'!$C$4,N(U3460),IF(COUNTIFS(①今日の在庫を貼る!$B$6:$B$10005,$B3461,①今日の在庫を貼る!$I$6:$I$10005,$I3461)&gt;0,N(U3460),N(U3460)+1))</f>
        <v>2</v>
      </c>
    </row>
    <row r="3462" customFormat="false" ht="15" hidden="false" customHeight="false" outlineLevel="0" collapsed="false">
      <c r="B3462" s="53"/>
      <c r="I3462" s="53"/>
      <c r="U3462" s="31" t="n">
        <f aca="false">IF($B3462&lt;&gt;'設定（最初に1回）'!$C$4,N(U3461),IF(COUNTIFS(①今日の在庫を貼る!$B$6:$B$10005,$B3462,①今日の在庫を貼る!$I$6:$I$10005,$I3462)&gt;0,N(U3461),N(U3461)+1))</f>
        <v>2</v>
      </c>
    </row>
    <row r="3463" customFormat="false" ht="15" hidden="false" customHeight="false" outlineLevel="0" collapsed="false">
      <c r="B3463" s="53"/>
      <c r="I3463" s="53"/>
      <c r="U3463" s="31" t="n">
        <f aca="false">IF($B3463&lt;&gt;'設定（最初に1回）'!$C$4,N(U3462),IF(COUNTIFS(①今日の在庫を貼る!$B$6:$B$10005,$B3463,①今日の在庫を貼る!$I$6:$I$10005,$I3463)&gt;0,N(U3462),N(U3462)+1))</f>
        <v>2</v>
      </c>
    </row>
    <row r="3464" customFormat="false" ht="15" hidden="false" customHeight="false" outlineLevel="0" collapsed="false">
      <c r="B3464" s="53"/>
      <c r="I3464" s="53"/>
      <c r="U3464" s="31" t="n">
        <f aca="false">IF($B3464&lt;&gt;'設定（最初に1回）'!$C$4,N(U3463),IF(COUNTIFS(①今日の在庫を貼る!$B$6:$B$10005,$B3464,①今日の在庫を貼る!$I$6:$I$10005,$I3464)&gt;0,N(U3463),N(U3463)+1))</f>
        <v>2</v>
      </c>
    </row>
    <row r="3465" customFormat="false" ht="15" hidden="false" customHeight="false" outlineLevel="0" collapsed="false">
      <c r="B3465" s="53"/>
      <c r="I3465" s="53"/>
      <c r="U3465" s="31" t="n">
        <f aca="false">IF($B3465&lt;&gt;'設定（最初に1回）'!$C$4,N(U3464),IF(COUNTIFS(①今日の在庫を貼る!$B$6:$B$10005,$B3465,①今日の在庫を貼る!$I$6:$I$10005,$I3465)&gt;0,N(U3464),N(U3464)+1))</f>
        <v>2</v>
      </c>
    </row>
    <row r="3466" customFormat="false" ht="15" hidden="false" customHeight="false" outlineLevel="0" collapsed="false">
      <c r="B3466" s="53"/>
      <c r="I3466" s="53"/>
      <c r="U3466" s="31" t="n">
        <f aca="false">IF($B3466&lt;&gt;'設定（最初に1回）'!$C$4,N(U3465),IF(COUNTIFS(①今日の在庫を貼る!$B$6:$B$10005,$B3466,①今日の在庫を貼る!$I$6:$I$10005,$I3466)&gt;0,N(U3465),N(U3465)+1))</f>
        <v>2</v>
      </c>
    </row>
    <row r="3467" customFormat="false" ht="15" hidden="false" customHeight="false" outlineLevel="0" collapsed="false">
      <c r="B3467" s="53"/>
      <c r="I3467" s="53"/>
      <c r="U3467" s="31" t="n">
        <f aca="false">IF($B3467&lt;&gt;'設定（最初に1回）'!$C$4,N(U3466),IF(COUNTIFS(①今日の在庫を貼る!$B$6:$B$10005,$B3467,①今日の在庫を貼る!$I$6:$I$10005,$I3467)&gt;0,N(U3466),N(U3466)+1))</f>
        <v>2</v>
      </c>
    </row>
    <row r="3468" customFormat="false" ht="15" hidden="false" customHeight="false" outlineLevel="0" collapsed="false">
      <c r="B3468" s="53"/>
      <c r="I3468" s="53"/>
      <c r="U3468" s="31" t="n">
        <f aca="false">IF($B3468&lt;&gt;'設定（最初に1回）'!$C$4,N(U3467),IF(COUNTIFS(①今日の在庫を貼る!$B$6:$B$10005,$B3468,①今日の在庫を貼る!$I$6:$I$10005,$I3468)&gt;0,N(U3467),N(U3467)+1))</f>
        <v>2</v>
      </c>
    </row>
    <row r="3469" customFormat="false" ht="15" hidden="false" customHeight="false" outlineLevel="0" collapsed="false">
      <c r="B3469" s="53"/>
      <c r="I3469" s="53"/>
      <c r="U3469" s="31" t="n">
        <f aca="false">IF($B3469&lt;&gt;'設定（最初に1回）'!$C$4,N(U3468),IF(COUNTIFS(①今日の在庫を貼る!$B$6:$B$10005,$B3469,①今日の在庫を貼る!$I$6:$I$10005,$I3469)&gt;0,N(U3468),N(U3468)+1))</f>
        <v>2</v>
      </c>
    </row>
    <row r="3470" customFormat="false" ht="15" hidden="false" customHeight="false" outlineLevel="0" collapsed="false">
      <c r="B3470" s="53"/>
      <c r="I3470" s="53"/>
      <c r="U3470" s="31" t="n">
        <f aca="false">IF($B3470&lt;&gt;'設定（最初に1回）'!$C$4,N(U3469),IF(COUNTIFS(①今日の在庫を貼る!$B$6:$B$10005,$B3470,①今日の在庫を貼る!$I$6:$I$10005,$I3470)&gt;0,N(U3469),N(U3469)+1))</f>
        <v>2</v>
      </c>
    </row>
    <row r="3471" customFormat="false" ht="15" hidden="false" customHeight="false" outlineLevel="0" collapsed="false">
      <c r="B3471" s="53"/>
      <c r="I3471" s="53"/>
      <c r="U3471" s="31" t="n">
        <f aca="false">IF($B3471&lt;&gt;'設定（最初に1回）'!$C$4,N(U3470),IF(COUNTIFS(①今日の在庫を貼る!$B$6:$B$10005,$B3471,①今日の在庫を貼る!$I$6:$I$10005,$I3471)&gt;0,N(U3470),N(U3470)+1))</f>
        <v>2</v>
      </c>
    </row>
    <row r="3472" customFormat="false" ht="15" hidden="false" customHeight="false" outlineLevel="0" collapsed="false">
      <c r="B3472" s="53"/>
      <c r="I3472" s="53"/>
      <c r="U3472" s="31" t="n">
        <f aca="false">IF($B3472&lt;&gt;'設定（最初に1回）'!$C$4,N(U3471),IF(COUNTIFS(①今日の在庫を貼る!$B$6:$B$10005,$B3472,①今日の在庫を貼る!$I$6:$I$10005,$I3472)&gt;0,N(U3471),N(U3471)+1))</f>
        <v>2</v>
      </c>
    </row>
    <row r="3473" customFormat="false" ht="15" hidden="false" customHeight="false" outlineLevel="0" collapsed="false">
      <c r="B3473" s="53"/>
      <c r="I3473" s="53"/>
      <c r="U3473" s="31" t="n">
        <f aca="false">IF($B3473&lt;&gt;'設定（最初に1回）'!$C$4,N(U3472),IF(COUNTIFS(①今日の在庫を貼る!$B$6:$B$10005,$B3473,①今日の在庫を貼る!$I$6:$I$10005,$I3473)&gt;0,N(U3472),N(U3472)+1))</f>
        <v>2</v>
      </c>
    </row>
    <row r="3474" customFormat="false" ht="15" hidden="false" customHeight="false" outlineLevel="0" collapsed="false">
      <c r="B3474" s="53"/>
      <c r="I3474" s="53"/>
      <c r="U3474" s="31" t="n">
        <f aca="false">IF($B3474&lt;&gt;'設定（最初に1回）'!$C$4,N(U3473),IF(COUNTIFS(①今日の在庫を貼る!$B$6:$B$10005,$B3474,①今日の在庫を貼る!$I$6:$I$10005,$I3474)&gt;0,N(U3473),N(U3473)+1))</f>
        <v>2</v>
      </c>
    </row>
    <row r="3475" customFormat="false" ht="15" hidden="false" customHeight="false" outlineLevel="0" collapsed="false">
      <c r="B3475" s="53"/>
      <c r="I3475" s="53"/>
      <c r="U3475" s="31" t="n">
        <f aca="false">IF($B3475&lt;&gt;'設定（最初に1回）'!$C$4,N(U3474),IF(COUNTIFS(①今日の在庫を貼る!$B$6:$B$10005,$B3475,①今日の在庫を貼る!$I$6:$I$10005,$I3475)&gt;0,N(U3474),N(U3474)+1))</f>
        <v>2</v>
      </c>
    </row>
    <row r="3476" customFormat="false" ht="15" hidden="false" customHeight="false" outlineLevel="0" collapsed="false">
      <c r="B3476" s="53"/>
      <c r="I3476" s="53"/>
      <c r="U3476" s="31" t="n">
        <f aca="false">IF($B3476&lt;&gt;'設定（最初に1回）'!$C$4,N(U3475),IF(COUNTIFS(①今日の在庫を貼る!$B$6:$B$10005,$B3476,①今日の在庫を貼る!$I$6:$I$10005,$I3476)&gt;0,N(U3475),N(U3475)+1))</f>
        <v>2</v>
      </c>
    </row>
    <row r="3477" customFormat="false" ht="15" hidden="false" customHeight="false" outlineLevel="0" collapsed="false">
      <c r="B3477" s="53"/>
      <c r="I3477" s="53"/>
      <c r="U3477" s="31" t="n">
        <f aca="false">IF($B3477&lt;&gt;'設定（最初に1回）'!$C$4,N(U3476),IF(COUNTIFS(①今日の在庫を貼る!$B$6:$B$10005,$B3477,①今日の在庫を貼る!$I$6:$I$10005,$I3477)&gt;0,N(U3476),N(U3476)+1))</f>
        <v>2</v>
      </c>
    </row>
    <row r="3478" customFormat="false" ht="15" hidden="false" customHeight="false" outlineLevel="0" collapsed="false">
      <c r="B3478" s="53"/>
      <c r="I3478" s="53"/>
      <c r="U3478" s="31" t="n">
        <f aca="false">IF($B3478&lt;&gt;'設定（最初に1回）'!$C$4,N(U3477),IF(COUNTIFS(①今日の在庫を貼る!$B$6:$B$10005,$B3478,①今日の在庫を貼る!$I$6:$I$10005,$I3478)&gt;0,N(U3477),N(U3477)+1))</f>
        <v>2</v>
      </c>
    </row>
    <row r="3479" customFormat="false" ht="15" hidden="false" customHeight="false" outlineLevel="0" collapsed="false">
      <c r="B3479" s="53"/>
      <c r="I3479" s="53"/>
      <c r="U3479" s="31" t="n">
        <f aca="false">IF($B3479&lt;&gt;'設定（最初に1回）'!$C$4,N(U3478),IF(COUNTIFS(①今日の在庫を貼る!$B$6:$B$10005,$B3479,①今日の在庫を貼る!$I$6:$I$10005,$I3479)&gt;0,N(U3478),N(U3478)+1))</f>
        <v>2</v>
      </c>
    </row>
    <row r="3480" customFormat="false" ht="15" hidden="false" customHeight="false" outlineLevel="0" collapsed="false">
      <c r="B3480" s="53"/>
      <c r="I3480" s="53"/>
      <c r="U3480" s="31" t="n">
        <f aca="false">IF($B3480&lt;&gt;'設定（最初に1回）'!$C$4,N(U3479),IF(COUNTIFS(①今日の在庫を貼る!$B$6:$B$10005,$B3480,①今日の在庫を貼る!$I$6:$I$10005,$I3480)&gt;0,N(U3479),N(U3479)+1))</f>
        <v>2</v>
      </c>
    </row>
    <row r="3481" customFormat="false" ht="15" hidden="false" customHeight="false" outlineLevel="0" collapsed="false">
      <c r="B3481" s="53"/>
      <c r="I3481" s="53"/>
      <c r="U3481" s="31" t="n">
        <f aca="false">IF($B3481&lt;&gt;'設定（最初に1回）'!$C$4,N(U3480),IF(COUNTIFS(①今日の在庫を貼る!$B$6:$B$10005,$B3481,①今日の在庫を貼る!$I$6:$I$10005,$I3481)&gt;0,N(U3480),N(U3480)+1))</f>
        <v>2</v>
      </c>
    </row>
    <row r="3482" customFormat="false" ht="15" hidden="false" customHeight="false" outlineLevel="0" collapsed="false">
      <c r="B3482" s="53"/>
      <c r="I3482" s="53"/>
      <c r="U3482" s="31" t="n">
        <f aca="false">IF($B3482&lt;&gt;'設定（最初に1回）'!$C$4,N(U3481),IF(COUNTIFS(①今日の在庫を貼る!$B$6:$B$10005,$B3482,①今日の在庫を貼る!$I$6:$I$10005,$I3482)&gt;0,N(U3481),N(U3481)+1))</f>
        <v>2</v>
      </c>
    </row>
    <row r="3483" customFormat="false" ht="15" hidden="false" customHeight="false" outlineLevel="0" collapsed="false">
      <c r="B3483" s="53"/>
      <c r="I3483" s="53"/>
      <c r="U3483" s="31" t="n">
        <f aca="false">IF($B3483&lt;&gt;'設定（最初に1回）'!$C$4,N(U3482),IF(COUNTIFS(①今日の在庫を貼る!$B$6:$B$10005,$B3483,①今日の在庫を貼る!$I$6:$I$10005,$I3483)&gt;0,N(U3482),N(U3482)+1))</f>
        <v>2</v>
      </c>
    </row>
    <row r="3484" customFormat="false" ht="15" hidden="false" customHeight="false" outlineLevel="0" collapsed="false">
      <c r="B3484" s="53"/>
      <c r="I3484" s="53"/>
      <c r="U3484" s="31" t="n">
        <f aca="false">IF($B3484&lt;&gt;'設定（最初に1回）'!$C$4,N(U3483),IF(COUNTIFS(①今日の在庫を貼る!$B$6:$B$10005,$B3484,①今日の在庫を貼る!$I$6:$I$10005,$I3484)&gt;0,N(U3483),N(U3483)+1))</f>
        <v>2</v>
      </c>
    </row>
    <row r="3485" customFormat="false" ht="15" hidden="false" customHeight="false" outlineLevel="0" collapsed="false">
      <c r="B3485" s="53"/>
      <c r="I3485" s="53"/>
      <c r="U3485" s="31" t="n">
        <f aca="false">IF($B3485&lt;&gt;'設定（最初に1回）'!$C$4,N(U3484),IF(COUNTIFS(①今日の在庫を貼る!$B$6:$B$10005,$B3485,①今日の在庫を貼る!$I$6:$I$10005,$I3485)&gt;0,N(U3484),N(U3484)+1))</f>
        <v>2</v>
      </c>
    </row>
    <row r="3486" customFormat="false" ht="15" hidden="false" customHeight="false" outlineLevel="0" collapsed="false">
      <c r="B3486" s="53"/>
      <c r="I3486" s="53"/>
      <c r="U3486" s="31" t="n">
        <f aca="false">IF($B3486&lt;&gt;'設定（最初に1回）'!$C$4,N(U3485),IF(COUNTIFS(①今日の在庫を貼る!$B$6:$B$10005,$B3486,①今日の在庫を貼る!$I$6:$I$10005,$I3486)&gt;0,N(U3485),N(U3485)+1))</f>
        <v>2</v>
      </c>
    </row>
    <row r="3487" customFormat="false" ht="15" hidden="false" customHeight="false" outlineLevel="0" collapsed="false">
      <c r="B3487" s="53"/>
      <c r="I3487" s="53"/>
      <c r="U3487" s="31" t="n">
        <f aca="false">IF($B3487&lt;&gt;'設定（最初に1回）'!$C$4,N(U3486),IF(COUNTIFS(①今日の在庫を貼る!$B$6:$B$10005,$B3487,①今日の在庫を貼る!$I$6:$I$10005,$I3487)&gt;0,N(U3486),N(U3486)+1))</f>
        <v>2</v>
      </c>
    </row>
    <row r="3488" customFormat="false" ht="15" hidden="false" customHeight="false" outlineLevel="0" collapsed="false">
      <c r="B3488" s="53"/>
      <c r="I3488" s="53"/>
      <c r="U3488" s="31" t="n">
        <f aca="false">IF($B3488&lt;&gt;'設定（最初に1回）'!$C$4,N(U3487),IF(COUNTIFS(①今日の在庫を貼る!$B$6:$B$10005,$B3488,①今日の在庫を貼る!$I$6:$I$10005,$I3488)&gt;0,N(U3487),N(U3487)+1))</f>
        <v>2</v>
      </c>
    </row>
    <row r="3489" customFormat="false" ht="15" hidden="false" customHeight="false" outlineLevel="0" collapsed="false">
      <c r="B3489" s="53"/>
      <c r="I3489" s="53"/>
      <c r="U3489" s="31" t="n">
        <f aca="false">IF($B3489&lt;&gt;'設定（最初に1回）'!$C$4,N(U3488),IF(COUNTIFS(①今日の在庫を貼る!$B$6:$B$10005,$B3489,①今日の在庫を貼る!$I$6:$I$10005,$I3489)&gt;0,N(U3488),N(U3488)+1))</f>
        <v>2</v>
      </c>
    </row>
    <row r="3490" customFormat="false" ht="15" hidden="false" customHeight="false" outlineLevel="0" collapsed="false">
      <c r="B3490" s="53"/>
      <c r="I3490" s="53"/>
      <c r="U3490" s="31" t="n">
        <f aca="false">IF($B3490&lt;&gt;'設定（最初に1回）'!$C$4,N(U3489),IF(COUNTIFS(①今日の在庫を貼る!$B$6:$B$10005,$B3490,①今日の在庫を貼る!$I$6:$I$10005,$I3490)&gt;0,N(U3489),N(U3489)+1))</f>
        <v>2</v>
      </c>
    </row>
    <row r="3491" customFormat="false" ht="15" hidden="false" customHeight="false" outlineLevel="0" collapsed="false">
      <c r="B3491" s="53"/>
      <c r="I3491" s="53"/>
      <c r="U3491" s="31" t="n">
        <f aca="false">IF($B3491&lt;&gt;'設定（最初に1回）'!$C$4,N(U3490),IF(COUNTIFS(①今日の在庫を貼る!$B$6:$B$10005,$B3491,①今日の在庫を貼る!$I$6:$I$10005,$I3491)&gt;0,N(U3490),N(U3490)+1))</f>
        <v>2</v>
      </c>
    </row>
    <row r="3492" customFormat="false" ht="15" hidden="false" customHeight="false" outlineLevel="0" collapsed="false">
      <c r="B3492" s="53"/>
      <c r="I3492" s="53"/>
      <c r="U3492" s="31" t="n">
        <f aca="false">IF($B3492&lt;&gt;'設定（最初に1回）'!$C$4,N(U3491),IF(COUNTIFS(①今日の在庫を貼る!$B$6:$B$10005,$B3492,①今日の在庫を貼る!$I$6:$I$10005,$I3492)&gt;0,N(U3491),N(U3491)+1))</f>
        <v>2</v>
      </c>
    </row>
    <row r="3493" customFormat="false" ht="15" hidden="false" customHeight="false" outlineLevel="0" collapsed="false">
      <c r="B3493" s="53"/>
      <c r="I3493" s="53"/>
      <c r="U3493" s="31" t="n">
        <f aca="false">IF($B3493&lt;&gt;'設定（最初に1回）'!$C$4,N(U3492),IF(COUNTIFS(①今日の在庫を貼る!$B$6:$B$10005,$B3493,①今日の在庫を貼る!$I$6:$I$10005,$I3493)&gt;0,N(U3492),N(U3492)+1))</f>
        <v>2</v>
      </c>
    </row>
    <row r="3494" customFormat="false" ht="15" hidden="false" customHeight="false" outlineLevel="0" collapsed="false">
      <c r="B3494" s="53"/>
      <c r="I3494" s="53"/>
      <c r="U3494" s="31" t="n">
        <f aca="false">IF($B3494&lt;&gt;'設定（最初に1回）'!$C$4,N(U3493),IF(COUNTIFS(①今日の在庫を貼る!$B$6:$B$10005,$B3494,①今日の在庫を貼る!$I$6:$I$10005,$I3494)&gt;0,N(U3493),N(U3493)+1))</f>
        <v>2</v>
      </c>
    </row>
    <row r="3495" customFormat="false" ht="15" hidden="false" customHeight="false" outlineLevel="0" collapsed="false">
      <c r="B3495" s="53"/>
      <c r="I3495" s="53"/>
      <c r="U3495" s="31" t="n">
        <f aca="false">IF($B3495&lt;&gt;'設定（最初に1回）'!$C$4,N(U3494),IF(COUNTIFS(①今日の在庫を貼る!$B$6:$B$10005,$B3495,①今日の在庫を貼る!$I$6:$I$10005,$I3495)&gt;0,N(U3494),N(U3494)+1))</f>
        <v>2</v>
      </c>
    </row>
    <row r="3496" customFormat="false" ht="15" hidden="false" customHeight="false" outlineLevel="0" collapsed="false">
      <c r="B3496" s="53"/>
      <c r="I3496" s="53"/>
      <c r="U3496" s="31" t="n">
        <f aca="false">IF($B3496&lt;&gt;'設定（最初に1回）'!$C$4,N(U3495),IF(COUNTIFS(①今日の在庫を貼る!$B$6:$B$10005,$B3496,①今日の在庫を貼る!$I$6:$I$10005,$I3496)&gt;0,N(U3495),N(U3495)+1))</f>
        <v>2</v>
      </c>
    </row>
    <row r="3497" customFormat="false" ht="15" hidden="false" customHeight="false" outlineLevel="0" collapsed="false">
      <c r="B3497" s="53"/>
      <c r="I3497" s="53"/>
      <c r="U3497" s="31" t="n">
        <f aca="false">IF($B3497&lt;&gt;'設定（最初に1回）'!$C$4,N(U3496),IF(COUNTIFS(①今日の在庫を貼る!$B$6:$B$10005,$B3497,①今日の在庫を貼る!$I$6:$I$10005,$I3497)&gt;0,N(U3496),N(U3496)+1))</f>
        <v>2</v>
      </c>
    </row>
    <row r="3498" customFormat="false" ht="15" hidden="false" customHeight="false" outlineLevel="0" collapsed="false">
      <c r="B3498" s="53"/>
      <c r="I3498" s="53"/>
      <c r="U3498" s="31" t="n">
        <f aca="false">IF($B3498&lt;&gt;'設定（最初に1回）'!$C$4,N(U3497),IF(COUNTIFS(①今日の在庫を貼る!$B$6:$B$10005,$B3498,①今日の在庫を貼る!$I$6:$I$10005,$I3498)&gt;0,N(U3497),N(U3497)+1))</f>
        <v>2</v>
      </c>
    </row>
    <row r="3499" customFormat="false" ht="15" hidden="false" customHeight="false" outlineLevel="0" collapsed="false">
      <c r="B3499" s="53"/>
      <c r="I3499" s="53"/>
      <c r="U3499" s="31" t="n">
        <f aca="false">IF($B3499&lt;&gt;'設定（最初に1回）'!$C$4,N(U3498),IF(COUNTIFS(①今日の在庫を貼る!$B$6:$B$10005,$B3499,①今日の在庫を貼る!$I$6:$I$10005,$I3499)&gt;0,N(U3498),N(U3498)+1))</f>
        <v>2</v>
      </c>
    </row>
    <row r="3500" customFormat="false" ht="15" hidden="false" customHeight="false" outlineLevel="0" collapsed="false">
      <c r="B3500" s="53"/>
      <c r="I3500" s="53"/>
      <c r="U3500" s="31" t="n">
        <f aca="false">IF($B3500&lt;&gt;'設定（最初に1回）'!$C$4,N(U3499),IF(COUNTIFS(①今日の在庫を貼る!$B$6:$B$10005,$B3500,①今日の在庫を貼る!$I$6:$I$10005,$I3500)&gt;0,N(U3499),N(U3499)+1))</f>
        <v>2</v>
      </c>
    </row>
    <row r="3501" customFormat="false" ht="15" hidden="false" customHeight="false" outlineLevel="0" collapsed="false">
      <c r="B3501" s="53"/>
      <c r="I3501" s="53"/>
      <c r="U3501" s="31" t="n">
        <f aca="false">IF($B3501&lt;&gt;'設定（最初に1回）'!$C$4,N(U3500),IF(COUNTIFS(①今日の在庫を貼る!$B$6:$B$10005,$B3501,①今日の在庫を貼る!$I$6:$I$10005,$I3501)&gt;0,N(U3500),N(U3500)+1))</f>
        <v>2</v>
      </c>
    </row>
    <row r="3502" customFormat="false" ht="15" hidden="false" customHeight="false" outlineLevel="0" collapsed="false">
      <c r="B3502" s="53"/>
      <c r="I3502" s="53"/>
      <c r="U3502" s="31" t="n">
        <f aca="false">IF($B3502&lt;&gt;'設定（最初に1回）'!$C$4,N(U3501),IF(COUNTIFS(①今日の在庫を貼る!$B$6:$B$10005,$B3502,①今日の在庫を貼る!$I$6:$I$10005,$I3502)&gt;0,N(U3501),N(U3501)+1))</f>
        <v>2</v>
      </c>
    </row>
    <row r="3503" customFormat="false" ht="15" hidden="false" customHeight="false" outlineLevel="0" collapsed="false">
      <c r="B3503" s="53"/>
      <c r="I3503" s="53"/>
      <c r="U3503" s="31" t="n">
        <f aca="false">IF($B3503&lt;&gt;'設定（最初に1回）'!$C$4,N(U3502),IF(COUNTIFS(①今日の在庫を貼る!$B$6:$B$10005,$B3503,①今日の在庫を貼る!$I$6:$I$10005,$I3503)&gt;0,N(U3502),N(U3502)+1))</f>
        <v>2</v>
      </c>
    </row>
    <row r="3504" customFormat="false" ht="15" hidden="false" customHeight="false" outlineLevel="0" collapsed="false">
      <c r="B3504" s="53"/>
      <c r="I3504" s="53"/>
      <c r="U3504" s="31" t="n">
        <f aca="false">IF($B3504&lt;&gt;'設定（最初に1回）'!$C$4,N(U3503),IF(COUNTIFS(①今日の在庫を貼る!$B$6:$B$10005,$B3504,①今日の在庫を貼る!$I$6:$I$10005,$I3504)&gt;0,N(U3503),N(U3503)+1))</f>
        <v>2</v>
      </c>
    </row>
    <row r="3505" customFormat="false" ht="15" hidden="false" customHeight="false" outlineLevel="0" collapsed="false">
      <c r="B3505" s="53"/>
      <c r="I3505" s="53"/>
      <c r="U3505" s="31" t="n">
        <f aca="false">IF($B3505&lt;&gt;'設定（最初に1回）'!$C$4,N(U3504),IF(COUNTIFS(①今日の在庫を貼る!$B$6:$B$10005,$B3505,①今日の在庫を貼る!$I$6:$I$10005,$I3505)&gt;0,N(U3504),N(U3504)+1))</f>
        <v>2</v>
      </c>
    </row>
    <row r="3506" customFormat="false" ht="15" hidden="false" customHeight="false" outlineLevel="0" collapsed="false">
      <c r="B3506" s="53"/>
      <c r="I3506" s="53"/>
      <c r="U3506" s="31" t="n">
        <f aca="false">IF($B3506&lt;&gt;'設定（最初に1回）'!$C$4,N(U3505),IF(COUNTIFS(①今日の在庫を貼る!$B$6:$B$10005,$B3506,①今日の在庫を貼る!$I$6:$I$10005,$I3506)&gt;0,N(U3505),N(U3505)+1))</f>
        <v>2</v>
      </c>
    </row>
    <row r="3507" customFormat="false" ht="15" hidden="false" customHeight="false" outlineLevel="0" collapsed="false">
      <c r="B3507" s="53"/>
      <c r="I3507" s="53"/>
      <c r="U3507" s="31" t="n">
        <f aca="false">IF($B3507&lt;&gt;'設定（最初に1回）'!$C$4,N(U3506),IF(COUNTIFS(①今日の在庫を貼る!$B$6:$B$10005,$B3507,①今日の在庫を貼る!$I$6:$I$10005,$I3507)&gt;0,N(U3506),N(U3506)+1))</f>
        <v>2</v>
      </c>
    </row>
    <row r="3508" customFormat="false" ht="15" hidden="false" customHeight="false" outlineLevel="0" collapsed="false">
      <c r="B3508" s="53"/>
      <c r="I3508" s="53"/>
      <c r="U3508" s="31" t="n">
        <f aca="false">IF($B3508&lt;&gt;'設定（最初に1回）'!$C$4,N(U3507),IF(COUNTIFS(①今日の在庫を貼る!$B$6:$B$10005,$B3508,①今日の在庫を貼る!$I$6:$I$10005,$I3508)&gt;0,N(U3507),N(U3507)+1))</f>
        <v>2</v>
      </c>
    </row>
    <row r="3509" customFormat="false" ht="15" hidden="false" customHeight="false" outlineLevel="0" collapsed="false">
      <c r="B3509" s="53"/>
      <c r="I3509" s="53"/>
      <c r="U3509" s="31" t="n">
        <f aca="false">IF($B3509&lt;&gt;'設定（最初に1回）'!$C$4,N(U3508),IF(COUNTIFS(①今日の在庫を貼る!$B$6:$B$10005,$B3509,①今日の在庫を貼る!$I$6:$I$10005,$I3509)&gt;0,N(U3508),N(U3508)+1))</f>
        <v>2</v>
      </c>
    </row>
    <row r="3510" customFormat="false" ht="15" hidden="false" customHeight="false" outlineLevel="0" collapsed="false">
      <c r="B3510" s="53"/>
      <c r="I3510" s="53"/>
      <c r="U3510" s="31" t="n">
        <f aca="false">IF($B3510&lt;&gt;'設定（最初に1回）'!$C$4,N(U3509),IF(COUNTIFS(①今日の在庫を貼る!$B$6:$B$10005,$B3510,①今日の在庫を貼る!$I$6:$I$10005,$I3510)&gt;0,N(U3509),N(U3509)+1))</f>
        <v>2</v>
      </c>
    </row>
    <row r="3511" customFormat="false" ht="15" hidden="false" customHeight="false" outlineLevel="0" collapsed="false">
      <c r="B3511" s="53"/>
      <c r="I3511" s="53"/>
      <c r="U3511" s="31" t="n">
        <f aca="false">IF($B3511&lt;&gt;'設定（最初に1回）'!$C$4,N(U3510),IF(COUNTIFS(①今日の在庫を貼る!$B$6:$B$10005,$B3511,①今日の在庫を貼る!$I$6:$I$10005,$I3511)&gt;0,N(U3510),N(U3510)+1))</f>
        <v>2</v>
      </c>
    </row>
    <row r="3512" customFormat="false" ht="15" hidden="false" customHeight="false" outlineLevel="0" collapsed="false">
      <c r="B3512" s="53"/>
      <c r="I3512" s="53"/>
      <c r="U3512" s="31" t="n">
        <f aca="false">IF($B3512&lt;&gt;'設定（最初に1回）'!$C$4,N(U3511),IF(COUNTIFS(①今日の在庫を貼る!$B$6:$B$10005,$B3512,①今日の在庫を貼る!$I$6:$I$10005,$I3512)&gt;0,N(U3511),N(U3511)+1))</f>
        <v>2</v>
      </c>
    </row>
    <row r="3513" customFormat="false" ht="15" hidden="false" customHeight="false" outlineLevel="0" collapsed="false">
      <c r="B3513" s="53"/>
      <c r="I3513" s="53"/>
      <c r="U3513" s="31" t="n">
        <f aca="false">IF($B3513&lt;&gt;'設定（最初に1回）'!$C$4,N(U3512),IF(COUNTIFS(①今日の在庫を貼る!$B$6:$B$10005,$B3513,①今日の在庫を貼る!$I$6:$I$10005,$I3513)&gt;0,N(U3512),N(U3512)+1))</f>
        <v>2</v>
      </c>
    </row>
    <row r="3514" customFormat="false" ht="15" hidden="false" customHeight="false" outlineLevel="0" collapsed="false">
      <c r="B3514" s="53"/>
      <c r="I3514" s="53"/>
      <c r="U3514" s="31" t="n">
        <f aca="false">IF($B3514&lt;&gt;'設定（最初に1回）'!$C$4,N(U3513),IF(COUNTIFS(①今日の在庫を貼る!$B$6:$B$10005,$B3514,①今日の在庫を貼る!$I$6:$I$10005,$I3514)&gt;0,N(U3513),N(U3513)+1))</f>
        <v>2</v>
      </c>
    </row>
    <row r="3515" customFormat="false" ht="15" hidden="false" customHeight="false" outlineLevel="0" collapsed="false">
      <c r="B3515" s="53"/>
      <c r="I3515" s="53"/>
      <c r="U3515" s="31" t="n">
        <f aca="false">IF($B3515&lt;&gt;'設定（最初に1回）'!$C$4,N(U3514),IF(COUNTIFS(①今日の在庫を貼る!$B$6:$B$10005,$B3515,①今日の在庫を貼る!$I$6:$I$10005,$I3515)&gt;0,N(U3514),N(U3514)+1))</f>
        <v>2</v>
      </c>
    </row>
    <row r="3516" customFormat="false" ht="15" hidden="false" customHeight="false" outlineLevel="0" collapsed="false">
      <c r="B3516" s="53"/>
      <c r="I3516" s="53"/>
      <c r="U3516" s="31" t="n">
        <f aca="false">IF($B3516&lt;&gt;'設定（最初に1回）'!$C$4,N(U3515),IF(COUNTIFS(①今日の在庫を貼る!$B$6:$B$10005,$B3516,①今日の在庫を貼る!$I$6:$I$10005,$I3516)&gt;0,N(U3515),N(U3515)+1))</f>
        <v>2</v>
      </c>
    </row>
    <row r="3517" customFormat="false" ht="15" hidden="false" customHeight="false" outlineLevel="0" collapsed="false">
      <c r="B3517" s="53"/>
      <c r="I3517" s="53"/>
      <c r="U3517" s="31" t="n">
        <f aca="false">IF($B3517&lt;&gt;'設定（最初に1回）'!$C$4,N(U3516),IF(COUNTIFS(①今日の在庫を貼る!$B$6:$B$10005,$B3517,①今日の在庫を貼る!$I$6:$I$10005,$I3517)&gt;0,N(U3516),N(U3516)+1))</f>
        <v>2</v>
      </c>
    </row>
    <row r="3518" customFormat="false" ht="15" hidden="false" customHeight="false" outlineLevel="0" collapsed="false">
      <c r="B3518" s="53"/>
      <c r="I3518" s="53"/>
      <c r="U3518" s="31" t="n">
        <f aca="false">IF($B3518&lt;&gt;'設定（最初に1回）'!$C$4,N(U3517),IF(COUNTIFS(①今日の在庫を貼る!$B$6:$B$10005,$B3518,①今日の在庫を貼る!$I$6:$I$10005,$I3518)&gt;0,N(U3517),N(U3517)+1))</f>
        <v>2</v>
      </c>
    </row>
    <row r="3519" customFormat="false" ht="15" hidden="false" customHeight="false" outlineLevel="0" collapsed="false">
      <c r="B3519" s="53"/>
      <c r="I3519" s="53"/>
      <c r="U3519" s="31" t="n">
        <f aca="false">IF($B3519&lt;&gt;'設定（最初に1回）'!$C$4,N(U3518),IF(COUNTIFS(①今日の在庫を貼る!$B$6:$B$10005,$B3519,①今日の在庫を貼る!$I$6:$I$10005,$I3519)&gt;0,N(U3518),N(U3518)+1))</f>
        <v>2</v>
      </c>
    </row>
    <row r="3520" customFormat="false" ht="15" hidden="false" customHeight="false" outlineLevel="0" collapsed="false">
      <c r="B3520" s="53"/>
      <c r="I3520" s="53"/>
      <c r="U3520" s="31" t="n">
        <f aca="false">IF($B3520&lt;&gt;'設定（最初に1回）'!$C$4,N(U3519),IF(COUNTIFS(①今日の在庫を貼る!$B$6:$B$10005,$B3520,①今日の在庫を貼る!$I$6:$I$10005,$I3520)&gt;0,N(U3519),N(U3519)+1))</f>
        <v>2</v>
      </c>
    </row>
    <row r="3521" customFormat="false" ht="15" hidden="false" customHeight="false" outlineLevel="0" collapsed="false">
      <c r="B3521" s="53"/>
      <c r="I3521" s="53"/>
      <c r="U3521" s="31" t="n">
        <f aca="false">IF($B3521&lt;&gt;'設定（最初に1回）'!$C$4,N(U3520),IF(COUNTIFS(①今日の在庫を貼る!$B$6:$B$10005,$B3521,①今日の在庫を貼る!$I$6:$I$10005,$I3521)&gt;0,N(U3520),N(U3520)+1))</f>
        <v>2</v>
      </c>
    </row>
    <row r="3522" customFormat="false" ht="15" hidden="false" customHeight="false" outlineLevel="0" collapsed="false">
      <c r="B3522" s="53"/>
      <c r="I3522" s="53"/>
      <c r="U3522" s="31" t="n">
        <f aca="false">IF($B3522&lt;&gt;'設定（最初に1回）'!$C$4,N(U3521),IF(COUNTIFS(①今日の在庫を貼る!$B$6:$B$10005,$B3522,①今日の在庫を貼る!$I$6:$I$10005,$I3522)&gt;0,N(U3521),N(U3521)+1))</f>
        <v>2</v>
      </c>
    </row>
    <row r="3523" customFormat="false" ht="15" hidden="false" customHeight="false" outlineLevel="0" collapsed="false">
      <c r="B3523" s="53"/>
      <c r="I3523" s="53"/>
      <c r="U3523" s="31" t="n">
        <f aca="false">IF($B3523&lt;&gt;'設定（最初に1回）'!$C$4,N(U3522),IF(COUNTIFS(①今日の在庫を貼る!$B$6:$B$10005,$B3523,①今日の在庫を貼る!$I$6:$I$10005,$I3523)&gt;0,N(U3522),N(U3522)+1))</f>
        <v>2</v>
      </c>
    </row>
    <row r="3524" customFormat="false" ht="15" hidden="false" customHeight="false" outlineLevel="0" collapsed="false">
      <c r="B3524" s="53"/>
      <c r="I3524" s="53"/>
      <c r="U3524" s="31" t="n">
        <f aca="false">IF($B3524&lt;&gt;'設定（最初に1回）'!$C$4,N(U3523),IF(COUNTIFS(①今日の在庫を貼る!$B$6:$B$10005,$B3524,①今日の在庫を貼る!$I$6:$I$10005,$I3524)&gt;0,N(U3523),N(U3523)+1))</f>
        <v>2</v>
      </c>
    </row>
    <row r="3525" customFormat="false" ht="15" hidden="false" customHeight="false" outlineLevel="0" collapsed="false">
      <c r="B3525" s="53"/>
      <c r="I3525" s="53"/>
      <c r="U3525" s="31" t="n">
        <f aca="false">IF($B3525&lt;&gt;'設定（最初に1回）'!$C$4,N(U3524),IF(COUNTIFS(①今日の在庫を貼る!$B$6:$B$10005,$B3525,①今日の在庫を貼る!$I$6:$I$10005,$I3525)&gt;0,N(U3524),N(U3524)+1))</f>
        <v>2</v>
      </c>
    </row>
    <row r="3526" customFormat="false" ht="15" hidden="false" customHeight="false" outlineLevel="0" collapsed="false">
      <c r="B3526" s="53"/>
      <c r="I3526" s="53"/>
      <c r="U3526" s="31" t="n">
        <f aca="false">IF($B3526&lt;&gt;'設定（最初に1回）'!$C$4,N(U3525),IF(COUNTIFS(①今日の在庫を貼る!$B$6:$B$10005,$B3526,①今日の在庫を貼る!$I$6:$I$10005,$I3526)&gt;0,N(U3525),N(U3525)+1))</f>
        <v>2</v>
      </c>
    </row>
    <row r="3527" customFormat="false" ht="15" hidden="false" customHeight="false" outlineLevel="0" collapsed="false">
      <c r="B3527" s="53"/>
      <c r="I3527" s="53"/>
      <c r="U3527" s="31" t="n">
        <f aca="false">IF($B3527&lt;&gt;'設定（最初に1回）'!$C$4,N(U3526),IF(COUNTIFS(①今日の在庫を貼る!$B$6:$B$10005,$B3527,①今日の在庫を貼る!$I$6:$I$10005,$I3527)&gt;0,N(U3526),N(U3526)+1))</f>
        <v>2</v>
      </c>
    </row>
    <row r="3528" customFormat="false" ht="15" hidden="false" customHeight="false" outlineLevel="0" collapsed="false">
      <c r="B3528" s="53"/>
      <c r="I3528" s="53"/>
      <c r="U3528" s="31" t="n">
        <f aca="false">IF($B3528&lt;&gt;'設定（最初に1回）'!$C$4,N(U3527),IF(COUNTIFS(①今日の在庫を貼る!$B$6:$B$10005,$B3528,①今日の在庫を貼る!$I$6:$I$10005,$I3528)&gt;0,N(U3527),N(U3527)+1))</f>
        <v>2</v>
      </c>
    </row>
    <row r="3529" customFormat="false" ht="15" hidden="false" customHeight="false" outlineLevel="0" collapsed="false">
      <c r="B3529" s="53"/>
      <c r="I3529" s="53"/>
      <c r="U3529" s="31" t="n">
        <f aca="false">IF($B3529&lt;&gt;'設定（最初に1回）'!$C$4,N(U3528),IF(COUNTIFS(①今日の在庫を貼る!$B$6:$B$10005,$B3529,①今日の在庫を貼る!$I$6:$I$10005,$I3529)&gt;0,N(U3528),N(U3528)+1))</f>
        <v>2</v>
      </c>
    </row>
    <row r="3530" customFormat="false" ht="15" hidden="false" customHeight="false" outlineLevel="0" collapsed="false">
      <c r="B3530" s="53"/>
      <c r="I3530" s="53"/>
      <c r="U3530" s="31" t="n">
        <f aca="false">IF($B3530&lt;&gt;'設定（最初に1回）'!$C$4,N(U3529),IF(COUNTIFS(①今日の在庫を貼る!$B$6:$B$10005,$B3530,①今日の在庫を貼る!$I$6:$I$10005,$I3530)&gt;0,N(U3529),N(U3529)+1))</f>
        <v>2</v>
      </c>
    </row>
    <row r="3531" customFormat="false" ht="15" hidden="false" customHeight="false" outlineLevel="0" collapsed="false">
      <c r="B3531" s="53"/>
      <c r="I3531" s="53"/>
      <c r="U3531" s="31" t="n">
        <f aca="false">IF($B3531&lt;&gt;'設定（最初に1回）'!$C$4,N(U3530),IF(COUNTIFS(①今日の在庫を貼る!$B$6:$B$10005,$B3531,①今日の在庫を貼る!$I$6:$I$10005,$I3531)&gt;0,N(U3530),N(U3530)+1))</f>
        <v>2</v>
      </c>
    </row>
    <row r="3532" customFormat="false" ht="15" hidden="false" customHeight="false" outlineLevel="0" collapsed="false">
      <c r="B3532" s="53"/>
      <c r="I3532" s="53"/>
      <c r="U3532" s="31" t="n">
        <f aca="false">IF($B3532&lt;&gt;'設定（最初に1回）'!$C$4,N(U3531),IF(COUNTIFS(①今日の在庫を貼る!$B$6:$B$10005,$B3532,①今日の在庫を貼る!$I$6:$I$10005,$I3532)&gt;0,N(U3531),N(U3531)+1))</f>
        <v>2</v>
      </c>
    </row>
    <row r="3533" customFormat="false" ht="15" hidden="false" customHeight="false" outlineLevel="0" collapsed="false">
      <c r="B3533" s="53"/>
      <c r="I3533" s="53"/>
      <c r="U3533" s="31" t="n">
        <f aca="false">IF($B3533&lt;&gt;'設定（最初に1回）'!$C$4,N(U3532),IF(COUNTIFS(①今日の在庫を貼る!$B$6:$B$10005,$B3533,①今日の在庫を貼る!$I$6:$I$10005,$I3533)&gt;0,N(U3532),N(U3532)+1))</f>
        <v>2</v>
      </c>
    </row>
    <row r="3534" customFormat="false" ht="15" hidden="false" customHeight="false" outlineLevel="0" collapsed="false">
      <c r="B3534" s="53"/>
      <c r="I3534" s="53"/>
      <c r="U3534" s="31" t="n">
        <f aca="false">IF($B3534&lt;&gt;'設定（最初に1回）'!$C$4,N(U3533),IF(COUNTIFS(①今日の在庫を貼る!$B$6:$B$10005,$B3534,①今日の在庫を貼る!$I$6:$I$10005,$I3534)&gt;0,N(U3533),N(U3533)+1))</f>
        <v>2</v>
      </c>
    </row>
    <row r="3535" customFormat="false" ht="15" hidden="false" customHeight="false" outlineLevel="0" collapsed="false">
      <c r="B3535" s="53"/>
      <c r="I3535" s="53"/>
      <c r="U3535" s="31" t="n">
        <f aca="false">IF($B3535&lt;&gt;'設定（最初に1回）'!$C$4,N(U3534),IF(COUNTIFS(①今日の在庫を貼る!$B$6:$B$10005,$B3535,①今日の在庫を貼る!$I$6:$I$10005,$I3535)&gt;0,N(U3534),N(U3534)+1))</f>
        <v>2</v>
      </c>
    </row>
    <row r="3536" customFormat="false" ht="15" hidden="false" customHeight="false" outlineLevel="0" collapsed="false">
      <c r="B3536" s="53"/>
      <c r="I3536" s="53"/>
      <c r="U3536" s="31" t="n">
        <f aca="false">IF($B3536&lt;&gt;'設定（最初に1回）'!$C$4,N(U3535),IF(COUNTIFS(①今日の在庫を貼る!$B$6:$B$10005,$B3536,①今日の在庫を貼る!$I$6:$I$10005,$I3536)&gt;0,N(U3535),N(U3535)+1))</f>
        <v>2</v>
      </c>
    </row>
    <row r="3537" customFormat="false" ht="15" hidden="false" customHeight="false" outlineLevel="0" collapsed="false">
      <c r="B3537" s="53"/>
      <c r="I3537" s="53"/>
      <c r="U3537" s="31" t="n">
        <f aca="false">IF($B3537&lt;&gt;'設定（最初に1回）'!$C$4,N(U3536),IF(COUNTIFS(①今日の在庫を貼る!$B$6:$B$10005,$B3537,①今日の在庫を貼る!$I$6:$I$10005,$I3537)&gt;0,N(U3536),N(U3536)+1))</f>
        <v>2</v>
      </c>
    </row>
    <row r="3538" customFormat="false" ht="15" hidden="false" customHeight="false" outlineLevel="0" collapsed="false">
      <c r="B3538" s="53"/>
      <c r="I3538" s="53"/>
      <c r="U3538" s="31" t="n">
        <f aca="false">IF($B3538&lt;&gt;'設定（最初に1回）'!$C$4,N(U3537),IF(COUNTIFS(①今日の在庫を貼る!$B$6:$B$10005,$B3538,①今日の在庫を貼る!$I$6:$I$10005,$I3538)&gt;0,N(U3537),N(U3537)+1))</f>
        <v>2</v>
      </c>
    </row>
    <row r="3539" customFormat="false" ht="15" hidden="false" customHeight="false" outlineLevel="0" collapsed="false">
      <c r="B3539" s="53"/>
      <c r="I3539" s="53"/>
      <c r="U3539" s="31" t="n">
        <f aca="false">IF($B3539&lt;&gt;'設定（最初に1回）'!$C$4,N(U3538),IF(COUNTIFS(①今日の在庫を貼る!$B$6:$B$10005,$B3539,①今日の在庫を貼る!$I$6:$I$10005,$I3539)&gt;0,N(U3538),N(U3538)+1))</f>
        <v>2</v>
      </c>
    </row>
    <row r="3540" customFormat="false" ht="15" hidden="false" customHeight="false" outlineLevel="0" collapsed="false">
      <c r="B3540" s="53"/>
      <c r="I3540" s="53"/>
      <c r="U3540" s="31" t="n">
        <f aca="false">IF($B3540&lt;&gt;'設定（最初に1回）'!$C$4,N(U3539),IF(COUNTIFS(①今日の在庫を貼る!$B$6:$B$10005,$B3540,①今日の在庫を貼る!$I$6:$I$10005,$I3540)&gt;0,N(U3539),N(U3539)+1))</f>
        <v>2</v>
      </c>
    </row>
    <row r="3541" customFormat="false" ht="15" hidden="false" customHeight="false" outlineLevel="0" collapsed="false">
      <c r="B3541" s="53"/>
      <c r="I3541" s="53"/>
      <c r="U3541" s="31" t="n">
        <f aca="false">IF($B3541&lt;&gt;'設定（最初に1回）'!$C$4,N(U3540),IF(COUNTIFS(①今日の在庫を貼る!$B$6:$B$10005,$B3541,①今日の在庫を貼る!$I$6:$I$10005,$I3541)&gt;0,N(U3540),N(U3540)+1))</f>
        <v>2</v>
      </c>
    </row>
    <row r="3542" customFormat="false" ht="15" hidden="false" customHeight="false" outlineLevel="0" collapsed="false">
      <c r="B3542" s="53"/>
      <c r="I3542" s="53"/>
      <c r="U3542" s="31" t="n">
        <f aca="false">IF($B3542&lt;&gt;'設定（最初に1回）'!$C$4,N(U3541),IF(COUNTIFS(①今日の在庫を貼る!$B$6:$B$10005,$B3542,①今日の在庫を貼る!$I$6:$I$10005,$I3542)&gt;0,N(U3541),N(U3541)+1))</f>
        <v>2</v>
      </c>
    </row>
    <row r="3543" customFormat="false" ht="15" hidden="false" customHeight="false" outlineLevel="0" collapsed="false">
      <c r="B3543" s="53"/>
      <c r="I3543" s="53"/>
      <c r="U3543" s="31" t="n">
        <f aca="false">IF($B3543&lt;&gt;'設定（最初に1回）'!$C$4,N(U3542),IF(COUNTIFS(①今日の在庫を貼る!$B$6:$B$10005,$B3543,①今日の在庫を貼る!$I$6:$I$10005,$I3543)&gt;0,N(U3542),N(U3542)+1))</f>
        <v>2</v>
      </c>
    </row>
    <row r="3544" customFormat="false" ht="15" hidden="false" customHeight="false" outlineLevel="0" collapsed="false">
      <c r="B3544" s="53"/>
      <c r="I3544" s="53"/>
      <c r="U3544" s="31" t="n">
        <f aca="false">IF($B3544&lt;&gt;'設定（最初に1回）'!$C$4,N(U3543),IF(COUNTIFS(①今日の在庫を貼る!$B$6:$B$10005,$B3544,①今日の在庫を貼る!$I$6:$I$10005,$I3544)&gt;0,N(U3543),N(U3543)+1))</f>
        <v>2</v>
      </c>
    </row>
    <row r="3545" customFormat="false" ht="15" hidden="false" customHeight="false" outlineLevel="0" collapsed="false">
      <c r="B3545" s="53"/>
      <c r="I3545" s="53"/>
      <c r="U3545" s="31" t="n">
        <f aca="false">IF($B3545&lt;&gt;'設定（最初に1回）'!$C$4,N(U3544),IF(COUNTIFS(①今日の在庫を貼る!$B$6:$B$10005,$B3545,①今日の在庫を貼る!$I$6:$I$10005,$I3545)&gt;0,N(U3544),N(U3544)+1))</f>
        <v>2</v>
      </c>
    </row>
    <row r="3546" customFormat="false" ht="15" hidden="false" customHeight="false" outlineLevel="0" collapsed="false">
      <c r="B3546" s="53"/>
      <c r="I3546" s="53"/>
      <c r="U3546" s="31" t="n">
        <f aca="false">IF($B3546&lt;&gt;'設定（最初に1回）'!$C$4,N(U3545),IF(COUNTIFS(①今日の在庫を貼る!$B$6:$B$10005,$B3546,①今日の在庫を貼る!$I$6:$I$10005,$I3546)&gt;0,N(U3545),N(U3545)+1))</f>
        <v>2</v>
      </c>
    </row>
    <row r="3547" customFormat="false" ht="15" hidden="false" customHeight="false" outlineLevel="0" collapsed="false">
      <c r="B3547" s="53"/>
      <c r="I3547" s="53"/>
      <c r="U3547" s="31" t="n">
        <f aca="false">IF($B3547&lt;&gt;'設定（最初に1回）'!$C$4,N(U3546),IF(COUNTIFS(①今日の在庫を貼る!$B$6:$B$10005,$B3547,①今日の在庫を貼る!$I$6:$I$10005,$I3547)&gt;0,N(U3546),N(U3546)+1))</f>
        <v>2</v>
      </c>
    </row>
    <row r="3548" customFormat="false" ht="15" hidden="false" customHeight="false" outlineLevel="0" collapsed="false">
      <c r="B3548" s="53"/>
      <c r="I3548" s="53"/>
      <c r="U3548" s="31" t="n">
        <f aca="false">IF($B3548&lt;&gt;'設定（最初に1回）'!$C$4,N(U3547),IF(COUNTIFS(①今日の在庫を貼る!$B$6:$B$10005,$B3548,①今日の在庫を貼る!$I$6:$I$10005,$I3548)&gt;0,N(U3547),N(U3547)+1))</f>
        <v>2</v>
      </c>
    </row>
    <row r="3549" customFormat="false" ht="15" hidden="false" customHeight="false" outlineLevel="0" collapsed="false">
      <c r="B3549" s="53"/>
      <c r="I3549" s="53"/>
      <c r="U3549" s="31" t="n">
        <f aca="false">IF($B3549&lt;&gt;'設定（最初に1回）'!$C$4,N(U3548),IF(COUNTIFS(①今日の在庫を貼る!$B$6:$B$10005,$B3549,①今日の在庫を貼る!$I$6:$I$10005,$I3549)&gt;0,N(U3548),N(U3548)+1))</f>
        <v>2</v>
      </c>
    </row>
    <row r="3550" customFormat="false" ht="15" hidden="false" customHeight="false" outlineLevel="0" collapsed="false">
      <c r="B3550" s="53"/>
      <c r="I3550" s="53"/>
      <c r="U3550" s="31" t="n">
        <f aca="false">IF($B3550&lt;&gt;'設定（最初に1回）'!$C$4,N(U3549),IF(COUNTIFS(①今日の在庫を貼る!$B$6:$B$10005,$B3550,①今日の在庫を貼る!$I$6:$I$10005,$I3550)&gt;0,N(U3549),N(U3549)+1))</f>
        <v>2</v>
      </c>
    </row>
    <row r="3551" customFormat="false" ht="15" hidden="false" customHeight="false" outlineLevel="0" collapsed="false">
      <c r="B3551" s="53"/>
      <c r="I3551" s="53"/>
      <c r="U3551" s="31" t="n">
        <f aca="false">IF($B3551&lt;&gt;'設定（最初に1回）'!$C$4,N(U3550),IF(COUNTIFS(①今日の在庫を貼る!$B$6:$B$10005,$B3551,①今日の在庫を貼る!$I$6:$I$10005,$I3551)&gt;0,N(U3550),N(U3550)+1))</f>
        <v>2</v>
      </c>
    </row>
    <row r="3552" customFormat="false" ht="15" hidden="false" customHeight="false" outlineLevel="0" collapsed="false">
      <c r="B3552" s="53"/>
      <c r="I3552" s="53"/>
      <c r="U3552" s="31" t="n">
        <f aca="false">IF($B3552&lt;&gt;'設定（最初に1回）'!$C$4,N(U3551),IF(COUNTIFS(①今日の在庫を貼る!$B$6:$B$10005,$B3552,①今日の在庫を貼る!$I$6:$I$10005,$I3552)&gt;0,N(U3551),N(U3551)+1))</f>
        <v>2</v>
      </c>
    </row>
    <row r="3553" customFormat="false" ht="15" hidden="false" customHeight="false" outlineLevel="0" collapsed="false">
      <c r="B3553" s="53"/>
      <c r="I3553" s="53"/>
      <c r="U3553" s="31" t="n">
        <f aca="false">IF($B3553&lt;&gt;'設定（最初に1回）'!$C$4,N(U3552),IF(COUNTIFS(①今日の在庫を貼る!$B$6:$B$10005,$B3553,①今日の在庫を貼る!$I$6:$I$10005,$I3553)&gt;0,N(U3552),N(U3552)+1))</f>
        <v>2</v>
      </c>
    </row>
    <row r="3554" customFormat="false" ht="15" hidden="false" customHeight="false" outlineLevel="0" collapsed="false">
      <c r="B3554" s="53"/>
      <c r="I3554" s="53"/>
      <c r="U3554" s="31" t="n">
        <f aca="false">IF($B3554&lt;&gt;'設定（最初に1回）'!$C$4,N(U3553),IF(COUNTIFS(①今日の在庫を貼る!$B$6:$B$10005,$B3554,①今日の在庫を貼る!$I$6:$I$10005,$I3554)&gt;0,N(U3553),N(U3553)+1))</f>
        <v>2</v>
      </c>
    </row>
    <row r="3555" customFormat="false" ht="15" hidden="false" customHeight="false" outlineLevel="0" collapsed="false">
      <c r="B3555" s="53"/>
      <c r="I3555" s="53"/>
      <c r="U3555" s="31" t="n">
        <f aca="false">IF($B3555&lt;&gt;'設定（最初に1回）'!$C$4,N(U3554),IF(COUNTIFS(①今日の在庫を貼る!$B$6:$B$10005,$B3555,①今日の在庫を貼る!$I$6:$I$10005,$I3555)&gt;0,N(U3554),N(U3554)+1))</f>
        <v>2</v>
      </c>
    </row>
    <row r="3556" customFormat="false" ht="15" hidden="false" customHeight="false" outlineLevel="0" collapsed="false">
      <c r="B3556" s="53"/>
      <c r="I3556" s="53"/>
      <c r="U3556" s="31" t="n">
        <f aca="false">IF($B3556&lt;&gt;'設定（最初に1回）'!$C$4,N(U3555),IF(COUNTIFS(①今日の在庫を貼る!$B$6:$B$10005,$B3556,①今日の在庫を貼る!$I$6:$I$10005,$I3556)&gt;0,N(U3555),N(U3555)+1))</f>
        <v>2</v>
      </c>
    </row>
    <row r="3557" customFormat="false" ht="15" hidden="false" customHeight="false" outlineLevel="0" collapsed="false">
      <c r="B3557" s="53"/>
      <c r="I3557" s="53"/>
      <c r="U3557" s="31" t="n">
        <f aca="false">IF($B3557&lt;&gt;'設定（最初に1回）'!$C$4,N(U3556),IF(COUNTIFS(①今日の在庫を貼る!$B$6:$B$10005,$B3557,①今日の在庫を貼る!$I$6:$I$10005,$I3557)&gt;0,N(U3556),N(U3556)+1))</f>
        <v>2</v>
      </c>
    </row>
    <row r="3558" customFormat="false" ht="15" hidden="false" customHeight="false" outlineLevel="0" collapsed="false">
      <c r="B3558" s="53"/>
      <c r="I3558" s="53"/>
      <c r="U3558" s="31" t="n">
        <f aca="false">IF($B3558&lt;&gt;'設定（最初に1回）'!$C$4,N(U3557),IF(COUNTIFS(①今日の在庫を貼る!$B$6:$B$10005,$B3558,①今日の在庫を貼る!$I$6:$I$10005,$I3558)&gt;0,N(U3557),N(U3557)+1))</f>
        <v>2</v>
      </c>
    </row>
    <row r="3559" customFormat="false" ht="15" hidden="false" customHeight="false" outlineLevel="0" collapsed="false">
      <c r="B3559" s="53"/>
      <c r="I3559" s="53"/>
      <c r="U3559" s="31" t="n">
        <f aca="false">IF($B3559&lt;&gt;'設定（最初に1回）'!$C$4,N(U3558),IF(COUNTIFS(①今日の在庫を貼る!$B$6:$B$10005,$B3559,①今日の在庫を貼る!$I$6:$I$10005,$I3559)&gt;0,N(U3558),N(U3558)+1))</f>
        <v>2</v>
      </c>
    </row>
    <row r="3560" customFormat="false" ht="15" hidden="false" customHeight="false" outlineLevel="0" collapsed="false">
      <c r="B3560" s="53"/>
      <c r="I3560" s="53"/>
      <c r="U3560" s="31" t="n">
        <f aca="false">IF($B3560&lt;&gt;'設定（最初に1回）'!$C$4,N(U3559),IF(COUNTIFS(①今日の在庫を貼る!$B$6:$B$10005,$B3560,①今日の在庫を貼る!$I$6:$I$10005,$I3560)&gt;0,N(U3559),N(U3559)+1))</f>
        <v>2</v>
      </c>
    </row>
    <row r="3561" customFormat="false" ht="15" hidden="false" customHeight="false" outlineLevel="0" collapsed="false">
      <c r="B3561" s="53"/>
      <c r="I3561" s="53"/>
      <c r="U3561" s="31" t="n">
        <f aca="false">IF($B3561&lt;&gt;'設定（最初に1回）'!$C$4,N(U3560),IF(COUNTIFS(①今日の在庫を貼る!$B$6:$B$10005,$B3561,①今日の在庫を貼る!$I$6:$I$10005,$I3561)&gt;0,N(U3560),N(U3560)+1))</f>
        <v>2</v>
      </c>
    </row>
    <row r="3562" customFormat="false" ht="15" hidden="false" customHeight="false" outlineLevel="0" collapsed="false">
      <c r="B3562" s="53"/>
      <c r="I3562" s="53"/>
      <c r="U3562" s="31" t="n">
        <f aca="false">IF($B3562&lt;&gt;'設定（最初に1回）'!$C$4,N(U3561),IF(COUNTIFS(①今日の在庫を貼る!$B$6:$B$10005,$B3562,①今日の在庫を貼る!$I$6:$I$10005,$I3562)&gt;0,N(U3561),N(U3561)+1))</f>
        <v>2</v>
      </c>
    </row>
    <row r="3563" customFormat="false" ht="15" hidden="false" customHeight="false" outlineLevel="0" collapsed="false">
      <c r="B3563" s="53"/>
      <c r="I3563" s="53"/>
      <c r="U3563" s="31" t="n">
        <f aca="false">IF($B3563&lt;&gt;'設定（最初に1回）'!$C$4,N(U3562),IF(COUNTIFS(①今日の在庫を貼る!$B$6:$B$10005,$B3563,①今日の在庫を貼る!$I$6:$I$10005,$I3563)&gt;0,N(U3562),N(U3562)+1))</f>
        <v>2</v>
      </c>
    </row>
    <row r="3564" customFormat="false" ht="15" hidden="false" customHeight="false" outlineLevel="0" collapsed="false">
      <c r="B3564" s="53"/>
      <c r="I3564" s="53"/>
      <c r="U3564" s="31" t="n">
        <f aca="false">IF($B3564&lt;&gt;'設定（最初に1回）'!$C$4,N(U3563),IF(COUNTIFS(①今日の在庫を貼る!$B$6:$B$10005,$B3564,①今日の在庫を貼る!$I$6:$I$10005,$I3564)&gt;0,N(U3563),N(U3563)+1))</f>
        <v>2</v>
      </c>
    </row>
    <row r="3565" customFormat="false" ht="15" hidden="false" customHeight="false" outlineLevel="0" collapsed="false">
      <c r="B3565" s="53"/>
      <c r="I3565" s="53"/>
      <c r="U3565" s="31" t="n">
        <f aca="false">IF($B3565&lt;&gt;'設定（最初に1回）'!$C$4,N(U3564),IF(COUNTIFS(①今日の在庫を貼る!$B$6:$B$10005,$B3565,①今日の在庫を貼る!$I$6:$I$10005,$I3565)&gt;0,N(U3564),N(U3564)+1))</f>
        <v>2</v>
      </c>
    </row>
    <row r="3566" customFormat="false" ht="15" hidden="false" customHeight="false" outlineLevel="0" collapsed="false">
      <c r="B3566" s="53"/>
      <c r="I3566" s="53"/>
      <c r="U3566" s="31" t="n">
        <f aca="false">IF($B3566&lt;&gt;'設定（最初に1回）'!$C$4,N(U3565),IF(COUNTIFS(①今日の在庫を貼る!$B$6:$B$10005,$B3566,①今日の在庫を貼る!$I$6:$I$10005,$I3566)&gt;0,N(U3565),N(U3565)+1))</f>
        <v>2</v>
      </c>
    </row>
    <row r="3567" customFormat="false" ht="15" hidden="false" customHeight="false" outlineLevel="0" collapsed="false">
      <c r="B3567" s="53"/>
      <c r="I3567" s="53"/>
      <c r="U3567" s="31" t="n">
        <f aca="false">IF($B3567&lt;&gt;'設定（最初に1回）'!$C$4,N(U3566),IF(COUNTIFS(①今日の在庫を貼る!$B$6:$B$10005,$B3567,①今日の在庫を貼る!$I$6:$I$10005,$I3567)&gt;0,N(U3566),N(U3566)+1))</f>
        <v>2</v>
      </c>
    </row>
    <row r="3568" customFormat="false" ht="15" hidden="false" customHeight="false" outlineLevel="0" collapsed="false">
      <c r="B3568" s="53"/>
      <c r="I3568" s="53"/>
      <c r="U3568" s="31" t="n">
        <f aca="false">IF($B3568&lt;&gt;'設定（最初に1回）'!$C$4,N(U3567),IF(COUNTIFS(①今日の在庫を貼る!$B$6:$B$10005,$B3568,①今日の在庫を貼る!$I$6:$I$10005,$I3568)&gt;0,N(U3567),N(U3567)+1))</f>
        <v>2</v>
      </c>
    </row>
    <row r="3569" customFormat="false" ht="15" hidden="false" customHeight="false" outlineLevel="0" collapsed="false">
      <c r="B3569" s="53"/>
      <c r="I3569" s="53"/>
      <c r="U3569" s="31" t="n">
        <f aca="false">IF($B3569&lt;&gt;'設定（最初に1回）'!$C$4,N(U3568),IF(COUNTIFS(①今日の在庫を貼る!$B$6:$B$10005,$B3569,①今日の在庫を貼る!$I$6:$I$10005,$I3569)&gt;0,N(U3568),N(U3568)+1))</f>
        <v>2</v>
      </c>
    </row>
    <row r="3570" customFormat="false" ht="15" hidden="false" customHeight="false" outlineLevel="0" collapsed="false">
      <c r="B3570" s="53"/>
      <c r="I3570" s="53"/>
      <c r="U3570" s="31" t="n">
        <f aca="false">IF($B3570&lt;&gt;'設定（最初に1回）'!$C$4,N(U3569),IF(COUNTIFS(①今日の在庫を貼る!$B$6:$B$10005,$B3570,①今日の在庫を貼る!$I$6:$I$10005,$I3570)&gt;0,N(U3569),N(U3569)+1))</f>
        <v>2</v>
      </c>
    </row>
    <row r="3571" customFormat="false" ht="15" hidden="false" customHeight="false" outlineLevel="0" collapsed="false">
      <c r="B3571" s="53"/>
      <c r="I3571" s="53"/>
      <c r="U3571" s="31" t="n">
        <f aca="false">IF($B3571&lt;&gt;'設定（最初に1回）'!$C$4,N(U3570),IF(COUNTIFS(①今日の在庫を貼る!$B$6:$B$10005,$B3571,①今日の在庫を貼る!$I$6:$I$10005,$I3571)&gt;0,N(U3570),N(U3570)+1))</f>
        <v>2</v>
      </c>
    </row>
    <row r="3572" customFormat="false" ht="15" hidden="false" customHeight="false" outlineLevel="0" collapsed="false">
      <c r="B3572" s="53"/>
      <c r="I3572" s="53"/>
      <c r="U3572" s="31" t="n">
        <f aca="false">IF($B3572&lt;&gt;'設定（最初に1回）'!$C$4,N(U3571),IF(COUNTIFS(①今日の在庫を貼る!$B$6:$B$10005,$B3572,①今日の在庫を貼る!$I$6:$I$10005,$I3572)&gt;0,N(U3571),N(U3571)+1))</f>
        <v>2</v>
      </c>
    </row>
    <row r="3573" customFormat="false" ht="15" hidden="false" customHeight="false" outlineLevel="0" collapsed="false">
      <c r="B3573" s="53"/>
      <c r="I3573" s="53"/>
      <c r="U3573" s="31" t="n">
        <f aca="false">IF($B3573&lt;&gt;'設定（最初に1回）'!$C$4,N(U3572),IF(COUNTIFS(①今日の在庫を貼る!$B$6:$B$10005,$B3573,①今日の在庫を貼る!$I$6:$I$10005,$I3573)&gt;0,N(U3572),N(U3572)+1))</f>
        <v>2</v>
      </c>
    </row>
    <row r="3574" customFormat="false" ht="15" hidden="false" customHeight="false" outlineLevel="0" collapsed="false">
      <c r="B3574" s="53"/>
      <c r="I3574" s="53"/>
      <c r="U3574" s="31" t="n">
        <f aca="false">IF($B3574&lt;&gt;'設定（最初に1回）'!$C$4,N(U3573),IF(COUNTIFS(①今日の在庫を貼る!$B$6:$B$10005,$B3574,①今日の在庫を貼る!$I$6:$I$10005,$I3574)&gt;0,N(U3573),N(U3573)+1))</f>
        <v>2</v>
      </c>
    </row>
    <row r="3575" customFormat="false" ht="15" hidden="false" customHeight="false" outlineLevel="0" collapsed="false">
      <c r="B3575" s="53"/>
      <c r="I3575" s="53"/>
      <c r="U3575" s="31" t="n">
        <f aca="false">IF($B3575&lt;&gt;'設定（最初に1回）'!$C$4,N(U3574),IF(COUNTIFS(①今日の在庫を貼る!$B$6:$B$10005,$B3575,①今日の在庫を貼る!$I$6:$I$10005,$I3575)&gt;0,N(U3574),N(U3574)+1))</f>
        <v>2</v>
      </c>
    </row>
    <row r="3576" customFormat="false" ht="15" hidden="false" customHeight="false" outlineLevel="0" collapsed="false">
      <c r="B3576" s="53"/>
      <c r="I3576" s="53"/>
      <c r="U3576" s="31" t="n">
        <f aca="false">IF($B3576&lt;&gt;'設定（最初に1回）'!$C$4,N(U3575),IF(COUNTIFS(①今日の在庫を貼る!$B$6:$B$10005,$B3576,①今日の在庫を貼る!$I$6:$I$10005,$I3576)&gt;0,N(U3575),N(U3575)+1))</f>
        <v>2</v>
      </c>
    </row>
    <row r="3577" customFormat="false" ht="15" hidden="false" customHeight="false" outlineLevel="0" collapsed="false">
      <c r="B3577" s="53"/>
      <c r="I3577" s="53"/>
      <c r="U3577" s="31" t="n">
        <f aca="false">IF($B3577&lt;&gt;'設定（最初に1回）'!$C$4,N(U3576),IF(COUNTIFS(①今日の在庫を貼る!$B$6:$B$10005,$B3577,①今日の在庫を貼る!$I$6:$I$10005,$I3577)&gt;0,N(U3576),N(U3576)+1))</f>
        <v>2</v>
      </c>
    </row>
    <row r="3578" customFormat="false" ht="15" hidden="false" customHeight="false" outlineLevel="0" collapsed="false">
      <c r="B3578" s="53"/>
      <c r="I3578" s="53"/>
      <c r="U3578" s="31" t="n">
        <f aca="false">IF($B3578&lt;&gt;'設定（最初に1回）'!$C$4,N(U3577),IF(COUNTIFS(①今日の在庫を貼る!$B$6:$B$10005,$B3578,①今日の在庫を貼る!$I$6:$I$10005,$I3578)&gt;0,N(U3577),N(U3577)+1))</f>
        <v>2</v>
      </c>
    </row>
    <row r="3579" customFormat="false" ht="15" hidden="false" customHeight="false" outlineLevel="0" collapsed="false">
      <c r="B3579" s="53"/>
      <c r="I3579" s="53"/>
      <c r="U3579" s="31" t="n">
        <f aca="false">IF($B3579&lt;&gt;'設定（最初に1回）'!$C$4,N(U3578),IF(COUNTIFS(①今日の在庫を貼る!$B$6:$B$10005,$B3579,①今日の在庫を貼る!$I$6:$I$10005,$I3579)&gt;0,N(U3578),N(U3578)+1))</f>
        <v>2</v>
      </c>
    </row>
    <row r="3580" customFormat="false" ht="15" hidden="false" customHeight="false" outlineLevel="0" collapsed="false">
      <c r="B3580" s="53"/>
      <c r="I3580" s="53"/>
      <c r="U3580" s="31" t="n">
        <f aca="false">IF($B3580&lt;&gt;'設定（最初に1回）'!$C$4,N(U3579),IF(COUNTIFS(①今日の在庫を貼る!$B$6:$B$10005,$B3580,①今日の在庫を貼る!$I$6:$I$10005,$I3580)&gt;0,N(U3579),N(U3579)+1))</f>
        <v>2</v>
      </c>
    </row>
    <row r="3581" customFormat="false" ht="15" hidden="false" customHeight="false" outlineLevel="0" collapsed="false">
      <c r="B3581" s="53"/>
      <c r="I3581" s="53"/>
      <c r="U3581" s="31" t="n">
        <f aca="false">IF($B3581&lt;&gt;'設定（最初に1回）'!$C$4,N(U3580),IF(COUNTIFS(①今日の在庫を貼る!$B$6:$B$10005,$B3581,①今日の在庫を貼る!$I$6:$I$10005,$I3581)&gt;0,N(U3580),N(U3580)+1))</f>
        <v>2</v>
      </c>
    </row>
    <row r="3582" customFormat="false" ht="15" hidden="false" customHeight="false" outlineLevel="0" collapsed="false">
      <c r="B3582" s="53"/>
      <c r="I3582" s="53"/>
      <c r="U3582" s="31" t="n">
        <f aca="false">IF($B3582&lt;&gt;'設定（最初に1回）'!$C$4,N(U3581),IF(COUNTIFS(①今日の在庫を貼る!$B$6:$B$10005,$B3582,①今日の在庫を貼る!$I$6:$I$10005,$I3582)&gt;0,N(U3581),N(U3581)+1))</f>
        <v>2</v>
      </c>
    </row>
    <row r="3583" customFormat="false" ht="15" hidden="false" customHeight="false" outlineLevel="0" collapsed="false">
      <c r="B3583" s="53"/>
      <c r="I3583" s="53"/>
      <c r="U3583" s="31" t="n">
        <f aca="false">IF($B3583&lt;&gt;'設定（最初に1回）'!$C$4,N(U3582),IF(COUNTIFS(①今日の在庫を貼る!$B$6:$B$10005,$B3583,①今日の在庫を貼る!$I$6:$I$10005,$I3583)&gt;0,N(U3582),N(U3582)+1))</f>
        <v>2</v>
      </c>
    </row>
    <row r="3584" customFormat="false" ht="15" hidden="false" customHeight="false" outlineLevel="0" collapsed="false">
      <c r="B3584" s="53"/>
      <c r="I3584" s="53"/>
      <c r="U3584" s="31" t="n">
        <f aca="false">IF($B3584&lt;&gt;'設定（最初に1回）'!$C$4,N(U3583),IF(COUNTIFS(①今日の在庫を貼る!$B$6:$B$10005,$B3584,①今日の在庫を貼る!$I$6:$I$10005,$I3584)&gt;0,N(U3583),N(U3583)+1))</f>
        <v>2</v>
      </c>
    </row>
    <row r="3585" customFormat="false" ht="15" hidden="false" customHeight="false" outlineLevel="0" collapsed="false">
      <c r="B3585" s="53"/>
      <c r="I3585" s="53"/>
      <c r="U3585" s="31" t="n">
        <f aca="false">IF($B3585&lt;&gt;'設定（最初に1回）'!$C$4,N(U3584),IF(COUNTIFS(①今日の在庫を貼る!$B$6:$B$10005,$B3585,①今日の在庫を貼る!$I$6:$I$10005,$I3585)&gt;0,N(U3584),N(U3584)+1))</f>
        <v>2</v>
      </c>
    </row>
    <row r="3586" customFormat="false" ht="15" hidden="false" customHeight="false" outlineLevel="0" collapsed="false">
      <c r="B3586" s="53"/>
      <c r="I3586" s="53"/>
      <c r="U3586" s="31" t="n">
        <f aca="false">IF($B3586&lt;&gt;'設定（最初に1回）'!$C$4,N(U3585),IF(COUNTIFS(①今日の在庫を貼る!$B$6:$B$10005,$B3586,①今日の在庫を貼る!$I$6:$I$10005,$I3586)&gt;0,N(U3585),N(U3585)+1))</f>
        <v>2</v>
      </c>
    </row>
    <row r="3587" customFormat="false" ht="15" hidden="false" customHeight="false" outlineLevel="0" collapsed="false">
      <c r="B3587" s="53"/>
      <c r="I3587" s="53"/>
      <c r="U3587" s="31" t="n">
        <f aca="false">IF($B3587&lt;&gt;'設定（最初に1回）'!$C$4,N(U3586),IF(COUNTIFS(①今日の在庫を貼る!$B$6:$B$10005,$B3587,①今日の在庫を貼る!$I$6:$I$10005,$I3587)&gt;0,N(U3586),N(U3586)+1))</f>
        <v>2</v>
      </c>
    </row>
    <row r="3588" customFormat="false" ht="15" hidden="false" customHeight="false" outlineLevel="0" collapsed="false">
      <c r="B3588" s="53"/>
      <c r="I3588" s="53"/>
      <c r="U3588" s="31" t="n">
        <f aca="false">IF($B3588&lt;&gt;'設定（最初に1回）'!$C$4,N(U3587),IF(COUNTIFS(①今日の在庫を貼る!$B$6:$B$10005,$B3588,①今日の在庫を貼る!$I$6:$I$10005,$I3588)&gt;0,N(U3587),N(U3587)+1))</f>
        <v>2</v>
      </c>
    </row>
    <row r="3589" customFormat="false" ht="15" hidden="false" customHeight="false" outlineLevel="0" collapsed="false">
      <c r="B3589" s="53"/>
      <c r="I3589" s="53"/>
      <c r="U3589" s="31" t="n">
        <f aca="false">IF($B3589&lt;&gt;'設定（最初に1回）'!$C$4,N(U3588),IF(COUNTIFS(①今日の在庫を貼る!$B$6:$B$10005,$B3589,①今日の在庫を貼る!$I$6:$I$10005,$I3589)&gt;0,N(U3588),N(U3588)+1))</f>
        <v>2</v>
      </c>
    </row>
    <row r="3590" customFormat="false" ht="15" hidden="false" customHeight="false" outlineLevel="0" collapsed="false">
      <c r="B3590" s="53"/>
      <c r="I3590" s="53"/>
      <c r="U3590" s="31" t="n">
        <f aca="false">IF($B3590&lt;&gt;'設定（最初に1回）'!$C$4,N(U3589),IF(COUNTIFS(①今日の在庫を貼る!$B$6:$B$10005,$B3590,①今日の在庫を貼る!$I$6:$I$10005,$I3590)&gt;0,N(U3589),N(U3589)+1))</f>
        <v>2</v>
      </c>
    </row>
    <row r="3591" customFormat="false" ht="15" hidden="false" customHeight="false" outlineLevel="0" collapsed="false">
      <c r="B3591" s="53"/>
      <c r="I3591" s="53"/>
      <c r="U3591" s="31" t="n">
        <f aca="false">IF($B3591&lt;&gt;'設定（最初に1回）'!$C$4,N(U3590),IF(COUNTIFS(①今日の在庫を貼る!$B$6:$B$10005,$B3591,①今日の在庫を貼る!$I$6:$I$10005,$I3591)&gt;0,N(U3590),N(U3590)+1))</f>
        <v>2</v>
      </c>
    </row>
    <row r="3592" customFormat="false" ht="15" hidden="false" customHeight="false" outlineLevel="0" collapsed="false">
      <c r="B3592" s="53"/>
      <c r="I3592" s="53"/>
      <c r="U3592" s="31" t="n">
        <f aca="false">IF($B3592&lt;&gt;'設定（最初に1回）'!$C$4,N(U3591),IF(COUNTIFS(①今日の在庫を貼る!$B$6:$B$10005,$B3592,①今日の在庫を貼る!$I$6:$I$10005,$I3592)&gt;0,N(U3591),N(U3591)+1))</f>
        <v>2</v>
      </c>
    </row>
    <row r="3593" customFormat="false" ht="15" hidden="false" customHeight="false" outlineLevel="0" collapsed="false">
      <c r="B3593" s="53"/>
      <c r="I3593" s="53"/>
      <c r="U3593" s="31" t="n">
        <f aca="false">IF($B3593&lt;&gt;'設定（最初に1回）'!$C$4,N(U3592),IF(COUNTIFS(①今日の在庫を貼る!$B$6:$B$10005,$B3593,①今日の在庫を貼る!$I$6:$I$10005,$I3593)&gt;0,N(U3592),N(U3592)+1))</f>
        <v>2</v>
      </c>
    </row>
    <row r="3594" customFormat="false" ht="15" hidden="false" customHeight="false" outlineLevel="0" collapsed="false">
      <c r="B3594" s="53"/>
      <c r="I3594" s="53"/>
      <c r="U3594" s="31" t="n">
        <f aca="false">IF($B3594&lt;&gt;'設定（最初に1回）'!$C$4,N(U3593),IF(COUNTIFS(①今日の在庫を貼る!$B$6:$B$10005,$B3594,①今日の在庫を貼る!$I$6:$I$10005,$I3594)&gt;0,N(U3593),N(U3593)+1))</f>
        <v>2</v>
      </c>
    </row>
    <row r="3595" customFormat="false" ht="15" hidden="false" customHeight="false" outlineLevel="0" collapsed="false">
      <c r="B3595" s="53"/>
      <c r="I3595" s="53"/>
      <c r="U3595" s="31" t="n">
        <f aca="false">IF($B3595&lt;&gt;'設定（最初に1回）'!$C$4,N(U3594),IF(COUNTIFS(①今日の在庫を貼る!$B$6:$B$10005,$B3595,①今日の在庫を貼る!$I$6:$I$10005,$I3595)&gt;0,N(U3594),N(U3594)+1))</f>
        <v>2</v>
      </c>
    </row>
    <row r="3596" customFormat="false" ht="15" hidden="false" customHeight="false" outlineLevel="0" collapsed="false">
      <c r="B3596" s="53"/>
      <c r="I3596" s="53"/>
      <c r="U3596" s="31" t="n">
        <f aca="false">IF($B3596&lt;&gt;'設定（最初に1回）'!$C$4,N(U3595),IF(COUNTIFS(①今日の在庫を貼る!$B$6:$B$10005,$B3596,①今日の在庫を貼る!$I$6:$I$10005,$I3596)&gt;0,N(U3595),N(U3595)+1))</f>
        <v>2</v>
      </c>
    </row>
    <row r="3597" customFormat="false" ht="15" hidden="false" customHeight="false" outlineLevel="0" collapsed="false">
      <c r="B3597" s="53"/>
      <c r="I3597" s="53"/>
      <c r="U3597" s="31" t="n">
        <f aca="false">IF($B3597&lt;&gt;'設定（最初に1回）'!$C$4,N(U3596),IF(COUNTIFS(①今日の在庫を貼る!$B$6:$B$10005,$B3597,①今日の在庫を貼る!$I$6:$I$10005,$I3597)&gt;0,N(U3596),N(U3596)+1))</f>
        <v>2</v>
      </c>
    </row>
    <row r="3598" customFormat="false" ht="15" hidden="false" customHeight="false" outlineLevel="0" collapsed="false">
      <c r="B3598" s="53"/>
      <c r="I3598" s="53"/>
      <c r="U3598" s="31" t="n">
        <f aca="false">IF($B3598&lt;&gt;'設定（最初に1回）'!$C$4,N(U3597),IF(COUNTIFS(①今日の在庫を貼る!$B$6:$B$10005,$B3598,①今日の在庫を貼る!$I$6:$I$10005,$I3598)&gt;0,N(U3597),N(U3597)+1))</f>
        <v>2</v>
      </c>
    </row>
    <row r="3599" customFormat="false" ht="15" hidden="false" customHeight="false" outlineLevel="0" collapsed="false">
      <c r="B3599" s="53"/>
      <c r="I3599" s="53"/>
      <c r="U3599" s="31" t="n">
        <f aca="false">IF($B3599&lt;&gt;'設定（最初に1回）'!$C$4,N(U3598),IF(COUNTIFS(①今日の在庫を貼る!$B$6:$B$10005,$B3599,①今日の在庫を貼る!$I$6:$I$10005,$I3599)&gt;0,N(U3598),N(U3598)+1))</f>
        <v>2</v>
      </c>
    </row>
    <row r="3600" customFormat="false" ht="15" hidden="false" customHeight="false" outlineLevel="0" collapsed="false">
      <c r="B3600" s="53"/>
      <c r="I3600" s="53"/>
      <c r="U3600" s="31" t="n">
        <f aca="false">IF($B3600&lt;&gt;'設定（最初に1回）'!$C$4,N(U3599),IF(COUNTIFS(①今日の在庫を貼る!$B$6:$B$10005,$B3600,①今日の在庫を貼る!$I$6:$I$10005,$I3600)&gt;0,N(U3599),N(U3599)+1))</f>
        <v>2</v>
      </c>
    </row>
    <row r="3601" customFormat="false" ht="15" hidden="false" customHeight="false" outlineLevel="0" collapsed="false">
      <c r="B3601" s="53"/>
      <c r="I3601" s="53"/>
      <c r="U3601" s="31" t="n">
        <f aca="false">IF($B3601&lt;&gt;'設定（最初に1回）'!$C$4,N(U3600),IF(COUNTIFS(①今日の在庫を貼る!$B$6:$B$10005,$B3601,①今日の在庫を貼る!$I$6:$I$10005,$I3601)&gt;0,N(U3600),N(U3600)+1))</f>
        <v>2</v>
      </c>
    </row>
    <row r="3602" customFormat="false" ht="15" hidden="false" customHeight="false" outlineLevel="0" collapsed="false">
      <c r="B3602" s="53"/>
      <c r="I3602" s="53"/>
      <c r="U3602" s="31" t="n">
        <f aca="false">IF($B3602&lt;&gt;'設定（最初に1回）'!$C$4,N(U3601),IF(COUNTIFS(①今日の在庫を貼る!$B$6:$B$10005,$B3602,①今日の在庫を貼る!$I$6:$I$10005,$I3602)&gt;0,N(U3601),N(U3601)+1))</f>
        <v>2</v>
      </c>
    </row>
    <row r="3603" customFormat="false" ht="15" hidden="false" customHeight="false" outlineLevel="0" collapsed="false">
      <c r="B3603" s="53"/>
      <c r="I3603" s="53"/>
      <c r="U3603" s="31" t="n">
        <f aca="false">IF($B3603&lt;&gt;'設定（最初に1回）'!$C$4,N(U3602),IF(COUNTIFS(①今日の在庫を貼る!$B$6:$B$10005,$B3603,①今日の在庫を貼る!$I$6:$I$10005,$I3603)&gt;0,N(U3602),N(U3602)+1))</f>
        <v>2</v>
      </c>
    </row>
    <row r="3604" customFormat="false" ht="15" hidden="false" customHeight="false" outlineLevel="0" collapsed="false">
      <c r="B3604" s="53"/>
      <c r="I3604" s="53"/>
      <c r="U3604" s="31" t="n">
        <f aca="false">IF($B3604&lt;&gt;'設定（最初に1回）'!$C$4,N(U3603),IF(COUNTIFS(①今日の在庫を貼る!$B$6:$B$10005,$B3604,①今日の在庫を貼る!$I$6:$I$10005,$I3604)&gt;0,N(U3603),N(U3603)+1))</f>
        <v>2</v>
      </c>
    </row>
    <row r="3605" customFormat="false" ht="15" hidden="false" customHeight="false" outlineLevel="0" collapsed="false">
      <c r="B3605" s="53"/>
      <c r="I3605" s="53"/>
      <c r="U3605" s="31" t="n">
        <f aca="false">IF($B3605&lt;&gt;'設定（最初に1回）'!$C$4,N(U3604),IF(COUNTIFS(①今日の在庫を貼る!$B$6:$B$10005,$B3605,①今日の在庫を貼る!$I$6:$I$10005,$I3605)&gt;0,N(U3604),N(U3604)+1))</f>
        <v>2</v>
      </c>
    </row>
    <row r="3606" customFormat="false" ht="15" hidden="false" customHeight="false" outlineLevel="0" collapsed="false">
      <c r="B3606" s="53"/>
      <c r="I3606" s="53"/>
      <c r="U3606" s="31" t="n">
        <f aca="false">IF($B3606&lt;&gt;'設定（最初に1回）'!$C$4,N(U3605),IF(COUNTIFS(①今日の在庫を貼る!$B$6:$B$10005,$B3606,①今日の在庫を貼る!$I$6:$I$10005,$I3606)&gt;0,N(U3605),N(U3605)+1))</f>
        <v>2</v>
      </c>
    </row>
    <row r="3607" customFormat="false" ht="15" hidden="false" customHeight="false" outlineLevel="0" collapsed="false">
      <c r="B3607" s="53"/>
      <c r="I3607" s="53"/>
      <c r="U3607" s="31" t="n">
        <f aca="false">IF($B3607&lt;&gt;'設定（最初に1回）'!$C$4,N(U3606),IF(COUNTIFS(①今日の在庫を貼る!$B$6:$B$10005,$B3607,①今日の在庫を貼る!$I$6:$I$10005,$I3607)&gt;0,N(U3606),N(U3606)+1))</f>
        <v>2</v>
      </c>
    </row>
    <row r="3608" customFormat="false" ht="15" hidden="false" customHeight="false" outlineLevel="0" collapsed="false">
      <c r="B3608" s="53"/>
      <c r="I3608" s="53"/>
      <c r="U3608" s="31" t="n">
        <f aca="false">IF($B3608&lt;&gt;'設定（最初に1回）'!$C$4,N(U3607),IF(COUNTIFS(①今日の在庫を貼る!$B$6:$B$10005,$B3608,①今日の在庫を貼る!$I$6:$I$10005,$I3608)&gt;0,N(U3607),N(U3607)+1))</f>
        <v>2</v>
      </c>
    </row>
    <row r="3609" customFormat="false" ht="15" hidden="false" customHeight="false" outlineLevel="0" collapsed="false">
      <c r="B3609" s="53"/>
      <c r="I3609" s="53"/>
      <c r="U3609" s="31" t="n">
        <f aca="false">IF($B3609&lt;&gt;'設定（最初に1回）'!$C$4,N(U3608),IF(COUNTIFS(①今日の在庫を貼る!$B$6:$B$10005,$B3609,①今日の在庫を貼る!$I$6:$I$10005,$I3609)&gt;0,N(U3608),N(U3608)+1))</f>
        <v>2</v>
      </c>
    </row>
    <row r="3610" customFormat="false" ht="15" hidden="false" customHeight="false" outlineLevel="0" collapsed="false">
      <c r="B3610" s="53"/>
      <c r="I3610" s="53"/>
      <c r="U3610" s="31" t="n">
        <f aca="false">IF($B3610&lt;&gt;'設定（最初に1回）'!$C$4,N(U3609),IF(COUNTIFS(①今日の在庫を貼る!$B$6:$B$10005,$B3610,①今日の在庫を貼る!$I$6:$I$10005,$I3610)&gt;0,N(U3609),N(U3609)+1))</f>
        <v>2</v>
      </c>
    </row>
    <row r="3611" customFormat="false" ht="15" hidden="false" customHeight="false" outlineLevel="0" collapsed="false">
      <c r="B3611" s="53"/>
      <c r="I3611" s="53"/>
      <c r="U3611" s="31" t="n">
        <f aca="false">IF($B3611&lt;&gt;'設定（最初に1回）'!$C$4,N(U3610),IF(COUNTIFS(①今日の在庫を貼る!$B$6:$B$10005,$B3611,①今日の在庫を貼る!$I$6:$I$10005,$I3611)&gt;0,N(U3610),N(U3610)+1))</f>
        <v>2</v>
      </c>
    </row>
    <row r="3612" customFormat="false" ht="15" hidden="false" customHeight="false" outlineLevel="0" collapsed="false">
      <c r="B3612" s="53"/>
      <c r="I3612" s="53"/>
      <c r="U3612" s="31" t="n">
        <f aca="false">IF($B3612&lt;&gt;'設定（最初に1回）'!$C$4,N(U3611),IF(COUNTIFS(①今日の在庫を貼る!$B$6:$B$10005,$B3612,①今日の在庫を貼る!$I$6:$I$10005,$I3612)&gt;0,N(U3611),N(U3611)+1))</f>
        <v>2</v>
      </c>
    </row>
    <row r="3613" customFormat="false" ht="15" hidden="false" customHeight="false" outlineLevel="0" collapsed="false">
      <c r="B3613" s="53"/>
      <c r="I3613" s="53"/>
      <c r="U3613" s="31" t="n">
        <f aca="false">IF($B3613&lt;&gt;'設定（最初に1回）'!$C$4,N(U3612),IF(COUNTIFS(①今日の在庫を貼る!$B$6:$B$10005,$B3613,①今日の在庫を貼る!$I$6:$I$10005,$I3613)&gt;0,N(U3612),N(U3612)+1))</f>
        <v>2</v>
      </c>
    </row>
    <row r="3614" customFormat="false" ht="15" hidden="false" customHeight="false" outlineLevel="0" collapsed="false">
      <c r="B3614" s="53"/>
      <c r="I3614" s="53"/>
      <c r="U3614" s="31" t="n">
        <f aca="false">IF($B3614&lt;&gt;'設定（最初に1回）'!$C$4,N(U3613),IF(COUNTIFS(①今日の在庫を貼る!$B$6:$B$10005,$B3614,①今日の在庫を貼る!$I$6:$I$10005,$I3614)&gt;0,N(U3613),N(U3613)+1))</f>
        <v>2</v>
      </c>
    </row>
    <row r="3615" customFormat="false" ht="15" hidden="false" customHeight="false" outlineLevel="0" collapsed="false">
      <c r="B3615" s="53"/>
      <c r="I3615" s="53"/>
      <c r="U3615" s="31" t="n">
        <f aca="false">IF($B3615&lt;&gt;'設定（最初に1回）'!$C$4,N(U3614),IF(COUNTIFS(①今日の在庫を貼る!$B$6:$B$10005,$B3615,①今日の在庫を貼る!$I$6:$I$10005,$I3615)&gt;0,N(U3614),N(U3614)+1))</f>
        <v>2</v>
      </c>
    </row>
    <row r="3616" customFormat="false" ht="15" hidden="false" customHeight="false" outlineLevel="0" collapsed="false">
      <c r="B3616" s="53"/>
      <c r="I3616" s="53"/>
      <c r="U3616" s="31" t="n">
        <f aca="false">IF($B3616&lt;&gt;'設定（最初に1回）'!$C$4,N(U3615),IF(COUNTIFS(①今日の在庫を貼る!$B$6:$B$10005,$B3616,①今日の在庫を貼る!$I$6:$I$10005,$I3616)&gt;0,N(U3615),N(U3615)+1))</f>
        <v>2</v>
      </c>
    </row>
    <row r="3617" customFormat="false" ht="15" hidden="false" customHeight="false" outlineLevel="0" collapsed="false">
      <c r="B3617" s="53"/>
      <c r="I3617" s="53"/>
      <c r="U3617" s="31" t="n">
        <f aca="false">IF($B3617&lt;&gt;'設定（最初に1回）'!$C$4,N(U3616),IF(COUNTIFS(①今日の在庫を貼る!$B$6:$B$10005,$B3617,①今日の在庫を貼る!$I$6:$I$10005,$I3617)&gt;0,N(U3616),N(U3616)+1))</f>
        <v>2</v>
      </c>
    </row>
    <row r="3618" customFormat="false" ht="15" hidden="false" customHeight="false" outlineLevel="0" collapsed="false">
      <c r="B3618" s="53"/>
      <c r="I3618" s="53"/>
      <c r="U3618" s="31" t="n">
        <f aca="false">IF($B3618&lt;&gt;'設定（最初に1回）'!$C$4,N(U3617),IF(COUNTIFS(①今日の在庫を貼る!$B$6:$B$10005,$B3618,①今日の在庫を貼る!$I$6:$I$10005,$I3618)&gt;0,N(U3617),N(U3617)+1))</f>
        <v>2</v>
      </c>
    </row>
    <row r="3619" customFormat="false" ht="15" hidden="false" customHeight="false" outlineLevel="0" collapsed="false">
      <c r="B3619" s="53"/>
      <c r="I3619" s="53"/>
      <c r="U3619" s="31" t="n">
        <f aca="false">IF($B3619&lt;&gt;'設定（最初に1回）'!$C$4,N(U3618),IF(COUNTIFS(①今日の在庫を貼る!$B$6:$B$10005,$B3619,①今日の在庫を貼る!$I$6:$I$10005,$I3619)&gt;0,N(U3618),N(U3618)+1))</f>
        <v>2</v>
      </c>
    </row>
    <row r="3620" customFormat="false" ht="15" hidden="false" customHeight="false" outlineLevel="0" collapsed="false">
      <c r="B3620" s="53"/>
      <c r="I3620" s="53"/>
      <c r="U3620" s="31" t="n">
        <f aca="false">IF($B3620&lt;&gt;'設定（最初に1回）'!$C$4,N(U3619),IF(COUNTIFS(①今日の在庫を貼る!$B$6:$B$10005,$B3620,①今日の在庫を貼る!$I$6:$I$10005,$I3620)&gt;0,N(U3619),N(U3619)+1))</f>
        <v>2</v>
      </c>
    </row>
    <row r="3621" customFormat="false" ht="15" hidden="false" customHeight="false" outlineLevel="0" collapsed="false">
      <c r="B3621" s="53"/>
      <c r="I3621" s="53"/>
      <c r="U3621" s="31" t="n">
        <f aca="false">IF($B3621&lt;&gt;'設定（最初に1回）'!$C$4,N(U3620),IF(COUNTIFS(①今日の在庫を貼る!$B$6:$B$10005,$B3621,①今日の在庫を貼る!$I$6:$I$10005,$I3621)&gt;0,N(U3620),N(U3620)+1))</f>
        <v>2</v>
      </c>
    </row>
    <row r="3622" customFormat="false" ht="15" hidden="false" customHeight="false" outlineLevel="0" collapsed="false">
      <c r="B3622" s="53"/>
      <c r="I3622" s="53"/>
      <c r="U3622" s="31" t="n">
        <f aca="false">IF($B3622&lt;&gt;'設定（最初に1回）'!$C$4,N(U3621),IF(COUNTIFS(①今日の在庫を貼る!$B$6:$B$10005,$B3622,①今日の在庫を貼る!$I$6:$I$10005,$I3622)&gt;0,N(U3621),N(U3621)+1))</f>
        <v>2</v>
      </c>
    </row>
    <row r="3623" customFormat="false" ht="15" hidden="false" customHeight="false" outlineLevel="0" collapsed="false">
      <c r="B3623" s="53"/>
      <c r="I3623" s="53"/>
      <c r="U3623" s="31" t="n">
        <f aca="false">IF($B3623&lt;&gt;'設定（最初に1回）'!$C$4,N(U3622),IF(COUNTIFS(①今日の在庫を貼る!$B$6:$B$10005,$B3623,①今日の在庫を貼る!$I$6:$I$10005,$I3623)&gt;0,N(U3622),N(U3622)+1))</f>
        <v>2</v>
      </c>
    </row>
    <row r="3624" customFormat="false" ht="15" hidden="false" customHeight="false" outlineLevel="0" collapsed="false">
      <c r="B3624" s="53"/>
      <c r="I3624" s="53"/>
      <c r="U3624" s="31" t="n">
        <f aca="false">IF($B3624&lt;&gt;'設定（最初に1回）'!$C$4,N(U3623),IF(COUNTIFS(①今日の在庫を貼る!$B$6:$B$10005,$B3624,①今日の在庫を貼る!$I$6:$I$10005,$I3624)&gt;0,N(U3623),N(U3623)+1))</f>
        <v>2</v>
      </c>
    </row>
    <row r="3625" customFormat="false" ht="15" hidden="false" customHeight="false" outlineLevel="0" collapsed="false">
      <c r="B3625" s="53"/>
      <c r="I3625" s="53"/>
      <c r="U3625" s="31" t="n">
        <f aca="false">IF($B3625&lt;&gt;'設定（最初に1回）'!$C$4,N(U3624),IF(COUNTIFS(①今日の在庫を貼る!$B$6:$B$10005,$B3625,①今日の在庫を貼る!$I$6:$I$10005,$I3625)&gt;0,N(U3624),N(U3624)+1))</f>
        <v>2</v>
      </c>
    </row>
    <row r="3626" customFormat="false" ht="15" hidden="false" customHeight="false" outlineLevel="0" collapsed="false">
      <c r="B3626" s="53"/>
      <c r="I3626" s="53"/>
      <c r="U3626" s="31" t="n">
        <f aca="false">IF($B3626&lt;&gt;'設定（最初に1回）'!$C$4,N(U3625),IF(COUNTIFS(①今日の在庫を貼る!$B$6:$B$10005,$B3626,①今日の在庫を貼る!$I$6:$I$10005,$I3626)&gt;0,N(U3625),N(U3625)+1))</f>
        <v>2</v>
      </c>
    </row>
    <row r="3627" customFormat="false" ht="15" hidden="false" customHeight="false" outlineLevel="0" collapsed="false">
      <c r="B3627" s="53"/>
      <c r="I3627" s="53"/>
      <c r="U3627" s="31" t="n">
        <f aca="false">IF($B3627&lt;&gt;'設定（最初に1回）'!$C$4,N(U3626),IF(COUNTIFS(①今日の在庫を貼る!$B$6:$B$10005,$B3627,①今日の在庫を貼る!$I$6:$I$10005,$I3627)&gt;0,N(U3626),N(U3626)+1))</f>
        <v>2</v>
      </c>
    </row>
    <row r="3628" customFormat="false" ht="15" hidden="false" customHeight="false" outlineLevel="0" collapsed="false">
      <c r="B3628" s="53"/>
      <c r="I3628" s="53"/>
      <c r="U3628" s="31" t="n">
        <f aca="false">IF($B3628&lt;&gt;'設定（最初に1回）'!$C$4,N(U3627),IF(COUNTIFS(①今日の在庫を貼る!$B$6:$B$10005,$B3628,①今日の在庫を貼る!$I$6:$I$10005,$I3628)&gt;0,N(U3627),N(U3627)+1))</f>
        <v>2</v>
      </c>
    </row>
    <row r="3629" customFormat="false" ht="15" hidden="false" customHeight="false" outlineLevel="0" collapsed="false">
      <c r="B3629" s="53"/>
      <c r="I3629" s="53"/>
      <c r="U3629" s="31" t="n">
        <f aca="false">IF($B3629&lt;&gt;'設定（最初に1回）'!$C$4,N(U3628),IF(COUNTIFS(①今日の在庫を貼る!$B$6:$B$10005,$B3629,①今日の在庫を貼る!$I$6:$I$10005,$I3629)&gt;0,N(U3628),N(U3628)+1))</f>
        <v>2</v>
      </c>
    </row>
    <row r="3630" customFormat="false" ht="15" hidden="false" customHeight="false" outlineLevel="0" collapsed="false">
      <c r="B3630" s="53"/>
      <c r="I3630" s="53"/>
      <c r="U3630" s="31" t="n">
        <f aca="false">IF($B3630&lt;&gt;'設定（最初に1回）'!$C$4,N(U3629),IF(COUNTIFS(①今日の在庫を貼る!$B$6:$B$10005,$B3630,①今日の在庫を貼る!$I$6:$I$10005,$I3630)&gt;0,N(U3629),N(U3629)+1))</f>
        <v>2</v>
      </c>
    </row>
    <row r="3631" customFormat="false" ht="15" hidden="false" customHeight="false" outlineLevel="0" collapsed="false">
      <c r="B3631" s="53"/>
      <c r="I3631" s="53"/>
      <c r="U3631" s="31" t="n">
        <f aca="false">IF($B3631&lt;&gt;'設定（最初に1回）'!$C$4,N(U3630),IF(COUNTIFS(①今日の在庫を貼る!$B$6:$B$10005,$B3631,①今日の在庫を貼る!$I$6:$I$10005,$I3631)&gt;0,N(U3630),N(U3630)+1))</f>
        <v>2</v>
      </c>
    </row>
    <row r="3632" customFormat="false" ht="15" hidden="false" customHeight="false" outlineLevel="0" collapsed="false">
      <c r="B3632" s="53"/>
      <c r="I3632" s="53"/>
      <c r="U3632" s="31" t="n">
        <f aca="false">IF($B3632&lt;&gt;'設定（最初に1回）'!$C$4,N(U3631),IF(COUNTIFS(①今日の在庫を貼る!$B$6:$B$10005,$B3632,①今日の在庫を貼る!$I$6:$I$10005,$I3632)&gt;0,N(U3631),N(U3631)+1))</f>
        <v>2</v>
      </c>
    </row>
    <row r="3633" customFormat="false" ht="15" hidden="false" customHeight="false" outlineLevel="0" collapsed="false">
      <c r="B3633" s="53"/>
      <c r="I3633" s="53"/>
      <c r="U3633" s="31" t="n">
        <f aca="false">IF($B3633&lt;&gt;'設定（最初に1回）'!$C$4,N(U3632),IF(COUNTIFS(①今日の在庫を貼る!$B$6:$B$10005,$B3633,①今日の在庫を貼る!$I$6:$I$10005,$I3633)&gt;0,N(U3632),N(U3632)+1))</f>
        <v>2</v>
      </c>
    </row>
    <row r="3634" customFormat="false" ht="15" hidden="false" customHeight="false" outlineLevel="0" collapsed="false">
      <c r="B3634" s="53"/>
      <c r="I3634" s="53"/>
      <c r="U3634" s="31" t="n">
        <f aca="false">IF($B3634&lt;&gt;'設定（最初に1回）'!$C$4,N(U3633),IF(COUNTIFS(①今日の在庫を貼る!$B$6:$B$10005,$B3634,①今日の在庫を貼る!$I$6:$I$10005,$I3634)&gt;0,N(U3633),N(U3633)+1))</f>
        <v>2</v>
      </c>
    </row>
    <row r="3635" customFormat="false" ht="15" hidden="false" customHeight="false" outlineLevel="0" collapsed="false">
      <c r="B3635" s="53"/>
      <c r="I3635" s="53"/>
      <c r="U3635" s="31" t="n">
        <f aca="false">IF($B3635&lt;&gt;'設定（最初に1回）'!$C$4,N(U3634),IF(COUNTIFS(①今日の在庫を貼る!$B$6:$B$10005,$B3635,①今日の在庫を貼る!$I$6:$I$10005,$I3635)&gt;0,N(U3634),N(U3634)+1))</f>
        <v>2</v>
      </c>
    </row>
    <row r="3636" customFormat="false" ht="15" hidden="false" customHeight="false" outlineLevel="0" collapsed="false">
      <c r="B3636" s="53"/>
      <c r="I3636" s="53"/>
      <c r="U3636" s="31" t="n">
        <f aca="false">IF($B3636&lt;&gt;'設定（最初に1回）'!$C$4,N(U3635),IF(COUNTIFS(①今日の在庫を貼る!$B$6:$B$10005,$B3636,①今日の在庫を貼る!$I$6:$I$10005,$I3636)&gt;0,N(U3635),N(U3635)+1))</f>
        <v>2</v>
      </c>
    </row>
    <row r="3637" customFormat="false" ht="15" hidden="false" customHeight="false" outlineLevel="0" collapsed="false">
      <c r="B3637" s="53"/>
      <c r="I3637" s="53"/>
      <c r="U3637" s="31" t="n">
        <f aca="false">IF($B3637&lt;&gt;'設定（最初に1回）'!$C$4,N(U3636),IF(COUNTIFS(①今日の在庫を貼る!$B$6:$B$10005,$B3637,①今日の在庫を貼る!$I$6:$I$10005,$I3637)&gt;0,N(U3636),N(U3636)+1))</f>
        <v>2</v>
      </c>
    </row>
    <row r="3638" customFormat="false" ht="15" hidden="false" customHeight="false" outlineLevel="0" collapsed="false">
      <c r="B3638" s="53"/>
      <c r="I3638" s="53"/>
      <c r="U3638" s="31" t="n">
        <f aca="false">IF($B3638&lt;&gt;'設定（最初に1回）'!$C$4,N(U3637),IF(COUNTIFS(①今日の在庫を貼る!$B$6:$B$10005,$B3638,①今日の在庫を貼る!$I$6:$I$10005,$I3638)&gt;0,N(U3637),N(U3637)+1))</f>
        <v>2</v>
      </c>
    </row>
    <row r="3639" customFormat="false" ht="15" hidden="false" customHeight="false" outlineLevel="0" collapsed="false">
      <c r="B3639" s="53"/>
      <c r="I3639" s="53"/>
      <c r="U3639" s="31" t="n">
        <f aca="false">IF($B3639&lt;&gt;'設定（最初に1回）'!$C$4,N(U3638),IF(COUNTIFS(①今日の在庫を貼る!$B$6:$B$10005,$B3639,①今日の在庫を貼る!$I$6:$I$10005,$I3639)&gt;0,N(U3638),N(U3638)+1))</f>
        <v>2</v>
      </c>
    </row>
    <row r="3640" customFormat="false" ht="15" hidden="false" customHeight="false" outlineLevel="0" collapsed="false">
      <c r="B3640" s="53"/>
      <c r="I3640" s="53"/>
      <c r="U3640" s="31" t="n">
        <f aca="false">IF($B3640&lt;&gt;'設定（最初に1回）'!$C$4,N(U3639),IF(COUNTIFS(①今日の在庫を貼る!$B$6:$B$10005,$B3640,①今日の在庫を貼る!$I$6:$I$10005,$I3640)&gt;0,N(U3639),N(U3639)+1))</f>
        <v>2</v>
      </c>
    </row>
    <row r="3641" customFormat="false" ht="15" hidden="false" customHeight="false" outlineLevel="0" collapsed="false">
      <c r="B3641" s="53"/>
      <c r="I3641" s="53"/>
      <c r="U3641" s="31" t="n">
        <f aca="false">IF($B3641&lt;&gt;'設定（最初に1回）'!$C$4,N(U3640),IF(COUNTIFS(①今日の在庫を貼る!$B$6:$B$10005,$B3641,①今日の在庫を貼る!$I$6:$I$10005,$I3641)&gt;0,N(U3640),N(U3640)+1))</f>
        <v>2</v>
      </c>
    </row>
    <row r="3642" customFormat="false" ht="15" hidden="false" customHeight="false" outlineLevel="0" collapsed="false">
      <c r="B3642" s="53"/>
      <c r="I3642" s="53"/>
      <c r="U3642" s="31" t="n">
        <f aca="false">IF($B3642&lt;&gt;'設定（最初に1回）'!$C$4,N(U3641),IF(COUNTIFS(①今日の在庫を貼る!$B$6:$B$10005,$B3642,①今日の在庫を貼る!$I$6:$I$10005,$I3642)&gt;0,N(U3641),N(U3641)+1))</f>
        <v>2</v>
      </c>
    </row>
    <row r="3643" customFormat="false" ht="15" hidden="false" customHeight="false" outlineLevel="0" collapsed="false">
      <c r="B3643" s="53"/>
      <c r="I3643" s="53"/>
      <c r="U3643" s="31" t="n">
        <f aca="false">IF($B3643&lt;&gt;'設定（最初に1回）'!$C$4,N(U3642),IF(COUNTIFS(①今日の在庫を貼る!$B$6:$B$10005,$B3643,①今日の在庫を貼る!$I$6:$I$10005,$I3643)&gt;0,N(U3642),N(U3642)+1))</f>
        <v>2</v>
      </c>
    </row>
    <row r="3644" customFormat="false" ht="15" hidden="false" customHeight="false" outlineLevel="0" collapsed="false">
      <c r="B3644" s="53"/>
      <c r="I3644" s="53"/>
      <c r="U3644" s="31" t="n">
        <f aca="false">IF($B3644&lt;&gt;'設定（最初に1回）'!$C$4,N(U3643),IF(COUNTIFS(①今日の在庫を貼る!$B$6:$B$10005,$B3644,①今日の在庫を貼る!$I$6:$I$10005,$I3644)&gt;0,N(U3643),N(U3643)+1))</f>
        <v>2</v>
      </c>
    </row>
    <row r="3645" customFormat="false" ht="15" hidden="false" customHeight="false" outlineLevel="0" collapsed="false">
      <c r="B3645" s="53"/>
      <c r="I3645" s="53"/>
      <c r="U3645" s="31" t="n">
        <f aca="false">IF($B3645&lt;&gt;'設定（最初に1回）'!$C$4,N(U3644),IF(COUNTIFS(①今日の在庫を貼る!$B$6:$B$10005,$B3645,①今日の在庫を貼る!$I$6:$I$10005,$I3645)&gt;0,N(U3644),N(U3644)+1))</f>
        <v>2</v>
      </c>
    </row>
    <row r="3646" customFormat="false" ht="15" hidden="false" customHeight="false" outlineLevel="0" collapsed="false">
      <c r="B3646" s="53"/>
      <c r="I3646" s="53"/>
      <c r="U3646" s="31" t="n">
        <f aca="false">IF($B3646&lt;&gt;'設定（最初に1回）'!$C$4,N(U3645),IF(COUNTIFS(①今日の在庫を貼る!$B$6:$B$10005,$B3646,①今日の在庫を貼る!$I$6:$I$10005,$I3646)&gt;0,N(U3645),N(U3645)+1))</f>
        <v>2</v>
      </c>
    </row>
    <row r="3647" customFormat="false" ht="15" hidden="false" customHeight="false" outlineLevel="0" collapsed="false">
      <c r="B3647" s="53"/>
      <c r="I3647" s="53"/>
      <c r="U3647" s="31" t="n">
        <f aca="false">IF($B3647&lt;&gt;'設定（最初に1回）'!$C$4,N(U3646),IF(COUNTIFS(①今日の在庫を貼る!$B$6:$B$10005,$B3647,①今日の在庫を貼る!$I$6:$I$10005,$I3647)&gt;0,N(U3646),N(U3646)+1))</f>
        <v>2</v>
      </c>
    </row>
    <row r="3648" customFormat="false" ht="15" hidden="false" customHeight="false" outlineLevel="0" collapsed="false">
      <c r="B3648" s="53"/>
      <c r="I3648" s="53"/>
      <c r="U3648" s="31" t="n">
        <f aca="false">IF($B3648&lt;&gt;'設定（最初に1回）'!$C$4,N(U3647),IF(COUNTIFS(①今日の在庫を貼る!$B$6:$B$10005,$B3648,①今日の在庫を貼る!$I$6:$I$10005,$I3648)&gt;0,N(U3647),N(U3647)+1))</f>
        <v>2</v>
      </c>
    </row>
    <row r="3649" customFormat="false" ht="15" hidden="false" customHeight="false" outlineLevel="0" collapsed="false">
      <c r="B3649" s="53"/>
      <c r="I3649" s="53"/>
      <c r="U3649" s="31" t="n">
        <f aca="false">IF($B3649&lt;&gt;'設定（最初に1回）'!$C$4,N(U3648),IF(COUNTIFS(①今日の在庫を貼る!$B$6:$B$10005,$B3649,①今日の在庫を貼る!$I$6:$I$10005,$I3649)&gt;0,N(U3648),N(U3648)+1))</f>
        <v>2</v>
      </c>
    </row>
    <row r="3650" customFormat="false" ht="15" hidden="false" customHeight="false" outlineLevel="0" collapsed="false">
      <c r="B3650" s="53"/>
      <c r="I3650" s="53"/>
      <c r="U3650" s="31" t="n">
        <f aca="false">IF($B3650&lt;&gt;'設定（最初に1回）'!$C$4,N(U3649),IF(COUNTIFS(①今日の在庫を貼る!$B$6:$B$10005,$B3650,①今日の在庫を貼る!$I$6:$I$10005,$I3650)&gt;0,N(U3649),N(U3649)+1))</f>
        <v>2</v>
      </c>
    </row>
    <row r="3651" customFormat="false" ht="15" hidden="false" customHeight="false" outlineLevel="0" collapsed="false">
      <c r="B3651" s="53"/>
      <c r="I3651" s="53"/>
      <c r="U3651" s="31" t="n">
        <f aca="false">IF($B3651&lt;&gt;'設定（最初に1回）'!$C$4,N(U3650),IF(COUNTIFS(①今日の在庫を貼る!$B$6:$B$10005,$B3651,①今日の在庫を貼る!$I$6:$I$10005,$I3651)&gt;0,N(U3650),N(U3650)+1))</f>
        <v>2</v>
      </c>
    </row>
    <row r="3652" customFormat="false" ht="15" hidden="false" customHeight="false" outlineLevel="0" collapsed="false">
      <c r="B3652" s="53"/>
      <c r="I3652" s="53"/>
      <c r="U3652" s="31" t="n">
        <f aca="false">IF($B3652&lt;&gt;'設定（最初に1回）'!$C$4,N(U3651),IF(COUNTIFS(①今日の在庫を貼る!$B$6:$B$10005,$B3652,①今日の在庫を貼る!$I$6:$I$10005,$I3652)&gt;0,N(U3651),N(U3651)+1))</f>
        <v>2</v>
      </c>
    </row>
    <row r="3653" customFormat="false" ht="15" hidden="false" customHeight="false" outlineLevel="0" collapsed="false">
      <c r="B3653" s="53"/>
      <c r="I3653" s="53"/>
      <c r="U3653" s="31" t="n">
        <f aca="false">IF($B3653&lt;&gt;'設定（最初に1回）'!$C$4,N(U3652),IF(COUNTIFS(①今日の在庫を貼る!$B$6:$B$10005,$B3653,①今日の在庫を貼る!$I$6:$I$10005,$I3653)&gt;0,N(U3652),N(U3652)+1))</f>
        <v>2</v>
      </c>
    </row>
    <row r="3654" customFormat="false" ht="15" hidden="false" customHeight="false" outlineLevel="0" collapsed="false">
      <c r="B3654" s="53"/>
      <c r="I3654" s="53"/>
      <c r="U3654" s="31" t="n">
        <f aca="false">IF($B3654&lt;&gt;'設定（最初に1回）'!$C$4,N(U3653),IF(COUNTIFS(①今日の在庫を貼る!$B$6:$B$10005,$B3654,①今日の在庫を貼る!$I$6:$I$10005,$I3654)&gt;0,N(U3653),N(U3653)+1))</f>
        <v>2</v>
      </c>
    </row>
    <row r="3655" customFormat="false" ht="15" hidden="false" customHeight="false" outlineLevel="0" collapsed="false">
      <c r="B3655" s="53"/>
      <c r="I3655" s="53"/>
      <c r="U3655" s="31" t="n">
        <f aca="false">IF($B3655&lt;&gt;'設定（最初に1回）'!$C$4,N(U3654),IF(COUNTIFS(①今日の在庫を貼る!$B$6:$B$10005,$B3655,①今日の在庫を貼る!$I$6:$I$10005,$I3655)&gt;0,N(U3654),N(U3654)+1))</f>
        <v>2</v>
      </c>
    </row>
    <row r="3656" customFormat="false" ht="15" hidden="false" customHeight="false" outlineLevel="0" collapsed="false">
      <c r="B3656" s="53"/>
      <c r="I3656" s="53"/>
      <c r="U3656" s="31" t="n">
        <f aca="false">IF($B3656&lt;&gt;'設定（最初に1回）'!$C$4,N(U3655),IF(COUNTIFS(①今日の在庫を貼る!$B$6:$B$10005,$B3656,①今日の在庫を貼る!$I$6:$I$10005,$I3656)&gt;0,N(U3655),N(U3655)+1))</f>
        <v>2</v>
      </c>
    </row>
    <row r="3657" customFormat="false" ht="15" hidden="false" customHeight="false" outlineLevel="0" collapsed="false">
      <c r="B3657" s="53"/>
      <c r="I3657" s="53"/>
      <c r="U3657" s="31" t="n">
        <f aca="false">IF($B3657&lt;&gt;'設定（最初に1回）'!$C$4,N(U3656),IF(COUNTIFS(①今日の在庫を貼る!$B$6:$B$10005,$B3657,①今日の在庫を貼る!$I$6:$I$10005,$I3657)&gt;0,N(U3656),N(U3656)+1))</f>
        <v>2</v>
      </c>
    </row>
    <row r="3658" customFormat="false" ht="15" hidden="false" customHeight="false" outlineLevel="0" collapsed="false">
      <c r="B3658" s="53"/>
      <c r="I3658" s="53"/>
      <c r="U3658" s="31" t="n">
        <f aca="false">IF($B3658&lt;&gt;'設定（最初に1回）'!$C$4,N(U3657),IF(COUNTIFS(①今日の在庫を貼る!$B$6:$B$10005,$B3658,①今日の在庫を貼る!$I$6:$I$10005,$I3658)&gt;0,N(U3657),N(U3657)+1))</f>
        <v>2</v>
      </c>
    </row>
    <row r="3659" customFormat="false" ht="15" hidden="false" customHeight="false" outlineLevel="0" collapsed="false">
      <c r="B3659" s="53"/>
      <c r="I3659" s="53"/>
      <c r="U3659" s="31" t="n">
        <f aca="false">IF($B3659&lt;&gt;'設定（最初に1回）'!$C$4,N(U3658),IF(COUNTIFS(①今日の在庫を貼る!$B$6:$B$10005,$B3659,①今日の在庫を貼る!$I$6:$I$10005,$I3659)&gt;0,N(U3658),N(U3658)+1))</f>
        <v>2</v>
      </c>
    </row>
    <row r="3660" customFormat="false" ht="15" hidden="false" customHeight="false" outlineLevel="0" collapsed="false">
      <c r="B3660" s="53"/>
      <c r="I3660" s="53"/>
      <c r="U3660" s="31" t="n">
        <f aca="false">IF($B3660&lt;&gt;'設定（最初に1回）'!$C$4,N(U3659),IF(COUNTIFS(①今日の在庫を貼る!$B$6:$B$10005,$B3660,①今日の在庫を貼る!$I$6:$I$10005,$I3660)&gt;0,N(U3659),N(U3659)+1))</f>
        <v>2</v>
      </c>
    </row>
    <row r="3661" customFormat="false" ht="15" hidden="false" customHeight="false" outlineLevel="0" collapsed="false">
      <c r="B3661" s="53"/>
      <c r="I3661" s="53"/>
      <c r="U3661" s="31" t="n">
        <f aca="false">IF($B3661&lt;&gt;'設定（最初に1回）'!$C$4,N(U3660),IF(COUNTIFS(①今日の在庫を貼る!$B$6:$B$10005,$B3661,①今日の在庫を貼る!$I$6:$I$10005,$I3661)&gt;0,N(U3660),N(U3660)+1))</f>
        <v>2</v>
      </c>
    </row>
    <row r="3662" customFormat="false" ht="15" hidden="false" customHeight="false" outlineLevel="0" collapsed="false">
      <c r="B3662" s="53"/>
      <c r="I3662" s="53"/>
      <c r="U3662" s="31" t="n">
        <f aca="false">IF($B3662&lt;&gt;'設定（最初に1回）'!$C$4,N(U3661),IF(COUNTIFS(①今日の在庫を貼る!$B$6:$B$10005,$B3662,①今日の在庫を貼る!$I$6:$I$10005,$I3662)&gt;0,N(U3661),N(U3661)+1))</f>
        <v>2</v>
      </c>
    </row>
    <row r="3663" customFormat="false" ht="15" hidden="false" customHeight="false" outlineLevel="0" collapsed="false">
      <c r="B3663" s="53"/>
      <c r="I3663" s="53"/>
      <c r="U3663" s="31" t="n">
        <f aca="false">IF($B3663&lt;&gt;'設定（最初に1回）'!$C$4,N(U3662),IF(COUNTIFS(①今日の在庫を貼る!$B$6:$B$10005,$B3663,①今日の在庫を貼る!$I$6:$I$10005,$I3663)&gt;0,N(U3662),N(U3662)+1))</f>
        <v>2</v>
      </c>
    </row>
    <row r="3664" customFormat="false" ht="15" hidden="false" customHeight="false" outlineLevel="0" collapsed="false">
      <c r="B3664" s="53"/>
      <c r="I3664" s="53"/>
      <c r="U3664" s="31" t="n">
        <f aca="false">IF($B3664&lt;&gt;'設定（最初に1回）'!$C$4,N(U3663),IF(COUNTIFS(①今日の在庫を貼る!$B$6:$B$10005,$B3664,①今日の在庫を貼る!$I$6:$I$10005,$I3664)&gt;0,N(U3663),N(U3663)+1))</f>
        <v>2</v>
      </c>
    </row>
    <row r="3665" customFormat="false" ht="15" hidden="false" customHeight="false" outlineLevel="0" collapsed="false">
      <c r="B3665" s="53"/>
      <c r="I3665" s="53"/>
      <c r="U3665" s="31" t="n">
        <f aca="false">IF($B3665&lt;&gt;'設定（最初に1回）'!$C$4,N(U3664),IF(COUNTIFS(①今日の在庫を貼る!$B$6:$B$10005,$B3665,①今日の在庫を貼る!$I$6:$I$10005,$I3665)&gt;0,N(U3664),N(U3664)+1))</f>
        <v>2</v>
      </c>
    </row>
    <row r="3666" customFormat="false" ht="15" hidden="false" customHeight="false" outlineLevel="0" collapsed="false">
      <c r="B3666" s="53"/>
      <c r="I3666" s="53"/>
      <c r="U3666" s="31" t="n">
        <f aca="false">IF($B3666&lt;&gt;'設定（最初に1回）'!$C$4,N(U3665),IF(COUNTIFS(①今日の在庫を貼る!$B$6:$B$10005,$B3666,①今日の在庫を貼る!$I$6:$I$10005,$I3666)&gt;0,N(U3665),N(U3665)+1))</f>
        <v>2</v>
      </c>
    </row>
    <row r="3667" customFormat="false" ht="15" hidden="false" customHeight="false" outlineLevel="0" collapsed="false">
      <c r="B3667" s="53"/>
      <c r="I3667" s="53"/>
      <c r="U3667" s="31" t="n">
        <f aca="false">IF($B3667&lt;&gt;'設定（最初に1回）'!$C$4,N(U3666),IF(COUNTIFS(①今日の在庫を貼る!$B$6:$B$10005,$B3667,①今日の在庫を貼る!$I$6:$I$10005,$I3667)&gt;0,N(U3666),N(U3666)+1))</f>
        <v>2</v>
      </c>
    </row>
    <row r="3668" customFormat="false" ht="15" hidden="false" customHeight="false" outlineLevel="0" collapsed="false">
      <c r="B3668" s="53"/>
      <c r="I3668" s="53"/>
      <c r="U3668" s="31" t="n">
        <f aca="false">IF($B3668&lt;&gt;'設定（最初に1回）'!$C$4,N(U3667),IF(COUNTIFS(①今日の在庫を貼る!$B$6:$B$10005,$B3668,①今日の在庫を貼る!$I$6:$I$10005,$I3668)&gt;0,N(U3667),N(U3667)+1))</f>
        <v>2</v>
      </c>
    </row>
    <row r="3669" customFormat="false" ht="15" hidden="false" customHeight="false" outlineLevel="0" collapsed="false">
      <c r="B3669" s="53"/>
      <c r="I3669" s="53"/>
      <c r="U3669" s="31" t="n">
        <f aca="false">IF($B3669&lt;&gt;'設定（最初に1回）'!$C$4,N(U3668),IF(COUNTIFS(①今日の在庫を貼る!$B$6:$B$10005,$B3669,①今日の在庫を貼る!$I$6:$I$10005,$I3669)&gt;0,N(U3668),N(U3668)+1))</f>
        <v>2</v>
      </c>
    </row>
    <row r="3670" customFormat="false" ht="15" hidden="false" customHeight="false" outlineLevel="0" collapsed="false">
      <c r="B3670" s="53"/>
      <c r="I3670" s="53"/>
      <c r="U3670" s="31" t="n">
        <f aca="false">IF($B3670&lt;&gt;'設定（最初に1回）'!$C$4,N(U3669),IF(COUNTIFS(①今日の在庫を貼る!$B$6:$B$10005,$B3670,①今日の在庫を貼る!$I$6:$I$10005,$I3670)&gt;0,N(U3669),N(U3669)+1))</f>
        <v>2</v>
      </c>
    </row>
    <row r="3671" customFormat="false" ht="15" hidden="false" customHeight="false" outlineLevel="0" collapsed="false">
      <c r="B3671" s="53"/>
      <c r="I3671" s="53"/>
      <c r="U3671" s="31" t="n">
        <f aca="false">IF($B3671&lt;&gt;'設定（最初に1回）'!$C$4,N(U3670),IF(COUNTIFS(①今日の在庫を貼る!$B$6:$B$10005,$B3671,①今日の在庫を貼る!$I$6:$I$10005,$I3671)&gt;0,N(U3670),N(U3670)+1))</f>
        <v>2</v>
      </c>
    </row>
    <row r="3672" customFormat="false" ht="15" hidden="false" customHeight="false" outlineLevel="0" collapsed="false">
      <c r="B3672" s="53"/>
      <c r="I3672" s="53"/>
      <c r="U3672" s="31" t="n">
        <f aca="false">IF($B3672&lt;&gt;'設定（最初に1回）'!$C$4,N(U3671),IF(COUNTIFS(①今日の在庫を貼る!$B$6:$B$10005,$B3672,①今日の在庫を貼る!$I$6:$I$10005,$I3672)&gt;0,N(U3671),N(U3671)+1))</f>
        <v>2</v>
      </c>
    </row>
    <row r="3673" customFormat="false" ht="15" hidden="false" customHeight="false" outlineLevel="0" collapsed="false">
      <c r="B3673" s="53"/>
      <c r="I3673" s="53"/>
      <c r="U3673" s="31" t="n">
        <f aca="false">IF($B3673&lt;&gt;'設定（最初に1回）'!$C$4,N(U3672),IF(COUNTIFS(①今日の在庫を貼る!$B$6:$B$10005,$B3673,①今日の在庫を貼る!$I$6:$I$10005,$I3673)&gt;0,N(U3672),N(U3672)+1))</f>
        <v>2</v>
      </c>
    </row>
    <row r="3674" customFormat="false" ht="15" hidden="false" customHeight="false" outlineLevel="0" collapsed="false">
      <c r="B3674" s="53"/>
      <c r="I3674" s="53"/>
      <c r="U3674" s="31" t="n">
        <f aca="false">IF($B3674&lt;&gt;'設定（最初に1回）'!$C$4,N(U3673),IF(COUNTIFS(①今日の在庫を貼る!$B$6:$B$10005,$B3674,①今日の在庫を貼る!$I$6:$I$10005,$I3674)&gt;0,N(U3673),N(U3673)+1))</f>
        <v>2</v>
      </c>
    </row>
    <row r="3675" customFormat="false" ht="15" hidden="false" customHeight="false" outlineLevel="0" collapsed="false">
      <c r="B3675" s="53"/>
      <c r="I3675" s="53"/>
      <c r="U3675" s="31" t="n">
        <f aca="false">IF($B3675&lt;&gt;'設定（最初に1回）'!$C$4,N(U3674),IF(COUNTIFS(①今日の在庫を貼る!$B$6:$B$10005,$B3675,①今日の在庫を貼る!$I$6:$I$10005,$I3675)&gt;0,N(U3674),N(U3674)+1))</f>
        <v>2</v>
      </c>
    </row>
    <row r="3676" customFormat="false" ht="15" hidden="false" customHeight="false" outlineLevel="0" collapsed="false">
      <c r="B3676" s="53"/>
      <c r="I3676" s="53"/>
      <c r="U3676" s="31" t="n">
        <f aca="false">IF($B3676&lt;&gt;'設定（最初に1回）'!$C$4,N(U3675),IF(COUNTIFS(①今日の在庫を貼る!$B$6:$B$10005,$B3676,①今日の在庫を貼る!$I$6:$I$10005,$I3676)&gt;0,N(U3675),N(U3675)+1))</f>
        <v>2</v>
      </c>
    </row>
    <row r="3677" customFormat="false" ht="15" hidden="false" customHeight="false" outlineLevel="0" collapsed="false">
      <c r="B3677" s="53"/>
      <c r="I3677" s="53"/>
      <c r="U3677" s="31" t="n">
        <f aca="false">IF($B3677&lt;&gt;'設定（最初に1回）'!$C$4,N(U3676),IF(COUNTIFS(①今日の在庫を貼る!$B$6:$B$10005,$B3677,①今日の在庫を貼る!$I$6:$I$10005,$I3677)&gt;0,N(U3676),N(U3676)+1))</f>
        <v>2</v>
      </c>
    </row>
    <row r="3678" customFormat="false" ht="15" hidden="false" customHeight="false" outlineLevel="0" collapsed="false">
      <c r="B3678" s="53"/>
      <c r="I3678" s="53"/>
      <c r="U3678" s="31" t="n">
        <f aca="false">IF($B3678&lt;&gt;'設定（最初に1回）'!$C$4,N(U3677),IF(COUNTIFS(①今日の在庫を貼る!$B$6:$B$10005,$B3678,①今日の在庫を貼る!$I$6:$I$10005,$I3678)&gt;0,N(U3677),N(U3677)+1))</f>
        <v>2</v>
      </c>
    </row>
    <row r="3679" customFormat="false" ht="15" hidden="false" customHeight="false" outlineLevel="0" collapsed="false">
      <c r="B3679" s="53"/>
      <c r="I3679" s="53"/>
      <c r="U3679" s="31" t="n">
        <f aca="false">IF($B3679&lt;&gt;'設定（最初に1回）'!$C$4,N(U3678),IF(COUNTIFS(①今日の在庫を貼る!$B$6:$B$10005,$B3679,①今日の在庫を貼る!$I$6:$I$10005,$I3679)&gt;0,N(U3678),N(U3678)+1))</f>
        <v>2</v>
      </c>
    </row>
    <row r="3680" customFormat="false" ht="15" hidden="false" customHeight="false" outlineLevel="0" collapsed="false">
      <c r="B3680" s="53"/>
      <c r="I3680" s="53"/>
      <c r="U3680" s="31" t="n">
        <f aca="false">IF($B3680&lt;&gt;'設定（最初に1回）'!$C$4,N(U3679),IF(COUNTIFS(①今日の在庫を貼る!$B$6:$B$10005,$B3680,①今日の在庫を貼る!$I$6:$I$10005,$I3680)&gt;0,N(U3679),N(U3679)+1))</f>
        <v>2</v>
      </c>
    </row>
    <row r="3681" customFormat="false" ht="15" hidden="false" customHeight="false" outlineLevel="0" collapsed="false">
      <c r="B3681" s="53"/>
      <c r="I3681" s="53"/>
      <c r="U3681" s="31" t="n">
        <f aca="false">IF($B3681&lt;&gt;'設定（最初に1回）'!$C$4,N(U3680),IF(COUNTIFS(①今日の在庫を貼る!$B$6:$B$10005,$B3681,①今日の在庫を貼る!$I$6:$I$10005,$I3681)&gt;0,N(U3680),N(U3680)+1))</f>
        <v>2</v>
      </c>
    </row>
    <row r="3682" customFormat="false" ht="15" hidden="false" customHeight="false" outlineLevel="0" collapsed="false">
      <c r="B3682" s="53"/>
      <c r="I3682" s="53"/>
      <c r="U3682" s="31" t="n">
        <f aca="false">IF($B3682&lt;&gt;'設定（最初に1回）'!$C$4,N(U3681),IF(COUNTIFS(①今日の在庫を貼る!$B$6:$B$10005,$B3682,①今日の在庫を貼る!$I$6:$I$10005,$I3682)&gt;0,N(U3681),N(U3681)+1))</f>
        <v>2</v>
      </c>
    </row>
    <row r="3683" customFormat="false" ht="15" hidden="false" customHeight="false" outlineLevel="0" collapsed="false">
      <c r="B3683" s="53"/>
      <c r="I3683" s="53"/>
      <c r="U3683" s="31" t="n">
        <f aca="false">IF($B3683&lt;&gt;'設定（最初に1回）'!$C$4,N(U3682),IF(COUNTIFS(①今日の在庫を貼る!$B$6:$B$10005,$B3683,①今日の在庫を貼る!$I$6:$I$10005,$I3683)&gt;0,N(U3682),N(U3682)+1))</f>
        <v>2</v>
      </c>
    </row>
    <row r="3684" customFormat="false" ht="15" hidden="false" customHeight="false" outlineLevel="0" collapsed="false">
      <c r="B3684" s="53"/>
      <c r="I3684" s="53"/>
      <c r="U3684" s="31" t="n">
        <f aca="false">IF($B3684&lt;&gt;'設定（最初に1回）'!$C$4,N(U3683),IF(COUNTIFS(①今日の在庫を貼る!$B$6:$B$10005,$B3684,①今日の在庫を貼る!$I$6:$I$10005,$I3684)&gt;0,N(U3683),N(U3683)+1))</f>
        <v>2</v>
      </c>
    </row>
    <row r="3685" customFormat="false" ht="15" hidden="false" customHeight="false" outlineLevel="0" collapsed="false">
      <c r="B3685" s="53"/>
      <c r="I3685" s="53"/>
      <c r="U3685" s="31" t="n">
        <f aca="false">IF($B3685&lt;&gt;'設定（最初に1回）'!$C$4,N(U3684),IF(COUNTIFS(①今日の在庫を貼る!$B$6:$B$10005,$B3685,①今日の在庫を貼る!$I$6:$I$10005,$I3685)&gt;0,N(U3684),N(U3684)+1))</f>
        <v>2</v>
      </c>
    </row>
    <row r="3686" customFormat="false" ht="15" hidden="false" customHeight="false" outlineLevel="0" collapsed="false">
      <c r="B3686" s="53"/>
      <c r="I3686" s="53"/>
      <c r="U3686" s="31" t="n">
        <f aca="false">IF($B3686&lt;&gt;'設定（最初に1回）'!$C$4,N(U3685),IF(COUNTIFS(①今日の在庫を貼る!$B$6:$B$10005,$B3686,①今日の在庫を貼る!$I$6:$I$10005,$I3686)&gt;0,N(U3685),N(U3685)+1))</f>
        <v>2</v>
      </c>
    </row>
    <row r="3687" customFormat="false" ht="15" hidden="false" customHeight="false" outlineLevel="0" collapsed="false">
      <c r="B3687" s="53"/>
      <c r="I3687" s="53"/>
      <c r="U3687" s="31" t="n">
        <f aca="false">IF($B3687&lt;&gt;'設定（最初に1回）'!$C$4,N(U3686),IF(COUNTIFS(①今日の在庫を貼る!$B$6:$B$10005,$B3687,①今日の在庫を貼る!$I$6:$I$10005,$I3687)&gt;0,N(U3686),N(U3686)+1))</f>
        <v>2</v>
      </c>
    </row>
    <row r="3688" customFormat="false" ht="15" hidden="false" customHeight="false" outlineLevel="0" collapsed="false">
      <c r="B3688" s="53"/>
      <c r="I3688" s="53"/>
      <c r="U3688" s="31" t="n">
        <f aca="false">IF($B3688&lt;&gt;'設定（最初に1回）'!$C$4,N(U3687),IF(COUNTIFS(①今日の在庫を貼る!$B$6:$B$10005,$B3688,①今日の在庫を貼る!$I$6:$I$10005,$I3688)&gt;0,N(U3687),N(U3687)+1))</f>
        <v>2</v>
      </c>
    </row>
    <row r="3689" customFormat="false" ht="15" hidden="false" customHeight="false" outlineLevel="0" collapsed="false">
      <c r="B3689" s="53"/>
      <c r="I3689" s="53"/>
      <c r="U3689" s="31" t="n">
        <f aca="false">IF($B3689&lt;&gt;'設定（最初に1回）'!$C$4,N(U3688),IF(COUNTIFS(①今日の在庫を貼る!$B$6:$B$10005,$B3689,①今日の在庫を貼る!$I$6:$I$10005,$I3689)&gt;0,N(U3688),N(U3688)+1))</f>
        <v>2</v>
      </c>
    </row>
    <row r="3690" customFormat="false" ht="15" hidden="false" customHeight="false" outlineLevel="0" collapsed="false">
      <c r="B3690" s="53"/>
      <c r="I3690" s="53"/>
      <c r="U3690" s="31" t="n">
        <f aca="false">IF($B3690&lt;&gt;'設定（最初に1回）'!$C$4,N(U3689),IF(COUNTIFS(①今日の在庫を貼る!$B$6:$B$10005,$B3690,①今日の在庫を貼る!$I$6:$I$10005,$I3690)&gt;0,N(U3689),N(U3689)+1))</f>
        <v>2</v>
      </c>
    </row>
    <row r="3691" customFormat="false" ht="15" hidden="false" customHeight="false" outlineLevel="0" collapsed="false">
      <c r="B3691" s="53"/>
      <c r="I3691" s="53"/>
      <c r="U3691" s="31" t="n">
        <f aca="false">IF($B3691&lt;&gt;'設定（最初に1回）'!$C$4,N(U3690),IF(COUNTIFS(①今日の在庫を貼る!$B$6:$B$10005,$B3691,①今日の在庫を貼る!$I$6:$I$10005,$I3691)&gt;0,N(U3690),N(U3690)+1))</f>
        <v>2</v>
      </c>
    </row>
    <row r="3692" customFormat="false" ht="15" hidden="false" customHeight="false" outlineLevel="0" collapsed="false">
      <c r="B3692" s="53"/>
      <c r="I3692" s="53"/>
      <c r="U3692" s="31" t="n">
        <f aca="false">IF($B3692&lt;&gt;'設定（最初に1回）'!$C$4,N(U3691),IF(COUNTIFS(①今日の在庫を貼る!$B$6:$B$10005,$B3692,①今日の在庫を貼る!$I$6:$I$10005,$I3692)&gt;0,N(U3691),N(U3691)+1))</f>
        <v>2</v>
      </c>
    </row>
    <row r="3693" customFormat="false" ht="15" hidden="false" customHeight="false" outlineLevel="0" collapsed="false">
      <c r="B3693" s="53"/>
      <c r="I3693" s="53"/>
      <c r="U3693" s="31" t="n">
        <f aca="false">IF($B3693&lt;&gt;'設定（最初に1回）'!$C$4,N(U3692),IF(COUNTIFS(①今日の在庫を貼る!$B$6:$B$10005,$B3693,①今日の在庫を貼る!$I$6:$I$10005,$I3693)&gt;0,N(U3692),N(U3692)+1))</f>
        <v>2</v>
      </c>
    </row>
    <row r="3694" customFormat="false" ht="15" hidden="false" customHeight="false" outlineLevel="0" collapsed="false">
      <c r="B3694" s="53"/>
      <c r="I3694" s="53"/>
      <c r="U3694" s="31" t="n">
        <f aca="false">IF($B3694&lt;&gt;'設定（最初に1回）'!$C$4,N(U3693),IF(COUNTIFS(①今日の在庫を貼る!$B$6:$B$10005,$B3694,①今日の在庫を貼る!$I$6:$I$10005,$I3694)&gt;0,N(U3693),N(U3693)+1))</f>
        <v>2</v>
      </c>
    </row>
    <row r="3695" customFormat="false" ht="15" hidden="false" customHeight="false" outlineLevel="0" collapsed="false">
      <c r="B3695" s="53"/>
      <c r="I3695" s="53"/>
      <c r="U3695" s="31" t="n">
        <f aca="false">IF($B3695&lt;&gt;'設定（最初に1回）'!$C$4,N(U3694),IF(COUNTIFS(①今日の在庫を貼る!$B$6:$B$10005,$B3695,①今日の在庫を貼る!$I$6:$I$10005,$I3695)&gt;0,N(U3694),N(U3694)+1))</f>
        <v>2</v>
      </c>
    </row>
    <row r="3696" customFormat="false" ht="15" hidden="false" customHeight="false" outlineLevel="0" collapsed="false">
      <c r="B3696" s="53"/>
      <c r="I3696" s="53"/>
      <c r="U3696" s="31" t="n">
        <f aca="false">IF($B3696&lt;&gt;'設定（最初に1回）'!$C$4,N(U3695),IF(COUNTIFS(①今日の在庫を貼る!$B$6:$B$10005,$B3696,①今日の在庫を貼る!$I$6:$I$10005,$I3696)&gt;0,N(U3695),N(U3695)+1))</f>
        <v>2</v>
      </c>
    </row>
    <row r="3697" customFormat="false" ht="15" hidden="false" customHeight="false" outlineLevel="0" collapsed="false">
      <c r="B3697" s="53"/>
      <c r="I3697" s="53"/>
      <c r="U3697" s="31" t="n">
        <f aca="false">IF($B3697&lt;&gt;'設定（最初に1回）'!$C$4,N(U3696),IF(COUNTIFS(①今日の在庫を貼る!$B$6:$B$10005,$B3697,①今日の在庫を貼る!$I$6:$I$10005,$I3697)&gt;0,N(U3696),N(U3696)+1))</f>
        <v>2</v>
      </c>
    </row>
    <row r="3698" customFormat="false" ht="15" hidden="false" customHeight="false" outlineLevel="0" collapsed="false">
      <c r="B3698" s="53"/>
      <c r="I3698" s="53"/>
      <c r="U3698" s="31" t="n">
        <f aca="false">IF($B3698&lt;&gt;'設定（最初に1回）'!$C$4,N(U3697),IF(COUNTIFS(①今日の在庫を貼る!$B$6:$B$10005,$B3698,①今日の在庫を貼る!$I$6:$I$10005,$I3698)&gt;0,N(U3697),N(U3697)+1))</f>
        <v>2</v>
      </c>
    </row>
    <row r="3699" customFormat="false" ht="15" hidden="false" customHeight="false" outlineLevel="0" collapsed="false">
      <c r="B3699" s="53"/>
      <c r="I3699" s="53"/>
      <c r="U3699" s="31" t="n">
        <f aca="false">IF($B3699&lt;&gt;'設定（最初に1回）'!$C$4,N(U3698),IF(COUNTIFS(①今日の在庫を貼る!$B$6:$B$10005,$B3699,①今日の在庫を貼る!$I$6:$I$10005,$I3699)&gt;0,N(U3698),N(U3698)+1))</f>
        <v>2</v>
      </c>
    </row>
    <row r="3700" customFormat="false" ht="15" hidden="false" customHeight="false" outlineLevel="0" collapsed="false">
      <c r="B3700" s="53"/>
      <c r="I3700" s="53"/>
      <c r="U3700" s="31" t="n">
        <f aca="false">IF($B3700&lt;&gt;'設定（最初に1回）'!$C$4,N(U3699),IF(COUNTIFS(①今日の在庫を貼る!$B$6:$B$10005,$B3700,①今日の在庫を貼る!$I$6:$I$10005,$I3700)&gt;0,N(U3699),N(U3699)+1))</f>
        <v>2</v>
      </c>
    </row>
    <row r="3701" customFormat="false" ht="15" hidden="false" customHeight="false" outlineLevel="0" collapsed="false">
      <c r="B3701" s="53"/>
      <c r="I3701" s="53"/>
      <c r="U3701" s="31" t="n">
        <f aca="false">IF($B3701&lt;&gt;'設定（最初に1回）'!$C$4,N(U3700),IF(COUNTIFS(①今日の在庫を貼る!$B$6:$B$10005,$B3701,①今日の在庫を貼る!$I$6:$I$10005,$I3701)&gt;0,N(U3700),N(U3700)+1))</f>
        <v>2</v>
      </c>
    </row>
    <row r="3702" customFormat="false" ht="15" hidden="false" customHeight="false" outlineLevel="0" collapsed="false">
      <c r="B3702" s="53"/>
      <c r="I3702" s="53"/>
      <c r="U3702" s="31" t="n">
        <f aca="false">IF($B3702&lt;&gt;'設定（最初に1回）'!$C$4,N(U3701),IF(COUNTIFS(①今日の在庫を貼る!$B$6:$B$10005,$B3702,①今日の在庫を貼る!$I$6:$I$10005,$I3702)&gt;0,N(U3701),N(U3701)+1))</f>
        <v>2</v>
      </c>
    </row>
    <row r="3703" customFormat="false" ht="15" hidden="false" customHeight="false" outlineLevel="0" collapsed="false">
      <c r="B3703" s="53"/>
      <c r="I3703" s="53"/>
      <c r="U3703" s="31" t="n">
        <f aca="false">IF($B3703&lt;&gt;'設定（最初に1回）'!$C$4,N(U3702),IF(COUNTIFS(①今日の在庫を貼る!$B$6:$B$10005,$B3703,①今日の在庫を貼る!$I$6:$I$10005,$I3703)&gt;0,N(U3702),N(U3702)+1))</f>
        <v>2</v>
      </c>
    </row>
    <row r="3704" customFormat="false" ht="15" hidden="false" customHeight="false" outlineLevel="0" collapsed="false">
      <c r="B3704" s="53"/>
      <c r="I3704" s="53"/>
      <c r="U3704" s="31" t="n">
        <f aca="false">IF($B3704&lt;&gt;'設定（最初に1回）'!$C$4,N(U3703),IF(COUNTIFS(①今日の在庫を貼る!$B$6:$B$10005,$B3704,①今日の在庫を貼る!$I$6:$I$10005,$I3704)&gt;0,N(U3703),N(U3703)+1))</f>
        <v>2</v>
      </c>
    </row>
    <row r="3705" customFormat="false" ht="15" hidden="false" customHeight="false" outlineLevel="0" collapsed="false">
      <c r="B3705" s="53"/>
      <c r="I3705" s="53"/>
      <c r="U3705" s="31" t="n">
        <f aca="false">IF($B3705&lt;&gt;'設定（最初に1回）'!$C$4,N(U3704),IF(COUNTIFS(①今日の在庫を貼る!$B$6:$B$10005,$B3705,①今日の在庫を貼る!$I$6:$I$10005,$I3705)&gt;0,N(U3704),N(U3704)+1))</f>
        <v>2</v>
      </c>
    </row>
    <row r="3706" customFormat="false" ht="15" hidden="false" customHeight="false" outlineLevel="0" collapsed="false">
      <c r="B3706" s="53"/>
      <c r="I3706" s="53"/>
      <c r="U3706" s="31" t="n">
        <f aca="false">IF($B3706&lt;&gt;'設定（最初に1回）'!$C$4,N(U3705),IF(COUNTIFS(①今日の在庫を貼る!$B$6:$B$10005,$B3706,①今日の在庫を貼る!$I$6:$I$10005,$I3706)&gt;0,N(U3705),N(U3705)+1))</f>
        <v>2</v>
      </c>
    </row>
    <row r="3707" customFormat="false" ht="15" hidden="false" customHeight="false" outlineLevel="0" collapsed="false">
      <c r="B3707" s="53"/>
      <c r="I3707" s="53"/>
      <c r="U3707" s="31" t="n">
        <f aca="false">IF($B3707&lt;&gt;'設定（最初に1回）'!$C$4,N(U3706),IF(COUNTIFS(①今日の在庫を貼る!$B$6:$B$10005,$B3707,①今日の在庫を貼る!$I$6:$I$10005,$I3707)&gt;0,N(U3706),N(U3706)+1))</f>
        <v>2</v>
      </c>
    </row>
    <row r="3708" customFormat="false" ht="15" hidden="false" customHeight="false" outlineLevel="0" collapsed="false">
      <c r="B3708" s="53"/>
      <c r="I3708" s="53"/>
      <c r="U3708" s="31" t="n">
        <f aca="false">IF($B3708&lt;&gt;'設定（最初に1回）'!$C$4,N(U3707),IF(COUNTIFS(①今日の在庫を貼る!$B$6:$B$10005,$B3708,①今日の在庫を貼る!$I$6:$I$10005,$I3708)&gt;0,N(U3707),N(U3707)+1))</f>
        <v>2</v>
      </c>
    </row>
    <row r="3709" customFormat="false" ht="15" hidden="false" customHeight="false" outlineLevel="0" collapsed="false">
      <c r="B3709" s="53"/>
      <c r="I3709" s="53"/>
      <c r="U3709" s="31" t="n">
        <f aca="false">IF($B3709&lt;&gt;'設定（最初に1回）'!$C$4,N(U3708),IF(COUNTIFS(①今日の在庫を貼る!$B$6:$B$10005,$B3709,①今日の在庫を貼る!$I$6:$I$10005,$I3709)&gt;0,N(U3708),N(U3708)+1))</f>
        <v>2</v>
      </c>
    </row>
    <row r="3710" customFormat="false" ht="15" hidden="false" customHeight="false" outlineLevel="0" collapsed="false">
      <c r="B3710" s="53"/>
      <c r="I3710" s="53"/>
      <c r="U3710" s="31" t="n">
        <f aca="false">IF($B3710&lt;&gt;'設定（最初に1回）'!$C$4,N(U3709),IF(COUNTIFS(①今日の在庫を貼る!$B$6:$B$10005,$B3710,①今日の在庫を貼る!$I$6:$I$10005,$I3710)&gt;0,N(U3709),N(U3709)+1))</f>
        <v>2</v>
      </c>
    </row>
    <row r="3711" customFormat="false" ht="15" hidden="false" customHeight="false" outlineLevel="0" collapsed="false">
      <c r="B3711" s="53"/>
      <c r="I3711" s="53"/>
      <c r="U3711" s="31" t="n">
        <f aca="false">IF($B3711&lt;&gt;'設定（最初に1回）'!$C$4,N(U3710),IF(COUNTIFS(①今日の在庫を貼る!$B$6:$B$10005,$B3711,①今日の在庫を貼る!$I$6:$I$10005,$I3711)&gt;0,N(U3710),N(U3710)+1))</f>
        <v>2</v>
      </c>
    </row>
    <row r="3712" customFormat="false" ht="15" hidden="false" customHeight="false" outlineLevel="0" collapsed="false">
      <c r="B3712" s="53"/>
      <c r="I3712" s="53"/>
      <c r="U3712" s="31" t="n">
        <f aca="false">IF($B3712&lt;&gt;'設定（最初に1回）'!$C$4,N(U3711),IF(COUNTIFS(①今日の在庫を貼る!$B$6:$B$10005,$B3712,①今日の在庫を貼る!$I$6:$I$10005,$I3712)&gt;0,N(U3711),N(U3711)+1))</f>
        <v>2</v>
      </c>
    </row>
    <row r="3713" customFormat="false" ht="15" hidden="false" customHeight="false" outlineLevel="0" collapsed="false">
      <c r="B3713" s="53"/>
      <c r="I3713" s="53"/>
      <c r="U3713" s="31" t="n">
        <f aca="false">IF($B3713&lt;&gt;'設定（最初に1回）'!$C$4,N(U3712),IF(COUNTIFS(①今日の在庫を貼る!$B$6:$B$10005,$B3713,①今日の在庫を貼る!$I$6:$I$10005,$I3713)&gt;0,N(U3712),N(U3712)+1))</f>
        <v>2</v>
      </c>
    </row>
    <row r="3714" customFormat="false" ht="15" hidden="false" customHeight="false" outlineLevel="0" collapsed="false">
      <c r="B3714" s="53"/>
      <c r="I3714" s="53"/>
      <c r="U3714" s="31" t="n">
        <f aca="false">IF($B3714&lt;&gt;'設定（最初に1回）'!$C$4,N(U3713),IF(COUNTIFS(①今日の在庫を貼る!$B$6:$B$10005,$B3714,①今日の在庫を貼る!$I$6:$I$10005,$I3714)&gt;0,N(U3713),N(U3713)+1))</f>
        <v>2</v>
      </c>
    </row>
    <row r="3715" customFormat="false" ht="15" hidden="false" customHeight="false" outlineLevel="0" collapsed="false">
      <c r="B3715" s="53"/>
      <c r="I3715" s="53"/>
      <c r="U3715" s="31" t="n">
        <f aca="false">IF($B3715&lt;&gt;'設定（最初に1回）'!$C$4,N(U3714),IF(COUNTIFS(①今日の在庫を貼る!$B$6:$B$10005,$B3715,①今日の在庫を貼る!$I$6:$I$10005,$I3715)&gt;0,N(U3714),N(U3714)+1))</f>
        <v>2</v>
      </c>
    </row>
    <row r="3716" customFormat="false" ht="15" hidden="false" customHeight="false" outlineLevel="0" collapsed="false">
      <c r="B3716" s="53"/>
      <c r="I3716" s="53"/>
      <c r="U3716" s="31" t="n">
        <f aca="false">IF($B3716&lt;&gt;'設定（最初に1回）'!$C$4,N(U3715),IF(COUNTIFS(①今日の在庫を貼る!$B$6:$B$10005,$B3716,①今日の在庫を貼る!$I$6:$I$10005,$I3716)&gt;0,N(U3715),N(U3715)+1))</f>
        <v>2</v>
      </c>
    </row>
    <row r="3717" customFormat="false" ht="15" hidden="false" customHeight="false" outlineLevel="0" collapsed="false">
      <c r="B3717" s="53"/>
      <c r="I3717" s="53"/>
      <c r="U3717" s="31" t="n">
        <f aca="false">IF($B3717&lt;&gt;'設定（最初に1回）'!$C$4,N(U3716),IF(COUNTIFS(①今日の在庫を貼る!$B$6:$B$10005,$B3717,①今日の在庫を貼る!$I$6:$I$10005,$I3717)&gt;0,N(U3716),N(U3716)+1))</f>
        <v>2</v>
      </c>
    </row>
    <row r="3718" customFormat="false" ht="15" hidden="false" customHeight="false" outlineLevel="0" collapsed="false">
      <c r="B3718" s="53"/>
      <c r="I3718" s="53"/>
      <c r="U3718" s="31" t="n">
        <f aca="false">IF($B3718&lt;&gt;'設定（最初に1回）'!$C$4,N(U3717),IF(COUNTIFS(①今日の在庫を貼る!$B$6:$B$10005,$B3718,①今日の在庫を貼る!$I$6:$I$10005,$I3718)&gt;0,N(U3717),N(U3717)+1))</f>
        <v>2</v>
      </c>
    </row>
    <row r="3719" customFormat="false" ht="15" hidden="false" customHeight="false" outlineLevel="0" collapsed="false">
      <c r="B3719" s="53"/>
      <c r="I3719" s="53"/>
      <c r="U3719" s="31" t="n">
        <f aca="false">IF($B3719&lt;&gt;'設定（最初に1回）'!$C$4,N(U3718),IF(COUNTIFS(①今日の在庫を貼る!$B$6:$B$10005,$B3719,①今日の在庫を貼る!$I$6:$I$10005,$I3719)&gt;0,N(U3718),N(U3718)+1))</f>
        <v>2</v>
      </c>
    </row>
    <row r="3720" customFormat="false" ht="15" hidden="false" customHeight="false" outlineLevel="0" collapsed="false">
      <c r="B3720" s="53"/>
      <c r="I3720" s="53"/>
      <c r="U3720" s="31" t="n">
        <f aca="false">IF($B3720&lt;&gt;'設定（最初に1回）'!$C$4,N(U3719),IF(COUNTIFS(①今日の在庫を貼る!$B$6:$B$10005,$B3720,①今日の在庫を貼る!$I$6:$I$10005,$I3720)&gt;0,N(U3719),N(U3719)+1))</f>
        <v>2</v>
      </c>
    </row>
    <row r="3721" customFormat="false" ht="15" hidden="false" customHeight="false" outlineLevel="0" collapsed="false">
      <c r="B3721" s="53"/>
      <c r="I3721" s="53"/>
      <c r="U3721" s="31" t="n">
        <f aca="false">IF($B3721&lt;&gt;'設定（最初に1回）'!$C$4,N(U3720),IF(COUNTIFS(①今日の在庫を貼る!$B$6:$B$10005,$B3721,①今日の在庫を貼る!$I$6:$I$10005,$I3721)&gt;0,N(U3720),N(U3720)+1))</f>
        <v>2</v>
      </c>
    </row>
    <row r="3722" customFormat="false" ht="15" hidden="false" customHeight="false" outlineLevel="0" collapsed="false">
      <c r="B3722" s="53"/>
      <c r="I3722" s="53"/>
      <c r="U3722" s="31" t="n">
        <f aca="false">IF($B3722&lt;&gt;'設定（最初に1回）'!$C$4,N(U3721),IF(COUNTIFS(①今日の在庫を貼る!$B$6:$B$10005,$B3722,①今日の在庫を貼る!$I$6:$I$10005,$I3722)&gt;0,N(U3721),N(U3721)+1))</f>
        <v>2</v>
      </c>
    </row>
    <row r="3723" customFormat="false" ht="15" hidden="false" customHeight="false" outlineLevel="0" collapsed="false">
      <c r="B3723" s="53"/>
      <c r="I3723" s="53"/>
      <c r="U3723" s="31" t="n">
        <f aca="false">IF($B3723&lt;&gt;'設定（最初に1回）'!$C$4,N(U3722),IF(COUNTIFS(①今日の在庫を貼る!$B$6:$B$10005,$B3723,①今日の在庫を貼る!$I$6:$I$10005,$I3723)&gt;0,N(U3722),N(U3722)+1))</f>
        <v>2</v>
      </c>
    </row>
    <row r="3724" customFormat="false" ht="15" hidden="false" customHeight="false" outlineLevel="0" collapsed="false">
      <c r="B3724" s="53"/>
      <c r="I3724" s="53"/>
      <c r="U3724" s="31" t="n">
        <f aca="false">IF($B3724&lt;&gt;'設定（最初に1回）'!$C$4,N(U3723),IF(COUNTIFS(①今日の在庫を貼る!$B$6:$B$10005,$B3724,①今日の在庫を貼る!$I$6:$I$10005,$I3724)&gt;0,N(U3723),N(U3723)+1))</f>
        <v>2</v>
      </c>
    </row>
    <row r="3725" customFormat="false" ht="15" hidden="false" customHeight="false" outlineLevel="0" collapsed="false">
      <c r="B3725" s="53"/>
      <c r="I3725" s="53"/>
      <c r="U3725" s="31" t="n">
        <f aca="false">IF($B3725&lt;&gt;'設定（最初に1回）'!$C$4,N(U3724),IF(COUNTIFS(①今日の在庫を貼る!$B$6:$B$10005,$B3725,①今日の在庫を貼る!$I$6:$I$10005,$I3725)&gt;0,N(U3724),N(U3724)+1))</f>
        <v>2</v>
      </c>
    </row>
    <row r="3726" customFormat="false" ht="15" hidden="false" customHeight="false" outlineLevel="0" collapsed="false">
      <c r="B3726" s="53"/>
      <c r="I3726" s="53"/>
      <c r="U3726" s="31" t="n">
        <f aca="false">IF($B3726&lt;&gt;'設定（最初に1回）'!$C$4,N(U3725),IF(COUNTIFS(①今日の在庫を貼る!$B$6:$B$10005,$B3726,①今日の在庫を貼る!$I$6:$I$10005,$I3726)&gt;0,N(U3725),N(U3725)+1))</f>
        <v>2</v>
      </c>
    </row>
    <row r="3727" customFormat="false" ht="15" hidden="false" customHeight="false" outlineLevel="0" collapsed="false">
      <c r="B3727" s="53"/>
      <c r="I3727" s="53"/>
      <c r="U3727" s="31" t="n">
        <f aca="false">IF($B3727&lt;&gt;'設定（最初に1回）'!$C$4,N(U3726),IF(COUNTIFS(①今日の在庫を貼る!$B$6:$B$10005,$B3727,①今日の在庫を貼る!$I$6:$I$10005,$I3727)&gt;0,N(U3726),N(U3726)+1))</f>
        <v>2</v>
      </c>
    </row>
    <row r="3728" customFormat="false" ht="15" hidden="false" customHeight="false" outlineLevel="0" collapsed="false">
      <c r="B3728" s="53"/>
      <c r="I3728" s="53"/>
      <c r="U3728" s="31" t="n">
        <f aca="false">IF($B3728&lt;&gt;'設定（最初に1回）'!$C$4,N(U3727),IF(COUNTIFS(①今日の在庫を貼る!$B$6:$B$10005,$B3728,①今日の在庫を貼る!$I$6:$I$10005,$I3728)&gt;0,N(U3727),N(U3727)+1))</f>
        <v>2</v>
      </c>
    </row>
    <row r="3729" customFormat="false" ht="15" hidden="false" customHeight="false" outlineLevel="0" collapsed="false">
      <c r="B3729" s="53"/>
      <c r="I3729" s="53"/>
      <c r="U3729" s="31" t="n">
        <f aca="false">IF($B3729&lt;&gt;'設定（最初に1回）'!$C$4,N(U3728),IF(COUNTIFS(①今日の在庫を貼る!$B$6:$B$10005,$B3729,①今日の在庫を貼る!$I$6:$I$10005,$I3729)&gt;0,N(U3728),N(U3728)+1))</f>
        <v>2</v>
      </c>
    </row>
    <row r="3730" customFormat="false" ht="15" hidden="false" customHeight="false" outlineLevel="0" collapsed="false">
      <c r="B3730" s="53"/>
      <c r="I3730" s="53"/>
      <c r="U3730" s="31" t="n">
        <f aca="false">IF($B3730&lt;&gt;'設定（最初に1回）'!$C$4,N(U3729),IF(COUNTIFS(①今日の在庫を貼る!$B$6:$B$10005,$B3730,①今日の在庫を貼る!$I$6:$I$10005,$I3730)&gt;0,N(U3729),N(U3729)+1))</f>
        <v>2</v>
      </c>
    </row>
    <row r="3731" customFormat="false" ht="15" hidden="false" customHeight="false" outlineLevel="0" collapsed="false">
      <c r="B3731" s="53"/>
      <c r="I3731" s="53"/>
      <c r="U3731" s="31" t="n">
        <f aca="false">IF($B3731&lt;&gt;'設定（最初に1回）'!$C$4,N(U3730),IF(COUNTIFS(①今日の在庫を貼る!$B$6:$B$10005,$B3731,①今日の在庫を貼る!$I$6:$I$10005,$I3731)&gt;0,N(U3730),N(U3730)+1))</f>
        <v>2</v>
      </c>
    </row>
    <row r="3732" customFormat="false" ht="15" hidden="false" customHeight="false" outlineLevel="0" collapsed="false">
      <c r="B3732" s="53"/>
      <c r="I3732" s="53"/>
      <c r="U3732" s="31" t="n">
        <f aca="false">IF($B3732&lt;&gt;'設定（最初に1回）'!$C$4,N(U3731),IF(COUNTIFS(①今日の在庫を貼る!$B$6:$B$10005,$B3732,①今日の在庫を貼る!$I$6:$I$10005,$I3732)&gt;0,N(U3731),N(U3731)+1))</f>
        <v>2</v>
      </c>
    </row>
    <row r="3733" customFormat="false" ht="15" hidden="false" customHeight="false" outlineLevel="0" collapsed="false">
      <c r="B3733" s="53"/>
      <c r="I3733" s="53"/>
      <c r="U3733" s="31" t="n">
        <f aca="false">IF($B3733&lt;&gt;'設定（最初に1回）'!$C$4,N(U3732),IF(COUNTIFS(①今日の在庫を貼る!$B$6:$B$10005,$B3733,①今日の在庫を貼る!$I$6:$I$10005,$I3733)&gt;0,N(U3732),N(U3732)+1))</f>
        <v>2</v>
      </c>
    </row>
    <row r="3734" customFormat="false" ht="15" hidden="false" customHeight="false" outlineLevel="0" collapsed="false">
      <c r="B3734" s="53"/>
      <c r="I3734" s="53"/>
      <c r="U3734" s="31" t="n">
        <f aca="false">IF($B3734&lt;&gt;'設定（最初に1回）'!$C$4,N(U3733),IF(COUNTIFS(①今日の在庫を貼る!$B$6:$B$10005,$B3734,①今日の在庫を貼る!$I$6:$I$10005,$I3734)&gt;0,N(U3733),N(U3733)+1))</f>
        <v>2</v>
      </c>
    </row>
    <row r="3735" customFormat="false" ht="15" hidden="false" customHeight="false" outlineLevel="0" collapsed="false">
      <c r="B3735" s="53"/>
      <c r="I3735" s="53"/>
      <c r="U3735" s="31" t="n">
        <f aca="false">IF($B3735&lt;&gt;'設定（最初に1回）'!$C$4,N(U3734),IF(COUNTIFS(①今日の在庫を貼る!$B$6:$B$10005,$B3735,①今日の在庫を貼る!$I$6:$I$10005,$I3735)&gt;0,N(U3734),N(U3734)+1))</f>
        <v>2</v>
      </c>
    </row>
    <row r="3736" customFormat="false" ht="15" hidden="false" customHeight="false" outlineLevel="0" collapsed="false">
      <c r="B3736" s="53"/>
      <c r="I3736" s="53"/>
      <c r="U3736" s="31" t="n">
        <f aca="false">IF($B3736&lt;&gt;'設定（最初に1回）'!$C$4,N(U3735),IF(COUNTIFS(①今日の在庫を貼る!$B$6:$B$10005,$B3736,①今日の在庫を貼る!$I$6:$I$10005,$I3736)&gt;0,N(U3735),N(U3735)+1))</f>
        <v>2</v>
      </c>
    </row>
    <row r="3737" customFormat="false" ht="15" hidden="false" customHeight="false" outlineLevel="0" collapsed="false">
      <c r="B3737" s="53"/>
      <c r="I3737" s="53"/>
      <c r="U3737" s="31" t="n">
        <f aca="false">IF($B3737&lt;&gt;'設定（最初に1回）'!$C$4,N(U3736),IF(COUNTIFS(①今日の在庫を貼る!$B$6:$B$10005,$B3737,①今日の在庫を貼る!$I$6:$I$10005,$I3737)&gt;0,N(U3736),N(U3736)+1))</f>
        <v>2</v>
      </c>
    </row>
    <row r="3738" customFormat="false" ht="15" hidden="false" customHeight="false" outlineLevel="0" collapsed="false">
      <c r="B3738" s="53"/>
      <c r="I3738" s="53"/>
      <c r="U3738" s="31" t="n">
        <f aca="false">IF($B3738&lt;&gt;'設定（最初に1回）'!$C$4,N(U3737),IF(COUNTIFS(①今日の在庫を貼る!$B$6:$B$10005,$B3738,①今日の在庫を貼る!$I$6:$I$10005,$I3738)&gt;0,N(U3737),N(U3737)+1))</f>
        <v>2</v>
      </c>
    </row>
    <row r="3739" customFormat="false" ht="15" hidden="false" customHeight="false" outlineLevel="0" collapsed="false">
      <c r="B3739" s="53"/>
      <c r="I3739" s="53"/>
      <c r="U3739" s="31" t="n">
        <f aca="false">IF($B3739&lt;&gt;'設定（最初に1回）'!$C$4,N(U3738),IF(COUNTIFS(①今日の在庫を貼る!$B$6:$B$10005,$B3739,①今日の在庫を貼る!$I$6:$I$10005,$I3739)&gt;0,N(U3738),N(U3738)+1))</f>
        <v>2</v>
      </c>
    </row>
    <row r="3740" customFormat="false" ht="15" hidden="false" customHeight="false" outlineLevel="0" collapsed="false">
      <c r="B3740" s="53"/>
      <c r="I3740" s="53"/>
      <c r="U3740" s="31" t="n">
        <f aca="false">IF($B3740&lt;&gt;'設定（最初に1回）'!$C$4,N(U3739),IF(COUNTIFS(①今日の在庫を貼る!$B$6:$B$10005,$B3740,①今日の在庫を貼る!$I$6:$I$10005,$I3740)&gt;0,N(U3739),N(U3739)+1))</f>
        <v>2</v>
      </c>
    </row>
    <row r="3741" customFormat="false" ht="15" hidden="false" customHeight="false" outlineLevel="0" collapsed="false">
      <c r="B3741" s="53"/>
      <c r="I3741" s="53"/>
      <c r="U3741" s="31" t="n">
        <f aca="false">IF($B3741&lt;&gt;'設定（最初に1回）'!$C$4,N(U3740),IF(COUNTIFS(①今日の在庫を貼る!$B$6:$B$10005,$B3741,①今日の在庫を貼る!$I$6:$I$10005,$I3741)&gt;0,N(U3740),N(U3740)+1))</f>
        <v>2</v>
      </c>
    </row>
    <row r="3742" customFormat="false" ht="15" hidden="false" customHeight="false" outlineLevel="0" collapsed="false">
      <c r="B3742" s="53"/>
      <c r="I3742" s="53"/>
      <c r="U3742" s="31" t="n">
        <f aca="false">IF($B3742&lt;&gt;'設定（最初に1回）'!$C$4,N(U3741),IF(COUNTIFS(①今日の在庫を貼る!$B$6:$B$10005,$B3742,①今日の在庫を貼る!$I$6:$I$10005,$I3742)&gt;0,N(U3741),N(U3741)+1))</f>
        <v>2</v>
      </c>
    </row>
    <row r="3743" customFormat="false" ht="15" hidden="false" customHeight="false" outlineLevel="0" collapsed="false">
      <c r="B3743" s="53"/>
      <c r="I3743" s="53"/>
      <c r="U3743" s="31" t="n">
        <f aca="false">IF($B3743&lt;&gt;'設定（最初に1回）'!$C$4,N(U3742),IF(COUNTIFS(①今日の在庫を貼る!$B$6:$B$10005,$B3743,①今日の在庫を貼る!$I$6:$I$10005,$I3743)&gt;0,N(U3742),N(U3742)+1))</f>
        <v>2</v>
      </c>
    </row>
    <row r="3744" customFormat="false" ht="15" hidden="false" customHeight="false" outlineLevel="0" collapsed="false">
      <c r="B3744" s="53"/>
      <c r="I3744" s="53"/>
      <c r="U3744" s="31" t="n">
        <f aca="false">IF($B3744&lt;&gt;'設定（最初に1回）'!$C$4,N(U3743),IF(COUNTIFS(①今日の在庫を貼る!$B$6:$B$10005,$B3744,①今日の在庫を貼る!$I$6:$I$10005,$I3744)&gt;0,N(U3743),N(U3743)+1))</f>
        <v>2</v>
      </c>
    </row>
    <row r="3745" customFormat="false" ht="15" hidden="false" customHeight="false" outlineLevel="0" collapsed="false">
      <c r="B3745" s="53"/>
      <c r="I3745" s="53"/>
      <c r="U3745" s="31" t="n">
        <f aca="false">IF($B3745&lt;&gt;'設定（最初に1回）'!$C$4,N(U3744),IF(COUNTIFS(①今日の在庫を貼る!$B$6:$B$10005,$B3745,①今日の在庫を貼る!$I$6:$I$10005,$I3745)&gt;0,N(U3744),N(U3744)+1))</f>
        <v>2</v>
      </c>
    </row>
    <row r="3746" customFormat="false" ht="15" hidden="false" customHeight="false" outlineLevel="0" collapsed="false">
      <c r="B3746" s="53"/>
      <c r="I3746" s="53"/>
      <c r="U3746" s="31" t="n">
        <f aca="false">IF($B3746&lt;&gt;'設定（最初に1回）'!$C$4,N(U3745),IF(COUNTIFS(①今日の在庫を貼る!$B$6:$B$10005,$B3746,①今日の在庫を貼る!$I$6:$I$10005,$I3746)&gt;0,N(U3745),N(U3745)+1))</f>
        <v>2</v>
      </c>
    </row>
    <row r="3747" customFormat="false" ht="15" hidden="false" customHeight="false" outlineLevel="0" collapsed="false">
      <c r="B3747" s="53"/>
      <c r="I3747" s="53"/>
      <c r="U3747" s="31" t="n">
        <f aca="false">IF($B3747&lt;&gt;'設定（最初に1回）'!$C$4,N(U3746),IF(COUNTIFS(①今日の在庫を貼る!$B$6:$B$10005,$B3747,①今日の在庫を貼る!$I$6:$I$10005,$I3747)&gt;0,N(U3746),N(U3746)+1))</f>
        <v>2</v>
      </c>
    </row>
    <row r="3748" customFormat="false" ht="15" hidden="false" customHeight="false" outlineLevel="0" collapsed="false">
      <c r="B3748" s="53"/>
      <c r="I3748" s="53"/>
      <c r="U3748" s="31" t="n">
        <f aca="false">IF($B3748&lt;&gt;'設定（最初に1回）'!$C$4,N(U3747),IF(COUNTIFS(①今日の在庫を貼る!$B$6:$B$10005,$B3748,①今日の在庫を貼る!$I$6:$I$10005,$I3748)&gt;0,N(U3747),N(U3747)+1))</f>
        <v>2</v>
      </c>
    </row>
    <row r="3749" customFormat="false" ht="15" hidden="false" customHeight="false" outlineLevel="0" collapsed="false">
      <c r="B3749" s="53"/>
      <c r="I3749" s="53"/>
      <c r="U3749" s="31" t="n">
        <f aca="false">IF($B3749&lt;&gt;'設定（最初に1回）'!$C$4,N(U3748),IF(COUNTIFS(①今日の在庫を貼る!$B$6:$B$10005,$B3749,①今日の在庫を貼る!$I$6:$I$10005,$I3749)&gt;0,N(U3748),N(U3748)+1))</f>
        <v>2</v>
      </c>
    </row>
    <row r="3750" customFormat="false" ht="15" hidden="false" customHeight="false" outlineLevel="0" collapsed="false">
      <c r="B3750" s="53"/>
      <c r="I3750" s="53"/>
      <c r="U3750" s="31" t="n">
        <f aca="false">IF($B3750&lt;&gt;'設定（最初に1回）'!$C$4,N(U3749),IF(COUNTIFS(①今日の在庫を貼る!$B$6:$B$10005,$B3750,①今日の在庫を貼る!$I$6:$I$10005,$I3750)&gt;0,N(U3749),N(U3749)+1))</f>
        <v>2</v>
      </c>
    </row>
    <row r="3751" customFormat="false" ht="15" hidden="false" customHeight="false" outlineLevel="0" collapsed="false">
      <c r="B3751" s="53"/>
      <c r="I3751" s="53"/>
      <c r="U3751" s="31" t="n">
        <f aca="false">IF($B3751&lt;&gt;'設定（最初に1回）'!$C$4,N(U3750),IF(COUNTIFS(①今日の在庫を貼る!$B$6:$B$10005,$B3751,①今日の在庫を貼る!$I$6:$I$10005,$I3751)&gt;0,N(U3750),N(U3750)+1))</f>
        <v>2</v>
      </c>
    </row>
    <row r="3752" customFormat="false" ht="15" hidden="false" customHeight="false" outlineLevel="0" collapsed="false">
      <c r="B3752" s="53"/>
      <c r="I3752" s="53"/>
      <c r="U3752" s="31" t="n">
        <f aca="false">IF($B3752&lt;&gt;'設定（最初に1回）'!$C$4,N(U3751),IF(COUNTIFS(①今日の在庫を貼る!$B$6:$B$10005,$B3752,①今日の在庫を貼る!$I$6:$I$10005,$I3752)&gt;0,N(U3751),N(U3751)+1))</f>
        <v>2</v>
      </c>
    </row>
    <row r="3753" customFormat="false" ht="15" hidden="false" customHeight="false" outlineLevel="0" collapsed="false">
      <c r="B3753" s="53"/>
      <c r="I3753" s="53"/>
      <c r="U3753" s="31" t="n">
        <f aca="false">IF($B3753&lt;&gt;'設定（最初に1回）'!$C$4,N(U3752),IF(COUNTIFS(①今日の在庫を貼る!$B$6:$B$10005,$B3753,①今日の在庫を貼る!$I$6:$I$10005,$I3753)&gt;0,N(U3752),N(U3752)+1))</f>
        <v>2</v>
      </c>
    </row>
    <row r="3754" customFormat="false" ht="15" hidden="false" customHeight="false" outlineLevel="0" collapsed="false">
      <c r="B3754" s="53"/>
      <c r="I3754" s="53"/>
      <c r="U3754" s="31" t="n">
        <f aca="false">IF($B3754&lt;&gt;'設定（最初に1回）'!$C$4,N(U3753),IF(COUNTIFS(①今日の在庫を貼る!$B$6:$B$10005,$B3754,①今日の在庫を貼る!$I$6:$I$10005,$I3754)&gt;0,N(U3753),N(U3753)+1))</f>
        <v>2</v>
      </c>
    </row>
    <row r="3755" customFormat="false" ht="15" hidden="false" customHeight="false" outlineLevel="0" collapsed="false">
      <c r="B3755" s="53"/>
      <c r="I3755" s="53"/>
      <c r="U3755" s="31" t="n">
        <f aca="false">IF($B3755&lt;&gt;'設定（最初に1回）'!$C$4,N(U3754),IF(COUNTIFS(①今日の在庫を貼る!$B$6:$B$10005,$B3755,①今日の在庫を貼る!$I$6:$I$10005,$I3755)&gt;0,N(U3754),N(U3754)+1))</f>
        <v>2</v>
      </c>
    </row>
    <row r="3756" customFormat="false" ht="15" hidden="false" customHeight="false" outlineLevel="0" collapsed="false">
      <c r="B3756" s="53"/>
      <c r="I3756" s="53"/>
      <c r="U3756" s="31" t="n">
        <f aca="false">IF($B3756&lt;&gt;'設定（最初に1回）'!$C$4,N(U3755),IF(COUNTIFS(①今日の在庫を貼る!$B$6:$B$10005,$B3756,①今日の在庫を貼る!$I$6:$I$10005,$I3756)&gt;0,N(U3755),N(U3755)+1))</f>
        <v>2</v>
      </c>
    </row>
    <row r="3757" customFormat="false" ht="15" hidden="false" customHeight="false" outlineLevel="0" collapsed="false">
      <c r="B3757" s="53"/>
      <c r="I3757" s="53"/>
      <c r="U3757" s="31" t="n">
        <f aca="false">IF($B3757&lt;&gt;'設定（最初に1回）'!$C$4,N(U3756),IF(COUNTIFS(①今日の在庫を貼る!$B$6:$B$10005,$B3757,①今日の在庫を貼る!$I$6:$I$10005,$I3757)&gt;0,N(U3756),N(U3756)+1))</f>
        <v>2</v>
      </c>
    </row>
    <row r="3758" customFormat="false" ht="15" hidden="false" customHeight="false" outlineLevel="0" collapsed="false">
      <c r="B3758" s="53"/>
      <c r="I3758" s="53"/>
      <c r="U3758" s="31" t="n">
        <f aca="false">IF($B3758&lt;&gt;'設定（最初に1回）'!$C$4,N(U3757),IF(COUNTIFS(①今日の在庫を貼る!$B$6:$B$10005,$B3758,①今日の在庫を貼る!$I$6:$I$10005,$I3758)&gt;0,N(U3757),N(U3757)+1))</f>
        <v>2</v>
      </c>
    </row>
    <row r="3759" customFormat="false" ht="15" hidden="false" customHeight="false" outlineLevel="0" collapsed="false">
      <c r="B3759" s="53"/>
      <c r="I3759" s="53"/>
      <c r="U3759" s="31" t="n">
        <f aca="false">IF($B3759&lt;&gt;'設定（最初に1回）'!$C$4,N(U3758),IF(COUNTIFS(①今日の在庫を貼る!$B$6:$B$10005,$B3759,①今日の在庫を貼る!$I$6:$I$10005,$I3759)&gt;0,N(U3758),N(U3758)+1))</f>
        <v>2</v>
      </c>
    </row>
    <row r="3760" customFormat="false" ht="15" hidden="false" customHeight="false" outlineLevel="0" collapsed="false">
      <c r="B3760" s="53"/>
      <c r="I3760" s="53"/>
      <c r="U3760" s="31" t="n">
        <f aca="false">IF($B3760&lt;&gt;'設定（最初に1回）'!$C$4,N(U3759),IF(COUNTIFS(①今日の在庫を貼る!$B$6:$B$10005,$B3760,①今日の在庫を貼る!$I$6:$I$10005,$I3760)&gt;0,N(U3759),N(U3759)+1))</f>
        <v>2</v>
      </c>
    </row>
    <row r="3761" customFormat="false" ht="15" hidden="false" customHeight="false" outlineLevel="0" collapsed="false">
      <c r="B3761" s="53"/>
      <c r="I3761" s="53"/>
      <c r="U3761" s="31" t="n">
        <f aca="false">IF($B3761&lt;&gt;'設定（最初に1回）'!$C$4,N(U3760),IF(COUNTIFS(①今日の在庫を貼る!$B$6:$B$10005,$B3761,①今日の在庫を貼る!$I$6:$I$10005,$I3761)&gt;0,N(U3760),N(U3760)+1))</f>
        <v>2</v>
      </c>
    </row>
    <row r="3762" customFormat="false" ht="15" hidden="false" customHeight="false" outlineLevel="0" collapsed="false">
      <c r="B3762" s="53"/>
      <c r="I3762" s="53"/>
      <c r="U3762" s="31" t="n">
        <f aca="false">IF($B3762&lt;&gt;'設定（最初に1回）'!$C$4,N(U3761),IF(COUNTIFS(①今日の在庫を貼る!$B$6:$B$10005,$B3762,①今日の在庫を貼る!$I$6:$I$10005,$I3762)&gt;0,N(U3761),N(U3761)+1))</f>
        <v>2</v>
      </c>
    </row>
    <row r="3763" customFormat="false" ht="15" hidden="false" customHeight="false" outlineLevel="0" collapsed="false">
      <c r="B3763" s="53"/>
      <c r="I3763" s="53"/>
      <c r="U3763" s="31" t="n">
        <f aca="false">IF($B3763&lt;&gt;'設定（最初に1回）'!$C$4,N(U3762),IF(COUNTIFS(①今日の在庫を貼る!$B$6:$B$10005,$B3763,①今日の在庫を貼る!$I$6:$I$10005,$I3763)&gt;0,N(U3762),N(U3762)+1))</f>
        <v>2</v>
      </c>
    </row>
    <row r="3764" customFormat="false" ht="15" hidden="false" customHeight="false" outlineLevel="0" collapsed="false">
      <c r="B3764" s="53"/>
      <c r="I3764" s="53"/>
      <c r="U3764" s="31" t="n">
        <f aca="false">IF($B3764&lt;&gt;'設定（最初に1回）'!$C$4,N(U3763),IF(COUNTIFS(①今日の在庫を貼る!$B$6:$B$10005,$B3764,①今日の在庫を貼る!$I$6:$I$10005,$I3764)&gt;0,N(U3763),N(U3763)+1))</f>
        <v>2</v>
      </c>
    </row>
    <row r="3765" customFormat="false" ht="15" hidden="false" customHeight="false" outlineLevel="0" collapsed="false">
      <c r="B3765" s="53"/>
      <c r="I3765" s="53"/>
      <c r="U3765" s="31" t="n">
        <f aca="false">IF($B3765&lt;&gt;'設定（最初に1回）'!$C$4,N(U3764),IF(COUNTIFS(①今日の在庫を貼る!$B$6:$B$10005,$B3765,①今日の在庫を貼る!$I$6:$I$10005,$I3765)&gt;0,N(U3764),N(U3764)+1))</f>
        <v>2</v>
      </c>
    </row>
    <row r="3766" customFormat="false" ht="15" hidden="false" customHeight="false" outlineLevel="0" collapsed="false">
      <c r="B3766" s="53"/>
      <c r="I3766" s="53"/>
      <c r="U3766" s="31" t="n">
        <f aca="false">IF($B3766&lt;&gt;'設定（最初に1回）'!$C$4,N(U3765),IF(COUNTIFS(①今日の在庫を貼る!$B$6:$B$10005,$B3766,①今日の在庫を貼る!$I$6:$I$10005,$I3766)&gt;0,N(U3765),N(U3765)+1))</f>
        <v>2</v>
      </c>
    </row>
    <row r="3767" customFormat="false" ht="15" hidden="false" customHeight="false" outlineLevel="0" collapsed="false">
      <c r="B3767" s="53"/>
      <c r="I3767" s="53"/>
      <c r="U3767" s="31" t="n">
        <f aca="false">IF($B3767&lt;&gt;'設定（最初に1回）'!$C$4,N(U3766),IF(COUNTIFS(①今日の在庫を貼る!$B$6:$B$10005,$B3767,①今日の在庫を貼る!$I$6:$I$10005,$I3767)&gt;0,N(U3766),N(U3766)+1))</f>
        <v>2</v>
      </c>
    </row>
    <row r="3768" customFormat="false" ht="15" hidden="false" customHeight="false" outlineLevel="0" collapsed="false">
      <c r="B3768" s="53"/>
      <c r="I3768" s="53"/>
      <c r="U3768" s="31" t="n">
        <f aca="false">IF($B3768&lt;&gt;'設定（最初に1回）'!$C$4,N(U3767),IF(COUNTIFS(①今日の在庫を貼る!$B$6:$B$10005,$B3768,①今日の在庫を貼る!$I$6:$I$10005,$I3768)&gt;0,N(U3767),N(U3767)+1))</f>
        <v>2</v>
      </c>
    </row>
    <row r="3769" customFormat="false" ht="15" hidden="false" customHeight="false" outlineLevel="0" collapsed="false">
      <c r="B3769" s="53"/>
      <c r="I3769" s="53"/>
      <c r="U3769" s="31" t="n">
        <f aca="false">IF($B3769&lt;&gt;'設定（最初に1回）'!$C$4,N(U3768),IF(COUNTIFS(①今日の在庫を貼る!$B$6:$B$10005,$B3769,①今日の在庫を貼る!$I$6:$I$10005,$I3769)&gt;0,N(U3768),N(U3768)+1))</f>
        <v>2</v>
      </c>
    </row>
    <row r="3770" customFormat="false" ht="15" hidden="false" customHeight="false" outlineLevel="0" collapsed="false">
      <c r="B3770" s="53"/>
      <c r="I3770" s="53"/>
      <c r="U3770" s="31" t="n">
        <f aca="false">IF($B3770&lt;&gt;'設定（最初に1回）'!$C$4,N(U3769),IF(COUNTIFS(①今日の在庫を貼る!$B$6:$B$10005,$B3770,①今日の在庫を貼る!$I$6:$I$10005,$I3770)&gt;0,N(U3769),N(U3769)+1))</f>
        <v>2</v>
      </c>
    </row>
    <row r="3771" customFormat="false" ht="15" hidden="false" customHeight="false" outlineLevel="0" collapsed="false">
      <c r="B3771" s="53"/>
      <c r="I3771" s="53"/>
      <c r="U3771" s="31" t="n">
        <f aca="false">IF($B3771&lt;&gt;'設定（最初に1回）'!$C$4,N(U3770),IF(COUNTIFS(①今日の在庫を貼る!$B$6:$B$10005,$B3771,①今日の在庫を貼る!$I$6:$I$10005,$I3771)&gt;0,N(U3770),N(U3770)+1))</f>
        <v>2</v>
      </c>
    </row>
    <row r="3772" customFormat="false" ht="15" hidden="false" customHeight="false" outlineLevel="0" collapsed="false">
      <c r="B3772" s="53"/>
      <c r="I3772" s="53"/>
      <c r="U3772" s="31" t="n">
        <f aca="false">IF($B3772&lt;&gt;'設定（最初に1回）'!$C$4,N(U3771),IF(COUNTIFS(①今日の在庫を貼る!$B$6:$B$10005,$B3772,①今日の在庫を貼る!$I$6:$I$10005,$I3772)&gt;0,N(U3771),N(U3771)+1))</f>
        <v>2</v>
      </c>
    </row>
    <row r="3773" customFormat="false" ht="15" hidden="false" customHeight="false" outlineLevel="0" collapsed="false">
      <c r="B3773" s="53"/>
      <c r="I3773" s="53"/>
      <c r="U3773" s="31" t="n">
        <f aca="false">IF($B3773&lt;&gt;'設定（最初に1回）'!$C$4,N(U3772),IF(COUNTIFS(①今日の在庫を貼る!$B$6:$B$10005,$B3773,①今日の在庫を貼る!$I$6:$I$10005,$I3773)&gt;0,N(U3772),N(U3772)+1))</f>
        <v>2</v>
      </c>
    </row>
    <row r="3774" customFormat="false" ht="15" hidden="false" customHeight="false" outlineLevel="0" collapsed="false">
      <c r="B3774" s="53"/>
      <c r="I3774" s="53"/>
      <c r="U3774" s="31" t="n">
        <f aca="false">IF($B3774&lt;&gt;'設定（最初に1回）'!$C$4,N(U3773),IF(COUNTIFS(①今日の在庫を貼る!$B$6:$B$10005,$B3774,①今日の在庫を貼る!$I$6:$I$10005,$I3774)&gt;0,N(U3773),N(U3773)+1))</f>
        <v>2</v>
      </c>
    </row>
    <row r="3775" customFormat="false" ht="15" hidden="false" customHeight="false" outlineLevel="0" collapsed="false">
      <c r="B3775" s="53"/>
      <c r="I3775" s="53"/>
      <c r="U3775" s="31" t="n">
        <f aca="false">IF($B3775&lt;&gt;'設定（最初に1回）'!$C$4,N(U3774),IF(COUNTIFS(①今日の在庫を貼る!$B$6:$B$10005,$B3775,①今日の在庫を貼る!$I$6:$I$10005,$I3775)&gt;0,N(U3774),N(U3774)+1))</f>
        <v>2</v>
      </c>
    </row>
    <row r="3776" customFormat="false" ht="15" hidden="false" customHeight="false" outlineLevel="0" collapsed="false">
      <c r="B3776" s="53"/>
      <c r="I3776" s="53"/>
      <c r="U3776" s="31" t="n">
        <f aca="false">IF($B3776&lt;&gt;'設定（最初に1回）'!$C$4,N(U3775),IF(COUNTIFS(①今日の在庫を貼る!$B$6:$B$10005,$B3776,①今日の在庫を貼る!$I$6:$I$10005,$I3776)&gt;0,N(U3775),N(U3775)+1))</f>
        <v>2</v>
      </c>
    </row>
    <row r="3777" customFormat="false" ht="15" hidden="false" customHeight="false" outlineLevel="0" collapsed="false">
      <c r="B3777" s="53"/>
      <c r="I3777" s="53"/>
      <c r="U3777" s="31" t="n">
        <f aca="false">IF($B3777&lt;&gt;'設定（最初に1回）'!$C$4,N(U3776),IF(COUNTIFS(①今日の在庫を貼る!$B$6:$B$10005,$B3777,①今日の在庫を貼る!$I$6:$I$10005,$I3777)&gt;0,N(U3776),N(U3776)+1))</f>
        <v>2</v>
      </c>
    </row>
    <row r="3778" customFormat="false" ht="15" hidden="false" customHeight="false" outlineLevel="0" collapsed="false">
      <c r="B3778" s="53"/>
      <c r="I3778" s="53"/>
      <c r="U3778" s="31" t="n">
        <f aca="false">IF($B3778&lt;&gt;'設定（最初に1回）'!$C$4,N(U3777),IF(COUNTIFS(①今日の在庫を貼る!$B$6:$B$10005,$B3778,①今日の在庫を貼る!$I$6:$I$10005,$I3778)&gt;0,N(U3777),N(U3777)+1))</f>
        <v>2</v>
      </c>
    </row>
    <row r="3779" customFormat="false" ht="15" hidden="false" customHeight="false" outlineLevel="0" collapsed="false">
      <c r="B3779" s="53"/>
      <c r="I3779" s="53"/>
      <c r="U3779" s="31" t="n">
        <f aca="false">IF($B3779&lt;&gt;'設定（最初に1回）'!$C$4,N(U3778),IF(COUNTIFS(①今日の在庫を貼る!$B$6:$B$10005,$B3779,①今日の在庫を貼る!$I$6:$I$10005,$I3779)&gt;0,N(U3778),N(U3778)+1))</f>
        <v>2</v>
      </c>
    </row>
    <row r="3780" customFormat="false" ht="15" hidden="false" customHeight="false" outlineLevel="0" collapsed="false">
      <c r="B3780" s="53"/>
      <c r="I3780" s="53"/>
      <c r="U3780" s="31" t="n">
        <f aca="false">IF($B3780&lt;&gt;'設定（最初に1回）'!$C$4,N(U3779),IF(COUNTIFS(①今日の在庫を貼る!$B$6:$B$10005,$B3780,①今日の在庫を貼る!$I$6:$I$10005,$I3780)&gt;0,N(U3779),N(U3779)+1))</f>
        <v>2</v>
      </c>
    </row>
    <row r="3781" customFormat="false" ht="15" hidden="false" customHeight="false" outlineLevel="0" collapsed="false">
      <c r="B3781" s="53"/>
      <c r="I3781" s="53"/>
      <c r="U3781" s="31" t="n">
        <f aca="false">IF($B3781&lt;&gt;'設定（最初に1回）'!$C$4,N(U3780),IF(COUNTIFS(①今日の在庫を貼る!$B$6:$B$10005,$B3781,①今日の在庫を貼る!$I$6:$I$10005,$I3781)&gt;0,N(U3780),N(U3780)+1))</f>
        <v>2</v>
      </c>
    </row>
    <row r="3782" customFormat="false" ht="15" hidden="false" customHeight="false" outlineLevel="0" collapsed="false">
      <c r="B3782" s="53"/>
      <c r="I3782" s="53"/>
      <c r="U3782" s="31" t="n">
        <f aca="false">IF($B3782&lt;&gt;'設定（最初に1回）'!$C$4,N(U3781),IF(COUNTIFS(①今日の在庫を貼る!$B$6:$B$10005,$B3782,①今日の在庫を貼る!$I$6:$I$10005,$I3782)&gt;0,N(U3781),N(U3781)+1))</f>
        <v>2</v>
      </c>
    </row>
    <row r="3783" customFormat="false" ht="15" hidden="false" customHeight="false" outlineLevel="0" collapsed="false">
      <c r="B3783" s="53"/>
      <c r="I3783" s="53"/>
      <c r="U3783" s="31" t="n">
        <f aca="false">IF($B3783&lt;&gt;'設定（最初に1回）'!$C$4,N(U3782),IF(COUNTIFS(①今日の在庫を貼る!$B$6:$B$10005,$B3783,①今日の在庫を貼る!$I$6:$I$10005,$I3783)&gt;0,N(U3782),N(U3782)+1))</f>
        <v>2</v>
      </c>
    </row>
    <row r="3784" customFormat="false" ht="15" hidden="false" customHeight="false" outlineLevel="0" collapsed="false">
      <c r="B3784" s="53"/>
      <c r="I3784" s="53"/>
      <c r="U3784" s="31" t="n">
        <f aca="false">IF($B3784&lt;&gt;'設定（最初に1回）'!$C$4,N(U3783),IF(COUNTIFS(①今日の在庫を貼る!$B$6:$B$10005,$B3784,①今日の在庫を貼る!$I$6:$I$10005,$I3784)&gt;0,N(U3783),N(U3783)+1))</f>
        <v>2</v>
      </c>
    </row>
    <row r="3785" customFormat="false" ht="15" hidden="false" customHeight="false" outlineLevel="0" collapsed="false">
      <c r="B3785" s="53"/>
      <c r="I3785" s="53"/>
      <c r="U3785" s="31" t="n">
        <f aca="false">IF($B3785&lt;&gt;'設定（最初に1回）'!$C$4,N(U3784),IF(COUNTIFS(①今日の在庫を貼る!$B$6:$B$10005,$B3785,①今日の在庫を貼る!$I$6:$I$10005,$I3785)&gt;0,N(U3784),N(U3784)+1))</f>
        <v>2</v>
      </c>
    </row>
    <row r="3786" customFormat="false" ht="15" hidden="false" customHeight="false" outlineLevel="0" collapsed="false">
      <c r="B3786" s="53"/>
      <c r="I3786" s="53"/>
      <c r="U3786" s="31" t="n">
        <f aca="false">IF($B3786&lt;&gt;'設定（最初に1回）'!$C$4,N(U3785),IF(COUNTIFS(①今日の在庫を貼る!$B$6:$B$10005,$B3786,①今日の在庫を貼る!$I$6:$I$10005,$I3786)&gt;0,N(U3785),N(U3785)+1))</f>
        <v>2</v>
      </c>
    </row>
    <row r="3787" customFormat="false" ht="15" hidden="false" customHeight="false" outlineLevel="0" collapsed="false">
      <c r="B3787" s="53"/>
      <c r="I3787" s="53"/>
      <c r="U3787" s="31" t="n">
        <f aca="false">IF($B3787&lt;&gt;'設定（最初に1回）'!$C$4,N(U3786),IF(COUNTIFS(①今日の在庫を貼る!$B$6:$B$10005,$B3787,①今日の在庫を貼る!$I$6:$I$10005,$I3787)&gt;0,N(U3786),N(U3786)+1))</f>
        <v>2</v>
      </c>
    </row>
    <row r="3788" customFormat="false" ht="15" hidden="false" customHeight="false" outlineLevel="0" collapsed="false">
      <c r="B3788" s="53"/>
      <c r="I3788" s="53"/>
      <c r="U3788" s="31" t="n">
        <f aca="false">IF($B3788&lt;&gt;'設定（最初に1回）'!$C$4,N(U3787),IF(COUNTIFS(①今日の在庫を貼る!$B$6:$B$10005,$B3788,①今日の在庫を貼る!$I$6:$I$10005,$I3788)&gt;0,N(U3787),N(U3787)+1))</f>
        <v>2</v>
      </c>
    </row>
    <row r="3789" customFormat="false" ht="15" hidden="false" customHeight="false" outlineLevel="0" collapsed="false">
      <c r="B3789" s="53"/>
      <c r="I3789" s="53"/>
      <c r="U3789" s="31" t="n">
        <f aca="false">IF($B3789&lt;&gt;'設定（最初に1回）'!$C$4,N(U3788),IF(COUNTIFS(①今日の在庫を貼る!$B$6:$B$10005,$B3789,①今日の在庫を貼る!$I$6:$I$10005,$I3789)&gt;0,N(U3788),N(U3788)+1))</f>
        <v>2</v>
      </c>
    </row>
    <row r="3790" customFormat="false" ht="15" hidden="false" customHeight="false" outlineLevel="0" collapsed="false">
      <c r="B3790" s="53"/>
      <c r="I3790" s="53"/>
      <c r="U3790" s="31" t="n">
        <f aca="false">IF($B3790&lt;&gt;'設定（最初に1回）'!$C$4,N(U3789),IF(COUNTIFS(①今日の在庫を貼る!$B$6:$B$10005,$B3790,①今日の在庫を貼る!$I$6:$I$10005,$I3790)&gt;0,N(U3789),N(U3789)+1))</f>
        <v>2</v>
      </c>
    </row>
    <row r="3791" customFormat="false" ht="15" hidden="false" customHeight="false" outlineLevel="0" collapsed="false">
      <c r="B3791" s="53"/>
      <c r="I3791" s="53"/>
      <c r="U3791" s="31" t="n">
        <f aca="false">IF($B3791&lt;&gt;'設定（最初に1回）'!$C$4,N(U3790),IF(COUNTIFS(①今日の在庫を貼る!$B$6:$B$10005,$B3791,①今日の在庫を貼る!$I$6:$I$10005,$I3791)&gt;0,N(U3790),N(U3790)+1))</f>
        <v>2</v>
      </c>
    </row>
    <row r="3792" customFormat="false" ht="15" hidden="false" customHeight="false" outlineLevel="0" collapsed="false">
      <c r="B3792" s="53"/>
      <c r="I3792" s="53"/>
      <c r="U3792" s="31" t="n">
        <f aca="false">IF($B3792&lt;&gt;'設定（最初に1回）'!$C$4,N(U3791),IF(COUNTIFS(①今日の在庫を貼る!$B$6:$B$10005,$B3792,①今日の在庫を貼る!$I$6:$I$10005,$I3792)&gt;0,N(U3791),N(U3791)+1))</f>
        <v>2</v>
      </c>
    </row>
    <row r="3793" customFormat="false" ht="15" hidden="false" customHeight="false" outlineLevel="0" collapsed="false">
      <c r="B3793" s="53"/>
      <c r="I3793" s="53"/>
      <c r="U3793" s="31" t="n">
        <f aca="false">IF($B3793&lt;&gt;'設定（最初に1回）'!$C$4,N(U3792),IF(COUNTIFS(①今日の在庫を貼る!$B$6:$B$10005,$B3793,①今日の在庫を貼る!$I$6:$I$10005,$I3793)&gt;0,N(U3792),N(U3792)+1))</f>
        <v>2</v>
      </c>
    </row>
    <row r="3794" customFormat="false" ht="15" hidden="false" customHeight="false" outlineLevel="0" collapsed="false">
      <c r="B3794" s="53"/>
      <c r="I3794" s="53"/>
      <c r="U3794" s="31" t="n">
        <f aca="false">IF($B3794&lt;&gt;'設定（最初に1回）'!$C$4,N(U3793),IF(COUNTIFS(①今日の在庫を貼る!$B$6:$B$10005,$B3794,①今日の在庫を貼る!$I$6:$I$10005,$I3794)&gt;0,N(U3793),N(U3793)+1))</f>
        <v>2</v>
      </c>
    </row>
    <row r="3795" customFormat="false" ht="15" hidden="false" customHeight="false" outlineLevel="0" collapsed="false">
      <c r="B3795" s="53"/>
      <c r="I3795" s="53"/>
      <c r="U3795" s="31" t="n">
        <f aca="false">IF($B3795&lt;&gt;'設定（最初に1回）'!$C$4,N(U3794),IF(COUNTIFS(①今日の在庫を貼る!$B$6:$B$10005,$B3795,①今日の在庫を貼る!$I$6:$I$10005,$I3795)&gt;0,N(U3794),N(U3794)+1))</f>
        <v>2</v>
      </c>
    </row>
    <row r="3796" customFormat="false" ht="15" hidden="false" customHeight="false" outlineLevel="0" collapsed="false">
      <c r="B3796" s="53"/>
      <c r="I3796" s="53"/>
      <c r="U3796" s="31" t="n">
        <f aca="false">IF($B3796&lt;&gt;'設定（最初に1回）'!$C$4,N(U3795),IF(COUNTIFS(①今日の在庫を貼る!$B$6:$B$10005,$B3796,①今日の在庫を貼る!$I$6:$I$10005,$I3796)&gt;0,N(U3795),N(U3795)+1))</f>
        <v>2</v>
      </c>
    </row>
    <row r="3797" customFormat="false" ht="15" hidden="false" customHeight="false" outlineLevel="0" collapsed="false">
      <c r="B3797" s="53"/>
      <c r="I3797" s="53"/>
      <c r="U3797" s="31" t="n">
        <f aca="false">IF($B3797&lt;&gt;'設定（最初に1回）'!$C$4,N(U3796),IF(COUNTIFS(①今日の在庫を貼る!$B$6:$B$10005,$B3797,①今日の在庫を貼る!$I$6:$I$10005,$I3797)&gt;0,N(U3796),N(U3796)+1))</f>
        <v>2</v>
      </c>
    </row>
    <row r="3798" customFormat="false" ht="15" hidden="false" customHeight="false" outlineLevel="0" collapsed="false">
      <c r="B3798" s="53"/>
      <c r="I3798" s="53"/>
      <c r="U3798" s="31" t="n">
        <f aca="false">IF($B3798&lt;&gt;'設定（最初に1回）'!$C$4,N(U3797),IF(COUNTIFS(①今日の在庫を貼る!$B$6:$B$10005,$B3798,①今日の在庫を貼る!$I$6:$I$10005,$I3798)&gt;0,N(U3797),N(U3797)+1))</f>
        <v>2</v>
      </c>
    </row>
    <row r="3799" customFormat="false" ht="15" hidden="false" customHeight="false" outlineLevel="0" collapsed="false">
      <c r="B3799" s="53"/>
      <c r="I3799" s="53"/>
      <c r="U3799" s="31" t="n">
        <f aca="false">IF($B3799&lt;&gt;'設定（最初に1回）'!$C$4,N(U3798),IF(COUNTIFS(①今日の在庫を貼る!$B$6:$B$10005,$B3799,①今日の在庫を貼る!$I$6:$I$10005,$I3799)&gt;0,N(U3798),N(U3798)+1))</f>
        <v>2</v>
      </c>
    </row>
    <row r="3800" customFormat="false" ht="15" hidden="false" customHeight="false" outlineLevel="0" collapsed="false">
      <c r="B3800" s="53"/>
      <c r="I3800" s="53"/>
      <c r="U3800" s="31" t="n">
        <f aca="false">IF($B3800&lt;&gt;'設定（最初に1回）'!$C$4,N(U3799),IF(COUNTIFS(①今日の在庫を貼る!$B$6:$B$10005,$B3800,①今日の在庫を貼る!$I$6:$I$10005,$I3800)&gt;0,N(U3799),N(U3799)+1))</f>
        <v>2</v>
      </c>
    </row>
    <row r="3801" customFormat="false" ht="15" hidden="false" customHeight="false" outlineLevel="0" collapsed="false">
      <c r="B3801" s="53"/>
      <c r="I3801" s="53"/>
      <c r="U3801" s="31" t="n">
        <f aca="false">IF($B3801&lt;&gt;'設定（最初に1回）'!$C$4,N(U3800),IF(COUNTIFS(①今日の在庫を貼る!$B$6:$B$10005,$B3801,①今日の在庫を貼る!$I$6:$I$10005,$I3801)&gt;0,N(U3800),N(U3800)+1))</f>
        <v>2</v>
      </c>
    </row>
    <row r="3802" customFormat="false" ht="15" hidden="false" customHeight="false" outlineLevel="0" collapsed="false">
      <c r="B3802" s="53"/>
      <c r="I3802" s="53"/>
      <c r="U3802" s="31" t="n">
        <f aca="false">IF($B3802&lt;&gt;'設定（最初に1回）'!$C$4,N(U3801),IF(COUNTIFS(①今日の在庫を貼る!$B$6:$B$10005,$B3802,①今日の在庫を貼る!$I$6:$I$10005,$I3802)&gt;0,N(U3801),N(U3801)+1))</f>
        <v>2</v>
      </c>
    </row>
    <row r="3803" customFormat="false" ht="15" hidden="false" customHeight="false" outlineLevel="0" collapsed="false">
      <c r="B3803" s="53"/>
      <c r="I3803" s="53"/>
      <c r="U3803" s="31" t="n">
        <f aca="false">IF($B3803&lt;&gt;'設定（最初に1回）'!$C$4,N(U3802),IF(COUNTIFS(①今日の在庫を貼る!$B$6:$B$10005,$B3803,①今日の在庫を貼る!$I$6:$I$10005,$I3803)&gt;0,N(U3802),N(U3802)+1))</f>
        <v>2</v>
      </c>
    </row>
    <row r="3804" customFormat="false" ht="15" hidden="false" customHeight="false" outlineLevel="0" collapsed="false">
      <c r="B3804" s="53"/>
      <c r="I3804" s="53"/>
      <c r="U3804" s="31" t="n">
        <f aca="false">IF($B3804&lt;&gt;'設定（最初に1回）'!$C$4,N(U3803),IF(COUNTIFS(①今日の在庫を貼る!$B$6:$B$10005,$B3804,①今日の在庫を貼る!$I$6:$I$10005,$I3804)&gt;0,N(U3803),N(U3803)+1))</f>
        <v>2</v>
      </c>
    </row>
    <row r="3805" customFormat="false" ht="15" hidden="false" customHeight="false" outlineLevel="0" collapsed="false">
      <c r="B3805" s="53"/>
      <c r="I3805" s="53"/>
      <c r="U3805" s="31" t="n">
        <f aca="false">IF($B3805&lt;&gt;'設定（最初に1回）'!$C$4,N(U3804),IF(COUNTIFS(①今日の在庫を貼る!$B$6:$B$10005,$B3805,①今日の在庫を貼る!$I$6:$I$10005,$I3805)&gt;0,N(U3804),N(U3804)+1))</f>
        <v>2</v>
      </c>
    </row>
    <row r="3806" customFormat="false" ht="15" hidden="false" customHeight="false" outlineLevel="0" collapsed="false">
      <c r="B3806" s="53"/>
      <c r="I3806" s="53"/>
      <c r="U3806" s="31" t="n">
        <f aca="false">IF($B3806&lt;&gt;'設定（最初に1回）'!$C$4,N(U3805),IF(COUNTIFS(①今日の在庫を貼る!$B$6:$B$10005,$B3806,①今日の在庫を貼る!$I$6:$I$10005,$I3806)&gt;0,N(U3805),N(U3805)+1))</f>
        <v>2</v>
      </c>
    </row>
    <row r="3807" customFormat="false" ht="15" hidden="false" customHeight="false" outlineLevel="0" collapsed="false">
      <c r="B3807" s="53"/>
      <c r="I3807" s="53"/>
      <c r="U3807" s="31" t="n">
        <f aca="false">IF($B3807&lt;&gt;'設定（最初に1回）'!$C$4,N(U3806),IF(COUNTIFS(①今日の在庫を貼る!$B$6:$B$10005,$B3807,①今日の在庫を貼る!$I$6:$I$10005,$I3807)&gt;0,N(U3806),N(U3806)+1))</f>
        <v>2</v>
      </c>
    </row>
    <row r="3808" customFormat="false" ht="15" hidden="false" customHeight="false" outlineLevel="0" collapsed="false">
      <c r="B3808" s="53"/>
      <c r="I3808" s="53"/>
      <c r="U3808" s="31" t="n">
        <f aca="false">IF($B3808&lt;&gt;'設定（最初に1回）'!$C$4,N(U3807),IF(COUNTIFS(①今日の在庫を貼る!$B$6:$B$10005,$B3808,①今日の在庫を貼る!$I$6:$I$10005,$I3808)&gt;0,N(U3807),N(U3807)+1))</f>
        <v>2</v>
      </c>
    </row>
    <row r="3809" customFormat="false" ht="15" hidden="false" customHeight="false" outlineLevel="0" collapsed="false">
      <c r="B3809" s="53"/>
      <c r="I3809" s="53"/>
      <c r="U3809" s="31" t="n">
        <f aca="false">IF($B3809&lt;&gt;'設定（最初に1回）'!$C$4,N(U3808),IF(COUNTIFS(①今日の在庫を貼る!$B$6:$B$10005,$B3809,①今日の在庫を貼る!$I$6:$I$10005,$I3809)&gt;0,N(U3808),N(U3808)+1))</f>
        <v>2</v>
      </c>
    </row>
    <row r="3810" customFormat="false" ht="15" hidden="false" customHeight="false" outlineLevel="0" collapsed="false">
      <c r="B3810" s="53"/>
      <c r="I3810" s="53"/>
      <c r="U3810" s="31" t="n">
        <f aca="false">IF($B3810&lt;&gt;'設定（最初に1回）'!$C$4,N(U3809),IF(COUNTIFS(①今日の在庫を貼る!$B$6:$B$10005,$B3810,①今日の在庫を貼る!$I$6:$I$10005,$I3810)&gt;0,N(U3809),N(U3809)+1))</f>
        <v>2</v>
      </c>
    </row>
    <row r="3811" customFormat="false" ht="15" hidden="false" customHeight="false" outlineLevel="0" collapsed="false">
      <c r="B3811" s="53"/>
      <c r="I3811" s="53"/>
      <c r="U3811" s="31" t="n">
        <f aca="false">IF($B3811&lt;&gt;'設定（最初に1回）'!$C$4,N(U3810),IF(COUNTIFS(①今日の在庫を貼る!$B$6:$B$10005,$B3811,①今日の在庫を貼る!$I$6:$I$10005,$I3811)&gt;0,N(U3810),N(U3810)+1))</f>
        <v>2</v>
      </c>
    </row>
    <row r="3812" customFormat="false" ht="15" hidden="false" customHeight="false" outlineLevel="0" collapsed="false">
      <c r="B3812" s="53"/>
      <c r="I3812" s="53"/>
      <c r="U3812" s="31" t="n">
        <f aca="false">IF($B3812&lt;&gt;'設定（最初に1回）'!$C$4,N(U3811),IF(COUNTIFS(①今日の在庫を貼る!$B$6:$B$10005,$B3812,①今日の在庫を貼る!$I$6:$I$10005,$I3812)&gt;0,N(U3811),N(U3811)+1))</f>
        <v>2</v>
      </c>
    </row>
    <row r="3813" customFormat="false" ht="15" hidden="false" customHeight="false" outlineLevel="0" collapsed="false">
      <c r="B3813" s="53"/>
      <c r="I3813" s="53"/>
      <c r="U3813" s="31" t="n">
        <f aca="false">IF($B3813&lt;&gt;'設定（最初に1回）'!$C$4,N(U3812),IF(COUNTIFS(①今日の在庫を貼る!$B$6:$B$10005,$B3813,①今日の在庫を貼る!$I$6:$I$10005,$I3813)&gt;0,N(U3812),N(U3812)+1))</f>
        <v>2</v>
      </c>
    </row>
    <row r="3814" customFormat="false" ht="15" hidden="false" customHeight="false" outlineLevel="0" collapsed="false">
      <c r="B3814" s="53"/>
      <c r="I3814" s="53"/>
      <c r="U3814" s="31" t="n">
        <f aca="false">IF($B3814&lt;&gt;'設定（最初に1回）'!$C$4,N(U3813),IF(COUNTIFS(①今日の在庫を貼る!$B$6:$B$10005,$B3814,①今日の在庫を貼る!$I$6:$I$10005,$I3814)&gt;0,N(U3813),N(U3813)+1))</f>
        <v>2</v>
      </c>
    </row>
    <row r="3815" customFormat="false" ht="15" hidden="false" customHeight="false" outlineLevel="0" collapsed="false">
      <c r="B3815" s="53"/>
      <c r="I3815" s="53"/>
      <c r="U3815" s="31" t="n">
        <f aca="false">IF($B3815&lt;&gt;'設定（最初に1回）'!$C$4,N(U3814),IF(COUNTIFS(①今日の在庫を貼る!$B$6:$B$10005,$B3815,①今日の在庫を貼る!$I$6:$I$10005,$I3815)&gt;0,N(U3814),N(U3814)+1))</f>
        <v>2</v>
      </c>
    </row>
    <row r="3816" customFormat="false" ht="15" hidden="false" customHeight="false" outlineLevel="0" collapsed="false">
      <c r="B3816" s="53"/>
      <c r="I3816" s="53"/>
      <c r="U3816" s="31" t="n">
        <f aca="false">IF($B3816&lt;&gt;'設定（最初に1回）'!$C$4,N(U3815),IF(COUNTIFS(①今日の在庫を貼る!$B$6:$B$10005,$B3816,①今日の在庫を貼る!$I$6:$I$10005,$I3816)&gt;0,N(U3815),N(U3815)+1))</f>
        <v>2</v>
      </c>
    </row>
    <row r="3817" customFormat="false" ht="15" hidden="false" customHeight="false" outlineLevel="0" collapsed="false">
      <c r="B3817" s="53"/>
      <c r="I3817" s="53"/>
      <c r="U3817" s="31" t="n">
        <f aca="false">IF($B3817&lt;&gt;'設定（最初に1回）'!$C$4,N(U3816),IF(COUNTIFS(①今日の在庫を貼る!$B$6:$B$10005,$B3817,①今日の在庫を貼る!$I$6:$I$10005,$I3817)&gt;0,N(U3816),N(U3816)+1))</f>
        <v>2</v>
      </c>
    </row>
    <row r="3818" customFormat="false" ht="15" hidden="false" customHeight="false" outlineLevel="0" collapsed="false">
      <c r="B3818" s="53"/>
      <c r="I3818" s="53"/>
      <c r="U3818" s="31" t="n">
        <f aca="false">IF($B3818&lt;&gt;'設定（最初に1回）'!$C$4,N(U3817),IF(COUNTIFS(①今日の在庫を貼る!$B$6:$B$10005,$B3818,①今日の在庫を貼る!$I$6:$I$10005,$I3818)&gt;0,N(U3817),N(U3817)+1))</f>
        <v>2</v>
      </c>
    </row>
    <row r="3819" customFormat="false" ht="15" hidden="false" customHeight="false" outlineLevel="0" collapsed="false">
      <c r="B3819" s="53"/>
      <c r="I3819" s="53"/>
      <c r="U3819" s="31" t="n">
        <f aca="false">IF($B3819&lt;&gt;'設定（最初に1回）'!$C$4,N(U3818),IF(COUNTIFS(①今日の在庫を貼る!$B$6:$B$10005,$B3819,①今日の在庫を貼る!$I$6:$I$10005,$I3819)&gt;0,N(U3818),N(U3818)+1))</f>
        <v>2</v>
      </c>
    </row>
    <row r="3820" customFormat="false" ht="15" hidden="false" customHeight="false" outlineLevel="0" collapsed="false">
      <c r="B3820" s="53"/>
      <c r="I3820" s="53"/>
      <c r="U3820" s="31" t="n">
        <f aca="false">IF($B3820&lt;&gt;'設定（最初に1回）'!$C$4,N(U3819),IF(COUNTIFS(①今日の在庫を貼る!$B$6:$B$10005,$B3820,①今日の在庫を貼る!$I$6:$I$10005,$I3820)&gt;0,N(U3819),N(U3819)+1))</f>
        <v>2</v>
      </c>
    </row>
    <row r="3821" customFormat="false" ht="15" hidden="false" customHeight="false" outlineLevel="0" collapsed="false">
      <c r="B3821" s="53"/>
      <c r="I3821" s="53"/>
      <c r="U3821" s="31" t="n">
        <f aca="false">IF($B3821&lt;&gt;'設定（最初に1回）'!$C$4,N(U3820),IF(COUNTIFS(①今日の在庫を貼る!$B$6:$B$10005,$B3821,①今日の在庫を貼る!$I$6:$I$10005,$I3821)&gt;0,N(U3820),N(U3820)+1))</f>
        <v>2</v>
      </c>
    </row>
    <row r="3822" customFormat="false" ht="15" hidden="false" customHeight="false" outlineLevel="0" collapsed="false">
      <c r="B3822" s="53"/>
      <c r="I3822" s="53"/>
      <c r="U3822" s="31" t="n">
        <f aca="false">IF($B3822&lt;&gt;'設定（最初に1回）'!$C$4,N(U3821),IF(COUNTIFS(①今日の在庫を貼る!$B$6:$B$10005,$B3822,①今日の在庫を貼る!$I$6:$I$10005,$I3822)&gt;0,N(U3821),N(U3821)+1))</f>
        <v>2</v>
      </c>
    </row>
    <row r="3823" customFormat="false" ht="15" hidden="false" customHeight="false" outlineLevel="0" collapsed="false">
      <c r="B3823" s="53"/>
      <c r="I3823" s="53"/>
      <c r="U3823" s="31" t="n">
        <f aca="false">IF($B3823&lt;&gt;'設定（最初に1回）'!$C$4,N(U3822),IF(COUNTIFS(①今日の在庫を貼る!$B$6:$B$10005,$B3823,①今日の在庫を貼る!$I$6:$I$10005,$I3823)&gt;0,N(U3822),N(U3822)+1))</f>
        <v>2</v>
      </c>
    </row>
    <row r="3824" customFormat="false" ht="15" hidden="false" customHeight="false" outlineLevel="0" collapsed="false">
      <c r="B3824" s="53"/>
      <c r="I3824" s="53"/>
      <c r="U3824" s="31" t="n">
        <f aca="false">IF($B3824&lt;&gt;'設定（最初に1回）'!$C$4,N(U3823),IF(COUNTIFS(①今日の在庫を貼る!$B$6:$B$10005,$B3824,①今日の在庫を貼る!$I$6:$I$10005,$I3824)&gt;0,N(U3823),N(U3823)+1))</f>
        <v>2</v>
      </c>
    </row>
    <row r="3825" customFormat="false" ht="15" hidden="false" customHeight="false" outlineLevel="0" collapsed="false">
      <c r="B3825" s="53"/>
      <c r="I3825" s="53"/>
      <c r="U3825" s="31" t="n">
        <f aca="false">IF($B3825&lt;&gt;'設定（最初に1回）'!$C$4,N(U3824),IF(COUNTIFS(①今日の在庫を貼る!$B$6:$B$10005,$B3825,①今日の在庫を貼る!$I$6:$I$10005,$I3825)&gt;0,N(U3824),N(U3824)+1))</f>
        <v>2</v>
      </c>
    </row>
    <row r="3826" customFormat="false" ht="15" hidden="false" customHeight="false" outlineLevel="0" collapsed="false">
      <c r="B3826" s="53"/>
      <c r="I3826" s="53"/>
      <c r="U3826" s="31" t="n">
        <f aca="false">IF($B3826&lt;&gt;'設定（最初に1回）'!$C$4,N(U3825),IF(COUNTIFS(①今日の在庫を貼る!$B$6:$B$10005,$B3826,①今日の在庫を貼る!$I$6:$I$10005,$I3826)&gt;0,N(U3825),N(U3825)+1))</f>
        <v>2</v>
      </c>
    </row>
    <row r="3827" customFormat="false" ht="15" hidden="false" customHeight="false" outlineLevel="0" collapsed="false">
      <c r="B3827" s="53"/>
      <c r="I3827" s="53"/>
      <c r="U3827" s="31" t="n">
        <f aca="false">IF($B3827&lt;&gt;'設定（最初に1回）'!$C$4,N(U3826),IF(COUNTIFS(①今日の在庫を貼る!$B$6:$B$10005,$B3827,①今日の在庫を貼る!$I$6:$I$10005,$I3827)&gt;0,N(U3826),N(U3826)+1))</f>
        <v>2</v>
      </c>
    </row>
    <row r="3828" customFormat="false" ht="15" hidden="false" customHeight="false" outlineLevel="0" collapsed="false">
      <c r="B3828" s="53"/>
      <c r="I3828" s="53"/>
      <c r="U3828" s="31" t="n">
        <f aca="false">IF($B3828&lt;&gt;'設定（最初に1回）'!$C$4,N(U3827),IF(COUNTIFS(①今日の在庫を貼る!$B$6:$B$10005,$B3828,①今日の在庫を貼る!$I$6:$I$10005,$I3828)&gt;0,N(U3827),N(U3827)+1))</f>
        <v>2</v>
      </c>
    </row>
    <row r="3829" customFormat="false" ht="15" hidden="false" customHeight="false" outlineLevel="0" collapsed="false">
      <c r="B3829" s="53"/>
      <c r="I3829" s="53"/>
      <c r="U3829" s="31" t="n">
        <f aca="false">IF($B3829&lt;&gt;'設定（最初に1回）'!$C$4,N(U3828),IF(COUNTIFS(①今日の在庫を貼る!$B$6:$B$10005,$B3829,①今日の在庫を貼る!$I$6:$I$10005,$I3829)&gt;0,N(U3828),N(U3828)+1))</f>
        <v>2</v>
      </c>
    </row>
    <row r="3830" customFormat="false" ht="15" hidden="false" customHeight="false" outlineLevel="0" collapsed="false">
      <c r="B3830" s="53"/>
      <c r="I3830" s="53"/>
      <c r="U3830" s="31" t="n">
        <f aca="false">IF($B3830&lt;&gt;'設定（最初に1回）'!$C$4,N(U3829),IF(COUNTIFS(①今日の在庫を貼る!$B$6:$B$10005,$B3830,①今日の在庫を貼る!$I$6:$I$10005,$I3830)&gt;0,N(U3829),N(U3829)+1))</f>
        <v>2</v>
      </c>
    </row>
    <row r="3831" customFormat="false" ht="15" hidden="false" customHeight="false" outlineLevel="0" collapsed="false">
      <c r="B3831" s="53"/>
      <c r="I3831" s="53"/>
      <c r="U3831" s="31" t="n">
        <f aca="false">IF($B3831&lt;&gt;'設定（最初に1回）'!$C$4,N(U3830),IF(COUNTIFS(①今日の在庫を貼る!$B$6:$B$10005,$B3831,①今日の在庫を貼る!$I$6:$I$10005,$I3831)&gt;0,N(U3830),N(U3830)+1))</f>
        <v>2</v>
      </c>
    </row>
    <row r="3832" customFormat="false" ht="15" hidden="false" customHeight="false" outlineLevel="0" collapsed="false">
      <c r="B3832" s="53"/>
      <c r="I3832" s="53"/>
      <c r="U3832" s="31" t="n">
        <f aca="false">IF($B3832&lt;&gt;'設定（最初に1回）'!$C$4,N(U3831),IF(COUNTIFS(①今日の在庫を貼る!$B$6:$B$10005,$B3832,①今日の在庫を貼る!$I$6:$I$10005,$I3832)&gt;0,N(U3831),N(U3831)+1))</f>
        <v>2</v>
      </c>
    </row>
    <row r="3833" customFormat="false" ht="15" hidden="false" customHeight="false" outlineLevel="0" collapsed="false">
      <c r="B3833" s="53"/>
      <c r="I3833" s="53"/>
      <c r="U3833" s="31" t="n">
        <f aca="false">IF($B3833&lt;&gt;'設定（最初に1回）'!$C$4,N(U3832),IF(COUNTIFS(①今日の在庫を貼る!$B$6:$B$10005,$B3833,①今日の在庫を貼る!$I$6:$I$10005,$I3833)&gt;0,N(U3832),N(U3832)+1))</f>
        <v>2</v>
      </c>
    </row>
    <row r="3834" customFormat="false" ht="15" hidden="false" customHeight="false" outlineLevel="0" collapsed="false">
      <c r="B3834" s="53"/>
      <c r="I3834" s="53"/>
      <c r="U3834" s="31" t="n">
        <f aca="false">IF($B3834&lt;&gt;'設定（最初に1回）'!$C$4,N(U3833),IF(COUNTIFS(①今日の在庫を貼る!$B$6:$B$10005,$B3834,①今日の在庫を貼る!$I$6:$I$10005,$I3834)&gt;0,N(U3833),N(U3833)+1))</f>
        <v>2</v>
      </c>
    </row>
    <row r="3835" customFormat="false" ht="15" hidden="false" customHeight="false" outlineLevel="0" collapsed="false">
      <c r="B3835" s="53"/>
      <c r="I3835" s="53"/>
      <c r="U3835" s="31" t="n">
        <f aca="false">IF($B3835&lt;&gt;'設定（最初に1回）'!$C$4,N(U3834),IF(COUNTIFS(①今日の在庫を貼る!$B$6:$B$10005,$B3835,①今日の在庫を貼る!$I$6:$I$10005,$I3835)&gt;0,N(U3834),N(U3834)+1))</f>
        <v>2</v>
      </c>
    </row>
    <row r="3836" customFormat="false" ht="15" hidden="false" customHeight="false" outlineLevel="0" collapsed="false">
      <c r="B3836" s="53"/>
      <c r="I3836" s="53"/>
      <c r="U3836" s="31" t="n">
        <f aca="false">IF($B3836&lt;&gt;'設定（最初に1回）'!$C$4,N(U3835),IF(COUNTIFS(①今日の在庫を貼る!$B$6:$B$10005,$B3836,①今日の在庫を貼る!$I$6:$I$10005,$I3836)&gt;0,N(U3835),N(U3835)+1))</f>
        <v>2</v>
      </c>
    </row>
    <row r="3837" customFormat="false" ht="15" hidden="false" customHeight="false" outlineLevel="0" collapsed="false">
      <c r="B3837" s="53"/>
      <c r="I3837" s="53"/>
      <c r="U3837" s="31" t="n">
        <f aca="false">IF($B3837&lt;&gt;'設定（最初に1回）'!$C$4,N(U3836),IF(COUNTIFS(①今日の在庫を貼る!$B$6:$B$10005,$B3837,①今日の在庫を貼る!$I$6:$I$10005,$I3837)&gt;0,N(U3836),N(U3836)+1))</f>
        <v>2</v>
      </c>
    </row>
    <row r="3838" customFormat="false" ht="15" hidden="false" customHeight="false" outlineLevel="0" collapsed="false">
      <c r="B3838" s="53"/>
      <c r="I3838" s="53"/>
      <c r="U3838" s="31" t="n">
        <f aca="false">IF($B3838&lt;&gt;'設定（最初に1回）'!$C$4,N(U3837),IF(COUNTIFS(①今日の在庫を貼る!$B$6:$B$10005,$B3838,①今日の在庫を貼る!$I$6:$I$10005,$I3838)&gt;0,N(U3837),N(U3837)+1))</f>
        <v>2</v>
      </c>
    </row>
    <row r="3839" customFormat="false" ht="15" hidden="false" customHeight="false" outlineLevel="0" collapsed="false">
      <c r="B3839" s="53"/>
      <c r="I3839" s="53"/>
      <c r="U3839" s="31" t="n">
        <f aca="false">IF($B3839&lt;&gt;'設定（最初に1回）'!$C$4,N(U3838),IF(COUNTIFS(①今日の在庫を貼る!$B$6:$B$10005,$B3839,①今日の在庫を貼る!$I$6:$I$10005,$I3839)&gt;0,N(U3838),N(U3838)+1))</f>
        <v>2</v>
      </c>
    </row>
    <row r="3840" customFormat="false" ht="15" hidden="false" customHeight="false" outlineLevel="0" collapsed="false">
      <c r="B3840" s="53"/>
      <c r="I3840" s="53"/>
      <c r="U3840" s="31" t="n">
        <f aca="false">IF($B3840&lt;&gt;'設定（最初に1回）'!$C$4,N(U3839),IF(COUNTIFS(①今日の在庫を貼る!$B$6:$B$10005,$B3840,①今日の在庫を貼る!$I$6:$I$10005,$I3840)&gt;0,N(U3839),N(U3839)+1))</f>
        <v>2</v>
      </c>
    </row>
    <row r="3841" customFormat="false" ht="15" hidden="false" customHeight="false" outlineLevel="0" collapsed="false">
      <c r="B3841" s="53"/>
      <c r="I3841" s="53"/>
      <c r="U3841" s="31" t="n">
        <f aca="false">IF($B3841&lt;&gt;'設定（最初に1回）'!$C$4,N(U3840),IF(COUNTIFS(①今日の在庫を貼る!$B$6:$B$10005,$B3841,①今日の在庫を貼る!$I$6:$I$10005,$I3841)&gt;0,N(U3840),N(U3840)+1))</f>
        <v>2</v>
      </c>
    </row>
    <row r="3842" customFormat="false" ht="15" hidden="false" customHeight="false" outlineLevel="0" collapsed="false">
      <c r="B3842" s="53"/>
      <c r="I3842" s="53"/>
      <c r="U3842" s="31" t="n">
        <f aca="false">IF($B3842&lt;&gt;'設定（最初に1回）'!$C$4,N(U3841),IF(COUNTIFS(①今日の在庫を貼る!$B$6:$B$10005,$B3842,①今日の在庫を貼る!$I$6:$I$10005,$I3842)&gt;0,N(U3841),N(U3841)+1))</f>
        <v>2</v>
      </c>
    </row>
    <row r="3843" customFormat="false" ht="15" hidden="false" customHeight="false" outlineLevel="0" collapsed="false">
      <c r="B3843" s="53"/>
      <c r="I3843" s="53"/>
      <c r="U3843" s="31" t="n">
        <f aca="false">IF($B3843&lt;&gt;'設定（最初に1回）'!$C$4,N(U3842),IF(COUNTIFS(①今日の在庫を貼る!$B$6:$B$10005,$B3843,①今日の在庫を貼る!$I$6:$I$10005,$I3843)&gt;0,N(U3842),N(U3842)+1))</f>
        <v>2</v>
      </c>
    </row>
    <row r="3844" customFormat="false" ht="15" hidden="false" customHeight="false" outlineLevel="0" collapsed="false">
      <c r="B3844" s="53"/>
      <c r="I3844" s="53"/>
      <c r="U3844" s="31" t="n">
        <f aca="false">IF($B3844&lt;&gt;'設定（最初に1回）'!$C$4,N(U3843),IF(COUNTIFS(①今日の在庫を貼る!$B$6:$B$10005,$B3844,①今日の在庫を貼る!$I$6:$I$10005,$I3844)&gt;0,N(U3843),N(U3843)+1))</f>
        <v>2</v>
      </c>
    </row>
    <row r="3845" customFormat="false" ht="15" hidden="false" customHeight="false" outlineLevel="0" collapsed="false">
      <c r="B3845" s="53"/>
      <c r="I3845" s="53"/>
      <c r="U3845" s="31" t="n">
        <f aca="false">IF($B3845&lt;&gt;'設定（最初に1回）'!$C$4,N(U3844),IF(COUNTIFS(①今日の在庫を貼る!$B$6:$B$10005,$B3845,①今日の在庫を貼る!$I$6:$I$10005,$I3845)&gt;0,N(U3844),N(U3844)+1))</f>
        <v>2</v>
      </c>
    </row>
    <row r="3846" customFormat="false" ht="15" hidden="false" customHeight="false" outlineLevel="0" collapsed="false">
      <c r="B3846" s="53"/>
      <c r="I3846" s="53"/>
      <c r="U3846" s="31" t="n">
        <f aca="false">IF($B3846&lt;&gt;'設定（最初に1回）'!$C$4,N(U3845),IF(COUNTIFS(①今日の在庫を貼る!$B$6:$B$10005,$B3846,①今日の在庫を貼る!$I$6:$I$10005,$I3846)&gt;0,N(U3845),N(U3845)+1))</f>
        <v>2</v>
      </c>
    </row>
    <row r="3847" customFormat="false" ht="15" hidden="false" customHeight="false" outlineLevel="0" collapsed="false">
      <c r="B3847" s="53"/>
      <c r="I3847" s="53"/>
      <c r="U3847" s="31" t="n">
        <f aca="false">IF($B3847&lt;&gt;'設定（最初に1回）'!$C$4,N(U3846),IF(COUNTIFS(①今日の在庫を貼る!$B$6:$B$10005,$B3847,①今日の在庫を貼る!$I$6:$I$10005,$I3847)&gt;0,N(U3846),N(U3846)+1))</f>
        <v>2</v>
      </c>
    </row>
    <row r="3848" customFormat="false" ht="15" hidden="false" customHeight="false" outlineLevel="0" collapsed="false">
      <c r="B3848" s="53"/>
      <c r="I3848" s="53"/>
      <c r="U3848" s="31" t="n">
        <f aca="false">IF($B3848&lt;&gt;'設定（最初に1回）'!$C$4,N(U3847),IF(COUNTIFS(①今日の在庫を貼る!$B$6:$B$10005,$B3848,①今日の在庫を貼る!$I$6:$I$10005,$I3848)&gt;0,N(U3847),N(U3847)+1))</f>
        <v>2</v>
      </c>
    </row>
    <row r="3849" customFormat="false" ht="15" hidden="false" customHeight="false" outlineLevel="0" collapsed="false">
      <c r="B3849" s="53"/>
      <c r="I3849" s="53"/>
      <c r="U3849" s="31" t="n">
        <f aca="false">IF($B3849&lt;&gt;'設定（最初に1回）'!$C$4,N(U3848),IF(COUNTIFS(①今日の在庫を貼る!$B$6:$B$10005,$B3849,①今日の在庫を貼る!$I$6:$I$10005,$I3849)&gt;0,N(U3848),N(U3848)+1))</f>
        <v>2</v>
      </c>
    </row>
    <row r="3850" customFormat="false" ht="15" hidden="false" customHeight="false" outlineLevel="0" collapsed="false">
      <c r="B3850" s="53"/>
      <c r="I3850" s="53"/>
      <c r="U3850" s="31" t="n">
        <f aca="false">IF($B3850&lt;&gt;'設定（最初に1回）'!$C$4,N(U3849),IF(COUNTIFS(①今日の在庫を貼る!$B$6:$B$10005,$B3850,①今日の在庫を貼る!$I$6:$I$10005,$I3850)&gt;0,N(U3849),N(U3849)+1))</f>
        <v>2</v>
      </c>
    </row>
    <row r="3851" customFormat="false" ht="15" hidden="false" customHeight="false" outlineLevel="0" collapsed="false">
      <c r="B3851" s="53"/>
      <c r="I3851" s="53"/>
      <c r="U3851" s="31" t="n">
        <f aca="false">IF($B3851&lt;&gt;'設定（最初に1回）'!$C$4,N(U3850),IF(COUNTIFS(①今日の在庫を貼る!$B$6:$B$10005,$B3851,①今日の在庫を貼る!$I$6:$I$10005,$I3851)&gt;0,N(U3850),N(U3850)+1))</f>
        <v>2</v>
      </c>
    </row>
    <row r="3852" customFormat="false" ht="15" hidden="false" customHeight="false" outlineLevel="0" collapsed="false">
      <c r="B3852" s="53"/>
      <c r="I3852" s="53"/>
      <c r="U3852" s="31" t="n">
        <f aca="false">IF($B3852&lt;&gt;'設定（最初に1回）'!$C$4,N(U3851),IF(COUNTIFS(①今日の在庫を貼る!$B$6:$B$10005,$B3852,①今日の在庫を貼る!$I$6:$I$10005,$I3852)&gt;0,N(U3851),N(U3851)+1))</f>
        <v>2</v>
      </c>
    </row>
    <row r="3853" customFormat="false" ht="15" hidden="false" customHeight="false" outlineLevel="0" collapsed="false">
      <c r="B3853" s="53"/>
      <c r="I3853" s="53"/>
      <c r="U3853" s="31" t="n">
        <f aca="false">IF($B3853&lt;&gt;'設定（最初に1回）'!$C$4,N(U3852),IF(COUNTIFS(①今日の在庫を貼る!$B$6:$B$10005,$B3853,①今日の在庫を貼る!$I$6:$I$10005,$I3853)&gt;0,N(U3852),N(U3852)+1))</f>
        <v>2</v>
      </c>
    </row>
    <row r="3854" customFormat="false" ht="15" hidden="false" customHeight="false" outlineLevel="0" collapsed="false">
      <c r="B3854" s="53"/>
      <c r="I3854" s="53"/>
      <c r="U3854" s="31" t="n">
        <f aca="false">IF($B3854&lt;&gt;'設定（最初に1回）'!$C$4,N(U3853),IF(COUNTIFS(①今日の在庫を貼る!$B$6:$B$10005,$B3854,①今日の在庫を貼る!$I$6:$I$10005,$I3854)&gt;0,N(U3853),N(U3853)+1))</f>
        <v>2</v>
      </c>
    </row>
    <row r="3855" customFormat="false" ht="15" hidden="false" customHeight="false" outlineLevel="0" collapsed="false">
      <c r="B3855" s="53"/>
      <c r="I3855" s="53"/>
      <c r="U3855" s="31" t="n">
        <f aca="false">IF($B3855&lt;&gt;'設定（最初に1回）'!$C$4,N(U3854),IF(COUNTIFS(①今日の在庫を貼る!$B$6:$B$10005,$B3855,①今日の在庫を貼る!$I$6:$I$10005,$I3855)&gt;0,N(U3854),N(U3854)+1))</f>
        <v>2</v>
      </c>
    </row>
    <row r="3856" customFormat="false" ht="15" hidden="false" customHeight="false" outlineLevel="0" collapsed="false">
      <c r="B3856" s="53"/>
      <c r="I3856" s="53"/>
      <c r="U3856" s="31" t="n">
        <f aca="false">IF($B3856&lt;&gt;'設定（最初に1回）'!$C$4,N(U3855),IF(COUNTIFS(①今日の在庫を貼る!$B$6:$B$10005,$B3856,①今日の在庫を貼る!$I$6:$I$10005,$I3856)&gt;0,N(U3855),N(U3855)+1))</f>
        <v>2</v>
      </c>
    </row>
    <row r="3857" customFormat="false" ht="15" hidden="false" customHeight="false" outlineLevel="0" collapsed="false">
      <c r="B3857" s="53"/>
      <c r="I3857" s="53"/>
      <c r="U3857" s="31" t="n">
        <f aca="false">IF($B3857&lt;&gt;'設定（最初に1回）'!$C$4,N(U3856),IF(COUNTIFS(①今日の在庫を貼る!$B$6:$B$10005,$B3857,①今日の在庫を貼る!$I$6:$I$10005,$I3857)&gt;0,N(U3856),N(U3856)+1))</f>
        <v>2</v>
      </c>
    </row>
    <row r="3858" customFormat="false" ht="15" hidden="false" customHeight="false" outlineLevel="0" collapsed="false">
      <c r="B3858" s="53"/>
      <c r="I3858" s="53"/>
      <c r="U3858" s="31" t="n">
        <f aca="false">IF($B3858&lt;&gt;'設定（最初に1回）'!$C$4,N(U3857),IF(COUNTIFS(①今日の在庫を貼る!$B$6:$B$10005,$B3858,①今日の在庫を貼る!$I$6:$I$10005,$I3858)&gt;0,N(U3857),N(U3857)+1))</f>
        <v>2</v>
      </c>
    </row>
    <row r="3859" customFormat="false" ht="15" hidden="false" customHeight="false" outlineLevel="0" collapsed="false">
      <c r="B3859" s="53"/>
      <c r="I3859" s="53"/>
      <c r="U3859" s="31" t="n">
        <f aca="false">IF($B3859&lt;&gt;'設定（最初に1回）'!$C$4,N(U3858),IF(COUNTIFS(①今日の在庫を貼る!$B$6:$B$10005,$B3859,①今日の在庫を貼る!$I$6:$I$10005,$I3859)&gt;0,N(U3858),N(U3858)+1))</f>
        <v>2</v>
      </c>
    </row>
    <row r="3860" customFormat="false" ht="15" hidden="false" customHeight="false" outlineLevel="0" collapsed="false">
      <c r="B3860" s="53"/>
      <c r="I3860" s="53"/>
      <c r="U3860" s="31" t="n">
        <f aca="false">IF($B3860&lt;&gt;'設定（最初に1回）'!$C$4,N(U3859),IF(COUNTIFS(①今日の在庫を貼る!$B$6:$B$10005,$B3860,①今日の在庫を貼る!$I$6:$I$10005,$I3860)&gt;0,N(U3859),N(U3859)+1))</f>
        <v>2</v>
      </c>
    </row>
    <row r="3861" customFormat="false" ht="15" hidden="false" customHeight="false" outlineLevel="0" collapsed="false">
      <c r="B3861" s="53"/>
      <c r="I3861" s="53"/>
      <c r="U3861" s="31" t="n">
        <f aca="false">IF($B3861&lt;&gt;'設定（最初に1回）'!$C$4,N(U3860),IF(COUNTIFS(①今日の在庫を貼る!$B$6:$B$10005,$B3861,①今日の在庫を貼る!$I$6:$I$10005,$I3861)&gt;0,N(U3860),N(U3860)+1))</f>
        <v>2</v>
      </c>
    </row>
    <row r="3862" customFormat="false" ht="15" hidden="false" customHeight="false" outlineLevel="0" collapsed="false">
      <c r="B3862" s="53"/>
      <c r="I3862" s="53"/>
      <c r="U3862" s="31" t="n">
        <f aca="false">IF($B3862&lt;&gt;'設定（最初に1回）'!$C$4,N(U3861),IF(COUNTIFS(①今日の在庫を貼る!$B$6:$B$10005,$B3862,①今日の在庫を貼る!$I$6:$I$10005,$I3862)&gt;0,N(U3861),N(U3861)+1))</f>
        <v>2</v>
      </c>
    </row>
    <row r="3863" customFormat="false" ht="15" hidden="false" customHeight="false" outlineLevel="0" collapsed="false">
      <c r="B3863" s="53"/>
      <c r="I3863" s="53"/>
      <c r="U3863" s="31" t="n">
        <f aca="false">IF($B3863&lt;&gt;'設定（最初に1回）'!$C$4,N(U3862),IF(COUNTIFS(①今日の在庫を貼る!$B$6:$B$10005,$B3863,①今日の在庫を貼る!$I$6:$I$10005,$I3863)&gt;0,N(U3862),N(U3862)+1))</f>
        <v>2</v>
      </c>
    </row>
    <row r="3864" customFormat="false" ht="15" hidden="false" customHeight="false" outlineLevel="0" collapsed="false">
      <c r="B3864" s="53"/>
      <c r="I3864" s="53"/>
      <c r="U3864" s="31" t="n">
        <f aca="false">IF($B3864&lt;&gt;'設定（最初に1回）'!$C$4,N(U3863),IF(COUNTIFS(①今日の在庫を貼る!$B$6:$B$10005,$B3864,①今日の在庫を貼る!$I$6:$I$10005,$I3864)&gt;0,N(U3863),N(U3863)+1))</f>
        <v>2</v>
      </c>
    </row>
    <row r="3865" customFormat="false" ht="15" hidden="false" customHeight="false" outlineLevel="0" collapsed="false">
      <c r="B3865" s="53"/>
      <c r="I3865" s="53"/>
      <c r="U3865" s="31" t="n">
        <f aca="false">IF($B3865&lt;&gt;'設定（最初に1回）'!$C$4,N(U3864),IF(COUNTIFS(①今日の在庫を貼る!$B$6:$B$10005,$B3865,①今日の在庫を貼る!$I$6:$I$10005,$I3865)&gt;0,N(U3864),N(U3864)+1))</f>
        <v>2</v>
      </c>
    </row>
    <row r="3866" customFormat="false" ht="15" hidden="false" customHeight="false" outlineLevel="0" collapsed="false">
      <c r="B3866" s="53"/>
      <c r="I3866" s="53"/>
      <c r="U3866" s="31" t="n">
        <f aca="false">IF($B3866&lt;&gt;'設定（最初に1回）'!$C$4,N(U3865),IF(COUNTIFS(①今日の在庫を貼る!$B$6:$B$10005,$B3866,①今日の在庫を貼る!$I$6:$I$10005,$I3866)&gt;0,N(U3865),N(U3865)+1))</f>
        <v>2</v>
      </c>
    </row>
    <row r="3867" customFormat="false" ht="15" hidden="false" customHeight="false" outlineLevel="0" collapsed="false">
      <c r="B3867" s="53"/>
      <c r="I3867" s="53"/>
      <c r="U3867" s="31" t="n">
        <f aca="false">IF($B3867&lt;&gt;'設定（最初に1回）'!$C$4,N(U3866),IF(COUNTIFS(①今日の在庫を貼る!$B$6:$B$10005,$B3867,①今日の在庫を貼る!$I$6:$I$10005,$I3867)&gt;0,N(U3866),N(U3866)+1))</f>
        <v>2</v>
      </c>
    </row>
    <row r="3868" customFormat="false" ht="15" hidden="false" customHeight="false" outlineLevel="0" collapsed="false">
      <c r="B3868" s="53"/>
      <c r="I3868" s="53"/>
      <c r="U3868" s="31" t="n">
        <f aca="false">IF($B3868&lt;&gt;'設定（最初に1回）'!$C$4,N(U3867),IF(COUNTIFS(①今日の在庫を貼る!$B$6:$B$10005,$B3868,①今日の在庫を貼る!$I$6:$I$10005,$I3868)&gt;0,N(U3867),N(U3867)+1))</f>
        <v>2</v>
      </c>
    </row>
    <row r="3869" customFormat="false" ht="15" hidden="false" customHeight="false" outlineLevel="0" collapsed="false">
      <c r="B3869" s="53"/>
      <c r="I3869" s="53"/>
      <c r="U3869" s="31" t="n">
        <f aca="false">IF($B3869&lt;&gt;'設定（最初に1回）'!$C$4,N(U3868),IF(COUNTIFS(①今日の在庫を貼る!$B$6:$B$10005,$B3869,①今日の在庫を貼る!$I$6:$I$10005,$I3869)&gt;0,N(U3868),N(U3868)+1))</f>
        <v>2</v>
      </c>
    </row>
    <row r="3870" customFormat="false" ht="15" hidden="false" customHeight="false" outlineLevel="0" collapsed="false">
      <c r="B3870" s="53"/>
      <c r="I3870" s="53"/>
      <c r="U3870" s="31" t="n">
        <f aca="false">IF($B3870&lt;&gt;'設定（最初に1回）'!$C$4,N(U3869),IF(COUNTIFS(①今日の在庫を貼る!$B$6:$B$10005,$B3870,①今日の在庫を貼る!$I$6:$I$10005,$I3870)&gt;0,N(U3869),N(U3869)+1))</f>
        <v>2</v>
      </c>
    </row>
    <row r="3871" customFormat="false" ht="15" hidden="false" customHeight="false" outlineLevel="0" collapsed="false">
      <c r="B3871" s="53"/>
      <c r="I3871" s="53"/>
      <c r="U3871" s="31" t="n">
        <f aca="false">IF($B3871&lt;&gt;'設定（最初に1回）'!$C$4,N(U3870),IF(COUNTIFS(①今日の在庫を貼る!$B$6:$B$10005,$B3871,①今日の在庫を貼る!$I$6:$I$10005,$I3871)&gt;0,N(U3870),N(U3870)+1))</f>
        <v>2</v>
      </c>
    </row>
    <row r="3872" customFormat="false" ht="15" hidden="false" customHeight="false" outlineLevel="0" collapsed="false">
      <c r="B3872" s="53"/>
      <c r="I3872" s="53"/>
      <c r="U3872" s="31" t="n">
        <f aca="false">IF($B3872&lt;&gt;'設定（最初に1回）'!$C$4,N(U3871),IF(COUNTIFS(①今日の在庫を貼る!$B$6:$B$10005,$B3872,①今日の在庫を貼る!$I$6:$I$10005,$I3872)&gt;0,N(U3871),N(U3871)+1))</f>
        <v>2</v>
      </c>
    </row>
    <row r="3873" customFormat="false" ht="15" hidden="false" customHeight="false" outlineLevel="0" collapsed="false">
      <c r="B3873" s="53"/>
      <c r="I3873" s="53"/>
      <c r="U3873" s="31" t="n">
        <f aca="false">IF($B3873&lt;&gt;'設定（最初に1回）'!$C$4,N(U3872),IF(COUNTIFS(①今日の在庫を貼る!$B$6:$B$10005,$B3873,①今日の在庫を貼る!$I$6:$I$10005,$I3873)&gt;0,N(U3872),N(U3872)+1))</f>
        <v>2</v>
      </c>
    </row>
    <row r="3874" customFormat="false" ht="15" hidden="false" customHeight="false" outlineLevel="0" collapsed="false">
      <c r="B3874" s="53"/>
      <c r="I3874" s="53"/>
      <c r="U3874" s="31" t="n">
        <f aca="false">IF($B3874&lt;&gt;'設定（最初に1回）'!$C$4,N(U3873),IF(COUNTIFS(①今日の在庫を貼る!$B$6:$B$10005,$B3874,①今日の在庫を貼る!$I$6:$I$10005,$I3874)&gt;0,N(U3873),N(U3873)+1))</f>
        <v>2</v>
      </c>
    </row>
    <row r="3875" customFormat="false" ht="15" hidden="false" customHeight="false" outlineLevel="0" collapsed="false">
      <c r="B3875" s="53"/>
      <c r="I3875" s="53"/>
      <c r="U3875" s="31" t="n">
        <f aca="false">IF($B3875&lt;&gt;'設定（最初に1回）'!$C$4,N(U3874),IF(COUNTIFS(①今日の在庫を貼る!$B$6:$B$10005,$B3875,①今日の在庫を貼る!$I$6:$I$10005,$I3875)&gt;0,N(U3874),N(U3874)+1))</f>
        <v>2</v>
      </c>
    </row>
    <row r="3876" customFormat="false" ht="15" hidden="false" customHeight="false" outlineLevel="0" collapsed="false">
      <c r="B3876" s="53"/>
      <c r="I3876" s="53"/>
      <c r="U3876" s="31" t="n">
        <f aca="false">IF($B3876&lt;&gt;'設定（最初に1回）'!$C$4,N(U3875),IF(COUNTIFS(①今日の在庫を貼る!$B$6:$B$10005,$B3876,①今日の在庫を貼る!$I$6:$I$10005,$I3876)&gt;0,N(U3875),N(U3875)+1))</f>
        <v>2</v>
      </c>
    </row>
    <row r="3877" customFormat="false" ht="15" hidden="false" customHeight="false" outlineLevel="0" collapsed="false">
      <c r="B3877" s="53"/>
      <c r="I3877" s="53"/>
      <c r="U3877" s="31" t="n">
        <f aca="false">IF($B3877&lt;&gt;'設定（最初に1回）'!$C$4,N(U3876),IF(COUNTIFS(①今日の在庫を貼る!$B$6:$B$10005,$B3877,①今日の在庫を貼る!$I$6:$I$10005,$I3877)&gt;0,N(U3876),N(U3876)+1))</f>
        <v>2</v>
      </c>
    </row>
    <row r="3878" customFormat="false" ht="15" hidden="false" customHeight="false" outlineLevel="0" collapsed="false">
      <c r="B3878" s="53"/>
      <c r="I3878" s="53"/>
      <c r="U3878" s="31" t="n">
        <f aca="false">IF($B3878&lt;&gt;'設定（最初に1回）'!$C$4,N(U3877),IF(COUNTIFS(①今日の在庫を貼る!$B$6:$B$10005,$B3878,①今日の在庫を貼る!$I$6:$I$10005,$I3878)&gt;0,N(U3877),N(U3877)+1))</f>
        <v>2</v>
      </c>
    </row>
    <row r="3879" customFormat="false" ht="15" hidden="false" customHeight="false" outlineLevel="0" collapsed="false">
      <c r="B3879" s="53"/>
      <c r="I3879" s="53"/>
      <c r="U3879" s="31" t="n">
        <f aca="false">IF($B3879&lt;&gt;'設定（最初に1回）'!$C$4,N(U3878),IF(COUNTIFS(①今日の在庫を貼る!$B$6:$B$10005,$B3879,①今日の在庫を貼る!$I$6:$I$10005,$I3879)&gt;0,N(U3878),N(U3878)+1))</f>
        <v>2</v>
      </c>
    </row>
    <row r="3880" customFormat="false" ht="15" hidden="false" customHeight="false" outlineLevel="0" collapsed="false">
      <c r="B3880" s="53"/>
      <c r="I3880" s="53"/>
      <c r="U3880" s="31" t="n">
        <f aca="false">IF($B3880&lt;&gt;'設定（最初に1回）'!$C$4,N(U3879),IF(COUNTIFS(①今日の在庫を貼る!$B$6:$B$10005,$B3880,①今日の在庫を貼る!$I$6:$I$10005,$I3880)&gt;0,N(U3879),N(U3879)+1))</f>
        <v>2</v>
      </c>
    </row>
    <row r="3881" customFormat="false" ht="15" hidden="false" customHeight="false" outlineLevel="0" collapsed="false">
      <c r="B3881" s="53"/>
      <c r="I3881" s="53"/>
      <c r="U3881" s="31" t="n">
        <f aca="false">IF($B3881&lt;&gt;'設定（最初に1回）'!$C$4,N(U3880),IF(COUNTIFS(①今日の在庫を貼る!$B$6:$B$10005,$B3881,①今日の在庫を貼る!$I$6:$I$10005,$I3881)&gt;0,N(U3880),N(U3880)+1))</f>
        <v>2</v>
      </c>
    </row>
    <row r="3882" customFormat="false" ht="15" hidden="false" customHeight="false" outlineLevel="0" collapsed="false">
      <c r="B3882" s="53"/>
      <c r="I3882" s="53"/>
      <c r="U3882" s="31" t="n">
        <f aca="false">IF($B3882&lt;&gt;'設定（最初に1回）'!$C$4,N(U3881),IF(COUNTIFS(①今日の在庫を貼る!$B$6:$B$10005,$B3882,①今日の在庫を貼る!$I$6:$I$10005,$I3882)&gt;0,N(U3881),N(U3881)+1))</f>
        <v>2</v>
      </c>
    </row>
    <row r="3883" customFormat="false" ht="15" hidden="false" customHeight="false" outlineLevel="0" collapsed="false">
      <c r="B3883" s="53"/>
      <c r="I3883" s="53"/>
      <c r="U3883" s="31" t="n">
        <f aca="false">IF($B3883&lt;&gt;'設定（最初に1回）'!$C$4,N(U3882),IF(COUNTIFS(①今日の在庫を貼る!$B$6:$B$10005,$B3883,①今日の在庫を貼る!$I$6:$I$10005,$I3883)&gt;0,N(U3882),N(U3882)+1))</f>
        <v>2</v>
      </c>
    </row>
    <row r="3884" customFormat="false" ht="15" hidden="false" customHeight="false" outlineLevel="0" collapsed="false">
      <c r="B3884" s="53"/>
      <c r="I3884" s="53"/>
      <c r="U3884" s="31" t="n">
        <f aca="false">IF($B3884&lt;&gt;'設定（最初に1回）'!$C$4,N(U3883),IF(COUNTIFS(①今日の在庫を貼る!$B$6:$B$10005,$B3884,①今日の在庫を貼る!$I$6:$I$10005,$I3884)&gt;0,N(U3883),N(U3883)+1))</f>
        <v>2</v>
      </c>
    </row>
    <row r="3885" customFormat="false" ht="15" hidden="false" customHeight="false" outlineLevel="0" collapsed="false">
      <c r="B3885" s="53"/>
      <c r="I3885" s="53"/>
      <c r="U3885" s="31" t="n">
        <f aca="false">IF($B3885&lt;&gt;'設定（最初に1回）'!$C$4,N(U3884),IF(COUNTIFS(①今日の在庫を貼る!$B$6:$B$10005,$B3885,①今日の在庫を貼る!$I$6:$I$10005,$I3885)&gt;0,N(U3884),N(U3884)+1))</f>
        <v>2</v>
      </c>
    </row>
    <row r="3886" customFormat="false" ht="15" hidden="false" customHeight="false" outlineLevel="0" collapsed="false">
      <c r="B3886" s="53"/>
      <c r="I3886" s="53"/>
      <c r="U3886" s="31" t="n">
        <f aca="false">IF($B3886&lt;&gt;'設定（最初に1回）'!$C$4,N(U3885),IF(COUNTIFS(①今日の在庫を貼る!$B$6:$B$10005,$B3886,①今日の在庫を貼る!$I$6:$I$10005,$I3886)&gt;0,N(U3885),N(U3885)+1))</f>
        <v>2</v>
      </c>
    </row>
    <row r="3887" customFormat="false" ht="15" hidden="false" customHeight="false" outlineLevel="0" collapsed="false">
      <c r="B3887" s="53"/>
      <c r="I3887" s="53"/>
      <c r="U3887" s="31" t="n">
        <f aca="false">IF($B3887&lt;&gt;'設定（最初に1回）'!$C$4,N(U3886),IF(COUNTIFS(①今日の在庫を貼る!$B$6:$B$10005,$B3887,①今日の在庫を貼る!$I$6:$I$10005,$I3887)&gt;0,N(U3886),N(U3886)+1))</f>
        <v>2</v>
      </c>
    </row>
    <row r="3888" customFormat="false" ht="15" hidden="false" customHeight="false" outlineLevel="0" collapsed="false">
      <c r="B3888" s="53"/>
      <c r="I3888" s="53"/>
      <c r="U3888" s="31" t="n">
        <f aca="false">IF($B3888&lt;&gt;'設定（最初に1回）'!$C$4,N(U3887),IF(COUNTIFS(①今日の在庫を貼る!$B$6:$B$10005,$B3888,①今日の在庫を貼る!$I$6:$I$10005,$I3888)&gt;0,N(U3887),N(U3887)+1))</f>
        <v>2</v>
      </c>
    </row>
    <row r="3889" customFormat="false" ht="15" hidden="false" customHeight="false" outlineLevel="0" collapsed="false">
      <c r="B3889" s="53"/>
      <c r="I3889" s="53"/>
      <c r="U3889" s="31" t="n">
        <f aca="false">IF($B3889&lt;&gt;'設定（最初に1回）'!$C$4,N(U3888),IF(COUNTIFS(①今日の在庫を貼る!$B$6:$B$10005,$B3889,①今日の在庫を貼る!$I$6:$I$10005,$I3889)&gt;0,N(U3888),N(U3888)+1))</f>
        <v>2</v>
      </c>
    </row>
    <row r="3890" customFormat="false" ht="15" hidden="false" customHeight="false" outlineLevel="0" collapsed="false">
      <c r="B3890" s="53"/>
      <c r="I3890" s="53"/>
      <c r="U3890" s="31" t="n">
        <f aca="false">IF($B3890&lt;&gt;'設定（最初に1回）'!$C$4,N(U3889),IF(COUNTIFS(①今日の在庫を貼る!$B$6:$B$10005,$B3890,①今日の在庫を貼る!$I$6:$I$10005,$I3890)&gt;0,N(U3889),N(U3889)+1))</f>
        <v>2</v>
      </c>
    </row>
    <row r="3891" customFormat="false" ht="15" hidden="false" customHeight="false" outlineLevel="0" collapsed="false">
      <c r="B3891" s="53"/>
      <c r="I3891" s="53"/>
      <c r="U3891" s="31" t="n">
        <f aca="false">IF($B3891&lt;&gt;'設定（最初に1回）'!$C$4,N(U3890),IF(COUNTIFS(①今日の在庫を貼る!$B$6:$B$10005,$B3891,①今日の在庫を貼る!$I$6:$I$10005,$I3891)&gt;0,N(U3890),N(U3890)+1))</f>
        <v>2</v>
      </c>
    </row>
    <row r="3892" customFormat="false" ht="15" hidden="false" customHeight="false" outlineLevel="0" collapsed="false">
      <c r="B3892" s="53"/>
      <c r="I3892" s="53"/>
      <c r="U3892" s="31" t="n">
        <f aca="false">IF($B3892&lt;&gt;'設定（最初に1回）'!$C$4,N(U3891),IF(COUNTIFS(①今日の在庫を貼る!$B$6:$B$10005,$B3892,①今日の在庫を貼る!$I$6:$I$10005,$I3892)&gt;0,N(U3891),N(U3891)+1))</f>
        <v>2</v>
      </c>
    </row>
    <row r="3893" customFormat="false" ht="15" hidden="false" customHeight="false" outlineLevel="0" collapsed="false">
      <c r="B3893" s="53"/>
      <c r="I3893" s="53"/>
      <c r="U3893" s="31" t="n">
        <f aca="false">IF($B3893&lt;&gt;'設定（最初に1回）'!$C$4,N(U3892),IF(COUNTIFS(①今日の在庫を貼る!$B$6:$B$10005,$B3893,①今日の在庫を貼る!$I$6:$I$10005,$I3893)&gt;0,N(U3892),N(U3892)+1))</f>
        <v>2</v>
      </c>
    </row>
    <row r="3894" customFormat="false" ht="15" hidden="false" customHeight="false" outlineLevel="0" collapsed="false">
      <c r="B3894" s="53"/>
      <c r="I3894" s="53"/>
      <c r="U3894" s="31" t="n">
        <f aca="false">IF($B3894&lt;&gt;'設定（最初に1回）'!$C$4,N(U3893),IF(COUNTIFS(①今日の在庫を貼る!$B$6:$B$10005,$B3894,①今日の在庫を貼る!$I$6:$I$10005,$I3894)&gt;0,N(U3893),N(U3893)+1))</f>
        <v>2</v>
      </c>
    </row>
    <row r="3895" customFormat="false" ht="15" hidden="false" customHeight="false" outlineLevel="0" collapsed="false">
      <c r="B3895" s="53"/>
      <c r="I3895" s="53"/>
      <c r="U3895" s="31" t="n">
        <f aca="false">IF($B3895&lt;&gt;'設定（最初に1回）'!$C$4,N(U3894),IF(COUNTIFS(①今日の在庫を貼る!$B$6:$B$10005,$B3895,①今日の在庫を貼る!$I$6:$I$10005,$I3895)&gt;0,N(U3894),N(U3894)+1))</f>
        <v>2</v>
      </c>
    </row>
    <row r="3896" customFormat="false" ht="15" hidden="false" customHeight="false" outlineLevel="0" collapsed="false">
      <c r="B3896" s="53"/>
      <c r="I3896" s="53"/>
      <c r="U3896" s="31" t="n">
        <f aca="false">IF($B3896&lt;&gt;'設定（最初に1回）'!$C$4,N(U3895),IF(COUNTIFS(①今日の在庫を貼る!$B$6:$B$10005,$B3896,①今日の在庫を貼る!$I$6:$I$10005,$I3896)&gt;0,N(U3895),N(U3895)+1))</f>
        <v>2</v>
      </c>
    </row>
    <row r="3897" customFormat="false" ht="15" hidden="false" customHeight="false" outlineLevel="0" collapsed="false">
      <c r="B3897" s="53"/>
      <c r="I3897" s="53"/>
      <c r="U3897" s="31" t="n">
        <f aca="false">IF($B3897&lt;&gt;'設定（最初に1回）'!$C$4,N(U3896),IF(COUNTIFS(①今日の在庫を貼る!$B$6:$B$10005,$B3897,①今日の在庫を貼る!$I$6:$I$10005,$I3897)&gt;0,N(U3896),N(U3896)+1))</f>
        <v>2</v>
      </c>
    </row>
    <row r="3898" customFormat="false" ht="15" hidden="false" customHeight="false" outlineLevel="0" collapsed="false">
      <c r="B3898" s="53"/>
      <c r="I3898" s="53"/>
      <c r="U3898" s="31" t="n">
        <f aca="false">IF($B3898&lt;&gt;'設定（最初に1回）'!$C$4,N(U3897),IF(COUNTIFS(①今日の在庫を貼る!$B$6:$B$10005,$B3898,①今日の在庫を貼る!$I$6:$I$10005,$I3898)&gt;0,N(U3897),N(U3897)+1))</f>
        <v>2</v>
      </c>
    </row>
    <row r="3899" customFormat="false" ht="15" hidden="false" customHeight="false" outlineLevel="0" collapsed="false">
      <c r="B3899" s="53"/>
      <c r="I3899" s="53"/>
      <c r="U3899" s="31" t="n">
        <f aca="false">IF($B3899&lt;&gt;'設定（最初に1回）'!$C$4,N(U3898),IF(COUNTIFS(①今日の在庫を貼る!$B$6:$B$10005,$B3899,①今日の在庫を貼る!$I$6:$I$10005,$I3899)&gt;0,N(U3898),N(U3898)+1))</f>
        <v>2</v>
      </c>
    </row>
    <row r="3900" customFormat="false" ht="15" hidden="false" customHeight="false" outlineLevel="0" collapsed="false">
      <c r="B3900" s="53"/>
      <c r="I3900" s="53"/>
      <c r="U3900" s="31" t="n">
        <f aca="false">IF($B3900&lt;&gt;'設定（最初に1回）'!$C$4,N(U3899),IF(COUNTIFS(①今日の在庫を貼る!$B$6:$B$10005,$B3900,①今日の在庫を貼る!$I$6:$I$10005,$I3900)&gt;0,N(U3899),N(U3899)+1))</f>
        <v>2</v>
      </c>
    </row>
    <row r="3901" customFormat="false" ht="15" hidden="false" customHeight="false" outlineLevel="0" collapsed="false">
      <c r="B3901" s="53"/>
      <c r="I3901" s="53"/>
      <c r="U3901" s="31" t="n">
        <f aca="false">IF($B3901&lt;&gt;'設定（最初に1回）'!$C$4,N(U3900),IF(COUNTIFS(①今日の在庫を貼る!$B$6:$B$10005,$B3901,①今日の在庫を貼る!$I$6:$I$10005,$I3901)&gt;0,N(U3900),N(U3900)+1))</f>
        <v>2</v>
      </c>
    </row>
    <row r="3902" customFormat="false" ht="15" hidden="false" customHeight="false" outlineLevel="0" collapsed="false">
      <c r="B3902" s="53"/>
      <c r="I3902" s="53"/>
      <c r="U3902" s="31" t="n">
        <f aca="false">IF($B3902&lt;&gt;'設定（最初に1回）'!$C$4,N(U3901),IF(COUNTIFS(①今日の在庫を貼る!$B$6:$B$10005,$B3902,①今日の在庫を貼る!$I$6:$I$10005,$I3902)&gt;0,N(U3901),N(U3901)+1))</f>
        <v>2</v>
      </c>
    </row>
    <row r="3903" customFormat="false" ht="15" hidden="false" customHeight="false" outlineLevel="0" collapsed="false">
      <c r="B3903" s="53"/>
      <c r="I3903" s="53"/>
      <c r="U3903" s="31" t="n">
        <f aca="false">IF($B3903&lt;&gt;'設定（最初に1回）'!$C$4,N(U3902),IF(COUNTIFS(①今日の在庫を貼る!$B$6:$B$10005,$B3903,①今日の在庫を貼る!$I$6:$I$10005,$I3903)&gt;0,N(U3902),N(U3902)+1))</f>
        <v>2</v>
      </c>
    </row>
    <row r="3904" customFormat="false" ht="15" hidden="false" customHeight="false" outlineLevel="0" collapsed="false">
      <c r="B3904" s="53"/>
      <c r="I3904" s="53"/>
      <c r="U3904" s="31" t="n">
        <f aca="false">IF($B3904&lt;&gt;'設定（最初に1回）'!$C$4,N(U3903),IF(COUNTIFS(①今日の在庫を貼る!$B$6:$B$10005,$B3904,①今日の在庫を貼る!$I$6:$I$10005,$I3904)&gt;0,N(U3903),N(U3903)+1))</f>
        <v>2</v>
      </c>
    </row>
    <row r="3905" customFormat="false" ht="15" hidden="false" customHeight="false" outlineLevel="0" collapsed="false">
      <c r="B3905" s="53"/>
      <c r="I3905" s="53"/>
      <c r="U3905" s="31" t="n">
        <f aca="false">IF($B3905&lt;&gt;'設定（最初に1回）'!$C$4,N(U3904),IF(COUNTIFS(①今日の在庫を貼る!$B$6:$B$10005,$B3905,①今日の在庫を貼る!$I$6:$I$10005,$I3905)&gt;0,N(U3904),N(U3904)+1))</f>
        <v>2</v>
      </c>
    </row>
    <row r="3906" customFormat="false" ht="15" hidden="false" customHeight="false" outlineLevel="0" collapsed="false">
      <c r="B3906" s="53"/>
      <c r="I3906" s="53"/>
      <c r="U3906" s="31" t="n">
        <f aca="false">IF($B3906&lt;&gt;'設定（最初に1回）'!$C$4,N(U3905),IF(COUNTIFS(①今日の在庫を貼る!$B$6:$B$10005,$B3906,①今日の在庫を貼る!$I$6:$I$10005,$I3906)&gt;0,N(U3905),N(U3905)+1))</f>
        <v>2</v>
      </c>
    </row>
    <row r="3907" customFormat="false" ht="15" hidden="false" customHeight="false" outlineLevel="0" collapsed="false">
      <c r="B3907" s="53"/>
      <c r="I3907" s="53"/>
      <c r="U3907" s="31" t="n">
        <f aca="false">IF($B3907&lt;&gt;'設定（最初に1回）'!$C$4,N(U3906),IF(COUNTIFS(①今日の在庫を貼る!$B$6:$B$10005,$B3907,①今日の在庫を貼る!$I$6:$I$10005,$I3907)&gt;0,N(U3906),N(U3906)+1))</f>
        <v>2</v>
      </c>
    </row>
    <row r="3908" customFormat="false" ht="15" hidden="false" customHeight="false" outlineLevel="0" collapsed="false">
      <c r="B3908" s="53"/>
      <c r="I3908" s="53"/>
      <c r="U3908" s="31" t="n">
        <f aca="false">IF($B3908&lt;&gt;'設定（最初に1回）'!$C$4,N(U3907),IF(COUNTIFS(①今日の在庫を貼る!$B$6:$B$10005,$B3908,①今日の在庫を貼る!$I$6:$I$10005,$I3908)&gt;0,N(U3907),N(U3907)+1))</f>
        <v>2</v>
      </c>
    </row>
    <row r="3909" customFormat="false" ht="15" hidden="false" customHeight="false" outlineLevel="0" collapsed="false">
      <c r="B3909" s="53"/>
      <c r="I3909" s="53"/>
      <c r="U3909" s="31" t="n">
        <f aca="false">IF($B3909&lt;&gt;'設定（最初に1回）'!$C$4,N(U3908),IF(COUNTIFS(①今日の在庫を貼る!$B$6:$B$10005,$B3909,①今日の在庫を貼る!$I$6:$I$10005,$I3909)&gt;0,N(U3908),N(U3908)+1))</f>
        <v>2</v>
      </c>
    </row>
    <row r="3910" customFormat="false" ht="15" hidden="false" customHeight="false" outlineLevel="0" collapsed="false">
      <c r="B3910" s="53"/>
      <c r="I3910" s="53"/>
      <c r="U3910" s="31" t="n">
        <f aca="false">IF($B3910&lt;&gt;'設定（最初に1回）'!$C$4,N(U3909),IF(COUNTIFS(①今日の在庫を貼る!$B$6:$B$10005,$B3910,①今日の在庫を貼る!$I$6:$I$10005,$I3910)&gt;0,N(U3909),N(U3909)+1))</f>
        <v>2</v>
      </c>
    </row>
    <row r="3911" customFormat="false" ht="15" hidden="false" customHeight="false" outlineLevel="0" collapsed="false">
      <c r="B3911" s="53"/>
      <c r="I3911" s="53"/>
      <c r="U3911" s="31" t="n">
        <f aca="false">IF($B3911&lt;&gt;'設定（最初に1回）'!$C$4,N(U3910),IF(COUNTIFS(①今日の在庫を貼る!$B$6:$B$10005,$B3911,①今日の在庫を貼る!$I$6:$I$10005,$I3911)&gt;0,N(U3910),N(U3910)+1))</f>
        <v>2</v>
      </c>
    </row>
    <row r="3912" customFormat="false" ht="15" hidden="false" customHeight="false" outlineLevel="0" collapsed="false">
      <c r="B3912" s="53"/>
      <c r="I3912" s="53"/>
      <c r="U3912" s="31" t="n">
        <f aca="false">IF($B3912&lt;&gt;'設定（最初に1回）'!$C$4,N(U3911),IF(COUNTIFS(①今日の在庫を貼る!$B$6:$B$10005,$B3912,①今日の在庫を貼る!$I$6:$I$10005,$I3912)&gt;0,N(U3911),N(U3911)+1))</f>
        <v>2</v>
      </c>
    </row>
    <row r="3913" customFormat="false" ht="15" hidden="false" customHeight="false" outlineLevel="0" collapsed="false">
      <c r="B3913" s="53"/>
      <c r="I3913" s="53"/>
      <c r="U3913" s="31" t="n">
        <f aca="false">IF($B3913&lt;&gt;'設定（最初に1回）'!$C$4,N(U3912),IF(COUNTIFS(①今日の在庫を貼る!$B$6:$B$10005,$B3913,①今日の在庫を貼る!$I$6:$I$10005,$I3913)&gt;0,N(U3912),N(U3912)+1))</f>
        <v>2</v>
      </c>
    </row>
    <row r="3914" customFormat="false" ht="15" hidden="false" customHeight="false" outlineLevel="0" collapsed="false">
      <c r="B3914" s="53"/>
      <c r="I3914" s="53"/>
      <c r="U3914" s="31" t="n">
        <f aca="false">IF($B3914&lt;&gt;'設定（最初に1回）'!$C$4,N(U3913),IF(COUNTIFS(①今日の在庫を貼る!$B$6:$B$10005,$B3914,①今日の在庫を貼る!$I$6:$I$10005,$I3914)&gt;0,N(U3913),N(U3913)+1))</f>
        <v>2</v>
      </c>
    </row>
    <row r="3915" customFormat="false" ht="15" hidden="false" customHeight="false" outlineLevel="0" collapsed="false">
      <c r="B3915" s="53"/>
      <c r="I3915" s="53"/>
      <c r="U3915" s="31" t="n">
        <f aca="false">IF($B3915&lt;&gt;'設定（最初に1回）'!$C$4,N(U3914),IF(COUNTIFS(①今日の在庫を貼る!$B$6:$B$10005,$B3915,①今日の在庫を貼る!$I$6:$I$10005,$I3915)&gt;0,N(U3914),N(U3914)+1))</f>
        <v>2</v>
      </c>
    </row>
    <row r="3916" customFormat="false" ht="15" hidden="false" customHeight="false" outlineLevel="0" collapsed="false">
      <c r="B3916" s="53"/>
      <c r="I3916" s="53"/>
      <c r="U3916" s="31" t="n">
        <f aca="false">IF($B3916&lt;&gt;'設定（最初に1回）'!$C$4,N(U3915),IF(COUNTIFS(①今日の在庫を貼る!$B$6:$B$10005,$B3916,①今日の在庫を貼る!$I$6:$I$10005,$I3916)&gt;0,N(U3915),N(U3915)+1))</f>
        <v>2</v>
      </c>
    </row>
    <row r="3917" customFormat="false" ht="15" hidden="false" customHeight="false" outlineLevel="0" collapsed="false">
      <c r="B3917" s="53"/>
      <c r="I3917" s="53"/>
      <c r="U3917" s="31" t="n">
        <f aca="false">IF($B3917&lt;&gt;'設定（最初に1回）'!$C$4,N(U3916),IF(COUNTIFS(①今日の在庫を貼る!$B$6:$B$10005,$B3917,①今日の在庫を貼る!$I$6:$I$10005,$I3917)&gt;0,N(U3916),N(U3916)+1))</f>
        <v>2</v>
      </c>
    </row>
    <row r="3918" customFormat="false" ht="15" hidden="false" customHeight="false" outlineLevel="0" collapsed="false">
      <c r="B3918" s="53"/>
      <c r="I3918" s="53"/>
      <c r="U3918" s="31" t="n">
        <f aca="false">IF($B3918&lt;&gt;'設定（最初に1回）'!$C$4,N(U3917),IF(COUNTIFS(①今日の在庫を貼る!$B$6:$B$10005,$B3918,①今日の在庫を貼る!$I$6:$I$10005,$I3918)&gt;0,N(U3917),N(U3917)+1))</f>
        <v>2</v>
      </c>
    </row>
    <row r="3919" customFormat="false" ht="15" hidden="false" customHeight="false" outlineLevel="0" collapsed="false">
      <c r="B3919" s="53"/>
      <c r="I3919" s="53"/>
      <c r="U3919" s="31" t="n">
        <f aca="false">IF($B3919&lt;&gt;'設定（最初に1回）'!$C$4,N(U3918),IF(COUNTIFS(①今日の在庫を貼る!$B$6:$B$10005,$B3919,①今日の在庫を貼る!$I$6:$I$10005,$I3919)&gt;0,N(U3918),N(U3918)+1))</f>
        <v>2</v>
      </c>
    </row>
    <row r="3920" customFormat="false" ht="15" hidden="false" customHeight="false" outlineLevel="0" collapsed="false">
      <c r="B3920" s="53"/>
      <c r="I3920" s="53"/>
      <c r="U3920" s="31" t="n">
        <f aca="false">IF($B3920&lt;&gt;'設定（最初に1回）'!$C$4,N(U3919),IF(COUNTIFS(①今日の在庫を貼る!$B$6:$B$10005,$B3920,①今日の在庫を貼る!$I$6:$I$10005,$I3920)&gt;0,N(U3919),N(U3919)+1))</f>
        <v>2</v>
      </c>
    </row>
    <row r="3921" customFormat="false" ht="15" hidden="false" customHeight="false" outlineLevel="0" collapsed="false">
      <c r="B3921" s="53"/>
      <c r="I3921" s="53"/>
      <c r="U3921" s="31" t="n">
        <f aca="false">IF($B3921&lt;&gt;'設定（最初に1回）'!$C$4,N(U3920),IF(COUNTIFS(①今日の在庫を貼る!$B$6:$B$10005,$B3921,①今日の在庫を貼る!$I$6:$I$10005,$I3921)&gt;0,N(U3920),N(U3920)+1))</f>
        <v>2</v>
      </c>
    </row>
    <row r="3922" customFormat="false" ht="15" hidden="false" customHeight="false" outlineLevel="0" collapsed="false">
      <c r="B3922" s="53"/>
      <c r="I3922" s="53"/>
      <c r="U3922" s="31" t="n">
        <f aca="false">IF($B3922&lt;&gt;'設定（最初に1回）'!$C$4,N(U3921),IF(COUNTIFS(①今日の在庫を貼る!$B$6:$B$10005,$B3922,①今日の在庫を貼る!$I$6:$I$10005,$I3922)&gt;0,N(U3921),N(U3921)+1))</f>
        <v>2</v>
      </c>
    </row>
    <row r="3923" customFormat="false" ht="15" hidden="false" customHeight="false" outlineLevel="0" collapsed="false">
      <c r="B3923" s="53"/>
      <c r="I3923" s="53"/>
      <c r="U3923" s="31" t="n">
        <f aca="false">IF($B3923&lt;&gt;'設定（最初に1回）'!$C$4,N(U3922),IF(COUNTIFS(①今日の在庫を貼る!$B$6:$B$10005,$B3923,①今日の在庫を貼る!$I$6:$I$10005,$I3923)&gt;0,N(U3922),N(U3922)+1))</f>
        <v>2</v>
      </c>
    </row>
    <row r="3924" customFormat="false" ht="15" hidden="false" customHeight="false" outlineLevel="0" collapsed="false">
      <c r="B3924" s="53"/>
      <c r="I3924" s="53"/>
      <c r="U3924" s="31" t="n">
        <f aca="false">IF($B3924&lt;&gt;'設定（最初に1回）'!$C$4,N(U3923),IF(COUNTIFS(①今日の在庫を貼る!$B$6:$B$10005,$B3924,①今日の在庫を貼る!$I$6:$I$10005,$I3924)&gt;0,N(U3923),N(U3923)+1))</f>
        <v>2</v>
      </c>
    </row>
    <row r="3925" customFormat="false" ht="15" hidden="false" customHeight="false" outlineLevel="0" collapsed="false">
      <c r="B3925" s="53"/>
      <c r="I3925" s="53"/>
      <c r="U3925" s="31" t="n">
        <f aca="false">IF($B3925&lt;&gt;'設定（最初に1回）'!$C$4,N(U3924),IF(COUNTIFS(①今日の在庫を貼る!$B$6:$B$10005,$B3925,①今日の在庫を貼る!$I$6:$I$10005,$I3925)&gt;0,N(U3924),N(U3924)+1))</f>
        <v>2</v>
      </c>
    </row>
    <row r="3926" customFormat="false" ht="15" hidden="false" customHeight="false" outlineLevel="0" collapsed="false">
      <c r="B3926" s="53"/>
      <c r="I3926" s="53"/>
      <c r="U3926" s="31" t="n">
        <f aca="false">IF($B3926&lt;&gt;'設定（最初に1回）'!$C$4,N(U3925),IF(COUNTIFS(①今日の在庫を貼る!$B$6:$B$10005,$B3926,①今日の在庫を貼る!$I$6:$I$10005,$I3926)&gt;0,N(U3925),N(U3925)+1))</f>
        <v>2</v>
      </c>
    </row>
    <row r="3927" customFormat="false" ht="15" hidden="false" customHeight="false" outlineLevel="0" collapsed="false">
      <c r="B3927" s="53"/>
      <c r="I3927" s="53"/>
      <c r="U3927" s="31" t="n">
        <f aca="false">IF($B3927&lt;&gt;'設定（最初に1回）'!$C$4,N(U3926),IF(COUNTIFS(①今日の在庫を貼る!$B$6:$B$10005,$B3927,①今日の在庫を貼る!$I$6:$I$10005,$I3927)&gt;0,N(U3926),N(U3926)+1))</f>
        <v>2</v>
      </c>
    </row>
    <row r="3928" customFormat="false" ht="15" hidden="false" customHeight="false" outlineLevel="0" collapsed="false">
      <c r="B3928" s="53"/>
      <c r="I3928" s="53"/>
      <c r="U3928" s="31" t="n">
        <f aca="false">IF($B3928&lt;&gt;'設定（最初に1回）'!$C$4,N(U3927),IF(COUNTIFS(①今日の在庫を貼る!$B$6:$B$10005,$B3928,①今日の在庫を貼る!$I$6:$I$10005,$I3928)&gt;0,N(U3927),N(U3927)+1))</f>
        <v>2</v>
      </c>
    </row>
    <row r="3929" customFormat="false" ht="15" hidden="false" customHeight="false" outlineLevel="0" collapsed="false">
      <c r="B3929" s="53"/>
      <c r="I3929" s="53"/>
      <c r="U3929" s="31" t="n">
        <f aca="false">IF($B3929&lt;&gt;'設定（最初に1回）'!$C$4,N(U3928),IF(COUNTIFS(①今日の在庫を貼る!$B$6:$B$10005,$B3929,①今日の在庫を貼る!$I$6:$I$10005,$I3929)&gt;0,N(U3928),N(U3928)+1))</f>
        <v>2</v>
      </c>
    </row>
    <row r="3930" customFormat="false" ht="15" hidden="false" customHeight="false" outlineLevel="0" collapsed="false">
      <c r="B3930" s="53"/>
      <c r="I3930" s="53"/>
      <c r="U3930" s="31" t="n">
        <f aca="false">IF($B3930&lt;&gt;'設定（最初に1回）'!$C$4,N(U3929),IF(COUNTIFS(①今日の在庫を貼る!$B$6:$B$10005,$B3930,①今日の在庫を貼る!$I$6:$I$10005,$I3930)&gt;0,N(U3929),N(U3929)+1))</f>
        <v>2</v>
      </c>
    </row>
    <row r="3931" customFormat="false" ht="15" hidden="false" customHeight="false" outlineLevel="0" collapsed="false">
      <c r="B3931" s="53"/>
      <c r="I3931" s="53"/>
      <c r="U3931" s="31" t="n">
        <f aca="false">IF($B3931&lt;&gt;'設定（最初に1回）'!$C$4,N(U3930),IF(COUNTIFS(①今日の在庫を貼る!$B$6:$B$10005,$B3931,①今日の在庫を貼る!$I$6:$I$10005,$I3931)&gt;0,N(U3930),N(U3930)+1))</f>
        <v>2</v>
      </c>
    </row>
    <row r="3932" customFormat="false" ht="15" hidden="false" customHeight="false" outlineLevel="0" collapsed="false">
      <c r="B3932" s="53"/>
      <c r="I3932" s="53"/>
      <c r="U3932" s="31" t="n">
        <f aca="false">IF($B3932&lt;&gt;'設定（最初に1回）'!$C$4,N(U3931),IF(COUNTIFS(①今日の在庫を貼る!$B$6:$B$10005,$B3932,①今日の在庫を貼る!$I$6:$I$10005,$I3932)&gt;0,N(U3931),N(U3931)+1))</f>
        <v>2</v>
      </c>
    </row>
    <row r="3933" customFormat="false" ht="15" hidden="false" customHeight="false" outlineLevel="0" collapsed="false">
      <c r="B3933" s="53"/>
      <c r="I3933" s="53"/>
      <c r="U3933" s="31" t="n">
        <f aca="false">IF($B3933&lt;&gt;'設定（最初に1回）'!$C$4,N(U3932),IF(COUNTIFS(①今日の在庫を貼る!$B$6:$B$10005,$B3933,①今日の在庫を貼る!$I$6:$I$10005,$I3933)&gt;0,N(U3932),N(U3932)+1))</f>
        <v>2</v>
      </c>
    </row>
    <row r="3934" customFormat="false" ht="15" hidden="false" customHeight="false" outlineLevel="0" collapsed="false">
      <c r="B3934" s="53"/>
      <c r="I3934" s="53"/>
      <c r="U3934" s="31" t="n">
        <f aca="false">IF($B3934&lt;&gt;'設定（最初に1回）'!$C$4,N(U3933),IF(COUNTIFS(①今日の在庫を貼る!$B$6:$B$10005,$B3934,①今日の在庫を貼る!$I$6:$I$10005,$I3934)&gt;0,N(U3933),N(U3933)+1))</f>
        <v>2</v>
      </c>
    </row>
    <row r="3935" customFormat="false" ht="15" hidden="false" customHeight="false" outlineLevel="0" collapsed="false">
      <c r="B3935" s="53"/>
      <c r="I3935" s="53"/>
      <c r="U3935" s="31" t="n">
        <f aca="false">IF($B3935&lt;&gt;'設定（最初に1回）'!$C$4,N(U3934),IF(COUNTIFS(①今日の在庫を貼る!$B$6:$B$10005,$B3935,①今日の在庫を貼る!$I$6:$I$10005,$I3935)&gt;0,N(U3934),N(U3934)+1))</f>
        <v>2</v>
      </c>
    </row>
    <row r="3936" customFormat="false" ht="15" hidden="false" customHeight="false" outlineLevel="0" collapsed="false">
      <c r="B3936" s="53"/>
      <c r="I3936" s="53"/>
      <c r="U3936" s="31" t="n">
        <f aca="false">IF($B3936&lt;&gt;'設定（最初に1回）'!$C$4,N(U3935),IF(COUNTIFS(①今日の在庫を貼る!$B$6:$B$10005,$B3936,①今日の在庫を貼る!$I$6:$I$10005,$I3936)&gt;0,N(U3935),N(U3935)+1))</f>
        <v>2</v>
      </c>
    </row>
    <row r="3937" customFormat="false" ht="15" hidden="false" customHeight="false" outlineLevel="0" collapsed="false">
      <c r="B3937" s="53"/>
      <c r="I3937" s="53"/>
      <c r="U3937" s="31" t="n">
        <f aca="false">IF($B3937&lt;&gt;'設定（最初に1回）'!$C$4,N(U3936),IF(COUNTIFS(①今日の在庫を貼る!$B$6:$B$10005,$B3937,①今日の在庫を貼る!$I$6:$I$10005,$I3937)&gt;0,N(U3936),N(U3936)+1))</f>
        <v>2</v>
      </c>
    </row>
    <row r="3938" customFormat="false" ht="15" hidden="false" customHeight="false" outlineLevel="0" collapsed="false">
      <c r="B3938" s="53"/>
      <c r="I3938" s="53"/>
      <c r="U3938" s="31" t="n">
        <f aca="false">IF($B3938&lt;&gt;'設定（最初に1回）'!$C$4,N(U3937),IF(COUNTIFS(①今日の在庫を貼る!$B$6:$B$10005,$B3938,①今日の在庫を貼る!$I$6:$I$10005,$I3938)&gt;0,N(U3937),N(U3937)+1))</f>
        <v>2</v>
      </c>
    </row>
    <row r="3939" customFormat="false" ht="15" hidden="false" customHeight="false" outlineLevel="0" collapsed="false">
      <c r="B3939" s="53"/>
      <c r="I3939" s="53"/>
      <c r="U3939" s="31" t="n">
        <f aca="false">IF($B3939&lt;&gt;'設定（最初に1回）'!$C$4,N(U3938),IF(COUNTIFS(①今日の在庫を貼る!$B$6:$B$10005,$B3939,①今日の在庫を貼る!$I$6:$I$10005,$I3939)&gt;0,N(U3938),N(U3938)+1))</f>
        <v>2</v>
      </c>
    </row>
    <row r="3940" customFormat="false" ht="15" hidden="false" customHeight="false" outlineLevel="0" collapsed="false">
      <c r="B3940" s="53"/>
      <c r="I3940" s="53"/>
      <c r="U3940" s="31" t="n">
        <f aca="false">IF($B3940&lt;&gt;'設定（最初に1回）'!$C$4,N(U3939),IF(COUNTIFS(①今日の在庫を貼る!$B$6:$B$10005,$B3940,①今日の在庫を貼る!$I$6:$I$10005,$I3940)&gt;0,N(U3939),N(U3939)+1))</f>
        <v>2</v>
      </c>
    </row>
    <row r="3941" customFormat="false" ht="15" hidden="false" customHeight="false" outlineLevel="0" collapsed="false">
      <c r="B3941" s="53"/>
      <c r="I3941" s="53"/>
      <c r="U3941" s="31" t="n">
        <f aca="false">IF($B3941&lt;&gt;'設定（最初に1回）'!$C$4,N(U3940),IF(COUNTIFS(①今日の在庫を貼る!$B$6:$B$10005,$B3941,①今日の在庫を貼る!$I$6:$I$10005,$I3941)&gt;0,N(U3940),N(U3940)+1))</f>
        <v>2</v>
      </c>
    </row>
    <row r="3942" customFormat="false" ht="15" hidden="false" customHeight="false" outlineLevel="0" collapsed="false">
      <c r="B3942" s="53"/>
      <c r="I3942" s="53"/>
      <c r="U3942" s="31" t="n">
        <f aca="false">IF($B3942&lt;&gt;'設定（最初に1回）'!$C$4,N(U3941),IF(COUNTIFS(①今日の在庫を貼る!$B$6:$B$10005,$B3942,①今日の在庫を貼る!$I$6:$I$10005,$I3942)&gt;0,N(U3941),N(U3941)+1))</f>
        <v>2</v>
      </c>
    </row>
    <row r="3943" customFormat="false" ht="15" hidden="false" customHeight="false" outlineLevel="0" collapsed="false">
      <c r="B3943" s="53"/>
      <c r="I3943" s="53"/>
      <c r="U3943" s="31" t="n">
        <f aca="false">IF($B3943&lt;&gt;'設定（最初に1回）'!$C$4,N(U3942),IF(COUNTIFS(①今日の在庫を貼る!$B$6:$B$10005,$B3943,①今日の在庫を貼る!$I$6:$I$10005,$I3943)&gt;0,N(U3942),N(U3942)+1))</f>
        <v>2</v>
      </c>
    </row>
    <row r="3944" customFormat="false" ht="15" hidden="false" customHeight="false" outlineLevel="0" collapsed="false">
      <c r="B3944" s="53"/>
      <c r="I3944" s="53"/>
      <c r="U3944" s="31" t="n">
        <f aca="false">IF($B3944&lt;&gt;'設定（最初に1回）'!$C$4,N(U3943),IF(COUNTIFS(①今日の在庫を貼る!$B$6:$B$10005,$B3944,①今日の在庫を貼る!$I$6:$I$10005,$I3944)&gt;0,N(U3943),N(U3943)+1))</f>
        <v>2</v>
      </c>
    </row>
    <row r="3945" customFormat="false" ht="15" hidden="false" customHeight="false" outlineLevel="0" collapsed="false">
      <c r="B3945" s="53"/>
      <c r="I3945" s="53"/>
      <c r="U3945" s="31" t="n">
        <f aca="false">IF($B3945&lt;&gt;'設定（最初に1回）'!$C$4,N(U3944),IF(COUNTIFS(①今日の在庫を貼る!$B$6:$B$10005,$B3945,①今日の在庫を貼る!$I$6:$I$10005,$I3945)&gt;0,N(U3944),N(U3944)+1))</f>
        <v>2</v>
      </c>
    </row>
    <row r="3946" customFormat="false" ht="15" hidden="false" customHeight="false" outlineLevel="0" collapsed="false">
      <c r="B3946" s="53"/>
      <c r="I3946" s="53"/>
      <c r="U3946" s="31" t="n">
        <f aca="false">IF($B3946&lt;&gt;'設定（最初に1回）'!$C$4,N(U3945),IF(COUNTIFS(①今日の在庫を貼る!$B$6:$B$10005,$B3946,①今日の在庫を貼る!$I$6:$I$10005,$I3946)&gt;0,N(U3945),N(U3945)+1))</f>
        <v>2</v>
      </c>
    </row>
    <row r="3947" customFormat="false" ht="15" hidden="false" customHeight="false" outlineLevel="0" collapsed="false">
      <c r="B3947" s="53"/>
      <c r="I3947" s="53"/>
      <c r="U3947" s="31" t="n">
        <f aca="false">IF($B3947&lt;&gt;'設定（最初に1回）'!$C$4,N(U3946),IF(COUNTIFS(①今日の在庫を貼る!$B$6:$B$10005,$B3947,①今日の在庫を貼る!$I$6:$I$10005,$I3947)&gt;0,N(U3946),N(U3946)+1))</f>
        <v>2</v>
      </c>
    </row>
    <row r="3948" customFormat="false" ht="15" hidden="false" customHeight="false" outlineLevel="0" collapsed="false">
      <c r="B3948" s="53"/>
      <c r="I3948" s="53"/>
      <c r="U3948" s="31" t="n">
        <f aca="false">IF($B3948&lt;&gt;'設定（最初に1回）'!$C$4,N(U3947),IF(COUNTIFS(①今日の在庫を貼る!$B$6:$B$10005,$B3948,①今日の在庫を貼る!$I$6:$I$10005,$I3948)&gt;0,N(U3947),N(U3947)+1))</f>
        <v>2</v>
      </c>
    </row>
    <row r="3949" customFormat="false" ht="15" hidden="false" customHeight="false" outlineLevel="0" collapsed="false">
      <c r="B3949" s="53"/>
      <c r="I3949" s="53"/>
      <c r="U3949" s="31" t="n">
        <f aca="false">IF($B3949&lt;&gt;'設定（最初に1回）'!$C$4,N(U3948),IF(COUNTIFS(①今日の在庫を貼る!$B$6:$B$10005,$B3949,①今日の在庫を貼る!$I$6:$I$10005,$I3949)&gt;0,N(U3948),N(U3948)+1))</f>
        <v>2</v>
      </c>
    </row>
    <row r="3950" customFormat="false" ht="15" hidden="false" customHeight="false" outlineLevel="0" collapsed="false">
      <c r="B3950" s="53"/>
      <c r="I3950" s="53"/>
      <c r="U3950" s="31" t="n">
        <f aca="false">IF($B3950&lt;&gt;'設定（最初に1回）'!$C$4,N(U3949),IF(COUNTIFS(①今日の在庫を貼る!$B$6:$B$10005,$B3950,①今日の在庫を貼る!$I$6:$I$10005,$I3950)&gt;0,N(U3949),N(U3949)+1))</f>
        <v>2</v>
      </c>
    </row>
    <row r="3951" customFormat="false" ht="15" hidden="false" customHeight="false" outlineLevel="0" collapsed="false">
      <c r="B3951" s="53"/>
      <c r="I3951" s="53"/>
      <c r="U3951" s="31" t="n">
        <f aca="false">IF($B3951&lt;&gt;'設定（最初に1回）'!$C$4,N(U3950),IF(COUNTIFS(①今日の在庫を貼る!$B$6:$B$10005,$B3951,①今日の在庫を貼る!$I$6:$I$10005,$I3951)&gt;0,N(U3950),N(U3950)+1))</f>
        <v>2</v>
      </c>
    </row>
    <row r="3952" customFormat="false" ht="15" hidden="false" customHeight="false" outlineLevel="0" collapsed="false">
      <c r="B3952" s="53"/>
      <c r="I3952" s="53"/>
      <c r="U3952" s="31" t="n">
        <f aca="false">IF($B3952&lt;&gt;'設定（最初に1回）'!$C$4,N(U3951),IF(COUNTIFS(①今日の在庫を貼る!$B$6:$B$10005,$B3952,①今日の在庫を貼る!$I$6:$I$10005,$I3952)&gt;0,N(U3951),N(U3951)+1))</f>
        <v>2</v>
      </c>
    </row>
    <row r="3953" customFormat="false" ht="15" hidden="false" customHeight="false" outlineLevel="0" collapsed="false">
      <c r="B3953" s="53"/>
      <c r="I3953" s="53"/>
      <c r="U3953" s="31" t="n">
        <f aca="false">IF($B3953&lt;&gt;'設定（最初に1回）'!$C$4,N(U3952),IF(COUNTIFS(①今日の在庫を貼る!$B$6:$B$10005,$B3953,①今日の在庫を貼る!$I$6:$I$10005,$I3953)&gt;0,N(U3952),N(U3952)+1))</f>
        <v>2</v>
      </c>
    </row>
    <row r="3954" customFormat="false" ht="15" hidden="false" customHeight="false" outlineLevel="0" collapsed="false">
      <c r="B3954" s="53"/>
      <c r="I3954" s="53"/>
      <c r="U3954" s="31" t="n">
        <f aca="false">IF($B3954&lt;&gt;'設定（最初に1回）'!$C$4,N(U3953),IF(COUNTIFS(①今日の在庫を貼る!$B$6:$B$10005,$B3954,①今日の在庫を貼る!$I$6:$I$10005,$I3954)&gt;0,N(U3953),N(U3953)+1))</f>
        <v>2</v>
      </c>
    </row>
    <row r="3955" customFormat="false" ht="15" hidden="false" customHeight="false" outlineLevel="0" collapsed="false">
      <c r="B3955" s="53"/>
      <c r="I3955" s="53"/>
      <c r="U3955" s="31" t="n">
        <f aca="false">IF($B3955&lt;&gt;'設定（最初に1回）'!$C$4,N(U3954),IF(COUNTIFS(①今日の在庫を貼る!$B$6:$B$10005,$B3955,①今日の在庫を貼る!$I$6:$I$10005,$I3955)&gt;0,N(U3954),N(U3954)+1))</f>
        <v>2</v>
      </c>
    </row>
    <row r="3956" customFormat="false" ht="15" hidden="false" customHeight="false" outlineLevel="0" collapsed="false">
      <c r="B3956" s="53"/>
      <c r="I3956" s="53"/>
      <c r="U3956" s="31" t="n">
        <f aca="false">IF($B3956&lt;&gt;'設定（最初に1回）'!$C$4,N(U3955),IF(COUNTIFS(①今日の在庫を貼る!$B$6:$B$10005,$B3956,①今日の在庫を貼る!$I$6:$I$10005,$I3956)&gt;0,N(U3955),N(U3955)+1))</f>
        <v>2</v>
      </c>
    </row>
    <row r="3957" customFormat="false" ht="15" hidden="false" customHeight="false" outlineLevel="0" collapsed="false">
      <c r="B3957" s="53"/>
      <c r="I3957" s="53"/>
      <c r="U3957" s="31" t="n">
        <f aca="false">IF($B3957&lt;&gt;'設定（最初に1回）'!$C$4,N(U3956),IF(COUNTIFS(①今日の在庫を貼る!$B$6:$B$10005,$B3957,①今日の在庫を貼る!$I$6:$I$10005,$I3957)&gt;0,N(U3956),N(U3956)+1))</f>
        <v>2</v>
      </c>
    </row>
    <row r="3958" customFormat="false" ht="15" hidden="false" customHeight="false" outlineLevel="0" collapsed="false">
      <c r="B3958" s="53"/>
      <c r="I3958" s="53"/>
      <c r="U3958" s="31" t="n">
        <f aca="false">IF($B3958&lt;&gt;'設定（最初に1回）'!$C$4,N(U3957),IF(COUNTIFS(①今日の在庫を貼る!$B$6:$B$10005,$B3958,①今日の在庫を貼る!$I$6:$I$10005,$I3958)&gt;0,N(U3957),N(U3957)+1))</f>
        <v>2</v>
      </c>
    </row>
    <row r="3959" customFormat="false" ht="15" hidden="false" customHeight="false" outlineLevel="0" collapsed="false">
      <c r="B3959" s="53"/>
      <c r="I3959" s="53"/>
      <c r="U3959" s="31" t="n">
        <f aca="false">IF($B3959&lt;&gt;'設定（最初に1回）'!$C$4,N(U3958),IF(COUNTIFS(①今日の在庫を貼る!$B$6:$B$10005,$B3959,①今日の在庫を貼る!$I$6:$I$10005,$I3959)&gt;0,N(U3958),N(U3958)+1))</f>
        <v>2</v>
      </c>
    </row>
    <row r="3960" customFormat="false" ht="15" hidden="false" customHeight="false" outlineLevel="0" collapsed="false">
      <c r="B3960" s="53"/>
      <c r="I3960" s="53"/>
      <c r="U3960" s="31" t="n">
        <f aca="false">IF($B3960&lt;&gt;'設定（最初に1回）'!$C$4,N(U3959),IF(COUNTIFS(①今日の在庫を貼る!$B$6:$B$10005,$B3960,①今日の在庫を貼る!$I$6:$I$10005,$I3960)&gt;0,N(U3959),N(U3959)+1))</f>
        <v>2</v>
      </c>
    </row>
    <row r="3961" customFormat="false" ht="15" hidden="false" customHeight="false" outlineLevel="0" collapsed="false">
      <c r="B3961" s="53"/>
      <c r="I3961" s="53"/>
      <c r="U3961" s="31" t="n">
        <f aca="false">IF($B3961&lt;&gt;'設定（最初に1回）'!$C$4,N(U3960),IF(COUNTIFS(①今日の在庫を貼る!$B$6:$B$10005,$B3961,①今日の在庫を貼る!$I$6:$I$10005,$I3961)&gt;0,N(U3960),N(U3960)+1))</f>
        <v>2</v>
      </c>
    </row>
    <row r="3962" customFormat="false" ht="15" hidden="false" customHeight="false" outlineLevel="0" collapsed="false">
      <c r="B3962" s="53"/>
      <c r="I3962" s="53"/>
      <c r="U3962" s="31" t="n">
        <f aca="false">IF($B3962&lt;&gt;'設定（最初に1回）'!$C$4,N(U3961),IF(COUNTIFS(①今日の在庫を貼る!$B$6:$B$10005,$B3962,①今日の在庫を貼る!$I$6:$I$10005,$I3962)&gt;0,N(U3961),N(U3961)+1))</f>
        <v>2</v>
      </c>
    </row>
    <row r="3963" customFormat="false" ht="15" hidden="false" customHeight="false" outlineLevel="0" collapsed="false">
      <c r="B3963" s="53"/>
      <c r="I3963" s="53"/>
      <c r="U3963" s="31" t="n">
        <f aca="false">IF($B3963&lt;&gt;'設定（最初に1回）'!$C$4,N(U3962),IF(COUNTIFS(①今日の在庫を貼る!$B$6:$B$10005,$B3963,①今日の在庫を貼る!$I$6:$I$10005,$I3963)&gt;0,N(U3962),N(U3962)+1))</f>
        <v>2</v>
      </c>
    </row>
    <row r="3964" customFormat="false" ht="15" hidden="false" customHeight="false" outlineLevel="0" collapsed="false">
      <c r="B3964" s="53"/>
      <c r="I3964" s="53"/>
      <c r="U3964" s="31" t="n">
        <f aca="false">IF($B3964&lt;&gt;'設定（最初に1回）'!$C$4,N(U3963),IF(COUNTIFS(①今日の在庫を貼る!$B$6:$B$10005,$B3964,①今日の在庫を貼る!$I$6:$I$10005,$I3964)&gt;0,N(U3963),N(U3963)+1))</f>
        <v>2</v>
      </c>
    </row>
    <row r="3965" customFormat="false" ht="15" hidden="false" customHeight="false" outlineLevel="0" collapsed="false">
      <c r="B3965" s="53"/>
      <c r="I3965" s="53"/>
      <c r="U3965" s="31" t="n">
        <f aca="false">IF($B3965&lt;&gt;'設定（最初に1回）'!$C$4,N(U3964),IF(COUNTIFS(①今日の在庫を貼る!$B$6:$B$10005,$B3965,①今日の在庫を貼る!$I$6:$I$10005,$I3965)&gt;0,N(U3964),N(U3964)+1))</f>
        <v>2</v>
      </c>
    </row>
    <row r="3966" customFormat="false" ht="15" hidden="false" customHeight="false" outlineLevel="0" collapsed="false">
      <c r="B3966" s="53"/>
      <c r="I3966" s="53"/>
      <c r="U3966" s="31" t="n">
        <f aca="false">IF($B3966&lt;&gt;'設定（最初に1回）'!$C$4,N(U3965),IF(COUNTIFS(①今日の在庫を貼る!$B$6:$B$10005,$B3966,①今日の在庫を貼る!$I$6:$I$10005,$I3966)&gt;0,N(U3965),N(U3965)+1))</f>
        <v>2</v>
      </c>
    </row>
    <row r="3967" customFormat="false" ht="15" hidden="false" customHeight="false" outlineLevel="0" collapsed="false">
      <c r="B3967" s="53"/>
      <c r="I3967" s="53"/>
      <c r="U3967" s="31" t="n">
        <f aca="false">IF($B3967&lt;&gt;'設定（最初に1回）'!$C$4,N(U3966),IF(COUNTIFS(①今日の在庫を貼る!$B$6:$B$10005,$B3967,①今日の在庫を貼る!$I$6:$I$10005,$I3967)&gt;0,N(U3966),N(U3966)+1))</f>
        <v>2</v>
      </c>
    </row>
    <row r="3968" customFormat="false" ht="15" hidden="false" customHeight="false" outlineLevel="0" collapsed="false">
      <c r="B3968" s="53"/>
      <c r="I3968" s="53"/>
      <c r="U3968" s="31" t="n">
        <f aca="false">IF($B3968&lt;&gt;'設定（最初に1回）'!$C$4,N(U3967),IF(COUNTIFS(①今日の在庫を貼る!$B$6:$B$10005,$B3968,①今日の在庫を貼る!$I$6:$I$10005,$I3968)&gt;0,N(U3967),N(U3967)+1))</f>
        <v>2</v>
      </c>
    </row>
    <row r="3969" customFormat="false" ht="15" hidden="false" customHeight="false" outlineLevel="0" collapsed="false">
      <c r="B3969" s="53"/>
      <c r="I3969" s="53"/>
      <c r="U3969" s="31" t="n">
        <f aca="false">IF($B3969&lt;&gt;'設定（最初に1回）'!$C$4,N(U3968),IF(COUNTIFS(①今日の在庫を貼る!$B$6:$B$10005,$B3969,①今日の在庫を貼る!$I$6:$I$10005,$I3969)&gt;0,N(U3968),N(U3968)+1))</f>
        <v>2</v>
      </c>
    </row>
    <row r="3970" customFormat="false" ht="15" hidden="false" customHeight="false" outlineLevel="0" collapsed="false">
      <c r="B3970" s="53"/>
      <c r="I3970" s="53"/>
      <c r="U3970" s="31" t="n">
        <f aca="false">IF($B3970&lt;&gt;'設定（最初に1回）'!$C$4,N(U3969),IF(COUNTIFS(①今日の在庫を貼る!$B$6:$B$10005,$B3970,①今日の在庫を貼る!$I$6:$I$10005,$I3970)&gt;0,N(U3969),N(U3969)+1))</f>
        <v>2</v>
      </c>
    </row>
    <row r="3971" customFormat="false" ht="15" hidden="false" customHeight="false" outlineLevel="0" collapsed="false">
      <c r="B3971" s="53"/>
      <c r="I3971" s="53"/>
      <c r="U3971" s="31" t="n">
        <f aca="false">IF($B3971&lt;&gt;'設定（最初に1回）'!$C$4,N(U3970),IF(COUNTIFS(①今日の在庫を貼る!$B$6:$B$10005,$B3971,①今日の在庫を貼る!$I$6:$I$10005,$I3971)&gt;0,N(U3970),N(U3970)+1))</f>
        <v>2</v>
      </c>
    </row>
    <row r="3972" customFormat="false" ht="15" hidden="false" customHeight="false" outlineLevel="0" collapsed="false">
      <c r="B3972" s="53"/>
      <c r="I3972" s="53"/>
      <c r="U3972" s="31" t="n">
        <f aca="false">IF($B3972&lt;&gt;'設定（最初に1回）'!$C$4,N(U3971),IF(COUNTIFS(①今日の在庫を貼る!$B$6:$B$10005,$B3972,①今日の在庫を貼る!$I$6:$I$10005,$I3972)&gt;0,N(U3971),N(U3971)+1))</f>
        <v>2</v>
      </c>
    </row>
    <row r="3973" customFormat="false" ht="15" hidden="false" customHeight="false" outlineLevel="0" collapsed="false">
      <c r="B3973" s="53"/>
      <c r="I3973" s="53"/>
      <c r="U3973" s="31" t="n">
        <f aca="false">IF($B3973&lt;&gt;'設定（最初に1回）'!$C$4,N(U3972),IF(COUNTIFS(①今日の在庫を貼る!$B$6:$B$10005,$B3973,①今日の在庫を貼る!$I$6:$I$10005,$I3973)&gt;0,N(U3972),N(U3972)+1))</f>
        <v>2</v>
      </c>
    </row>
    <row r="3974" customFormat="false" ht="15" hidden="false" customHeight="false" outlineLevel="0" collapsed="false">
      <c r="B3974" s="53"/>
      <c r="I3974" s="53"/>
      <c r="U3974" s="31" t="n">
        <f aca="false">IF($B3974&lt;&gt;'設定（最初に1回）'!$C$4,N(U3973),IF(COUNTIFS(①今日の在庫を貼る!$B$6:$B$10005,$B3974,①今日の在庫を貼る!$I$6:$I$10005,$I3974)&gt;0,N(U3973),N(U3973)+1))</f>
        <v>2</v>
      </c>
    </row>
    <row r="3975" customFormat="false" ht="15" hidden="false" customHeight="false" outlineLevel="0" collapsed="false">
      <c r="B3975" s="53"/>
      <c r="I3975" s="53"/>
      <c r="U3975" s="31" t="n">
        <f aca="false">IF($B3975&lt;&gt;'設定（最初に1回）'!$C$4,N(U3974),IF(COUNTIFS(①今日の在庫を貼る!$B$6:$B$10005,$B3975,①今日の在庫を貼る!$I$6:$I$10005,$I3975)&gt;0,N(U3974),N(U3974)+1))</f>
        <v>2</v>
      </c>
    </row>
    <row r="3976" customFormat="false" ht="15" hidden="false" customHeight="false" outlineLevel="0" collapsed="false">
      <c r="B3976" s="53"/>
      <c r="I3976" s="53"/>
      <c r="U3976" s="31" t="n">
        <f aca="false">IF($B3976&lt;&gt;'設定（最初に1回）'!$C$4,N(U3975),IF(COUNTIFS(①今日の在庫を貼る!$B$6:$B$10005,$B3976,①今日の在庫を貼る!$I$6:$I$10005,$I3976)&gt;0,N(U3975),N(U3975)+1))</f>
        <v>2</v>
      </c>
    </row>
    <row r="3977" customFormat="false" ht="15" hidden="false" customHeight="false" outlineLevel="0" collapsed="false">
      <c r="B3977" s="53"/>
      <c r="I3977" s="53"/>
      <c r="U3977" s="31" t="n">
        <f aca="false">IF($B3977&lt;&gt;'設定（最初に1回）'!$C$4,N(U3976),IF(COUNTIFS(①今日の在庫を貼る!$B$6:$B$10005,$B3977,①今日の在庫を貼る!$I$6:$I$10005,$I3977)&gt;0,N(U3976),N(U3976)+1))</f>
        <v>2</v>
      </c>
    </row>
    <row r="3978" customFormat="false" ht="15" hidden="false" customHeight="false" outlineLevel="0" collapsed="false">
      <c r="B3978" s="53"/>
      <c r="I3978" s="53"/>
      <c r="U3978" s="31" t="n">
        <f aca="false">IF($B3978&lt;&gt;'設定（最初に1回）'!$C$4,N(U3977),IF(COUNTIFS(①今日の在庫を貼る!$B$6:$B$10005,$B3978,①今日の在庫を貼る!$I$6:$I$10005,$I3978)&gt;0,N(U3977),N(U3977)+1))</f>
        <v>2</v>
      </c>
    </row>
    <row r="3979" customFormat="false" ht="15" hidden="false" customHeight="false" outlineLevel="0" collapsed="false">
      <c r="B3979" s="53"/>
      <c r="I3979" s="53"/>
      <c r="U3979" s="31" t="n">
        <f aca="false">IF($B3979&lt;&gt;'設定（最初に1回）'!$C$4,N(U3978),IF(COUNTIFS(①今日の在庫を貼る!$B$6:$B$10005,$B3979,①今日の在庫を貼る!$I$6:$I$10005,$I3979)&gt;0,N(U3978),N(U3978)+1))</f>
        <v>2</v>
      </c>
    </row>
    <row r="3980" customFormat="false" ht="15" hidden="false" customHeight="false" outlineLevel="0" collapsed="false">
      <c r="B3980" s="53"/>
      <c r="I3980" s="53"/>
      <c r="U3980" s="31" t="n">
        <f aca="false">IF($B3980&lt;&gt;'設定（最初に1回）'!$C$4,N(U3979),IF(COUNTIFS(①今日の在庫を貼る!$B$6:$B$10005,$B3980,①今日の在庫を貼る!$I$6:$I$10005,$I3980)&gt;0,N(U3979),N(U3979)+1))</f>
        <v>2</v>
      </c>
    </row>
    <row r="3981" customFormat="false" ht="15" hidden="false" customHeight="false" outlineLevel="0" collapsed="false">
      <c r="B3981" s="53"/>
      <c r="I3981" s="53"/>
      <c r="U3981" s="31" t="n">
        <f aca="false">IF($B3981&lt;&gt;'設定（最初に1回）'!$C$4,N(U3980),IF(COUNTIFS(①今日の在庫を貼る!$B$6:$B$10005,$B3981,①今日の在庫を貼る!$I$6:$I$10005,$I3981)&gt;0,N(U3980),N(U3980)+1))</f>
        <v>2</v>
      </c>
    </row>
    <row r="3982" customFormat="false" ht="15" hidden="false" customHeight="false" outlineLevel="0" collapsed="false">
      <c r="B3982" s="53"/>
      <c r="I3982" s="53"/>
      <c r="U3982" s="31" t="n">
        <f aca="false">IF($B3982&lt;&gt;'設定（最初に1回）'!$C$4,N(U3981),IF(COUNTIFS(①今日の在庫を貼る!$B$6:$B$10005,$B3982,①今日の在庫を貼る!$I$6:$I$10005,$I3982)&gt;0,N(U3981),N(U3981)+1))</f>
        <v>2</v>
      </c>
    </row>
    <row r="3983" customFormat="false" ht="15" hidden="false" customHeight="false" outlineLevel="0" collapsed="false">
      <c r="B3983" s="53"/>
      <c r="I3983" s="53"/>
      <c r="U3983" s="31" t="n">
        <f aca="false">IF($B3983&lt;&gt;'設定（最初に1回）'!$C$4,N(U3982),IF(COUNTIFS(①今日の在庫を貼る!$B$6:$B$10005,$B3983,①今日の在庫を貼る!$I$6:$I$10005,$I3983)&gt;0,N(U3982),N(U3982)+1))</f>
        <v>2</v>
      </c>
    </row>
    <row r="3984" customFormat="false" ht="15" hidden="false" customHeight="false" outlineLevel="0" collapsed="false">
      <c r="B3984" s="53"/>
      <c r="I3984" s="53"/>
      <c r="U3984" s="31" t="n">
        <f aca="false">IF($B3984&lt;&gt;'設定（最初に1回）'!$C$4,N(U3983),IF(COUNTIFS(①今日の在庫を貼る!$B$6:$B$10005,$B3984,①今日の在庫を貼る!$I$6:$I$10005,$I3984)&gt;0,N(U3983),N(U3983)+1))</f>
        <v>2</v>
      </c>
    </row>
    <row r="3985" customFormat="false" ht="15" hidden="false" customHeight="false" outlineLevel="0" collapsed="false">
      <c r="B3985" s="53"/>
      <c r="I3985" s="53"/>
      <c r="U3985" s="31" t="n">
        <f aca="false">IF($B3985&lt;&gt;'設定（最初に1回）'!$C$4,N(U3984),IF(COUNTIFS(①今日の在庫を貼る!$B$6:$B$10005,$B3985,①今日の在庫を貼る!$I$6:$I$10005,$I3985)&gt;0,N(U3984),N(U3984)+1))</f>
        <v>2</v>
      </c>
    </row>
    <row r="3986" customFormat="false" ht="15" hidden="false" customHeight="false" outlineLevel="0" collapsed="false">
      <c r="B3986" s="53"/>
      <c r="I3986" s="53"/>
      <c r="U3986" s="31" t="n">
        <f aca="false">IF($B3986&lt;&gt;'設定（最初に1回）'!$C$4,N(U3985),IF(COUNTIFS(①今日の在庫を貼る!$B$6:$B$10005,$B3986,①今日の在庫を貼る!$I$6:$I$10005,$I3986)&gt;0,N(U3985),N(U3985)+1))</f>
        <v>2</v>
      </c>
    </row>
    <row r="3987" customFormat="false" ht="15" hidden="false" customHeight="false" outlineLevel="0" collapsed="false">
      <c r="B3987" s="53"/>
      <c r="I3987" s="53"/>
      <c r="U3987" s="31" t="n">
        <f aca="false">IF($B3987&lt;&gt;'設定（最初に1回）'!$C$4,N(U3986),IF(COUNTIFS(①今日の在庫を貼る!$B$6:$B$10005,$B3987,①今日の在庫を貼る!$I$6:$I$10005,$I3987)&gt;0,N(U3986),N(U3986)+1))</f>
        <v>2</v>
      </c>
    </row>
    <row r="3988" customFormat="false" ht="15" hidden="false" customHeight="false" outlineLevel="0" collapsed="false">
      <c r="B3988" s="53"/>
      <c r="I3988" s="53"/>
      <c r="U3988" s="31" t="n">
        <f aca="false">IF($B3988&lt;&gt;'設定（最初に1回）'!$C$4,N(U3987),IF(COUNTIFS(①今日の在庫を貼る!$B$6:$B$10005,$B3988,①今日の在庫を貼る!$I$6:$I$10005,$I3988)&gt;0,N(U3987),N(U3987)+1))</f>
        <v>2</v>
      </c>
    </row>
    <row r="3989" customFormat="false" ht="15" hidden="false" customHeight="false" outlineLevel="0" collapsed="false">
      <c r="B3989" s="53"/>
      <c r="I3989" s="53"/>
      <c r="U3989" s="31" t="n">
        <f aca="false">IF($B3989&lt;&gt;'設定（最初に1回）'!$C$4,N(U3988),IF(COUNTIFS(①今日の在庫を貼る!$B$6:$B$10005,$B3989,①今日の在庫を貼る!$I$6:$I$10005,$I3989)&gt;0,N(U3988),N(U3988)+1))</f>
        <v>2</v>
      </c>
    </row>
    <row r="3990" customFormat="false" ht="15" hidden="false" customHeight="false" outlineLevel="0" collapsed="false">
      <c r="B3990" s="53"/>
      <c r="I3990" s="53"/>
      <c r="U3990" s="31" t="n">
        <f aca="false">IF($B3990&lt;&gt;'設定（最初に1回）'!$C$4,N(U3989),IF(COUNTIFS(①今日の在庫を貼る!$B$6:$B$10005,$B3990,①今日の在庫を貼る!$I$6:$I$10005,$I3990)&gt;0,N(U3989),N(U3989)+1))</f>
        <v>2</v>
      </c>
    </row>
    <row r="3991" customFormat="false" ht="15" hidden="false" customHeight="false" outlineLevel="0" collapsed="false">
      <c r="B3991" s="53"/>
      <c r="I3991" s="53"/>
      <c r="U3991" s="31" t="n">
        <f aca="false">IF($B3991&lt;&gt;'設定（最初に1回）'!$C$4,N(U3990),IF(COUNTIFS(①今日の在庫を貼る!$B$6:$B$10005,$B3991,①今日の在庫を貼る!$I$6:$I$10005,$I3991)&gt;0,N(U3990),N(U3990)+1))</f>
        <v>2</v>
      </c>
    </row>
    <row r="3992" customFormat="false" ht="15" hidden="false" customHeight="false" outlineLevel="0" collapsed="false">
      <c r="B3992" s="53"/>
      <c r="I3992" s="53"/>
      <c r="U3992" s="31" t="n">
        <f aca="false">IF($B3992&lt;&gt;'設定（最初に1回）'!$C$4,N(U3991),IF(COUNTIFS(①今日の在庫を貼る!$B$6:$B$10005,$B3992,①今日の在庫を貼る!$I$6:$I$10005,$I3992)&gt;0,N(U3991),N(U3991)+1))</f>
        <v>2</v>
      </c>
    </row>
    <row r="3993" customFormat="false" ht="15" hidden="false" customHeight="false" outlineLevel="0" collapsed="false">
      <c r="B3993" s="53"/>
      <c r="I3993" s="53"/>
      <c r="U3993" s="31" t="n">
        <f aca="false">IF($B3993&lt;&gt;'設定（最初に1回）'!$C$4,N(U3992),IF(COUNTIFS(①今日の在庫を貼る!$B$6:$B$10005,$B3993,①今日の在庫を貼る!$I$6:$I$10005,$I3993)&gt;0,N(U3992),N(U3992)+1))</f>
        <v>2</v>
      </c>
    </row>
    <row r="3994" customFormat="false" ht="15" hidden="false" customHeight="false" outlineLevel="0" collapsed="false">
      <c r="B3994" s="53"/>
      <c r="I3994" s="53"/>
      <c r="U3994" s="31" t="n">
        <f aca="false">IF($B3994&lt;&gt;'設定（最初に1回）'!$C$4,N(U3993),IF(COUNTIFS(①今日の在庫を貼る!$B$6:$B$10005,$B3994,①今日の在庫を貼る!$I$6:$I$10005,$I3994)&gt;0,N(U3993),N(U3993)+1))</f>
        <v>2</v>
      </c>
    </row>
    <row r="3995" customFormat="false" ht="15" hidden="false" customHeight="false" outlineLevel="0" collapsed="false">
      <c r="B3995" s="53"/>
      <c r="I3995" s="53"/>
      <c r="U3995" s="31" t="n">
        <f aca="false">IF($B3995&lt;&gt;'設定（最初に1回）'!$C$4,N(U3994),IF(COUNTIFS(①今日の在庫を貼る!$B$6:$B$10005,$B3995,①今日の在庫を貼る!$I$6:$I$10005,$I3995)&gt;0,N(U3994),N(U3994)+1))</f>
        <v>2</v>
      </c>
    </row>
    <row r="3996" customFormat="false" ht="15" hidden="false" customHeight="false" outlineLevel="0" collapsed="false">
      <c r="B3996" s="53"/>
      <c r="I3996" s="53"/>
      <c r="U3996" s="31" t="n">
        <f aca="false">IF($B3996&lt;&gt;'設定（最初に1回）'!$C$4,N(U3995),IF(COUNTIFS(①今日の在庫を貼る!$B$6:$B$10005,$B3996,①今日の在庫を貼る!$I$6:$I$10005,$I3996)&gt;0,N(U3995),N(U3995)+1))</f>
        <v>2</v>
      </c>
    </row>
    <row r="3997" customFormat="false" ht="15" hidden="false" customHeight="false" outlineLevel="0" collapsed="false">
      <c r="B3997" s="53"/>
      <c r="I3997" s="53"/>
      <c r="U3997" s="31" t="n">
        <f aca="false">IF($B3997&lt;&gt;'設定（最初に1回）'!$C$4,N(U3996),IF(COUNTIFS(①今日の在庫を貼る!$B$6:$B$10005,$B3997,①今日の在庫を貼る!$I$6:$I$10005,$I3997)&gt;0,N(U3996),N(U3996)+1))</f>
        <v>2</v>
      </c>
    </row>
    <row r="3998" customFormat="false" ht="15" hidden="false" customHeight="false" outlineLevel="0" collapsed="false">
      <c r="B3998" s="53"/>
      <c r="I3998" s="53"/>
      <c r="U3998" s="31" t="n">
        <f aca="false">IF($B3998&lt;&gt;'設定（最初に1回）'!$C$4,N(U3997),IF(COUNTIFS(①今日の在庫を貼る!$B$6:$B$10005,$B3998,①今日の在庫を貼る!$I$6:$I$10005,$I3998)&gt;0,N(U3997),N(U3997)+1))</f>
        <v>2</v>
      </c>
    </row>
    <row r="3999" customFormat="false" ht="15" hidden="false" customHeight="false" outlineLevel="0" collapsed="false">
      <c r="B3999" s="53"/>
      <c r="I3999" s="53"/>
      <c r="U3999" s="31" t="n">
        <f aca="false">IF($B3999&lt;&gt;'設定（最初に1回）'!$C$4,N(U3998),IF(COUNTIFS(①今日の在庫を貼る!$B$6:$B$10005,$B3999,①今日の在庫を貼る!$I$6:$I$10005,$I3999)&gt;0,N(U3998),N(U3998)+1))</f>
        <v>2</v>
      </c>
    </row>
    <row r="4000" customFormat="false" ht="15" hidden="false" customHeight="false" outlineLevel="0" collapsed="false">
      <c r="B4000" s="53"/>
      <c r="I4000" s="53"/>
      <c r="U4000" s="31" t="n">
        <f aca="false">IF($B4000&lt;&gt;'設定（最初に1回）'!$C$4,N(U3999),IF(COUNTIFS(①今日の在庫を貼る!$B$6:$B$10005,$B4000,①今日の在庫を貼る!$I$6:$I$10005,$I4000)&gt;0,N(U3999),N(U3999)+1))</f>
        <v>2</v>
      </c>
    </row>
    <row r="4001" customFormat="false" ht="15" hidden="false" customHeight="false" outlineLevel="0" collapsed="false">
      <c r="B4001" s="53"/>
      <c r="I4001" s="53"/>
      <c r="U4001" s="31" t="n">
        <f aca="false">IF($B4001&lt;&gt;'設定（最初に1回）'!$C$4,N(U4000),IF(COUNTIFS(①今日の在庫を貼る!$B$6:$B$10005,$B4001,①今日の在庫を貼る!$I$6:$I$10005,$I4001)&gt;0,N(U4000),N(U4000)+1))</f>
        <v>2</v>
      </c>
    </row>
    <row r="4002" customFormat="false" ht="15" hidden="false" customHeight="false" outlineLevel="0" collapsed="false">
      <c r="B4002" s="53"/>
      <c r="I4002" s="53"/>
      <c r="U4002" s="31" t="n">
        <f aca="false">IF($B4002&lt;&gt;'設定（最初に1回）'!$C$4,N(U4001),IF(COUNTIFS(①今日の在庫を貼る!$B$6:$B$10005,$B4002,①今日の在庫を貼る!$I$6:$I$10005,$I4002)&gt;0,N(U4001),N(U4001)+1))</f>
        <v>2</v>
      </c>
    </row>
    <row r="4003" customFormat="false" ht="15" hidden="false" customHeight="false" outlineLevel="0" collapsed="false">
      <c r="B4003" s="53"/>
      <c r="I4003" s="53"/>
      <c r="U4003" s="31" t="n">
        <f aca="false">IF($B4003&lt;&gt;'設定（最初に1回）'!$C$4,N(U4002),IF(COUNTIFS(①今日の在庫を貼る!$B$6:$B$10005,$B4003,①今日の在庫を貼る!$I$6:$I$10005,$I4003)&gt;0,N(U4002),N(U4002)+1))</f>
        <v>2</v>
      </c>
    </row>
    <row r="4004" customFormat="false" ht="15" hidden="false" customHeight="false" outlineLevel="0" collapsed="false">
      <c r="B4004" s="53"/>
      <c r="I4004" s="53"/>
      <c r="U4004" s="31" t="n">
        <f aca="false">IF($B4004&lt;&gt;'設定（最初に1回）'!$C$4,N(U4003),IF(COUNTIFS(①今日の在庫を貼る!$B$6:$B$10005,$B4004,①今日の在庫を貼る!$I$6:$I$10005,$I4004)&gt;0,N(U4003),N(U4003)+1))</f>
        <v>2</v>
      </c>
    </row>
    <row r="4005" customFormat="false" ht="15" hidden="false" customHeight="false" outlineLevel="0" collapsed="false">
      <c r="B4005" s="53"/>
      <c r="I4005" s="53"/>
      <c r="U4005" s="31" t="n">
        <f aca="false">IF($B4005&lt;&gt;'設定（最初に1回）'!$C$4,N(U4004),IF(COUNTIFS(①今日の在庫を貼る!$B$6:$B$10005,$B4005,①今日の在庫を貼る!$I$6:$I$10005,$I4005)&gt;0,N(U4004),N(U4004)+1))</f>
        <v>2</v>
      </c>
    </row>
    <row r="4006" customFormat="false" ht="15" hidden="false" customHeight="false" outlineLevel="0" collapsed="false">
      <c r="B4006" s="53"/>
      <c r="I4006" s="53"/>
      <c r="U4006" s="31" t="n">
        <f aca="false">IF($B4006&lt;&gt;'設定（最初に1回）'!$C$4,N(U4005),IF(COUNTIFS(①今日の在庫を貼る!$B$6:$B$10005,$B4006,①今日の在庫を貼る!$I$6:$I$10005,$I4006)&gt;0,N(U4005),N(U4005)+1))</f>
        <v>2</v>
      </c>
    </row>
    <row r="4007" customFormat="false" ht="15" hidden="false" customHeight="false" outlineLevel="0" collapsed="false">
      <c r="B4007" s="53"/>
      <c r="I4007" s="53"/>
      <c r="U4007" s="31" t="n">
        <f aca="false">IF($B4007&lt;&gt;'設定（最初に1回）'!$C$4,N(U4006),IF(COUNTIFS(①今日の在庫を貼る!$B$6:$B$10005,$B4007,①今日の在庫を貼る!$I$6:$I$10005,$I4007)&gt;0,N(U4006),N(U4006)+1))</f>
        <v>2</v>
      </c>
    </row>
    <row r="4008" customFormat="false" ht="15" hidden="false" customHeight="false" outlineLevel="0" collapsed="false">
      <c r="B4008" s="53"/>
      <c r="I4008" s="53"/>
      <c r="U4008" s="31" t="n">
        <f aca="false">IF($B4008&lt;&gt;'設定（最初に1回）'!$C$4,N(U4007),IF(COUNTIFS(①今日の在庫を貼る!$B$6:$B$10005,$B4008,①今日の在庫を貼る!$I$6:$I$10005,$I4008)&gt;0,N(U4007),N(U4007)+1))</f>
        <v>2</v>
      </c>
    </row>
    <row r="4009" customFormat="false" ht="15" hidden="false" customHeight="false" outlineLevel="0" collapsed="false">
      <c r="B4009" s="53"/>
      <c r="I4009" s="53"/>
      <c r="U4009" s="31" t="n">
        <f aca="false">IF($B4009&lt;&gt;'設定（最初に1回）'!$C$4,N(U4008),IF(COUNTIFS(①今日の在庫を貼る!$B$6:$B$10005,$B4009,①今日の在庫を貼る!$I$6:$I$10005,$I4009)&gt;0,N(U4008),N(U4008)+1))</f>
        <v>2</v>
      </c>
    </row>
    <row r="4010" customFormat="false" ht="15" hidden="false" customHeight="false" outlineLevel="0" collapsed="false">
      <c r="B4010" s="53"/>
      <c r="I4010" s="53"/>
      <c r="U4010" s="31" t="n">
        <f aca="false">IF($B4010&lt;&gt;'設定（最初に1回）'!$C$4,N(U4009),IF(COUNTIFS(①今日の在庫を貼る!$B$6:$B$10005,$B4010,①今日の在庫を貼る!$I$6:$I$10005,$I4010)&gt;0,N(U4009),N(U4009)+1))</f>
        <v>2</v>
      </c>
    </row>
    <row r="4011" customFormat="false" ht="15" hidden="false" customHeight="false" outlineLevel="0" collapsed="false">
      <c r="B4011" s="53"/>
      <c r="I4011" s="53"/>
      <c r="U4011" s="31" t="n">
        <f aca="false">IF($B4011&lt;&gt;'設定（最初に1回）'!$C$4,N(U4010),IF(COUNTIFS(①今日の在庫を貼る!$B$6:$B$10005,$B4011,①今日の在庫を貼る!$I$6:$I$10005,$I4011)&gt;0,N(U4010),N(U4010)+1))</f>
        <v>2</v>
      </c>
    </row>
    <row r="4012" customFormat="false" ht="15" hidden="false" customHeight="false" outlineLevel="0" collapsed="false">
      <c r="B4012" s="53"/>
      <c r="I4012" s="53"/>
      <c r="U4012" s="31" t="n">
        <f aca="false">IF($B4012&lt;&gt;'設定（最初に1回）'!$C$4,N(U4011),IF(COUNTIFS(①今日の在庫を貼る!$B$6:$B$10005,$B4012,①今日の在庫を貼る!$I$6:$I$10005,$I4012)&gt;0,N(U4011),N(U4011)+1))</f>
        <v>2</v>
      </c>
    </row>
    <row r="4013" customFormat="false" ht="15" hidden="false" customHeight="false" outlineLevel="0" collapsed="false">
      <c r="B4013" s="53"/>
      <c r="I4013" s="53"/>
      <c r="U4013" s="31" t="n">
        <f aca="false">IF($B4013&lt;&gt;'設定（最初に1回）'!$C$4,N(U4012),IF(COUNTIFS(①今日の在庫を貼る!$B$6:$B$10005,$B4013,①今日の在庫を貼る!$I$6:$I$10005,$I4013)&gt;0,N(U4012),N(U4012)+1))</f>
        <v>2</v>
      </c>
    </row>
    <row r="4014" customFormat="false" ht="15" hidden="false" customHeight="false" outlineLevel="0" collapsed="false">
      <c r="B4014" s="53"/>
      <c r="I4014" s="53"/>
      <c r="U4014" s="31" t="n">
        <f aca="false">IF($B4014&lt;&gt;'設定（最初に1回）'!$C$4,N(U4013),IF(COUNTIFS(①今日の在庫を貼る!$B$6:$B$10005,$B4014,①今日の在庫を貼る!$I$6:$I$10005,$I4014)&gt;0,N(U4013),N(U4013)+1))</f>
        <v>2</v>
      </c>
    </row>
    <row r="4015" customFormat="false" ht="15" hidden="false" customHeight="false" outlineLevel="0" collapsed="false">
      <c r="B4015" s="53"/>
      <c r="I4015" s="53"/>
      <c r="U4015" s="31" t="n">
        <f aca="false">IF($B4015&lt;&gt;'設定（最初に1回）'!$C$4,N(U4014),IF(COUNTIFS(①今日の在庫を貼る!$B$6:$B$10005,$B4015,①今日の在庫を貼る!$I$6:$I$10005,$I4015)&gt;0,N(U4014),N(U4014)+1))</f>
        <v>2</v>
      </c>
    </row>
    <row r="4016" customFormat="false" ht="15" hidden="false" customHeight="false" outlineLevel="0" collapsed="false">
      <c r="B4016" s="53"/>
      <c r="I4016" s="53"/>
      <c r="U4016" s="31" t="n">
        <f aca="false">IF($B4016&lt;&gt;'設定（最初に1回）'!$C$4,N(U4015),IF(COUNTIFS(①今日の在庫を貼る!$B$6:$B$10005,$B4016,①今日の在庫を貼る!$I$6:$I$10005,$I4016)&gt;0,N(U4015),N(U4015)+1))</f>
        <v>2</v>
      </c>
    </row>
    <row r="4017" customFormat="false" ht="15" hidden="false" customHeight="false" outlineLevel="0" collapsed="false">
      <c r="B4017" s="53"/>
      <c r="I4017" s="53"/>
      <c r="U4017" s="31" t="n">
        <f aca="false">IF($B4017&lt;&gt;'設定（最初に1回）'!$C$4,N(U4016),IF(COUNTIFS(①今日の在庫を貼る!$B$6:$B$10005,$B4017,①今日の在庫を貼る!$I$6:$I$10005,$I4017)&gt;0,N(U4016),N(U4016)+1))</f>
        <v>2</v>
      </c>
    </row>
    <row r="4018" customFormat="false" ht="15" hidden="false" customHeight="false" outlineLevel="0" collapsed="false">
      <c r="B4018" s="53"/>
      <c r="I4018" s="53"/>
      <c r="U4018" s="31" t="n">
        <f aca="false">IF($B4018&lt;&gt;'設定（最初に1回）'!$C$4,N(U4017),IF(COUNTIFS(①今日の在庫を貼る!$B$6:$B$10005,$B4018,①今日の在庫を貼る!$I$6:$I$10005,$I4018)&gt;0,N(U4017),N(U4017)+1))</f>
        <v>2</v>
      </c>
    </row>
    <row r="4019" customFormat="false" ht="15" hidden="false" customHeight="false" outlineLevel="0" collapsed="false">
      <c r="B4019" s="53"/>
      <c r="I4019" s="53"/>
      <c r="U4019" s="31" t="n">
        <f aca="false">IF($B4019&lt;&gt;'設定（最初に1回）'!$C$4,N(U4018),IF(COUNTIFS(①今日の在庫を貼る!$B$6:$B$10005,$B4019,①今日の在庫を貼る!$I$6:$I$10005,$I4019)&gt;0,N(U4018),N(U4018)+1))</f>
        <v>2</v>
      </c>
    </row>
    <row r="4020" customFormat="false" ht="15" hidden="false" customHeight="false" outlineLevel="0" collapsed="false">
      <c r="B4020" s="53"/>
      <c r="I4020" s="53"/>
      <c r="U4020" s="31" t="n">
        <f aca="false">IF($B4020&lt;&gt;'設定（最初に1回）'!$C$4,N(U4019),IF(COUNTIFS(①今日の在庫を貼る!$B$6:$B$10005,$B4020,①今日の在庫を貼る!$I$6:$I$10005,$I4020)&gt;0,N(U4019),N(U4019)+1))</f>
        <v>2</v>
      </c>
    </row>
    <row r="4021" customFormat="false" ht="15" hidden="false" customHeight="false" outlineLevel="0" collapsed="false">
      <c r="B4021" s="53"/>
      <c r="I4021" s="53"/>
      <c r="U4021" s="31" t="n">
        <f aca="false">IF($B4021&lt;&gt;'設定（最初に1回）'!$C$4,N(U4020),IF(COUNTIFS(①今日の在庫を貼る!$B$6:$B$10005,$B4021,①今日の在庫を貼る!$I$6:$I$10005,$I4021)&gt;0,N(U4020),N(U4020)+1))</f>
        <v>2</v>
      </c>
    </row>
    <row r="4022" customFormat="false" ht="15" hidden="false" customHeight="false" outlineLevel="0" collapsed="false">
      <c r="B4022" s="53"/>
      <c r="I4022" s="53"/>
      <c r="U4022" s="31" t="n">
        <f aca="false">IF($B4022&lt;&gt;'設定（最初に1回）'!$C$4,N(U4021),IF(COUNTIFS(①今日の在庫を貼る!$B$6:$B$10005,$B4022,①今日の在庫を貼る!$I$6:$I$10005,$I4022)&gt;0,N(U4021),N(U4021)+1))</f>
        <v>2</v>
      </c>
    </row>
    <row r="4023" customFormat="false" ht="15" hidden="false" customHeight="false" outlineLevel="0" collapsed="false">
      <c r="B4023" s="53"/>
      <c r="I4023" s="53"/>
      <c r="U4023" s="31" t="n">
        <f aca="false">IF($B4023&lt;&gt;'設定（最初に1回）'!$C$4,N(U4022),IF(COUNTIFS(①今日の在庫を貼る!$B$6:$B$10005,$B4023,①今日の在庫を貼る!$I$6:$I$10005,$I4023)&gt;0,N(U4022),N(U4022)+1))</f>
        <v>2</v>
      </c>
    </row>
    <row r="4024" customFormat="false" ht="15" hidden="false" customHeight="false" outlineLevel="0" collapsed="false">
      <c r="B4024" s="53"/>
      <c r="I4024" s="53"/>
      <c r="U4024" s="31" t="n">
        <f aca="false">IF($B4024&lt;&gt;'設定（最初に1回）'!$C$4,N(U4023),IF(COUNTIFS(①今日の在庫を貼る!$B$6:$B$10005,$B4024,①今日の在庫を貼る!$I$6:$I$10005,$I4024)&gt;0,N(U4023),N(U4023)+1))</f>
        <v>2</v>
      </c>
    </row>
    <row r="4025" customFormat="false" ht="15" hidden="false" customHeight="false" outlineLevel="0" collapsed="false">
      <c r="B4025" s="53"/>
      <c r="I4025" s="53"/>
      <c r="U4025" s="31" t="n">
        <f aca="false">IF($B4025&lt;&gt;'設定（最初に1回）'!$C$4,N(U4024),IF(COUNTIFS(①今日の在庫を貼る!$B$6:$B$10005,$B4025,①今日の在庫を貼る!$I$6:$I$10005,$I4025)&gt;0,N(U4024),N(U4024)+1))</f>
        <v>2</v>
      </c>
    </row>
    <row r="4026" customFormat="false" ht="15" hidden="false" customHeight="false" outlineLevel="0" collapsed="false">
      <c r="B4026" s="53"/>
      <c r="I4026" s="53"/>
      <c r="U4026" s="31" t="n">
        <f aca="false">IF($B4026&lt;&gt;'設定（最初に1回）'!$C$4,N(U4025),IF(COUNTIFS(①今日の在庫を貼る!$B$6:$B$10005,$B4026,①今日の在庫を貼る!$I$6:$I$10005,$I4026)&gt;0,N(U4025),N(U4025)+1))</f>
        <v>2</v>
      </c>
    </row>
    <row r="4027" customFormat="false" ht="15" hidden="false" customHeight="false" outlineLevel="0" collapsed="false">
      <c r="B4027" s="53"/>
      <c r="I4027" s="53"/>
      <c r="U4027" s="31" t="n">
        <f aca="false">IF($B4027&lt;&gt;'設定（最初に1回）'!$C$4,N(U4026),IF(COUNTIFS(①今日の在庫を貼る!$B$6:$B$10005,$B4027,①今日の在庫を貼る!$I$6:$I$10005,$I4027)&gt;0,N(U4026),N(U4026)+1))</f>
        <v>2</v>
      </c>
    </row>
    <row r="4028" customFormat="false" ht="15" hidden="false" customHeight="false" outlineLevel="0" collapsed="false">
      <c r="B4028" s="53"/>
      <c r="I4028" s="53"/>
      <c r="U4028" s="31" t="n">
        <f aca="false">IF($B4028&lt;&gt;'設定（最初に1回）'!$C$4,N(U4027),IF(COUNTIFS(①今日の在庫を貼る!$B$6:$B$10005,$B4028,①今日の在庫を貼る!$I$6:$I$10005,$I4028)&gt;0,N(U4027),N(U4027)+1))</f>
        <v>2</v>
      </c>
    </row>
    <row r="4029" customFormat="false" ht="15" hidden="false" customHeight="false" outlineLevel="0" collapsed="false">
      <c r="B4029" s="53"/>
      <c r="I4029" s="53"/>
      <c r="U4029" s="31" t="n">
        <f aca="false">IF($B4029&lt;&gt;'設定（最初に1回）'!$C$4,N(U4028),IF(COUNTIFS(①今日の在庫を貼る!$B$6:$B$10005,$B4029,①今日の在庫を貼る!$I$6:$I$10005,$I4029)&gt;0,N(U4028),N(U4028)+1))</f>
        <v>2</v>
      </c>
    </row>
    <row r="4030" customFormat="false" ht="15" hidden="false" customHeight="false" outlineLevel="0" collapsed="false">
      <c r="B4030" s="53"/>
      <c r="I4030" s="53"/>
      <c r="U4030" s="31" t="n">
        <f aca="false">IF($B4030&lt;&gt;'設定（最初に1回）'!$C$4,N(U4029),IF(COUNTIFS(①今日の在庫を貼る!$B$6:$B$10005,$B4030,①今日の在庫を貼る!$I$6:$I$10005,$I4030)&gt;0,N(U4029),N(U4029)+1))</f>
        <v>2</v>
      </c>
    </row>
    <row r="4031" customFormat="false" ht="15" hidden="false" customHeight="false" outlineLevel="0" collapsed="false">
      <c r="B4031" s="53"/>
      <c r="I4031" s="53"/>
      <c r="U4031" s="31" t="n">
        <f aca="false">IF($B4031&lt;&gt;'設定（最初に1回）'!$C$4,N(U4030),IF(COUNTIFS(①今日の在庫を貼る!$B$6:$B$10005,$B4031,①今日の在庫を貼る!$I$6:$I$10005,$I4031)&gt;0,N(U4030),N(U4030)+1))</f>
        <v>2</v>
      </c>
    </row>
    <row r="4032" customFormat="false" ht="15" hidden="false" customHeight="false" outlineLevel="0" collapsed="false">
      <c r="B4032" s="53"/>
      <c r="I4032" s="53"/>
      <c r="U4032" s="31" t="n">
        <f aca="false">IF($B4032&lt;&gt;'設定（最初に1回）'!$C$4,N(U4031),IF(COUNTIFS(①今日の在庫を貼る!$B$6:$B$10005,$B4032,①今日の在庫を貼る!$I$6:$I$10005,$I4032)&gt;0,N(U4031),N(U4031)+1))</f>
        <v>2</v>
      </c>
    </row>
    <row r="4033" customFormat="false" ht="15" hidden="false" customHeight="false" outlineLevel="0" collapsed="false">
      <c r="B4033" s="53"/>
      <c r="I4033" s="53"/>
      <c r="U4033" s="31" t="n">
        <f aca="false">IF($B4033&lt;&gt;'設定（最初に1回）'!$C$4,N(U4032),IF(COUNTIFS(①今日の在庫を貼る!$B$6:$B$10005,$B4033,①今日の在庫を貼る!$I$6:$I$10005,$I4033)&gt;0,N(U4032),N(U4032)+1))</f>
        <v>2</v>
      </c>
    </row>
    <row r="4034" customFormat="false" ht="15" hidden="false" customHeight="false" outlineLevel="0" collapsed="false">
      <c r="B4034" s="53"/>
      <c r="I4034" s="53"/>
      <c r="U4034" s="31" t="n">
        <f aca="false">IF($B4034&lt;&gt;'設定（最初に1回）'!$C$4,N(U4033),IF(COUNTIFS(①今日の在庫を貼る!$B$6:$B$10005,$B4034,①今日の在庫を貼る!$I$6:$I$10005,$I4034)&gt;0,N(U4033),N(U4033)+1))</f>
        <v>2</v>
      </c>
    </row>
    <row r="4035" customFormat="false" ht="15" hidden="false" customHeight="false" outlineLevel="0" collapsed="false">
      <c r="B4035" s="53"/>
      <c r="I4035" s="53"/>
      <c r="U4035" s="31" t="n">
        <f aca="false">IF($B4035&lt;&gt;'設定（最初に1回）'!$C$4,N(U4034),IF(COUNTIFS(①今日の在庫を貼る!$B$6:$B$10005,$B4035,①今日の在庫を貼る!$I$6:$I$10005,$I4035)&gt;0,N(U4034),N(U4034)+1))</f>
        <v>2</v>
      </c>
    </row>
    <row r="4036" customFormat="false" ht="15" hidden="false" customHeight="false" outlineLevel="0" collapsed="false">
      <c r="B4036" s="53"/>
      <c r="I4036" s="53"/>
      <c r="U4036" s="31" t="n">
        <f aca="false">IF($B4036&lt;&gt;'設定（最初に1回）'!$C$4,N(U4035),IF(COUNTIFS(①今日の在庫を貼る!$B$6:$B$10005,$B4036,①今日の在庫を貼る!$I$6:$I$10005,$I4036)&gt;0,N(U4035),N(U4035)+1))</f>
        <v>2</v>
      </c>
    </row>
    <row r="4037" customFormat="false" ht="15" hidden="false" customHeight="false" outlineLevel="0" collapsed="false">
      <c r="B4037" s="53"/>
      <c r="I4037" s="53"/>
      <c r="U4037" s="31" t="n">
        <f aca="false">IF($B4037&lt;&gt;'設定（最初に1回）'!$C$4,N(U4036),IF(COUNTIFS(①今日の在庫を貼る!$B$6:$B$10005,$B4037,①今日の在庫を貼る!$I$6:$I$10005,$I4037)&gt;0,N(U4036),N(U4036)+1))</f>
        <v>2</v>
      </c>
    </row>
    <row r="4038" customFormat="false" ht="15" hidden="false" customHeight="false" outlineLevel="0" collapsed="false">
      <c r="B4038" s="53"/>
      <c r="I4038" s="53"/>
      <c r="U4038" s="31" t="n">
        <f aca="false">IF($B4038&lt;&gt;'設定（最初に1回）'!$C$4,N(U4037),IF(COUNTIFS(①今日の在庫を貼る!$B$6:$B$10005,$B4038,①今日の在庫を貼る!$I$6:$I$10005,$I4038)&gt;0,N(U4037),N(U4037)+1))</f>
        <v>2</v>
      </c>
    </row>
    <row r="4039" customFormat="false" ht="15" hidden="false" customHeight="false" outlineLevel="0" collapsed="false">
      <c r="B4039" s="53"/>
      <c r="I4039" s="53"/>
      <c r="U4039" s="31" t="n">
        <f aca="false">IF($B4039&lt;&gt;'設定（最初に1回）'!$C$4,N(U4038),IF(COUNTIFS(①今日の在庫を貼る!$B$6:$B$10005,$B4039,①今日の在庫を貼る!$I$6:$I$10005,$I4039)&gt;0,N(U4038),N(U4038)+1))</f>
        <v>2</v>
      </c>
    </row>
    <row r="4040" customFormat="false" ht="15" hidden="false" customHeight="false" outlineLevel="0" collapsed="false">
      <c r="B4040" s="53"/>
      <c r="I4040" s="53"/>
      <c r="U4040" s="31" t="n">
        <f aca="false">IF($B4040&lt;&gt;'設定（最初に1回）'!$C$4,N(U4039),IF(COUNTIFS(①今日の在庫を貼る!$B$6:$B$10005,$B4040,①今日の在庫を貼る!$I$6:$I$10005,$I4040)&gt;0,N(U4039),N(U4039)+1))</f>
        <v>2</v>
      </c>
    </row>
    <row r="4041" customFormat="false" ht="15" hidden="false" customHeight="false" outlineLevel="0" collapsed="false">
      <c r="B4041" s="53"/>
      <c r="I4041" s="53"/>
      <c r="U4041" s="31" t="n">
        <f aca="false">IF($B4041&lt;&gt;'設定（最初に1回）'!$C$4,N(U4040),IF(COUNTIFS(①今日の在庫を貼る!$B$6:$B$10005,$B4041,①今日の在庫を貼る!$I$6:$I$10005,$I4041)&gt;0,N(U4040),N(U4040)+1))</f>
        <v>2</v>
      </c>
    </row>
    <row r="4042" customFormat="false" ht="15" hidden="false" customHeight="false" outlineLevel="0" collapsed="false">
      <c r="B4042" s="53"/>
      <c r="I4042" s="53"/>
      <c r="U4042" s="31" t="n">
        <f aca="false">IF($B4042&lt;&gt;'設定（最初に1回）'!$C$4,N(U4041),IF(COUNTIFS(①今日の在庫を貼る!$B$6:$B$10005,$B4042,①今日の在庫を貼る!$I$6:$I$10005,$I4042)&gt;0,N(U4041),N(U4041)+1))</f>
        <v>2</v>
      </c>
    </row>
    <row r="4043" customFormat="false" ht="15" hidden="false" customHeight="false" outlineLevel="0" collapsed="false">
      <c r="B4043" s="53"/>
      <c r="I4043" s="53"/>
      <c r="U4043" s="31" t="n">
        <f aca="false">IF($B4043&lt;&gt;'設定（最初に1回）'!$C$4,N(U4042),IF(COUNTIFS(①今日の在庫を貼る!$B$6:$B$10005,$B4043,①今日の在庫を貼る!$I$6:$I$10005,$I4043)&gt;0,N(U4042),N(U4042)+1))</f>
        <v>2</v>
      </c>
    </row>
    <row r="4044" customFormat="false" ht="15" hidden="false" customHeight="false" outlineLevel="0" collapsed="false">
      <c r="B4044" s="53"/>
      <c r="I4044" s="53"/>
      <c r="U4044" s="31" t="n">
        <f aca="false">IF($B4044&lt;&gt;'設定（最初に1回）'!$C$4,N(U4043),IF(COUNTIFS(①今日の在庫を貼る!$B$6:$B$10005,$B4044,①今日の在庫を貼る!$I$6:$I$10005,$I4044)&gt;0,N(U4043),N(U4043)+1))</f>
        <v>2</v>
      </c>
    </row>
    <row r="4045" customFormat="false" ht="15" hidden="false" customHeight="false" outlineLevel="0" collapsed="false">
      <c r="B4045" s="53"/>
      <c r="I4045" s="53"/>
      <c r="U4045" s="31" t="n">
        <f aca="false">IF($B4045&lt;&gt;'設定（最初に1回）'!$C$4,N(U4044),IF(COUNTIFS(①今日の在庫を貼る!$B$6:$B$10005,$B4045,①今日の在庫を貼る!$I$6:$I$10005,$I4045)&gt;0,N(U4044),N(U4044)+1))</f>
        <v>2</v>
      </c>
    </row>
    <row r="4046" customFormat="false" ht="15" hidden="false" customHeight="false" outlineLevel="0" collapsed="false">
      <c r="B4046" s="53"/>
      <c r="I4046" s="53"/>
      <c r="U4046" s="31" t="n">
        <f aca="false">IF($B4046&lt;&gt;'設定（最初に1回）'!$C$4,N(U4045),IF(COUNTIFS(①今日の在庫を貼る!$B$6:$B$10005,$B4046,①今日の在庫を貼る!$I$6:$I$10005,$I4046)&gt;0,N(U4045),N(U4045)+1))</f>
        <v>2</v>
      </c>
    </row>
    <row r="4047" customFormat="false" ht="15" hidden="false" customHeight="false" outlineLevel="0" collapsed="false">
      <c r="B4047" s="53"/>
      <c r="I4047" s="53"/>
      <c r="U4047" s="31" t="n">
        <f aca="false">IF($B4047&lt;&gt;'設定（最初に1回）'!$C$4,N(U4046),IF(COUNTIFS(①今日の在庫を貼る!$B$6:$B$10005,$B4047,①今日の在庫を貼る!$I$6:$I$10005,$I4047)&gt;0,N(U4046),N(U4046)+1))</f>
        <v>2</v>
      </c>
    </row>
    <row r="4048" customFormat="false" ht="15" hidden="false" customHeight="false" outlineLevel="0" collapsed="false">
      <c r="B4048" s="53"/>
      <c r="I4048" s="53"/>
      <c r="U4048" s="31" t="n">
        <f aca="false">IF($B4048&lt;&gt;'設定（最初に1回）'!$C$4,N(U4047),IF(COUNTIFS(①今日の在庫を貼る!$B$6:$B$10005,$B4048,①今日の在庫を貼る!$I$6:$I$10005,$I4048)&gt;0,N(U4047),N(U4047)+1))</f>
        <v>2</v>
      </c>
    </row>
    <row r="4049" customFormat="false" ht="15" hidden="false" customHeight="false" outlineLevel="0" collapsed="false">
      <c r="B4049" s="53"/>
      <c r="I4049" s="53"/>
      <c r="U4049" s="31" t="n">
        <f aca="false">IF($B4049&lt;&gt;'設定（最初に1回）'!$C$4,N(U4048),IF(COUNTIFS(①今日の在庫を貼る!$B$6:$B$10005,$B4049,①今日の在庫を貼る!$I$6:$I$10005,$I4049)&gt;0,N(U4048),N(U4048)+1))</f>
        <v>2</v>
      </c>
    </row>
    <row r="4050" customFormat="false" ht="15" hidden="false" customHeight="false" outlineLevel="0" collapsed="false">
      <c r="B4050" s="53"/>
      <c r="I4050" s="53"/>
      <c r="U4050" s="31" t="n">
        <f aca="false">IF($B4050&lt;&gt;'設定（最初に1回）'!$C$4,N(U4049),IF(COUNTIFS(①今日の在庫を貼る!$B$6:$B$10005,$B4050,①今日の在庫を貼る!$I$6:$I$10005,$I4050)&gt;0,N(U4049),N(U4049)+1))</f>
        <v>2</v>
      </c>
    </row>
    <row r="4051" customFormat="false" ht="15" hidden="false" customHeight="false" outlineLevel="0" collapsed="false">
      <c r="B4051" s="53"/>
      <c r="I4051" s="53"/>
      <c r="U4051" s="31" t="n">
        <f aca="false">IF($B4051&lt;&gt;'設定（最初に1回）'!$C$4,N(U4050),IF(COUNTIFS(①今日の在庫を貼る!$B$6:$B$10005,$B4051,①今日の在庫を貼る!$I$6:$I$10005,$I4051)&gt;0,N(U4050),N(U4050)+1))</f>
        <v>2</v>
      </c>
    </row>
    <row r="4052" customFormat="false" ht="15" hidden="false" customHeight="false" outlineLevel="0" collapsed="false">
      <c r="B4052" s="53"/>
      <c r="I4052" s="53"/>
      <c r="U4052" s="31" t="n">
        <f aca="false">IF($B4052&lt;&gt;'設定（最初に1回）'!$C$4,N(U4051),IF(COUNTIFS(①今日の在庫を貼る!$B$6:$B$10005,$B4052,①今日の在庫を貼る!$I$6:$I$10005,$I4052)&gt;0,N(U4051),N(U4051)+1))</f>
        <v>2</v>
      </c>
    </row>
    <row r="4053" customFormat="false" ht="15" hidden="false" customHeight="false" outlineLevel="0" collapsed="false">
      <c r="B4053" s="53"/>
      <c r="I4053" s="53"/>
      <c r="U4053" s="31" t="n">
        <f aca="false">IF($B4053&lt;&gt;'設定（最初に1回）'!$C$4,N(U4052),IF(COUNTIFS(①今日の在庫を貼る!$B$6:$B$10005,$B4053,①今日の在庫を貼る!$I$6:$I$10005,$I4053)&gt;0,N(U4052),N(U4052)+1))</f>
        <v>2</v>
      </c>
    </row>
    <row r="4054" customFormat="false" ht="15" hidden="false" customHeight="false" outlineLevel="0" collapsed="false">
      <c r="B4054" s="53"/>
      <c r="I4054" s="53"/>
      <c r="U4054" s="31" t="n">
        <f aca="false">IF($B4054&lt;&gt;'設定（最初に1回）'!$C$4,N(U4053),IF(COUNTIFS(①今日の在庫を貼る!$B$6:$B$10005,$B4054,①今日の在庫を貼る!$I$6:$I$10005,$I4054)&gt;0,N(U4053),N(U4053)+1))</f>
        <v>2</v>
      </c>
    </row>
    <row r="4055" customFormat="false" ht="15" hidden="false" customHeight="false" outlineLevel="0" collapsed="false">
      <c r="B4055" s="53"/>
      <c r="I4055" s="53"/>
      <c r="U4055" s="31" t="n">
        <f aca="false">IF($B4055&lt;&gt;'設定（最初に1回）'!$C$4,N(U4054),IF(COUNTIFS(①今日の在庫を貼る!$B$6:$B$10005,$B4055,①今日の在庫を貼る!$I$6:$I$10005,$I4055)&gt;0,N(U4054),N(U4054)+1))</f>
        <v>2</v>
      </c>
    </row>
    <row r="4056" customFormat="false" ht="15" hidden="false" customHeight="false" outlineLevel="0" collapsed="false">
      <c r="B4056" s="53"/>
      <c r="I4056" s="53"/>
      <c r="U4056" s="31" t="n">
        <f aca="false">IF($B4056&lt;&gt;'設定（最初に1回）'!$C$4,N(U4055),IF(COUNTIFS(①今日の在庫を貼る!$B$6:$B$10005,$B4056,①今日の在庫を貼る!$I$6:$I$10005,$I4056)&gt;0,N(U4055),N(U4055)+1))</f>
        <v>2</v>
      </c>
    </row>
    <row r="4057" customFormat="false" ht="15" hidden="false" customHeight="false" outlineLevel="0" collapsed="false">
      <c r="B4057" s="53"/>
      <c r="I4057" s="53"/>
      <c r="U4057" s="31" t="n">
        <f aca="false">IF($B4057&lt;&gt;'設定（最初に1回）'!$C$4,N(U4056),IF(COUNTIFS(①今日の在庫を貼る!$B$6:$B$10005,$B4057,①今日の在庫を貼る!$I$6:$I$10005,$I4057)&gt;0,N(U4056),N(U4056)+1))</f>
        <v>2</v>
      </c>
    </row>
    <row r="4058" customFormat="false" ht="15" hidden="false" customHeight="false" outlineLevel="0" collapsed="false">
      <c r="B4058" s="53"/>
      <c r="I4058" s="53"/>
      <c r="U4058" s="31" t="n">
        <f aca="false">IF($B4058&lt;&gt;'設定（最初に1回）'!$C$4,N(U4057),IF(COUNTIFS(①今日の在庫を貼る!$B$6:$B$10005,$B4058,①今日の在庫を貼る!$I$6:$I$10005,$I4058)&gt;0,N(U4057),N(U4057)+1))</f>
        <v>2</v>
      </c>
    </row>
    <row r="4059" customFormat="false" ht="15" hidden="false" customHeight="false" outlineLevel="0" collapsed="false">
      <c r="B4059" s="53"/>
      <c r="I4059" s="53"/>
      <c r="U4059" s="31" t="n">
        <f aca="false">IF($B4059&lt;&gt;'設定（最初に1回）'!$C$4,N(U4058),IF(COUNTIFS(①今日の在庫を貼る!$B$6:$B$10005,$B4059,①今日の在庫を貼る!$I$6:$I$10005,$I4059)&gt;0,N(U4058),N(U4058)+1))</f>
        <v>2</v>
      </c>
    </row>
    <row r="4060" customFormat="false" ht="15" hidden="false" customHeight="false" outlineLevel="0" collapsed="false">
      <c r="B4060" s="53"/>
      <c r="I4060" s="53"/>
      <c r="U4060" s="31" t="n">
        <f aca="false">IF($B4060&lt;&gt;'設定（最初に1回）'!$C$4,N(U4059),IF(COUNTIFS(①今日の在庫を貼る!$B$6:$B$10005,$B4060,①今日の在庫を貼る!$I$6:$I$10005,$I4060)&gt;0,N(U4059),N(U4059)+1))</f>
        <v>2</v>
      </c>
    </row>
    <row r="4061" customFormat="false" ht="15" hidden="false" customHeight="false" outlineLevel="0" collapsed="false">
      <c r="B4061" s="53"/>
      <c r="I4061" s="53"/>
      <c r="U4061" s="31" t="n">
        <f aca="false">IF($B4061&lt;&gt;'設定（最初に1回）'!$C$4,N(U4060),IF(COUNTIFS(①今日の在庫を貼る!$B$6:$B$10005,$B4061,①今日の在庫を貼る!$I$6:$I$10005,$I4061)&gt;0,N(U4060),N(U4060)+1))</f>
        <v>2</v>
      </c>
    </row>
    <row r="4062" customFormat="false" ht="15" hidden="false" customHeight="false" outlineLevel="0" collapsed="false">
      <c r="B4062" s="53"/>
      <c r="I4062" s="53"/>
      <c r="U4062" s="31" t="n">
        <f aca="false">IF($B4062&lt;&gt;'設定（最初に1回）'!$C$4,N(U4061),IF(COUNTIFS(①今日の在庫を貼る!$B$6:$B$10005,$B4062,①今日の在庫を貼る!$I$6:$I$10005,$I4062)&gt;0,N(U4061),N(U4061)+1))</f>
        <v>2</v>
      </c>
    </row>
    <row r="4063" customFormat="false" ht="15" hidden="false" customHeight="false" outlineLevel="0" collapsed="false">
      <c r="B4063" s="53"/>
      <c r="I4063" s="53"/>
      <c r="U4063" s="31" t="n">
        <f aca="false">IF($B4063&lt;&gt;'設定（最初に1回）'!$C$4,N(U4062),IF(COUNTIFS(①今日の在庫を貼る!$B$6:$B$10005,$B4063,①今日の在庫を貼る!$I$6:$I$10005,$I4063)&gt;0,N(U4062),N(U4062)+1))</f>
        <v>2</v>
      </c>
    </row>
    <row r="4064" customFormat="false" ht="15" hidden="false" customHeight="false" outlineLevel="0" collapsed="false">
      <c r="B4064" s="53"/>
      <c r="I4064" s="53"/>
      <c r="U4064" s="31" t="n">
        <f aca="false">IF($B4064&lt;&gt;'設定（最初に1回）'!$C$4,N(U4063),IF(COUNTIFS(①今日の在庫を貼る!$B$6:$B$10005,$B4064,①今日の在庫を貼る!$I$6:$I$10005,$I4064)&gt;0,N(U4063),N(U4063)+1))</f>
        <v>2</v>
      </c>
    </row>
    <row r="4065" customFormat="false" ht="15" hidden="false" customHeight="false" outlineLevel="0" collapsed="false">
      <c r="B4065" s="53"/>
      <c r="I4065" s="53"/>
      <c r="U4065" s="31" t="n">
        <f aca="false">IF($B4065&lt;&gt;'設定（最初に1回）'!$C$4,N(U4064),IF(COUNTIFS(①今日の在庫を貼る!$B$6:$B$10005,$B4065,①今日の在庫を貼る!$I$6:$I$10005,$I4065)&gt;0,N(U4064),N(U4064)+1))</f>
        <v>2</v>
      </c>
    </row>
    <row r="4066" customFormat="false" ht="15" hidden="false" customHeight="false" outlineLevel="0" collapsed="false">
      <c r="B4066" s="53"/>
      <c r="I4066" s="53"/>
      <c r="U4066" s="31" t="n">
        <f aca="false">IF($B4066&lt;&gt;'設定（最初に1回）'!$C$4,N(U4065),IF(COUNTIFS(①今日の在庫を貼る!$B$6:$B$10005,$B4066,①今日の在庫を貼る!$I$6:$I$10005,$I4066)&gt;0,N(U4065),N(U4065)+1))</f>
        <v>2</v>
      </c>
    </row>
    <row r="4067" customFormat="false" ht="15" hidden="false" customHeight="false" outlineLevel="0" collapsed="false">
      <c r="B4067" s="53"/>
      <c r="I4067" s="53"/>
      <c r="U4067" s="31" t="n">
        <f aca="false">IF($B4067&lt;&gt;'設定（最初に1回）'!$C$4,N(U4066),IF(COUNTIFS(①今日の在庫を貼る!$B$6:$B$10005,$B4067,①今日の在庫を貼る!$I$6:$I$10005,$I4067)&gt;0,N(U4066),N(U4066)+1))</f>
        <v>2</v>
      </c>
    </row>
    <row r="4068" customFormat="false" ht="15" hidden="false" customHeight="false" outlineLevel="0" collapsed="false">
      <c r="B4068" s="53"/>
      <c r="I4068" s="53"/>
      <c r="U4068" s="31" t="n">
        <f aca="false">IF($B4068&lt;&gt;'設定（最初に1回）'!$C$4,N(U4067),IF(COUNTIFS(①今日の在庫を貼る!$B$6:$B$10005,$B4068,①今日の在庫を貼る!$I$6:$I$10005,$I4068)&gt;0,N(U4067),N(U4067)+1))</f>
        <v>2</v>
      </c>
    </row>
    <row r="4069" customFormat="false" ht="15" hidden="false" customHeight="false" outlineLevel="0" collapsed="false">
      <c r="B4069" s="53"/>
      <c r="I4069" s="53"/>
      <c r="U4069" s="31" t="n">
        <f aca="false">IF($B4069&lt;&gt;'設定（最初に1回）'!$C$4,N(U4068),IF(COUNTIFS(①今日の在庫を貼る!$B$6:$B$10005,$B4069,①今日の在庫を貼る!$I$6:$I$10005,$I4069)&gt;0,N(U4068),N(U4068)+1))</f>
        <v>2</v>
      </c>
    </row>
    <row r="4070" customFormat="false" ht="15" hidden="false" customHeight="false" outlineLevel="0" collapsed="false">
      <c r="B4070" s="53"/>
      <c r="I4070" s="53"/>
      <c r="U4070" s="31" t="n">
        <f aca="false">IF($B4070&lt;&gt;'設定（最初に1回）'!$C$4,N(U4069),IF(COUNTIFS(①今日の在庫を貼る!$B$6:$B$10005,$B4070,①今日の在庫を貼る!$I$6:$I$10005,$I4070)&gt;0,N(U4069),N(U4069)+1))</f>
        <v>2</v>
      </c>
    </row>
    <row r="4071" customFormat="false" ht="15" hidden="false" customHeight="false" outlineLevel="0" collapsed="false">
      <c r="B4071" s="53"/>
      <c r="I4071" s="53"/>
      <c r="U4071" s="31" t="n">
        <f aca="false">IF($B4071&lt;&gt;'設定（最初に1回）'!$C$4,N(U4070),IF(COUNTIFS(①今日の在庫を貼る!$B$6:$B$10005,$B4071,①今日の在庫を貼る!$I$6:$I$10005,$I4071)&gt;0,N(U4070),N(U4070)+1))</f>
        <v>2</v>
      </c>
    </row>
    <row r="4072" customFormat="false" ht="15" hidden="false" customHeight="false" outlineLevel="0" collapsed="false">
      <c r="B4072" s="53"/>
      <c r="I4072" s="53"/>
      <c r="U4072" s="31" t="n">
        <f aca="false">IF($B4072&lt;&gt;'設定（最初に1回）'!$C$4,N(U4071),IF(COUNTIFS(①今日の在庫を貼る!$B$6:$B$10005,$B4072,①今日の在庫を貼る!$I$6:$I$10005,$I4072)&gt;0,N(U4071),N(U4071)+1))</f>
        <v>2</v>
      </c>
    </row>
    <row r="4073" customFormat="false" ht="15" hidden="false" customHeight="false" outlineLevel="0" collapsed="false">
      <c r="B4073" s="53"/>
      <c r="I4073" s="53"/>
      <c r="U4073" s="31" t="n">
        <f aca="false">IF($B4073&lt;&gt;'設定（最初に1回）'!$C$4,N(U4072),IF(COUNTIFS(①今日の在庫を貼る!$B$6:$B$10005,$B4073,①今日の在庫を貼る!$I$6:$I$10005,$I4073)&gt;0,N(U4072),N(U4072)+1))</f>
        <v>2</v>
      </c>
    </row>
    <row r="4074" customFormat="false" ht="15" hidden="false" customHeight="false" outlineLevel="0" collapsed="false">
      <c r="B4074" s="53"/>
      <c r="I4074" s="53"/>
      <c r="U4074" s="31" t="n">
        <f aca="false">IF($B4074&lt;&gt;'設定（最初に1回）'!$C$4,N(U4073),IF(COUNTIFS(①今日の在庫を貼る!$B$6:$B$10005,$B4074,①今日の在庫を貼る!$I$6:$I$10005,$I4074)&gt;0,N(U4073),N(U4073)+1))</f>
        <v>2</v>
      </c>
    </row>
    <row r="4075" customFormat="false" ht="15" hidden="false" customHeight="false" outlineLevel="0" collapsed="false">
      <c r="B4075" s="53"/>
      <c r="I4075" s="53"/>
      <c r="U4075" s="31" t="n">
        <f aca="false">IF($B4075&lt;&gt;'設定（最初に1回）'!$C$4,N(U4074),IF(COUNTIFS(①今日の在庫を貼る!$B$6:$B$10005,$B4075,①今日の在庫を貼る!$I$6:$I$10005,$I4075)&gt;0,N(U4074),N(U4074)+1))</f>
        <v>2</v>
      </c>
    </row>
    <row r="4076" customFormat="false" ht="15" hidden="false" customHeight="false" outlineLevel="0" collapsed="false">
      <c r="B4076" s="53"/>
      <c r="I4076" s="53"/>
      <c r="U4076" s="31" t="n">
        <f aca="false">IF($B4076&lt;&gt;'設定（最初に1回）'!$C$4,N(U4075),IF(COUNTIFS(①今日の在庫を貼る!$B$6:$B$10005,$B4076,①今日の在庫を貼る!$I$6:$I$10005,$I4076)&gt;0,N(U4075),N(U4075)+1))</f>
        <v>2</v>
      </c>
    </row>
    <row r="4077" customFormat="false" ht="15" hidden="false" customHeight="false" outlineLevel="0" collapsed="false">
      <c r="B4077" s="53"/>
      <c r="I4077" s="53"/>
      <c r="U4077" s="31" t="n">
        <f aca="false">IF($B4077&lt;&gt;'設定（最初に1回）'!$C$4,N(U4076),IF(COUNTIFS(①今日の在庫を貼る!$B$6:$B$10005,$B4077,①今日の在庫を貼る!$I$6:$I$10005,$I4077)&gt;0,N(U4076),N(U4076)+1))</f>
        <v>2</v>
      </c>
    </row>
    <row r="4078" customFormat="false" ht="15" hidden="false" customHeight="false" outlineLevel="0" collapsed="false">
      <c r="B4078" s="53"/>
      <c r="I4078" s="53"/>
      <c r="U4078" s="31" t="n">
        <f aca="false">IF($B4078&lt;&gt;'設定（最初に1回）'!$C$4,N(U4077),IF(COUNTIFS(①今日の在庫を貼る!$B$6:$B$10005,$B4078,①今日の在庫を貼る!$I$6:$I$10005,$I4078)&gt;0,N(U4077),N(U4077)+1))</f>
        <v>2</v>
      </c>
    </row>
    <row r="4079" customFormat="false" ht="15" hidden="false" customHeight="false" outlineLevel="0" collapsed="false">
      <c r="B4079" s="53"/>
      <c r="I4079" s="53"/>
      <c r="U4079" s="31" t="n">
        <f aca="false">IF($B4079&lt;&gt;'設定（最初に1回）'!$C$4,N(U4078),IF(COUNTIFS(①今日の在庫を貼る!$B$6:$B$10005,$B4079,①今日の在庫を貼る!$I$6:$I$10005,$I4079)&gt;0,N(U4078),N(U4078)+1))</f>
        <v>2</v>
      </c>
    </row>
    <row r="4080" customFormat="false" ht="15" hidden="false" customHeight="false" outlineLevel="0" collapsed="false">
      <c r="B4080" s="53"/>
      <c r="I4080" s="53"/>
      <c r="U4080" s="31" t="n">
        <f aca="false">IF($B4080&lt;&gt;'設定（最初に1回）'!$C$4,N(U4079),IF(COUNTIFS(①今日の在庫を貼る!$B$6:$B$10005,$B4080,①今日の在庫を貼る!$I$6:$I$10005,$I4080)&gt;0,N(U4079),N(U4079)+1))</f>
        <v>2</v>
      </c>
    </row>
    <row r="4081" customFormat="false" ht="15" hidden="false" customHeight="false" outlineLevel="0" collapsed="false">
      <c r="B4081" s="53"/>
      <c r="I4081" s="53"/>
      <c r="U4081" s="31" t="n">
        <f aca="false">IF($B4081&lt;&gt;'設定（最初に1回）'!$C$4,N(U4080),IF(COUNTIFS(①今日の在庫を貼る!$B$6:$B$10005,$B4081,①今日の在庫を貼る!$I$6:$I$10005,$I4081)&gt;0,N(U4080),N(U4080)+1))</f>
        <v>2</v>
      </c>
    </row>
    <row r="4082" customFormat="false" ht="15" hidden="false" customHeight="false" outlineLevel="0" collapsed="false">
      <c r="B4082" s="53"/>
      <c r="I4082" s="53"/>
      <c r="U4082" s="31" t="n">
        <f aca="false">IF($B4082&lt;&gt;'設定（最初に1回）'!$C$4,N(U4081),IF(COUNTIFS(①今日の在庫を貼る!$B$6:$B$10005,$B4082,①今日の在庫を貼る!$I$6:$I$10005,$I4082)&gt;0,N(U4081),N(U4081)+1))</f>
        <v>2</v>
      </c>
    </row>
    <row r="4083" customFormat="false" ht="15" hidden="false" customHeight="false" outlineLevel="0" collapsed="false">
      <c r="B4083" s="53"/>
      <c r="I4083" s="53"/>
      <c r="U4083" s="31" t="n">
        <f aca="false">IF($B4083&lt;&gt;'設定（最初に1回）'!$C$4,N(U4082),IF(COUNTIFS(①今日の在庫を貼る!$B$6:$B$10005,$B4083,①今日の在庫を貼る!$I$6:$I$10005,$I4083)&gt;0,N(U4082),N(U4082)+1))</f>
        <v>2</v>
      </c>
    </row>
    <row r="4084" customFormat="false" ht="15" hidden="false" customHeight="false" outlineLevel="0" collapsed="false">
      <c r="B4084" s="53"/>
      <c r="I4084" s="53"/>
      <c r="U4084" s="31" t="n">
        <f aca="false">IF($B4084&lt;&gt;'設定（最初に1回）'!$C$4,N(U4083),IF(COUNTIFS(①今日の在庫を貼る!$B$6:$B$10005,$B4084,①今日の在庫を貼る!$I$6:$I$10005,$I4084)&gt;0,N(U4083),N(U4083)+1))</f>
        <v>2</v>
      </c>
    </row>
    <row r="4085" customFormat="false" ht="15" hidden="false" customHeight="false" outlineLevel="0" collapsed="false">
      <c r="B4085" s="53"/>
      <c r="I4085" s="53"/>
      <c r="U4085" s="31" t="n">
        <f aca="false">IF($B4085&lt;&gt;'設定（最初に1回）'!$C$4,N(U4084),IF(COUNTIFS(①今日の在庫を貼る!$B$6:$B$10005,$B4085,①今日の在庫を貼る!$I$6:$I$10005,$I4085)&gt;0,N(U4084),N(U4084)+1))</f>
        <v>2</v>
      </c>
    </row>
    <row r="4086" customFormat="false" ht="15" hidden="false" customHeight="false" outlineLevel="0" collapsed="false">
      <c r="B4086" s="53"/>
      <c r="I4086" s="53"/>
      <c r="U4086" s="31" t="n">
        <f aca="false">IF($B4086&lt;&gt;'設定（最初に1回）'!$C$4,N(U4085),IF(COUNTIFS(①今日の在庫を貼る!$B$6:$B$10005,$B4086,①今日の在庫を貼る!$I$6:$I$10005,$I4086)&gt;0,N(U4085),N(U4085)+1))</f>
        <v>2</v>
      </c>
    </row>
    <row r="4087" customFormat="false" ht="15" hidden="false" customHeight="false" outlineLevel="0" collapsed="false">
      <c r="B4087" s="53"/>
      <c r="I4087" s="53"/>
      <c r="U4087" s="31" t="n">
        <f aca="false">IF($B4087&lt;&gt;'設定（最初に1回）'!$C$4,N(U4086),IF(COUNTIFS(①今日の在庫を貼る!$B$6:$B$10005,$B4087,①今日の在庫を貼る!$I$6:$I$10005,$I4087)&gt;0,N(U4086),N(U4086)+1))</f>
        <v>2</v>
      </c>
    </row>
    <row r="4088" customFormat="false" ht="15" hidden="false" customHeight="false" outlineLevel="0" collapsed="false">
      <c r="B4088" s="53"/>
      <c r="I4088" s="53"/>
      <c r="U4088" s="31" t="n">
        <f aca="false">IF($B4088&lt;&gt;'設定（最初に1回）'!$C$4,N(U4087),IF(COUNTIFS(①今日の在庫を貼る!$B$6:$B$10005,$B4088,①今日の在庫を貼る!$I$6:$I$10005,$I4088)&gt;0,N(U4087),N(U4087)+1))</f>
        <v>2</v>
      </c>
    </row>
    <row r="4089" customFormat="false" ht="15" hidden="false" customHeight="false" outlineLevel="0" collapsed="false">
      <c r="B4089" s="53"/>
      <c r="I4089" s="53"/>
      <c r="U4089" s="31" t="n">
        <f aca="false">IF($B4089&lt;&gt;'設定（最初に1回）'!$C$4,N(U4088),IF(COUNTIFS(①今日の在庫を貼る!$B$6:$B$10005,$B4089,①今日の在庫を貼る!$I$6:$I$10005,$I4089)&gt;0,N(U4088),N(U4088)+1))</f>
        <v>2</v>
      </c>
    </row>
    <row r="4090" customFormat="false" ht="15" hidden="false" customHeight="false" outlineLevel="0" collapsed="false">
      <c r="B4090" s="53"/>
      <c r="I4090" s="53"/>
      <c r="U4090" s="31" t="n">
        <f aca="false">IF($B4090&lt;&gt;'設定（最初に1回）'!$C$4,N(U4089),IF(COUNTIFS(①今日の在庫を貼る!$B$6:$B$10005,$B4090,①今日の在庫を貼る!$I$6:$I$10005,$I4090)&gt;0,N(U4089),N(U4089)+1))</f>
        <v>2</v>
      </c>
    </row>
    <row r="4091" customFormat="false" ht="15" hidden="false" customHeight="false" outlineLevel="0" collapsed="false">
      <c r="B4091" s="53"/>
      <c r="I4091" s="53"/>
      <c r="U4091" s="31" t="n">
        <f aca="false">IF($B4091&lt;&gt;'設定（最初に1回）'!$C$4,N(U4090),IF(COUNTIFS(①今日の在庫を貼る!$B$6:$B$10005,$B4091,①今日の在庫を貼る!$I$6:$I$10005,$I4091)&gt;0,N(U4090),N(U4090)+1))</f>
        <v>2</v>
      </c>
    </row>
    <row r="4092" customFormat="false" ht="15" hidden="false" customHeight="false" outlineLevel="0" collapsed="false">
      <c r="B4092" s="53"/>
      <c r="I4092" s="53"/>
      <c r="U4092" s="31" t="n">
        <f aca="false">IF($B4092&lt;&gt;'設定（最初に1回）'!$C$4,N(U4091),IF(COUNTIFS(①今日の在庫を貼る!$B$6:$B$10005,$B4092,①今日の在庫を貼る!$I$6:$I$10005,$I4092)&gt;0,N(U4091),N(U4091)+1))</f>
        <v>2</v>
      </c>
    </row>
    <row r="4093" customFormat="false" ht="15" hidden="false" customHeight="false" outlineLevel="0" collapsed="false">
      <c r="B4093" s="53"/>
      <c r="I4093" s="53"/>
      <c r="U4093" s="31" t="n">
        <f aca="false">IF($B4093&lt;&gt;'設定（最初に1回）'!$C$4,N(U4092),IF(COUNTIFS(①今日の在庫を貼る!$B$6:$B$10005,$B4093,①今日の在庫を貼る!$I$6:$I$10005,$I4093)&gt;0,N(U4092),N(U4092)+1))</f>
        <v>2</v>
      </c>
    </row>
    <row r="4094" customFormat="false" ht="15" hidden="false" customHeight="false" outlineLevel="0" collapsed="false">
      <c r="B4094" s="53"/>
      <c r="I4094" s="53"/>
      <c r="U4094" s="31" t="n">
        <f aca="false">IF($B4094&lt;&gt;'設定（最初に1回）'!$C$4,N(U4093),IF(COUNTIFS(①今日の在庫を貼る!$B$6:$B$10005,$B4094,①今日の在庫を貼る!$I$6:$I$10005,$I4094)&gt;0,N(U4093),N(U4093)+1))</f>
        <v>2</v>
      </c>
    </row>
    <row r="4095" customFormat="false" ht="15" hidden="false" customHeight="false" outlineLevel="0" collapsed="false">
      <c r="B4095" s="53"/>
      <c r="I4095" s="53"/>
      <c r="U4095" s="31" t="n">
        <f aca="false">IF($B4095&lt;&gt;'設定（最初に1回）'!$C$4,N(U4094),IF(COUNTIFS(①今日の在庫を貼る!$B$6:$B$10005,$B4095,①今日の在庫を貼る!$I$6:$I$10005,$I4095)&gt;0,N(U4094),N(U4094)+1))</f>
        <v>2</v>
      </c>
    </row>
    <row r="4096" customFormat="false" ht="15" hidden="false" customHeight="false" outlineLevel="0" collapsed="false">
      <c r="B4096" s="53"/>
      <c r="I4096" s="53"/>
      <c r="U4096" s="31" t="n">
        <f aca="false">IF($B4096&lt;&gt;'設定（最初に1回）'!$C$4,N(U4095),IF(COUNTIFS(①今日の在庫を貼る!$B$6:$B$10005,$B4096,①今日の在庫を貼る!$I$6:$I$10005,$I4096)&gt;0,N(U4095),N(U4095)+1))</f>
        <v>2</v>
      </c>
    </row>
    <row r="4097" customFormat="false" ht="15" hidden="false" customHeight="false" outlineLevel="0" collapsed="false">
      <c r="B4097" s="53"/>
      <c r="I4097" s="53"/>
      <c r="U4097" s="31" t="n">
        <f aca="false">IF($B4097&lt;&gt;'設定（最初に1回）'!$C$4,N(U4096),IF(COUNTIFS(①今日の在庫を貼る!$B$6:$B$10005,$B4097,①今日の在庫を貼る!$I$6:$I$10005,$I4097)&gt;0,N(U4096),N(U4096)+1))</f>
        <v>2</v>
      </c>
    </row>
    <row r="4098" customFormat="false" ht="15" hidden="false" customHeight="false" outlineLevel="0" collapsed="false">
      <c r="B4098" s="53"/>
      <c r="I4098" s="53"/>
      <c r="U4098" s="31" t="n">
        <f aca="false">IF($B4098&lt;&gt;'設定（最初に1回）'!$C$4,N(U4097),IF(COUNTIFS(①今日の在庫を貼る!$B$6:$B$10005,$B4098,①今日の在庫を貼る!$I$6:$I$10005,$I4098)&gt;0,N(U4097),N(U4097)+1))</f>
        <v>2</v>
      </c>
    </row>
    <row r="4099" customFormat="false" ht="15" hidden="false" customHeight="false" outlineLevel="0" collapsed="false">
      <c r="B4099" s="53"/>
      <c r="I4099" s="53"/>
      <c r="U4099" s="31" t="n">
        <f aca="false">IF($B4099&lt;&gt;'設定（最初に1回）'!$C$4,N(U4098),IF(COUNTIFS(①今日の在庫を貼る!$B$6:$B$10005,$B4099,①今日の在庫を貼る!$I$6:$I$10005,$I4099)&gt;0,N(U4098),N(U4098)+1))</f>
        <v>2</v>
      </c>
    </row>
    <row r="4100" customFormat="false" ht="15" hidden="false" customHeight="false" outlineLevel="0" collapsed="false">
      <c r="B4100" s="53"/>
      <c r="I4100" s="53"/>
      <c r="U4100" s="31" t="n">
        <f aca="false">IF($B4100&lt;&gt;'設定（最初に1回）'!$C$4,N(U4099),IF(COUNTIFS(①今日の在庫を貼る!$B$6:$B$10005,$B4100,①今日の在庫を貼る!$I$6:$I$10005,$I4100)&gt;0,N(U4099),N(U4099)+1))</f>
        <v>2</v>
      </c>
    </row>
    <row r="4101" customFormat="false" ht="15" hidden="false" customHeight="false" outlineLevel="0" collapsed="false">
      <c r="B4101" s="53"/>
      <c r="I4101" s="53"/>
      <c r="U4101" s="31" t="n">
        <f aca="false">IF($B4101&lt;&gt;'設定（最初に1回）'!$C$4,N(U4100),IF(COUNTIFS(①今日の在庫を貼る!$B$6:$B$10005,$B4101,①今日の在庫を貼る!$I$6:$I$10005,$I4101)&gt;0,N(U4100),N(U4100)+1))</f>
        <v>2</v>
      </c>
    </row>
    <row r="4102" customFormat="false" ht="15" hidden="false" customHeight="false" outlineLevel="0" collapsed="false">
      <c r="B4102" s="53"/>
      <c r="I4102" s="53"/>
      <c r="U4102" s="31" t="n">
        <f aca="false">IF($B4102&lt;&gt;'設定（最初に1回）'!$C$4,N(U4101),IF(COUNTIFS(①今日の在庫を貼る!$B$6:$B$10005,$B4102,①今日の在庫を貼る!$I$6:$I$10005,$I4102)&gt;0,N(U4101),N(U4101)+1))</f>
        <v>2</v>
      </c>
    </row>
    <row r="4103" customFormat="false" ht="15" hidden="false" customHeight="false" outlineLevel="0" collapsed="false">
      <c r="B4103" s="53"/>
      <c r="I4103" s="53"/>
      <c r="U4103" s="31" t="n">
        <f aca="false">IF($B4103&lt;&gt;'設定（最初に1回）'!$C$4,N(U4102),IF(COUNTIFS(①今日の在庫を貼る!$B$6:$B$10005,$B4103,①今日の在庫を貼る!$I$6:$I$10005,$I4103)&gt;0,N(U4102),N(U4102)+1))</f>
        <v>2</v>
      </c>
    </row>
    <row r="4104" customFormat="false" ht="15" hidden="false" customHeight="false" outlineLevel="0" collapsed="false">
      <c r="B4104" s="53"/>
      <c r="I4104" s="53"/>
      <c r="U4104" s="31" t="n">
        <f aca="false">IF($B4104&lt;&gt;'設定（最初に1回）'!$C$4,N(U4103),IF(COUNTIFS(①今日の在庫を貼る!$B$6:$B$10005,$B4104,①今日の在庫を貼る!$I$6:$I$10005,$I4104)&gt;0,N(U4103),N(U4103)+1))</f>
        <v>2</v>
      </c>
    </row>
    <row r="4105" customFormat="false" ht="15" hidden="false" customHeight="false" outlineLevel="0" collapsed="false">
      <c r="B4105" s="53"/>
      <c r="I4105" s="53"/>
      <c r="U4105" s="31" t="n">
        <f aca="false">IF($B4105&lt;&gt;'設定（最初に1回）'!$C$4,N(U4104),IF(COUNTIFS(①今日の在庫を貼る!$B$6:$B$10005,$B4105,①今日の在庫を貼る!$I$6:$I$10005,$I4105)&gt;0,N(U4104),N(U4104)+1))</f>
        <v>2</v>
      </c>
    </row>
    <row r="4106" customFormat="false" ht="15" hidden="false" customHeight="false" outlineLevel="0" collapsed="false">
      <c r="B4106" s="53"/>
      <c r="I4106" s="53"/>
      <c r="U4106" s="31" t="n">
        <f aca="false">IF($B4106&lt;&gt;'設定（最初に1回）'!$C$4,N(U4105),IF(COUNTIFS(①今日の在庫を貼る!$B$6:$B$10005,$B4106,①今日の在庫を貼る!$I$6:$I$10005,$I4106)&gt;0,N(U4105),N(U4105)+1))</f>
        <v>2</v>
      </c>
    </row>
    <row r="4107" customFormat="false" ht="15" hidden="false" customHeight="false" outlineLevel="0" collapsed="false">
      <c r="B4107" s="53"/>
      <c r="I4107" s="53"/>
      <c r="U4107" s="31" t="n">
        <f aca="false">IF($B4107&lt;&gt;'設定（最初に1回）'!$C$4,N(U4106),IF(COUNTIFS(①今日の在庫を貼る!$B$6:$B$10005,$B4107,①今日の在庫を貼る!$I$6:$I$10005,$I4107)&gt;0,N(U4106),N(U4106)+1))</f>
        <v>2</v>
      </c>
    </row>
    <row r="4108" customFormat="false" ht="15" hidden="false" customHeight="false" outlineLevel="0" collapsed="false">
      <c r="B4108" s="53"/>
      <c r="I4108" s="53"/>
      <c r="U4108" s="31" t="n">
        <f aca="false">IF($B4108&lt;&gt;'設定（最初に1回）'!$C$4,N(U4107),IF(COUNTIFS(①今日の在庫を貼る!$B$6:$B$10005,$B4108,①今日の在庫を貼る!$I$6:$I$10005,$I4108)&gt;0,N(U4107),N(U4107)+1))</f>
        <v>2</v>
      </c>
    </row>
    <row r="4109" customFormat="false" ht="15" hidden="false" customHeight="false" outlineLevel="0" collapsed="false">
      <c r="B4109" s="53"/>
      <c r="I4109" s="53"/>
      <c r="U4109" s="31" t="n">
        <f aca="false">IF($B4109&lt;&gt;'設定（最初に1回）'!$C$4,N(U4108),IF(COUNTIFS(①今日の在庫を貼る!$B$6:$B$10005,$B4109,①今日の在庫を貼る!$I$6:$I$10005,$I4109)&gt;0,N(U4108),N(U4108)+1))</f>
        <v>2</v>
      </c>
    </row>
    <row r="4110" customFormat="false" ht="15" hidden="false" customHeight="false" outlineLevel="0" collapsed="false">
      <c r="B4110" s="53"/>
      <c r="I4110" s="53"/>
      <c r="U4110" s="31" t="n">
        <f aca="false">IF($B4110&lt;&gt;'設定（最初に1回）'!$C$4,N(U4109),IF(COUNTIFS(①今日の在庫を貼る!$B$6:$B$10005,$B4110,①今日の在庫を貼る!$I$6:$I$10005,$I4110)&gt;0,N(U4109),N(U4109)+1))</f>
        <v>2</v>
      </c>
    </row>
    <row r="4111" customFormat="false" ht="15" hidden="false" customHeight="false" outlineLevel="0" collapsed="false">
      <c r="B4111" s="53"/>
      <c r="I4111" s="53"/>
      <c r="U4111" s="31" t="n">
        <f aca="false">IF($B4111&lt;&gt;'設定（最初に1回）'!$C$4,N(U4110),IF(COUNTIFS(①今日の在庫を貼る!$B$6:$B$10005,$B4111,①今日の在庫を貼る!$I$6:$I$10005,$I4111)&gt;0,N(U4110),N(U4110)+1))</f>
        <v>2</v>
      </c>
    </row>
    <row r="4112" customFormat="false" ht="15" hidden="false" customHeight="false" outlineLevel="0" collapsed="false">
      <c r="B4112" s="53"/>
      <c r="I4112" s="53"/>
      <c r="U4112" s="31" t="n">
        <f aca="false">IF($B4112&lt;&gt;'設定（最初に1回）'!$C$4,N(U4111),IF(COUNTIFS(①今日の在庫を貼る!$B$6:$B$10005,$B4112,①今日の在庫を貼る!$I$6:$I$10005,$I4112)&gt;0,N(U4111),N(U4111)+1))</f>
        <v>2</v>
      </c>
    </row>
    <row r="4113" customFormat="false" ht="15" hidden="false" customHeight="false" outlineLevel="0" collapsed="false">
      <c r="B4113" s="53"/>
      <c r="I4113" s="53"/>
      <c r="U4113" s="31" t="n">
        <f aca="false">IF($B4113&lt;&gt;'設定（最初に1回）'!$C$4,N(U4112),IF(COUNTIFS(①今日の在庫を貼る!$B$6:$B$10005,$B4113,①今日の在庫を貼る!$I$6:$I$10005,$I4113)&gt;0,N(U4112),N(U4112)+1))</f>
        <v>2</v>
      </c>
    </row>
    <row r="4114" customFormat="false" ht="15" hidden="false" customHeight="false" outlineLevel="0" collapsed="false">
      <c r="B4114" s="53"/>
      <c r="I4114" s="53"/>
      <c r="U4114" s="31" t="n">
        <f aca="false">IF($B4114&lt;&gt;'設定（最初に1回）'!$C$4,N(U4113),IF(COUNTIFS(①今日の在庫を貼る!$B$6:$B$10005,$B4114,①今日の在庫を貼る!$I$6:$I$10005,$I4114)&gt;0,N(U4113),N(U4113)+1))</f>
        <v>2</v>
      </c>
    </row>
    <row r="4115" customFormat="false" ht="15" hidden="false" customHeight="false" outlineLevel="0" collapsed="false">
      <c r="B4115" s="53"/>
      <c r="I4115" s="53"/>
      <c r="U4115" s="31" t="n">
        <f aca="false">IF($B4115&lt;&gt;'設定（最初に1回）'!$C$4,N(U4114),IF(COUNTIFS(①今日の在庫を貼る!$B$6:$B$10005,$B4115,①今日の在庫を貼る!$I$6:$I$10005,$I4115)&gt;0,N(U4114),N(U4114)+1))</f>
        <v>2</v>
      </c>
    </row>
    <row r="4116" customFormat="false" ht="15" hidden="false" customHeight="false" outlineLevel="0" collapsed="false">
      <c r="B4116" s="53"/>
      <c r="I4116" s="53"/>
      <c r="U4116" s="31" t="n">
        <f aca="false">IF($B4116&lt;&gt;'設定（最初に1回）'!$C$4,N(U4115),IF(COUNTIFS(①今日の在庫を貼る!$B$6:$B$10005,$B4116,①今日の在庫を貼る!$I$6:$I$10005,$I4116)&gt;0,N(U4115),N(U4115)+1))</f>
        <v>2</v>
      </c>
    </row>
    <row r="4117" customFormat="false" ht="15" hidden="false" customHeight="false" outlineLevel="0" collapsed="false">
      <c r="B4117" s="53"/>
      <c r="I4117" s="53"/>
      <c r="U4117" s="31" t="n">
        <f aca="false">IF($B4117&lt;&gt;'設定（最初に1回）'!$C$4,N(U4116),IF(COUNTIFS(①今日の在庫を貼る!$B$6:$B$10005,$B4117,①今日の在庫を貼る!$I$6:$I$10005,$I4117)&gt;0,N(U4116),N(U4116)+1))</f>
        <v>2</v>
      </c>
    </row>
    <row r="4118" customFormat="false" ht="15" hidden="false" customHeight="false" outlineLevel="0" collapsed="false">
      <c r="B4118" s="53"/>
      <c r="I4118" s="53"/>
      <c r="U4118" s="31" t="n">
        <f aca="false">IF($B4118&lt;&gt;'設定（最初に1回）'!$C$4,N(U4117),IF(COUNTIFS(①今日の在庫を貼る!$B$6:$B$10005,$B4118,①今日の在庫を貼る!$I$6:$I$10005,$I4118)&gt;0,N(U4117),N(U4117)+1))</f>
        <v>2</v>
      </c>
    </row>
    <row r="4119" customFormat="false" ht="15" hidden="false" customHeight="false" outlineLevel="0" collapsed="false">
      <c r="B4119" s="53"/>
      <c r="I4119" s="53"/>
      <c r="U4119" s="31" t="n">
        <f aca="false">IF($B4119&lt;&gt;'設定（最初に1回）'!$C$4,N(U4118),IF(COUNTIFS(①今日の在庫を貼る!$B$6:$B$10005,$B4119,①今日の在庫を貼る!$I$6:$I$10005,$I4119)&gt;0,N(U4118),N(U4118)+1))</f>
        <v>2</v>
      </c>
    </row>
    <row r="4120" customFormat="false" ht="15" hidden="false" customHeight="false" outlineLevel="0" collapsed="false">
      <c r="B4120" s="53"/>
      <c r="I4120" s="53"/>
      <c r="U4120" s="31" t="n">
        <f aca="false">IF($B4120&lt;&gt;'設定（最初に1回）'!$C$4,N(U4119),IF(COUNTIFS(①今日の在庫を貼る!$B$6:$B$10005,$B4120,①今日の在庫を貼る!$I$6:$I$10005,$I4120)&gt;0,N(U4119),N(U4119)+1))</f>
        <v>2</v>
      </c>
    </row>
    <row r="4121" customFormat="false" ht="15" hidden="false" customHeight="false" outlineLevel="0" collapsed="false">
      <c r="B4121" s="53"/>
      <c r="I4121" s="53"/>
      <c r="U4121" s="31" t="n">
        <f aca="false">IF($B4121&lt;&gt;'設定（最初に1回）'!$C$4,N(U4120),IF(COUNTIFS(①今日の在庫を貼る!$B$6:$B$10005,$B4121,①今日の在庫を貼る!$I$6:$I$10005,$I4121)&gt;0,N(U4120),N(U4120)+1))</f>
        <v>2</v>
      </c>
    </row>
    <row r="4122" customFormat="false" ht="15" hidden="false" customHeight="false" outlineLevel="0" collapsed="false">
      <c r="B4122" s="53"/>
      <c r="I4122" s="53"/>
      <c r="U4122" s="31" t="n">
        <f aca="false">IF($B4122&lt;&gt;'設定（最初に1回）'!$C$4,N(U4121),IF(COUNTIFS(①今日の在庫を貼る!$B$6:$B$10005,$B4122,①今日の在庫を貼る!$I$6:$I$10005,$I4122)&gt;0,N(U4121),N(U4121)+1))</f>
        <v>2</v>
      </c>
    </row>
    <row r="4123" customFormat="false" ht="15" hidden="false" customHeight="false" outlineLevel="0" collapsed="false">
      <c r="B4123" s="53"/>
      <c r="I4123" s="53"/>
      <c r="U4123" s="31" t="n">
        <f aca="false">IF($B4123&lt;&gt;'設定（最初に1回）'!$C$4,N(U4122),IF(COUNTIFS(①今日の在庫を貼る!$B$6:$B$10005,$B4123,①今日の在庫を貼る!$I$6:$I$10005,$I4123)&gt;0,N(U4122),N(U4122)+1))</f>
        <v>2</v>
      </c>
    </row>
    <row r="4124" customFormat="false" ht="15" hidden="false" customHeight="false" outlineLevel="0" collapsed="false">
      <c r="B4124" s="53"/>
      <c r="I4124" s="53"/>
      <c r="U4124" s="31" t="n">
        <f aca="false">IF($B4124&lt;&gt;'設定（最初に1回）'!$C$4,N(U4123),IF(COUNTIFS(①今日の在庫を貼る!$B$6:$B$10005,$B4124,①今日の在庫を貼る!$I$6:$I$10005,$I4124)&gt;0,N(U4123),N(U4123)+1))</f>
        <v>2</v>
      </c>
    </row>
    <row r="4125" customFormat="false" ht="15" hidden="false" customHeight="false" outlineLevel="0" collapsed="false">
      <c r="B4125" s="53"/>
      <c r="I4125" s="53"/>
      <c r="U4125" s="31" t="n">
        <f aca="false">IF($B4125&lt;&gt;'設定（最初に1回）'!$C$4,N(U4124),IF(COUNTIFS(①今日の在庫を貼る!$B$6:$B$10005,$B4125,①今日の在庫を貼る!$I$6:$I$10005,$I4125)&gt;0,N(U4124),N(U4124)+1))</f>
        <v>2</v>
      </c>
    </row>
    <row r="4126" customFormat="false" ht="15" hidden="false" customHeight="false" outlineLevel="0" collapsed="false">
      <c r="B4126" s="53"/>
      <c r="I4126" s="53"/>
      <c r="U4126" s="31" t="n">
        <f aca="false">IF($B4126&lt;&gt;'設定（最初に1回）'!$C$4,N(U4125),IF(COUNTIFS(①今日の在庫を貼る!$B$6:$B$10005,$B4126,①今日の在庫を貼る!$I$6:$I$10005,$I4126)&gt;0,N(U4125),N(U4125)+1))</f>
        <v>2</v>
      </c>
    </row>
    <row r="4127" customFormat="false" ht="15" hidden="false" customHeight="false" outlineLevel="0" collapsed="false">
      <c r="B4127" s="53"/>
      <c r="I4127" s="53"/>
      <c r="U4127" s="31" t="n">
        <f aca="false">IF($B4127&lt;&gt;'設定（最初に1回）'!$C$4,N(U4126),IF(COUNTIFS(①今日の在庫を貼る!$B$6:$B$10005,$B4127,①今日の在庫を貼る!$I$6:$I$10005,$I4127)&gt;0,N(U4126),N(U4126)+1))</f>
        <v>2</v>
      </c>
    </row>
    <row r="4128" customFormat="false" ht="15" hidden="false" customHeight="false" outlineLevel="0" collapsed="false">
      <c r="B4128" s="53"/>
      <c r="I4128" s="53"/>
      <c r="U4128" s="31" t="n">
        <f aca="false">IF($B4128&lt;&gt;'設定（最初に1回）'!$C$4,N(U4127),IF(COUNTIFS(①今日の在庫を貼る!$B$6:$B$10005,$B4128,①今日の在庫を貼る!$I$6:$I$10005,$I4128)&gt;0,N(U4127),N(U4127)+1))</f>
        <v>2</v>
      </c>
    </row>
    <row r="4129" customFormat="false" ht="15" hidden="false" customHeight="false" outlineLevel="0" collapsed="false">
      <c r="B4129" s="53"/>
      <c r="I4129" s="53"/>
      <c r="U4129" s="31" t="n">
        <f aca="false">IF($B4129&lt;&gt;'設定（最初に1回）'!$C$4,N(U4128),IF(COUNTIFS(①今日の在庫を貼る!$B$6:$B$10005,$B4129,①今日の在庫を貼る!$I$6:$I$10005,$I4129)&gt;0,N(U4128),N(U4128)+1))</f>
        <v>2</v>
      </c>
    </row>
    <row r="4130" customFormat="false" ht="15" hidden="false" customHeight="false" outlineLevel="0" collapsed="false">
      <c r="B4130" s="53"/>
      <c r="I4130" s="53"/>
      <c r="U4130" s="31" t="n">
        <f aca="false">IF($B4130&lt;&gt;'設定（最初に1回）'!$C$4,N(U4129),IF(COUNTIFS(①今日の在庫を貼る!$B$6:$B$10005,$B4130,①今日の在庫を貼る!$I$6:$I$10005,$I4130)&gt;0,N(U4129),N(U4129)+1))</f>
        <v>2</v>
      </c>
    </row>
    <row r="4131" customFormat="false" ht="15" hidden="false" customHeight="false" outlineLevel="0" collapsed="false">
      <c r="B4131" s="53"/>
      <c r="I4131" s="53"/>
      <c r="U4131" s="31" t="n">
        <f aca="false">IF($B4131&lt;&gt;'設定（最初に1回）'!$C$4,N(U4130),IF(COUNTIFS(①今日の在庫を貼る!$B$6:$B$10005,$B4131,①今日の在庫を貼る!$I$6:$I$10005,$I4131)&gt;0,N(U4130),N(U4130)+1))</f>
        <v>2</v>
      </c>
    </row>
    <row r="4132" customFormat="false" ht="15" hidden="false" customHeight="false" outlineLevel="0" collapsed="false">
      <c r="B4132" s="53"/>
      <c r="I4132" s="53"/>
      <c r="U4132" s="31" t="n">
        <f aca="false">IF($B4132&lt;&gt;'設定（最初に1回）'!$C$4,N(U4131),IF(COUNTIFS(①今日の在庫を貼る!$B$6:$B$10005,$B4132,①今日の在庫を貼る!$I$6:$I$10005,$I4132)&gt;0,N(U4131),N(U4131)+1))</f>
        <v>2</v>
      </c>
    </row>
    <row r="4133" customFormat="false" ht="15" hidden="false" customHeight="false" outlineLevel="0" collapsed="false">
      <c r="B4133" s="53"/>
      <c r="I4133" s="53"/>
      <c r="U4133" s="31" t="n">
        <f aca="false">IF($B4133&lt;&gt;'設定（最初に1回）'!$C$4,N(U4132),IF(COUNTIFS(①今日の在庫を貼る!$B$6:$B$10005,$B4133,①今日の在庫を貼る!$I$6:$I$10005,$I4133)&gt;0,N(U4132),N(U4132)+1))</f>
        <v>2</v>
      </c>
    </row>
    <row r="4134" customFormat="false" ht="15" hidden="false" customHeight="false" outlineLevel="0" collapsed="false">
      <c r="B4134" s="53"/>
      <c r="I4134" s="53"/>
      <c r="U4134" s="31" t="n">
        <f aca="false">IF($B4134&lt;&gt;'設定（最初に1回）'!$C$4,N(U4133),IF(COUNTIFS(①今日の在庫を貼る!$B$6:$B$10005,$B4134,①今日の在庫を貼る!$I$6:$I$10005,$I4134)&gt;0,N(U4133),N(U4133)+1))</f>
        <v>2</v>
      </c>
    </row>
    <row r="4135" customFormat="false" ht="15" hidden="false" customHeight="false" outlineLevel="0" collapsed="false">
      <c r="B4135" s="53"/>
      <c r="I4135" s="53"/>
      <c r="U4135" s="31" t="n">
        <f aca="false">IF($B4135&lt;&gt;'設定（最初に1回）'!$C$4,N(U4134),IF(COUNTIFS(①今日の在庫を貼る!$B$6:$B$10005,$B4135,①今日の在庫を貼る!$I$6:$I$10005,$I4135)&gt;0,N(U4134),N(U4134)+1))</f>
        <v>2</v>
      </c>
    </row>
    <row r="4136" customFormat="false" ht="15" hidden="false" customHeight="false" outlineLevel="0" collapsed="false">
      <c r="B4136" s="53"/>
      <c r="I4136" s="53"/>
      <c r="U4136" s="31" t="n">
        <f aca="false">IF($B4136&lt;&gt;'設定（最初に1回）'!$C$4,N(U4135),IF(COUNTIFS(①今日の在庫を貼る!$B$6:$B$10005,$B4136,①今日の在庫を貼る!$I$6:$I$10005,$I4136)&gt;0,N(U4135),N(U4135)+1))</f>
        <v>2</v>
      </c>
    </row>
    <row r="4137" customFormat="false" ht="15" hidden="false" customHeight="false" outlineLevel="0" collapsed="false">
      <c r="B4137" s="53"/>
      <c r="I4137" s="53"/>
      <c r="U4137" s="31" t="n">
        <f aca="false">IF($B4137&lt;&gt;'設定（最初に1回）'!$C$4,N(U4136),IF(COUNTIFS(①今日の在庫を貼る!$B$6:$B$10005,$B4137,①今日の在庫を貼る!$I$6:$I$10005,$I4137)&gt;0,N(U4136),N(U4136)+1))</f>
        <v>2</v>
      </c>
    </row>
    <row r="4138" customFormat="false" ht="15" hidden="false" customHeight="false" outlineLevel="0" collapsed="false">
      <c r="B4138" s="53"/>
      <c r="I4138" s="53"/>
      <c r="U4138" s="31" t="n">
        <f aca="false">IF($B4138&lt;&gt;'設定（最初に1回）'!$C$4,N(U4137),IF(COUNTIFS(①今日の在庫を貼る!$B$6:$B$10005,$B4138,①今日の在庫を貼る!$I$6:$I$10005,$I4138)&gt;0,N(U4137),N(U4137)+1))</f>
        <v>2</v>
      </c>
    </row>
    <row r="4139" customFormat="false" ht="15" hidden="false" customHeight="false" outlineLevel="0" collapsed="false">
      <c r="B4139" s="53"/>
      <c r="I4139" s="53"/>
      <c r="U4139" s="31" t="n">
        <f aca="false">IF($B4139&lt;&gt;'設定（最初に1回）'!$C$4,N(U4138),IF(COUNTIFS(①今日の在庫を貼る!$B$6:$B$10005,$B4139,①今日の在庫を貼る!$I$6:$I$10005,$I4139)&gt;0,N(U4138),N(U4138)+1))</f>
        <v>2</v>
      </c>
    </row>
    <row r="4140" customFormat="false" ht="15" hidden="false" customHeight="false" outlineLevel="0" collapsed="false">
      <c r="B4140" s="53"/>
      <c r="I4140" s="53"/>
      <c r="U4140" s="31" t="n">
        <f aca="false">IF($B4140&lt;&gt;'設定（最初に1回）'!$C$4,N(U4139),IF(COUNTIFS(①今日の在庫を貼る!$B$6:$B$10005,$B4140,①今日の在庫を貼る!$I$6:$I$10005,$I4140)&gt;0,N(U4139),N(U4139)+1))</f>
        <v>2</v>
      </c>
    </row>
    <row r="4141" customFormat="false" ht="15" hidden="false" customHeight="false" outlineLevel="0" collapsed="false">
      <c r="B4141" s="53"/>
      <c r="I4141" s="53"/>
      <c r="U4141" s="31" t="n">
        <f aca="false">IF($B4141&lt;&gt;'設定（最初に1回）'!$C$4,N(U4140),IF(COUNTIFS(①今日の在庫を貼る!$B$6:$B$10005,$B4141,①今日の在庫を貼る!$I$6:$I$10005,$I4141)&gt;0,N(U4140),N(U4140)+1))</f>
        <v>2</v>
      </c>
    </row>
    <row r="4142" customFormat="false" ht="15" hidden="false" customHeight="false" outlineLevel="0" collapsed="false">
      <c r="B4142" s="53"/>
      <c r="I4142" s="53"/>
      <c r="U4142" s="31" t="n">
        <f aca="false">IF($B4142&lt;&gt;'設定（最初に1回）'!$C$4,N(U4141),IF(COUNTIFS(①今日の在庫を貼る!$B$6:$B$10005,$B4142,①今日の在庫を貼る!$I$6:$I$10005,$I4142)&gt;0,N(U4141),N(U4141)+1))</f>
        <v>2</v>
      </c>
    </row>
    <row r="4143" customFormat="false" ht="15" hidden="false" customHeight="false" outlineLevel="0" collapsed="false">
      <c r="B4143" s="53"/>
      <c r="I4143" s="53"/>
      <c r="U4143" s="31" t="n">
        <f aca="false">IF($B4143&lt;&gt;'設定（最初に1回）'!$C$4,N(U4142),IF(COUNTIFS(①今日の在庫を貼る!$B$6:$B$10005,$B4143,①今日の在庫を貼る!$I$6:$I$10005,$I4143)&gt;0,N(U4142),N(U4142)+1))</f>
        <v>2</v>
      </c>
    </row>
    <row r="4144" customFormat="false" ht="15" hidden="false" customHeight="false" outlineLevel="0" collapsed="false">
      <c r="B4144" s="53"/>
      <c r="I4144" s="53"/>
      <c r="U4144" s="31" t="n">
        <f aca="false">IF($B4144&lt;&gt;'設定（最初に1回）'!$C$4,N(U4143),IF(COUNTIFS(①今日の在庫を貼る!$B$6:$B$10005,$B4144,①今日の在庫を貼る!$I$6:$I$10005,$I4144)&gt;0,N(U4143),N(U4143)+1))</f>
        <v>2</v>
      </c>
    </row>
    <row r="4145" customFormat="false" ht="15" hidden="false" customHeight="false" outlineLevel="0" collapsed="false">
      <c r="B4145" s="53"/>
      <c r="I4145" s="53"/>
      <c r="U4145" s="31" t="n">
        <f aca="false">IF($B4145&lt;&gt;'設定（最初に1回）'!$C$4,N(U4144),IF(COUNTIFS(①今日の在庫を貼る!$B$6:$B$10005,$B4145,①今日の在庫を貼る!$I$6:$I$10005,$I4145)&gt;0,N(U4144),N(U4144)+1))</f>
        <v>2</v>
      </c>
    </row>
    <row r="4146" customFormat="false" ht="15" hidden="false" customHeight="false" outlineLevel="0" collapsed="false">
      <c r="B4146" s="53"/>
      <c r="I4146" s="53"/>
      <c r="U4146" s="31" t="n">
        <f aca="false">IF($B4146&lt;&gt;'設定（最初に1回）'!$C$4,N(U4145),IF(COUNTIFS(①今日の在庫を貼る!$B$6:$B$10005,$B4146,①今日の在庫を貼る!$I$6:$I$10005,$I4146)&gt;0,N(U4145),N(U4145)+1))</f>
        <v>2</v>
      </c>
    </row>
    <row r="4147" customFormat="false" ht="15" hidden="false" customHeight="false" outlineLevel="0" collapsed="false">
      <c r="B4147" s="53"/>
      <c r="I4147" s="53"/>
      <c r="U4147" s="31" t="n">
        <f aca="false">IF($B4147&lt;&gt;'設定（最初に1回）'!$C$4,N(U4146),IF(COUNTIFS(①今日の在庫を貼る!$B$6:$B$10005,$B4147,①今日の在庫を貼る!$I$6:$I$10005,$I4147)&gt;0,N(U4146),N(U4146)+1))</f>
        <v>2</v>
      </c>
    </row>
    <row r="4148" customFormat="false" ht="15" hidden="false" customHeight="false" outlineLevel="0" collapsed="false">
      <c r="B4148" s="53"/>
      <c r="I4148" s="53"/>
      <c r="U4148" s="31" t="n">
        <f aca="false">IF($B4148&lt;&gt;'設定（最初に1回）'!$C$4,N(U4147),IF(COUNTIFS(①今日の在庫を貼る!$B$6:$B$10005,$B4148,①今日の在庫を貼る!$I$6:$I$10005,$I4148)&gt;0,N(U4147),N(U4147)+1))</f>
        <v>2</v>
      </c>
    </row>
    <row r="4149" customFormat="false" ht="15" hidden="false" customHeight="false" outlineLevel="0" collapsed="false">
      <c r="B4149" s="53"/>
      <c r="I4149" s="53"/>
      <c r="U4149" s="31" t="n">
        <f aca="false">IF($B4149&lt;&gt;'設定（最初に1回）'!$C$4,N(U4148),IF(COUNTIFS(①今日の在庫を貼る!$B$6:$B$10005,$B4149,①今日の在庫を貼る!$I$6:$I$10005,$I4149)&gt;0,N(U4148),N(U4148)+1))</f>
        <v>2</v>
      </c>
    </row>
    <row r="4150" customFormat="false" ht="15" hidden="false" customHeight="false" outlineLevel="0" collapsed="false">
      <c r="B4150" s="53"/>
      <c r="I4150" s="53"/>
      <c r="U4150" s="31" t="n">
        <f aca="false">IF($B4150&lt;&gt;'設定（最初に1回）'!$C$4,N(U4149),IF(COUNTIFS(①今日の在庫を貼る!$B$6:$B$10005,$B4150,①今日の在庫を貼る!$I$6:$I$10005,$I4150)&gt;0,N(U4149),N(U4149)+1))</f>
        <v>2</v>
      </c>
    </row>
    <row r="4151" customFormat="false" ht="15" hidden="false" customHeight="false" outlineLevel="0" collapsed="false">
      <c r="B4151" s="53"/>
      <c r="I4151" s="53"/>
      <c r="U4151" s="31" t="n">
        <f aca="false">IF($B4151&lt;&gt;'設定（最初に1回）'!$C$4,N(U4150),IF(COUNTIFS(①今日の在庫を貼る!$B$6:$B$10005,$B4151,①今日の在庫を貼る!$I$6:$I$10005,$I4151)&gt;0,N(U4150),N(U4150)+1))</f>
        <v>2</v>
      </c>
    </row>
    <row r="4152" customFormat="false" ht="15" hidden="false" customHeight="false" outlineLevel="0" collapsed="false">
      <c r="B4152" s="53"/>
      <c r="I4152" s="53"/>
      <c r="U4152" s="31" t="n">
        <f aca="false">IF($B4152&lt;&gt;'設定（最初に1回）'!$C$4,N(U4151),IF(COUNTIFS(①今日の在庫を貼る!$B$6:$B$10005,$B4152,①今日の在庫を貼る!$I$6:$I$10005,$I4152)&gt;0,N(U4151),N(U4151)+1))</f>
        <v>2</v>
      </c>
    </row>
    <row r="4153" customFormat="false" ht="15" hidden="false" customHeight="false" outlineLevel="0" collapsed="false">
      <c r="B4153" s="53"/>
      <c r="I4153" s="53"/>
      <c r="U4153" s="31" t="n">
        <f aca="false">IF($B4153&lt;&gt;'設定（最初に1回）'!$C$4,N(U4152),IF(COUNTIFS(①今日の在庫を貼る!$B$6:$B$10005,$B4153,①今日の在庫を貼る!$I$6:$I$10005,$I4153)&gt;0,N(U4152),N(U4152)+1))</f>
        <v>2</v>
      </c>
    </row>
    <row r="4154" customFormat="false" ht="15" hidden="false" customHeight="false" outlineLevel="0" collapsed="false">
      <c r="B4154" s="53"/>
      <c r="I4154" s="53"/>
      <c r="U4154" s="31" t="n">
        <f aca="false">IF($B4154&lt;&gt;'設定（最初に1回）'!$C$4,N(U4153),IF(COUNTIFS(①今日の在庫を貼る!$B$6:$B$10005,$B4154,①今日の在庫を貼る!$I$6:$I$10005,$I4154)&gt;0,N(U4153),N(U4153)+1))</f>
        <v>2</v>
      </c>
    </row>
    <row r="4155" customFormat="false" ht="15" hidden="false" customHeight="false" outlineLevel="0" collapsed="false">
      <c r="B4155" s="53"/>
      <c r="I4155" s="53"/>
      <c r="U4155" s="31" t="n">
        <f aca="false">IF($B4155&lt;&gt;'設定（最初に1回）'!$C$4,N(U4154),IF(COUNTIFS(①今日の在庫を貼る!$B$6:$B$10005,$B4155,①今日の在庫を貼る!$I$6:$I$10005,$I4155)&gt;0,N(U4154),N(U4154)+1))</f>
        <v>2</v>
      </c>
    </row>
    <row r="4156" customFormat="false" ht="15" hidden="false" customHeight="false" outlineLevel="0" collapsed="false">
      <c r="B4156" s="53"/>
      <c r="I4156" s="53"/>
      <c r="U4156" s="31" t="n">
        <f aca="false">IF($B4156&lt;&gt;'設定（最初に1回）'!$C$4,N(U4155),IF(COUNTIFS(①今日の在庫を貼る!$B$6:$B$10005,$B4156,①今日の在庫を貼る!$I$6:$I$10005,$I4156)&gt;0,N(U4155),N(U4155)+1))</f>
        <v>2</v>
      </c>
    </row>
    <row r="4157" customFormat="false" ht="15" hidden="false" customHeight="false" outlineLevel="0" collapsed="false">
      <c r="B4157" s="53"/>
      <c r="I4157" s="53"/>
      <c r="U4157" s="31" t="n">
        <f aca="false">IF($B4157&lt;&gt;'設定（最初に1回）'!$C$4,N(U4156),IF(COUNTIFS(①今日の在庫を貼る!$B$6:$B$10005,$B4157,①今日の在庫を貼る!$I$6:$I$10005,$I4157)&gt;0,N(U4156),N(U4156)+1))</f>
        <v>2</v>
      </c>
    </row>
    <row r="4158" customFormat="false" ht="15" hidden="false" customHeight="false" outlineLevel="0" collapsed="false">
      <c r="B4158" s="53"/>
      <c r="I4158" s="53"/>
      <c r="U4158" s="31" t="n">
        <f aca="false">IF($B4158&lt;&gt;'設定（最初に1回）'!$C$4,N(U4157),IF(COUNTIFS(①今日の在庫を貼る!$B$6:$B$10005,$B4158,①今日の在庫を貼る!$I$6:$I$10005,$I4158)&gt;0,N(U4157),N(U4157)+1))</f>
        <v>2</v>
      </c>
    </row>
    <row r="4159" customFormat="false" ht="15" hidden="false" customHeight="false" outlineLevel="0" collapsed="false">
      <c r="B4159" s="53"/>
      <c r="I4159" s="53"/>
      <c r="U4159" s="31" t="n">
        <f aca="false">IF($B4159&lt;&gt;'設定（最初に1回）'!$C$4,N(U4158),IF(COUNTIFS(①今日の在庫を貼る!$B$6:$B$10005,$B4159,①今日の在庫を貼る!$I$6:$I$10005,$I4159)&gt;0,N(U4158),N(U4158)+1))</f>
        <v>2</v>
      </c>
    </row>
    <row r="4160" customFormat="false" ht="15" hidden="false" customHeight="false" outlineLevel="0" collapsed="false">
      <c r="B4160" s="53"/>
      <c r="I4160" s="53"/>
      <c r="U4160" s="31" t="n">
        <f aca="false">IF($B4160&lt;&gt;'設定（最初に1回）'!$C$4,N(U4159),IF(COUNTIFS(①今日の在庫を貼る!$B$6:$B$10005,$B4160,①今日の在庫を貼る!$I$6:$I$10005,$I4160)&gt;0,N(U4159),N(U4159)+1))</f>
        <v>2</v>
      </c>
    </row>
    <row r="4161" customFormat="false" ht="15" hidden="false" customHeight="false" outlineLevel="0" collapsed="false">
      <c r="B4161" s="53"/>
      <c r="I4161" s="53"/>
      <c r="U4161" s="31" t="n">
        <f aca="false">IF($B4161&lt;&gt;'設定（最初に1回）'!$C$4,N(U4160),IF(COUNTIFS(①今日の在庫を貼る!$B$6:$B$10005,$B4161,①今日の在庫を貼る!$I$6:$I$10005,$I4161)&gt;0,N(U4160),N(U4160)+1))</f>
        <v>2</v>
      </c>
    </row>
    <row r="4162" customFormat="false" ht="15" hidden="false" customHeight="false" outlineLevel="0" collapsed="false">
      <c r="B4162" s="53"/>
      <c r="I4162" s="53"/>
      <c r="U4162" s="31" t="n">
        <f aca="false">IF($B4162&lt;&gt;'設定（最初に1回）'!$C$4,N(U4161),IF(COUNTIFS(①今日の在庫を貼る!$B$6:$B$10005,$B4162,①今日の在庫を貼る!$I$6:$I$10005,$I4162)&gt;0,N(U4161),N(U4161)+1))</f>
        <v>2</v>
      </c>
    </row>
    <row r="4163" customFormat="false" ht="15" hidden="false" customHeight="false" outlineLevel="0" collapsed="false">
      <c r="B4163" s="53"/>
      <c r="I4163" s="53"/>
      <c r="U4163" s="31" t="n">
        <f aca="false">IF($B4163&lt;&gt;'設定（最初に1回）'!$C$4,N(U4162),IF(COUNTIFS(①今日の在庫を貼る!$B$6:$B$10005,$B4163,①今日の在庫を貼る!$I$6:$I$10005,$I4163)&gt;0,N(U4162),N(U4162)+1))</f>
        <v>2</v>
      </c>
    </row>
    <row r="4164" customFormat="false" ht="15" hidden="false" customHeight="false" outlineLevel="0" collapsed="false">
      <c r="B4164" s="53"/>
      <c r="I4164" s="53"/>
      <c r="U4164" s="31" t="n">
        <f aca="false">IF($B4164&lt;&gt;'設定（最初に1回）'!$C$4,N(U4163),IF(COUNTIFS(①今日の在庫を貼る!$B$6:$B$10005,$B4164,①今日の在庫を貼る!$I$6:$I$10005,$I4164)&gt;0,N(U4163),N(U4163)+1))</f>
        <v>2</v>
      </c>
    </row>
    <row r="4165" customFormat="false" ht="15" hidden="false" customHeight="false" outlineLevel="0" collapsed="false">
      <c r="B4165" s="53"/>
      <c r="I4165" s="53"/>
      <c r="U4165" s="31" t="n">
        <f aca="false">IF($B4165&lt;&gt;'設定（最初に1回）'!$C$4,N(U4164),IF(COUNTIFS(①今日の在庫を貼る!$B$6:$B$10005,$B4165,①今日の在庫を貼る!$I$6:$I$10005,$I4165)&gt;0,N(U4164),N(U4164)+1))</f>
        <v>2</v>
      </c>
    </row>
    <row r="4166" customFormat="false" ht="15" hidden="false" customHeight="false" outlineLevel="0" collapsed="false">
      <c r="B4166" s="53"/>
      <c r="I4166" s="53"/>
      <c r="U4166" s="31" t="n">
        <f aca="false">IF($B4166&lt;&gt;'設定（最初に1回）'!$C$4,N(U4165),IF(COUNTIFS(①今日の在庫を貼る!$B$6:$B$10005,$B4166,①今日の在庫を貼る!$I$6:$I$10005,$I4166)&gt;0,N(U4165),N(U4165)+1))</f>
        <v>2</v>
      </c>
    </row>
    <row r="4167" customFormat="false" ht="15" hidden="false" customHeight="false" outlineLevel="0" collapsed="false">
      <c r="B4167" s="53"/>
      <c r="I4167" s="53"/>
      <c r="U4167" s="31" t="n">
        <f aca="false">IF($B4167&lt;&gt;'設定（最初に1回）'!$C$4,N(U4166),IF(COUNTIFS(①今日の在庫を貼る!$B$6:$B$10005,$B4167,①今日の在庫を貼る!$I$6:$I$10005,$I4167)&gt;0,N(U4166),N(U4166)+1))</f>
        <v>2</v>
      </c>
    </row>
    <row r="4168" customFormat="false" ht="15" hidden="false" customHeight="false" outlineLevel="0" collapsed="false">
      <c r="B4168" s="53"/>
      <c r="I4168" s="53"/>
      <c r="U4168" s="31" t="n">
        <f aca="false">IF($B4168&lt;&gt;'設定（最初に1回）'!$C$4,N(U4167),IF(COUNTIFS(①今日の在庫を貼る!$B$6:$B$10005,$B4168,①今日の在庫を貼る!$I$6:$I$10005,$I4168)&gt;0,N(U4167),N(U4167)+1))</f>
        <v>2</v>
      </c>
    </row>
    <row r="4169" customFormat="false" ht="15" hidden="false" customHeight="false" outlineLevel="0" collapsed="false">
      <c r="B4169" s="53"/>
      <c r="I4169" s="53"/>
      <c r="U4169" s="31" t="n">
        <f aca="false">IF($B4169&lt;&gt;'設定（最初に1回）'!$C$4,N(U4168),IF(COUNTIFS(①今日の在庫を貼る!$B$6:$B$10005,$B4169,①今日の在庫を貼る!$I$6:$I$10005,$I4169)&gt;0,N(U4168),N(U4168)+1))</f>
        <v>2</v>
      </c>
    </row>
    <row r="4170" customFormat="false" ht="15" hidden="false" customHeight="false" outlineLevel="0" collapsed="false">
      <c r="B4170" s="53"/>
      <c r="I4170" s="53"/>
      <c r="U4170" s="31" t="n">
        <f aca="false">IF($B4170&lt;&gt;'設定（最初に1回）'!$C$4,N(U4169),IF(COUNTIFS(①今日の在庫を貼る!$B$6:$B$10005,$B4170,①今日の在庫を貼る!$I$6:$I$10005,$I4170)&gt;0,N(U4169),N(U4169)+1))</f>
        <v>2</v>
      </c>
    </row>
    <row r="4171" customFormat="false" ht="15" hidden="false" customHeight="false" outlineLevel="0" collapsed="false">
      <c r="B4171" s="53"/>
      <c r="I4171" s="53"/>
      <c r="U4171" s="31" t="n">
        <f aca="false">IF($B4171&lt;&gt;'設定（最初に1回）'!$C$4,N(U4170),IF(COUNTIFS(①今日の在庫を貼る!$B$6:$B$10005,$B4171,①今日の在庫を貼る!$I$6:$I$10005,$I4171)&gt;0,N(U4170),N(U4170)+1))</f>
        <v>2</v>
      </c>
    </row>
    <row r="4172" customFormat="false" ht="15" hidden="false" customHeight="false" outlineLevel="0" collapsed="false">
      <c r="B4172" s="53"/>
      <c r="I4172" s="53"/>
      <c r="U4172" s="31" t="n">
        <f aca="false">IF($B4172&lt;&gt;'設定（最初に1回）'!$C$4,N(U4171),IF(COUNTIFS(①今日の在庫を貼る!$B$6:$B$10005,$B4172,①今日の在庫を貼る!$I$6:$I$10005,$I4172)&gt;0,N(U4171),N(U4171)+1))</f>
        <v>2</v>
      </c>
    </row>
    <row r="4173" customFormat="false" ht="15" hidden="false" customHeight="false" outlineLevel="0" collapsed="false">
      <c r="B4173" s="53"/>
      <c r="I4173" s="53"/>
      <c r="U4173" s="31" t="n">
        <f aca="false">IF($B4173&lt;&gt;'設定（最初に1回）'!$C$4,N(U4172),IF(COUNTIFS(①今日の在庫を貼る!$B$6:$B$10005,$B4173,①今日の在庫を貼る!$I$6:$I$10005,$I4173)&gt;0,N(U4172),N(U4172)+1))</f>
        <v>2</v>
      </c>
    </row>
    <row r="4174" customFormat="false" ht="15" hidden="false" customHeight="false" outlineLevel="0" collapsed="false">
      <c r="B4174" s="53"/>
      <c r="I4174" s="53"/>
      <c r="U4174" s="31" t="n">
        <f aca="false">IF($B4174&lt;&gt;'設定（最初に1回）'!$C$4,N(U4173),IF(COUNTIFS(①今日の在庫を貼る!$B$6:$B$10005,$B4174,①今日の在庫を貼る!$I$6:$I$10005,$I4174)&gt;0,N(U4173),N(U4173)+1))</f>
        <v>2</v>
      </c>
    </row>
    <row r="4175" customFormat="false" ht="15" hidden="false" customHeight="false" outlineLevel="0" collapsed="false">
      <c r="B4175" s="53"/>
      <c r="I4175" s="53"/>
      <c r="U4175" s="31" t="n">
        <f aca="false">IF($B4175&lt;&gt;'設定（最初に1回）'!$C$4,N(U4174),IF(COUNTIFS(①今日の在庫を貼る!$B$6:$B$10005,$B4175,①今日の在庫を貼る!$I$6:$I$10005,$I4175)&gt;0,N(U4174),N(U4174)+1))</f>
        <v>2</v>
      </c>
    </row>
    <row r="4176" customFormat="false" ht="15" hidden="false" customHeight="false" outlineLevel="0" collapsed="false">
      <c r="B4176" s="53"/>
      <c r="I4176" s="53"/>
      <c r="U4176" s="31" t="n">
        <f aca="false">IF($B4176&lt;&gt;'設定（最初に1回）'!$C$4,N(U4175),IF(COUNTIFS(①今日の在庫を貼る!$B$6:$B$10005,$B4176,①今日の在庫を貼る!$I$6:$I$10005,$I4176)&gt;0,N(U4175),N(U4175)+1))</f>
        <v>2</v>
      </c>
    </row>
    <row r="4177" customFormat="false" ht="15" hidden="false" customHeight="false" outlineLevel="0" collapsed="false">
      <c r="B4177" s="53"/>
      <c r="I4177" s="53"/>
      <c r="U4177" s="31" t="n">
        <f aca="false">IF($B4177&lt;&gt;'設定（最初に1回）'!$C$4,N(U4176),IF(COUNTIFS(①今日の在庫を貼る!$B$6:$B$10005,$B4177,①今日の在庫を貼る!$I$6:$I$10005,$I4177)&gt;0,N(U4176),N(U4176)+1))</f>
        <v>2</v>
      </c>
    </row>
    <row r="4178" customFormat="false" ht="15" hidden="false" customHeight="false" outlineLevel="0" collapsed="false">
      <c r="B4178" s="53"/>
      <c r="I4178" s="53"/>
      <c r="U4178" s="31" t="n">
        <f aca="false">IF($B4178&lt;&gt;'設定（最初に1回）'!$C$4,N(U4177),IF(COUNTIFS(①今日の在庫を貼る!$B$6:$B$10005,$B4178,①今日の在庫を貼る!$I$6:$I$10005,$I4178)&gt;0,N(U4177),N(U4177)+1))</f>
        <v>2</v>
      </c>
    </row>
    <row r="4179" customFormat="false" ht="15" hidden="false" customHeight="false" outlineLevel="0" collapsed="false">
      <c r="B4179" s="53"/>
      <c r="I4179" s="53"/>
      <c r="U4179" s="31" t="n">
        <f aca="false">IF($B4179&lt;&gt;'設定（最初に1回）'!$C$4,N(U4178),IF(COUNTIFS(①今日の在庫を貼る!$B$6:$B$10005,$B4179,①今日の在庫を貼る!$I$6:$I$10005,$I4179)&gt;0,N(U4178),N(U4178)+1))</f>
        <v>2</v>
      </c>
    </row>
    <row r="4180" customFormat="false" ht="15" hidden="false" customHeight="false" outlineLevel="0" collapsed="false">
      <c r="B4180" s="53"/>
      <c r="I4180" s="53"/>
      <c r="U4180" s="31" t="n">
        <f aca="false">IF($B4180&lt;&gt;'設定（最初に1回）'!$C$4,N(U4179),IF(COUNTIFS(①今日の在庫を貼る!$B$6:$B$10005,$B4180,①今日の在庫を貼る!$I$6:$I$10005,$I4180)&gt;0,N(U4179),N(U4179)+1))</f>
        <v>2</v>
      </c>
    </row>
    <row r="4181" customFormat="false" ht="15" hidden="false" customHeight="false" outlineLevel="0" collapsed="false">
      <c r="B4181" s="53"/>
      <c r="I4181" s="53"/>
      <c r="U4181" s="31" t="n">
        <f aca="false">IF($B4181&lt;&gt;'設定（最初に1回）'!$C$4,N(U4180),IF(COUNTIFS(①今日の在庫を貼る!$B$6:$B$10005,$B4181,①今日の在庫を貼る!$I$6:$I$10005,$I4181)&gt;0,N(U4180),N(U4180)+1))</f>
        <v>2</v>
      </c>
    </row>
    <row r="4182" customFormat="false" ht="15" hidden="false" customHeight="false" outlineLevel="0" collapsed="false">
      <c r="B4182" s="53"/>
      <c r="I4182" s="53"/>
      <c r="U4182" s="31" t="n">
        <f aca="false">IF($B4182&lt;&gt;'設定（最初に1回）'!$C$4,N(U4181),IF(COUNTIFS(①今日の在庫を貼る!$B$6:$B$10005,$B4182,①今日の在庫を貼る!$I$6:$I$10005,$I4182)&gt;0,N(U4181),N(U4181)+1))</f>
        <v>2</v>
      </c>
    </row>
    <row r="4183" customFormat="false" ht="15" hidden="false" customHeight="false" outlineLevel="0" collapsed="false">
      <c r="B4183" s="53"/>
      <c r="I4183" s="53"/>
      <c r="U4183" s="31" t="n">
        <f aca="false">IF($B4183&lt;&gt;'設定（最初に1回）'!$C$4,N(U4182),IF(COUNTIFS(①今日の在庫を貼る!$B$6:$B$10005,$B4183,①今日の在庫を貼る!$I$6:$I$10005,$I4183)&gt;0,N(U4182),N(U4182)+1))</f>
        <v>2</v>
      </c>
    </row>
    <row r="4184" customFormat="false" ht="15" hidden="false" customHeight="false" outlineLevel="0" collapsed="false">
      <c r="B4184" s="53"/>
      <c r="I4184" s="53"/>
      <c r="U4184" s="31" t="n">
        <f aca="false">IF($B4184&lt;&gt;'設定（最初に1回）'!$C$4,N(U4183),IF(COUNTIFS(①今日の在庫を貼る!$B$6:$B$10005,$B4184,①今日の在庫を貼る!$I$6:$I$10005,$I4184)&gt;0,N(U4183),N(U4183)+1))</f>
        <v>2</v>
      </c>
    </row>
    <row r="4185" customFormat="false" ht="15" hidden="false" customHeight="false" outlineLevel="0" collapsed="false">
      <c r="B4185" s="53"/>
      <c r="I4185" s="53"/>
      <c r="U4185" s="31" t="n">
        <f aca="false">IF($B4185&lt;&gt;'設定（最初に1回）'!$C$4,N(U4184),IF(COUNTIFS(①今日の在庫を貼る!$B$6:$B$10005,$B4185,①今日の在庫を貼る!$I$6:$I$10005,$I4185)&gt;0,N(U4184),N(U4184)+1))</f>
        <v>2</v>
      </c>
    </row>
    <row r="4186" customFormat="false" ht="15" hidden="false" customHeight="false" outlineLevel="0" collapsed="false">
      <c r="B4186" s="53"/>
      <c r="I4186" s="53"/>
      <c r="U4186" s="31" t="n">
        <f aca="false">IF($B4186&lt;&gt;'設定（最初に1回）'!$C$4,N(U4185),IF(COUNTIFS(①今日の在庫を貼る!$B$6:$B$10005,$B4186,①今日の在庫を貼る!$I$6:$I$10005,$I4186)&gt;0,N(U4185),N(U4185)+1))</f>
        <v>2</v>
      </c>
    </row>
    <row r="4187" customFormat="false" ht="15" hidden="false" customHeight="false" outlineLevel="0" collapsed="false">
      <c r="B4187" s="53"/>
      <c r="I4187" s="53"/>
      <c r="U4187" s="31" t="n">
        <f aca="false">IF($B4187&lt;&gt;'設定（最初に1回）'!$C$4,N(U4186),IF(COUNTIFS(①今日の在庫を貼る!$B$6:$B$10005,$B4187,①今日の在庫を貼る!$I$6:$I$10005,$I4187)&gt;0,N(U4186),N(U4186)+1))</f>
        <v>2</v>
      </c>
    </row>
    <row r="4188" customFormat="false" ht="15" hidden="false" customHeight="false" outlineLevel="0" collapsed="false">
      <c r="B4188" s="53"/>
      <c r="I4188" s="53"/>
      <c r="U4188" s="31" t="n">
        <f aca="false">IF($B4188&lt;&gt;'設定（最初に1回）'!$C$4,N(U4187),IF(COUNTIFS(①今日の在庫を貼る!$B$6:$B$10005,$B4188,①今日の在庫を貼る!$I$6:$I$10005,$I4188)&gt;0,N(U4187),N(U4187)+1))</f>
        <v>2</v>
      </c>
    </row>
    <row r="4189" customFormat="false" ht="15" hidden="false" customHeight="false" outlineLevel="0" collapsed="false">
      <c r="B4189" s="53"/>
      <c r="I4189" s="53"/>
      <c r="U4189" s="31" t="n">
        <f aca="false">IF($B4189&lt;&gt;'設定（最初に1回）'!$C$4,N(U4188),IF(COUNTIFS(①今日の在庫を貼る!$B$6:$B$10005,$B4189,①今日の在庫を貼る!$I$6:$I$10005,$I4189)&gt;0,N(U4188),N(U4188)+1))</f>
        <v>2</v>
      </c>
    </row>
    <row r="4190" customFormat="false" ht="15" hidden="false" customHeight="false" outlineLevel="0" collapsed="false">
      <c r="B4190" s="53"/>
      <c r="I4190" s="53"/>
      <c r="U4190" s="31" t="n">
        <f aca="false">IF($B4190&lt;&gt;'設定（最初に1回）'!$C$4,N(U4189),IF(COUNTIFS(①今日の在庫を貼る!$B$6:$B$10005,$B4190,①今日の在庫を貼る!$I$6:$I$10005,$I4190)&gt;0,N(U4189),N(U4189)+1))</f>
        <v>2</v>
      </c>
    </row>
    <row r="4191" customFormat="false" ht="15" hidden="false" customHeight="false" outlineLevel="0" collapsed="false">
      <c r="B4191" s="53"/>
      <c r="I4191" s="53"/>
      <c r="U4191" s="31" t="n">
        <f aca="false">IF($B4191&lt;&gt;'設定（最初に1回）'!$C$4,N(U4190),IF(COUNTIFS(①今日の在庫を貼る!$B$6:$B$10005,$B4191,①今日の在庫を貼る!$I$6:$I$10005,$I4191)&gt;0,N(U4190),N(U4190)+1))</f>
        <v>2</v>
      </c>
    </row>
    <row r="4192" customFormat="false" ht="15" hidden="false" customHeight="false" outlineLevel="0" collapsed="false">
      <c r="B4192" s="53"/>
      <c r="I4192" s="53"/>
      <c r="U4192" s="31" t="n">
        <f aca="false">IF($B4192&lt;&gt;'設定（最初に1回）'!$C$4,N(U4191),IF(COUNTIFS(①今日の在庫を貼る!$B$6:$B$10005,$B4192,①今日の在庫を貼る!$I$6:$I$10005,$I4192)&gt;0,N(U4191),N(U4191)+1))</f>
        <v>2</v>
      </c>
    </row>
    <row r="4193" customFormat="false" ht="15" hidden="false" customHeight="false" outlineLevel="0" collapsed="false">
      <c r="B4193" s="53"/>
      <c r="I4193" s="53"/>
      <c r="U4193" s="31" t="n">
        <f aca="false">IF($B4193&lt;&gt;'設定（最初に1回）'!$C$4,N(U4192),IF(COUNTIFS(①今日の在庫を貼る!$B$6:$B$10005,$B4193,①今日の在庫を貼る!$I$6:$I$10005,$I4193)&gt;0,N(U4192),N(U4192)+1))</f>
        <v>2</v>
      </c>
    </row>
    <row r="4194" customFormat="false" ht="15" hidden="false" customHeight="false" outlineLevel="0" collapsed="false">
      <c r="B4194" s="53"/>
      <c r="I4194" s="53"/>
      <c r="U4194" s="31" t="n">
        <f aca="false">IF($B4194&lt;&gt;'設定（最初に1回）'!$C$4,N(U4193),IF(COUNTIFS(①今日の在庫を貼る!$B$6:$B$10005,$B4194,①今日の在庫を貼る!$I$6:$I$10005,$I4194)&gt;0,N(U4193),N(U4193)+1))</f>
        <v>2</v>
      </c>
    </row>
    <row r="4195" customFormat="false" ht="15" hidden="false" customHeight="false" outlineLevel="0" collapsed="false">
      <c r="B4195" s="53"/>
      <c r="I4195" s="53"/>
      <c r="U4195" s="31" t="n">
        <f aca="false">IF($B4195&lt;&gt;'設定（最初に1回）'!$C$4,N(U4194),IF(COUNTIFS(①今日の在庫を貼る!$B$6:$B$10005,$B4195,①今日の在庫を貼る!$I$6:$I$10005,$I4195)&gt;0,N(U4194),N(U4194)+1))</f>
        <v>2</v>
      </c>
    </row>
    <row r="4196" customFormat="false" ht="15" hidden="false" customHeight="false" outlineLevel="0" collapsed="false">
      <c r="B4196" s="53"/>
      <c r="I4196" s="53"/>
      <c r="U4196" s="31" t="n">
        <f aca="false">IF($B4196&lt;&gt;'設定（最初に1回）'!$C$4,N(U4195),IF(COUNTIFS(①今日の在庫を貼る!$B$6:$B$10005,$B4196,①今日の在庫を貼る!$I$6:$I$10005,$I4196)&gt;0,N(U4195),N(U4195)+1))</f>
        <v>2</v>
      </c>
    </row>
    <row r="4197" customFormat="false" ht="15" hidden="false" customHeight="false" outlineLevel="0" collapsed="false">
      <c r="B4197" s="53"/>
      <c r="I4197" s="53"/>
      <c r="U4197" s="31" t="n">
        <f aca="false">IF($B4197&lt;&gt;'設定（最初に1回）'!$C$4,N(U4196),IF(COUNTIFS(①今日の在庫を貼る!$B$6:$B$10005,$B4197,①今日の在庫を貼る!$I$6:$I$10005,$I4197)&gt;0,N(U4196),N(U4196)+1))</f>
        <v>2</v>
      </c>
    </row>
    <row r="4198" customFormat="false" ht="15" hidden="false" customHeight="false" outlineLevel="0" collapsed="false">
      <c r="B4198" s="53"/>
      <c r="I4198" s="53"/>
      <c r="U4198" s="31" t="n">
        <f aca="false">IF($B4198&lt;&gt;'設定（最初に1回）'!$C$4,N(U4197),IF(COUNTIFS(①今日の在庫を貼る!$B$6:$B$10005,$B4198,①今日の在庫を貼る!$I$6:$I$10005,$I4198)&gt;0,N(U4197),N(U4197)+1))</f>
        <v>2</v>
      </c>
    </row>
    <row r="4199" customFormat="false" ht="15" hidden="false" customHeight="false" outlineLevel="0" collapsed="false">
      <c r="B4199" s="53"/>
      <c r="I4199" s="53"/>
      <c r="U4199" s="31" t="n">
        <f aca="false">IF($B4199&lt;&gt;'設定（最初に1回）'!$C$4,N(U4198),IF(COUNTIFS(①今日の在庫を貼る!$B$6:$B$10005,$B4199,①今日の在庫を貼る!$I$6:$I$10005,$I4199)&gt;0,N(U4198),N(U4198)+1))</f>
        <v>2</v>
      </c>
    </row>
    <row r="4200" customFormat="false" ht="15" hidden="false" customHeight="false" outlineLevel="0" collapsed="false">
      <c r="B4200" s="53"/>
      <c r="I4200" s="53"/>
      <c r="U4200" s="31" t="n">
        <f aca="false">IF($B4200&lt;&gt;'設定（最初に1回）'!$C$4,N(U4199),IF(COUNTIFS(①今日の在庫を貼る!$B$6:$B$10005,$B4200,①今日の在庫を貼る!$I$6:$I$10005,$I4200)&gt;0,N(U4199),N(U4199)+1))</f>
        <v>2</v>
      </c>
    </row>
    <row r="4201" customFormat="false" ht="15" hidden="false" customHeight="false" outlineLevel="0" collapsed="false">
      <c r="B4201" s="53"/>
      <c r="I4201" s="53"/>
      <c r="U4201" s="31" t="n">
        <f aca="false">IF($B4201&lt;&gt;'設定（最初に1回）'!$C$4,N(U4200),IF(COUNTIFS(①今日の在庫を貼る!$B$6:$B$10005,$B4201,①今日の在庫を貼る!$I$6:$I$10005,$I4201)&gt;0,N(U4200),N(U4200)+1))</f>
        <v>2</v>
      </c>
    </row>
    <row r="4202" customFormat="false" ht="15" hidden="false" customHeight="false" outlineLevel="0" collapsed="false">
      <c r="B4202" s="53"/>
      <c r="I4202" s="53"/>
      <c r="U4202" s="31" t="n">
        <f aca="false">IF($B4202&lt;&gt;'設定（最初に1回）'!$C$4,N(U4201),IF(COUNTIFS(①今日の在庫を貼る!$B$6:$B$10005,$B4202,①今日の在庫を貼る!$I$6:$I$10005,$I4202)&gt;0,N(U4201),N(U4201)+1))</f>
        <v>2</v>
      </c>
    </row>
    <row r="4203" customFormat="false" ht="15" hidden="false" customHeight="false" outlineLevel="0" collapsed="false">
      <c r="B4203" s="53"/>
      <c r="I4203" s="53"/>
      <c r="U4203" s="31" t="n">
        <f aca="false">IF($B4203&lt;&gt;'設定（最初に1回）'!$C$4,N(U4202),IF(COUNTIFS(①今日の在庫を貼る!$B$6:$B$10005,$B4203,①今日の在庫を貼る!$I$6:$I$10005,$I4203)&gt;0,N(U4202),N(U4202)+1))</f>
        <v>2</v>
      </c>
    </row>
    <row r="4204" customFormat="false" ht="15" hidden="false" customHeight="false" outlineLevel="0" collapsed="false">
      <c r="B4204" s="53"/>
      <c r="I4204" s="53"/>
      <c r="U4204" s="31" t="n">
        <f aca="false">IF($B4204&lt;&gt;'設定（最初に1回）'!$C$4,N(U4203),IF(COUNTIFS(①今日の在庫を貼る!$B$6:$B$10005,$B4204,①今日の在庫を貼る!$I$6:$I$10005,$I4204)&gt;0,N(U4203),N(U4203)+1))</f>
        <v>2</v>
      </c>
    </row>
    <row r="4205" customFormat="false" ht="15" hidden="false" customHeight="false" outlineLevel="0" collapsed="false">
      <c r="B4205" s="53"/>
      <c r="I4205" s="53"/>
      <c r="U4205" s="31" t="n">
        <f aca="false">IF($B4205&lt;&gt;'設定（最初に1回）'!$C$4,N(U4204),IF(COUNTIFS(①今日の在庫を貼る!$B$6:$B$10005,$B4205,①今日の在庫を貼る!$I$6:$I$10005,$I4205)&gt;0,N(U4204),N(U4204)+1))</f>
        <v>2</v>
      </c>
    </row>
    <row r="4206" customFormat="false" ht="15" hidden="false" customHeight="false" outlineLevel="0" collapsed="false">
      <c r="B4206" s="53"/>
      <c r="I4206" s="53"/>
      <c r="U4206" s="31" t="n">
        <f aca="false">IF($B4206&lt;&gt;'設定（最初に1回）'!$C$4,N(U4205),IF(COUNTIFS(①今日の在庫を貼る!$B$6:$B$10005,$B4206,①今日の在庫を貼る!$I$6:$I$10005,$I4206)&gt;0,N(U4205),N(U4205)+1))</f>
        <v>2</v>
      </c>
    </row>
    <row r="4207" customFormat="false" ht="15" hidden="false" customHeight="false" outlineLevel="0" collapsed="false">
      <c r="B4207" s="53"/>
      <c r="I4207" s="53"/>
      <c r="U4207" s="31" t="n">
        <f aca="false">IF($B4207&lt;&gt;'設定（最初に1回）'!$C$4,N(U4206),IF(COUNTIFS(①今日の在庫を貼る!$B$6:$B$10005,$B4207,①今日の在庫を貼る!$I$6:$I$10005,$I4207)&gt;0,N(U4206),N(U4206)+1))</f>
        <v>2</v>
      </c>
    </row>
    <row r="4208" customFormat="false" ht="15" hidden="false" customHeight="false" outlineLevel="0" collapsed="false">
      <c r="B4208" s="53"/>
      <c r="I4208" s="53"/>
      <c r="U4208" s="31" t="n">
        <f aca="false">IF($B4208&lt;&gt;'設定（最初に1回）'!$C$4,N(U4207),IF(COUNTIFS(①今日の在庫を貼る!$B$6:$B$10005,$B4208,①今日の在庫を貼る!$I$6:$I$10005,$I4208)&gt;0,N(U4207),N(U4207)+1))</f>
        <v>2</v>
      </c>
    </row>
    <row r="4209" customFormat="false" ht="15" hidden="false" customHeight="false" outlineLevel="0" collapsed="false">
      <c r="B4209" s="53"/>
      <c r="I4209" s="53"/>
      <c r="U4209" s="31" t="n">
        <f aca="false">IF($B4209&lt;&gt;'設定（最初に1回）'!$C$4,N(U4208),IF(COUNTIFS(①今日の在庫を貼る!$B$6:$B$10005,$B4209,①今日の在庫を貼る!$I$6:$I$10005,$I4209)&gt;0,N(U4208),N(U4208)+1))</f>
        <v>2</v>
      </c>
    </row>
    <row r="4210" customFormat="false" ht="15" hidden="false" customHeight="false" outlineLevel="0" collapsed="false">
      <c r="B4210" s="53"/>
      <c r="I4210" s="53"/>
      <c r="U4210" s="31" t="n">
        <f aca="false">IF($B4210&lt;&gt;'設定（最初に1回）'!$C$4,N(U4209),IF(COUNTIFS(①今日の在庫を貼る!$B$6:$B$10005,$B4210,①今日の在庫を貼る!$I$6:$I$10005,$I4210)&gt;0,N(U4209),N(U4209)+1))</f>
        <v>2</v>
      </c>
    </row>
    <row r="4211" customFormat="false" ht="15" hidden="false" customHeight="false" outlineLevel="0" collapsed="false">
      <c r="B4211" s="53"/>
      <c r="I4211" s="53"/>
      <c r="U4211" s="31" t="n">
        <f aca="false">IF($B4211&lt;&gt;'設定（最初に1回）'!$C$4,N(U4210),IF(COUNTIFS(①今日の在庫を貼る!$B$6:$B$10005,$B4211,①今日の在庫を貼る!$I$6:$I$10005,$I4211)&gt;0,N(U4210),N(U4210)+1))</f>
        <v>2</v>
      </c>
    </row>
    <row r="4212" customFormat="false" ht="15" hidden="false" customHeight="false" outlineLevel="0" collapsed="false">
      <c r="B4212" s="53"/>
      <c r="I4212" s="53"/>
      <c r="U4212" s="31" t="n">
        <f aca="false">IF($B4212&lt;&gt;'設定（最初に1回）'!$C$4,N(U4211),IF(COUNTIFS(①今日の在庫を貼る!$B$6:$B$10005,$B4212,①今日の在庫を貼る!$I$6:$I$10005,$I4212)&gt;0,N(U4211),N(U4211)+1))</f>
        <v>2</v>
      </c>
    </row>
    <row r="4213" customFormat="false" ht="15" hidden="false" customHeight="false" outlineLevel="0" collapsed="false">
      <c r="B4213" s="53"/>
      <c r="I4213" s="53"/>
      <c r="U4213" s="31" t="n">
        <f aca="false">IF($B4213&lt;&gt;'設定（最初に1回）'!$C$4,N(U4212),IF(COUNTIFS(①今日の在庫を貼る!$B$6:$B$10005,$B4213,①今日の在庫を貼る!$I$6:$I$10005,$I4213)&gt;0,N(U4212),N(U4212)+1))</f>
        <v>2</v>
      </c>
    </row>
    <row r="4214" customFormat="false" ht="15" hidden="false" customHeight="false" outlineLevel="0" collapsed="false">
      <c r="B4214" s="53"/>
      <c r="I4214" s="53"/>
      <c r="U4214" s="31" t="n">
        <f aca="false">IF($B4214&lt;&gt;'設定（最初に1回）'!$C$4,N(U4213),IF(COUNTIFS(①今日の在庫を貼る!$B$6:$B$10005,$B4214,①今日の在庫を貼る!$I$6:$I$10005,$I4214)&gt;0,N(U4213),N(U4213)+1))</f>
        <v>2</v>
      </c>
    </row>
    <row r="4215" customFormat="false" ht="15" hidden="false" customHeight="false" outlineLevel="0" collapsed="false">
      <c r="B4215" s="53"/>
      <c r="I4215" s="53"/>
      <c r="U4215" s="31" t="n">
        <f aca="false">IF($B4215&lt;&gt;'設定（最初に1回）'!$C$4,N(U4214),IF(COUNTIFS(①今日の在庫を貼る!$B$6:$B$10005,$B4215,①今日の在庫を貼る!$I$6:$I$10005,$I4215)&gt;0,N(U4214),N(U4214)+1))</f>
        <v>2</v>
      </c>
    </row>
    <row r="4216" customFormat="false" ht="15" hidden="false" customHeight="false" outlineLevel="0" collapsed="false">
      <c r="B4216" s="53"/>
      <c r="I4216" s="53"/>
      <c r="U4216" s="31" t="n">
        <f aca="false">IF($B4216&lt;&gt;'設定（最初に1回）'!$C$4,N(U4215),IF(COUNTIFS(①今日の在庫を貼る!$B$6:$B$10005,$B4216,①今日の在庫を貼る!$I$6:$I$10005,$I4216)&gt;0,N(U4215),N(U4215)+1))</f>
        <v>2</v>
      </c>
    </row>
    <row r="4217" customFormat="false" ht="15" hidden="false" customHeight="false" outlineLevel="0" collapsed="false">
      <c r="B4217" s="53"/>
      <c r="I4217" s="53"/>
      <c r="U4217" s="31" t="n">
        <f aca="false">IF($B4217&lt;&gt;'設定（最初に1回）'!$C$4,N(U4216),IF(COUNTIFS(①今日の在庫を貼る!$B$6:$B$10005,$B4217,①今日の在庫を貼る!$I$6:$I$10005,$I4217)&gt;0,N(U4216),N(U4216)+1))</f>
        <v>2</v>
      </c>
    </row>
    <row r="4218" customFormat="false" ht="15" hidden="false" customHeight="false" outlineLevel="0" collapsed="false">
      <c r="B4218" s="53"/>
      <c r="I4218" s="53"/>
      <c r="U4218" s="31" t="n">
        <f aca="false">IF($B4218&lt;&gt;'設定（最初に1回）'!$C$4,N(U4217),IF(COUNTIFS(①今日の在庫を貼る!$B$6:$B$10005,$B4218,①今日の在庫を貼る!$I$6:$I$10005,$I4218)&gt;0,N(U4217),N(U4217)+1))</f>
        <v>2</v>
      </c>
    </row>
    <row r="4219" customFormat="false" ht="15" hidden="false" customHeight="false" outlineLevel="0" collapsed="false">
      <c r="B4219" s="53"/>
      <c r="I4219" s="53"/>
      <c r="U4219" s="31" t="n">
        <f aca="false">IF($B4219&lt;&gt;'設定（最初に1回）'!$C$4,N(U4218),IF(COUNTIFS(①今日の在庫を貼る!$B$6:$B$10005,$B4219,①今日の在庫を貼る!$I$6:$I$10005,$I4219)&gt;0,N(U4218),N(U4218)+1))</f>
        <v>2</v>
      </c>
    </row>
    <row r="4220" customFormat="false" ht="15" hidden="false" customHeight="false" outlineLevel="0" collapsed="false">
      <c r="B4220" s="53"/>
      <c r="I4220" s="53"/>
      <c r="U4220" s="31" t="n">
        <f aca="false">IF($B4220&lt;&gt;'設定（最初に1回）'!$C$4,N(U4219),IF(COUNTIFS(①今日の在庫を貼る!$B$6:$B$10005,$B4220,①今日の在庫を貼る!$I$6:$I$10005,$I4220)&gt;0,N(U4219),N(U4219)+1))</f>
        <v>2</v>
      </c>
    </row>
    <row r="4221" customFormat="false" ht="15" hidden="false" customHeight="false" outlineLevel="0" collapsed="false">
      <c r="B4221" s="53"/>
      <c r="I4221" s="53"/>
      <c r="U4221" s="31" t="n">
        <f aca="false">IF($B4221&lt;&gt;'設定（最初に1回）'!$C$4,N(U4220),IF(COUNTIFS(①今日の在庫を貼る!$B$6:$B$10005,$B4221,①今日の在庫を貼る!$I$6:$I$10005,$I4221)&gt;0,N(U4220),N(U4220)+1))</f>
        <v>2</v>
      </c>
    </row>
    <row r="4222" customFormat="false" ht="15" hidden="false" customHeight="false" outlineLevel="0" collapsed="false">
      <c r="B4222" s="53"/>
      <c r="I4222" s="53"/>
      <c r="U4222" s="31" t="n">
        <f aca="false">IF($B4222&lt;&gt;'設定（最初に1回）'!$C$4,N(U4221),IF(COUNTIFS(①今日の在庫を貼る!$B$6:$B$10005,$B4222,①今日の在庫を貼る!$I$6:$I$10005,$I4222)&gt;0,N(U4221),N(U4221)+1))</f>
        <v>2</v>
      </c>
    </row>
    <row r="4223" customFormat="false" ht="15" hidden="false" customHeight="false" outlineLevel="0" collapsed="false">
      <c r="B4223" s="53"/>
      <c r="I4223" s="53"/>
      <c r="U4223" s="31" t="n">
        <f aca="false">IF($B4223&lt;&gt;'設定（最初に1回）'!$C$4,N(U4222),IF(COUNTIFS(①今日の在庫を貼る!$B$6:$B$10005,$B4223,①今日の在庫を貼る!$I$6:$I$10005,$I4223)&gt;0,N(U4222),N(U4222)+1))</f>
        <v>2</v>
      </c>
    </row>
    <row r="4224" customFormat="false" ht="15" hidden="false" customHeight="false" outlineLevel="0" collapsed="false">
      <c r="B4224" s="53"/>
      <c r="I4224" s="53"/>
      <c r="U4224" s="31" t="n">
        <f aca="false">IF($B4224&lt;&gt;'設定（最初に1回）'!$C$4,N(U4223),IF(COUNTIFS(①今日の在庫を貼る!$B$6:$B$10005,$B4224,①今日の在庫を貼る!$I$6:$I$10005,$I4224)&gt;0,N(U4223),N(U4223)+1))</f>
        <v>2</v>
      </c>
    </row>
    <row r="4225" customFormat="false" ht="15" hidden="false" customHeight="false" outlineLevel="0" collapsed="false">
      <c r="B4225" s="53"/>
      <c r="I4225" s="53"/>
      <c r="U4225" s="31" t="n">
        <f aca="false">IF($B4225&lt;&gt;'設定（最初に1回）'!$C$4,N(U4224),IF(COUNTIFS(①今日の在庫を貼る!$B$6:$B$10005,$B4225,①今日の在庫を貼る!$I$6:$I$10005,$I4225)&gt;0,N(U4224),N(U4224)+1))</f>
        <v>2</v>
      </c>
    </row>
    <row r="4226" customFormat="false" ht="15" hidden="false" customHeight="false" outlineLevel="0" collapsed="false">
      <c r="B4226" s="53"/>
      <c r="I4226" s="53"/>
      <c r="U4226" s="31" t="n">
        <f aca="false">IF($B4226&lt;&gt;'設定（最初に1回）'!$C$4,N(U4225),IF(COUNTIFS(①今日の在庫を貼る!$B$6:$B$10005,$B4226,①今日の在庫を貼る!$I$6:$I$10005,$I4226)&gt;0,N(U4225),N(U4225)+1))</f>
        <v>2</v>
      </c>
    </row>
    <row r="4227" customFormat="false" ht="15" hidden="false" customHeight="false" outlineLevel="0" collapsed="false">
      <c r="B4227" s="53"/>
      <c r="I4227" s="53"/>
      <c r="U4227" s="31" t="n">
        <f aca="false">IF($B4227&lt;&gt;'設定（最初に1回）'!$C$4,N(U4226),IF(COUNTIFS(①今日の在庫を貼る!$B$6:$B$10005,$B4227,①今日の在庫を貼る!$I$6:$I$10005,$I4227)&gt;0,N(U4226),N(U4226)+1))</f>
        <v>2</v>
      </c>
    </row>
    <row r="4228" customFormat="false" ht="15" hidden="false" customHeight="false" outlineLevel="0" collapsed="false">
      <c r="B4228" s="53"/>
      <c r="I4228" s="53"/>
      <c r="U4228" s="31" t="n">
        <f aca="false">IF($B4228&lt;&gt;'設定（最初に1回）'!$C$4,N(U4227),IF(COUNTIFS(①今日の在庫を貼る!$B$6:$B$10005,$B4228,①今日の在庫を貼る!$I$6:$I$10005,$I4228)&gt;0,N(U4227),N(U4227)+1))</f>
        <v>2</v>
      </c>
    </row>
    <row r="4229" customFormat="false" ht="15" hidden="false" customHeight="false" outlineLevel="0" collapsed="false">
      <c r="B4229" s="53"/>
      <c r="I4229" s="53"/>
      <c r="U4229" s="31" t="n">
        <f aca="false">IF($B4229&lt;&gt;'設定（最初に1回）'!$C$4,N(U4228),IF(COUNTIFS(①今日の在庫を貼る!$B$6:$B$10005,$B4229,①今日の在庫を貼る!$I$6:$I$10005,$I4229)&gt;0,N(U4228),N(U4228)+1))</f>
        <v>2</v>
      </c>
    </row>
    <row r="4230" customFormat="false" ht="15" hidden="false" customHeight="false" outlineLevel="0" collapsed="false">
      <c r="B4230" s="53"/>
      <c r="I4230" s="53"/>
      <c r="U4230" s="31" t="n">
        <f aca="false">IF($B4230&lt;&gt;'設定（最初に1回）'!$C$4,N(U4229),IF(COUNTIFS(①今日の在庫を貼る!$B$6:$B$10005,$B4230,①今日の在庫を貼る!$I$6:$I$10005,$I4230)&gt;0,N(U4229),N(U4229)+1))</f>
        <v>2</v>
      </c>
    </row>
    <row r="4231" customFormat="false" ht="15" hidden="false" customHeight="false" outlineLevel="0" collapsed="false">
      <c r="B4231" s="53"/>
      <c r="I4231" s="53"/>
      <c r="U4231" s="31" t="n">
        <f aca="false">IF($B4231&lt;&gt;'設定（最初に1回）'!$C$4,N(U4230),IF(COUNTIFS(①今日の在庫を貼る!$B$6:$B$10005,$B4231,①今日の在庫を貼る!$I$6:$I$10005,$I4231)&gt;0,N(U4230),N(U4230)+1))</f>
        <v>2</v>
      </c>
    </row>
    <row r="4232" customFormat="false" ht="15" hidden="false" customHeight="false" outlineLevel="0" collapsed="false">
      <c r="B4232" s="53"/>
      <c r="I4232" s="53"/>
      <c r="U4232" s="31" t="n">
        <f aca="false">IF($B4232&lt;&gt;'設定（最初に1回）'!$C$4,N(U4231),IF(COUNTIFS(①今日の在庫を貼る!$B$6:$B$10005,$B4232,①今日の在庫を貼る!$I$6:$I$10005,$I4232)&gt;0,N(U4231),N(U4231)+1))</f>
        <v>2</v>
      </c>
    </row>
    <row r="4233" customFormat="false" ht="15" hidden="false" customHeight="false" outlineLevel="0" collapsed="false">
      <c r="B4233" s="53"/>
      <c r="I4233" s="53"/>
      <c r="U4233" s="31" t="n">
        <f aca="false">IF($B4233&lt;&gt;'設定（最初に1回）'!$C$4,N(U4232),IF(COUNTIFS(①今日の在庫を貼る!$B$6:$B$10005,$B4233,①今日の在庫を貼る!$I$6:$I$10005,$I4233)&gt;0,N(U4232),N(U4232)+1))</f>
        <v>2</v>
      </c>
    </row>
    <row r="4234" customFormat="false" ht="15" hidden="false" customHeight="false" outlineLevel="0" collapsed="false">
      <c r="B4234" s="53"/>
      <c r="I4234" s="53"/>
      <c r="U4234" s="31" t="n">
        <f aca="false">IF($B4234&lt;&gt;'設定（最初に1回）'!$C$4,N(U4233),IF(COUNTIFS(①今日の在庫を貼る!$B$6:$B$10005,$B4234,①今日の在庫を貼る!$I$6:$I$10005,$I4234)&gt;0,N(U4233),N(U4233)+1))</f>
        <v>2</v>
      </c>
    </row>
    <row r="4235" customFormat="false" ht="15" hidden="false" customHeight="false" outlineLevel="0" collapsed="false">
      <c r="B4235" s="53"/>
      <c r="I4235" s="53"/>
      <c r="U4235" s="31" t="n">
        <f aca="false">IF($B4235&lt;&gt;'設定（最初に1回）'!$C$4,N(U4234),IF(COUNTIFS(①今日の在庫を貼る!$B$6:$B$10005,$B4235,①今日の在庫を貼る!$I$6:$I$10005,$I4235)&gt;0,N(U4234),N(U4234)+1))</f>
        <v>2</v>
      </c>
    </row>
    <row r="4236" customFormat="false" ht="15" hidden="false" customHeight="false" outlineLevel="0" collapsed="false">
      <c r="B4236" s="53"/>
      <c r="I4236" s="53"/>
      <c r="U4236" s="31" t="n">
        <f aca="false">IF($B4236&lt;&gt;'設定（最初に1回）'!$C$4,N(U4235),IF(COUNTIFS(①今日の在庫を貼る!$B$6:$B$10005,$B4236,①今日の在庫を貼る!$I$6:$I$10005,$I4236)&gt;0,N(U4235),N(U4235)+1))</f>
        <v>2</v>
      </c>
    </row>
    <row r="4237" customFormat="false" ht="15" hidden="false" customHeight="false" outlineLevel="0" collapsed="false">
      <c r="B4237" s="53"/>
      <c r="I4237" s="53"/>
      <c r="U4237" s="31" t="n">
        <f aca="false">IF($B4237&lt;&gt;'設定（最初に1回）'!$C$4,N(U4236),IF(COUNTIFS(①今日の在庫を貼る!$B$6:$B$10005,$B4237,①今日の在庫を貼る!$I$6:$I$10005,$I4237)&gt;0,N(U4236),N(U4236)+1))</f>
        <v>2</v>
      </c>
    </row>
    <row r="4238" customFormat="false" ht="15" hidden="false" customHeight="false" outlineLevel="0" collapsed="false">
      <c r="B4238" s="53"/>
      <c r="I4238" s="53"/>
      <c r="U4238" s="31" t="n">
        <f aca="false">IF($B4238&lt;&gt;'設定（最初に1回）'!$C$4,N(U4237),IF(COUNTIFS(①今日の在庫を貼る!$B$6:$B$10005,$B4238,①今日の在庫を貼る!$I$6:$I$10005,$I4238)&gt;0,N(U4237),N(U4237)+1))</f>
        <v>2</v>
      </c>
    </row>
    <row r="4239" customFormat="false" ht="15" hidden="false" customHeight="false" outlineLevel="0" collapsed="false">
      <c r="B4239" s="53"/>
      <c r="I4239" s="53"/>
      <c r="U4239" s="31" t="n">
        <f aca="false">IF($B4239&lt;&gt;'設定（最初に1回）'!$C$4,N(U4238),IF(COUNTIFS(①今日の在庫を貼る!$B$6:$B$10005,$B4239,①今日の在庫を貼る!$I$6:$I$10005,$I4239)&gt;0,N(U4238),N(U4238)+1))</f>
        <v>2</v>
      </c>
    </row>
    <row r="4240" customFormat="false" ht="15" hidden="false" customHeight="false" outlineLevel="0" collapsed="false">
      <c r="B4240" s="53"/>
      <c r="I4240" s="53"/>
      <c r="U4240" s="31" t="n">
        <f aca="false">IF($B4240&lt;&gt;'設定（最初に1回）'!$C$4,N(U4239),IF(COUNTIFS(①今日の在庫を貼る!$B$6:$B$10005,$B4240,①今日の在庫を貼る!$I$6:$I$10005,$I4240)&gt;0,N(U4239),N(U4239)+1))</f>
        <v>2</v>
      </c>
    </row>
    <row r="4241" customFormat="false" ht="15" hidden="false" customHeight="false" outlineLevel="0" collapsed="false">
      <c r="B4241" s="53"/>
      <c r="I4241" s="53"/>
      <c r="U4241" s="31" t="n">
        <f aca="false">IF($B4241&lt;&gt;'設定（最初に1回）'!$C$4,N(U4240),IF(COUNTIFS(①今日の在庫を貼る!$B$6:$B$10005,$B4241,①今日の在庫を貼る!$I$6:$I$10005,$I4241)&gt;0,N(U4240),N(U4240)+1))</f>
        <v>2</v>
      </c>
    </row>
    <row r="4242" customFormat="false" ht="15" hidden="false" customHeight="false" outlineLevel="0" collapsed="false">
      <c r="B4242" s="53"/>
      <c r="I4242" s="53"/>
      <c r="U4242" s="31" t="n">
        <f aca="false">IF($B4242&lt;&gt;'設定（最初に1回）'!$C$4,N(U4241),IF(COUNTIFS(①今日の在庫を貼る!$B$6:$B$10005,$B4242,①今日の在庫を貼る!$I$6:$I$10005,$I4242)&gt;0,N(U4241),N(U4241)+1))</f>
        <v>2</v>
      </c>
    </row>
    <row r="4243" customFormat="false" ht="15" hidden="false" customHeight="false" outlineLevel="0" collapsed="false">
      <c r="B4243" s="53"/>
      <c r="I4243" s="53"/>
      <c r="U4243" s="31" t="n">
        <f aca="false">IF($B4243&lt;&gt;'設定（最初に1回）'!$C$4,N(U4242),IF(COUNTIFS(①今日の在庫を貼る!$B$6:$B$10005,$B4243,①今日の在庫を貼る!$I$6:$I$10005,$I4243)&gt;0,N(U4242),N(U4242)+1))</f>
        <v>2</v>
      </c>
    </row>
    <row r="4244" customFormat="false" ht="15" hidden="false" customHeight="false" outlineLevel="0" collapsed="false">
      <c r="B4244" s="53"/>
      <c r="I4244" s="53"/>
      <c r="U4244" s="31" t="n">
        <f aca="false">IF($B4244&lt;&gt;'設定（最初に1回）'!$C$4,N(U4243),IF(COUNTIFS(①今日の在庫を貼る!$B$6:$B$10005,$B4244,①今日の在庫を貼る!$I$6:$I$10005,$I4244)&gt;0,N(U4243),N(U4243)+1))</f>
        <v>2</v>
      </c>
    </row>
    <row r="4245" customFormat="false" ht="15" hidden="false" customHeight="false" outlineLevel="0" collapsed="false">
      <c r="B4245" s="53"/>
      <c r="I4245" s="53"/>
      <c r="U4245" s="31" t="n">
        <f aca="false">IF($B4245&lt;&gt;'設定（最初に1回）'!$C$4,N(U4244),IF(COUNTIFS(①今日の在庫を貼る!$B$6:$B$10005,$B4245,①今日の在庫を貼る!$I$6:$I$10005,$I4245)&gt;0,N(U4244),N(U4244)+1))</f>
        <v>2</v>
      </c>
    </row>
    <row r="4246" customFormat="false" ht="15" hidden="false" customHeight="false" outlineLevel="0" collapsed="false">
      <c r="B4246" s="53"/>
      <c r="I4246" s="53"/>
      <c r="U4246" s="31" t="n">
        <f aca="false">IF($B4246&lt;&gt;'設定（最初に1回）'!$C$4,N(U4245),IF(COUNTIFS(①今日の在庫を貼る!$B$6:$B$10005,$B4246,①今日の在庫を貼る!$I$6:$I$10005,$I4246)&gt;0,N(U4245),N(U4245)+1))</f>
        <v>2</v>
      </c>
    </row>
    <row r="4247" customFormat="false" ht="15" hidden="false" customHeight="false" outlineLevel="0" collapsed="false">
      <c r="B4247" s="53"/>
      <c r="I4247" s="53"/>
      <c r="U4247" s="31" t="n">
        <f aca="false">IF($B4247&lt;&gt;'設定（最初に1回）'!$C$4,N(U4246),IF(COUNTIFS(①今日の在庫を貼る!$B$6:$B$10005,$B4247,①今日の在庫を貼る!$I$6:$I$10005,$I4247)&gt;0,N(U4246),N(U4246)+1))</f>
        <v>2</v>
      </c>
    </row>
    <row r="4248" customFormat="false" ht="15" hidden="false" customHeight="false" outlineLevel="0" collapsed="false">
      <c r="B4248" s="53"/>
      <c r="I4248" s="53"/>
      <c r="U4248" s="31" t="n">
        <f aca="false">IF($B4248&lt;&gt;'設定（最初に1回）'!$C$4,N(U4247),IF(COUNTIFS(①今日の在庫を貼る!$B$6:$B$10005,$B4248,①今日の在庫を貼る!$I$6:$I$10005,$I4248)&gt;0,N(U4247),N(U4247)+1))</f>
        <v>2</v>
      </c>
    </row>
    <row r="4249" customFormat="false" ht="15" hidden="false" customHeight="false" outlineLevel="0" collapsed="false">
      <c r="B4249" s="53"/>
      <c r="I4249" s="53"/>
      <c r="U4249" s="31" t="n">
        <f aca="false">IF($B4249&lt;&gt;'設定（最初に1回）'!$C$4,N(U4248),IF(COUNTIFS(①今日の在庫を貼る!$B$6:$B$10005,$B4249,①今日の在庫を貼る!$I$6:$I$10005,$I4249)&gt;0,N(U4248),N(U4248)+1))</f>
        <v>2</v>
      </c>
    </row>
    <row r="4250" customFormat="false" ht="15" hidden="false" customHeight="false" outlineLevel="0" collapsed="false">
      <c r="B4250" s="53"/>
      <c r="I4250" s="53"/>
      <c r="U4250" s="31" t="n">
        <f aca="false">IF($B4250&lt;&gt;'設定（最初に1回）'!$C$4,N(U4249),IF(COUNTIFS(①今日の在庫を貼る!$B$6:$B$10005,$B4250,①今日の在庫を貼る!$I$6:$I$10005,$I4250)&gt;0,N(U4249),N(U4249)+1))</f>
        <v>2</v>
      </c>
    </row>
    <row r="4251" customFormat="false" ht="15" hidden="false" customHeight="false" outlineLevel="0" collapsed="false">
      <c r="B4251" s="53"/>
      <c r="I4251" s="53"/>
      <c r="U4251" s="31" t="n">
        <f aca="false">IF($B4251&lt;&gt;'設定（最初に1回）'!$C$4,N(U4250),IF(COUNTIFS(①今日の在庫を貼る!$B$6:$B$10005,$B4251,①今日の在庫を貼る!$I$6:$I$10005,$I4251)&gt;0,N(U4250),N(U4250)+1))</f>
        <v>2</v>
      </c>
    </row>
    <row r="4252" customFormat="false" ht="15" hidden="false" customHeight="false" outlineLevel="0" collapsed="false">
      <c r="B4252" s="53"/>
      <c r="I4252" s="53"/>
      <c r="U4252" s="31" t="n">
        <f aca="false">IF($B4252&lt;&gt;'設定（最初に1回）'!$C$4,N(U4251),IF(COUNTIFS(①今日の在庫を貼る!$B$6:$B$10005,$B4252,①今日の在庫を貼る!$I$6:$I$10005,$I4252)&gt;0,N(U4251),N(U4251)+1))</f>
        <v>2</v>
      </c>
    </row>
    <row r="4253" customFormat="false" ht="15" hidden="false" customHeight="false" outlineLevel="0" collapsed="false">
      <c r="B4253" s="53"/>
      <c r="I4253" s="53"/>
      <c r="U4253" s="31" t="n">
        <f aca="false">IF($B4253&lt;&gt;'設定（最初に1回）'!$C$4,N(U4252),IF(COUNTIFS(①今日の在庫を貼る!$B$6:$B$10005,$B4253,①今日の在庫を貼る!$I$6:$I$10005,$I4253)&gt;0,N(U4252),N(U4252)+1))</f>
        <v>2</v>
      </c>
    </row>
    <row r="4254" customFormat="false" ht="15" hidden="false" customHeight="false" outlineLevel="0" collapsed="false">
      <c r="B4254" s="53"/>
      <c r="I4254" s="53"/>
      <c r="U4254" s="31" t="n">
        <f aca="false">IF($B4254&lt;&gt;'設定（最初に1回）'!$C$4,N(U4253),IF(COUNTIFS(①今日の在庫を貼る!$B$6:$B$10005,$B4254,①今日の在庫を貼る!$I$6:$I$10005,$I4254)&gt;0,N(U4253),N(U4253)+1))</f>
        <v>2</v>
      </c>
    </row>
    <row r="4255" customFormat="false" ht="15" hidden="false" customHeight="false" outlineLevel="0" collapsed="false">
      <c r="B4255" s="53"/>
      <c r="I4255" s="53"/>
      <c r="U4255" s="31" t="n">
        <f aca="false">IF($B4255&lt;&gt;'設定（最初に1回）'!$C$4,N(U4254),IF(COUNTIFS(①今日の在庫を貼る!$B$6:$B$10005,$B4255,①今日の在庫を貼る!$I$6:$I$10005,$I4255)&gt;0,N(U4254),N(U4254)+1))</f>
        <v>2</v>
      </c>
    </row>
    <row r="4256" customFormat="false" ht="15" hidden="false" customHeight="false" outlineLevel="0" collapsed="false">
      <c r="B4256" s="53"/>
      <c r="I4256" s="53"/>
      <c r="U4256" s="31" t="n">
        <f aca="false">IF($B4256&lt;&gt;'設定（最初に1回）'!$C$4,N(U4255),IF(COUNTIFS(①今日の在庫を貼る!$B$6:$B$10005,$B4256,①今日の在庫を貼る!$I$6:$I$10005,$I4256)&gt;0,N(U4255),N(U4255)+1))</f>
        <v>2</v>
      </c>
    </row>
    <row r="4257" customFormat="false" ht="15" hidden="false" customHeight="false" outlineLevel="0" collapsed="false">
      <c r="B4257" s="53"/>
      <c r="I4257" s="53"/>
      <c r="U4257" s="31" t="n">
        <f aca="false">IF($B4257&lt;&gt;'設定（最初に1回）'!$C$4,N(U4256),IF(COUNTIFS(①今日の在庫を貼る!$B$6:$B$10005,$B4257,①今日の在庫を貼る!$I$6:$I$10005,$I4257)&gt;0,N(U4256),N(U4256)+1))</f>
        <v>2</v>
      </c>
    </row>
    <row r="4258" customFormat="false" ht="15" hidden="false" customHeight="false" outlineLevel="0" collapsed="false">
      <c r="B4258" s="53"/>
      <c r="I4258" s="53"/>
      <c r="U4258" s="31" t="n">
        <f aca="false">IF($B4258&lt;&gt;'設定（最初に1回）'!$C$4,N(U4257),IF(COUNTIFS(①今日の在庫を貼る!$B$6:$B$10005,$B4258,①今日の在庫を貼る!$I$6:$I$10005,$I4258)&gt;0,N(U4257),N(U4257)+1))</f>
        <v>2</v>
      </c>
    </row>
    <row r="4259" customFormat="false" ht="15" hidden="false" customHeight="false" outlineLevel="0" collapsed="false">
      <c r="B4259" s="53"/>
      <c r="I4259" s="53"/>
      <c r="U4259" s="31" t="n">
        <f aca="false">IF($B4259&lt;&gt;'設定（最初に1回）'!$C$4,N(U4258),IF(COUNTIFS(①今日の在庫を貼る!$B$6:$B$10005,$B4259,①今日の在庫を貼る!$I$6:$I$10005,$I4259)&gt;0,N(U4258),N(U4258)+1))</f>
        <v>2</v>
      </c>
    </row>
    <row r="4260" customFormat="false" ht="15" hidden="false" customHeight="false" outlineLevel="0" collapsed="false">
      <c r="B4260" s="53"/>
      <c r="I4260" s="53"/>
      <c r="U4260" s="31" t="n">
        <f aca="false">IF($B4260&lt;&gt;'設定（最初に1回）'!$C$4,N(U4259),IF(COUNTIFS(①今日の在庫を貼る!$B$6:$B$10005,$B4260,①今日の在庫を貼る!$I$6:$I$10005,$I4260)&gt;0,N(U4259),N(U4259)+1))</f>
        <v>2</v>
      </c>
    </row>
    <row r="4261" customFormat="false" ht="15" hidden="false" customHeight="false" outlineLevel="0" collapsed="false">
      <c r="B4261" s="53"/>
      <c r="I4261" s="53"/>
      <c r="U4261" s="31" t="n">
        <f aca="false">IF($B4261&lt;&gt;'設定（最初に1回）'!$C$4,N(U4260),IF(COUNTIFS(①今日の在庫を貼る!$B$6:$B$10005,$B4261,①今日の在庫を貼る!$I$6:$I$10005,$I4261)&gt;0,N(U4260),N(U4260)+1))</f>
        <v>2</v>
      </c>
    </row>
    <row r="4262" customFormat="false" ht="15" hidden="false" customHeight="false" outlineLevel="0" collapsed="false">
      <c r="B4262" s="53"/>
      <c r="I4262" s="53"/>
      <c r="U4262" s="31" t="n">
        <f aca="false">IF($B4262&lt;&gt;'設定（最初に1回）'!$C$4,N(U4261),IF(COUNTIFS(①今日の在庫を貼る!$B$6:$B$10005,$B4262,①今日の在庫を貼る!$I$6:$I$10005,$I4262)&gt;0,N(U4261),N(U4261)+1))</f>
        <v>2</v>
      </c>
    </row>
    <row r="4263" customFormat="false" ht="15" hidden="false" customHeight="false" outlineLevel="0" collapsed="false">
      <c r="B4263" s="53"/>
      <c r="I4263" s="53"/>
      <c r="U4263" s="31" t="n">
        <f aca="false">IF($B4263&lt;&gt;'設定（最初に1回）'!$C$4,N(U4262),IF(COUNTIFS(①今日の在庫を貼る!$B$6:$B$10005,$B4263,①今日の在庫を貼る!$I$6:$I$10005,$I4263)&gt;0,N(U4262),N(U4262)+1))</f>
        <v>2</v>
      </c>
    </row>
    <row r="4264" customFormat="false" ht="15" hidden="false" customHeight="false" outlineLevel="0" collapsed="false">
      <c r="B4264" s="53"/>
      <c r="I4264" s="53"/>
      <c r="U4264" s="31" t="n">
        <f aca="false">IF($B4264&lt;&gt;'設定（最初に1回）'!$C$4,N(U4263),IF(COUNTIFS(①今日の在庫を貼る!$B$6:$B$10005,$B4264,①今日の在庫を貼る!$I$6:$I$10005,$I4264)&gt;0,N(U4263),N(U4263)+1))</f>
        <v>2</v>
      </c>
    </row>
    <row r="4265" customFormat="false" ht="15" hidden="false" customHeight="false" outlineLevel="0" collapsed="false">
      <c r="B4265" s="53"/>
      <c r="I4265" s="53"/>
      <c r="U4265" s="31" t="n">
        <f aca="false">IF($B4265&lt;&gt;'設定（最初に1回）'!$C$4,N(U4264),IF(COUNTIFS(①今日の在庫を貼る!$B$6:$B$10005,$B4265,①今日の在庫を貼る!$I$6:$I$10005,$I4265)&gt;0,N(U4264),N(U4264)+1))</f>
        <v>2</v>
      </c>
    </row>
    <row r="4266" customFormat="false" ht="15" hidden="false" customHeight="false" outlineLevel="0" collapsed="false">
      <c r="B4266" s="53"/>
      <c r="I4266" s="53"/>
      <c r="U4266" s="31" t="n">
        <f aca="false">IF($B4266&lt;&gt;'設定（最初に1回）'!$C$4,N(U4265),IF(COUNTIFS(①今日の在庫を貼る!$B$6:$B$10005,$B4266,①今日の在庫を貼る!$I$6:$I$10005,$I4266)&gt;0,N(U4265),N(U4265)+1))</f>
        <v>2</v>
      </c>
    </row>
    <row r="4267" customFormat="false" ht="15" hidden="false" customHeight="false" outlineLevel="0" collapsed="false">
      <c r="B4267" s="53"/>
      <c r="I4267" s="53"/>
      <c r="U4267" s="31" t="n">
        <f aca="false">IF($B4267&lt;&gt;'設定（最初に1回）'!$C$4,N(U4266),IF(COUNTIFS(①今日の在庫を貼る!$B$6:$B$10005,$B4267,①今日の在庫を貼る!$I$6:$I$10005,$I4267)&gt;0,N(U4266),N(U4266)+1))</f>
        <v>2</v>
      </c>
    </row>
    <row r="4268" customFormat="false" ht="15" hidden="false" customHeight="false" outlineLevel="0" collapsed="false">
      <c r="B4268" s="53"/>
      <c r="I4268" s="53"/>
      <c r="U4268" s="31" t="n">
        <f aca="false">IF($B4268&lt;&gt;'設定（最初に1回）'!$C$4,N(U4267),IF(COUNTIFS(①今日の在庫を貼る!$B$6:$B$10005,$B4268,①今日の在庫を貼る!$I$6:$I$10005,$I4268)&gt;0,N(U4267),N(U4267)+1))</f>
        <v>2</v>
      </c>
    </row>
    <row r="4269" customFormat="false" ht="15" hidden="false" customHeight="false" outlineLevel="0" collapsed="false">
      <c r="B4269" s="53"/>
      <c r="I4269" s="53"/>
      <c r="U4269" s="31" t="n">
        <f aca="false">IF($B4269&lt;&gt;'設定（最初に1回）'!$C$4,N(U4268),IF(COUNTIFS(①今日の在庫を貼る!$B$6:$B$10005,$B4269,①今日の在庫を貼る!$I$6:$I$10005,$I4269)&gt;0,N(U4268),N(U4268)+1))</f>
        <v>2</v>
      </c>
    </row>
    <row r="4270" customFormat="false" ht="15" hidden="false" customHeight="false" outlineLevel="0" collapsed="false">
      <c r="B4270" s="53"/>
      <c r="I4270" s="53"/>
      <c r="U4270" s="31" t="n">
        <f aca="false">IF($B4270&lt;&gt;'設定（最初に1回）'!$C$4,N(U4269),IF(COUNTIFS(①今日の在庫を貼る!$B$6:$B$10005,$B4270,①今日の在庫を貼る!$I$6:$I$10005,$I4270)&gt;0,N(U4269),N(U4269)+1))</f>
        <v>2</v>
      </c>
    </row>
    <row r="4271" customFormat="false" ht="15" hidden="false" customHeight="false" outlineLevel="0" collapsed="false">
      <c r="B4271" s="53"/>
      <c r="I4271" s="53"/>
      <c r="U4271" s="31" t="n">
        <f aca="false">IF($B4271&lt;&gt;'設定（最初に1回）'!$C$4,N(U4270),IF(COUNTIFS(①今日の在庫を貼る!$B$6:$B$10005,$B4271,①今日の在庫を貼る!$I$6:$I$10005,$I4271)&gt;0,N(U4270),N(U4270)+1))</f>
        <v>2</v>
      </c>
    </row>
    <row r="4272" customFormat="false" ht="15" hidden="false" customHeight="false" outlineLevel="0" collapsed="false">
      <c r="B4272" s="53"/>
      <c r="I4272" s="53"/>
      <c r="U4272" s="31" t="n">
        <f aca="false">IF($B4272&lt;&gt;'設定（最初に1回）'!$C$4,N(U4271),IF(COUNTIFS(①今日の在庫を貼る!$B$6:$B$10005,$B4272,①今日の在庫を貼る!$I$6:$I$10005,$I4272)&gt;0,N(U4271),N(U4271)+1))</f>
        <v>2</v>
      </c>
    </row>
    <row r="4273" customFormat="false" ht="15" hidden="false" customHeight="false" outlineLevel="0" collapsed="false">
      <c r="B4273" s="53"/>
      <c r="I4273" s="53"/>
      <c r="U4273" s="31" t="n">
        <f aca="false">IF($B4273&lt;&gt;'設定（最初に1回）'!$C$4,N(U4272),IF(COUNTIFS(①今日の在庫を貼る!$B$6:$B$10005,$B4273,①今日の在庫を貼る!$I$6:$I$10005,$I4273)&gt;0,N(U4272),N(U4272)+1))</f>
        <v>2</v>
      </c>
    </row>
    <row r="4274" customFormat="false" ht="15" hidden="false" customHeight="false" outlineLevel="0" collapsed="false">
      <c r="B4274" s="53"/>
      <c r="I4274" s="53"/>
      <c r="U4274" s="31" t="n">
        <f aca="false">IF($B4274&lt;&gt;'設定（最初に1回）'!$C$4,N(U4273),IF(COUNTIFS(①今日の在庫を貼る!$B$6:$B$10005,$B4274,①今日の在庫を貼る!$I$6:$I$10005,$I4274)&gt;0,N(U4273),N(U4273)+1))</f>
        <v>2</v>
      </c>
    </row>
    <row r="4275" customFormat="false" ht="15" hidden="false" customHeight="false" outlineLevel="0" collapsed="false">
      <c r="B4275" s="53"/>
      <c r="I4275" s="53"/>
      <c r="U4275" s="31" t="n">
        <f aca="false">IF($B4275&lt;&gt;'設定（最初に1回）'!$C$4,N(U4274),IF(COUNTIFS(①今日の在庫を貼る!$B$6:$B$10005,$B4275,①今日の在庫を貼る!$I$6:$I$10005,$I4275)&gt;0,N(U4274),N(U4274)+1))</f>
        <v>2</v>
      </c>
    </row>
    <row r="4276" customFormat="false" ht="15" hidden="false" customHeight="false" outlineLevel="0" collapsed="false">
      <c r="B4276" s="53"/>
      <c r="I4276" s="53"/>
      <c r="U4276" s="31" t="n">
        <f aca="false">IF($B4276&lt;&gt;'設定（最初に1回）'!$C$4,N(U4275),IF(COUNTIFS(①今日の在庫を貼る!$B$6:$B$10005,$B4276,①今日の在庫を貼る!$I$6:$I$10005,$I4276)&gt;0,N(U4275),N(U4275)+1))</f>
        <v>2</v>
      </c>
    </row>
    <row r="4277" customFormat="false" ht="15" hidden="false" customHeight="false" outlineLevel="0" collapsed="false">
      <c r="B4277" s="53"/>
      <c r="I4277" s="53"/>
      <c r="U4277" s="31" t="n">
        <f aca="false">IF($B4277&lt;&gt;'設定（最初に1回）'!$C$4,N(U4276),IF(COUNTIFS(①今日の在庫を貼る!$B$6:$B$10005,$B4277,①今日の在庫を貼る!$I$6:$I$10005,$I4277)&gt;0,N(U4276),N(U4276)+1))</f>
        <v>2</v>
      </c>
    </row>
    <row r="4278" customFormat="false" ht="15" hidden="false" customHeight="false" outlineLevel="0" collapsed="false">
      <c r="B4278" s="53"/>
      <c r="I4278" s="53"/>
      <c r="U4278" s="31" t="n">
        <f aca="false">IF($B4278&lt;&gt;'設定（最初に1回）'!$C$4,N(U4277),IF(COUNTIFS(①今日の在庫を貼る!$B$6:$B$10005,$B4278,①今日の在庫を貼る!$I$6:$I$10005,$I4278)&gt;0,N(U4277),N(U4277)+1))</f>
        <v>2</v>
      </c>
    </row>
    <row r="4279" customFormat="false" ht="15" hidden="false" customHeight="false" outlineLevel="0" collapsed="false">
      <c r="B4279" s="53"/>
      <c r="I4279" s="53"/>
      <c r="U4279" s="31" t="n">
        <f aca="false">IF($B4279&lt;&gt;'設定（最初に1回）'!$C$4,N(U4278),IF(COUNTIFS(①今日の在庫を貼る!$B$6:$B$10005,$B4279,①今日の在庫を貼る!$I$6:$I$10005,$I4279)&gt;0,N(U4278),N(U4278)+1))</f>
        <v>2</v>
      </c>
    </row>
    <row r="4280" customFormat="false" ht="15" hidden="false" customHeight="false" outlineLevel="0" collapsed="false">
      <c r="B4280" s="53"/>
      <c r="I4280" s="53"/>
      <c r="U4280" s="31" t="n">
        <f aca="false">IF($B4280&lt;&gt;'設定（最初に1回）'!$C$4,N(U4279),IF(COUNTIFS(①今日の在庫を貼る!$B$6:$B$10005,$B4280,①今日の在庫を貼る!$I$6:$I$10005,$I4280)&gt;0,N(U4279),N(U4279)+1))</f>
        <v>2</v>
      </c>
    </row>
    <row r="4281" customFormat="false" ht="15" hidden="false" customHeight="false" outlineLevel="0" collapsed="false">
      <c r="B4281" s="53"/>
      <c r="I4281" s="53"/>
      <c r="U4281" s="31" t="n">
        <f aca="false">IF($B4281&lt;&gt;'設定（最初に1回）'!$C$4,N(U4280),IF(COUNTIFS(①今日の在庫を貼る!$B$6:$B$10005,$B4281,①今日の在庫を貼る!$I$6:$I$10005,$I4281)&gt;0,N(U4280),N(U4280)+1))</f>
        <v>2</v>
      </c>
    </row>
    <row r="4282" customFormat="false" ht="15" hidden="false" customHeight="false" outlineLevel="0" collapsed="false">
      <c r="B4282" s="53"/>
      <c r="I4282" s="53"/>
      <c r="U4282" s="31" t="n">
        <f aca="false">IF($B4282&lt;&gt;'設定（最初に1回）'!$C$4,N(U4281),IF(COUNTIFS(①今日の在庫を貼る!$B$6:$B$10005,$B4282,①今日の在庫を貼る!$I$6:$I$10005,$I4282)&gt;0,N(U4281),N(U4281)+1))</f>
        <v>2</v>
      </c>
    </row>
    <row r="4283" customFormat="false" ht="15" hidden="false" customHeight="false" outlineLevel="0" collapsed="false">
      <c r="B4283" s="53"/>
      <c r="I4283" s="53"/>
      <c r="U4283" s="31" t="n">
        <f aca="false">IF($B4283&lt;&gt;'設定（最初に1回）'!$C$4,N(U4282),IF(COUNTIFS(①今日の在庫を貼る!$B$6:$B$10005,$B4283,①今日の在庫を貼る!$I$6:$I$10005,$I4283)&gt;0,N(U4282),N(U4282)+1))</f>
        <v>2</v>
      </c>
    </row>
    <row r="4284" customFormat="false" ht="15" hidden="false" customHeight="false" outlineLevel="0" collapsed="false">
      <c r="B4284" s="53"/>
      <c r="I4284" s="53"/>
      <c r="U4284" s="31" t="n">
        <f aca="false">IF($B4284&lt;&gt;'設定（最初に1回）'!$C$4,N(U4283),IF(COUNTIFS(①今日の在庫を貼る!$B$6:$B$10005,$B4284,①今日の在庫を貼る!$I$6:$I$10005,$I4284)&gt;0,N(U4283),N(U4283)+1))</f>
        <v>2</v>
      </c>
    </row>
    <row r="4285" customFormat="false" ht="15" hidden="false" customHeight="false" outlineLevel="0" collapsed="false">
      <c r="B4285" s="53"/>
      <c r="I4285" s="53"/>
      <c r="U4285" s="31" t="n">
        <f aca="false">IF($B4285&lt;&gt;'設定（最初に1回）'!$C$4,N(U4284),IF(COUNTIFS(①今日の在庫を貼る!$B$6:$B$10005,$B4285,①今日の在庫を貼る!$I$6:$I$10005,$I4285)&gt;0,N(U4284),N(U4284)+1))</f>
        <v>2</v>
      </c>
    </row>
    <row r="4286" customFormat="false" ht="15" hidden="false" customHeight="false" outlineLevel="0" collapsed="false">
      <c r="B4286" s="53"/>
      <c r="I4286" s="53"/>
      <c r="U4286" s="31" t="n">
        <f aca="false">IF($B4286&lt;&gt;'設定（最初に1回）'!$C$4,N(U4285),IF(COUNTIFS(①今日の在庫を貼る!$B$6:$B$10005,$B4286,①今日の在庫を貼る!$I$6:$I$10005,$I4286)&gt;0,N(U4285),N(U4285)+1))</f>
        <v>2</v>
      </c>
    </row>
    <row r="4287" customFormat="false" ht="15" hidden="false" customHeight="false" outlineLevel="0" collapsed="false">
      <c r="B4287" s="53"/>
      <c r="I4287" s="53"/>
      <c r="U4287" s="31" t="n">
        <f aca="false">IF($B4287&lt;&gt;'設定（最初に1回）'!$C$4,N(U4286),IF(COUNTIFS(①今日の在庫を貼る!$B$6:$B$10005,$B4287,①今日の在庫を貼る!$I$6:$I$10005,$I4287)&gt;0,N(U4286),N(U4286)+1))</f>
        <v>2</v>
      </c>
    </row>
    <row r="4288" customFormat="false" ht="15" hidden="false" customHeight="false" outlineLevel="0" collapsed="false">
      <c r="B4288" s="53"/>
      <c r="I4288" s="53"/>
      <c r="U4288" s="31" t="n">
        <f aca="false">IF($B4288&lt;&gt;'設定（最初に1回）'!$C$4,N(U4287),IF(COUNTIFS(①今日の在庫を貼る!$B$6:$B$10005,$B4288,①今日の在庫を貼る!$I$6:$I$10005,$I4288)&gt;0,N(U4287),N(U4287)+1))</f>
        <v>2</v>
      </c>
    </row>
    <row r="4289" customFormat="false" ht="15" hidden="false" customHeight="false" outlineLevel="0" collapsed="false">
      <c r="B4289" s="53"/>
      <c r="I4289" s="53"/>
      <c r="U4289" s="31" t="n">
        <f aca="false">IF($B4289&lt;&gt;'設定（最初に1回）'!$C$4,N(U4288),IF(COUNTIFS(①今日の在庫を貼る!$B$6:$B$10005,$B4289,①今日の在庫を貼る!$I$6:$I$10005,$I4289)&gt;0,N(U4288),N(U4288)+1))</f>
        <v>2</v>
      </c>
    </row>
    <row r="4290" customFormat="false" ht="15" hidden="false" customHeight="false" outlineLevel="0" collapsed="false">
      <c r="B4290" s="53"/>
      <c r="I4290" s="53"/>
      <c r="U4290" s="31" t="n">
        <f aca="false">IF($B4290&lt;&gt;'設定（最初に1回）'!$C$4,N(U4289),IF(COUNTIFS(①今日の在庫を貼る!$B$6:$B$10005,$B4290,①今日の在庫を貼る!$I$6:$I$10005,$I4290)&gt;0,N(U4289),N(U4289)+1))</f>
        <v>2</v>
      </c>
    </row>
    <row r="4291" customFormat="false" ht="15" hidden="false" customHeight="false" outlineLevel="0" collapsed="false">
      <c r="B4291" s="53"/>
      <c r="I4291" s="53"/>
      <c r="U4291" s="31" t="n">
        <f aca="false">IF($B4291&lt;&gt;'設定（最初に1回）'!$C$4,N(U4290),IF(COUNTIFS(①今日の在庫を貼る!$B$6:$B$10005,$B4291,①今日の在庫を貼る!$I$6:$I$10005,$I4291)&gt;0,N(U4290),N(U4290)+1))</f>
        <v>2</v>
      </c>
    </row>
    <row r="4292" customFormat="false" ht="15" hidden="false" customHeight="false" outlineLevel="0" collapsed="false">
      <c r="B4292" s="53"/>
      <c r="I4292" s="53"/>
      <c r="U4292" s="31" t="n">
        <f aca="false">IF($B4292&lt;&gt;'設定（最初に1回）'!$C$4,N(U4291),IF(COUNTIFS(①今日の在庫を貼る!$B$6:$B$10005,$B4292,①今日の在庫を貼る!$I$6:$I$10005,$I4292)&gt;0,N(U4291),N(U4291)+1))</f>
        <v>2</v>
      </c>
    </row>
    <row r="4293" customFormat="false" ht="15" hidden="false" customHeight="false" outlineLevel="0" collapsed="false">
      <c r="B4293" s="53"/>
      <c r="I4293" s="53"/>
      <c r="U4293" s="31" t="n">
        <f aca="false">IF($B4293&lt;&gt;'設定（最初に1回）'!$C$4,N(U4292),IF(COUNTIFS(①今日の在庫を貼る!$B$6:$B$10005,$B4293,①今日の在庫を貼る!$I$6:$I$10005,$I4293)&gt;0,N(U4292),N(U4292)+1))</f>
        <v>2</v>
      </c>
    </row>
    <row r="4294" customFormat="false" ht="15" hidden="false" customHeight="false" outlineLevel="0" collapsed="false">
      <c r="B4294" s="53"/>
      <c r="I4294" s="53"/>
      <c r="U4294" s="31" t="n">
        <f aca="false">IF($B4294&lt;&gt;'設定（最初に1回）'!$C$4,N(U4293),IF(COUNTIFS(①今日の在庫を貼る!$B$6:$B$10005,$B4294,①今日の在庫を貼る!$I$6:$I$10005,$I4294)&gt;0,N(U4293),N(U4293)+1))</f>
        <v>2</v>
      </c>
    </row>
    <row r="4295" customFormat="false" ht="15" hidden="false" customHeight="false" outlineLevel="0" collapsed="false">
      <c r="B4295" s="53"/>
      <c r="I4295" s="53"/>
      <c r="U4295" s="31" t="n">
        <f aca="false">IF($B4295&lt;&gt;'設定（最初に1回）'!$C$4,N(U4294),IF(COUNTIFS(①今日の在庫を貼る!$B$6:$B$10005,$B4295,①今日の在庫を貼る!$I$6:$I$10005,$I4295)&gt;0,N(U4294),N(U4294)+1))</f>
        <v>2</v>
      </c>
    </row>
    <row r="4296" customFormat="false" ht="15" hidden="false" customHeight="false" outlineLevel="0" collapsed="false">
      <c r="B4296" s="53"/>
      <c r="I4296" s="53"/>
      <c r="U4296" s="31" t="n">
        <f aca="false">IF($B4296&lt;&gt;'設定（最初に1回）'!$C$4,N(U4295),IF(COUNTIFS(①今日の在庫を貼る!$B$6:$B$10005,$B4296,①今日の在庫を貼る!$I$6:$I$10005,$I4296)&gt;0,N(U4295),N(U4295)+1))</f>
        <v>2</v>
      </c>
    </row>
    <row r="4297" customFormat="false" ht="15" hidden="false" customHeight="false" outlineLevel="0" collapsed="false">
      <c r="B4297" s="53"/>
      <c r="I4297" s="53"/>
      <c r="U4297" s="31" t="n">
        <f aca="false">IF($B4297&lt;&gt;'設定（最初に1回）'!$C$4,N(U4296),IF(COUNTIFS(①今日の在庫を貼る!$B$6:$B$10005,$B4297,①今日の在庫を貼る!$I$6:$I$10005,$I4297)&gt;0,N(U4296),N(U4296)+1))</f>
        <v>2</v>
      </c>
    </row>
    <row r="4298" customFormat="false" ht="15" hidden="false" customHeight="false" outlineLevel="0" collapsed="false">
      <c r="B4298" s="53"/>
      <c r="I4298" s="53"/>
      <c r="U4298" s="31" t="n">
        <f aca="false">IF($B4298&lt;&gt;'設定（最初に1回）'!$C$4,N(U4297),IF(COUNTIFS(①今日の在庫を貼る!$B$6:$B$10005,$B4298,①今日の在庫を貼る!$I$6:$I$10005,$I4298)&gt;0,N(U4297),N(U4297)+1))</f>
        <v>2</v>
      </c>
    </row>
    <row r="4299" customFormat="false" ht="15" hidden="false" customHeight="false" outlineLevel="0" collapsed="false">
      <c r="B4299" s="53"/>
      <c r="I4299" s="53"/>
      <c r="U4299" s="31" t="n">
        <f aca="false">IF($B4299&lt;&gt;'設定（最初に1回）'!$C$4,N(U4298),IF(COUNTIFS(①今日の在庫を貼る!$B$6:$B$10005,$B4299,①今日の在庫を貼る!$I$6:$I$10005,$I4299)&gt;0,N(U4298),N(U4298)+1))</f>
        <v>2</v>
      </c>
    </row>
    <row r="4300" customFormat="false" ht="15" hidden="false" customHeight="false" outlineLevel="0" collapsed="false">
      <c r="B4300" s="53"/>
      <c r="I4300" s="53"/>
      <c r="U4300" s="31" t="n">
        <f aca="false">IF($B4300&lt;&gt;'設定（最初に1回）'!$C$4,N(U4299),IF(COUNTIFS(①今日の在庫を貼る!$B$6:$B$10005,$B4300,①今日の在庫を貼る!$I$6:$I$10005,$I4300)&gt;0,N(U4299),N(U4299)+1))</f>
        <v>2</v>
      </c>
    </row>
    <row r="4301" customFormat="false" ht="15" hidden="false" customHeight="false" outlineLevel="0" collapsed="false">
      <c r="B4301" s="53"/>
      <c r="I4301" s="53"/>
      <c r="U4301" s="31" t="n">
        <f aca="false">IF($B4301&lt;&gt;'設定（最初に1回）'!$C$4,N(U4300),IF(COUNTIFS(①今日の在庫を貼る!$B$6:$B$10005,$B4301,①今日の在庫を貼る!$I$6:$I$10005,$I4301)&gt;0,N(U4300),N(U4300)+1))</f>
        <v>2</v>
      </c>
    </row>
    <row r="4302" customFormat="false" ht="15" hidden="false" customHeight="false" outlineLevel="0" collapsed="false">
      <c r="B4302" s="53"/>
      <c r="I4302" s="53"/>
      <c r="U4302" s="31" t="n">
        <f aca="false">IF($B4302&lt;&gt;'設定（最初に1回）'!$C$4,N(U4301),IF(COUNTIFS(①今日の在庫を貼る!$B$6:$B$10005,$B4302,①今日の在庫を貼る!$I$6:$I$10005,$I4302)&gt;0,N(U4301),N(U4301)+1))</f>
        <v>2</v>
      </c>
    </row>
    <row r="4303" customFormat="false" ht="15" hidden="false" customHeight="false" outlineLevel="0" collapsed="false">
      <c r="B4303" s="53"/>
      <c r="I4303" s="53"/>
      <c r="U4303" s="31" t="n">
        <f aca="false">IF($B4303&lt;&gt;'設定（最初に1回）'!$C$4,N(U4302),IF(COUNTIFS(①今日の在庫を貼る!$B$6:$B$10005,$B4303,①今日の在庫を貼る!$I$6:$I$10005,$I4303)&gt;0,N(U4302),N(U4302)+1))</f>
        <v>2</v>
      </c>
    </row>
    <row r="4304" customFormat="false" ht="15" hidden="false" customHeight="false" outlineLevel="0" collapsed="false">
      <c r="B4304" s="53"/>
      <c r="I4304" s="53"/>
      <c r="U4304" s="31" t="n">
        <f aca="false">IF($B4304&lt;&gt;'設定（最初に1回）'!$C$4,N(U4303),IF(COUNTIFS(①今日の在庫を貼る!$B$6:$B$10005,$B4304,①今日の在庫を貼る!$I$6:$I$10005,$I4304)&gt;0,N(U4303),N(U4303)+1))</f>
        <v>2</v>
      </c>
    </row>
    <row r="4305" customFormat="false" ht="15" hidden="false" customHeight="false" outlineLevel="0" collapsed="false">
      <c r="B4305" s="53"/>
      <c r="I4305" s="53"/>
      <c r="U4305" s="31" t="n">
        <f aca="false">IF($B4305&lt;&gt;'設定（最初に1回）'!$C$4,N(U4304),IF(COUNTIFS(①今日の在庫を貼る!$B$6:$B$10005,$B4305,①今日の在庫を貼る!$I$6:$I$10005,$I4305)&gt;0,N(U4304),N(U4304)+1))</f>
        <v>2</v>
      </c>
    </row>
    <row r="4306" customFormat="false" ht="15" hidden="false" customHeight="false" outlineLevel="0" collapsed="false">
      <c r="B4306" s="53"/>
      <c r="I4306" s="53"/>
      <c r="U4306" s="31" t="n">
        <f aca="false">IF($B4306&lt;&gt;'設定（最初に1回）'!$C$4,N(U4305),IF(COUNTIFS(①今日の在庫を貼る!$B$6:$B$10005,$B4306,①今日の在庫を貼る!$I$6:$I$10005,$I4306)&gt;0,N(U4305),N(U4305)+1))</f>
        <v>2</v>
      </c>
    </row>
    <row r="4307" customFormat="false" ht="15" hidden="false" customHeight="false" outlineLevel="0" collapsed="false">
      <c r="B4307" s="53"/>
      <c r="I4307" s="53"/>
      <c r="U4307" s="31" t="n">
        <f aca="false">IF($B4307&lt;&gt;'設定（最初に1回）'!$C$4,N(U4306),IF(COUNTIFS(①今日の在庫を貼る!$B$6:$B$10005,$B4307,①今日の在庫を貼る!$I$6:$I$10005,$I4307)&gt;0,N(U4306),N(U4306)+1))</f>
        <v>2</v>
      </c>
    </row>
    <row r="4308" customFormat="false" ht="15" hidden="false" customHeight="false" outlineLevel="0" collapsed="false">
      <c r="B4308" s="53"/>
      <c r="I4308" s="53"/>
      <c r="U4308" s="31" t="n">
        <f aca="false">IF($B4308&lt;&gt;'設定（最初に1回）'!$C$4,N(U4307),IF(COUNTIFS(①今日の在庫を貼る!$B$6:$B$10005,$B4308,①今日の在庫を貼る!$I$6:$I$10005,$I4308)&gt;0,N(U4307),N(U4307)+1))</f>
        <v>2</v>
      </c>
    </row>
    <row r="4309" customFormat="false" ht="15" hidden="false" customHeight="false" outlineLevel="0" collapsed="false">
      <c r="B4309" s="53"/>
      <c r="I4309" s="53"/>
      <c r="U4309" s="31" t="n">
        <f aca="false">IF($B4309&lt;&gt;'設定（最初に1回）'!$C$4,N(U4308),IF(COUNTIFS(①今日の在庫を貼る!$B$6:$B$10005,$B4309,①今日の在庫を貼る!$I$6:$I$10005,$I4309)&gt;0,N(U4308),N(U4308)+1))</f>
        <v>2</v>
      </c>
    </row>
    <row r="4310" customFormat="false" ht="15" hidden="false" customHeight="false" outlineLevel="0" collapsed="false">
      <c r="B4310" s="53"/>
      <c r="I4310" s="53"/>
      <c r="U4310" s="31" t="n">
        <f aca="false">IF($B4310&lt;&gt;'設定（最初に1回）'!$C$4,N(U4309),IF(COUNTIFS(①今日の在庫を貼る!$B$6:$B$10005,$B4310,①今日の在庫を貼る!$I$6:$I$10005,$I4310)&gt;0,N(U4309),N(U4309)+1))</f>
        <v>2</v>
      </c>
    </row>
    <row r="4311" customFormat="false" ht="15" hidden="false" customHeight="false" outlineLevel="0" collapsed="false">
      <c r="B4311" s="53"/>
      <c r="I4311" s="53"/>
      <c r="U4311" s="31" t="n">
        <f aca="false">IF($B4311&lt;&gt;'設定（最初に1回）'!$C$4,N(U4310),IF(COUNTIFS(①今日の在庫を貼る!$B$6:$B$10005,$B4311,①今日の在庫を貼る!$I$6:$I$10005,$I4311)&gt;0,N(U4310),N(U4310)+1))</f>
        <v>2</v>
      </c>
    </row>
    <row r="4312" customFormat="false" ht="15" hidden="false" customHeight="false" outlineLevel="0" collapsed="false">
      <c r="B4312" s="53"/>
      <c r="I4312" s="53"/>
      <c r="U4312" s="31" t="n">
        <f aca="false">IF($B4312&lt;&gt;'設定（最初に1回）'!$C$4,N(U4311),IF(COUNTIFS(①今日の在庫を貼る!$B$6:$B$10005,$B4312,①今日の在庫を貼る!$I$6:$I$10005,$I4312)&gt;0,N(U4311),N(U4311)+1))</f>
        <v>2</v>
      </c>
    </row>
    <row r="4313" customFormat="false" ht="15" hidden="false" customHeight="false" outlineLevel="0" collapsed="false">
      <c r="B4313" s="53"/>
      <c r="I4313" s="53"/>
      <c r="U4313" s="31" t="n">
        <f aca="false">IF($B4313&lt;&gt;'設定（最初に1回）'!$C$4,N(U4312),IF(COUNTIFS(①今日の在庫を貼る!$B$6:$B$10005,$B4313,①今日の在庫を貼る!$I$6:$I$10005,$I4313)&gt;0,N(U4312),N(U4312)+1))</f>
        <v>2</v>
      </c>
    </row>
    <row r="4314" customFormat="false" ht="15" hidden="false" customHeight="false" outlineLevel="0" collapsed="false">
      <c r="B4314" s="53"/>
      <c r="I4314" s="53"/>
      <c r="U4314" s="31" t="n">
        <f aca="false">IF($B4314&lt;&gt;'設定（最初に1回）'!$C$4,N(U4313),IF(COUNTIFS(①今日の在庫を貼る!$B$6:$B$10005,$B4314,①今日の在庫を貼る!$I$6:$I$10005,$I4314)&gt;0,N(U4313),N(U4313)+1))</f>
        <v>2</v>
      </c>
    </row>
    <row r="4315" customFormat="false" ht="15" hidden="false" customHeight="false" outlineLevel="0" collapsed="false">
      <c r="B4315" s="53"/>
      <c r="I4315" s="53"/>
      <c r="U4315" s="31" t="n">
        <f aca="false">IF($B4315&lt;&gt;'設定（最初に1回）'!$C$4,N(U4314),IF(COUNTIFS(①今日の在庫を貼る!$B$6:$B$10005,$B4315,①今日の在庫を貼る!$I$6:$I$10005,$I4315)&gt;0,N(U4314),N(U4314)+1))</f>
        <v>2</v>
      </c>
    </row>
    <row r="4316" customFormat="false" ht="15" hidden="false" customHeight="false" outlineLevel="0" collapsed="false">
      <c r="B4316" s="53"/>
      <c r="I4316" s="53"/>
      <c r="U4316" s="31" t="n">
        <f aca="false">IF($B4316&lt;&gt;'設定（最初に1回）'!$C$4,N(U4315),IF(COUNTIFS(①今日の在庫を貼る!$B$6:$B$10005,$B4316,①今日の在庫を貼る!$I$6:$I$10005,$I4316)&gt;0,N(U4315),N(U4315)+1))</f>
        <v>2</v>
      </c>
    </row>
    <row r="4317" customFormat="false" ht="15" hidden="false" customHeight="false" outlineLevel="0" collapsed="false">
      <c r="B4317" s="53"/>
      <c r="I4317" s="53"/>
      <c r="U4317" s="31" t="n">
        <f aca="false">IF($B4317&lt;&gt;'設定（最初に1回）'!$C$4,N(U4316),IF(COUNTIFS(①今日の在庫を貼る!$B$6:$B$10005,$B4317,①今日の在庫を貼る!$I$6:$I$10005,$I4317)&gt;0,N(U4316),N(U4316)+1))</f>
        <v>2</v>
      </c>
    </row>
    <row r="4318" customFormat="false" ht="15" hidden="false" customHeight="false" outlineLevel="0" collapsed="false">
      <c r="B4318" s="53"/>
      <c r="I4318" s="53"/>
      <c r="U4318" s="31" t="n">
        <f aca="false">IF($B4318&lt;&gt;'設定（最初に1回）'!$C$4,N(U4317),IF(COUNTIFS(①今日の在庫を貼る!$B$6:$B$10005,$B4318,①今日の在庫を貼る!$I$6:$I$10005,$I4318)&gt;0,N(U4317),N(U4317)+1))</f>
        <v>2</v>
      </c>
    </row>
    <row r="4319" customFormat="false" ht="15" hidden="false" customHeight="false" outlineLevel="0" collapsed="false">
      <c r="B4319" s="53"/>
      <c r="I4319" s="53"/>
      <c r="U4319" s="31" t="n">
        <f aca="false">IF($B4319&lt;&gt;'設定（最初に1回）'!$C$4,N(U4318),IF(COUNTIFS(①今日の在庫を貼る!$B$6:$B$10005,$B4319,①今日の在庫を貼る!$I$6:$I$10005,$I4319)&gt;0,N(U4318),N(U4318)+1))</f>
        <v>2</v>
      </c>
    </row>
    <row r="4320" customFormat="false" ht="15" hidden="false" customHeight="false" outlineLevel="0" collapsed="false">
      <c r="B4320" s="53"/>
      <c r="I4320" s="53"/>
      <c r="U4320" s="31" t="n">
        <f aca="false">IF($B4320&lt;&gt;'設定（最初に1回）'!$C$4,N(U4319),IF(COUNTIFS(①今日の在庫を貼る!$B$6:$B$10005,$B4320,①今日の在庫を貼る!$I$6:$I$10005,$I4320)&gt;0,N(U4319),N(U4319)+1))</f>
        <v>2</v>
      </c>
    </row>
    <row r="4321" customFormat="false" ht="15" hidden="false" customHeight="false" outlineLevel="0" collapsed="false">
      <c r="B4321" s="53"/>
      <c r="I4321" s="53"/>
      <c r="U4321" s="31" t="n">
        <f aca="false">IF($B4321&lt;&gt;'設定（最初に1回）'!$C$4,N(U4320),IF(COUNTIFS(①今日の在庫を貼る!$B$6:$B$10005,$B4321,①今日の在庫を貼る!$I$6:$I$10005,$I4321)&gt;0,N(U4320),N(U4320)+1))</f>
        <v>2</v>
      </c>
    </row>
    <row r="4322" customFormat="false" ht="15" hidden="false" customHeight="false" outlineLevel="0" collapsed="false">
      <c r="B4322" s="53"/>
      <c r="I4322" s="53"/>
      <c r="U4322" s="31" t="n">
        <f aca="false">IF($B4322&lt;&gt;'設定（最初に1回）'!$C$4,N(U4321),IF(COUNTIFS(①今日の在庫を貼る!$B$6:$B$10005,$B4322,①今日の在庫を貼る!$I$6:$I$10005,$I4322)&gt;0,N(U4321),N(U4321)+1))</f>
        <v>2</v>
      </c>
    </row>
    <row r="4323" customFormat="false" ht="15" hidden="false" customHeight="false" outlineLevel="0" collapsed="false">
      <c r="B4323" s="53"/>
      <c r="I4323" s="53"/>
      <c r="U4323" s="31" t="n">
        <f aca="false">IF($B4323&lt;&gt;'設定（最初に1回）'!$C$4,N(U4322),IF(COUNTIFS(①今日の在庫を貼る!$B$6:$B$10005,$B4323,①今日の在庫を貼る!$I$6:$I$10005,$I4323)&gt;0,N(U4322),N(U4322)+1))</f>
        <v>2</v>
      </c>
    </row>
    <row r="4324" customFormat="false" ht="15" hidden="false" customHeight="false" outlineLevel="0" collapsed="false">
      <c r="B4324" s="53"/>
      <c r="I4324" s="53"/>
      <c r="U4324" s="31" t="n">
        <f aca="false">IF($B4324&lt;&gt;'設定（最初に1回）'!$C$4,N(U4323),IF(COUNTIFS(①今日の在庫を貼る!$B$6:$B$10005,$B4324,①今日の在庫を貼る!$I$6:$I$10005,$I4324)&gt;0,N(U4323),N(U4323)+1))</f>
        <v>2</v>
      </c>
    </row>
    <row r="4325" customFormat="false" ht="15" hidden="false" customHeight="false" outlineLevel="0" collapsed="false">
      <c r="B4325" s="53"/>
      <c r="I4325" s="53"/>
      <c r="U4325" s="31" t="n">
        <f aca="false">IF($B4325&lt;&gt;'設定（最初に1回）'!$C$4,N(U4324),IF(COUNTIFS(①今日の在庫を貼る!$B$6:$B$10005,$B4325,①今日の在庫を貼る!$I$6:$I$10005,$I4325)&gt;0,N(U4324),N(U4324)+1))</f>
        <v>2</v>
      </c>
    </row>
    <row r="4326" customFormat="false" ht="15" hidden="false" customHeight="false" outlineLevel="0" collapsed="false">
      <c r="B4326" s="53"/>
      <c r="I4326" s="53"/>
      <c r="U4326" s="31" t="n">
        <f aca="false">IF($B4326&lt;&gt;'設定（最初に1回）'!$C$4,N(U4325),IF(COUNTIFS(①今日の在庫を貼る!$B$6:$B$10005,$B4326,①今日の在庫を貼る!$I$6:$I$10005,$I4326)&gt;0,N(U4325),N(U4325)+1))</f>
        <v>2</v>
      </c>
    </row>
    <row r="4327" customFormat="false" ht="15" hidden="false" customHeight="false" outlineLevel="0" collapsed="false">
      <c r="B4327" s="53"/>
      <c r="I4327" s="53"/>
      <c r="U4327" s="31" t="n">
        <f aca="false">IF($B4327&lt;&gt;'設定（最初に1回）'!$C$4,N(U4326),IF(COUNTIFS(①今日の在庫を貼る!$B$6:$B$10005,$B4327,①今日の在庫を貼る!$I$6:$I$10005,$I4327)&gt;0,N(U4326),N(U4326)+1))</f>
        <v>2</v>
      </c>
    </row>
    <row r="4328" customFormat="false" ht="15" hidden="false" customHeight="false" outlineLevel="0" collapsed="false">
      <c r="B4328" s="53"/>
      <c r="I4328" s="53"/>
      <c r="U4328" s="31" t="n">
        <f aca="false">IF($B4328&lt;&gt;'設定（最初に1回）'!$C$4,N(U4327),IF(COUNTIFS(①今日の在庫を貼る!$B$6:$B$10005,$B4328,①今日の在庫を貼る!$I$6:$I$10005,$I4328)&gt;0,N(U4327),N(U4327)+1))</f>
        <v>2</v>
      </c>
    </row>
    <row r="4329" customFormat="false" ht="15" hidden="false" customHeight="false" outlineLevel="0" collapsed="false">
      <c r="B4329" s="53"/>
      <c r="I4329" s="53"/>
      <c r="U4329" s="31" t="n">
        <f aca="false">IF($B4329&lt;&gt;'設定（最初に1回）'!$C$4,N(U4328),IF(COUNTIFS(①今日の在庫を貼る!$B$6:$B$10005,$B4329,①今日の在庫を貼る!$I$6:$I$10005,$I4329)&gt;0,N(U4328),N(U4328)+1))</f>
        <v>2</v>
      </c>
    </row>
    <row r="4330" customFormat="false" ht="15" hidden="false" customHeight="false" outlineLevel="0" collapsed="false">
      <c r="B4330" s="53"/>
      <c r="I4330" s="53"/>
      <c r="U4330" s="31" t="n">
        <f aca="false">IF($B4330&lt;&gt;'設定（最初に1回）'!$C$4,N(U4329),IF(COUNTIFS(①今日の在庫を貼る!$B$6:$B$10005,$B4330,①今日の在庫を貼る!$I$6:$I$10005,$I4330)&gt;0,N(U4329),N(U4329)+1))</f>
        <v>2</v>
      </c>
    </row>
    <row r="4331" customFormat="false" ht="15" hidden="false" customHeight="false" outlineLevel="0" collapsed="false">
      <c r="B4331" s="53"/>
      <c r="I4331" s="53"/>
      <c r="U4331" s="31" t="n">
        <f aca="false">IF($B4331&lt;&gt;'設定（最初に1回）'!$C$4,N(U4330),IF(COUNTIFS(①今日の在庫を貼る!$B$6:$B$10005,$B4331,①今日の在庫を貼る!$I$6:$I$10005,$I4331)&gt;0,N(U4330),N(U4330)+1))</f>
        <v>2</v>
      </c>
    </row>
    <row r="4332" customFormat="false" ht="15" hidden="false" customHeight="false" outlineLevel="0" collapsed="false">
      <c r="B4332" s="53"/>
      <c r="I4332" s="53"/>
      <c r="U4332" s="31" t="n">
        <f aca="false">IF($B4332&lt;&gt;'設定（最初に1回）'!$C$4,N(U4331),IF(COUNTIFS(①今日の在庫を貼る!$B$6:$B$10005,$B4332,①今日の在庫を貼る!$I$6:$I$10005,$I4332)&gt;0,N(U4331),N(U4331)+1))</f>
        <v>2</v>
      </c>
    </row>
    <row r="4333" customFormat="false" ht="15" hidden="false" customHeight="false" outlineLevel="0" collapsed="false">
      <c r="B4333" s="53"/>
      <c r="I4333" s="53"/>
      <c r="U4333" s="31" t="n">
        <f aca="false">IF($B4333&lt;&gt;'設定（最初に1回）'!$C$4,N(U4332),IF(COUNTIFS(①今日の在庫を貼る!$B$6:$B$10005,$B4333,①今日の在庫を貼る!$I$6:$I$10005,$I4333)&gt;0,N(U4332),N(U4332)+1))</f>
        <v>2</v>
      </c>
    </row>
    <row r="4334" customFormat="false" ht="15" hidden="false" customHeight="false" outlineLevel="0" collapsed="false">
      <c r="B4334" s="53"/>
      <c r="I4334" s="53"/>
      <c r="U4334" s="31" t="n">
        <f aca="false">IF($B4334&lt;&gt;'設定（最初に1回）'!$C$4,N(U4333),IF(COUNTIFS(①今日の在庫を貼る!$B$6:$B$10005,$B4334,①今日の在庫を貼る!$I$6:$I$10005,$I4334)&gt;0,N(U4333),N(U4333)+1))</f>
        <v>2</v>
      </c>
    </row>
    <row r="4335" customFormat="false" ht="15" hidden="false" customHeight="false" outlineLevel="0" collapsed="false">
      <c r="B4335" s="53"/>
      <c r="I4335" s="53"/>
      <c r="U4335" s="31" t="n">
        <f aca="false">IF($B4335&lt;&gt;'設定（最初に1回）'!$C$4,N(U4334),IF(COUNTIFS(①今日の在庫を貼る!$B$6:$B$10005,$B4335,①今日の在庫を貼る!$I$6:$I$10005,$I4335)&gt;0,N(U4334),N(U4334)+1))</f>
        <v>2</v>
      </c>
    </row>
    <row r="4336" customFormat="false" ht="15" hidden="false" customHeight="false" outlineLevel="0" collapsed="false">
      <c r="B4336" s="53"/>
      <c r="I4336" s="53"/>
      <c r="U4336" s="31" t="n">
        <f aca="false">IF($B4336&lt;&gt;'設定（最初に1回）'!$C$4,N(U4335),IF(COUNTIFS(①今日の在庫を貼る!$B$6:$B$10005,$B4336,①今日の在庫を貼る!$I$6:$I$10005,$I4336)&gt;0,N(U4335),N(U4335)+1))</f>
        <v>2</v>
      </c>
    </row>
    <row r="4337" customFormat="false" ht="15" hidden="false" customHeight="false" outlineLevel="0" collapsed="false">
      <c r="B4337" s="53"/>
      <c r="I4337" s="53"/>
      <c r="U4337" s="31" t="n">
        <f aca="false">IF($B4337&lt;&gt;'設定（最初に1回）'!$C$4,N(U4336),IF(COUNTIFS(①今日の在庫を貼る!$B$6:$B$10005,$B4337,①今日の在庫を貼る!$I$6:$I$10005,$I4337)&gt;0,N(U4336),N(U4336)+1))</f>
        <v>2</v>
      </c>
    </row>
    <row r="4338" customFormat="false" ht="15" hidden="false" customHeight="false" outlineLevel="0" collapsed="false">
      <c r="B4338" s="53"/>
      <c r="I4338" s="53"/>
      <c r="U4338" s="31" t="n">
        <f aca="false">IF($B4338&lt;&gt;'設定（最初に1回）'!$C$4,N(U4337),IF(COUNTIFS(①今日の在庫を貼る!$B$6:$B$10005,$B4338,①今日の在庫を貼る!$I$6:$I$10005,$I4338)&gt;0,N(U4337),N(U4337)+1))</f>
        <v>2</v>
      </c>
    </row>
    <row r="4339" customFormat="false" ht="15" hidden="false" customHeight="false" outlineLevel="0" collapsed="false">
      <c r="B4339" s="53"/>
      <c r="I4339" s="53"/>
      <c r="U4339" s="31" t="n">
        <f aca="false">IF($B4339&lt;&gt;'設定（最初に1回）'!$C$4,N(U4338),IF(COUNTIFS(①今日の在庫を貼る!$B$6:$B$10005,$B4339,①今日の在庫を貼る!$I$6:$I$10005,$I4339)&gt;0,N(U4338),N(U4338)+1))</f>
        <v>2</v>
      </c>
    </row>
    <row r="4340" customFormat="false" ht="15" hidden="false" customHeight="false" outlineLevel="0" collapsed="false">
      <c r="B4340" s="53"/>
      <c r="I4340" s="53"/>
      <c r="U4340" s="31" t="n">
        <f aca="false">IF($B4340&lt;&gt;'設定（最初に1回）'!$C$4,N(U4339),IF(COUNTIFS(①今日の在庫を貼る!$B$6:$B$10005,$B4340,①今日の在庫を貼る!$I$6:$I$10005,$I4340)&gt;0,N(U4339),N(U4339)+1))</f>
        <v>2</v>
      </c>
    </row>
    <row r="4341" customFormat="false" ht="15" hidden="false" customHeight="false" outlineLevel="0" collapsed="false">
      <c r="B4341" s="53"/>
      <c r="I4341" s="53"/>
      <c r="U4341" s="31" t="n">
        <f aca="false">IF($B4341&lt;&gt;'設定（最初に1回）'!$C$4,N(U4340),IF(COUNTIFS(①今日の在庫を貼る!$B$6:$B$10005,$B4341,①今日の在庫を貼る!$I$6:$I$10005,$I4341)&gt;0,N(U4340),N(U4340)+1))</f>
        <v>2</v>
      </c>
    </row>
    <row r="4342" customFormat="false" ht="15" hidden="false" customHeight="false" outlineLevel="0" collapsed="false">
      <c r="B4342" s="53"/>
      <c r="I4342" s="53"/>
      <c r="U4342" s="31" t="n">
        <f aca="false">IF($B4342&lt;&gt;'設定（最初に1回）'!$C$4,N(U4341),IF(COUNTIFS(①今日の在庫を貼る!$B$6:$B$10005,$B4342,①今日の在庫を貼る!$I$6:$I$10005,$I4342)&gt;0,N(U4341),N(U4341)+1))</f>
        <v>2</v>
      </c>
    </row>
    <row r="4343" customFormat="false" ht="15" hidden="false" customHeight="false" outlineLevel="0" collapsed="false">
      <c r="B4343" s="53"/>
      <c r="I4343" s="53"/>
      <c r="U4343" s="31" t="n">
        <f aca="false">IF($B4343&lt;&gt;'設定（最初に1回）'!$C$4,N(U4342),IF(COUNTIFS(①今日の在庫を貼る!$B$6:$B$10005,$B4343,①今日の在庫を貼る!$I$6:$I$10005,$I4343)&gt;0,N(U4342),N(U4342)+1))</f>
        <v>2</v>
      </c>
    </row>
    <row r="4344" customFormat="false" ht="15" hidden="false" customHeight="false" outlineLevel="0" collapsed="false">
      <c r="B4344" s="53"/>
      <c r="I4344" s="53"/>
      <c r="U4344" s="31" t="n">
        <f aca="false">IF($B4344&lt;&gt;'設定（最初に1回）'!$C$4,N(U4343),IF(COUNTIFS(①今日の在庫を貼る!$B$6:$B$10005,$B4344,①今日の在庫を貼る!$I$6:$I$10005,$I4344)&gt;0,N(U4343),N(U4343)+1))</f>
        <v>2</v>
      </c>
    </row>
    <row r="4345" customFormat="false" ht="15" hidden="false" customHeight="false" outlineLevel="0" collapsed="false">
      <c r="B4345" s="53"/>
      <c r="I4345" s="53"/>
      <c r="U4345" s="31" t="n">
        <f aca="false">IF($B4345&lt;&gt;'設定（最初に1回）'!$C$4,N(U4344),IF(COUNTIFS(①今日の在庫を貼る!$B$6:$B$10005,$B4345,①今日の在庫を貼る!$I$6:$I$10005,$I4345)&gt;0,N(U4344),N(U4344)+1))</f>
        <v>2</v>
      </c>
    </row>
    <row r="4346" customFormat="false" ht="15" hidden="false" customHeight="false" outlineLevel="0" collapsed="false">
      <c r="B4346" s="53"/>
      <c r="I4346" s="53"/>
      <c r="U4346" s="31" t="n">
        <f aca="false">IF($B4346&lt;&gt;'設定（最初に1回）'!$C$4,N(U4345),IF(COUNTIFS(①今日の在庫を貼る!$B$6:$B$10005,$B4346,①今日の在庫を貼る!$I$6:$I$10005,$I4346)&gt;0,N(U4345),N(U4345)+1))</f>
        <v>2</v>
      </c>
    </row>
    <row r="4347" customFormat="false" ht="15" hidden="false" customHeight="false" outlineLevel="0" collapsed="false">
      <c r="B4347" s="53"/>
      <c r="I4347" s="53"/>
      <c r="U4347" s="31" t="n">
        <f aca="false">IF($B4347&lt;&gt;'設定（最初に1回）'!$C$4,N(U4346),IF(COUNTIFS(①今日の在庫を貼る!$B$6:$B$10005,$B4347,①今日の在庫を貼る!$I$6:$I$10005,$I4347)&gt;0,N(U4346),N(U4346)+1))</f>
        <v>2</v>
      </c>
    </row>
    <row r="4348" customFormat="false" ht="15" hidden="false" customHeight="false" outlineLevel="0" collapsed="false">
      <c r="B4348" s="53"/>
      <c r="I4348" s="53"/>
      <c r="U4348" s="31" t="n">
        <f aca="false">IF($B4348&lt;&gt;'設定（最初に1回）'!$C$4,N(U4347),IF(COUNTIFS(①今日の在庫を貼る!$B$6:$B$10005,$B4348,①今日の在庫を貼る!$I$6:$I$10005,$I4348)&gt;0,N(U4347),N(U4347)+1))</f>
        <v>2</v>
      </c>
    </row>
    <row r="4349" customFormat="false" ht="15" hidden="false" customHeight="false" outlineLevel="0" collapsed="false">
      <c r="B4349" s="53"/>
      <c r="I4349" s="53"/>
      <c r="U4349" s="31" t="n">
        <f aca="false">IF($B4349&lt;&gt;'設定（最初に1回）'!$C$4,N(U4348),IF(COUNTIFS(①今日の在庫を貼る!$B$6:$B$10005,$B4349,①今日の在庫を貼る!$I$6:$I$10005,$I4349)&gt;0,N(U4348),N(U4348)+1))</f>
        <v>2</v>
      </c>
    </row>
    <row r="4350" customFormat="false" ht="15" hidden="false" customHeight="false" outlineLevel="0" collapsed="false">
      <c r="B4350" s="53"/>
      <c r="I4350" s="53"/>
      <c r="U4350" s="31" t="n">
        <f aca="false">IF($B4350&lt;&gt;'設定（最初に1回）'!$C$4,N(U4349),IF(COUNTIFS(①今日の在庫を貼る!$B$6:$B$10005,$B4350,①今日の在庫を貼る!$I$6:$I$10005,$I4350)&gt;0,N(U4349),N(U4349)+1))</f>
        <v>2</v>
      </c>
    </row>
    <row r="4351" customFormat="false" ht="15" hidden="false" customHeight="false" outlineLevel="0" collapsed="false">
      <c r="B4351" s="53"/>
      <c r="I4351" s="53"/>
      <c r="U4351" s="31" t="n">
        <f aca="false">IF($B4351&lt;&gt;'設定（最初に1回）'!$C$4,N(U4350),IF(COUNTIFS(①今日の在庫を貼る!$B$6:$B$10005,$B4351,①今日の在庫を貼る!$I$6:$I$10005,$I4351)&gt;0,N(U4350),N(U4350)+1))</f>
        <v>2</v>
      </c>
    </row>
    <row r="4352" customFormat="false" ht="15" hidden="false" customHeight="false" outlineLevel="0" collapsed="false">
      <c r="B4352" s="53"/>
      <c r="I4352" s="53"/>
      <c r="U4352" s="31" t="n">
        <f aca="false">IF($B4352&lt;&gt;'設定（最初に1回）'!$C$4,N(U4351),IF(COUNTIFS(①今日の在庫を貼る!$B$6:$B$10005,$B4352,①今日の在庫を貼る!$I$6:$I$10005,$I4352)&gt;0,N(U4351),N(U4351)+1))</f>
        <v>2</v>
      </c>
    </row>
    <row r="4353" customFormat="false" ht="15" hidden="false" customHeight="false" outlineLevel="0" collapsed="false">
      <c r="B4353" s="53"/>
      <c r="I4353" s="53"/>
      <c r="U4353" s="31" t="n">
        <f aca="false">IF($B4353&lt;&gt;'設定（最初に1回）'!$C$4,N(U4352),IF(COUNTIFS(①今日の在庫を貼る!$B$6:$B$10005,$B4353,①今日の在庫を貼る!$I$6:$I$10005,$I4353)&gt;0,N(U4352),N(U4352)+1))</f>
        <v>2</v>
      </c>
    </row>
    <row r="4354" customFormat="false" ht="15" hidden="false" customHeight="false" outlineLevel="0" collapsed="false">
      <c r="B4354" s="53"/>
      <c r="I4354" s="53"/>
      <c r="U4354" s="31" t="n">
        <f aca="false">IF($B4354&lt;&gt;'設定（最初に1回）'!$C$4,N(U4353),IF(COUNTIFS(①今日の在庫を貼る!$B$6:$B$10005,$B4354,①今日の在庫を貼る!$I$6:$I$10005,$I4354)&gt;0,N(U4353),N(U4353)+1))</f>
        <v>2</v>
      </c>
    </row>
    <row r="4355" customFormat="false" ht="15" hidden="false" customHeight="false" outlineLevel="0" collapsed="false">
      <c r="B4355" s="53"/>
      <c r="I4355" s="53"/>
      <c r="U4355" s="31" t="n">
        <f aca="false">IF($B4355&lt;&gt;'設定（最初に1回）'!$C$4,N(U4354),IF(COUNTIFS(①今日の在庫を貼る!$B$6:$B$10005,$B4355,①今日の在庫を貼る!$I$6:$I$10005,$I4355)&gt;0,N(U4354),N(U4354)+1))</f>
        <v>2</v>
      </c>
    </row>
    <row r="4356" customFormat="false" ht="15" hidden="false" customHeight="false" outlineLevel="0" collapsed="false">
      <c r="B4356" s="53"/>
      <c r="I4356" s="53"/>
      <c r="U4356" s="31" t="n">
        <f aca="false">IF($B4356&lt;&gt;'設定（最初に1回）'!$C$4,N(U4355),IF(COUNTIFS(①今日の在庫を貼る!$B$6:$B$10005,$B4356,①今日の在庫を貼る!$I$6:$I$10005,$I4356)&gt;0,N(U4355),N(U4355)+1))</f>
        <v>2</v>
      </c>
    </row>
    <row r="4357" customFormat="false" ht="15" hidden="false" customHeight="false" outlineLevel="0" collapsed="false">
      <c r="B4357" s="53"/>
      <c r="I4357" s="53"/>
      <c r="U4357" s="31" t="n">
        <f aca="false">IF($B4357&lt;&gt;'設定（最初に1回）'!$C$4,N(U4356),IF(COUNTIFS(①今日の在庫を貼る!$B$6:$B$10005,$B4357,①今日の在庫を貼る!$I$6:$I$10005,$I4357)&gt;0,N(U4356),N(U4356)+1))</f>
        <v>2</v>
      </c>
    </row>
    <row r="4358" customFormat="false" ht="15" hidden="false" customHeight="false" outlineLevel="0" collapsed="false">
      <c r="B4358" s="53"/>
      <c r="I4358" s="53"/>
      <c r="U4358" s="31" t="n">
        <f aca="false">IF($B4358&lt;&gt;'設定（最初に1回）'!$C$4,N(U4357),IF(COUNTIFS(①今日の在庫を貼る!$B$6:$B$10005,$B4358,①今日の在庫を貼る!$I$6:$I$10005,$I4358)&gt;0,N(U4357),N(U4357)+1))</f>
        <v>2</v>
      </c>
    </row>
    <row r="4359" customFormat="false" ht="15" hidden="false" customHeight="false" outlineLevel="0" collapsed="false">
      <c r="B4359" s="53"/>
      <c r="I4359" s="53"/>
      <c r="U4359" s="31" t="n">
        <f aca="false">IF($B4359&lt;&gt;'設定（最初に1回）'!$C$4,N(U4358),IF(COUNTIFS(①今日の在庫を貼る!$B$6:$B$10005,$B4359,①今日の在庫を貼る!$I$6:$I$10005,$I4359)&gt;0,N(U4358),N(U4358)+1))</f>
        <v>2</v>
      </c>
    </row>
    <row r="4360" customFormat="false" ht="15" hidden="false" customHeight="false" outlineLevel="0" collapsed="false">
      <c r="B4360" s="53"/>
      <c r="I4360" s="53"/>
      <c r="U4360" s="31" t="n">
        <f aca="false">IF($B4360&lt;&gt;'設定（最初に1回）'!$C$4,N(U4359),IF(COUNTIFS(①今日の在庫を貼る!$B$6:$B$10005,$B4360,①今日の在庫を貼る!$I$6:$I$10005,$I4360)&gt;0,N(U4359),N(U4359)+1))</f>
        <v>2</v>
      </c>
    </row>
    <row r="4361" customFormat="false" ht="15" hidden="false" customHeight="false" outlineLevel="0" collapsed="false">
      <c r="B4361" s="53"/>
      <c r="I4361" s="53"/>
      <c r="U4361" s="31" t="n">
        <f aca="false">IF($B4361&lt;&gt;'設定（最初に1回）'!$C$4,N(U4360),IF(COUNTIFS(①今日の在庫を貼る!$B$6:$B$10005,$B4361,①今日の在庫を貼る!$I$6:$I$10005,$I4361)&gt;0,N(U4360),N(U4360)+1))</f>
        <v>2</v>
      </c>
    </row>
    <row r="4362" customFormat="false" ht="15" hidden="false" customHeight="false" outlineLevel="0" collapsed="false">
      <c r="B4362" s="53"/>
      <c r="I4362" s="53"/>
      <c r="U4362" s="31" t="n">
        <f aca="false">IF($B4362&lt;&gt;'設定（最初に1回）'!$C$4,N(U4361),IF(COUNTIFS(①今日の在庫を貼る!$B$6:$B$10005,$B4362,①今日の在庫を貼る!$I$6:$I$10005,$I4362)&gt;0,N(U4361),N(U4361)+1))</f>
        <v>2</v>
      </c>
    </row>
    <row r="4363" customFormat="false" ht="15" hidden="false" customHeight="false" outlineLevel="0" collapsed="false">
      <c r="B4363" s="53"/>
      <c r="I4363" s="53"/>
      <c r="U4363" s="31" t="n">
        <f aca="false">IF($B4363&lt;&gt;'設定（最初に1回）'!$C$4,N(U4362),IF(COUNTIFS(①今日の在庫を貼る!$B$6:$B$10005,$B4363,①今日の在庫を貼る!$I$6:$I$10005,$I4363)&gt;0,N(U4362),N(U4362)+1))</f>
        <v>2</v>
      </c>
    </row>
    <row r="4364" customFormat="false" ht="15" hidden="false" customHeight="false" outlineLevel="0" collapsed="false">
      <c r="B4364" s="53"/>
      <c r="I4364" s="53"/>
      <c r="U4364" s="31" t="n">
        <f aca="false">IF($B4364&lt;&gt;'設定（最初に1回）'!$C$4,N(U4363),IF(COUNTIFS(①今日の在庫を貼る!$B$6:$B$10005,$B4364,①今日の在庫を貼る!$I$6:$I$10005,$I4364)&gt;0,N(U4363),N(U4363)+1))</f>
        <v>2</v>
      </c>
    </row>
    <row r="4365" customFormat="false" ht="15" hidden="false" customHeight="false" outlineLevel="0" collapsed="false">
      <c r="B4365" s="53"/>
      <c r="I4365" s="53"/>
      <c r="U4365" s="31" t="n">
        <f aca="false">IF($B4365&lt;&gt;'設定（最初に1回）'!$C$4,N(U4364),IF(COUNTIFS(①今日の在庫を貼る!$B$6:$B$10005,$B4365,①今日の在庫を貼る!$I$6:$I$10005,$I4365)&gt;0,N(U4364),N(U4364)+1))</f>
        <v>2</v>
      </c>
    </row>
    <row r="4366" customFormat="false" ht="15" hidden="false" customHeight="false" outlineLevel="0" collapsed="false">
      <c r="B4366" s="53"/>
      <c r="I4366" s="53"/>
      <c r="U4366" s="31" t="n">
        <f aca="false">IF($B4366&lt;&gt;'設定（最初に1回）'!$C$4,N(U4365),IF(COUNTIFS(①今日の在庫を貼る!$B$6:$B$10005,$B4366,①今日の在庫を貼る!$I$6:$I$10005,$I4366)&gt;0,N(U4365),N(U4365)+1))</f>
        <v>2</v>
      </c>
    </row>
    <row r="4367" customFormat="false" ht="15" hidden="false" customHeight="false" outlineLevel="0" collapsed="false">
      <c r="B4367" s="53"/>
      <c r="I4367" s="53"/>
      <c r="U4367" s="31" t="n">
        <f aca="false">IF($B4367&lt;&gt;'設定（最初に1回）'!$C$4,N(U4366),IF(COUNTIFS(①今日の在庫を貼る!$B$6:$B$10005,$B4367,①今日の在庫を貼る!$I$6:$I$10005,$I4367)&gt;0,N(U4366),N(U4366)+1))</f>
        <v>2</v>
      </c>
    </row>
    <row r="4368" customFormat="false" ht="15" hidden="false" customHeight="false" outlineLevel="0" collapsed="false">
      <c r="B4368" s="53"/>
      <c r="I4368" s="53"/>
      <c r="U4368" s="31" t="n">
        <f aca="false">IF($B4368&lt;&gt;'設定（最初に1回）'!$C$4,N(U4367),IF(COUNTIFS(①今日の在庫を貼る!$B$6:$B$10005,$B4368,①今日の在庫を貼る!$I$6:$I$10005,$I4368)&gt;0,N(U4367),N(U4367)+1))</f>
        <v>2</v>
      </c>
    </row>
    <row r="4369" customFormat="false" ht="15" hidden="false" customHeight="false" outlineLevel="0" collapsed="false">
      <c r="B4369" s="53"/>
      <c r="I4369" s="53"/>
      <c r="U4369" s="31" t="n">
        <f aca="false">IF($B4369&lt;&gt;'設定（最初に1回）'!$C$4,N(U4368),IF(COUNTIFS(①今日の在庫を貼る!$B$6:$B$10005,$B4369,①今日の在庫を貼る!$I$6:$I$10005,$I4369)&gt;0,N(U4368),N(U4368)+1))</f>
        <v>2</v>
      </c>
    </row>
    <row r="4370" customFormat="false" ht="15" hidden="false" customHeight="false" outlineLevel="0" collapsed="false">
      <c r="B4370" s="53"/>
      <c r="I4370" s="53"/>
      <c r="U4370" s="31" t="n">
        <f aca="false">IF($B4370&lt;&gt;'設定（最初に1回）'!$C$4,N(U4369),IF(COUNTIFS(①今日の在庫を貼る!$B$6:$B$10005,$B4370,①今日の在庫を貼る!$I$6:$I$10005,$I4370)&gt;0,N(U4369),N(U4369)+1))</f>
        <v>2</v>
      </c>
    </row>
    <row r="4371" customFormat="false" ht="15" hidden="false" customHeight="false" outlineLevel="0" collapsed="false">
      <c r="B4371" s="53"/>
      <c r="I4371" s="53"/>
      <c r="U4371" s="31" t="n">
        <f aca="false">IF($B4371&lt;&gt;'設定（最初に1回）'!$C$4,N(U4370),IF(COUNTIFS(①今日の在庫を貼る!$B$6:$B$10005,$B4371,①今日の在庫を貼る!$I$6:$I$10005,$I4371)&gt;0,N(U4370),N(U4370)+1))</f>
        <v>2</v>
      </c>
    </row>
    <row r="4372" customFormat="false" ht="15" hidden="false" customHeight="false" outlineLevel="0" collapsed="false">
      <c r="B4372" s="53"/>
      <c r="I4372" s="53"/>
      <c r="U4372" s="31" t="n">
        <f aca="false">IF($B4372&lt;&gt;'設定（最初に1回）'!$C$4,N(U4371),IF(COUNTIFS(①今日の在庫を貼る!$B$6:$B$10005,$B4372,①今日の在庫を貼る!$I$6:$I$10005,$I4372)&gt;0,N(U4371),N(U4371)+1))</f>
        <v>2</v>
      </c>
    </row>
    <row r="4373" customFormat="false" ht="15" hidden="false" customHeight="false" outlineLevel="0" collapsed="false">
      <c r="B4373" s="53"/>
      <c r="I4373" s="53"/>
      <c r="U4373" s="31" t="n">
        <f aca="false">IF($B4373&lt;&gt;'設定（最初に1回）'!$C$4,N(U4372),IF(COUNTIFS(①今日の在庫を貼る!$B$6:$B$10005,$B4373,①今日の在庫を貼る!$I$6:$I$10005,$I4373)&gt;0,N(U4372),N(U4372)+1))</f>
        <v>2</v>
      </c>
    </row>
    <row r="4374" customFormat="false" ht="15" hidden="false" customHeight="false" outlineLevel="0" collapsed="false">
      <c r="B4374" s="53"/>
      <c r="I4374" s="53"/>
      <c r="U4374" s="31" t="n">
        <f aca="false">IF($B4374&lt;&gt;'設定（最初に1回）'!$C$4,N(U4373),IF(COUNTIFS(①今日の在庫を貼る!$B$6:$B$10005,$B4374,①今日の在庫を貼る!$I$6:$I$10005,$I4374)&gt;0,N(U4373),N(U4373)+1))</f>
        <v>2</v>
      </c>
    </row>
    <row r="4375" customFormat="false" ht="15" hidden="false" customHeight="false" outlineLevel="0" collapsed="false">
      <c r="B4375" s="53"/>
      <c r="I4375" s="53"/>
      <c r="U4375" s="31" t="n">
        <f aca="false">IF($B4375&lt;&gt;'設定（最初に1回）'!$C$4,N(U4374),IF(COUNTIFS(①今日の在庫を貼る!$B$6:$B$10005,$B4375,①今日の在庫を貼る!$I$6:$I$10005,$I4375)&gt;0,N(U4374),N(U4374)+1))</f>
        <v>2</v>
      </c>
    </row>
    <row r="4376" customFormat="false" ht="15" hidden="false" customHeight="false" outlineLevel="0" collapsed="false">
      <c r="B4376" s="53"/>
      <c r="I4376" s="53"/>
      <c r="U4376" s="31" t="n">
        <f aca="false">IF($B4376&lt;&gt;'設定（最初に1回）'!$C$4,N(U4375),IF(COUNTIFS(①今日の在庫を貼る!$B$6:$B$10005,$B4376,①今日の在庫を貼る!$I$6:$I$10005,$I4376)&gt;0,N(U4375),N(U4375)+1))</f>
        <v>2</v>
      </c>
    </row>
    <row r="4377" customFormat="false" ht="15" hidden="false" customHeight="false" outlineLevel="0" collapsed="false">
      <c r="B4377" s="53"/>
      <c r="I4377" s="53"/>
      <c r="U4377" s="31" t="n">
        <f aca="false">IF($B4377&lt;&gt;'設定（最初に1回）'!$C$4,N(U4376),IF(COUNTIFS(①今日の在庫を貼る!$B$6:$B$10005,$B4377,①今日の在庫を貼る!$I$6:$I$10005,$I4377)&gt;0,N(U4376),N(U4376)+1))</f>
        <v>2</v>
      </c>
    </row>
    <row r="4378" customFormat="false" ht="15" hidden="false" customHeight="false" outlineLevel="0" collapsed="false">
      <c r="B4378" s="53"/>
      <c r="I4378" s="53"/>
      <c r="U4378" s="31" t="n">
        <f aca="false">IF($B4378&lt;&gt;'設定（最初に1回）'!$C$4,N(U4377),IF(COUNTIFS(①今日の在庫を貼る!$B$6:$B$10005,$B4378,①今日の在庫を貼る!$I$6:$I$10005,$I4378)&gt;0,N(U4377),N(U4377)+1))</f>
        <v>2</v>
      </c>
    </row>
    <row r="4379" customFormat="false" ht="15" hidden="false" customHeight="false" outlineLevel="0" collapsed="false">
      <c r="B4379" s="53"/>
      <c r="I4379" s="53"/>
      <c r="U4379" s="31" t="n">
        <f aca="false">IF($B4379&lt;&gt;'設定（最初に1回）'!$C$4,N(U4378),IF(COUNTIFS(①今日の在庫を貼る!$B$6:$B$10005,$B4379,①今日の在庫を貼る!$I$6:$I$10005,$I4379)&gt;0,N(U4378),N(U4378)+1))</f>
        <v>2</v>
      </c>
    </row>
    <row r="4380" customFormat="false" ht="15" hidden="false" customHeight="false" outlineLevel="0" collapsed="false">
      <c r="B4380" s="53"/>
      <c r="I4380" s="53"/>
      <c r="U4380" s="31" t="n">
        <f aca="false">IF($B4380&lt;&gt;'設定（最初に1回）'!$C$4,N(U4379),IF(COUNTIFS(①今日の在庫を貼る!$B$6:$B$10005,$B4380,①今日の在庫を貼る!$I$6:$I$10005,$I4380)&gt;0,N(U4379),N(U4379)+1))</f>
        <v>2</v>
      </c>
    </row>
    <row r="4381" customFormat="false" ht="15" hidden="false" customHeight="false" outlineLevel="0" collapsed="false">
      <c r="B4381" s="53"/>
      <c r="I4381" s="53"/>
      <c r="U4381" s="31" t="n">
        <f aca="false">IF($B4381&lt;&gt;'設定（最初に1回）'!$C$4,N(U4380),IF(COUNTIFS(①今日の在庫を貼る!$B$6:$B$10005,$B4381,①今日の在庫を貼る!$I$6:$I$10005,$I4381)&gt;0,N(U4380),N(U4380)+1))</f>
        <v>2</v>
      </c>
    </row>
    <row r="4382" customFormat="false" ht="15" hidden="false" customHeight="false" outlineLevel="0" collapsed="false">
      <c r="B4382" s="53"/>
      <c r="I4382" s="53"/>
      <c r="U4382" s="31" t="n">
        <f aca="false">IF($B4382&lt;&gt;'設定（最初に1回）'!$C$4,N(U4381),IF(COUNTIFS(①今日の在庫を貼る!$B$6:$B$10005,$B4382,①今日の在庫を貼る!$I$6:$I$10005,$I4382)&gt;0,N(U4381),N(U4381)+1))</f>
        <v>2</v>
      </c>
    </row>
    <row r="4383" customFormat="false" ht="15" hidden="false" customHeight="false" outlineLevel="0" collapsed="false">
      <c r="B4383" s="53"/>
      <c r="I4383" s="53"/>
      <c r="U4383" s="31" t="n">
        <f aca="false">IF($B4383&lt;&gt;'設定（最初に1回）'!$C$4,N(U4382),IF(COUNTIFS(①今日の在庫を貼る!$B$6:$B$10005,$B4383,①今日の在庫を貼る!$I$6:$I$10005,$I4383)&gt;0,N(U4382),N(U4382)+1))</f>
        <v>2</v>
      </c>
    </row>
    <row r="4384" customFormat="false" ht="15" hidden="false" customHeight="false" outlineLevel="0" collapsed="false">
      <c r="B4384" s="53"/>
      <c r="I4384" s="53"/>
      <c r="U4384" s="31" t="n">
        <f aca="false">IF($B4384&lt;&gt;'設定（最初に1回）'!$C$4,N(U4383),IF(COUNTIFS(①今日の在庫を貼る!$B$6:$B$10005,$B4384,①今日の在庫を貼る!$I$6:$I$10005,$I4384)&gt;0,N(U4383),N(U4383)+1))</f>
        <v>2</v>
      </c>
    </row>
    <row r="4385" customFormat="false" ht="15" hidden="false" customHeight="false" outlineLevel="0" collapsed="false">
      <c r="B4385" s="53"/>
      <c r="I4385" s="53"/>
      <c r="U4385" s="31" t="n">
        <f aca="false">IF($B4385&lt;&gt;'設定（最初に1回）'!$C$4,N(U4384),IF(COUNTIFS(①今日の在庫を貼る!$B$6:$B$10005,$B4385,①今日の在庫を貼る!$I$6:$I$10005,$I4385)&gt;0,N(U4384),N(U4384)+1))</f>
        <v>2</v>
      </c>
    </row>
    <row r="4386" customFormat="false" ht="15" hidden="false" customHeight="false" outlineLevel="0" collapsed="false">
      <c r="B4386" s="53"/>
      <c r="I4386" s="53"/>
      <c r="U4386" s="31" t="n">
        <f aca="false">IF($B4386&lt;&gt;'設定（最初に1回）'!$C$4,N(U4385),IF(COUNTIFS(①今日の在庫を貼る!$B$6:$B$10005,$B4386,①今日の在庫を貼る!$I$6:$I$10005,$I4386)&gt;0,N(U4385),N(U4385)+1))</f>
        <v>2</v>
      </c>
    </row>
    <row r="4387" customFormat="false" ht="15" hidden="false" customHeight="false" outlineLevel="0" collapsed="false">
      <c r="B4387" s="53"/>
      <c r="I4387" s="53"/>
      <c r="U4387" s="31" t="n">
        <f aca="false">IF($B4387&lt;&gt;'設定（最初に1回）'!$C$4,N(U4386),IF(COUNTIFS(①今日の在庫を貼る!$B$6:$B$10005,$B4387,①今日の在庫を貼る!$I$6:$I$10005,$I4387)&gt;0,N(U4386),N(U4386)+1))</f>
        <v>2</v>
      </c>
    </row>
    <row r="4388" customFormat="false" ht="15" hidden="false" customHeight="false" outlineLevel="0" collapsed="false">
      <c r="B4388" s="53"/>
      <c r="I4388" s="53"/>
      <c r="U4388" s="31" t="n">
        <f aca="false">IF($B4388&lt;&gt;'設定（最初に1回）'!$C$4,N(U4387),IF(COUNTIFS(①今日の在庫を貼る!$B$6:$B$10005,$B4388,①今日の在庫を貼る!$I$6:$I$10005,$I4388)&gt;0,N(U4387),N(U4387)+1))</f>
        <v>2</v>
      </c>
    </row>
    <row r="4389" customFormat="false" ht="15" hidden="false" customHeight="false" outlineLevel="0" collapsed="false">
      <c r="B4389" s="53"/>
      <c r="I4389" s="53"/>
      <c r="U4389" s="31" t="n">
        <f aca="false">IF($B4389&lt;&gt;'設定（最初に1回）'!$C$4,N(U4388),IF(COUNTIFS(①今日の在庫を貼る!$B$6:$B$10005,$B4389,①今日の在庫を貼る!$I$6:$I$10005,$I4389)&gt;0,N(U4388),N(U4388)+1))</f>
        <v>2</v>
      </c>
    </row>
    <row r="4390" customFormat="false" ht="15" hidden="false" customHeight="false" outlineLevel="0" collapsed="false">
      <c r="B4390" s="53"/>
      <c r="I4390" s="53"/>
      <c r="U4390" s="31" t="n">
        <f aca="false">IF($B4390&lt;&gt;'設定（最初に1回）'!$C$4,N(U4389),IF(COUNTIFS(①今日の在庫を貼る!$B$6:$B$10005,$B4390,①今日の在庫を貼る!$I$6:$I$10005,$I4390)&gt;0,N(U4389),N(U4389)+1))</f>
        <v>2</v>
      </c>
    </row>
    <row r="4391" customFormat="false" ht="15" hidden="false" customHeight="false" outlineLevel="0" collapsed="false">
      <c r="B4391" s="53"/>
      <c r="I4391" s="53"/>
      <c r="U4391" s="31" t="n">
        <f aca="false">IF($B4391&lt;&gt;'設定（最初に1回）'!$C$4,N(U4390),IF(COUNTIFS(①今日の在庫を貼る!$B$6:$B$10005,$B4391,①今日の在庫を貼る!$I$6:$I$10005,$I4391)&gt;0,N(U4390),N(U4390)+1))</f>
        <v>2</v>
      </c>
    </row>
    <row r="4392" customFormat="false" ht="15" hidden="false" customHeight="false" outlineLevel="0" collapsed="false">
      <c r="B4392" s="53"/>
      <c r="I4392" s="53"/>
      <c r="U4392" s="31" t="n">
        <f aca="false">IF($B4392&lt;&gt;'設定（最初に1回）'!$C$4,N(U4391),IF(COUNTIFS(①今日の在庫を貼る!$B$6:$B$10005,$B4392,①今日の在庫を貼る!$I$6:$I$10005,$I4392)&gt;0,N(U4391),N(U4391)+1))</f>
        <v>2</v>
      </c>
    </row>
    <row r="4393" customFormat="false" ht="15" hidden="false" customHeight="false" outlineLevel="0" collapsed="false">
      <c r="B4393" s="53"/>
      <c r="I4393" s="53"/>
      <c r="U4393" s="31" t="n">
        <f aca="false">IF($B4393&lt;&gt;'設定（最初に1回）'!$C$4,N(U4392),IF(COUNTIFS(①今日の在庫を貼る!$B$6:$B$10005,$B4393,①今日の在庫を貼る!$I$6:$I$10005,$I4393)&gt;0,N(U4392),N(U4392)+1))</f>
        <v>2</v>
      </c>
    </row>
    <row r="4394" customFormat="false" ht="15" hidden="false" customHeight="false" outlineLevel="0" collapsed="false">
      <c r="B4394" s="53"/>
      <c r="I4394" s="53"/>
      <c r="U4394" s="31" t="n">
        <f aca="false">IF($B4394&lt;&gt;'設定（最初に1回）'!$C$4,N(U4393),IF(COUNTIFS(①今日の在庫を貼る!$B$6:$B$10005,$B4394,①今日の在庫を貼る!$I$6:$I$10005,$I4394)&gt;0,N(U4393),N(U4393)+1))</f>
        <v>2</v>
      </c>
    </row>
    <row r="4395" customFormat="false" ht="15" hidden="false" customHeight="false" outlineLevel="0" collapsed="false">
      <c r="B4395" s="53"/>
      <c r="I4395" s="53"/>
      <c r="U4395" s="31" t="n">
        <f aca="false">IF($B4395&lt;&gt;'設定（最初に1回）'!$C$4,N(U4394),IF(COUNTIFS(①今日の在庫を貼る!$B$6:$B$10005,$B4395,①今日の在庫を貼る!$I$6:$I$10005,$I4395)&gt;0,N(U4394),N(U4394)+1))</f>
        <v>2</v>
      </c>
    </row>
    <row r="4396" customFormat="false" ht="15" hidden="false" customHeight="false" outlineLevel="0" collapsed="false">
      <c r="B4396" s="53"/>
      <c r="I4396" s="53"/>
      <c r="U4396" s="31" t="n">
        <f aca="false">IF($B4396&lt;&gt;'設定（最初に1回）'!$C$4,N(U4395),IF(COUNTIFS(①今日の在庫を貼る!$B$6:$B$10005,$B4396,①今日の在庫を貼る!$I$6:$I$10005,$I4396)&gt;0,N(U4395),N(U4395)+1))</f>
        <v>2</v>
      </c>
    </row>
    <row r="4397" customFormat="false" ht="15" hidden="false" customHeight="false" outlineLevel="0" collapsed="false">
      <c r="B4397" s="53"/>
      <c r="I4397" s="53"/>
      <c r="U4397" s="31" t="n">
        <f aca="false">IF($B4397&lt;&gt;'設定（最初に1回）'!$C$4,N(U4396),IF(COUNTIFS(①今日の在庫を貼る!$B$6:$B$10005,$B4397,①今日の在庫を貼る!$I$6:$I$10005,$I4397)&gt;0,N(U4396),N(U4396)+1))</f>
        <v>2</v>
      </c>
    </row>
    <row r="4398" customFormat="false" ht="15" hidden="false" customHeight="false" outlineLevel="0" collapsed="false">
      <c r="B4398" s="53"/>
      <c r="I4398" s="53"/>
      <c r="U4398" s="31" t="n">
        <f aca="false">IF($B4398&lt;&gt;'設定（最初に1回）'!$C$4,N(U4397),IF(COUNTIFS(①今日の在庫を貼る!$B$6:$B$10005,$B4398,①今日の在庫を貼る!$I$6:$I$10005,$I4398)&gt;0,N(U4397),N(U4397)+1))</f>
        <v>2</v>
      </c>
    </row>
    <row r="4399" customFormat="false" ht="15" hidden="false" customHeight="false" outlineLevel="0" collapsed="false">
      <c r="B4399" s="53"/>
      <c r="I4399" s="53"/>
      <c r="U4399" s="31" t="n">
        <f aca="false">IF($B4399&lt;&gt;'設定（最初に1回）'!$C$4,N(U4398),IF(COUNTIFS(①今日の在庫を貼る!$B$6:$B$10005,$B4399,①今日の在庫を貼る!$I$6:$I$10005,$I4399)&gt;0,N(U4398),N(U4398)+1))</f>
        <v>2</v>
      </c>
    </row>
    <row r="4400" customFormat="false" ht="15" hidden="false" customHeight="false" outlineLevel="0" collapsed="false">
      <c r="B4400" s="53"/>
      <c r="I4400" s="53"/>
      <c r="U4400" s="31" t="n">
        <f aca="false">IF($B4400&lt;&gt;'設定（最初に1回）'!$C$4,N(U4399),IF(COUNTIFS(①今日の在庫を貼る!$B$6:$B$10005,$B4400,①今日の在庫を貼る!$I$6:$I$10005,$I4400)&gt;0,N(U4399),N(U4399)+1))</f>
        <v>2</v>
      </c>
    </row>
    <row r="4401" customFormat="false" ht="15" hidden="false" customHeight="false" outlineLevel="0" collapsed="false">
      <c r="B4401" s="53"/>
      <c r="I4401" s="53"/>
      <c r="U4401" s="31" t="n">
        <f aca="false">IF($B4401&lt;&gt;'設定（最初に1回）'!$C$4,N(U4400),IF(COUNTIFS(①今日の在庫を貼る!$B$6:$B$10005,$B4401,①今日の在庫を貼る!$I$6:$I$10005,$I4401)&gt;0,N(U4400),N(U4400)+1))</f>
        <v>2</v>
      </c>
    </row>
    <row r="4402" customFormat="false" ht="15" hidden="false" customHeight="false" outlineLevel="0" collapsed="false">
      <c r="B4402" s="53"/>
      <c r="I4402" s="53"/>
      <c r="U4402" s="31" t="n">
        <f aca="false">IF($B4402&lt;&gt;'設定（最初に1回）'!$C$4,N(U4401),IF(COUNTIFS(①今日の在庫を貼る!$B$6:$B$10005,$B4402,①今日の在庫を貼る!$I$6:$I$10005,$I4402)&gt;0,N(U4401),N(U4401)+1))</f>
        <v>2</v>
      </c>
    </row>
    <row r="4403" customFormat="false" ht="15" hidden="false" customHeight="false" outlineLevel="0" collapsed="false">
      <c r="B4403" s="53"/>
      <c r="I4403" s="53"/>
      <c r="U4403" s="31" t="n">
        <f aca="false">IF($B4403&lt;&gt;'設定（最初に1回）'!$C$4,N(U4402),IF(COUNTIFS(①今日の在庫を貼る!$B$6:$B$10005,$B4403,①今日の在庫を貼る!$I$6:$I$10005,$I4403)&gt;0,N(U4402),N(U4402)+1))</f>
        <v>2</v>
      </c>
    </row>
    <row r="4404" customFormat="false" ht="15" hidden="false" customHeight="false" outlineLevel="0" collapsed="false">
      <c r="B4404" s="53"/>
      <c r="I4404" s="53"/>
      <c r="U4404" s="31" t="n">
        <f aca="false">IF($B4404&lt;&gt;'設定（最初に1回）'!$C$4,N(U4403),IF(COUNTIFS(①今日の在庫を貼る!$B$6:$B$10005,$B4404,①今日の在庫を貼る!$I$6:$I$10005,$I4404)&gt;0,N(U4403),N(U4403)+1))</f>
        <v>2</v>
      </c>
    </row>
    <row r="4405" customFormat="false" ht="15" hidden="false" customHeight="false" outlineLevel="0" collapsed="false">
      <c r="B4405" s="53"/>
      <c r="I4405" s="53"/>
      <c r="U4405" s="31" t="n">
        <f aca="false">IF($B4405&lt;&gt;'設定（最初に1回）'!$C$4,N(U4404),IF(COUNTIFS(①今日の在庫を貼る!$B$6:$B$10005,$B4405,①今日の在庫を貼る!$I$6:$I$10005,$I4405)&gt;0,N(U4404),N(U4404)+1))</f>
        <v>2</v>
      </c>
    </row>
    <row r="4406" customFormat="false" ht="15" hidden="false" customHeight="false" outlineLevel="0" collapsed="false">
      <c r="B4406" s="53"/>
      <c r="I4406" s="53"/>
      <c r="U4406" s="31" t="n">
        <f aca="false">IF($B4406&lt;&gt;'設定（最初に1回）'!$C$4,N(U4405),IF(COUNTIFS(①今日の在庫を貼る!$B$6:$B$10005,$B4406,①今日の在庫を貼る!$I$6:$I$10005,$I4406)&gt;0,N(U4405),N(U4405)+1))</f>
        <v>2</v>
      </c>
    </row>
    <row r="4407" customFormat="false" ht="15" hidden="false" customHeight="false" outlineLevel="0" collapsed="false">
      <c r="B4407" s="53"/>
      <c r="I4407" s="53"/>
      <c r="U4407" s="31" t="n">
        <f aca="false">IF($B4407&lt;&gt;'設定（最初に1回）'!$C$4,N(U4406),IF(COUNTIFS(①今日の在庫を貼る!$B$6:$B$10005,$B4407,①今日の在庫を貼る!$I$6:$I$10005,$I4407)&gt;0,N(U4406),N(U4406)+1))</f>
        <v>2</v>
      </c>
    </row>
    <row r="4408" customFormat="false" ht="15" hidden="false" customHeight="false" outlineLevel="0" collapsed="false">
      <c r="B4408" s="53"/>
      <c r="I4408" s="53"/>
      <c r="U4408" s="31" t="n">
        <f aca="false">IF($B4408&lt;&gt;'設定（最初に1回）'!$C$4,N(U4407),IF(COUNTIFS(①今日の在庫を貼る!$B$6:$B$10005,$B4408,①今日の在庫を貼る!$I$6:$I$10005,$I4408)&gt;0,N(U4407),N(U4407)+1))</f>
        <v>2</v>
      </c>
    </row>
    <row r="4409" customFormat="false" ht="15" hidden="false" customHeight="false" outlineLevel="0" collapsed="false">
      <c r="B4409" s="53"/>
      <c r="I4409" s="53"/>
      <c r="U4409" s="31" t="n">
        <f aca="false">IF($B4409&lt;&gt;'設定（最初に1回）'!$C$4,N(U4408),IF(COUNTIFS(①今日の在庫を貼る!$B$6:$B$10005,$B4409,①今日の在庫を貼る!$I$6:$I$10005,$I4409)&gt;0,N(U4408),N(U4408)+1))</f>
        <v>2</v>
      </c>
    </row>
    <row r="4410" customFormat="false" ht="15" hidden="false" customHeight="false" outlineLevel="0" collapsed="false">
      <c r="B4410" s="53"/>
      <c r="I4410" s="53"/>
      <c r="U4410" s="31" t="n">
        <f aca="false">IF($B4410&lt;&gt;'設定（最初に1回）'!$C$4,N(U4409),IF(COUNTIFS(①今日の在庫を貼る!$B$6:$B$10005,$B4410,①今日の在庫を貼る!$I$6:$I$10005,$I4410)&gt;0,N(U4409),N(U4409)+1))</f>
        <v>2</v>
      </c>
    </row>
    <row r="4411" customFormat="false" ht="15" hidden="false" customHeight="false" outlineLevel="0" collapsed="false">
      <c r="B4411" s="53"/>
      <c r="I4411" s="53"/>
      <c r="U4411" s="31" t="n">
        <f aca="false">IF($B4411&lt;&gt;'設定（最初に1回）'!$C$4,N(U4410),IF(COUNTIFS(①今日の在庫を貼る!$B$6:$B$10005,$B4411,①今日の在庫を貼る!$I$6:$I$10005,$I4411)&gt;0,N(U4410),N(U4410)+1))</f>
        <v>2</v>
      </c>
    </row>
    <row r="4412" customFormat="false" ht="15" hidden="false" customHeight="false" outlineLevel="0" collapsed="false">
      <c r="B4412" s="53"/>
      <c r="I4412" s="53"/>
      <c r="U4412" s="31" t="n">
        <f aca="false">IF($B4412&lt;&gt;'設定（最初に1回）'!$C$4,N(U4411),IF(COUNTIFS(①今日の在庫を貼る!$B$6:$B$10005,$B4412,①今日の在庫を貼る!$I$6:$I$10005,$I4412)&gt;0,N(U4411),N(U4411)+1))</f>
        <v>2</v>
      </c>
    </row>
    <row r="4413" customFormat="false" ht="15" hidden="false" customHeight="false" outlineLevel="0" collapsed="false">
      <c r="B4413" s="53"/>
      <c r="I4413" s="53"/>
      <c r="U4413" s="31" t="n">
        <f aca="false">IF($B4413&lt;&gt;'設定（最初に1回）'!$C$4,N(U4412),IF(COUNTIFS(①今日の在庫を貼る!$B$6:$B$10005,$B4413,①今日の在庫を貼る!$I$6:$I$10005,$I4413)&gt;0,N(U4412),N(U4412)+1))</f>
        <v>2</v>
      </c>
    </row>
    <row r="4414" customFormat="false" ht="15" hidden="false" customHeight="false" outlineLevel="0" collapsed="false">
      <c r="B4414" s="53"/>
      <c r="I4414" s="53"/>
      <c r="U4414" s="31" t="n">
        <f aca="false">IF($B4414&lt;&gt;'設定（最初に1回）'!$C$4,N(U4413),IF(COUNTIFS(①今日の在庫を貼る!$B$6:$B$10005,$B4414,①今日の在庫を貼る!$I$6:$I$10005,$I4414)&gt;0,N(U4413),N(U4413)+1))</f>
        <v>2</v>
      </c>
    </row>
    <row r="4415" customFormat="false" ht="15" hidden="false" customHeight="false" outlineLevel="0" collapsed="false">
      <c r="B4415" s="53"/>
      <c r="I4415" s="53"/>
      <c r="U4415" s="31" t="n">
        <f aca="false">IF($B4415&lt;&gt;'設定（最初に1回）'!$C$4,N(U4414),IF(COUNTIFS(①今日の在庫を貼る!$B$6:$B$10005,$B4415,①今日の在庫を貼る!$I$6:$I$10005,$I4415)&gt;0,N(U4414),N(U4414)+1))</f>
        <v>2</v>
      </c>
    </row>
    <row r="4416" customFormat="false" ht="15" hidden="false" customHeight="false" outlineLevel="0" collapsed="false">
      <c r="B4416" s="53"/>
      <c r="I4416" s="53"/>
      <c r="U4416" s="31" t="n">
        <f aca="false">IF($B4416&lt;&gt;'設定（最初に1回）'!$C$4,N(U4415),IF(COUNTIFS(①今日の在庫を貼る!$B$6:$B$10005,$B4416,①今日の在庫を貼る!$I$6:$I$10005,$I4416)&gt;0,N(U4415),N(U4415)+1))</f>
        <v>2</v>
      </c>
    </row>
    <row r="4417" customFormat="false" ht="15" hidden="false" customHeight="false" outlineLevel="0" collapsed="false">
      <c r="B4417" s="53"/>
      <c r="I4417" s="53"/>
      <c r="U4417" s="31" t="n">
        <f aca="false">IF($B4417&lt;&gt;'設定（最初に1回）'!$C$4,N(U4416),IF(COUNTIFS(①今日の在庫を貼る!$B$6:$B$10005,$B4417,①今日の在庫を貼る!$I$6:$I$10005,$I4417)&gt;0,N(U4416),N(U4416)+1))</f>
        <v>2</v>
      </c>
    </row>
    <row r="4418" customFormat="false" ht="15" hidden="false" customHeight="false" outlineLevel="0" collapsed="false">
      <c r="B4418" s="53"/>
      <c r="I4418" s="53"/>
      <c r="U4418" s="31" t="n">
        <f aca="false">IF($B4418&lt;&gt;'設定（最初に1回）'!$C$4,N(U4417),IF(COUNTIFS(①今日の在庫を貼る!$B$6:$B$10005,$B4418,①今日の在庫を貼る!$I$6:$I$10005,$I4418)&gt;0,N(U4417),N(U4417)+1))</f>
        <v>2</v>
      </c>
    </row>
    <row r="4419" customFormat="false" ht="15" hidden="false" customHeight="false" outlineLevel="0" collapsed="false">
      <c r="B4419" s="53"/>
      <c r="I4419" s="53"/>
      <c r="U4419" s="31" t="n">
        <f aca="false">IF($B4419&lt;&gt;'設定（最初に1回）'!$C$4,N(U4418),IF(COUNTIFS(①今日の在庫を貼る!$B$6:$B$10005,$B4419,①今日の在庫を貼る!$I$6:$I$10005,$I4419)&gt;0,N(U4418),N(U4418)+1))</f>
        <v>2</v>
      </c>
    </row>
    <row r="4420" customFormat="false" ht="15" hidden="false" customHeight="false" outlineLevel="0" collapsed="false">
      <c r="B4420" s="53"/>
      <c r="I4420" s="53"/>
      <c r="U4420" s="31" t="n">
        <f aca="false">IF($B4420&lt;&gt;'設定（最初に1回）'!$C$4,N(U4419),IF(COUNTIFS(①今日の在庫を貼る!$B$6:$B$10005,$B4420,①今日の在庫を貼る!$I$6:$I$10005,$I4420)&gt;0,N(U4419),N(U4419)+1))</f>
        <v>2</v>
      </c>
    </row>
    <row r="4421" customFormat="false" ht="15" hidden="false" customHeight="false" outlineLevel="0" collapsed="false">
      <c r="B4421" s="53"/>
      <c r="I4421" s="53"/>
      <c r="U4421" s="31" t="n">
        <f aca="false">IF($B4421&lt;&gt;'設定（最初に1回）'!$C$4,N(U4420),IF(COUNTIFS(①今日の在庫を貼る!$B$6:$B$10005,$B4421,①今日の在庫を貼る!$I$6:$I$10005,$I4421)&gt;0,N(U4420),N(U4420)+1))</f>
        <v>2</v>
      </c>
    </row>
    <row r="4422" customFormat="false" ht="15" hidden="false" customHeight="false" outlineLevel="0" collapsed="false">
      <c r="B4422" s="53"/>
      <c r="I4422" s="53"/>
      <c r="U4422" s="31" t="n">
        <f aca="false">IF($B4422&lt;&gt;'設定（最初に1回）'!$C$4,N(U4421),IF(COUNTIFS(①今日の在庫を貼る!$B$6:$B$10005,$B4422,①今日の在庫を貼る!$I$6:$I$10005,$I4422)&gt;0,N(U4421),N(U4421)+1))</f>
        <v>2</v>
      </c>
    </row>
    <row r="4423" customFormat="false" ht="15" hidden="false" customHeight="false" outlineLevel="0" collapsed="false">
      <c r="B4423" s="53"/>
      <c r="I4423" s="53"/>
      <c r="U4423" s="31" t="n">
        <f aca="false">IF($B4423&lt;&gt;'設定（最初に1回）'!$C$4,N(U4422),IF(COUNTIFS(①今日の在庫を貼る!$B$6:$B$10005,$B4423,①今日の在庫を貼る!$I$6:$I$10005,$I4423)&gt;0,N(U4422),N(U4422)+1))</f>
        <v>2</v>
      </c>
    </row>
    <row r="4424" customFormat="false" ht="15" hidden="false" customHeight="false" outlineLevel="0" collapsed="false">
      <c r="B4424" s="53"/>
      <c r="I4424" s="53"/>
      <c r="U4424" s="31" t="n">
        <f aca="false">IF($B4424&lt;&gt;'設定（最初に1回）'!$C$4,N(U4423),IF(COUNTIFS(①今日の在庫を貼る!$B$6:$B$10005,$B4424,①今日の在庫を貼る!$I$6:$I$10005,$I4424)&gt;0,N(U4423),N(U4423)+1))</f>
        <v>2</v>
      </c>
    </row>
    <row r="4425" customFormat="false" ht="15" hidden="false" customHeight="false" outlineLevel="0" collapsed="false">
      <c r="B4425" s="53"/>
      <c r="I4425" s="53"/>
      <c r="U4425" s="31" t="n">
        <f aca="false">IF($B4425&lt;&gt;'設定（最初に1回）'!$C$4,N(U4424),IF(COUNTIFS(①今日の在庫を貼る!$B$6:$B$10005,$B4425,①今日の在庫を貼る!$I$6:$I$10005,$I4425)&gt;0,N(U4424),N(U4424)+1))</f>
        <v>2</v>
      </c>
    </row>
    <row r="4426" customFormat="false" ht="15" hidden="false" customHeight="false" outlineLevel="0" collapsed="false">
      <c r="B4426" s="53"/>
      <c r="I4426" s="53"/>
      <c r="U4426" s="31" t="n">
        <f aca="false">IF($B4426&lt;&gt;'設定（最初に1回）'!$C$4,N(U4425),IF(COUNTIFS(①今日の在庫を貼る!$B$6:$B$10005,$B4426,①今日の在庫を貼る!$I$6:$I$10005,$I4426)&gt;0,N(U4425),N(U4425)+1))</f>
        <v>2</v>
      </c>
    </row>
    <row r="4427" customFormat="false" ht="15" hidden="false" customHeight="false" outlineLevel="0" collapsed="false">
      <c r="B4427" s="53"/>
      <c r="I4427" s="53"/>
      <c r="U4427" s="31" t="n">
        <f aca="false">IF($B4427&lt;&gt;'設定（最初に1回）'!$C$4,N(U4426),IF(COUNTIFS(①今日の在庫を貼る!$B$6:$B$10005,$B4427,①今日の在庫を貼る!$I$6:$I$10005,$I4427)&gt;0,N(U4426),N(U4426)+1))</f>
        <v>2</v>
      </c>
    </row>
    <row r="4428" customFormat="false" ht="15" hidden="false" customHeight="false" outlineLevel="0" collapsed="false">
      <c r="B4428" s="53"/>
      <c r="I4428" s="53"/>
      <c r="U4428" s="31" t="n">
        <f aca="false">IF($B4428&lt;&gt;'設定（最初に1回）'!$C$4,N(U4427),IF(COUNTIFS(①今日の在庫を貼る!$B$6:$B$10005,$B4428,①今日の在庫を貼る!$I$6:$I$10005,$I4428)&gt;0,N(U4427),N(U4427)+1))</f>
        <v>2</v>
      </c>
    </row>
    <row r="4429" customFormat="false" ht="15" hidden="false" customHeight="false" outlineLevel="0" collapsed="false">
      <c r="B4429" s="53"/>
      <c r="I4429" s="53"/>
      <c r="U4429" s="31" t="n">
        <f aca="false">IF($B4429&lt;&gt;'設定（最初に1回）'!$C$4,N(U4428),IF(COUNTIFS(①今日の在庫を貼る!$B$6:$B$10005,$B4429,①今日の在庫を貼る!$I$6:$I$10005,$I4429)&gt;0,N(U4428),N(U4428)+1))</f>
        <v>2</v>
      </c>
    </row>
    <row r="4430" customFormat="false" ht="15" hidden="false" customHeight="false" outlineLevel="0" collapsed="false">
      <c r="B4430" s="53"/>
      <c r="I4430" s="53"/>
      <c r="U4430" s="31" t="n">
        <f aca="false">IF($B4430&lt;&gt;'設定（最初に1回）'!$C$4,N(U4429),IF(COUNTIFS(①今日の在庫を貼る!$B$6:$B$10005,$B4430,①今日の在庫を貼る!$I$6:$I$10005,$I4430)&gt;0,N(U4429),N(U4429)+1))</f>
        <v>2</v>
      </c>
    </row>
    <row r="4431" customFormat="false" ht="15" hidden="false" customHeight="false" outlineLevel="0" collapsed="false">
      <c r="B4431" s="53"/>
      <c r="I4431" s="53"/>
      <c r="U4431" s="31" t="n">
        <f aca="false">IF($B4431&lt;&gt;'設定（最初に1回）'!$C$4,N(U4430),IF(COUNTIFS(①今日の在庫を貼る!$B$6:$B$10005,$B4431,①今日の在庫を貼る!$I$6:$I$10005,$I4431)&gt;0,N(U4430),N(U4430)+1))</f>
        <v>2</v>
      </c>
    </row>
    <row r="4432" customFormat="false" ht="15" hidden="false" customHeight="false" outlineLevel="0" collapsed="false">
      <c r="B4432" s="53"/>
      <c r="I4432" s="53"/>
      <c r="U4432" s="31" t="n">
        <f aca="false">IF($B4432&lt;&gt;'設定（最初に1回）'!$C$4,N(U4431),IF(COUNTIFS(①今日の在庫を貼る!$B$6:$B$10005,$B4432,①今日の在庫を貼る!$I$6:$I$10005,$I4432)&gt;0,N(U4431),N(U4431)+1))</f>
        <v>2</v>
      </c>
    </row>
    <row r="4433" customFormat="false" ht="15" hidden="false" customHeight="false" outlineLevel="0" collapsed="false">
      <c r="B4433" s="53"/>
      <c r="I4433" s="53"/>
      <c r="U4433" s="31" t="n">
        <f aca="false">IF($B4433&lt;&gt;'設定（最初に1回）'!$C$4,N(U4432),IF(COUNTIFS(①今日の在庫を貼る!$B$6:$B$10005,$B4433,①今日の在庫を貼る!$I$6:$I$10005,$I4433)&gt;0,N(U4432),N(U4432)+1))</f>
        <v>2</v>
      </c>
    </row>
    <row r="4434" customFormat="false" ht="15" hidden="false" customHeight="false" outlineLevel="0" collapsed="false">
      <c r="B4434" s="53"/>
      <c r="I4434" s="53"/>
      <c r="U4434" s="31" t="n">
        <f aca="false">IF($B4434&lt;&gt;'設定（最初に1回）'!$C$4,N(U4433),IF(COUNTIFS(①今日の在庫を貼る!$B$6:$B$10005,$B4434,①今日の在庫を貼る!$I$6:$I$10005,$I4434)&gt;0,N(U4433),N(U4433)+1))</f>
        <v>2</v>
      </c>
    </row>
    <row r="4435" customFormat="false" ht="15" hidden="false" customHeight="false" outlineLevel="0" collapsed="false">
      <c r="B4435" s="53"/>
      <c r="I4435" s="53"/>
      <c r="U4435" s="31" t="n">
        <f aca="false">IF($B4435&lt;&gt;'設定（最初に1回）'!$C$4,N(U4434),IF(COUNTIFS(①今日の在庫を貼る!$B$6:$B$10005,$B4435,①今日の在庫を貼る!$I$6:$I$10005,$I4435)&gt;0,N(U4434),N(U4434)+1))</f>
        <v>2</v>
      </c>
    </row>
    <row r="4436" customFormat="false" ht="15" hidden="false" customHeight="false" outlineLevel="0" collapsed="false">
      <c r="B4436" s="53"/>
      <c r="I4436" s="53"/>
      <c r="U4436" s="31" t="n">
        <f aca="false">IF($B4436&lt;&gt;'設定（最初に1回）'!$C$4,N(U4435),IF(COUNTIFS(①今日の在庫を貼る!$B$6:$B$10005,$B4436,①今日の在庫を貼る!$I$6:$I$10005,$I4436)&gt;0,N(U4435),N(U4435)+1))</f>
        <v>2</v>
      </c>
    </row>
    <row r="4437" customFormat="false" ht="15" hidden="false" customHeight="false" outlineLevel="0" collapsed="false">
      <c r="B4437" s="53"/>
      <c r="I4437" s="53"/>
      <c r="U4437" s="31" t="n">
        <f aca="false">IF($B4437&lt;&gt;'設定（最初に1回）'!$C$4,N(U4436),IF(COUNTIFS(①今日の在庫を貼る!$B$6:$B$10005,$B4437,①今日の在庫を貼る!$I$6:$I$10005,$I4437)&gt;0,N(U4436),N(U4436)+1))</f>
        <v>2</v>
      </c>
    </row>
    <row r="4438" customFormat="false" ht="15" hidden="false" customHeight="false" outlineLevel="0" collapsed="false">
      <c r="B4438" s="53"/>
      <c r="I4438" s="53"/>
      <c r="U4438" s="31" t="n">
        <f aca="false">IF($B4438&lt;&gt;'設定（最初に1回）'!$C$4,N(U4437),IF(COUNTIFS(①今日の在庫を貼る!$B$6:$B$10005,$B4438,①今日の在庫を貼る!$I$6:$I$10005,$I4438)&gt;0,N(U4437),N(U4437)+1))</f>
        <v>2</v>
      </c>
    </row>
    <row r="4439" customFormat="false" ht="15" hidden="false" customHeight="false" outlineLevel="0" collapsed="false">
      <c r="B4439" s="53"/>
      <c r="I4439" s="53"/>
      <c r="U4439" s="31" t="n">
        <f aca="false">IF($B4439&lt;&gt;'設定（最初に1回）'!$C$4,N(U4438),IF(COUNTIFS(①今日の在庫を貼る!$B$6:$B$10005,$B4439,①今日の在庫を貼る!$I$6:$I$10005,$I4439)&gt;0,N(U4438),N(U4438)+1))</f>
        <v>2</v>
      </c>
    </row>
    <row r="4440" customFormat="false" ht="15" hidden="false" customHeight="false" outlineLevel="0" collapsed="false">
      <c r="B4440" s="53"/>
      <c r="I4440" s="53"/>
      <c r="U4440" s="31" t="n">
        <f aca="false">IF($B4440&lt;&gt;'設定（最初に1回）'!$C$4,N(U4439),IF(COUNTIFS(①今日の在庫を貼る!$B$6:$B$10005,$B4440,①今日の在庫を貼る!$I$6:$I$10005,$I4440)&gt;0,N(U4439),N(U4439)+1))</f>
        <v>2</v>
      </c>
    </row>
    <row r="4441" customFormat="false" ht="15" hidden="false" customHeight="false" outlineLevel="0" collapsed="false">
      <c r="B4441" s="53"/>
      <c r="I4441" s="53"/>
      <c r="U4441" s="31" t="n">
        <f aca="false">IF($B4441&lt;&gt;'設定（最初に1回）'!$C$4,N(U4440),IF(COUNTIFS(①今日の在庫を貼る!$B$6:$B$10005,$B4441,①今日の在庫を貼る!$I$6:$I$10005,$I4441)&gt;0,N(U4440),N(U4440)+1))</f>
        <v>2</v>
      </c>
    </row>
    <row r="4442" customFormat="false" ht="15" hidden="false" customHeight="false" outlineLevel="0" collapsed="false">
      <c r="B4442" s="53"/>
      <c r="I4442" s="53"/>
      <c r="U4442" s="31" t="n">
        <f aca="false">IF($B4442&lt;&gt;'設定（最初に1回）'!$C$4,N(U4441),IF(COUNTIFS(①今日の在庫を貼る!$B$6:$B$10005,$B4442,①今日の在庫を貼る!$I$6:$I$10005,$I4442)&gt;0,N(U4441),N(U4441)+1))</f>
        <v>2</v>
      </c>
    </row>
    <row r="4443" customFormat="false" ht="15" hidden="false" customHeight="false" outlineLevel="0" collapsed="false">
      <c r="B4443" s="53"/>
      <c r="I4443" s="53"/>
      <c r="U4443" s="31" t="n">
        <f aca="false">IF($B4443&lt;&gt;'設定（最初に1回）'!$C$4,N(U4442),IF(COUNTIFS(①今日の在庫を貼る!$B$6:$B$10005,$B4443,①今日の在庫を貼る!$I$6:$I$10005,$I4443)&gt;0,N(U4442),N(U4442)+1))</f>
        <v>2</v>
      </c>
    </row>
    <row r="4444" customFormat="false" ht="15" hidden="false" customHeight="false" outlineLevel="0" collapsed="false">
      <c r="B4444" s="53"/>
      <c r="I4444" s="53"/>
      <c r="U4444" s="31" t="n">
        <f aca="false">IF($B4444&lt;&gt;'設定（最初に1回）'!$C$4,N(U4443),IF(COUNTIFS(①今日の在庫を貼る!$B$6:$B$10005,$B4444,①今日の在庫を貼る!$I$6:$I$10005,$I4444)&gt;0,N(U4443),N(U4443)+1))</f>
        <v>2</v>
      </c>
    </row>
    <row r="4445" customFormat="false" ht="15" hidden="false" customHeight="false" outlineLevel="0" collapsed="false">
      <c r="B4445" s="53"/>
      <c r="I4445" s="53"/>
      <c r="U4445" s="31" t="n">
        <f aca="false">IF($B4445&lt;&gt;'設定（最初に1回）'!$C$4,N(U4444),IF(COUNTIFS(①今日の在庫を貼る!$B$6:$B$10005,$B4445,①今日の在庫を貼る!$I$6:$I$10005,$I4445)&gt;0,N(U4444),N(U4444)+1))</f>
        <v>2</v>
      </c>
    </row>
    <row r="4446" customFormat="false" ht="15" hidden="false" customHeight="false" outlineLevel="0" collapsed="false">
      <c r="B4446" s="53"/>
      <c r="I4446" s="53"/>
      <c r="U4446" s="31" t="n">
        <f aca="false">IF($B4446&lt;&gt;'設定（最初に1回）'!$C$4,N(U4445),IF(COUNTIFS(①今日の在庫を貼る!$B$6:$B$10005,$B4446,①今日の在庫を貼る!$I$6:$I$10005,$I4446)&gt;0,N(U4445),N(U4445)+1))</f>
        <v>2</v>
      </c>
    </row>
    <row r="4447" customFormat="false" ht="15" hidden="false" customHeight="false" outlineLevel="0" collapsed="false">
      <c r="B4447" s="53"/>
      <c r="I4447" s="53"/>
      <c r="U4447" s="31" t="n">
        <f aca="false">IF($B4447&lt;&gt;'設定（最初に1回）'!$C$4,N(U4446),IF(COUNTIFS(①今日の在庫を貼る!$B$6:$B$10005,$B4447,①今日の在庫を貼る!$I$6:$I$10005,$I4447)&gt;0,N(U4446),N(U4446)+1))</f>
        <v>2</v>
      </c>
    </row>
    <row r="4448" customFormat="false" ht="15" hidden="false" customHeight="false" outlineLevel="0" collapsed="false">
      <c r="B4448" s="53"/>
      <c r="I4448" s="53"/>
      <c r="U4448" s="31" t="n">
        <f aca="false">IF($B4448&lt;&gt;'設定（最初に1回）'!$C$4,N(U4447),IF(COUNTIFS(①今日の在庫を貼る!$B$6:$B$10005,$B4448,①今日の在庫を貼る!$I$6:$I$10005,$I4448)&gt;0,N(U4447),N(U4447)+1))</f>
        <v>2</v>
      </c>
    </row>
    <row r="4449" customFormat="false" ht="15" hidden="false" customHeight="false" outlineLevel="0" collapsed="false">
      <c r="B4449" s="53"/>
      <c r="I4449" s="53"/>
      <c r="U4449" s="31" t="n">
        <f aca="false">IF($B4449&lt;&gt;'設定（最初に1回）'!$C$4,N(U4448),IF(COUNTIFS(①今日の在庫を貼る!$B$6:$B$10005,$B4449,①今日の在庫を貼る!$I$6:$I$10005,$I4449)&gt;0,N(U4448),N(U4448)+1))</f>
        <v>2</v>
      </c>
    </row>
    <row r="4450" customFormat="false" ht="15" hidden="false" customHeight="false" outlineLevel="0" collapsed="false">
      <c r="B4450" s="53"/>
      <c r="I4450" s="53"/>
      <c r="U4450" s="31" t="n">
        <f aca="false">IF($B4450&lt;&gt;'設定（最初に1回）'!$C$4,N(U4449),IF(COUNTIFS(①今日の在庫を貼る!$B$6:$B$10005,$B4450,①今日の在庫を貼る!$I$6:$I$10005,$I4450)&gt;0,N(U4449),N(U4449)+1))</f>
        <v>2</v>
      </c>
    </row>
    <row r="4451" customFormat="false" ht="15" hidden="false" customHeight="false" outlineLevel="0" collapsed="false">
      <c r="B4451" s="53"/>
      <c r="I4451" s="53"/>
      <c r="U4451" s="31" t="n">
        <f aca="false">IF($B4451&lt;&gt;'設定（最初に1回）'!$C$4,N(U4450),IF(COUNTIFS(①今日の在庫を貼る!$B$6:$B$10005,$B4451,①今日の在庫を貼る!$I$6:$I$10005,$I4451)&gt;0,N(U4450),N(U4450)+1))</f>
        <v>2</v>
      </c>
    </row>
    <row r="4452" customFormat="false" ht="15" hidden="false" customHeight="false" outlineLevel="0" collapsed="false">
      <c r="B4452" s="53"/>
      <c r="I4452" s="53"/>
      <c r="U4452" s="31" t="n">
        <f aca="false">IF($B4452&lt;&gt;'設定（最初に1回）'!$C$4,N(U4451),IF(COUNTIFS(①今日の在庫を貼る!$B$6:$B$10005,$B4452,①今日の在庫を貼る!$I$6:$I$10005,$I4452)&gt;0,N(U4451),N(U4451)+1))</f>
        <v>2</v>
      </c>
    </row>
    <row r="4453" customFormat="false" ht="15" hidden="false" customHeight="false" outlineLevel="0" collapsed="false">
      <c r="B4453" s="53"/>
      <c r="I4453" s="53"/>
      <c r="U4453" s="31" t="n">
        <f aca="false">IF($B4453&lt;&gt;'設定（最初に1回）'!$C$4,N(U4452),IF(COUNTIFS(①今日の在庫を貼る!$B$6:$B$10005,$B4453,①今日の在庫を貼る!$I$6:$I$10005,$I4453)&gt;0,N(U4452),N(U4452)+1))</f>
        <v>2</v>
      </c>
    </row>
    <row r="4454" customFormat="false" ht="15" hidden="false" customHeight="false" outlineLevel="0" collapsed="false">
      <c r="B4454" s="53"/>
      <c r="I4454" s="53"/>
      <c r="U4454" s="31" t="n">
        <f aca="false">IF($B4454&lt;&gt;'設定（最初に1回）'!$C$4,N(U4453),IF(COUNTIFS(①今日の在庫を貼る!$B$6:$B$10005,$B4454,①今日の在庫を貼る!$I$6:$I$10005,$I4454)&gt;0,N(U4453),N(U4453)+1))</f>
        <v>2</v>
      </c>
    </row>
    <row r="4455" customFormat="false" ht="15" hidden="false" customHeight="false" outlineLevel="0" collapsed="false">
      <c r="B4455" s="53"/>
      <c r="I4455" s="53"/>
      <c r="U4455" s="31" t="n">
        <f aca="false">IF($B4455&lt;&gt;'設定（最初に1回）'!$C$4,N(U4454),IF(COUNTIFS(①今日の在庫を貼る!$B$6:$B$10005,$B4455,①今日の在庫を貼る!$I$6:$I$10005,$I4455)&gt;0,N(U4454),N(U4454)+1))</f>
        <v>2</v>
      </c>
    </row>
    <row r="4456" customFormat="false" ht="15" hidden="false" customHeight="false" outlineLevel="0" collapsed="false">
      <c r="B4456" s="53"/>
      <c r="I4456" s="53"/>
      <c r="U4456" s="31" t="n">
        <f aca="false">IF($B4456&lt;&gt;'設定（最初に1回）'!$C$4,N(U4455),IF(COUNTIFS(①今日の在庫を貼る!$B$6:$B$10005,$B4456,①今日の在庫を貼る!$I$6:$I$10005,$I4456)&gt;0,N(U4455),N(U4455)+1))</f>
        <v>2</v>
      </c>
    </row>
    <row r="4457" customFormat="false" ht="15" hidden="false" customHeight="false" outlineLevel="0" collapsed="false">
      <c r="B4457" s="53"/>
      <c r="I4457" s="53"/>
      <c r="U4457" s="31" t="n">
        <f aca="false">IF($B4457&lt;&gt;'設定（最初に1回）'!$C$4,N(U4456),IF(COUNTIFS(①今日の在庫を貼る!$B$6:$B$10005,$B4457,①今日の在庫を貼る!$I$6:$I$10005,$I4457)&gt;0,N(U4456),N(U4456)+1))</f>
        <v>2</v>
      </c>
    </row>
    <row r="4458" customFormat="false" ht="15" hidden="false" customHeight="false" outlineLevel="0" collapsed="false">
      <c r="B4458" s="53"/>
      <c r="I4458" s="53"/>
      <c r="U4458" s="31" t="n">
        <f aca="false">IF($B4458&lt;&gt;'設定（最初に1回）'!$C$4,N(U4457),IF(COUNTIFS(①今日の在庫を貼る!$B$6:$B$10005,$B4458,①今日の在庫を貼る!$I$6:$I$10005,$I4458)&gt;0,N(U4457),N(U4457)+1))</f>
        <v>2</v>
      </c>
    </row>
    <row r="4459" customFormat="false" ht="15" hidden="false" customHeight="false" outlineLevel="0" collapsed="false">
      <c r="B4459" s="53"/>
      <c r="I4459" s="53"/>
      <c r="U4459" s="31" t="n">
        <f aca="false">IF($B4459&lt;&gt;'設定（最初に1回）'!$C$4,N(U4458),IF(COUNTIFS(①今日の在庫を貼る!$B$6:$B$10005,$B4459,①今日の在庫を貼る!$I$6:$I$10005,$I4459)&gt;0,N(U4458),N(U4458)+1))</f>
        <v>2</v>
      </c>
    </row>
    <row r="4460" customFormat="false" ht="15" hidden="false" customHeight="false" outlineLevel="0" collapsed="false">
      <c r="B4460" s="53"/>
      <c r="I4460" s="53"/>
      <c r="U4460" s="31" t="n">
        <f aca="false">IF($B4460&lt;&gt;'設定（最初に1回）'!$C$4,N(U4459),IF(COUNTIFS(①今日の在庫を貼る!$B$6:$B$10005,$B4460,①今日の在庫を貼る!$I$6:$I$10005,$I4460)&gt;0,N(U4459),N(U4459)+1))</f>
        <v>2</v>
      </c>
    </row>
    <row r="4461" customFormat="false" ht="15" hidden="false" customHeight="false" outlineLevel="0" collapsed="false">
      <c r="B4461" s="53"/>
      <c r="I4461" s="53"/>
      <c r="U4461" s="31" t="n">
        <f aca="false">IF($B4461&lt;&gt;'設定（最初に1回）'!$C$4,N(U4460),IF(COUNTIFS(①今日の在庫を貼る!$B$6:$B$10005,$B4461,①今日の在庫を貼る!$I$6:$I$10005,$I4461)&gt;0,N(U4460),N(U4460)+1))</f>
        <v>2</v>
      </c>
    </row>
    <row r="4462" customFormat="false" ht="15" hidden="false" customHeight="false" outlineLevel="0" collapsed="false">
      <c r="B4462" s="53"/>
      <c r="I4462" s="53"/>
      <c r="U4462" s="31" t="n">
        <f aca="false">IF($B4462&lt;&gt;'設定（最初に1回）'!$C$4,N(U4461),IF(COUNTIFS(①今日の在庫を貼る!$B$6:$B$10005,$B4462,①今日の在庫を貼る!$I$6:$I$10005,$I4462)&gt;0,N(U4461),N(U4461)+1))</f>
        <v>2</v>
      </c>
    </row>
    <row r="4463" customFormat="false" ht="15" hidden="false" customHeight="false" outlineLevel="0" collapsed="false">
      <c r="B4463" s="53"/>
      <c r="I4463" s="53"/>
      <c r="U4463" s="31" t="n">
        <f aca="false">IF($B4463&lt;&gt;'設定（最初に1回）'!$C$4,N(U4462),IF(COUNTIFS(①今日の在庫を貼る!$B$6:$B$10005,$B4463,①今日の在庫を貼る!$I$6:$I$10005,$I4463)&gt;0,N(U4462),N(U4462)+1))</f>
        <v>2</v>
      </c>
    </row>
    <row r="4464" customFormat="false" ht="15" hidden="false" customHeight="false" outlineLevel="0" collapsed="false">
      <c r="B4464" s="53"/>
      <c r="I4464" s="53"/>
      <c r="U4464" s="31" t="n">
        <f aca="false">IF($B4464&lt;&gt;'設定（最初に1回）'!$C$4,N(U4463),IF(COUNTIFS(①今日の在庫を貼る!$B$6:$B$10005,$B4464,①今日の在庫を貼る!$I$6:$I$10005,$I4464)&gt;0,N(U4463),N(U4463)+1))</f>
        <v>2</v>
      </c>
    </row>
    <row r="4465" customFormat="false" ht="15" hidden="false" customHeight="false" outlineLevel="0" collapsed="false">
      <c r="B4465" s="53"/>
      <c r="I4465" s="53"/>
      <c r="U4465" s="31" t="n">
        <f aca="false">IF($B4465&lt;&gt;'設定（最初に1回）'!$C$4,N(U4464),IF(COUNTIFS(①今日の在庫を貼る!$B$6:$B$10005,$B4465,①今日の在庫を貼る!$I$6:$I$10005,$I4465)&gt;0,N(U4464),N(U4464)+1))</f>
        <v>2</v>
      </c>
    </row>
    <row r="4466" customFormat="false" ht="15" hidden="false" customHeight="false" outlineLevel="0" collapsed="false">
      <c r="B4466" s="53"/>
      <c r="I4466" s="53"/>
      <c r="U4466" s="31" t="n">
        <f aca="false">IF($B4466&lt;&gt;'設定（最初に1回）'!$C$4,N(U4465),IF(COUNTIFS(①今日の在庫を貼る!$B$6:$B$10005,$B4466,①今日の在庫を貼る!$I$6:$I$10005,$I4466)&gt;0,N(U4465),N(U4465)+1))</f>
        <v>2</v>
      </c>
    </row>
    <row r="4467" customFormat="false" ht="15" hidden="false" customHeight="false" outlineLevel="0" collapsed="false">
      <c r="B4467" s="53"/>
      <c r="I4467" s="53"/>
      <c r="U4467" s="31" t="n">
        <f aca="false">IF($B4467&lt;&gt;'設定（最初に1回）'!$C$4,N(U4466),IF(COUNTIFS(①今日の在庫を貼る!$B$6:$B$10005,$B4467,①今日の在庫を貼る!$I$6:$I$10005,$I4467)&gt;0,N(U4466),N(U4466)+1))</f>
        <v>2</v>
      </c>
    </row>
    <row r="4468" customFormat="false" ht="15" hidden="false" customHeight="false" outlineLevel="0" collapsed="false">
      <c r="B4468" s="53"/>
      <c r="I4468" s="53"/>
      <c r="U4468" s="31" t="n">
        <f aca="false">IF($B4468&lt;&gt;'設定（最初に1回）'!$C$4,N(U4467),IF(COUNTIFS(①今日の在庫を貼る!$B$6:$B$10005,$B4468,①今日の在庫を貼る!$I$6:$I$10005,$I4468)&gt;0,N(U4467),N(U4467)+1))</f>
        <v>2</v>
      </c>
    </row>
    <row r="4469" customFormat="false" ht="15" hidden="false" customHeight="false" outlineLevel="0" collapsed="false">
      <c r="B4469" s="53"/>
      <c r="I4469" s="53"/>
      <c r="U4469" s="31" t="n">
        <f aca="false">IF($B4469&lt;&gt;'設定（最初に1回）'!$C$4,N(U4468),IF(COUNTIFS(①今日の在庫を貼る!$B$6:$B$10005,$B4469,①今日の在庫を貼る!$I$6:$I$10005,$I4469)&gt;0,N(U4468),N(U4468)+1))</f>
        <v>2</v>
      </c>
    </row>
    <row r="4470" customFormat="false" ht="15" hidden="false" customHeight="false" outlineLevel="0" collapsed="false">
      <c r="B4470" s="53"/>
      <c r="I4470" s="53"/>
      <c r="U4470" s="31" t="n">
        <f aca="false">IF($B4470&lt;&gt;'設定（最初に1回）'!$C$4,N(U4469),IF(COUNTIFS(①今日の在庫を貼る!$B$6:$B$10005,$B4470,①今日の在庫を貼る!$I$6:$I$10005,$I4470)&gt;0,N(U4469),N(U4469)+1))</f>
        <v>2</v>
      </c>
    </row>
    <row r="4471" customFormat="false" ht="15" hidden="false" customHeight="false" outlineLevel="0" collapsed="false">
      <c r="B4471" s="53"/>
      <c r="I4471" s="53"/>
      <c r="U4471" s="31" t="n">
        <f aca="false">IF($B4471&lt;&gt;'設定（最初に1回）'!$C$4,N(U4470),IF(COUNTIFS(①今日の在庫を貼る!$B$6:$B$10005,$B4471,①今日の在庫を貼る!$I$6:$I$10005,$I4471)&gt;0,N(U4470),N(U4470)+1))</f>
        <v>2</v>
      </c>
    </row>
    <row r="4472" customFormat="false" ht="15" hidden="false" customHeight="false" outlineLevel="0" collapsed="false">
      <c r="B4472" s="53"/>
      <c r="I4472" s="53"/>
      <c r="U4472" s="31" t="n">
        <f aca="false">IF($B4472&lt;&gt;'設定（最初に1回）'!$C$4,N(U4471),IF(COUNTIFS(①今日の在庫を貼る!$B$6:$B$10005,$B4472,①今日の在庫を貼る!$I$6:$I$10005,$I4472)&gt;0,N(U4471),N(U4471)+1))</f>
        <v>2</v>
      </c>
    </row>
    <row r="4473" customFormat="false" ht="15" hidden="false" customHeight="false" outlineLevel="0" collapsed="false">
      <c r="B4473" s="53"/>
      <c r="I4473" s="53"/>
      <c r="U4473" s="31" t="n">
        <f aca="false">IF($B4473&lt;&gt;'設定（最初に1回）'!$C$4,N(U4472),IF(COUNTIFS(①今日の在庫を貼る!$B$6:$B$10005,$B4473,①今日の在庫を貼る!$I$6:$I$10005,$I4473)&gt;0,N(U4472),N(U4472)+1))</f>
        <v>2</v>
      </c>
    </row>
    <row r="4474" customFormat="false" ht="15" hidden="false" customHeight="false" outlineLevel="0" collapsed="false">
      <c r="B4474" s="53"/>
      <c r="I4474" s="53"/>
      <c r="U4474" s="31" t="n">
        <f aca="false">IF($B4474&lt;&gt;'設定（最初に1回）'!$C$4,N(U4473),IF(COUNTIFS(①今日の在庫を貼る!$B$6:$B$10005,$B4474,①今日の在庫を貼る!$I$6:$I$10005,$I4474)&gt;0,N(U4473),N(U4473)+1))</f>
        <v>2</v>
      </c>
    </row>
    <row r="4475" customFormat="false" ht="15" hidden="false" customHeight="false" outlineLevel="0" collapsed="false">
      <c r="B4475" s="53"/>
      <c r="I4475" s="53"/>
      <c r="U4475" s="31" t="n">
        <f aca="false">IF($B4475&lt;&gt;'設定（最初に1回）'!$C$4,N(U4474),IF(COUNTIFS(①今日の在庫を貼る!$B$6:$B$10005,$B4475,①今日の在庫を貼る!$I$6:$I$10005,$I4475)&gt;0,N(U4474),N(U4474)+1))</f>
        <v>2</v>
      </c>
    </row>
    <row r="4476" customFormat="false" ht="15" hidden="false" customHeight="false" outlineLevel="0" collapsed="false">
      <c r="B4476" s="53"/>
      <c r="I4476" s="53"/>
      <c r="U4476" s="31" t="n">
        <f aca="false">IF($B4476&lt;&gt;'設定（最初に1回）'!$C$4,N(U4475),IF(COUNTIFS(①今日の在庫を貼る!$B$6:$B$10005,$B4476,①今日の在庫を貼る!$I$6:$I$10005,$I4476)&gt;0,N(U4475),N(U4475)+1))</f>
        <v>2</v>
      </c>
    </row>
    <row r="4477" customFormat="false" ht="15" hidden="false" customHeight="false" outlineLevel="0" collapsed="false">
      <c r="B4477" s="53"/>
      <c r="I4477" s="53"/>
      <c r="U4477" s="31" t="n">
        <f aca="false">IF($B4477&lt;&gt;'設定（最初に1回）'!$C$4,N(U4476),IF(COUNTIFS(①今日の在庫を貼る!$B$6:$B$10005,$B4477,①今日の在庫を貼る!$I$6:$I$10005,$I4477)&gt;0,N(U4476),N(U4476)+1))</f>
        <v>2</v>
      </c>
    </row>
    <row r="4478" customFormat="false" ht="15" hidden="false" customHeight="false" outlineLevel="0" collapsed="false">
      <c r="B4478" s="53"/>
      <c r="I4478" s="53"/>
      <c r="U4478" s="31" t="n">
        <f aca="false">IF($B4478&lt;&gt;'設定（最初に1回）'!$C$4,N(U4477),IF(COUNTIFS(①今日の在庫を貼る!$B$6:$B$10005,$B4478,①今日の在庫を貼る!$I$6:$I$10005,$I4478)&gt;0,N(U4477),N(U4477)+1))</f>
        <v>2</v>
      </c>
    </row>
    <row r="4479" customFormat="false" ht="15" hidden="false" customHeight="false" outlineLevel="0" collapsed="false">
      <c r="B4479" s="53"/>
      <c r="I4479" s="53"/>
      <c r="U4479" s="31" t="n">
        <f aca="false">IF($B4479&lt;&gt;'設定（最初に1回）'!$C$4,N(U4478),IF(COUNTIFS(①今日の在庫を貼る!$B$6:$B$10005,$B4479,①今日の在庫を貼る!$I$6:$I$10005,$I4479)&gt;0,N(U4478),N(U4478)+1))</f>
        <v>2</v>
      </c>
    </row>
    <row r="4480" customFormat="false" ht="15" hidden="false" customHeight="false" outlineLevel="0" collapsed="false">
      <c r="B4480" s="53"/>
      <c r="I4480" s="53"/>
      <c r="U4480" s="31" t="n">
        <f aca="false">IF($B4480&lt;&gt;'設定（最初に1回）'!$C$4,N(U4479),IF(COUNTIFS(①今日の在庫を貼る!$B$6:$B$10005,$B4480,①今日の在庫を貼る!$I$6:$I$10005,$I4480)&gt;0,N(U4479),N(U4479)+1))</f>
        <v>2</v>
      </c>
    </row>
    <row r="4481" customFormat="false" ht="15" hidden="false" customHeight="false" outlineLevel="0" collapsed="false">
      <c r="B4481" s="53"/>
      <c r="I4481" s="53"/>
      <c r="U4481" s="31" t="n">
        <f aca="false">IF($B4481&lt;&gt;'設定（最初に1回）'!$C$4,N(U4480),IF(COUNTIFS(①今日の在庫を貼る!$B$6:$B$10005,$B4481,①今日の在庫を貼る!$I$6:$I$10005,$I4481)&gt;0,N(U4480),N(U4480)+1))</f>
        <v>2</v>
      </c>
    </row>
    <row r="4482" customFormat="false" ht="15" hidden="false" customHeight="false" outlineLevel="0" collapsed="false">
      <c r="B4482" s="53"/>
      <c r="I4482" s="53"/>
      <c r="U4482" s="31" t="n">
        <f aca="false">IF($B4482&lt;&gt;'設定（最初に1回）'!$C$4,N(U4481),IF(COUNTIFS(①今日の在庫を貼る!$B$6:$B$10005,$B4482,①今日の在庫を貼る!$I$6:$I$10005,$I4482)&gt;0,N(U4481),N(U4481)+1))</f>
        <v>2</v>
      </c>
    </row>
    <row r="4483" customFormat="false" ht="15" hidden="false" customHeight="false" outlineLevel="0" collapsed="false">
      <c r="B4483" s="53"/>
      <c r="I4483" s="53"/>
      <c r="U4483" s="31" t="n">
        <f aca="false">IF($B4483&lt;&gt;'設定（最初に1回）'!$C$4,N(U4482),IF(COUNTIFS(①今日の在庫を貼る!$B$6:$B$10005,$B4483,①今日の在庫を貼る!$I$6:$I$10005,$I4483)&gt;0,N(U4482),N(U4482)+1))</f>
        <v>2</v>
      </c>
    </row>
    <row r="4484" customFormat="false" ht="15" hidden="false" customHeight="false" outlineLevel="0" collapsed="false">
      <c r="B4484" s="53"/>
      <c r="I4484" s="53"/>
      <c r="U4484" s="31" t="n">
        <f aca="false">IF($B4484&lt;&gt;'設定（最初に1回）'!$C$4,N(U4483),IF(COUNTIFS(①今日の在庫を貼る!$B$6:$B$10005,$B4484,①今日の在庫を貼る!$I$6:$I$10005,$I4484)&gt;0,N(U4483),N(U4483)+1))</f>
        <v>2</v>
      </c>
    </row>
    <row r="4485" customFormat="false" ht="15" hidden="false" customHeight="false" outlineLevel="0" collapsed="false">
      <c r="B4485" s="53"/>
      <c r="I4485" s="53"/>
      <c r="U4485" s="31" t="n">
        <f aca="false">IF($B4485&lt;&gt;'設定（最初に1回）'!$C$4,N(U4484),IF(COUNTIFS(①今日の在庫を貼る!$B$6:$B$10005,$B4485,①今日の在庫を貼る!$I$6:$I$10005,$I4485)&gt;0,N(U4484),N(U4484)+1))</f>
        <v>2</v>
      </c>
    </row>
    <row r="4486" customFormat="false" ht="15" hidden="false" customHeight="false" outlineLevel="0" collapsed="false">
      <c r="B4486" s="53"/>
      <c r="I4486" s="53"/>
      <c r="U4486" s="31" t="n">
        <f aca="false">IF($B4486&lt;&gt;'設定（最初に1回）'!$C$4,N(U4485),IF(COUNTIFS(①今日の在庫を貼る!$B$6:$B$10005,$B4486,①今日の在庫を貼る!$I$6:$I$10005,$I4486)&gt;0,N(U4485),N(U4485)+1))</f>
        <v>2</v>
      </c>
    </row>
    <row r="4487" customFormat="false" ht="15" hidden="false" customHeight="false" outlineLevel="0" collapsed="false">
      <c r="B4487" s="53"/>
      <c r="I4487" s="53"/>
      <c r="U4487" s="31" t="n">
        <f aca="false">IF($B4487&lt;&gt;'設定（最初に1回）'!$C$4,N(U4486),IF(COUNTIFS(①今日の在庫を貼る!$B$6:$B$10005,$B4487,①今日の在庫を貼る!$I$6:$I$10005,$I4487)&gt;0,N(U4486),N(U4486)+1))</f>
        <v>2</v>
      </c>
    </row>
    <row r="4488" customFormat="false" ht="15" hidden="false" customHeight="false" outlineLevel="0" collapsed="false">
      <c r="B4488" s="53"/>
      <c r="I4488" s="53"/>
      <c r="U4488" s="31" t="n">
        <f aca="false">IF($B4488&lt;&gt;'設定（最初に1回）'!$C$4,N(U4487),IF(COUNTIFS(①今日の在庫を貼る!$B$6:$B$10005,$B4488,①今日の在庫を貼る!$I$6:$I$10005,$I4488)&gt;0,N(U4487),N(U4487)+1))</f>
        <v>2</v>
      </c>
    </row>
    <row r="4489" customFormat="false" ht="15" hidden="false" customHeight="false" outlineLevel="0" collapsed="false">
      <c r="B4489" s="53"/>
      <c r="I4489" s="53"/>
      <c r="U4489" s="31" t="n">
        <f aca="false">IF($B4489&lt;&gt;'設定（最初に1回）'!$C$4,N(U4488),IF(COUNTIFS(①今日の在庫を貼る!$B$6:$B$10005,$B4489,①今日の在庫を貼る!$I$6:$I$10005,$I4489)&gt;0,N(U4488),N(U4488)+1))</f>
        <v>2</v>
      </c>
    </row>
    <row r="4490" customFormat="false" ht="15" hidden="false" customHeight="false" outlineLevel="0" collapsed="false">
      <c r="B4490" s="53"/>
      <c r="I4490" s="53"/>
      <c r="U4490" s="31" t="n">
        <f aca="false">IF($B4490&lt;&gt;'設定（最初に1回）'!$C$4,N(U4489),IF(COUNTIFS(①今日の在庫を貼る!$B$6:$B$10005,$B4490,①今日の在庫を貼る!$I$6:$I$10005,$I4490)&gt;0,N(U4489),N(U4489)+1))</f>
        <v>2</v>
      </c>
    </row>
    <row r="4491" customFormat="false" ht="15" hidden="false" customHeight="false" outlineLevel="0" collapsed="false">
      <c r="B4491" s="53"/>
      <c r="I4491" s="53"/>
      <c r="U4491" s="31" t="n">
        <f aca="false">IF($B4491&lt;&gt;'設定（最初に1回）'!$C$4,N(U4490),IF(COUNTIFS(①今日の在庫を貼る!$B$6:$B$10005,$B4491,①今日の在庫を貼る!$I$6:$I$10005,$I4491)&gt;0,N(U4490),N(U4490)+1))</f>
        <v>2</v>
      </c>
    </row>
    <row r="4492" customFormat="false" ht="15" hidden="false" customHeight="false" outlineLevel="0" collapsed="false">
      <c r="B4492" s="53"/>
      <c r="I4492" s="53"/>
      <c r="U4492" s="31" t="n">
        <f aca="false">IF($B4492&lt;&gt;'設定（最初に1回）'!$C$4,N(U4491),IF(COUNTIFS(①今日の在庫を貼る!$B$6:$B$10005,$B4492,①今日の在庫を貼る!$I$6:$I$10005,$I4492)&gt;0,N(U4491),N(U4491)+1))</f>
        <v>2</v>
      </c>
    </row>
    <row r="4493" customFormat="false" ht="15" hidden="false" customHeight="false" outlineLevel="0" collapsed="false">
      <c r="B4493" s="53"/>
      <c r="I4493" s="53"/>
      <c r="U4493" s="31" t="n">
        <f aca="false">IF($B4493&lt;&gt;'設定（最初に1回）'!$C$4,N(U4492),IF(COUNTIFS(①今日の在庫を貼る!$B$6:$B$10005,$B4493,①今日の在庫を貼る!$I$6:$I$10005,$I4493)&gt;0,N(U4492),N(U4492)+1))</f>
        <v>2</v>
      </c>
    </row>
    <row r="4494" customFormat="false" ht="15" hidden="false" customHeight="false" outlineLevel="0" collapsed="false">
      <c r="B4494" s="53"/>
      <c r="I4494" s="53"/>
      <c r="U4494" s="31" t="n">
        <f aca="false">IF($B4494&lt;&gt;'設定（最初に1回）'!$C$4,N(U4493),IF(COUNTIFS(①今日の在庫を貼る!$B$6:$B$10005,$B4494,①今日の在庫を貼る!$I$6:$I$10005,$I4494)&gt;0,N(U4493),N(U4493)+1))</f>
        <v>2</v>
      </c>
    </row>
    <row r="4495" customFormat="false" ht="15" hidden="false" customHeight="false" outlineLevel="0" collapsed="false">
      <c r="B4495" s="53"/>
      <c r="I4495" s="53"/>
      <c r="U4495" s="31" t="n">
        <f aca="false">IF($B4495&lt;&gt;'設定（最初に1回）'!$C$4,N(U4494),IF(COUNTIFS(①今日の在庫を貼る!$B$6:$B$10005,$B4495,①今日の在庫を貼る!$I$6:$I$10005,$I4495)&gt;0,N(U4494),N(U4494)+1))</f>
        <v>2</v>
      </c>
    </row>
    <row r="4496" customFormat="false" ht="15" hidden="false" customHeight="false" outlineLevel="0" collapsed="false">
      <c r="B4496" s="53"/>
      <c r="I4496" s="53"/>
      <c r="U4496" s="31" t="n">
        <f aca="false">IF($B4496&lt;&gt;'設定（最初に1回）'!$C$4,N(U4495),IF(COUNTIFS(①今日の在庫を貼る!$B$6:$B$10005,$B4496,①今日の在庫を貼る!$I$6:$I$10005,$I4496)&gt;0,N(U4495),N(U4495)+1))</f>
        <v>2</v>
      </c>
    </row>
    <row r="4497" customFormat="false" ht="15" hidden="false" customHeight="false" outlineLevel="0" collapsed="false">
      <c r="B4497" s="53"/>
      <c r="I4497" s="53"/>
      <c r="U4497" s="31" t="n">
        <f aca="false">IF($B4497&lt;&gt;'設定（最初に1回）'!$C$4,N(U4496),IF(COUNTIFS(①今日の在庫を貼る!$B$6:$B$10005,$B4497,①今日の在庫を貼る!$I$6:$I$10005,$I4497)&gt;0,N(U4496),N(U4496)+1))</f>
        <v>2</v>
      </c>
    </row>
    <row r="4498" customFormat="false" ht="15" hidden="false" customHeight="false" outlineLevel="0" collapsed="false">
      <c r="B4498" s="53"/>
      <c r="I4498" s="53"/>
      <c r="U4498" s="31" t="n">
        <f aca="false">IF($B4498&lt;&gt;'設定（最初に1回）'!$C$4,N(U4497),IF(COUNTIFS(①今日の在庫を貼る!$B$6:$B$10005,$B4498,①今日の在庫を貼る!$I$6:$I$10005,$I4498)&gt;0,N(U4497),N(U4497)+1))</f>
        <v>2</v>
      </c>
    </row>
    <row r="4499" customFormat="false" ht="15" hidden="false" customHeight="false" outlineLevel="0" collapsed="false">
      <c r="B4499" s="53"/>
      <c r="I4499" s="53"/>
      <c r="U4499" s="31" t="n">
        <f aca="false">IF($B4499&lt;&gt;'設定（最初に1回）'!$C$4,N(U4498),IF(COUNTIFS(①今日の在庫を貼る!$B$6:$B$10005,$B4499,①今日の在庫を貼る!$I$6:$I$10005,$I4499)&gt;0,N(U4498),N(U4498)+1))</f>
        <v>2</v>
      </c>
    </row>
    <row r="4500" customFormat="false" ht="15" hidden="false" customHeight="false" outlineLevel="0" collapsed="false">
      <c r="B4500" s="53"/>
      <c r="I4500" s="53"/>
      <c r="U4500" s="31" t="n">
        <f aca="false">IF($B4500&lt;&gt;'設定（最初に1回）'!$C$4,N(U4499),IF(COUNTIFS(①今日の在庫を貼る!$B$6:$B$10005,$B4500,①今日の在庫を貼る!$I$6:$I$10005,$I4500)&gt;0,N(U4499),N(U4499)+1))</f>
        <v>2</v>
      </c>
    </row>
    <row r="4501" customFormat="false" ht="15" hidden="false" customHeight="false" outlineLevel="0" collapsed="false">
      <c r="B4501" s="53"/>
      <c r="I4501" s="53"/>
      <c r="U4501" s="31" t="n">
        <f aca="false">IF($B4501&lt;&gt;'設定（最初に1回）'!$C$4,N(U4500),IF(COUNTIFS(①今日の在庫を貼る!$B$6:$B$10005,$B4501,①今日の在庫を貼る!$I$6:$I$10005,$I4501)&gt;0,N(U4500),N(U4500)+1))</f>
        <v>2</v>
      </c>
    </row>
    <row r="4502" customFormat="false" ht="15" hidden="false" customHeight="false" outlineLevel="0" collapsed="false">
      <c r="B4502" s="53"/>
      <c r="I4502" s="53"/>
      <c r="U4502" s="31" t="n">
        <f aca="false">IF($B4502&lt;&gt;'設定（最初に1回）'!$C$4,N(U4501),IF(COUNTIFS(①今日の在庫を貼る!$B$6:$B$10005,$B4502,①今日の在庫を貼る!$I$6:$I$10005,$I4502)&gt;0,N(U4501),N(U4501)+1))</f>
        <v>2</v>
      </c>
    </row>
    <row r="4503" customFormat="false" ht="15" hidden="false" customHeight="false" outlineLevel="0" collapsed="false">
      <c r="B4503" s="53"/>
      <c r="I4503" s="53"/>
      <c r="U4503" s="31" t="n">
        <f aca="false">IF($B4503&lt;&gt;'設定（最初に1回）'!$C$4,N(U4502),IF(COUNTIFS(①今日の在庫を貼る!$B$6:$B$10005,$B4503,①今日の在庫を貼る!$I$6:$I$10005,$I4503)&gt;0,N(U4502),N(U4502)+1))</f>
        <v>2</v>
      </c>
    </row>
    <row r="4504" customFormat="false" ht="15" hidden="false" customHeight="false" outlineLevel="0" collapsed="false">
      <c r="B4504" s="53"/>
      <c r="I4504" s="53"/>
      <c r="U4504" s="31" t="n">
        <f aca="false">IF($B4504&lt;&gt;'設定（最初に1回）'!$C$4,N(U4503),IF(COUNTIFS(①今日の在庫を貼る!$B$6:$B$10005,$B4504,①今日の在庫を貼る!$I$6:$I$10005,$I4504)&gt;0,N(U4503),N(U4503)+1))</f>
        <v>2</v>
      </c>
    </row>
    <row r="4505" customFormat="false" ht="15" hidden="false" customHeight="false" outlineLevel="0" collapsed="false">
      <c r="B4505" s="53"/>
      <c r="I4505" s="53"/>
      <c r="U4505" s="31" t="n">
        <f aca="false">IF($B4505&lt;&gt;'設定（最初に1回）'!$C$4,N(U4504),IF(COUNTIFS(①今日の在庫を貼る!$B$6:$B$10005,$B4505,①今日の在庫を貼る!$I$6:$I$10005,$I4505)&gt;0,N(U4504),N(U4504)+1))</f>
        <v>2</v>
      </c>
    </row>
    <row r="4506" customFormat="false" ht="15" hidden="false" customHeight="false" outlineLevel="0" collapsed="false">
      <c r="B4506" s="53"/>
      <c r="I4506" s="53"/>
      <c r="U4506" s="31" t="n">
        <f aca="false">IF($B4506&lt;&gt;'設定（最初に1回）'!$C$4,N(U4505),IF(COUNTIFS(①今日の在庫を貼る!$B$6:$B$10005,$B4506,①今日の在庫を貼る!$I$6:$I$10005,$I4506)&gt;0,N(U4505),N(U4505)+1))</f>
        <v>2</v>
      </c>
    </row>
    <row r="4507" customFormat="false" ht="15" hidden="false" customHeight="false" outlineLevel="0" collapsed="false">
      <c r="B4507" s="53"/>
      <c r="I4507" s="53"/>
      <c r="U4507" s="31" t="n">
        <f aca="false">IF($B4507&lt;&gt;'設定（最初に1回）'!$C$4,N(U4506),IF(COUNTIFS(①今日の在庫を貼る!$B$6:$B$10005,$B4507,①今日の在庫を貼る!$I$6:$I$10005,$I4507)&gt;0,N(U4506),N(U4506)+1))</f>
        <v>2</v>
      </c>
    </row>
    <row r="4508" customFormat="false" ht="15" hidden="false" customHeight="false" outlineLevel="0" collapsed="false">
      <c r="B4508" s="53"/>
      <c r="I4508" s="53"/>
      <c r="U4508" s="31" t="n">
        <f aca="false">IF($B4508&lt;&gt;'設定（最初に1回）'!$C$4,N(U4507),IF(COUNTIFS(①今日の在庫を貼る!$B$6:$B$10005,$B4508,①今日の在庫を貼る!$I$6:$I$10005,$I4508)&gt;0,N(U4507),N(U4507)+1))</f>
        <v>2</v>
      </c>
    </row>
    <row r="4509" customFormat="false" ht="15" hidden="false" customHeight="false" outlineLevel="0" collapsed="false">
      <c r="B4509" s="53"/>
      <c r="I4509" s="53"/>
      <c r="U4509" s="31" t="n">
        <f aca="false">IF($B4509&lt;&gt;'設定（最初に1回）'!$C$4,N(U4508),IF(COUNTIFS(①今日の在庫を貼る!$B$6:$B$10005,$B4509,①今日の在庫を貼る!$I$6:$I$10005,$I4509)&gt;0,N(U4508),N(U4508)+1))</f>
        <v>2</v>
      </c>
    </row>
    <row r="4510" customFormat="false" ht="15" hidden="false" customHeight="false" outlineLevel="0" collapsed="false">
      <c r="B4510" s="53"/>
      <c r="I4510" s="53"/>
      <c r="U4510" s="31" t="n">
        <f aca="false">IF($B4510&lt;&gt;'設定（最初に1回）'!$C$4,N(U4509),IF(COUNTIFS(①今日の在庫を貼る!$B$6:$B$10005,$B4510,①今日の在庫を貼る!$I$6:$I$10005,$I4510)&gt;0,N(U4509),N(U4509)+1))</f>
        <v>2</v>
      </c>
    </row>
    <row r="4511" customFormat="false" ht="15" hidden="false" customHeight="false" outlineLevel="0" collapsed="false">
      <c r="B4511" s="53"/>
      <c r="I4511" s="53"/>
      <c r="U4511" s="31" t="n">
        <f aca="false">IF($B4511&lt;&gt;'設定（最初に1回）'!$C$4,N(U4510),IF(COUNTIFS(①今日の在庫を貼る!$B$6:$B$10005,$B4511,①今日の在庫を貼る!$I$6:$I$10005,$I4511)&gt;0,N(U4510),N(U4510)+1))</f>
        <v>2</v>
      </c>
    </row>
    <row r="4512" customFormat="false" ht="15" hidden="false" customHeight="false" outlineLevel="0" collapsed="false">
      <c r="B4512" s="53"/>
      <c r="I4512" s="53"/>
      <c r="U4512" s="31" t="n">
        <f aca="false">IF($B4512&lt;&gt;'設定（最初に1回）'!$C$4,N(U4511),IF(COUNTIFS(①今日の在庫を貼る!$B$6:$B$10005,$B4512,①今日の在庫を貼る!$I$6:$I$10005,$I4512)&gt;0,N(U4511),N(U4511)+1))</f>
        <v>2</v>
      </c>
    </row>
    <row r="4513" customFormat="false" ht="15" hidden="false" customHeight="false" outlineLevel="0" collapsed="false">
      <c r="B4513" s="53"/>
      <c r="I4513" s="53"/>
      <c r="U4513" s="31" t="n">
        <f aca="false">IF($B4513&lt;&gt;'設定（最初に1回）'!$C$4,N(U4512),IF(COUNTIFS(①今日の在庫を貼る!$B$6:$B$10005,$B4513,①今日の在庫を貼る!$I$6:$I$10005,$I4513)&gt;0,N(U4512),N(U4512)+1))</f>
        <v>2</v>
      </c>
    </row>
    <row r="4514" customFormat="false" ht="15" hidden="false" customHeight="false" outlineLevel="0" collapsed="false">
      <c r="B4514" s="53"/>
      <c r="I4514" s="53"/>
      <c r="U4514" s="31" t="n">
        <f aca="false">IF($B4514&lt;&gt;'設定（最初に1回）'!$C$4,N(U4513),IF(COUNTIFS(①今日の在庫を貼る!$B$6:$B$10005,$B4514,①今日の在庫を貼る!$I$6:$I$10005,$I4514)&gt;0,N(U4513),N(U4513)+1))</f>
        <v>2</v>
      </c>
    </row>
    <row r="4515" customFormat="false" ht="15" hidden="false" customHeight="false" outlineLevel="0" collapsed="false">
      <c r="B4515" s="53"/>
      <c r="I4515" s="53"/>
      <c r="U4515" s="31" t="n">
        <f aca="false">IF($B4515&lt;&gt;'設定（最初に1回）'!$C$4,N(U4514),IF(COUNTIFS(①今日の在庫を貼る!$B$6:$B$10005,$B4515,①今日の在庫を貼る!$I$6:$I$10005,$I4515)&gt;0,N(U4514),N(U4514)+1))</f>
        <v>2</v>
      </c>
    </row>
    <row r="4516" customFormat="false" ht="15" hidden="false" customHeight="false" outlineLevel="0" collapsed="false">
      <c r="B4516" s="53"/>
      <c r="I4516" s="53"/>
      <c r="U4516" s="31" t="n">
        <f aca="false">IF($B4516&lt;&gt;'設定（最初に1回）'!$C$4,N(U4515),IF(COUNTIFS(①今日の在庫を貼る!$B$6:$B$10005,$B4516,①今日の在庫を貼る!$I$6:$I$10005,$I4516)&gt;0,N(U4515),N(U4515)+1))</f>
        <v>2</v>
      </c>
    </row>
    <row r="4517" customFormat="false" ht="15" hidden="false" customHeight="false" outlineLevel="0" collapsed="false">
      <c r="B4517" s="53"/>
      <c r="I4517" s="53"/>
      <c r="U4517" s="31" t="n">
        <f aca="false">IF($B4517&lt;&gt;'設定（最初に1回）'!$C$4,N(U4516),IF(COUNTIFS(①今日の在庫を貼る!$B$6:$B$10005,$B4517,①今日の在庫を貼る!$I$6:$I$10005,$I4517)&gt;0,N(U4516),N(U4516)+1))</f>
        <v>2</v>
      </c>
    </row>
    <row r="4518" customFormat="false" ht="15" hidden="false" customHeight="false" outlineLevel="0" collapsed="false">
      <c r="B4518" s="53"/>
      <c r="I4518" s="53"/>
      <c r="U4518" s="31" t="n">
        <f aca="false">IF($B4518&lt;&gt;'設定（最初に1回）'!$C$4,N(U4517),IF(COUNTIFS(①今日の在庫を貼る!$B$6:$B$10005,$B4518,①今日の在庫を貼る!$I$6:$I$10005,$I4518)&gt;0,N(U4517),N(U4517)+1))</f>
        <v>2</v>
      </c>
    </row>
    <row r="4519" customFormat="false" ht="15" hidden="false" customHeight="false" outlineLevel="0" collapsed="false">
      <c r="B4519" s="53"/>
      <c r="I4519" s="53"/>
      <c r="U4519" s="31" t="n">
        <f aca="false">IF($B4519&lt;&gt;'設定（最初に1回）'!$C$4,N(U4518),IF(COUNTIFS(①今日の在庫を貼る!$B$6:$B$10005,$B4519,①今日の在庫を貼る!$I$6:$I$10005,$I4519)&gt;0,N(U4518),N(U4518)+1))</f>
        <v>2</v>
      </c>
    </row>
    <row r="4520" customFormat="false" ht="15" hidden="false" customHeight="false" outlineLevel="0" collapsed="false">
      <c r="B4520" s="53"/>
      <c r="I4520" s="53"/>
      <c r="U4520" s="31" t="n">
        <f aca="false">IF($B4520&lt;&gt;'設定（最初に1回）'!$C$4,N(U4519),IF(COUNTIFS(①今日の在庫を貼る!$B$6:$B$10005,$B4520,①今日の在庫を貼る!$I$6:$I$10005,$I4520)&gt;0,N(U4519),N(U4519)+1))</f>
        <v>2</v>
      </c>
    </row>
    <row r="4521" customFormat="false" ht="15" hidden="false" customHeight="false" outlineLevel="0" collapsed="false">
      <c r="B4521" s="53"/>
      <c r="I4521" s="53"/>
      <c r="U4521" s="31" t="n">
        <f aca="false">IF($B4521&lt;&gt;'設定（最初に1回）'!$C$4,N(U4520),IF(COUNTIFS(①今日の在庫を貼る!$B$6:$B$10005,$B4521,①今日の在庫を貼る!$I$6:$I$10005,$I4521)&gt;0,N(U4520),N(U4520)+1))</f>
        <v>2</v>
      </c>
    </row>
    <row r="4522" customFormat="false" ht="15" hidden="false" customHeight="false" outlineLevel="0" collapsed="false">
      <c r="B4522" s="53"/>
      <c r="I4522" s="53"/>
      <c r="U4522" s="31" t="n">
        <f aca="false">IF($B4522&lt;&gt;'設定（最初に1回）'!$C$4,N(U4521),IF(COUNTIFS(①今日の在庫を貼る!$B$6:$B$10005,$B4522,①今日の在庫を貼る!$I$6:$I$10005,$I4522)&gt;0,N(U4521),N(U4521)+1))</f>
        <v>2</v>
      </c>
    </row>
    <row r="4523" customFormat="false" ht="15" hidden="false" customHeight="false" outlineLevel="0" collapsed="false">
      <c r="B4523" s="53"/>
      <c r="I4523" s="53"/>
      <c r="U4523" s="31" t="n">
        <f aca="false">IF($B4523&lt;&gt;'設定（最初に1回）'!$C$4,N(U4522),IF(COUNTIFS(①今日の在庫を貼る!$B$6:$B$10005,$B4523,①今日の在庫を貼る!$I$6:$I$10005,$I4523)&gt;0,N(U4522),N(U4522)+1))</f>
        <v>2</v>
      </c>
    </row>
    <row r="4524" customFormat="false" ht="15" hidden="false" customHeight="false" outlineLevel="0" collapsed="false">
      <c r="B4524" s="53"/>
      <c r="I4524" s="53"/>
      <c r="U4524" s="31" t="n">
        <f aca="false">IF($B4524&lt;&gt;'設定（最初に1回）'!$C$4,N(U4523),IF(COUNTIFS(①今日の在庫を貼る!$B$6:$B$10005,$B4524,①今日の在庫を貼る!$I$6:$I$10005,$I4524)&gt;0,N(U4523),N(U4523)+1))</f>
        <v>2</v>
      </c>
    </row>
    <row r="4525" customFormat="false" ht="15" hidden="false" customHeight="false" outlineLevel="0" collapsed="false">
      <c r="B4525" s="53"/>
      <c r="I4525" s="53"/>
      <c r="U4525" s="31" t="n">
        <f aca="false">IF($B4525&lt;&gt;'設定（最初に1回）'!$C$4,N(U4524),IF(COUNTIFS(①今日の在庫を貼る!$B$6:$B$10005,$B4525,①今日の在庫を貼る!$I$6:$I$10005,$I4525)&gt;0,N(U4524),N(U4524)+1))</f>
        <v>2</v>
      </c>
    </row>
    <row r="4526" customFormat="false" ht="15" hidden="false" customHeight="false" outlineLevel="0" collapsed="false">
      <c r="B4526" s="53"/>
      <c r="I4526" s="53"/>
      <c r="U4526" s="31" t="n">
        <f aca="false">IF($B4526&lt;&gt;'設定（最初に1回）'!$C$4,N(U4525),IF(COUNTIFS(①今日の在庫を貼る!$B$6:$B$10005,$B4526,①今日の在庫を貼る!$I$6:$I$10005,$I4526)&gt;0,N(U4525),N(U4525)+1))</f>
        <v>2</v>
      </c>
    </row>
    <row r="4527" customFormat="false" ht="15" hidden="false" customHeight="false" outlineLevel="0" collapsed="false">
      <c r="B4527" s="53"/>
      <c r="I4527" s="53"/>
      <c r="U4527" s="31" t="n">
        <f aca="false">IF($B4527&lt;&gt;'設定（最初に1回）'!$C$4,N(U4526),IF(COUNTIFS(①今日の在庫を貼る!$B$6:$B$10005,$B4527,①今日の在庫を貼る!$I$6:$I$10005,$I4527)&gt;0,N(U4526),N(U4526)+1))</f>
        <v>2</v>
      </c>
    </row>
    <row r="4528" customFormat="false" ht="15" hidden="false" customHeight="false" outlineLevel="0" collapsed="false">
      <c r="B4528" s="53"/>
      <c r="I4528" s="53"/>
      <c r="U4528" s="31" t="n">
        <f aca="false">IF($B4528&lt;&gt;'設定（最初に1回）'!$C$4,N(U4527),IF(COUNTIFS(①今日の在庫を貼る!$B$6:$B$10005,$B4528,①今日の在庫を貼る!$I$6:$I$10005,$I4528)&gt;0,N(U4527),N(U4527)+1))</f>
        <v>2</v>
      </c>
    </row>
    <row r="4529" customFormat="false" ht="15" hidden="false" customHeight="false" outlineLevel="0" collapsed="false">
      <c r="B4529" s="53"/>
      <c r="I4529" s="53"/>
      <c r="U4529" s="31" t="n">
        <f aca="false">IF($B4529&lt;&gt;'設定（最初に1回）'!$C$4,N(U4528),IF(COUNTIFS(①今日の在庫を貼る!$B$6:$B$10005,$B4529,①今日の在庫を貼る!$I$6:$I$10005,$I4529)&gt;0,N(U4528),N(U4528)+1))</f>
        <v>2</v>
      </c>
    </row>
    <row r="4530" customFormat="false" ht="15" hidden="false" customHeight="false" outlineLevel="0" collapsed="false">
      <c r="B4530" s="53"/>
      <c r="I4530" s="53"/>
      <c r="U4530" s="31" t="n">
        <f aca="false">IF($B4530&lt;&gt;'設定（最初に1回）'!$C$4,N(U4529),IF(COUNTIFS(①今日の在庫を貼る!$B$6:$B$10005,$B4530,①今日の在庫を貼る!$I$6:$I$10005,$I4530)&gt;0,N(U4529),N(U4529)+1))</f>
        <v>2</v>
      </c>
    </row>
    <row r="4531" customFormat="false" ht="15" hidden="false" customHeight="false" outlineLevel="0" collapsed="false">
      <c r="B4531" s="53"/>
      <c r="I4531" s="53"/>
      <c r="U4531" s="31" t="n">
        <f aca="false">IF($B4531&lt;&gt;'設定（最初に1回）'!$C$4,N(U4530),IF(COUNTIFS(①今日の在庫を貼る!$B$6:$B$10005,$B4531,①今日の在庫を貼る!$I$6:$I$10005,$I4531)&gt;0,N(U4530),N(U4530)+1))</f>
        <v>2</v>
      </c>
    </row>
    <row r="4532" customFormat="false" ht="15" hidden="false" customHeight="false" outlineLevel="0" collapsed="false">
      <c r="B4532" s="53"/>
      <c r="I4532" s="53"/>
      <c r="U4532" s="31" t="n">
        <f aca="false">IF($B4532&lt;&gt;'設定（最初に1回）'!$C$4,N(U4531),IF(COUNTIFS(①今日の在庫を貼る!$B$6:$B$10005,$B4532,①今日の在庫を貼る!$I$6:$I$10005,$I4532)&gt;0,N(U4531),N(U4531)+1))</f>
        <v>2</v>
      </c>
    </row>
    <row r="4533" customFormat="false" ht="15" hidden="false" customHeight="false" outlineLevel="0" collapsed="false">
      <c r="B4533" s="53"/>
      <c r="I4533" s="53"/>
      <c r="U4533" s="31" t="n">
        <f aca="false">IF($B4533&lt;&gt;'設定（最初に1回）'!$C$4,N(U4532),IF(COUNTIFS(①今日の在庫を貼る!$B$6:$B$10005,$B4533,①今日の在庫を貼る!$I$6:$I$10005,$I4533)&gt;0,N(U4532),N(U4532)+1))</f>
        <v>2</v>
      </c>
    </row>
    <row r="4534" customFormat="false" ht="15" hidden="false" customHeight="false" outlineLevel="0" collapsed="false">
      <c r="B4534" s="53"/>
      <c r="I4534" s="53"/>
      <c r="U4534" s="31" t="n">
        <f aca="false">IF($B4534&lt;&gt;'設定（最初に1回）'!$C$4,N(U4533),IF(COUNTIFS(①今日の在庫を貼る!$B$6:$B$10005,$B4534,①今日の在庫を貼る!$I$6:$I$10005,$I4534)&gt;0,N(U4533),N(U4533)+1))</f>
        <v>2</v>
      </c>
    </row>
    <row r="4535" customFormat="false" ht="15" hidden="false" customHeight="false" outlineLevel="0" collapsed="false">
      <c r="B4535" s="53"/>
      <c r="I4535" s="53"/>
      <c r="U4535" s="31" t="n">
        <f aca="false">IF($B4535&lt;&gt;'設定（最初に1回）'!$C$4,N(U4534),IF(COUNTIFS(①今日の在庫を貼る!$B$6:$B$10005,$B4535,①今日の在庫を貼る!$I$6:$I$10005,$I4535)&gt;0,N(U4534),N(U4534)+1))</f>
        <v>2</v>
      </c>
    </row>
    <row r="4536" customFormat="false" ht="15" hidden="false" customHeight="false" outlineLevel="0" collapsed="false">
      <c r="B4536" s="53"/>
      <c r="I4536" s="53"/>
      <c r="U4536" s="31" t="n">
        <f aca="false">IF($B4536&lt;&gt;'設定（最初に1回）'!$C$4,N(U4535),IF(COUNTIFS(①今日の在庫を貼る!$B$6:$B$10005,$B4536,①今日の在庫を貼る!$I$6:$I$10005,$I4536)&gt;0,N(U4535),N(U4535)+1))</f>
        <v>2</v>
      </c>
    </row>
    <row r="4537" customFormat="false" ht="15" hidden="false" customHeight="false" outlineLevel="0" collapsed="false">
      <c r="B4537" s="53"/>
      <c r="I4537" s="53"/>
      <c r="U4537" s="31" t="n">
        <f aca="false">IF($B4537&lt;&gt;'設定（最初に1回）'!$C$4,N(U4536),IF(COUNTIFS(①今日の在庫を貼る!$B$6:$B$10005,$B4537,①今日の在庫を貼る!$I$6:$I$10005,$I4537)&gt;0,N(U4536),N(U4536)+1))</f>
        <v>2</v>
      </c>
    </row>
    <row r="4538" customFormat="false" ht="15" hidden="false" customHeight="false" outlineLevel="0" collapsed="false">
      <c r="B4538" s="53"/>
      <c r="I4538" s="53"/>
      <c r="U4538" s="31" t="n">
        <f aca="false">IF($B4538&lt;&gt;'設定（最初に1回）'!$C$4,N(U4537),IF(COUNTIFS(①今日の在庫を貼る!$B$6:$B$10005,$B4538,①今日の在庫を貼る!$I$6:$I$10005,$I4538)&gt;0,N(U4537),N(U4537)+1))</f>
        <v>2</v>
      </c>
    </row>
    <row r="4539" customFormat="false" ht="15" hidden="false" customHeight="false" outlineLevel="0" collapsed="false">
      <c r="B4539" s="53"/>
      <c r="I4539" s="53"/>
      <c r="U4539" s="31" t="n">
        <f aca="false">IF($B4539&lt;&gt;'設定（最初に1回）'!$C$4,N(U4538),IF(COUNTIFS(①今日の在庫を貼る!$B$6:$B$10005,$B4539,①今日の在庫を貼る!$I$6:$I$10005,$I4539)&gt;0,N(U4538),N(U4538)+1))</f>
        <v>2</v>
      </c>
    </row>
    <row r="4540" customFormat="false" ht="15" hidden="false" customHeight="false" outlineLevel="0" collapsed="false">
      <c r="B4540" s="53"/>
      <c r="I4540" s="53"/>
      <c r="U4540" s="31" t="n">
        <f aca="false">IF($B4540&lt;&gt;'設定（最初に1回）'!$C$4,N(U4539),IF(COUNTIFS(①今日の在庫を貼る!$B$6:$B$10005,$B4540,①今日の在庫を貼る!$I$6:$I$10005,$I4540)&gt;0,N(U4539),N(U4539)+1))</f>
        <v>2</v>
      </c>
    </row>
    <row r="4541" customFormat="false" ht="15" hidden="false" customHeight="false" outlineLevel="0" collapsed="false">
      <c r="B4541" s="53"/>
      <c r="I4541" s="53"/>
      <c r="U4541" s="31" t="n">
        <f aca="false">IF($B4541&lt;&gt;'設定（最初に1回）'!$C$4,N(U4540),IF(COUNTIFS(①今日の在庫を貼る!$B$6:$B$10005,$B4541,①今日の在庫を貼る!$I$6:$I$10005,$I4541)&gt;0,N(U4540),N(U4540)+1))</f>
        <v>2</v>
      </c>
    </row>
    <row r="4542" customFormat="false" ht="15" hidden="false" customHeight="false" outlineLevel="0" collapsed="false">
      <c r="B4542" s="53"/>
      <c r="I4542" s="53"/>
      <c r="U4542" s="31" t="n">
        <f aca="false">IF($B4542&lt;&gt;'設定（最初に1回）'!$C$4,N(U4541),IF(COUNTIFS(①今日の在庫を貼る!$B$6:$B$10005,$B4542,①今日の在庫を貼る!$I$6:$I$10005,$I4542)&gt;0,N(U4541),N(U4541)+1))</f>
        <v>2</v>
      </c>
    </row>
    <row r="4543" customFormat="false" ht="15" hidden="false" customHeight="false" outlineLevel="0" collapsed="false">
      <c r="B4543" s="53"/>
      <c r="I4543" s="53"/>
      <c r="U4543" s="31" t="n">
        <f aca="false">IF($B4543&lt;&gt;'設定（最初に1回）'!$C$4,N(U4542),IF(COUNTIFS(①今日の在庫を貼る!$B$6:$B$10005,$B4543,①今日の在庫を貼る!$I$6:$I$10005,$I4543)&gt;0,N(U4542),N(U4542)+1))</f>
        <v>2</v>
      </c>
    </row>
    <row r="4544" customFormat="false" ht="15" hidden="false" customHeight="false" outlineLevel="0" collapsed="false">
      <c r="B4544" s="53"/>
      <c r="I4544" s="53"/>
      <c r="U4544" s="31" t="n">
        <f aca="false">IF($B4544&lt;&gt;'設定（最初に1回）'!$C$4,N(U4543),IF(COUNTIFS(①今日の在庫を貼る!$B$6:$B$10005,$B4544,①今日の在庫を貼る!$I$6:$I$10005,$I4544)&gt;0,N(U4543),N(U4543)+1))</f>
        <v>2</v>
      </c>
    </row>
    <row r="4545" customFormat="false" ht="15" hidden="false" customHeight="false" outlineLevel="0" collapsed="false">
      <c r="B4545" s="53"/>
      <c r="I4545" s="53"/>
      <c r="U4545" s="31" t="n">
        <f aca="false">IF($B4545&lt;&gt;'設定（最初に1回）'!$C$4,N(U4544),IF(COUNTIFS(①今日の在庫を貼る!$B$6:$B$10005,$B4545,①今日の在庫を貼る!$I$6:$I$10005,$I4545)&gt;0,N(U4544),N(U4544)+1))</f>
        <v>2</v>
      </c>
    </row>
    <row r="4546" customFormat="false" ht="15" hidden="false" customHeight="false" outlineLevel="0" collapsed="false">
      <c r="B4546" s="53"/>
      <c r="I4546" s="53"/>
      <c r="U4546" s="31" t="n">
        <f aca="false">IF($B4546&lt;&gt;'設定（最初に1回）'!$C$4,N(U4545),IF(COUNTIFS(①今日の在庫を貼る!$B$6:$B$10005,$B4546,①今日の在庫を貼る!$I$6:$I$10005,$I4546)&gt;0,N(U4545),N(U4545)+1))</f>
        <v>2</v>
      </c>
    </row>
    <row r="4547" customFormat="false" ht="15" hidden="false" customHeight="false" outlineLevel="0" collapsed="false">
      <c r="B4547" s="53"/>
      <c r="I4547" s="53"/>
      <c r="U4547" s="31" t="n">
        <f aca="false">IF($B4547&lt;&gt;'設定（最初に1回）'!$C$4,N(U4546),IF(COUNTIFS(①今日の在庫を貼る!$B$6:$B$10005,$B4547,①今日の在庫を貼る!$I$6:$I$10005,$I4547)&gt;0,N(U4546),N(U4546)+1))</f>
        <v>2</v>
      </c>
    </row>
    <row r="4548" customFormat="false" ht="15" hidden="false" customHeight="false" outlineLevel="0" collapsed="false">
      <c r="B4548" s="53"/>
      <c r="I4548" s="53"/>
      <c r="U4548" s="31" t="n">
        <f aca="false">IF($B4548&lt;&gt;'設定（最初に1回）'!$C$4,N(U4547),IF(COUNTIFS(①今日の在庫を貼る!$B$6:$B$10005,$B4548,①今日の在庫を貼る!$I$6:$I$10005,$I4548)&gt;0,N(U4547),N(U4547)+1))</f>
        <v>2</v>
      </c>
    </row>
    <row r="4549" customFormat="false" ht="15" hidden="false" customHeight="false" outlineLevel="0" collapsed="false">
      <c r="B4549" s="53"/>
      <c r="I4549" s="53"/>
      <c r="U4549" s="31" t="n">
        <f aca="false">IF($B4549&lt;&gt;'設定（最初に1回）'!$C$4,N(U4548),IF(COUNTIFS(①今日の在庫を貼る!$B$6:$B$10005,$B4549,①今日の在庫を貼る!$I$6:$I$10005,$I4549)&gt;0,N(U4548),N(U4548)+1))</f>
        <v>2</v>
      </c>
    </row>
    <row r="4550" customFormat="false" ht="15" hidden="false" customHeight="false" outlineLevel="0" collapsed="false">
      <c r="B4550" s="53"/>
      <c r="I4550" s="53"/>
      <c r="U4550" s="31" t="n">
        <f aca="false">IF($B4550&lt;&gt;'設定（最初に1回）'!$C$4,N(U4549),IF(COUNTIFS(①今日の在庫を貼る!$B$6:$B$10005,$B4550,①今日の在庫を貼る!$I$6:$I$10005,$I4550)&gt;0,N(U4549),N(U4549)+1))</f>
        <v>2</v>
      </c>
    </row>
    <row r="4551" customFormat="false" ht="15" hidden="false" customHeight="false" outlineLevel="0" collapsed="false">
      <c r="B4551" s="53"/>
      <c r="I4551" s="53"/>
      <c r="U4551" s="31" t="n">
        <f aca="false">IF($B4551&lt;&gt;'設定（最初に1回）'!$C$4,N(U4550),IF(COUNTIFS(①今日の在庫を貼る!$B$6:$B$10005,$B4551,①今日の在庫を貼る!$I$6:$I$10005,$I4551)&gt;0,N(U4550),N(U4550)+1))</f>
        <v>2</v>
      </c>
    </row>
    <row r="4552" customFormat="false" ht="15" hidden="false" customHeight="false" outlineLevel="0" collapsed="false">
      <c r="B4552" s="53"/>
      <c r="I4552" s="53"/>
      <c r="U4552" s="31" t="n">
        <f aca="false">IF($B4552&lt;&gt;'設定（最初に1回）'!$C$4,N(U4551),IF(COUNTIFS(①今日の在庫を貼る!$B$6:$B$10005,$B4552,①今日の在庫を貼る!$I$6:$I$10005,$I4552)&gt;0,N(U4551),N(U4551)+1))</f>
        <v>2</v>
      </c>
    </row>
    <row r="4553" customFormat="false" ht="15" hidden="false" customHeight="false" outlineLevel="0" collapsed="false">
      <c r="B4553" s="53"/>
      <c r="I4553" s="53"/>
      <c r="U4553" s="31" t="n">
        <f aca="false">IF($B4553&lt;&gt;'設定（最初に1回）'!$C$4,N(U4552),IF(COUNTIFS(①今日の在庫を貼る!$B$6:$B$10005,$B4553,①今日の在庫を貼る!$I$6:$I$10005,$I4553)&gt;0,N(U4552),N(U4552)+1))</f>
        <v>2</v>
      </c>
    </row>
    <row r="4554" customFormat="false" ht="15" hidden="false" customHeight="false" outlineLevel="0" collapsed="false">
      <c r="B4554" s="53"/>
      <c r="I4554" s="53"/>
      <c r="U4554" s="31" t="n">
        <f aca="false">IF($B4554&lt;&gt;'設定（最初に1回）'!$C$4,N(U4553),IF(COUNTIFS(①今日の在庫を貼る!$B$6:$B$10005,$B4554,①今日の在庫を貼る!$I$6:$I$10005,$I4554)&gt;0,N(U4553),N(U4553)+1))</f>
        <v>2</v>
      </c>
    </row>
    <row r="4555" customFormat="false" ht="15" hidden="false" customHeight="false" outlineLevel="0" collapsed="false">
      <c r="B4555" s="53"/>
      <c r="I4555" s="53"/>
      <c r="U4555" s="31" t="n">
        <f aca="false">IF($B4555&lt;&gt;'設定（最初に1回）'!$C$4,N(U4554),IF(COUNTIFS(①今日の在庫を貼る!$B$6:$B$10005,$B4555,①今日の在庫を貼る!$I$6:$I$10005,$I4555)&gt;0,N(U4554),N(U4554)+1))</f>
        <v>2</v>
      </c>
    </row>
    <row r="4556" customFormat="false" ht="15" hidden="false" customHeight="false" outlineLevel="0" collapsed="false">
      <c r="B4556" s="53"/>
      <c r="I4556" s="53"/>
      <c r="U4556" s="31" t="n">
        <f aca="false">IF($B4556&lt;&gt;'設定（最初に1回）'!$C$4,N(U4555),IF(COUNTIFS(①今日の在庫を貼る!$B$6:$B$10005,$B4556,①今日の在庫を貼る!$I$6:$I$10005,$I4556)&gt;0,N(U4555),N(U4555)+1))</f>
        <v>2</v>
      </c>
    </row>
    <row r="4557" customFormat="false" ht="15" hidden="false" customHeight="false" outlineLevel="0" collapsed="false">
      <c r="B4557" s="53"/>
      <c r="I4557" s="53"/>
      <c r="U4557" s="31" t="n">
        <f aca="false">IF($B4557&lt;&gt;'設定（最初に1回）'!$C$4,N(U4556),IF(COUNTIFS(①今日の在庫を貼る!$B$6:$B$10005,$B4557,①今日の在庫を貼る!$I$6:$I$10005,$I4557)&gt;0,N(U4556),N(U4556)+1))</f>
        <v>2</v>
      </c>
    </row>
    <row r="4558" customFormat="false" ht="15" hidden="false" customHeight="false" outlineLevel="0" collapsed="false">
      <c r="B4558" s="53"/>
      <c r="I4558" s="53"/>
      <c r="U4558" s="31" t="n">
        <f aca="false">IF($B4558&lt;&gt;'設定（最初に1回）'!$C$4,N(U4557),IF(COUNTIFS(①今日の在庫を貼る!$B$6:$B$10005,$B4558,①今日の在庫を貼る!$I$6:$I$10005,$I4558)&gt;0,N(U4557),N(U4557)+1))</f>
        <v>2</v>
      </c>
    </row>
    <row r="4559" customFormat="false" ht="15" hidden="false" customHeight="false" outlineLevel="0" collapsed="false">
      <c r="B4559" s="53"/>
      <c r="I4559" s="53"/>
      <c r="U4559" s="31" t="n">
        <f aca="false">IF($B4559&lt;&gt;'設定（最初に1回）'!$C$4,N(U4558),IF(COUNTIFS(①今日の在庫を貼る!$B$6:$B$10005,$B4559,①今日の在庫を貼る!$I$6:$I$10005,$I4559)&gt;0,N(U4558),N(U4558)+1))</f>
        <v>2</v>
      </c>
    </row>
    <row r="4560" customFormat="false" ht="15" hidden="false" customHeight="false" outlineLevel="0" collapsed="false">
      <c r="B4560" s="53"/>
      <c r="I4560" s="53"/>
      <c r="U4560" s="31" t="n">
        <f aca="false">IF($B4560&lt;&gt;'設定（最初に1回）'!$C$4,N(U4559),IF(COUNTIFS(①今日の在庫を貼る!$B$6:$B$10005,$B4560,①今日の在庫を貼る!$I$6:$I$10005,$I4560)&gt;0,N(U4559),N(U4559)+1))</f>
        <v>2</v>
      </c>
    </row>
    <row r="4561" customFormat="false" ht="15" hidden="false" customHeight="false" outlineLevel="0" collapsed="false">
      <c r="B4561" s="53"/>
      <c r="I4561" s="53"/>
      <c r="U4561" s="31" t="n">
        <f aca="false">IF($B4561&lt;&gt;'設定（最初に1回）'!$C$4,N(U4560),IF(COUNTIFS(①今日の在庫を貼る!$B$6:$B$10005,$B4561,①今日の在庫を貼る!$I$6:$I$10005,$I4561)&gt;0,N(U4560),N(U4560)+1))</f>
        <v>2</v>
      </c>
    </row>
    <row r="4562" customFormat="false" ht="15" hidden="false" customHeight="false" outlineLevel="0" collapsed="false">
      <c r="B4562" s="53"/>
      <c r="I4562" s="53"/>
      <c r="U4562" s="31" t="n">
        <f aca="false">IF($B4562&lt;&gt;'設定（最初に1回）'!$C$4,N(U4561),IF(COUNTIFS(①今日の在庫を貼る!$B$6:$B$10005,$B4562,①今日の在庫を貼る!$I$6:$I$10005,$I4562)&gt;0,N(U4561),N(U4561)+1))</f>
        <v>2</v>
      </c>
    </row>
    <row r="4563" customFormat="false" ht="15" hidden="false" customHeight="false" outlineLevel="0" collapsed="false">
      <c r="B4563" s="53"/>
      <c r="I4563" s="53"/>
      <c r="U4563" s="31" t="n">
        <f aca="false">IF($B4563&lt;&gt;'設定（最初に1回）'!$C$4,N(U4562),IF(COUNTIFS(①今日の在庫を貼る!$B$6:$B$10005,$B4563,①今日の在庫を貼る!$I$6:$I$10005,$I4563)&gt;0,N(U4562),N(U4562)+1))</f>
        <v>2</v>
      </c>
    </row>
    <row r="4564" customFormat="false" ht="15" hidden="false" customHeight="false" outlineLevel="0" collapsed="false">
      <c r="B4564" s="53"/>
      <c r="I4564" s="53"/>
      <c r="U4564" s="31" t="n">
        <f aca="false">IF($B4564&lt;&gt;'設定（最初に1回）'!$C$4,N(U4563),IF(COUNTIFS(①今日の在庫を貼る!$B$6:$B$10005,$B4564,①今日の在庫を貼る!$I$6:$I$10005,$I4564)&gt;0,N(U4563),N(U4563)+1))</f>
        <v>2</v>
      </c>
    </row>
    <row r="4565" customFormat="false" ht="15" hidden="false" customHeight="false" outlineLevel="0" collapsed="false">
      <c r="B4565" s="53"/>
      <c r="I4565" s="53"/>
      <c r="U4565" s="31" t="n">
        <f aca="false">IF($B4565&lt;&gt;'設定（最初に1回）'!$C$4,N(U4564),IF(COUNTIFS(①今日の在庫を貼る!$B$6:$B$10005,$B4565,①今日の在庫を貼る!$I$6:$I$10005,$I4565)&gt;0,N(U4564),N(U4564)+1))</f>
        <v>2</v>
      </c>
    </row>
    <row r="4566" customFormat="false" ht="15" hidden="false" customHeight="false" outlineLevel="0" collapsed="false">
      <c r="B4566" s="53"/>
      <c r="I4566" s="53"/>
      <c r="U4566" s="31" t="n">
        <f aca="false">IF($B4566&lt;&gt;'設定（最初に1回）'!$C$4,N(U4565),IF(COUNTIFS(①今日の在庫を貼る!$B$6:$B$10005,$B4566,①今日の在庫を貼る!$I$6:$I$10005,$I4566)&gt;0,N(U4565),N(U4565)+1))</f>
        <v>2</v>
      </c>
    </row>
    <row r="4567" customFormat="false" ht="15" hidden="false" customHeight="false" outlineLevel="0" collapsed="false">
      <c r="B4567" s="53"/>
      <c r="I4567" s="53"/>
      <c r="U4567" s="31" t="n">
        <f aca="false">IF($B4567&lt;&gt;'設定（最初に1回）'!$C$4,N(U4566),IF(COUNTIFS(①今日の在庫を貼る!$B$6:$B$10005,$B4567,①今日の在庫を貼る!$I$6:$I$10005,$I4567)&gt;0,N(U4566),N(U4566)+1))</f>
        <v>2</v>
      </c>
    </row>
    <row r="4568" customFormat="false" ht="15" hidden="false" customHeight="false" outlineLevel="0" collapsed="false">
      <c r="B4568" s="53"/>
      <c r="I4568" s="53"/>
      <c r="U4568" s="31" t="n">
        <f aca="false">IF($B4568&lt;&gt;'設定（最初に1回）'!$C$4,N(U4567),IF(COUNTIFS(①今日の在庫を貼る!$B$6:$B$10005,$B4568,①今日の在庫を貼る!$I$6:$I$10005,$I4568)&gt;0,N(U4567),N(U4567)+1))</f>
        <v>2</v>
      </c>
    </row>
    <row r="4569" customFormat="false" ht="15" hidden="false" customHeight="false" outlineLevel="0" collapsed="false">
      <c r="B4569" s="53"/>
      <c r="I4569" s="53"/>
      <c r="U4569" s="31" t="n">
        <f aca="false">IF($B4569&lt;&gt;'設定（最初に1回）'!$C$4,N(U4568),IF(COUNTIFS(①今日の在庫を貼る!$B$6:$B$10005,$B4569,①今日の在庫を貼る!$I$6:$I$10005,$I4569)&gt;0,N(U4568),N(U4568)+1))</f>
        <v>2</v>
      </c>
    </row>
    <row r="4570" customFormat="false" ht="15" hidden="false" customHeight="false" outlineLevel="0" collapsed="false">
      <c r="B4570" s="53"/>
      <c r="I4570" s="53"/>
      <c r="U4570" s="31" t="n">
        <f aca="false">IF($B4570&lt;&gt;'設定（最初に1回）'!$C$4,N(U4569),IF(COUNTIFS(①今日の在庫を貼る!$B$6:$B$10005,$B4570,①今日の在庫を貼る!$I$6:$I$10005,$I4570)&gt;0,N(U4569),N(U4569)+1))</f>
        <v>2</v>
      </c>
    </row>
    <row r="4571" customFormat="false" ht="15" hidden="false" customHeight="false" outlineLevel="0" collapsed="false">
      <c r="B4571" s="53"/>
      <c r="I4571" s="53"/>
      <c r="U4571" s="31" t="n">
        <f aca="false">IF($B4571&lt;&gt;'設定（最初に1回）'!$C$4,N(U4570),IF(COUNTIFS(①今日の在庫を貼る!$B$6:$B$10005,$B4571,①今日の在庫を貼る!$I$6:$I$10005,$I4571)&gt;0,N(U4570),N(U4570)+1))</f>
        <v>2</v>
      </c>
    </row>
    <row r="4572" customFormat="false" ht="15" hidden="false" customHeight="false" outlineLevel="0" collapsed="false">
      <c r="B4572" s="53"/>
      <c r="I4572" s="53"/>
      <c r="U4572" s="31" t="n">
        <f aca="false">IF($B4572&lt;&gt;'設定（最初に1回）'!$C$4,N(U4571),IF(COUNTIFS(①今日の在庫を貼る!$B$6:$B$10005,$B4572,①今日の在庫を貼る!$I$6:$I$10005,$I4572)&gt;0,N(U4571),N(U4571)+1))</f>
        <v>2</v>
      </c>
    </row>
    <row r="4573" customFormat="false" ht="15" hidden="false" customHeight="false" outlineLevel="0" collapsed="false">
      <c r="B4573" s="53"/>
      <c r="I4573" s="53"/>
      <c r="U4573" s="31" t="n">
        <f aca="false">IF($B4573&lt;&gt;'設定（最初に1回）'!$C$4,N(U4572),IF(COUNTIFS(①今日の在庫を貼る!$B$6:$B$10005,$B4573,①今日の在庫を貼る!$I$6:$I$10005,$I4573)&gt;0,N(U4572),N(U4572)+1))</f>
        <v>2</v>
      </c>
    </row>
    <row r="4574" customFormat="false" ht="15" hidden="false" customHeight="false" outlineLevel="0" collapsed="false">
      <c r="B4574" s="53"/>
      <c r="I4574" s="53"/>
      <c r="U4574" s="31" t="n">
        <f aca="false">IF($B4574&lt;&gt;'設定（最初に1回）'!$C$4,N(U4573),IF(COUNTIFS(①今日の在庫を貼る!$B$6:$B$10005,$B4574,①今日の在庫を貼る!$I$6:$I$10005,$I4574)&gt;0,N(U4573),N(U4573)+1))</f>
        <v>2</v>
      </c>
    </row>
    <row r="4575" customFormat="false" ht="15" hidden="false" customHeight="false" outlineLevel="0" collapsed="false">
      <c r="B4575" s="53"/>
      <c r="I4575" s="53"/>
      <c r="U4575" s="31" t="n">
        <f aca="false">IF($B4575&lt;&gt;'設定（最初に1回）'!$C$4,N(U4574),IF(COUNTIFS(①今日の在庫を貼る!$B$6:$B$10005,$B4575,①今日の在庫を貼る!$I$6:$I$10005,$I4575)&gt;0,N(U4574),N(U4574)+1))</f>
        <v>2</v>
      </c>
    </row>
    <row r="4576" customFormat="false" ht="15" hidden="false" customHeight="false" outlineLevel="0" collapsed="false">
      <c r="B4576" s="53"/>
      <c r="I4576" s="53"/>
      <c r="U4576" s="31" t="n">
        <f aca="false">IF($B4576&lt;&gt;'設定（最初に1回）'!$C$4,N(U4575),IF(COUNTIFS(①今日の在庫を貼る!$B$6:$B$10005,$B4576,①今日の在庫を貼る!$I$6:$I$10005,$I4576)&gt;0,N(U4575),N(U4575)+1))</f>
        <v>2</v>
      </c>
    </row>
    <row r="4577" customFormat="false" ht="15" hidden="false" customHeight="false" outlineLevel="0" collapsed="false">
      <c r="B4577" s="53"/>
      <c r="I4577" s="53"/>
      <c r="U4577" s="31" t="n">
        <f aca="false">IF($B4577&lt;&gt;'設定（最初に1回）'!$C$4,N(U4576),IF(COUNTIFS(①今日の在庫を貼る!$B$6:$B$10005,$B4577,①今日の在庫を貼る!$I$6:$I$10005,$I4577)&gt;0,N(U4576),N(U4576)+1))</f>
        <v>2</v>
      </c>
    </row>
    <row r="4578" customFormat="false" ht="15" hidden="false" customHeight="false" outlineLevel="0" collapsed="false">
      <c r="B4578" s="53"/>
      <c r="I4578" s="53"/>
      <c r="U4578" s="31" t="n">
        <f aca="false">IF($B4578&lt;&gt;'設定（最初に1回）'!$C$4,N(U4577),IF(COUNTIFS(①今日の在庫を貼る!$B$6:$B$10005,$B4578,①今日の在庫を貼る!$I$6:$I$10005,$I4578)&gt;0,N(U4577),N(U4577)+1))</f>
        <v>2</v>
      </c>
    </row>
    <row r="4579" customFormat="false" ht="15" hidden="false" customHeight="false" outlineLevel="0" collapsed="false">
      <c r="B4579" s="53"/>
      <c r="I4579" s="53"/>
      <c r="U4579" s="31" t="n">
        <f aca="false">IF($B4579&lt;&gt;'設定（最初に1回）'!$C$4,N(U4578),IF(COUNTIFS(①今日の在庫を貼る!$B$6:$B$10005,$B4579,①今日の在庫を貼る!$I$6:$I$10005,$I4579)&gt;0,N(U4578),N(U4578)+1))</f>
        <v>2</v>
      </c>
    </row>
    <row r="4580" customFormat="false" ht="15" hidden="false" customHeight="false" outlineLevel="0" collapsed="false">
      <c r="B4580" s="53"/>
      <c r="I4580" s="53"/>
      <c r="U4580" s="31" t="n">
        <f aca="false">IF($B4580&lt;&gt;'設定（最初に1回）'!$C$4,N(U4579),IF(COUNTIFS(①今日の在庫を貼る!$B$6:$B$10005,$B4580,①今日の在庫を貼る!$I$6:$I$10005,$I4580)&gt;0,N(U4579),N(U4579)+1))</f>
        <v>2</v>
      </c>
    </row>
    <row r="4581" customFormat="false" ht="15" hidden="false" customHeight="false" outlineLevel="0" collapsed="false">
      <c r="B4581" s="53"/>
      <c r="I4581" s="53"/>
      <c r="U4581" s="31" t="n">
        <f aca="false">IF($B4581&lt;&gt;'設定（最初に1回）'!$C$4,N(U4580),IF(COUNTIFS(①今日の在庫を貼る!$B$6:$B$10005,$B4581,①今日の在庫を貼る!$I$6:$I$10005,$I4581)&gt;0,N(U4580),N(U4580)+1))</f>
        <v>2</v>
      </c>
    </row>
    <row r="4582" customFormat="false" ht="15" hidden="false" customHeight="false" outlineLevel="0" collapsed="false">
      <c r="B4582" s="53"/>
      <c r="I4582" s="53"/>
      <c r="U4582" s="31" t="n">
        <f aca="false">IF($B4582&lt;&gt;'設定（最初に1回）'!$C$4,N(U4581),IF(COUNTIFS(①今日の在庫を貼る!$B$6:$B$10005,$B4582,①今日の在庫を貼る!$I$6:$I$10005,$I4582)&gt;0,N(U4581),N(U4581)+1))</f>
        <v>2</v>
      </c>
    </row>
    <row r="4583" customFormat="false" ht="15" hidden="false" customHeight="false" outlineLevel="0" collapsed="false">
      <c r="B4583" s="53"/>
      <c r="I4583" s="53"/>
      <c r="U4583" s="31" t="n">
        <f aca="false">IF($B4583&lt;&gt;'設定（最初に1回）'!$C$4,N(U4582),IF(COUNTIFS(①今日の在庫を貼る!$B$6:$B$10005,$B4583,①今日の在庫を貼る!$I$6:$I$10005,$I4583)&gt;0,N(U4582),N(U4582)+1))</f>
        <v>2</v>
      </c>
    </row>
    <row r="4584" customFormat="false" ht="15" hidden="false" customHeight="false" outlineLevel="0" collapsed="false">
      <c r="B4584" s="53"/>
      <c r="I4584" s="53"/>
      <c r="U4584" s="31" t="n">
        <f aca="false">IF($B4584&lt;&gt;'設定（最初に1回）'!$C$4,N(U4583),IF(COUNTIFS(①今日の在庫を貼る!$B$6:$B$10005,$B4584,①今日の在庫を貼る!$I$6:$I$10005,$I4584)&gt;0,N(U4583),N(U4583)+1))</f>
        <v>2</v>
      </c>
    </row>
    <row r="4585" customFormat="false" ht="15" hidden="false" customHeight="false" outlineLevel="0" collapsed="false">
      <c r="B4585" s="53"/>
      <c r="I4585" s="53"/>
      <c r="U4585" s="31" t="n">
        <f aca="false">IF($B4585&lt;&gt;'設定（最初に1回）'!$C$4,N(U4584),IF(COUNTIFS(①今日の在庫を貼る!$B$6:$B$10005,$B4585,①今日の在庫を貼る!$I$6:$I$10005,$I4585)&gt;0,N(U4584),N(U4584)+1))</f>
        <v>2</v>
      </c>
    </row>
    <row r="4586" customFormat="false" ht="15" hidden="false" customHeight="false" outlineLevel="0" collapsed="false">
      <c r="B4586" s="53"/>
      <c r="I4586" s="53"/>
      <c r="U4586" s="31" t="n">
        <f aca="false">IF($B4586&lt;&gt;'設定（最初に1回）'!$C$4,N(U4585),IF(COUNTIFS(①今日の在庫を貼る!$B$6:$B$10005,$B4586,①今日の在庫を貼る!$I$6:$I$10005,$I4586)&gt;0,N(U4585),N(U4585)+1))</f>
        <v>2</v>
      </c>
    </row>
    <row r="4587" customFormat="false" ht="15" hidden="false" customHeight="false" outlineLevel="0" collapsed="false">
      <c r="B4587" s="53"/>
      <c r="I4587" s="53"/>
      <c r="U4587" s="31" t="n">
        <f aca="false">IF($B4587&lt;&gt;'設定（最初に1回）'!$C$4,N(U4586),IF(COUNTIFS(①今日の在庫を貼る!$B$6:$B$10005,$B4587,①今日の在庫を貼る!$I$6:$I$10005,$I4587)&gt;0,N(U4586),N(U4586)+1))</f>
        <v>2</v>
      </c>
    </row>
    <row r="4588" customFormat="false" ht="15" hidden="false" customHeight="false" outlineLevel="0" collapsed="false">
      <c r="B4588" s="53"/>
      <c r="I4588" s="53"/>
      <c r="U4588" s="31" t="n">
        <f aca="false">IF($B4588&lt;&gt;'設定（最初に1回）'!$C$4,N(U4587),IF(COUNTIFS(①今日の在庫を貼る!$B$6:$B$10005,$B4588,①今日の在庫を貼る!$I$6:$I$10005,$I4588)&gt;0,N(U4587),N(U4587)+1))</f>
        <v>2</v>
      </c>
    </row>
    <row r="4589" customFormat="false" ht="15" hidden="false" customHeight="false" outlineLevel="0" collapsed="false">
      <c r="B4589" s="53"/>
      <c r="I4589" s="53"/>
      <c r="U4589" s="31" t="n">
        <f aca="false">IF($B4589&lt;&gt;'設定（最初に1回）'!$C$4,N(U4588),IF(COUNTIFS(①今日の在庫を貼る!$B$6:$B$10005,$B4589,①今日の在庫を貼る!$I$6:$I$10005,$I4589)&gt;0,N(U4588),N(U4588)+1))</f>
        <v>2</v>
      </c>
    </row>
    <row r="4590" customFormat="false" ht="15" hidden="false" customHeight="false" outlineLevel="0" collapsed="false">
      <c r="B4590" s="53"/>
      <c r="I4590" s="53"/>
      <c r="U4590" s="31" t="n">
        <f aca="false">IF($B4590&lt;&gt;'設定（最初に1回）'!$C$4,N(U4589),IF(COUNTIFS(①今日の在庫を貼る!$B$6:$B$10005,$B4590,①今日の在庫を貼る!$I$6:$I$10005,$I4590)&gt;0,N(U4589),N(U4589)+1))</f>
        <v>2</v>
      </c>
    </row>
    <row r="4591" customFormat="false" ht="15" hidden="false" customHeight="false" outlineLevel="0" collapsed="false">
      <c r="B4591" s="53"/>
      <c r="I4591" s="53"/>
      <c r="U4591" s="31" t="n">
        <f aca="false">IF($B4591&lt;&gt;'設定（最初に1回）'!$C$4,N(U4590),IF(COUNTIFS(①今日の在庫を貼る!$B$6:$B$10005,$B4591,①今日の在庫を貼る!$I$6:$I$10005,$I4591)&gt;0,N(U4590),N(U4590)+1))</f>
        <v>2</v>
      </c>
    </row>
    <row r="4592" customFormat="false" ht="15" hidden="false" customHeight="false" outlineLevel="0" collapsed="false">
      <c r="B4592" s="53"/>
      <c r="I4592" s="53"/>
      <c r="U4592" s="31" t="n">
        <f aca="false">IF($B4592&lt;&gt;'設定（最初に1回）'!$C$4,N(U4591),IF(COUNTIFS(①今日の在庫を貼る!$B$6:$B$10005,$B4592,①今日の在庫を貼る!$I$6:$I$10005,$I4592)&gt;0,N(U4591),N(U4591)+1))</f>
        <v>2</v>
      </c>
    </row>
    <row r="4593" customFormat="false" ht="15" hidden="false" customHeight="false" outlineLevel="0" collapsed="false">
      <c r="B4593" s="53"/>
      <c r="I4593" s="53"/>
      <c r="U4593" s="31" t="n">
        <f aca="false">IF($B4593&lt;&gt;'設定（最初に1回）'!$C$4,N(U4592),IF(COUNTIFS(①今日の在庫を貼る!$B$6:$B$10005,$B4593,①今日の在庫を貼る!$I$6:$I$10005,$I4593)&gt;0,N(U4592),N(U4592)+1))</f>
        <v>2</v>
      </c>
    </row>
    <row r="4594" customFormat="false" ht="15" hidden="false" customHeight="false" outlineLevel="0" collapsed="false">
      <c r="B4594" s="53"/>
      <c r="I4594" s="53"/>
      <c r="U4594" s="31" t="n">
        <f aca="false">IF($B4594&lt;&gt;'設定（最初に1回）'!$C$4,N(U4593),IF(COUNTIFS(①今日の在庫を貼る!$B$6:$B$10005,$B4594,①今日の在庫を貼る!$I$6:$I$10005,$I4594)&gt;0,N(U4593),N(U4593)+1))</f>
        <v>2</v>
      </c>
    </row>
    <row r="4595" customFormat="false" ht="15" hidden="false" customHeight="false" outlineLevel="0" collapsed="false">
      <c r="B4595" s="53"/>
      <c r="I4595" s="53"/>
      <c r="U4595" s="31" t="n">
        <f aca="false">IF($B4595&lt;&gt;'設定（最初に1回）'!$C$4,N(U4594),IF(COUNTIFS(①今日の在庫を貼る!$B$6:$B$10005,$B4595,①今日の在庫を貼る!$I$6:$I$10005,$I4595)&gt;0,N(U4594),N(U4594)+1))</f>
        <v>2</v>
      </c>
    </row>
    <row r="4596" customFormat="false" ht="15" hidden="false" customHeight="false" outlineLevel="0" collapsed="false">
      <c r="B4596" s="53"/>
      <c r="I4596" s="53"/>
      <c r="U4596" s="31" t="n">
        <f aca="false">IF($B4596&lt;&gt;'設定（最初に1回）'!$C$4,N(U4595),IF(COUNTIFS(①今日の在庫を貼る!$B$6:$B$10005,$B4596,①今日の在庫を貼る!$I$6:$I$10005,$I4596)&gt;0,N(U4595),N(U4595)+1))</f>
        <v>2</v>
      </c>
    </row>
    <row r="4597" customFormat="false" ht="15" hidden="false" customHeight="false" outlineLevel="0" collapsed="false">
      <c r="B4597" s="53"/>
      <c r="I4597" s="53"/>
      <c r="U4597" s="31" t="n">
        <f aca="false">IF($B4597&lt;&gt;'設定（最初に1回）'!$C$4,N(U4596),IF(COUNTIFS(①今日の在庫を貼る!$B$6:$B$10005,$B4597,①今日の在庫を貼る!$I$6:$I$10005,$I4597)&gt;0,N(U4596),N(U4596)+1))</f>
        <v>2</v>
      </c>
    </row>
    <row r="4598" customFormat="false" ht="15" hidden="false" customHeight="false" outlineLevel="0" collapsed="false">
      <c r="B4598" s="53"/>
      <c r="I4598" s="53"/>
      <c r="U4598" s="31" t="n">
        <f aca="false">IF($B4598&lt;&gt;'設定（最初に1回）'!$C$4,N(U4597),IF(COUNTIFS(①今日の在庫を貼る!$B$6:$B$10005,$B4598,①今日の在庫を貼る!$I$6:$I$10005,$I4598)&gt;0,N(U4597),N(U4597)+1))</f>
        <v>2</v>
      </c>
    </row>
    <row r="4599" customFormat="false" ht="15" hidden="false" customHeight="false" outlineLevel="0" collapsed="false">
      <c r="B4599" s="53"/>
      <c r="I4599" s="53"/>
      <c r="U4599" s="31" t="n">
        <f aca="false">IF($B4599&lt;&gt;'設定（最初に1回）'!$C$4,N(U4598),IF(COUNTIFS(①今日の在庫を貼る!$B$6:$B$10005,$B4599,①今日の在庫を貼る!$I$6:$I$10005,$I4599)&gt;0,N(U4598),N(U4598)+1))</f>
        <v>2</v>
      </c>
    </row>
    <row r="4600" customFormat="false" ht="15" hidden="false" customHeight="false" outlineLevel="0" collapsed="false">
      <c r="B4600" s="53"/>
      <c r="I4600" s="53"/>
      <c r="U4600" s="31" t="n">
        <f aca="false">IF($B4600&lt;&gt;'設定（最初に1回）'!$C$4,N(U4599),IF(COUNTIFS(①今日の在庫を貼る!$B$6:$B$10005,$B4600,①今日の在庫を貼る!$I$6:$I$10005,$I4600)&gt;0,N(U4599),N(U4599)+1))</f>
        <v>2</v>
      </c>
    </row>
    <row r="4601" customFormat="false" ht="15" hidden="false" customHeight="false" outlineLevel="0" collapsed="false">
      <c r="B4601" s="53"/>
      <c r="I4601" s="53"/>
      <c r="U4601" s="31" t="n">
        <f aca="false">IF($B4601&lt;&gt;'設定（最初に1回）'!$C$4,N(U4600),IF(COUNTIFS(①今日の在庫を貼る!$B$6:$B$10005,$B4601,①今日の在庫を貼る!$I$6:$I$10005,$I4601)&gt;0,N(U4600),N(U4600)+1))</f>
        <v>2</v>
      </c>
    </row>
    <row r="4602" customFormat="false" ht="15" hidden="false" customHeight="false" outlineLevel="0" collapsed="false">
      <c r="B4602" s="53"/>
      <c r="I4602" s="53"/>
      <c r="U4602" s="31" t="n">
        <f aca="false">IF($B4602&lt;&gt;'設定（最初に1回）'!$C$4,N(U4601),IF(COUNTIFS(①今日の在庫を貼る!$B$6:$B$10005,$B4602,①今日の在庫を貼る!$I$6:$I$10005,$I4602)&gt;0,N(U4601),N(U4601)+1))</f>
        <v>2</v>
      </c>
    </row>
    <row r="4603" customFormat="false" ht="15" hidden="false" customHeight="false" outlineLevel="0" collapsed="false">
      <c r="B4603" s="53"/>
      <c r="I4603" s="53"/>
      <c r="U4603" s="31" t="n">
        <f aca="false">IF($B4603&lt;&gt;'設定（最初に1回）'!$C$4,N(U4602),IF(COUNTIFS(①今日の在庫を貼る!$B$6:$B$10005,$B4603,①今日の在庫を貼る!$I$6:$I$10005,$I4603)&gt;0,N(U4602),N(U4602)+1))</f>
        <v>2</v>
      </c>
    </row>
    <row r="4604" customFormat="false" ht="15" hidden="false" customHeight="false" outlineLevel="0" collapsed="false">
      <c r="B4604" s="53"/>
      <c r="I4604" s="53"/>
      <c r="U4604" s="31" t="n">
        <f aca="false">IF($B4604&lt;&gt;'設定（最初に1回）'!$C$4,N(U4603),IF(COUNTIFS(①今日の在庫を貼る!$B$6:$B$10005,$B4604,①今日の在庫を貼る!$I$6:$I$10005,$I4604)&gt;0,N(U4603),N(U4603)+1))</f>
        <v>2</v>
      </c>
    </row>
    <row r="4605" customFormat="false" ht="15" hidden="false" customHeight="false" outlineLevel="0" collapsed="false">
      <c r="B4605" s="53"/>
      <c r="I4605" s="53"/>
      <c r="U4605" s="31" t="n">
        <f aca="false">IF($B4605&lt;&gt;'設定（最初に1回）'!$C$4,N(U4604),IF(COUNTIFS(①今日の在庫を貼る!$B$6:$B$10005,$B4605,①今日の在庫を貼る!$I$6:$I$10005,$I4605)&gt;0,N(U4604),N(U4604)+1))</f>
        <v>2</v>
      </c>
    </row>
    <row r="4606" customFormat="false" ht="15" hidden="false" customHeight="false" outlineLevel="0" collapsed="false">
      <c r="B4606" s="53"/>
      <c r="I4606" s="53"/>
      <c r="U4606" s="31" t="n">
        <f aca="false">IF($B4606&lt;&gt;'設定（最初に1回）'!$C$4,N(U4605),IF(COUNTIFS(①今日の在庫を貼る!$B$6:$B$10005,$B4606,①今日の在庫を貼る!$I$6:$I$10005,$I4606)&gt;0,N(U4605),N(U4605)+1))</f>
        <v>2</v>
      </c>
    </row>
    <row r="4607" customFormat="false" ht="15" hidden="false" customHeight="false" outlineLevel="0" collapsed="false">
      <c r="B4607" s="53"/>
      <c r="I4607" s="53"/>
      <c r="U4607" s="31" t="n">
        <f aca="false">IF($B4607&lt;&gt;'設定（最初に1回）'!$C$4,N(U4606),IF(COUNTIFS(①今日の在庫を貼る!$B$6:$B$10005,$B4607,①今日の在庫を貼る!$I$6:$I$10005,$I4607)&gt;0,N(U4606),N(U4606)+1))</f>
        <v>2</v>
      </c>
    </row>
    <row r="4608" customFormat="false" ht="15" hidden="false" customHeight="false" outlineLevel="0" collapsed="false">
      <c r="B4608" s="53"/>
      <c r="I4608" s="53"/>
      <c r="U4608" s="31" t="n">
        <f aca="false">IF($B4608&lt;&gt;'設定（最初に1回）'!$C$4,N(U4607),IF(COUNTIFS(①今日の在庫を貼る!$B$6:$B$10005,$B4608,①今日の在庫を貼る!$I$6:$I$10005,$I4608)&gt;0,N(U4607),N(U4607)+1))</f>
        <v>2</v>
      </c>
    </row>
    <row r="4609" customFormat="false" ht="15" hidden="false" customHeight="false" outlineLevel="0" collapsed="false">
      <c r="B4609" s="53"/>
      <c r="I4609" s="53"/>
      <c r="U4609" s="31" t="n">
        <f aca="false">IF($B4609&lt;&gt;'設定（最初に1回）'!$C$4,N(U4608),IF(COUNTIFS(①今日の在庫を貼る!$B$6:$B$10005,$B4609,①今日の在庫を貼る!$I$6:$I$10005,$I4609)&gt;0,N(U4608),N(U4608)+1))</f>
        <v>2</v>
      </c>
    </row>
    <row r="4610" customFormat="false" ht="15" hidden="false" customHeight="false" outlineLevel="0" collapsed="false">
      <c r="B4610" s="53"/>
      <c r="I4610" s="53"/>
      <c r="U4610" s="31" t="n">
        <f aca="false">IF($B4610&lt;&gt;'設定（最初に1回）'!$C$4,N(U4609),IF(COUNTIFS(①今日の在庫を貼る!$B$6:$B$10005,$B4610,①今日の在庫を貼る!$I$6:$I$10005,$I4610)&gt;0,N(U4609),N(U4609)+1))</f>
        <v>2</v>
      </c>
    </row>
    <row r="4611" customFormat="false" ht="15" hidden="false" customHeight="false" outlineLevel="0" collapsed="false">
      <c r="B4611" s="53"/>
      <c r="I4611" s="53"/>
      <c r="U4611" s="31" t="n">
        <f aca="false">IF($B4611&lt;&gt;'設定（最初に1回）'!$C$4,N(U4610),IF(COUNTIFS(①今日の在庫を貼る!$B$6:$B$10005,$B4611,①今日の在庫を貼る!$I$6:$I$10005,$I4611)&gt;0,N(U4610),N(U4610)+1))</f>
        <v>2</v>
      </c>
    </row>
    <row r="4612" customFormat="false" ht="15" hidden="false" customHeight="false" outlineLevel="0" collapsed="false">
      <c r="B4612" s="53"/>
      <c r="I4612" s="53"/>
      <c r="U4612" s="31" t="n">
        <f aca="false">IF($B4612&lt;&gt;'設定（最初に1回）'!$C$4,N(U4611),IF(COUNTIFS(①今日の在庫を貼る!$B$6:$B$10005,$B4612,①今日の在庫を貼る!$I$6:$I$10005,$I4612)&gt;0,N(U4611),N(U4611)+1))</f>
        <v>2</v>
      </c>
    </row>
    <row r="4613" customFormat="false" ht="15" hidden="false" customHeight="false" outlineLevel="0" collapsed="false">
      <c r="B4613" s="53"/>
      <c r="I4613" s="53"/>
      <c r="U4613" s="31" t="n">
        <f aca="false">IF($B4613&lt;&gt;'設定（最初に1回）'!$C$4,N(U4612),IF(COUNTIFS(①今日の在庫を貼る!$B$6:$B$10005,$B4613,①今日の在庫を貼る!$I$6:$I$10005,$I4613)&gt;0,N(U4612),N(U4612)+1))</f>
        <v>2</v>
      </c>
    </row>
    <row r="4614" customFormat="false" ht="15" hidden="false" customHeight="false" outlineLevel="0" collapsed="false">
      <c r="B4614" s="53"/>
      <c r="I4614" s="53"/>
      <c r="U4614" s="31" t="n">
        <f aca="false">IF($B4614&lt;&gt;'設定（最初に1回）'!$C$4,N(U4613),IF(COUNTIFS(①今日の在庫を貼る!$B$6:$B$10005,$B4614,①今日の在庫を貼る!$I$6:$I$10005,$I4614)&gt;0,N(U4613),N(U4613)+1))</f>
        <v>2</v>
      </c>
    </row>
    <row r="4615" customFormat="false" ht="15" hidden="false" customHeight="false" outlineLevel="0" collapsed="false">
      <c r="B4615" s="53"/>
      <c r="I4615" s="53"/>
      <c r="U4615" s="31" t="n">
        <f aca="false">IF($B4615&lt;&gt;'設定（最初に1回）'!$C$4,N(U4614),IF(COUNTIFS(①今日の在庫を貼る!$B$6:$B$10005,$B4615,①今日の在庫を貼る!$I$6:$I$10005,$I4615)&gt;0,N(U4614),N(U4614)+1))</f>
        <v>2</v>
      </c>
    </row>
    <row r="4616" customFormat="false" ht="15" hidden="false" customHeight="false" outlineLevel="0" collapsed="false">
      <c r="B4616" s="53"/>
      <c r="I4616" s="53"/>
      <c r="U4616" s="31" t="n">
        <f aca="false">IF($B4616&lt;&gt;'設定（最初に1回）'!$C$4,N(U4615),IF(COUNTIFS(①今日の在庫を貼る!$B$6:$B$10005,$B4616,①今日の在庫を貼る!$I$6:$I$10005,$I4616)&gt;0,N(U4615),N(U4615)+1))</f>
        <v>2</v>
      </c>
    </row>
    <row r="4617" customFormat="false" ht="15" hidden="false" customHeight="false" outlineLevel="0" collapsed="false">
      <c r="B4617" s="53"/>
      <c r="I4617" s="53"/>
      <c r="U4617" s="31" t="n">
        <f aca="false">IF($B4617&lt;&gt;'設定（最初に1回）'!$C$4,N(U4616),IF(COUNTIFS(①今日の在庫を貼る!$B$6:$B$10005,$B4617,①今日の在庫を貼る!$I$6:$I$10005,$I4617)&gt;0,N(U4616),N(U4616)+1))</f>
        <v>2</v>
      </c>
    </row>
    <row r="4618" customFormat="false" ht="15" hidden="false" customHeight="false" outlineLevel="0" collapsed="false">
      <c r="B4618" s="53"/>
      <c r="I4618" s="53"/>
      <c r="U4618" s="31" t="n">
        <f aca="false">IF($B4618&lt;&gt;'設定（最初に1回）'!$C$4,N(U4617),IF(COUNTIFS(①今日の在庫を貼る!$B$6:$B$10005,$B4618,①今日の在庫を貼る!$I$6:$I$10005,$I4618)&gt;0,N(U4617),N(U4617)+1))</f>
        <v>2</v>
      </c>
    </row>
    <row r="4619" customFormat="false" ht="15" hidden="false" customHeight="false" outlineLevel="0" collapsed="false">
      <c r="B4619" s="53"/>
      <c r="I4619" s="53"/>
      <c r="U4619" s="31" t="n">
        <f aca="false">IF($B4619&lt;&gt;'設定（最初に1回）'!$C$4,N(U4618),IF(COUNTIFS(①今日の在庫を貼る!$B$6:$B$10005,$B4619,①今日の在庫を貼る!$I$6:$I$10005,$I4619)&gt;0,N(U4618),N(U4618)+1))</f>
        <v>2</v>
      </c>
    </row>
    <row r="4620" customFormat="false" ht="15" hidden="false" customHeight="false" outlineLevel="0" collapsed="false">
      <c r="B4620" s="53"/>
      <c r="I4620" s="53"/>
      <c r="U4620" s="31" t="n">
        <f aca="false">IF($B4620&lt;&gt;'設定（最初に1回）'!$C$4,N(U4619),IF(COUNTIFS(①今日の在庫を貼る!$B$6:$B$10005,$B4620,①今日の在庫を貼る!$I$6:$I$10005,$I4620)&gt;0,N(U4619),N(U4619)+1))</f>
        <v>2</v>
      </c>
    </row>
    <row r="4621" customFormat="false" ht="15" hidden="false" customHeight="false" outlineLevel="0" collapsed="false">
      <c r="B4621" s="53"/>
      <c r="I4621" s="53"/>
      <c r="U4621" s="31" t="n">
        <f aca="false">IF($B4621&lt;&gt;'設定（最初に1回）'!$C$4,N(U4620),IF(COUNTIFS(①今日の在庫を貼る!$B$6:$B$10005,$B4621,①今日の在庫を貼る!$I$6:$I$10005,$I4621)&gt;0,N(U4620),N(U4620)+1))</f>
        <v>2</v>
      </c>
    </row>
    <row r="4622" customFormat="false" ht="15" hidden="false" customHeight="false" outlineLevel="0" collapsed="false">
      <c r="B4622" s="53"/>
      <c r="I4622" s="53"/>
      <c r="U4622" s="31" t="n">
        <f aca="false">IF($B4622&lt;&gt;'設定（最初に1回）'!$C$4,N(U4621),IF(COUNTIFS(①今日の在庫を貼る!$B$6:$B$10005,$B4622,①今日の在庫を貼る!$I$6:$I$10005,$I4622)&gt;0,N(U4621),N(U4621)+1))</f>
        <v>2</v>
      </c>
    </row>
    <row r="4623" customFormat="false" ht="15" hidden="false" customHeight="false" outlineLevel="0" collapsed="false">
      <c r="B4623" s="53"/>
      <c r="I4623" s="53"/>
      <c r="U4623" s="31" t="n">
        <f aca="false">IF($B4623&lt;&gt;'設定（最初に1回）'!$C$4,N(U4622),IF(COUNTIFS(①今日の在庫を貼る!$B$6:$B$10005,$B4623,①今日の在庫を貼る!$I$6:$I$10005,$I4623)&gt;0,N(U4622),N(U4622)+1))</f>
        <v>2</v>
      </c>
    </row>
    <row r="4624" customFormat="false" ht="15" hidden="false" customHeight="false" outlineLevel="0" collapsed="false">
      <c r="B4624" s="53"/>
      <c r="I4624" s="53"/>
      <c r="U4624" s="31" t="n">
        <f aca="false">IF($B4624&lt;&gt;'設定（最初に1回）'!$C$4,N(U4623),IF(COUNTIFS(①今日の在庫を貼る!$B$6:$B$10005,$B4624,①今日の在庫を貼る!$I$6:$I$10005,$I4624)&gt;0,N(U4623),N(U4623)+1))</f>
        <v>2</v>
      </c>
    </row>
    <row r="4625" customFormat="false" ht="15" hidden="false" customHeight="false" outlineLevel="0" collapsed="false">
      <c r="B4625" s="53"/>
      <c r="I4625" s="53"/>
      <c r="U4625" s="31" t="n">
        <f aca="false">IF($B4625&lt;&gt;'設定（最初に1回）'!$C$4,N(U4624),IF(COUNTIFS(①今日の在庫を貼る!$B$6:$B$10005,$B4625,①今日の在庫を貼る!$I$6:$I$10005,$I4625)&gt;0,N(U4624),N(U4624)+1))</f>
        <v>2</v>
      </c>
    </row>
    <row r="4626" customFormat="false" ht="15" hidden="false" customHeight="false" outlineLevel="0" collapsed="false">
      <c r="B4626" s="53"/>
      <c r="I4626" s="53"/>
      <c r="U4626" s="31" t="n">
        <f aca="false">IF($B4626&lt;&gt;'設定（最初に1回）'!$C$4,N(U4625),IF(COUNTIFS(①今日の在庫を貼る!$B$6:$B$10005,$B4626,①今日の在庫を貼る!$I$6:$I$10005,$I4626)&gt;0,N(U4625),N(U4625)+1))</f>
        <v>2</v>
      </c>
    </row>
    <row r="4627" customFormat="false" ht="15" hidden="false" customHeight="false" outlineLevel="0" collapsed="false">
      <c r="B4627" s="53"/>
      <c r="I4627" s="53"/>
      <c r="U4627" s="31" t="n">
        <f aca="false">IF($B4627&lt;&gt;'設定（最初に1回）'!$C$4,N(U4626),IF(COUNTIFS(①今日の在庫を貼る!$B$6:$B$10005,$B4627,①今日の在庫を貼る!$I$6:$I$10005,$I4627)&gt;0,N(U4626),N(U4626)+1))</f>
        <v>2</v>
      </c>
    </row>
    <row r="4628" customFormat="false" ht="15" hidden="false" customHeight="false" outlineLevel="0" collapsed="false">
      <c r="B4628" s="53"/>
      <c r="I4628" s="53"/>
      <c r="U4628" s="31" t="n">
        <f aca="false">IF($B4628&lt;&gt;'設定（最初に1回）'!$C$4,N(U4627),IF(COUNTIFS(①今日の在庫を貼る!$B$6:$B$10005,$B4628,①今日の在庫を貼る!$I$6:$I$10005,$I4628)&gt;0,N(U4627),N(U4627)+1))</f>
        <v>2</v>
      </c>
    </row>
    <row r="4629" customFormat="false" ht="15" hidden="false" customHeight="false" outlineLevel="0" collapsed="false">
      <c r="B4629" s="53"/>
      <c r="I4629" s="53"/>
      <c r="U4629" s="31" t="n">
        <f aca="false">IF($B4629&lt;&gt;'設定（最初に1回）'!$C$4,N(U4628),IF(COUNTIFS(①今日の在庫を貼る!$B$6:$B$10005,$B4629,①今日の在庫を貼る!$I$6:$I$10005,$I4629)&gt;0,N(U4628),N(U4628)+1))</f>
        <v>2</v>
      </c>
    </row>
    <row r="4630" customFormat="false" ht="15" hidden="false" customHeight="false" outlineLevel="0" collapsed="false">
      <c r="B4630" s="53"/>
      <c r="I4630" s="53"/>
      <c r="U4630" s="31" t="n">
        <f aca="false">IF($B4630&lt;&gt;'設定（最初に1回）'!$C$4,N(U4629),IF(COUNTIFS(①今日の在庫を貼る!$B$6:$B$10005,$B4630,①今日の在庫を貼る!$I$6:$I$10005,$I4630)&gt;0,N(U4629),N(U4629)+1))</f>
        <v>2</v>
      </c>
    </row>
    <row r="4631" customFormat="false" ht="15" hidden="false" customHeight="false" outlineLevel="0" collapsed="false">
      <c r="B4631" s="53"/>
      <c r="I4631" s="53"/>
      <c r="U4631" s="31" t="n">
        <f aca="false">IF($B4631&lt;&gt;'設定（最初に1回）'!$C$4,N(U4630),IF(COUNTIFS(①今日の在庫を貼る!$B$6:$B$10005,$B4631,①今日の在庫を貼る!$I$6:$I$10005,$I4631)&gt;0,N(U4630),N(U4630)+1))</f>
        <v>2</v>
      </c>
    </row>
    <row r="4632" customFormat="false" ht="15" hidden="false" customHeight="false" outlineLevel="0" collapsed="false">
      <c r="B4632" s="53"/>
      <c r="I4632" s="53"/>
      <c r="U4632" s="31" t="n">
        <f aca="false">IF($B4632&lt;&gt;'設定（最初に1回）'!$C$4,N(U4631),IF(COUNTIFS(①今日の在庫を貼る!$B$6:$B$10005,$B4632,①今日の在庫を貼る!$I$6:$I$10005,$I4632)&gt;0,N(U4631),N(U4631)+1))</f>
        <v>2</v>
      </c>
    </row>
    <row r="4633" customFormat="false" ht="15" hidden="false" customHeight="false" outlineLevel="0" collapsed="false">
      <c r="B4633" s="53"/>
      <c r="I4633" s="53"/>
      <c r="U4633" s="31" t="n">
        <f aca="false">IF($B4633&lt;&gt;'設定（最初に1回）'!$C$4,N(U4632),IF(COUNTIFS(①今日の在庫を貼る!$B$6:$B$10005,$B4633,①今日の在庫を貼る!$I$6:$I$10005,$I4633)&gt;0,N(U4632),N(U4632)+1))</f>
        <v>2</v>
      </c>
    </row>
    <row r="4634" customFormat="false" ht="15" hidden="false" customHeight="false" outlineLevel="0" collapsed="false">
      <c r="B4634" s="53"/>
      <c r="I4634" s="53"/>
      <c r="U4634" s="31" t="n">
        <f aca="false">IF($B4634&lt;&gt;'設定（最初に1回）'!$C$4,N(U4633),IF(COUNTIFS(①今日の在庫を貼る!$B$6:$B$10005,$B4634,①今日の在庫を貼る!$I$6:$I$10005,$I4634)&gt;0,N(U4633),N(U4633)+1))</f>
        <v>2</v>
      </c>
    </row>
    <row r="4635" customFormat="false" ht="15" hidden="false" customHeight="false" outlineLevel="0" collapsed="false">
      <c r="B4635" s="53"/>
      <c r="I4635" s="53"/>
      <c r="U4635" s="31" t="n">
        <f aca="false">IF($B4635&lt;&gt;'設定（最初に1回）'!$C$4,N(U4634),IF(COUNTIFS(①今日の在庫を貼る!$B$6:$B$10005,$B4635,①今日の在庫を貼る!$I$6:$I$10005,$I4635)&gt;0,N(U4634),N(U4634)+1))</f>
        <v>2</v>
      </c>
    </row>
    <row r="4636" customFormat="false" ht="15" hidden="false" customHeight="false" outlineLevel="0" collapsed="false">
      <c r="B4636" s="53"/>
      <c r="I4636" s="53"/>
      <c r="U4636" s="31" t="n">
        <f aca="false">IF($B4636&lt;&gt;'設定（最初に1回）'!$C$4,N(U4635),IF(COUNTIFS(①今日の在庫を貼る!$B$6:$B$10005,$B4636,①今日の在庫を貼る!$I$6:$I$10005,$I4636)&gt;0,N(U4635),N(U4635)+1))</f>
        <v>2</v>
      </c>
    </row>
    <row r="4637" customFormat="false" ht="15" hidden="false" customHeight="false" outlineLevel="0" collapsed="false">
      <c r="B4637" s="53"/>
      <c r="I4637" s="53"/>
      <c r="U4637" s="31" t="n">
        <f aca="false">IF($B4637&lt;&gt;'設定（最初に1回）'!$C$4,N(U4636),IF(COUNTIFS(①今日の在庫を貼る!$B$6:$B$10005,$B4637,①今日の在庫を貼る!$I$6:$I$10005,$I4637)&gt;0,N(U4636),N(U4636)+1))</f>
        <v>2</v>
      </c>
    </row>
    <row r="4638" customFormat="false" ht="15" hidden="false" customHeight="false" outlineLevel="0" collapsed="false">
      <c r="B4638" s="53"/>
      <c r="I4638" s="53"/>
      <c r="U4638" s="31" t="n">
        <f aca="false">IF($B4638&lt;&gt;'設定（最初に1回）'!$C$4,N(U4637),IF(COUNTIFS(①今日の在庫を貼る!$B$6:$B$10005,$B4638,①今日の在庫を貼る!$I$6:$I$10005,$I4638)&gt;0,N(U4637),N(U4637)+1))</f>
        <v>2</v>
      </c>
    </row>
    <row r="4639" customFormat="false" ht="15" hidden="false" customHeight="false" outlineLevel="0" collapsed="false">
      <c r="B4639" s="53"/>
      <c r="I4639" s="53"/>
      <c r="U4639" s="31" t="n">
        <f aca="false">IF($B4639&lt;&gt;'設定（最初に1回）'!$C$4,N(U4638),IF(COUNTIFS(①今日の在庫を貼る!$B$6:$B$10005,$B4639,①今日の在庫を貼る!$I$6:$I$10005,$I4639)&gt;0,N(U4638),N(U4638)+1))</f>
        <v>2</v>
      </c>
    </row>
    <row r="4640" customFormat="false" ht="15" hidden="false" customHeight="false" outlineLevel="0" collapsed="false">
      <c r="B4640" s="53"/>
      <c r="I4640" s="53"/>
      <c r="U4640" s="31" t="n">
        <f aca="false">IF($B4640&lt;&gt;'設定（最初に1回）'!$C$4,N(U4639),IF(COUNTIFS(①今日の在庫を貼る!$B$6:$B$10005,$B4640,①今日の在庫を貼る!$I$6:$I$10005,$I4640)&gt;0,N(U4639),N(U4639)+1))</f>
        <v>2</v>
      </c>
    </row>
    <row r="4641" customFormat="false" ht="15" hidden="false" customHeight="false" outlineLevel="0" collapsed="false">
      <c r="B4641" s="53"/>
      <c r="I4641" s="53"/>
      <c r="U4641" s="31" t="n">
        <f aca="false">IF($B4641&lt;&gt;'設定（最初に1回）'!$C$4,N(U4640),IF(COUNTIFS(①今日の在庫を貼る!$B$6:$B$10005,$B4641,①今日の在庫を貼る!$I$6:$I$10005,$I4641)&gt;0,N(U4640),N(U4640)+1))</f>
        <v>2</v>
      </c>
    </row>
    <row r="4642" customFormat="false" ht="15" hidden="false" customHeight="false" outlineLevel="0" collapsed="false">
      <c r="B4642" s="53"/>
      <c r="I4642" s="53"/>
      <c r="U4642" s="31" t="n">
        <f aca="false">IF($B4642&lt;&gt;'設定（最初に1回）'!$C$4,N(U4641),IF(COUNTIFS(①今日の在庫を貼る!$B$6:$B$10005,$B4642,①今日の在庫を貼る!$I$6:$I$10005,$I4642)&gt;0,N(U4641),N(U4641)+1))</f>
        <v>2</v>
      </c>
    </row>
    <row r="4643" customFormat="false" ht="15" hidden="false" customHeight="false" outlineLevel="0" collapsed="false">
      <c r="B4643" s="53"/>
      <c r="I4643" s="53"/>
      <c r="U4643" s="31" t="n">
        <f aca="false">IF($B4643&lt;&gt;'設定（最初に1回）'!$C$4,N(U4642),IF(COUNTIFS(①今日の在庫を貼る!$B$6:$B$10005,$B4643,①今日の在庫を貼る!$I$6:$I$10005,$I4643)&gt;0,N(U4642),N(U4642)+1))</f>
        <v>2</v>
      </c>
    </row>
    <row r="4644" customFormat="false" ht="15" hidden="false" customHeight="false" outlineLevel="0" collapsed="false">
      <c r="B4644" s="53"/>
      <c r="I4644" s="53"/>
      <c r="U4644" s="31" t="n">
        <f aca="false">IF($B4644&lt;&gt;'設定（最初に1回）'!$C$4,N(U4643),IF(COUNTIFS(①今日の在庫を貼る!$B$6:$B$10005,$B4644,①今日の在庫を貼る!$I$6:$I$10005,$I4644)&gt;0,N(U4643),N(U4643)+1))</f>
        <v>2</v>
      </c>
    </row>
    <row r="4645" customFormat="false" ht="15" hidden="false" customHeight="false" outlineLevel="0" collapsed="false">
      <c r="B4645" s="53"/>
      <c r="I4645" s="53"/>
      <c r="U4645" s="31" t="n">
        <f aca="false">IF($B4645&lt;&gt;'設定（最初に1回）'!$C$4,N(U4644),IF(COUNTIFS(①今日の在庫を貼る!$B$6:$B$10005,$B4645,①今日の在庫を貼る!$I$6:$I$10005,$I4645)&gt;0,N(U4644),N(U4644)+1))</f>
        <v>2</v>
      </c>
    </row>
    <row r="4646" customFormat="false" ht="15" hidden="false" customHeight="false" outlineLevel="0" collapsed="false">
      <c r="B4646" s="53"/>
      <c r="I4646" s="53"/>
      <c r="U4646" s="31" t="n">
        <f aca="false">IF($B4646&lt;&gt;'設定（最初に1回）'!$C$4,N(U4645),IF(COUNTIFS(①今日の在庫を貼る!$B$6:$B$10005,$B4646,①今日の在庫を貼る!$I$6:$I$10005,$I4646)&gt;0,N(U4645),N(U4645)+1))</f>
        <v>2</v>
      </c>
    </row>
    <row r="4647" customFormat="false" ht="15" hidden="false" customHeight="false" outlineLevel="0" collapsed="false">
      <c r="B4647" s="53"/>
      <c r="I4647" s="53"/>
      <c r="U4647" s="31" t="n">
        <f aca="false">IF($B4647&lt;&gt;'設定（最初に1回）'!$C$4,N(U4646),IF(COUNTIFS(①今日の在庫を貼る!$B$6:$B$10005,$B4647,①今日の在庫を貼る!$I$6:$I$10005,$I4647)&gt;0,N(U4646),N(U4646)+1))</f>
        <v>2</v>
      </c>
    </row>
    <row r="4648" customFormat="false" ht="15" hidden="false" customHeight="false" outlineLevel="0" collapsed="false">
      <c r="B4648" s="53"/>
      <c r="I4648" s="53"/>
      <c r="U4648" s="31" t="n">
        <f aca="false">IF($B4648&lt;&gt;'設定（最初に1回）'!$C$4,N(U4647),IF(COUNTIFS(①今日の在庫を貼る!$B$6:$B$10005,$B4648,①今日の在庫を貼る!$I$6:$I$10005,$I4648)&gt;0,N(U4647),N(U4647)+1))</f>
        <v>2</v>
      </c>
    </row>
    <row r="4649" customFormat="false" ht="15" hidden="false" customHeight="false" outlineLevel="0" collapsed="false">
      <c r="B4649" s="53"/>
      <c r="I4649" s="53"/>
      <c r="U4649" s="31" t="n">
        <f aca="false">IF($B4649&lt;&gt;'設定（最初に1回）'!$C$4,N(U4648),IF(COUNTIFS(①今日の在庫を貼る!$B$6:$B$10005,$B4649,①今日の在庫を貼る!$I$6:$I$10005,$I4649)&gt;0,N(U4648),N(U4648)+1))</f>
        <v>2</v>
      </c>
    </row>
    <row r="4650" customFormat="false" ht="15" hidden="false" customHeight="false" outlineLevel="0" collapsed="false">
      <c r="B4650" s="53"/>
      <c r="I4650" s="53"/>
      <c r="U4650" s="31" t="n">
        <f aca="false">IF($B4650&lt;&gt;'設定（最初に1回）'!$C$4,N(U4649),IF(COUNTIFS(①今日の在庫を貼る!$B$6:$B$10005,$B4650,①今日の在庫を貼る!$I$6:$I$10005,$I4650)&gt;0,N(U4649),N(U4649)+1))</f>
        <v>2</v>
      </c>
    </row>
    <row r="4651" customFormat="false" ht="15" hidden="false" customHeight="false" outlineLevel="0" collapsed="false">
      <c r="B4651" s="53"/>
      <c r="I4651" s="53"/>
      <c r="U4651" s="31" t="n">
        <f aca="false">IF($B4651&lt;&gt;'設定（最初に1回）'!$C$4,N(U4650),IF(COUNTIFS(①今日の在庫を貼る!$B$6:$B$10005,$B4651,①今日の在庫を貼る!$I$6:$I$10005,$I4651)&gt;0,N(U4650),N(U4650)+1))</f>
        <v>2</v>
      </c>
    </row>
    <row r="4652" customFormat="false" ht="15" hidden="false" customHeight="false" outlineLevel="0" collapsed="false">
      <c r="B4652" s="53"/>
      <c r="I4652" s="53"/>
      <c r="U4652" s="31" t="n">
        <f aca="false">IF($B4652&lt;&gt;'設定（最初に1回）'!$C$4,N(U4651),IF(COUNTIFS(①今日の在庫を貼る!$B$6:$B$10005,$B4652,①今日の在庫を貼る!$I$6:$I$10005,$I4652)&gt;0,N(U4651),N(U4651)+1))</f>
        <v>2</v>
      </c>
    </row>
    <row r="4653" customFormat="false" ht="15" hidden="false" customHeight="false" outlineLevel="0" collapsed="false">
      <c r="B4653" s="53"/>
      <c r="I4653" s="53"/>
      <c r="U4653" s="31" t="n">
        <f aca="false">IF($B4653&lt;&gt;'設定（最初に1回）'!$C$4,N(U4652),IF(COUNTIFS(①今日の在庫を貼る!$B$6:$B$10005,$B4653,①今日の在庫を貼る!$I$6:$I$10005,$I4653)&gt;0,N(U4652),N(U4652)+1))</f>
        <v>2</v>
      </c>
    </row>
    <row r="4654" customFormat="false" ht="15" hidden="false" customHeight="false" outlineLevel="0" collapsed="false">
      <c r="B4654" s="53"/>
      <c r="I4654" s="53"/>
      <c r="U4654" s="31" t="n">
        <f aca="false">IF($B4654&lt;&gt;'設定（最初に1回）'!$C$4,N(U4653),IF(COUNTIFS(①今日の在庫を貼る!$B$6:$B$10005,$B4654,①今日の在庫を貼る!$I$6:$I$10005,$I4654)&gt;0,N(U4653),N(U4653)+1))</f>
        <v>2</v>
      </c>
    </row>
    <row r="4655" customFormat="false" ht="15" hidden="false" customHeight="false" outlineLevel="0" collapsed="false">
      <c r="B4655" s="53"/>
      <c r="I4655" s="53"/>
      <c r="U4655" s="31" t="n">
        <f aca="false">IF($B4655&lt;&gt;'設定（最初に1回）'!$C$4,N(U4654),IF(COUNTIFS(①今日の在庫を貼る!$B$6:$B$10005,$B4655,①今日の在庫を貼る!$I$6:$I$10005,$I4655)&gt;0,N(U4654),N(U4654)+1))</f>
        <v>2</v>
      </c>
    </row>
    <row r="4656" customFormat="false" ht="15" hidden="false" customHeight="false" outlineLevel="0" collapsed="false">
      <c r="B4656" s="53"/>
      <c r="I4656" s="53"/>
      <c r="U4656" s="31" t="n">
        <f aca="false">IF($B4656&lt;&gt;'設定（最初に1回）'!$C$4,N(U4655),IF(COUNTIFS(①今日の在庫を貼る!$B$6:$B$10005,$B4656,①今日の在庫を貼る!$I$6:$I$10005,$I4656)&gt;0,N(U4655),N(U4655)+1))</f>
        <v>2</v>
      </c>
    </row>
    <row r="4657" customFormat="false" ht="15" hidden="false" customHeight="false" outlineLevel="0" collapsed="false">
      <c r="B4657" s="53"/>
      <c r="I4657" s="53"/>
      <c r="U4657" s="31" t="n">
        <f aca="false">IF($B4657&lt;&gt;'設定（最初に1回）'!$C$4,N(U4656),IF(COUNTIFS(①今日の在庫を貼る!$B$6:$B$10005,$B4657,①今日の在庫を貼る!$I$6:$I$10005,$I4657)&gt;0,N(U4656),N(U4656)+1))</f>
        <v>2</v>
      </c>
    </row>
    <row r="4658" customFormat="false" ht="15" hidden="false" customHeight="false" outlineLevel="0" collapsed="false">
      <c r="B4658" s="53"/>
      <c r="I4658" s="53"/>
      <c r="U4658" s="31" t="n">
        <f aca="false">IF($B4658&lt;&gt;'設定（最初に1回）'!$C$4,N(U4657),IF(COUNTIFS(①今日の在庫を貼る!$B$6:$B$10005,$B4658,①今日の在庫を貼る!$I$6:$I$10005,$I4658)&gt;0,N(U4657),N(U4657)+1))</f>
        <v>2</v>
      </c>
    </row>
    <row r="4659" customFormat="false" ht="15" hidden="false" customHeight="false" outlineLevel="0" collapsed="false">
      <c r="B4659" s="53"/>
      <c r="I4659" s="53"/>
      <c r="U4659" s="31" t="n">
        <f aca="false">IF($B4659&lt;&gt;'設定（最初に1回）'!$C$4,N(U4658),IF(COUNTIFS(①今日の在庫を貼る!$B$6:$B$10005,$B4659,①今日の在庫を貼る!$I$6:$I$10005,$I4659)&gt;0,N(U4658),N(U4658)+1))</f>
        <v>2</v>
      </c>
    </row>
    <row r="4660" customFormat="false" ht="15" hidden="false" customHeight="false" outlineLevel="0" collapsed="false">
      <c r="B4660" s="53"/>
      <c r="I4660" s="53"/>
      <c r="U4660" s="31" t="n">
        <f aca="false">IF($B4660&lt;&gt;'設定（最初に1回）'!$C$4,N(U4659),IF(COUNTIFS(①今日の在庫を貼る!$B$6:$B$10005,$B4660,①今日の在庫を貼る!$I$6:$I$10005,$I4660)&gt;0,N(U4659),N(U4659)+1))</f>
        <v>2</v>
      </c>
    </row>
    <row r="4661" customFormat="false" ht="15" hidden="false" customHeight="false" outlineLevel="0" collapsed="false">
      <c r="B4661" s="53"/>
      <c r="I4661" s="53"/>
      <c r="U4661" s="31" t="n">
        <f aca="false">IF($B4661&lt;&gt;'設定（最初に1回）'!$C$4,N(U4660),IF(COUNTIFS(①今日の在庫を貼る!$B$6:$B$10005,$B4661,①今日の在庫を貼る!$I$6:$I$10005,$I4661)&gt;0,N(U4660),N(U4660)+1))</f>
        <v>2</v>
      </c>
    </row>
    <row r="4662" customFormat="false" ht="15" hidden="false" customHeight="false" outlineLevel="0" collapsed="false">
      <c r="B4662" s="53"/>
      <c r="I4662" s="53"/>
      <c r="U4662" s="31" t="n">
        <f aca="false">IF($B4662&lt;&gt;'設定（最初に1回）'!$C$4,N(U4661),IF(COUNTIFS(①今日の在庫を貼る!$B$6:$B$10005,$B4662,①今日の在庫を貼る!$I$6:$I$10005,$I4662)&gt;0,N(U4661),N(U4661)+1))</f>
        <v>2</v>
      </c>
    </row>
    <row r="4663" customFormat="false" ht="15" hidden="false" customHeight="false" outlineLevel="0" collapsed="false">
      <c r="B4663" s="53"/>
      <c r="I4663" s="53"/>
      <c r="U4663" s="31" t="n">
        <f aca="false">IF($B4663&lt;&gt;'設定（最初に1回）'!$C$4,N(U4662),IF(COUNTIFS(①今日の在庫を貼る!$B$6:$B$10005,$B4663,①今日の在庫を貼る!$I$6:$I$10005,$I4663)&gt;0,N(U4662),N(U4662)+1))</f>
        <v>2</v>
      </c>
    </row>
    <row r="4664" customFormat="false" ht="15" hidden="false" customHeight="false" outlineLevel="0" collapsed="false">
      <c r="B4664" s="53"/>
      <c r="I4664" s="53"/>
      <c r="U4664" s="31" t="n">
        <f aca="false">IF($B4664&lt;&gt;'設定（最初に1回）'!$C$4,N(U4663),IF(COUNTIFS(①今日の在庫を貼る!$B$6:$B$10005,$B4664,①今日の在庫を貼る!$I$6:$I$10005,$I4664)&gt;0,N(U4663),N(U4663)+1))</f>
        <v>2</v>
      </c>
    </row>
    <row r="4665" customFormat="false" ht="15" hidden="false" customHeight="false" outlineLevel="0" collapsed="false">
      <c r="B4665" s="53"/>
      <c r="I4665" s="53"/>
      <c r="U4665" s="31" t="n">
        <f aca="false">IF($B4665&lt;&gt;'設定（最初に1回）'!$C$4,N(U4664),IF(COUNTIFS(①今日の在庫を貼る!$B$6:$B$10005,$B4665,①今日の在庫を貼る!$I$6:$I$10005,$I4665)&gt;0,N(U4664),N(U4664)+1))</f>
        <v>2</v>
      </c>
    </row>
    <row r="4666" customFormat="false" ht="15" hidden="false" customHeight="false" outlineLevel="0" collapsed="false">
      <c r="B4666" s="53"/>
      <c r="I4666" s="53"/>
      <c r="U4666" s="31" t="n">
        <f aca="false">IF($B4666&lt;&gt;'設定（最初に1回）'!$C$4,N(U4665),IF(COUNTIFS(①今日の在庫を貼る!$B$6:$B$10005,$B4666,①今日の在庫を貼る!$I$6:$I$10005,$I4666)&gt;0,N(U4665),N(U4665)+1))</f>
        <v>2</v>
      </c>
    </row>
    <row r="4667" customFormat="false" ht="15" hidden="false" customHeight="false" outlineLevel="0" collapsed="false">
      <c r="B4667" s="53"/>
      <c r="I4667" s="53"/>
      <c r="U4667" s="31" t="n">
        <f aca="false">IF($B4667&lt;&gt;'設定（最初に1回）'!$C$4,N(U4666),IF(COUNTIFS(①今日の在庫を貼る!$B$6:$B$10005,$B4667,①今日の在庫を貼る!$I$6:$I$10005,$I4667)&gt;0,N(U4666),N(U4666)+1))</f>
        <v>2</v>
      </c>
    </row>
    <row r="4668" customFormat="false" ht="15" hidden="false" customHeight="false" outlineLevel="0" collapsed="false">
      <c r="B4668" s="53"/>
      <c r="I4668" s="53"/>
      <c r="U4668" s="31" t="n">
        <f aca="false">IF($B4668&lt;&gt;'設定（最初に1回）'!$C$4,N(U4667),IF(COUNTIFS(①今日の在庫を貼る!$B$6:$B$10005,$B4668,①今日の在庫を貼る!$I$6:$I$10005,$I4668)&gt;0,N(U4667),N(U4667)+1))</f>
        <v>2</v>
      </c>
    </row>
    <row r="4669" customFormat="false" ht="15" hidden="false" customHeight="false" outlineLevel="0" collapsed="false">
      <c r="B4669" s="53"/>
      <c r="I4669" s="53"/>
      <c r="U4669" s="31" t="n">
        <f aca="false">IF($B4669&lt;&gt;'設定（最初に1回）'!$C$4,N(U4668),IF(COUNTIFS(①今日の在庫を貼る!$B$6:$B$10005,$B4669,①今日の在庫を貼る!$I$6:$I$10005,$I4669)&gt;0,N(U4668),N(U4668)+1))</f>
        <v>2</v>
      </c>
    </row>
    <row r="4670" customFormat="false" ht="15" hidden="false" customHeight="false" outlineLevel="0" collapsed="false">
      <c r="B4670" s="53"/>
      <c r="I4670" s="53"/>
      <c r="U4670" s="31" t="n">
        <f aca="false">IF($B4670&lt;&gt;'設定（最初に1回）'!$C$4,N(U4669),IF(COUNTIFS(①今日の在庫を貼る!$B$6:$B$10005,$B4670,①今日の在庫を貼る!$I$6:$I$10005,$I4670)&gt;0,N(U4669),N(U4669)+1))</f>
        <v>2</v>
      </c>
    </row>
    <row r="4671" customFormat="false" ht="15" hidden="false" customHeight="false" outlineLevel="0" collapsed="false">
      <c r="B4671" s="53"/>
      <c r="I4671" s="53"/>
      <c r="U4671" s="31" t="n">
        <f aca="false">IF($B4671&lt;&gt;'設定（最初に1回）'!$C$4,N(U4670),IF(COUNTIFS(①今日の在庫を貼る!$B$6:$B$10005,$B4671,①今日の在庫を貼る!$I$6:$I$10005,$I4671)&gt;0,N(U4670),N(U4670)+1))</f>
        <v>2</v>
      </c>
    </row>
    <row r="4672" customFormat="false" ht="15" hidden="false" customHeight="false" outlineLevel="0" collapsed="false">
      <c r="B4672" s="53"/>
      <c r="I4672" s="53"/>
      <c r="U4672" s="31" t="n">
        <f aca="false">IF($B4672&lt;&gt;'設定（最初に1回）'!$C$4,N(U4671),IF(COUNTIFS(①今日の在庫を貼る!$B$6:$B$10005,$B4672,①今日の在庫を貼る!$I$6:$I$10005,$I4672)&gt;0,N(U4671),N(U4671)+1))</f>
        <v>2</v>
      </c>
    </row>
    <row r="4673" customFormat="false" ht="15" hidden="false" customHeight="false" outlineLevel="0" collapsed="false">
      <c r="B4673" s="53"/>
      <c r="I4673" s="53"/>
      <c r="U4673" s="31" t="n">
        <f aca="false">IF($B4673&lt;&gt;'設定（最初に1回）'!$C$4,N(U4672),IF(COUNTIFS(①今日の在庫を貼る!$B$6:$B$10005,$B4673,①今日の在庫を貼る!$I$6:$I$10005,$I4673)&gt;0,N(U4672),N(U4672)+1))</f>
        <v>2</v>
      </c>
    </row>
    <row r="4674" customFormat="false" ht="15" hidden="false" customHeight="false" outlineLevel="0" collapsed="false">
      <c r="B4674" s="53"/>
      <c r="I4674" s="53"/>
      <c r="U4674" s="31" t="n">
        <f aca="false">IF($B4674&lt;&gt;'設定（最初に1回）'!$C$4,N(U4673),IF(COUNTIFS(①今日の在庫を貼る!$B$6:$B$10005,$B4674,①今日の在庫を貼る!$I$6:$I$10005,$I4674)&gt;0,N(U4673),N(U4673)+1))</f>
        <v>2</v>
      </c>
    </row>
    <row r="4675" customFormat="false" ht="15" hidden="false" customHeight="false" outlineLevel="0" collapsed="false">
      <c r="B4675" s="53"/>
      <c r="I4675" s="53"/>
      <c r="U4675" s="31" t="n">
        <f aca="false">IF($B4675&lt;&gt;'設定（最初に1回）'!$C$4,N(U4674),IF(COUNTIFS(①今日の在庫を貼る!$B$6:$B$10005,$B4675,①今日の在庫を貼る!$I$6:$I$10005,$I4675)&gt;0,N(U4674),N(U4674)+1))</f>
        <v>2</v>
      </c>
    </row>
    <row r="4676" customFormat="false" ht="15" hidden="false" customHeight="false" outlineLevel="0" collapsed="false">
      <c r="B4676" s="53"/>
      <c r="I4676" s="53"/>
      <c r="U4676" s="31" t="n">
        <f aca="false">IF($B4676&lt;&gt;'設定（最初に1回）'!$C$4,N(U4675),IF(COUNTIFS(①今日の在庫を貼る!$B$6:$B$10005,$B4676,①今日の在庫を貼る!$I$6:$I$10005,$I4676)&gt;0,N(U4675),N(U4675)+1))</f>
        <v>2</v>
      </c>
    </row>
    <row r="4677" customFormat="false" ht="15" hidden="false" customHeight="false" outlineLevel="0" collapsed="false">
      <c r="B4677" s="53"/>
      <c r="I4677" s="53"/>
      <c r="U4677" s="31" t="n">
        <f aca="false">IF($B4677&lt;&gt;'設定（最初に1回）'!$C$4,N(U4676),IF(COUNTIFS(①今日の在庫を貼る!$B$6:$B$10005,$B4677,①今日の在庫を貼る!$I$6:$I$10005,$I4677)&gt;0,N(U4676),N(U4676)+1))</f>
        <v>2</v>
      </c>
    </row>
    <row r="4678" customFormat="false" ht="15" hidden="false" customHeight="false" outlineLevel="0" collapsed="false">
      <c r="B4678" s="53"/>
      <c r="I4678" s="53"/>
      <c r="U4678" s="31" t="n">
        <f aca="false">IF($B4678&lt;&gt;'設定（最初に1回）'!$C$4,N(U4677),IF(COUNTIFS(①今日の在庫を貼る!$B$6:$B$10005,$B4678,①今日の在庫を貼る!$I$6:$I$10005,$I4678)&gt;0,N(U4677),N(U4677)+1))</f>
        <v>2</v>
      </c>
    </row>
    <row r="4679" customFormat="false" ht="15" hidden="false" customHeight="false" outlineLevel="0" collapsed="false">
      <c r="B4679" s="53"/>
      <c r="I4679" s="53"/>
      <c r="U4679" s="31" t="n">
        <f aca="false">IF($B4679&lt;&gt;'設定（最初に1回）'!$C$4,N(U4678),IF(COUNTIFS(①今日の在庫を貼る!$B$6:$B$10005,$B4679,①今日の在庫を貼る!$I$6:$I$10005,$I4679)&gt;0,N(U4678),N(U4678)+1))</f>
        <v>2</v>
      </c>
    </row>
    <row r="4680" customFormat="false" ht="15" hidden="false" customHeight="false" outlineLevel="0" collapsed="false">
      <c r="B4680" s="53"/>
      <c r="I4680" s="53"/>
      <c r="U4680" s="31" t="n">
        <f aca="false">IF($B4680&lt;&gt;'設定（最初に1回）'!$C$4,N(U4679),IF(COUNTIFS(①今日の在庫を貼る!$B$6:$B$10005,$B4680,①今日の在庫を貼る!$I$6:$I$10005,$I4680)&gt;0,N(U4679),N(U4679)+1))</f>
        <v>2</v>
      </c>
    </row>
    <row r="4681" customFormat="false" ht="15" hidden="false" customHeight="false" outlineLevel="0" collapsed="false">
      <c r="B4681" s="53"/>
      <c r="I4681" s="53"/>
      <c r="U4681" s="31" t="n">
        <f aca="false">IF($B4681&lt;&gt;'設定（最初に1回）'!$C$4,N(U4680),IF(COUNTIFS(①今日の在庫を貼る!$B$6:$B$10005,$B4681,①今日の在庫を貼る!$I$6:$I$10005,$I4681)&gt;0,N(U4680),N(U4680)+1))</f>
        <v>2</v>
      </c>
    </row>
    <row r="4682" customFormat="false" ht="15" hidden="false" customHeight="false" outlineLevel="0" collapsed="false">
      <c r="B4682" s="53"/>
      <c r="I4682" s="53"/>
      <c r="U4682" s="31" t="n">
        <f aca="false">IF($B4682&lt;&gt;'設定（最初に1回）'!$C$4,N(U4681),IF(COUNTIFS(①今日の在庫を貼る!$B$6:$B$10005,$B4682,①今日の在庫を貼る!$I$6:$I$10005,$I4682)&gt;0,N(U4681),N(U4681)+1))</f>
        <v>2</v>
      </c>
    </row>
    <row r="4683" customFormat="false" ht="15" hidden="false" customHeight="false" outlineLevel="0" collapsed="false">
      <c r="B4683" s="53"/>
      <c r="I4683" s="53"/>
      <c r="U4683" s="31" t="n">
        <f aca="false">IF($B4683&lt;&gt;'設定（最初に1回）'!$C$4,N(U4682),IF(COUNTIFS(①今日の在庫を貼る!$B$6:$B$10005,$B4683,①今日の在庫を貼る!$I$6:$I$10005,$I4683)&gt;0,N(U4682),N(U4682)+1))</f>
        <v>2</v>
      </c>
    </row>
    <row r="4684" customFormat="false" ht="15" hidden="false" customHeight="false" outlineLevel="0" collapsed="false">
      <c r="B4684" s="53"/>
      <c r="I4684" s="53"/>
      <c r="U4684" s="31" t="n">
        <f aca="false">IF($B4684&lt;&gt;'設定（最初に1回）'!$C$4,N(U4683),IF(COUNTIFS(①今日の在庫を貼る!$B$6:$B$10005,$B4684,①今日の在庫を貼る!$I$6:$I$10005,$I4684)&gt;0,N(U4683),N(U4683)+1))</f>
        <v>2</v>
      </c>
    </row>
    <row r="4685" customFormat="false" ht="15" hidden="false" customHeight="false" outlineLevel="0" collapsed="false">
      <c r="B4685" s="53"/>
      <c r="I4685" s="53"/>
      <c r="U4685" s="31" t="n">
        <f aca="false">IF($B4685&lt;&gt;'設定（最初に1回）'!$C$4,N(U4684),IF(COUNTIFS(①今日の在庫を貼る!$B$6:$B$10005,$B4685,①今日の在庫を貼る!$I$6:$I$10005,$I4685)&gt;0,N(U4684),N(U4684)+1))</f>
        <v>2</v>
      </c>
    </row>
    <row r="4686" customFormat="false" ht="15" hidden="false" customHeight="false" outlineLevel="0" collapsed="false">
      <c r="B4686" s="53"/>
      <c r="I4686" s="53"/>
      <c r="U4686" s="31" t="n">
        <f aca="false">IF($B4686&lt;&gt;'設定（最初に1回）'!$C$4,N(U4685),IF(COUNTIFS(①今日の在庫を貼る!$B$6:$B$10005,$B4686,①今日の在庫を貼る!$I$6:$I$10005,$I4686)&gt;0,N(U4685),N(U4685)+1))</f>
        <v>2</v>
      </c>
    </row>
    <row r="4687" customFormat="false" ht="15" hidden="false" customHeight="false" outlineLevel="0" collapsed="false">
      <c r="B4687" s="53"/>
      <c r="I4687" s="53"/>
      <c r="U4687" s="31" t="n">
        <f aca="false">IF($B4687&lt;&gt;'設定（最初に1回）'!$C$4,N(U4686),IF(COUNTIFS(①今日の在庫を貼る!$B$6:$B$10005,$B4687,①今日の在庫を貼る!$I$6:$I$10005,$I4687)&gt;0,N(U4686),N(U4686)+1))</f>
        <v>2</v>
      </c>
    </row>
    <row r="4688" customFormat="false" ht="15" hidden="false" customHeight="false" outlineLevel="0" collapsed="false">
      <c r="B4688" s="53"/>
      <c r="I4688" s="53"/>
      <c r="U4688" s="31" t="n">
        <f aca="false">IF($B4688&lt;&gt;'設定（最初に1回）'!$C$4,N(U4687),IF(COUNTIFS(①今日の在庫を貼る!$B$6:$B$10005,$B4688,①今日の在庫を貼る!$I$6:$I$10005,$I4688)&gt;0,N(U4687),N(U4687)+1))</f>
        <v>2</v>
      </c>
    </row>
    <row r="4689" customFormat="false" ht="15" hidden="false" customHeight="false" outlineLevel="0" collapsed="false">
      <c r="B4689" s="53"/>
      <c r="I4689" s="53"/>
      <c r="U4689" s="31" t="n">
        <f aca="false">IF($B4689&lt;&gt;'設定（最初に1回）'!$C$4,N(U4688),IF(COUNTIFS(①今日の在庫を貼る!$B$6:$B$10005,$B4689,①今日の在庫を貼る!$I$6:$I$10005,$I4689)&gt;0,N(U4688),N(U4688)+1))</f>
        <v>2</v>
      </c>
    </row>
    <row r="4690" customFormat="false" ht="15" hidden="false" customHeight="false" outlineLevel="0" collapsed="false">
      <c r="B4690" s="53"/>
      <c r="I4690" s="53"/>
      <c r="U4690" s="31" t="n">
        <f aca="false">IF($B4690&lt;&gt;'設定（最初に1回）'!$C$4,N(U4689),IF(COUNTIFS(①今日の在庫を貼る!$B$6:$B$10005,$B4690,①今日の在庫を貼る!$I$6:$I$10005,$I4690)&gt;0,N(U4689),N(U4689)+1))</f>
        <v>2</v>
      </c>
    </row>
    <row r="4691" customFormat="false" ht="15" hidden="false" customHeight="false" outlineLevel="0" collapsed="false">
      <c r="B4691" s="53"/>
      <c r="I4691" s="53"/>
      <c r="U4691" s="31" t="n">
        <f aca="false">IF($B4691&lt;&gt;'設定（最初に1回）'!$C$4,N(U4690),IF(COUNTIFS(①今日の在庫を貼る!$B$6:$B$10005,$B4691,①今日の在庫を貼る!$I$6:$I$10005,$I4691)&gt;0,N(U4690),N(U4690)+1))</f>
        <v>2</v>
      </c>
    </row>
    <row r="4692" customFormat="false" ht="15" hidden="false" customHeight="false" outlineLevel="0" collapsed="false">
      <c r="B4692" s="53"/>
      <c r="I4692" s="53"/>
      <c r="U4692" s="31" t="n">
        <f aca="false">IF($B4692&lt;&gt;'設定（最初に1回）'!$C$4,N(U4691),IF(COUNTIFS(①今日の在庫を貼る!$B$6:$B$10005,$B4692,①今日の在庫を貼る!$I$6:$I$10005,$I4692)&gt;0,N(U4691),N(U4691)+1))</f>
        <v>2</v>
      </c>
    </row>
    <row r="4693" customFormat="false" ht="15" hidden="false" customHeight="false" outlineLevel="0" collapsed="false">
      <c r="B4693" s="53"/>
      <c r="I4693" s="53"/>
      <c r="U4693" s="31" t="n">
        <f aca="false">IF($B4693&lt;&gt;'設定（最初に1回）'!$C$4,N(U4692),IF(COUNTIFS(①今日の在庫を貼る!$B$6:$B$10005,$B4693,①今日の在庫を貼る!$I$6:$I$10005,$I4693)&gt;0,N(U4692),N(U4692)+1))</f>
        <v>2</v>
      </c>
    </row>
    <row r="4694" customFormat="false" ht="15" hidden="false" customHeight="false" outlineLevel="0" collapsed="false">
      <c r="B4694" s="53"/>
      <c r="I4694" s="53"/>
      <c r="U4694" s="31" t="n">
        <f aca="false">IF($B4694&lt;&gt;'設定（最初に1回）'!$C$4,N(U4693),IF(COUNTIFS(①今日の在庫を貼る!$B$6:$B$10005,$B4694,①今日の在庫を貼る!$I$6:$I$10005,$I4694)&gt;0,N(U4693),N(U4693)+1))</f>
        <v>2</v>
      </c>
    </row>
    <row r="4695" customFormat="false" ht="15" hidden="false" customHeight="false" outlineLevel="0" collapsed="false">
      <c r="B4695" s="53"/>
      <c r="I4695" s="53"/>
      <c r="U4695" s="31" t="n">
        <f aca="false">IF($B4695&lt;&gt;'設定（最初に1回）'!$C$4,N(U4694),IF(COUNTIFS(①今日の在庫を貼る!$B$6:$B$10005,$B4695,①今日の在庫を貼る!$I$6:$I$10005,$I4695)&gt;0,N(U4694),N(U4694)+1))</f>
        <v>2</v>
      </c>
    </row>
    <row r="4696" customFormat="false" ht="15" hidden="false" customHeight="false" outlineLevel="0" collapsed="false">
      <c r="B4696" s="53"/>
      <c r="I4696" s="53"/>
      <c r="U4696" s="31" t="n">
        <f aca="false">IF($B4696&lt;&gt;'設定（最初に1回）'!$C$4,N(U4695),IF(COUNTIFS(①今日の在庫を貼る!$B$6:$B$10005,$B4696,①今日の在庫を貼る!$I$6:$I$10005,$I4696)&gt;0,N(U4695),N(U4695)+1))</f>
        <v>2</v>
      </c>
    </row>
    <row r="4697" customFormat="false" ht="15" hidden="false" customHeight="false" outlineLevel="0" collapsed="false">
      <c r="B4697" s="53"/>
      <c r="I4697" s="53"/>
      <c r="U4697" s="31" t="n">
        <f aca="false">IF($B4697&lt;&gt;'設定（最初に1回）'!$C$4,N(U4696),IF(COUNTIFS(①今日の在庫を貼る!$B$6:$B$10005,$B4697,①今日の在庫を貼る!$I$6:$I$10005,$I4697)&gt;0,N(U4696),N(U4696)+1))</f>
        <v>2</v>
      </c>
    </row>
    <row r="4698" customFormat="false" ht="15" hidden="false" customHeight="false" outlineLevel="0" collapsed="false">
      <c r="B4698" s="53"/>
      <c r="I4698" s="53"/>
      <c r="U4698" s="31" t="n">
        <f aca="false">IF($B4698&lt;&gt;'設定（最初に1回）'!$C$4,N(U4697),IF(COUNTIFS(①今日の在庫を貼る!$B$6:$B$10005,$B4698,①今日の在庫を貼る!$I$6:$I$10005,$I4698)&gt;0,N(U4697),N(U4697)+1))</f>
        <v>2</v>
      </c>
    </row>
    <row r="4699" customFormat="false" ht="15" hidden="false" customHeight="false" outlineLevel="0" collapsed="false">
      <c r="B4699" s="53"/>
      <c r="I4699" s="53"/>
      <c r="U4699" s="31" t="n">
        <f aca="false">IF($B4699&lt;&gt;'設定（最初に1回）'!$C$4,N(U4698),IF(COUNTIFS(①今日の在庫を貼る!$B$6:$B$10005,$B4699,①今日の在庫を貼る!$I$6:$I$10005,$I4699)&gt;0,N(U4698),N(U4698)+1))</f>
        <v>2</v>
      </c>
    </row>
    <row r="4700" customFormat="false" ht="15" hidden="false" customHeight="false" outlineLevel="0" collapsed="false">
      <c r="B4700" s="53"/>
      <c r="I4700" s="53"/>
      <c r="U4700" s="31" t="n">
        <f aca="false">IF($B4700&lt;&gt;'設定（最初に1回）'!$C$4,N(U4699),IF(COUNTIFS(①今日の在庫を貼る!$B$6:$B$10005,$B4700,①今日の在庫を貼る!$I$6:$I$10005,$I4700)&gt;0,N(U4699),N(U4699)+1))</f>
        <v>2</v>
      </c>
    </row>
    <row r="4701" customFormat="false" ht="15" hidden="false" customHeight="false" outlineLevel="0" collapsed="false">
      <c r="B4701" s="53"/>
      <c r="I4701" s="53"/>
      <c r="U4701" s="31" t="n">
        <f aca="false">IF($B4701&lt;&gt;'設定（最初に1回）'!$C$4,N(U4700),IF(COUNTIFS(①今日の在庫を貼る!$B$6:$B$10005,$B4701,①今日の在庫を貼る!$I$6:$I$10005,$I4701)&gt;0,N(U4700),N(U4700)+1))</f>
        <v>2</v>
      </c>
    </row>
    <row r="4702" customFormat="false" ht="15" hidden="false" customHeight="false" outlineLevel="0" collapsed="false">
      <c r="B4702" s="53"/>
      <c r="I4702" s="53"/>
      <c r="U4702" s="31" t="n">
        <f aca="false">IF($B4702&lt;&gt;'設定（最初に1回）'!$C$4,N(U4701),IF(COUNTIFS(①今日の在庫を貼る!$B$6:$B$10005,$B4702,①今日の在庫を貼る!$I$6:$I$10005,$I4702)&gt;0,N(U4701),N(U4701)+1))</f>
        <v>2</v>
      </c>
    </row>
    <row r="4703" customFormat="false" ht="15" hidden="false" customHeight="false" outlineLevel="0" collapsed="false">
      <c r="B4703" s="53"/>
      <c r="I4703" s="53"/>
      <c r="U4703" s="31" t="n">
        <f aca="false">IF($B4703&lt;&gt;'設定（最初に1回）'!$C$4,N(U4702),IF(COUNTIFS(①今日の在庫を貼る!$B$6:$B$10005,$B4703,①今日の在庫を貼る!$I$6:$I$10005,$I4703)&gt;0,N(U4702),N(U4702)+1))</f>
        <v>2</v>
      </c>
    </row>
    <row r="4704" customFormat="false" ht="15" hidden="false" customHeight="false" outlineLevel="0" collapsed="false">
      <c r="B4704" s="53"/>
      <c r="I4704" s="53"/>
      <c r="U4704" s="31" t="n">
        <f aca="false">IF($B4704&lt;&gt;'設定（最初に1回）'!$C$4,N(U4703),IF(COUNTIFS(①今日の在庫を貼る!$B$6:$B$10005,$B4704,①今日の在庫を貼る!$I$6:$I$10005,$I4704)&gt;0,N(U4703),N(U4703)+1))</f>
        <v>2</v>
      </c>
    </row>
    <row r="4705" customFormat="false" ht="15" hidden="false" customHeight="false" outlineLevel="0" collapsed="false">
      <c r="B4705" s="53"/>
      <c r="I4705" s="53"/>
      <c r="U4705" s="31" t="n">
        <f aca="false">IF($B4705&lt;&gt;'設定（最初に1回）'!$C$4,N(U4704),IF(COUNTIFS(①今日の在庫を貼る!$B$6:$B$10005,$B4705,①今日の在庫を貼る!$I$6:$I$10005,$I4705)&gt;0,N(U4704),N(U4704)+1))</f>
        <v>2</v>
      </c>
    </row>
    <row r="4706" customFormat="false" ht="15" hidden="false" customHeight="false" outlineLevel="0" collapsed="false">
      <c r="B4706" s="53"/>
      <c r="I4706" s="53"/>
      <c r="U4706" s="31" t="n">
        <f aca="false">IF($B4706&lt;&gt;'設定（最初に1回）'!$C$4,N(U4705),IF(COUNTIFS(①今日の在庫を貼る!$B$6:$B$10005,$B4706,①今日の在庫を貼る!$I$6:$I$10005,$I4706)&gt;0,N(U4705),N(U4705)+1))</f>
        <v>2</v>
      </c>
    </row>
    <row r="4707" customFormat="false" ht="15" hidden="false" customHeight="false" outlineLevel="0" collapsed="false">
      <c r="B4707" s="53"/>
      <c r="I4707" s="53"/>
      <c r="U4707" s="31" t="n">
        <f aca="false">IF($B4707&lt;&gt;'設定（最初に1回）'!$C$4,N(U4706),IF(COUNTIFS(①今日の在庫を貼る!$B$6:$B$10005,$B4707,①今日の在庫を貼る!$I$6:$I$10005,$I4707)&gt;0,N(U4706),N(U4706)+1))</f>
        <v>2</v>
      </c>
    </row>
    <row r="4708" customFormat="false" ht="15" hidden="false" customHeight="false" outlineLevel="0" collapsed="false">
      <c r="B4708" s="53"/>
      <c r="I4708" s="53"/>
      <c r="U4708" s="31" t="n">
        <f aca="false">IF($B4708&lt;&gt;'設定（最初に1回）'!$C$4,N(U4707),IF(COUNTIFS(①今日の在庫を貼る!$B$6:$B$10005,$B4708,①今日の在庫を貼る!$I$6:$I$10005,$I4708)&gt;0,N(U4707),N(U4707)+1))</f>
        <v>2</v>
      </c>
    </row>
    <row r="4709" customFormat="false" ht="15" hidden="false" customHeight="false" outlineLevel="0" collapsed="false">
      <c r="B4709" s="53"/>
      <c r="I4709" s="53"/>
      <c r="U4709" s="31" t="n">
        <f aca="false">IF($B4709&lt;&gt;'設定（最初に1回）'!$C$4,N(U4708),IF(COUNTIFS(①今日の在庫を貼る!$B$6:$B$10005,$B4709,①今日の在庫を貼る!$I$6:$I$10005,$I4709)&gt;0,N(U4708),N(U4708)+1))</f>
        <v>2</v>
      </c>
    </row>
    <row r="4710" customFormat="false" ht="15" hidden="false" customHeight="false" outlineLevel="0" collapsed="false">
      <c r="B4710" s="53"/>
      <c r="I4710" s="53"/>
      <c r="U4710" s="31" t="n">
        <f aca="false">IF($B4710&lt;&gt;'設定（最初に1回）'!$C$4,N(U4709),IF(COUNTIFS(①今日の在庫を貼る!$B$6:$B$10005,$B4710,①今日の在庫を貼る!$I$6:$I$10005,$I4710)&gt;0,N(U4709),N(U4709)+1))</f>
        <v>2</v>
      </c>
    </row>
    <row r="4711" customFormat="false" ht="15" hidden="false" customHeight="false" outlineLevel="0" collapsed="false">
      <c r="B4711" s="53"/>
      <c r="I4711" s="53"/>
      <c r="U4711" s="31" t="n">
        <f aca="false">IF($B4711&lt;&gt;'設定（最初に1回）'!$C$4,N(U4710),IF(COUNTIFS(①今日の在庫を貼る!$B$6:$B$10005,$B4711,①今日の在庫を貼る!$I$6:$I$10005,$I4711)&gt;0,N(U4710),N(U4710)+1))</f>
        <v>2</v>
      </c>
    </row>
    <row r="4712" customFormat="false" ht="15" hidden="false" customHeight="false" outlineLevel="0" collapsed="false">
      <c r="B4712" s="53"/>
      <c r="I4712" s="53"/>
      <c r="U4712" s="31" t="n">
        <f aca="false">IF($B4712&lt;&gt;'設定（最初に1回）'!$C$4,N(U4711),IF(COUNTIFS(①今日の在庫を貼る!$B$6:$B$10005,$B4712,①今日の在庫を貼る!$I$6:$I$10005,$I4712)&gt;0,N(U4711),N(U4711)+1))</f>
        <v>2</v>
      </c>
    </row>
    <row r="4713" customFormat="false" ht="15" hidden="false" customHeight="false" outlineLevel="0" collapsed="false">
      <c r="B4713" s="53"/>
      <c r="I4713" s="53"/>
      <c r="U4713" s="31" t="n">
        <f aca="false">IF($B4713&lt;&gt;'設定（最初に1回）'!$C$4,N(U4712),IF(COUNTIFS(①今日の在庫を貼る!$B$6:$B$10005,$B4713,①今日の在庫を貼る!$I$6:$I$10005,$I4713)&gt;0,N(U4712),N(U4712)+1))</f>
        <v>2</v>
      </c>
    </row>
    <row r="4714" customFormat="false" ht="15" hidden="false" customHeight="false" outlineLevel="0" collapsed="false">
      <c r="B4714" s="53"/>
      <c r="I4714" s="53"/>
      <c r="U4714" s="31" t="n">
        <f aca="false">IF($B4714&lt;&gt;'設定（最初に1回）'!$C$4,N(U4713),IF(COUNTIFS(①今日の在庫を貼る!$B$6:$B$10005,$B4714,①今日の在庫を貼る!$I$6:$I$10005,$I4714)&gt;0,N(U4713),N(U4713)+1))</f>
        <v>2</v>
      </c>
    </row>
    <row r="4715" customFormat="false" ht="15" hidden="false" customHeight="false" outlineLevel="0" collapsed="false">
      <c r="B4715" s="53"/>
      <c r="I4715" s="53"/>
      <c r="U4715" s="31" t="n">
        <f aca="false">IF($B4715&lt;&gt;'設定（最初に1回）'!$C$4,N(U4714),IF(COUNTIFS(①今日の在庫を貼る!$B$6:$B$10005,$B4715,①今日の在庫を貼る!$I$6:$I$10005,$I4715)&gt;0,N(U4714),N(U4714)+1))</f>
        <v>2</v>
      </c>
    </row>
    <row r="4716" customFormat="false" ht="15" hidden="false" customHeight="false" outlineLevel="0" collapsed="false">
      <c r="B4716" s="53"/>
      <c r="I4716" s="53"/>
      <c r="U4716" s="31" t="n">
        <f aca="false">IF($B4716&lt;&gt;'設定（最初に1回）'!$C$4,N(U4715),IF(COUNTIFS(①今日の在庫を貼る!$B$6:$B$10005,$B4716,①今日の在庫を貼る!$I$6:$I$10005,$I4716)&gt;0,N(U4715),N(U4715)+1))</f>
        <v>2</v>
      </c>
    </row>
    <row r="4717" customFormat="false" ht="15" hidden="false" customHeight="false" outlineLevel="0" collapsed="false">
      <c r="B4717" s="53"/>
      <c r="I4717" s="53"/>
      <c r="U4717" s="31" t="n">
        <f aca="false">IF($B4717&lt;&gt;'設定（最初に1回）'!$C$4,N(U4716),IF(COUNTIFS(①今日の在庫を貼る!$B$6:$B$10005,$B4717,①今日の在庫を貼る!$I$6:$I$10005,$I4717)&gt;0,N(U4716),N(U4716)+1))</f>
        <v>2</v>
      </c>
    </row>
    <row r="4718" customFormat="false" ht="15" hidden="false" customHeight="false" outlineLevel="0" collapsed="false">
      <c r="B4718" s="53"/>
      <c r="I4718" s="53"/>
      <c r="U4718" s="31" t="n">
        <f aca="false">IF($B4718&lt;&gt;'設定（最初に1回）'!$C$4,N(U4717),IF(COUNTIFS(①今日の在庫を貼る!$B$6:$B$10005,$B4718,①今日の在庫を貼る!$I$6:$I$10005,$I4718)&gt;0,N(U4717),N(U4717)+1))</f>
        <v>2</v>
      </c>
    </row>
    <row r="4719" customFormat="false" ht="15" hidden="false" customHeight="false" outlineLevel="0" collapsed="false">
      <c r="B4719" s="53"/>
      <c r="I4719" s="53"/>
      <c r="U4719" s="31" t="n">
        <f aca="false">IF($B4719&lt;&gt;'設定（最初に1回）'!$C$4,N(U4718),IF(COUNTIFS(①今日の在庫を貼る!$B$6:$B$10005,$B4719,①今日の在庫を貼る!$I$6:$I$10005,$I4719)&gt;0,N(U4718),N(U4718)+1))</f>
        <v>2</v>
      </c>
    </row>
    <row r="4720" customFormat="false" ht="15" hidden="false" customHeight="false" outlineLevel="0" collapsed="false">
      <c r="B4720" s="53"/>
      <c r="I4720" s="53"/>
      <c r="U4720" s="31" t="n">
        <f aca="false">IF($B4720&lt;&gt;'設定（最初に1回）'!$C$4,N(U4719),IF(COUNTIFS(①今日の在庫を貼る!$B$6:$B$10005,$B4720,①今日の在庫を貼る!$I$6:$I$10005,$I4720)&gt;0,N(U4719),N(U4719)+1))</f>
        <v>2</v>
      </c>
    </row>
    <row r="4721" customFormat="false" ht="15" hidden="false" customHeight="false" outlineLevel="0" collapsed="false">
      <c r="B4721" s="53"/>
      <c r="I4721" s="53"/>
      <c r="U4721" s="31" t="n">
        <f aca="false">IF($B4721&lt;&gt;'設定（最初に1回）'!$C$4,N(U4720),IF(COUNTIFS(①今日の在庫を貼る!$B$6:$B$10005,$B4721,①今日の在庫を貼る!$I$6:$I$10005,$I4721)&gt;0,N(U4720),N(U4720)+1))</f>
        <v>2</v>
      </c>
    </row>
    <row r="4722" customFormat="false" ht="15" hidden="false" customHeight="false" outlineLevel="0" collapsed="false">
      <c r="B4722" s="53"/>
      <c r="I4722" s="53"/>
      <c r="U4722" s="31" t="n">
        <f aca="false">IF($B4722&lt;&gt;'設定（最初に1回）'!$C$4,N(U4721),IF(COUNTIFS(①今日の在庫を貼る!$B$6:$B$10005,$B4722,①今日の在庫を貼る!$I$6:$I$10005,$I4722)&gt;0,N(U4721),N(U4721)+1))</f>
        <v>2</v>
      </c>
    </row>
    <row r="4723" customFormat="false" ht="15" hidden="false" customHeight="false" outlineLevel="0" collapsed="false">
      <c r="B4723" s="53"/>
      <c r="I4723" s="53"/>
      <c r="U4723" s="31" t="n">
        <f aca="false">IF($B4723&lt;&gt;'設定（最初に1回）'!$C$4,N(U4722),IF(COUNTIFS(①今日の在庫を貼る!$B$6:$B$10005,$B4723,①今日の在庫を貼る!$I$6:$I$10005,$I4723)&gt;0,N(U4722),N(U4722)+1))</f>
        <v>2</v>
      </c>
    </row>
    <row r="4724" customFormat="false" ht="15" hidden="false" customHeight="false" outlineLevel="0" collapsed="false">
      <c r="B4724" s="53"/>
      <c r="I4724" s="53"/>
      <c r="U4724" s="31" t="n">
        <f aca="false">IF($B4724&lt;&gt;'設定（最初に1回）'!$C$4,N(U4723),IF(COUNTIFS(①今日の在庫を貼る!$B$6:$B$10005,$B4724,①今日の在庫を貼る!$I$6:$I$10005,$I4724)&gt;0,N(U4723),N(U4723)+1))</f>
        <v>2</v>
      </c>
    </row>
    <row r="4725" customFormat="false" ht="15" hidden="false" customHeight="false" outlineLevel="0" collapsed="false">
      <c r="B4725" s="53"/>
      <c r="I4725" s="53"/>
      <c r="U4725" s="31" t="n">
        <f aca="false">IF($B4725&lt;&gt;'設定（最初に1回）'!$C$4,N(U4724),IF(COUNTIFS(①今日の在庫を貼る!$B$6:$B$10005,$B4725,①今日の在庫を貼る!$I$6:$I$10005,$I4725)&gt;0,N(U4724),N(U4724)+1))</f>
        <v>2</v>
      </c>
    </row>
    <row r="4726" customFormat="false" ht="15" hidden="false" customHeight="false" outlineLevel="0" collapsed="false">
      <c r="B4726" s="53"/>
      <c r="I4726" s="53"/>
      <c r="U4726" s="31" t="n">
        <f aca="false">IF($B4726&lt;&gt;'設定（最初に1回）'!$C$4,N(U4725),IF(COUNTIFS(①今日の在庫を貼る!$B$6:$B$10005,$B4726,①今日の在庫を貼る!$I$6:$I$10005,$I4726)&gt;0,N(U4725),N(U4725)+1))</f>
        <v>2</v>
      </c>
    </row>
    <row r="4727" customFormat="false" ht="15" hidden="false" customHeight="false" outlineLevel="0" collapsed="false">
      <c r="B4727" s="53"/>
      <c r="I4727" s="53"/>
      <c r="U4727" s="31" t="n">
        <f aca="false">IF($B4727&lt;&gt;'設定（最初に1回）'!$C$4,N(U4726),IF(COUNTIFS(①今日の在庫を貼る!$B$6:$B$10005,$B4727,①今日の在庫を貼る!$I$6:$I$10005,$I4727)&gt;0,N(U4726),N(U4726)+1))</f>
        <v>2</v>
      </c>
    </row>
    <row r="4728" customFormat="false" ht="15" hidden="false" customHeight="false" outlineLevel="0" collapsed="false">
      <c r="B4728" s="53"/>
      <c r="I4728" s="53"/>
      <c r="U4728" s="31" t="n">
        <f aca="false">IF($B4728&lt;&gt;'設定（最初に1回）'!$C$4,N(U4727),IF(COUNTIFS(①今日の在庫を貼る!$B$6:$B$10005,$B4728,①今日の在庫を貼る!$I$6:$I$10005,$I4728)&gt;0,N(U4727),N(U4727)+1))</f>
        <v>2</v>
      </c>
    </row>
    <row r="4729" customFormat="false" ht="15" hidden="false" customHeight="false" outlineLevel="0" collapsed="false">
      <c r="B4729" s="53"/>
      <c r="I4729" s="53"/>
      <c r="U4729" s="31" t="n">
        <f aca="false">IF($B4729&lt;&gt;'設定（最初に1回）'!$C$4,N(U4728),IF(COUNTIFS(①今日の在庫を貼る!$B$6:$B$10005,$B4729,①今日の在庫を貼る!$I$6:$I$10005,$I4729)&gt;0,N(U4728),N(U4728)+1))</f>
        <v>2</v>
      </c>
    </row>
    <row r="4730" customFormat="false" ht="15" hidden="false" customHeight="false" outlineLevel="0" collapsed="false">
      <c r="B4730" s="53"/>
      <c r="I4730" s="53"/>
      <c r="U4730" s="31" t="n">
        <f aca="false">IF($B4730&lt;&gt;'設定（最初に1回）'!$C$4,N(U4729),IF(COUNTIFS(①今日の在庫を貼る!$B$6:$B$10005,$B4730,①今日の在庫を貼る!$I$6:$I$10005,$I4730)&gt;0,N(U4729),N(U4729)+1))</f>
        <v>2</v>
      </c>
    </row>
    <row r="4731" customFormat="false" ht="15" hidden="false" customHeight="false" outlineLevel="0" collapsed="false">
      <c r="B4731" s="53"/>
      <c r="I4731" s="53"/>
      <c r="U4731" s="31" t="n">
        <f aca="false">IF($B4731&lt;&gt;'設定（最初に1回）'!$C$4,N(U4730),IF(COUNTIFS(①今日の在庫を貼る!$B$6:$B$10005,$B4731,①今日の在庫を貼る!$I$6:$I$10005,$I4731)&gt;0,N(U4730),N(U4730)+1))</f>
        <v>2</v>
      </c>
    </row>
    <row r="4732" customFormat="false" ht="15" hidden="false" customHeight="false" outlineLevel="0" collapsed="false">
      <c r="B4732" s="53"/>
      <c r="I4732" s="53"/>
      <c r="U4732" s="31" t="n">
        <f aca="false">IF($B4732&lt;&gt;'設定（最初に1回）'!$C$4,N(U4731),IF(COUNTIFS(①今日の在庫を貼る!$B$6:$B$10005,$B4732,①今日の在庫を貼る!$I$6:$I$10005,$I4732)&gt;0,N(U4731),N(U4731)+1))</f>
        <v>2</v>
      </c>
    </row>
    <row r="4733" customFormat="false" ht="15" hidden="false" customHeight="false" outlineLevel="0" collapsed="false">
      <c r="B4733" s="53"/>
      <c r="I4733" s="53"/>
      <c r="U4733" s="31" t="n">
        <f aca="false">IF($B4733&lt;&gt;'設定（最初に1回）'!$C$4,N(U4732),IF(COUNTIFS(①今日の在庫を貼る!$B$6:$B$10005,$B4733,①今日の在庫を貼る!$I$6:$I$10005,$I4733)&gt;0,N(U4732),N(U4732)+1))</f>
        <v>2</v>
      </c>
    </row>
    <row r="4734" customFormat="false" ht="15" hidden="false" customHeight="false" outlineLevel="0" collapsed="false">
      <c r="B4734" s="53"/>
      <c r="I4734" s="53"/>
      <c r="U4734" s="31" t="n">
        <f aca="false">IF($B4734&lt;&gt;'設定（最初に1回）'!$C$4,N(U4733),IF(COUNTIFS(①今日の在庫を貼る!$B$6:$B$10005,$B4734,①今日の在庫を貼る!$I$6:$I$10005,$I4734)&gt;0,N(U4733),N(U4733)+1))</f>
        <v>2</v>
      </c>
    </row>
    <row r="4735" customFormat="false" ht="15" hidden="false" customHeight="false" outlineLevel="0" collapsed="false">
      <c r="B4735" s="53"/>
      <c r="I4735" s="53"/>
      <c r="U4735" s="31" t="n">
        <f aca="false">IF($B4735&lt;&gt;'設定（最初に1回）'!$C$4,N(U4734),IF(COUNTIFS(①今日の在庫を貼る!$B$6:$B$10005,$B4735,①今日の在庫を貼る!$I$6:$I$10005,$I4735)&gt;0,N(U4734),N(U4734)+1))</f>
        <v>2</v>
      </c>
    </row>
    <row r="4736" customFormat="false" ht="15" hidden="false" customHeight="false" outlineLevel="0" collapsed="false">
      <c r="B4736" s="53"/>
      <c r="I4736" s="53"/>
      <c r="U4736" s="31" t="n">
        <f aca="false">IF($B4736&lt;&gt;'設定（最初に1回）'!$C$4,N(U4735),IF(COUNTIFS(①今日の在庫を貼る!$B$6:$B$10005,$B4736,①今日の在庫を貼る!$I$6:$I$10005,$I4736)&gt;0,N(U4735),N(U4735)+1))</f>
        <v>2</v>
      </c>
    </row>
    <row r="4737" customFormat="false" ht="15" hidden="false" customHeight="false" outlineLevel="0" collapsed="false">
      <c r="B4737" s="53"/>
      <c r="I4737" s="53"/>
      <c r="U4737" s="31" t="n">
        <f aca="false">IF($B4737&lt;&gt;'設定（最初に1回）'!$C$4,N(U4736),IF(COUNTIFS(①今日の在庫を貼る!$B$6:$B$10005,$B4737,①今日の在庫を貼る!$I$6:$I$10005,$I4737)&gt;0,N(U4736),N(U4736)+1))</f>
        <v>2</v>
      </c>
    </row>
    <row r="4738" customFormat="false" ht="15" hidden="false" customHeight="false" outlineLevel="0" collapsed="false">
      <c r="B4738" s="53"/>
      <c r="I4738" s="53"/>
      <c r="U4738" s="31" t="n">
        <f aca="false">IF($B4738&lt;&gt;'設定（最初に1回）'!$C$4,N(U4737),IF(COUNTIFS(①今日の在庫を貼る!$B$6:$B$10005,$B4738,①今日の在庫を貼る!$I$6:$I$10005,$I4738)&gt;0,N(U4737),N(U4737)+1))</f>
        <v>2</v>
      </c>
    </row>
    <row r="4739" customFormat="false" ht="15" hidden="false" customHeight="false" outlineLevel="0" collapsed="false">
      <c r="B4739" s="53"/>
      <c r="I4739" s="53"/>
      <c r="U4739" s="31" t="n">
        <f aca="false">IF($B4739&lt;&gt;'設定（最初に1回）'!$C$4,N(U4738),IF(COUNTIFS(①今日の在庫を貼る!$B$6:$B$10005,$B4739,①今日の在庫を貼る!$I$6:$I$10005,$I4739)&gt;0,N(U4738),N(U4738)+1))</f>
        <v>2</v>
      </c>
    </row>
    <row r="4740" customFormat="false" ht="15" hidden="false" customHeight="false" outlineLevel="0" collapsed="false">
      <c r="B4740" s="53"/>
      <c r="I4740" s="53"/>
      <c r="U4740" s="31" t="n">
        <f aca="false">IF($B4740&lt;&gt;'設定（最初に1回）'!$C$4,N(U4739),IF(COUNTIFS(①今日の在庫を貼る!$B$6:$B$10005,$B4740,①今日の在庫を貼る!$I$6:$I$10005,$I4740)&gt;0,N(U4739),N(U4739)+1))</f>
        <v>2</v>
      </c>
    </row>
    <row r="4741" customFormat="false" ht="15" hidden="false" customHeight="false" outlineLevel="0" collapsed="false">
      <c r="B4741" s="53"/>
      <c r="I4741" s="53"/>
      <c r="U4741" s="31" t="n">
        <f aca="false">IF($B4741&lt;&gt;'設定（最初に1回）'!$C$4,N(U4740),IF(COUNTIFS(①今日の在庫を貼る!$B$6:$B$10005,$B4741,①今日の在庫を貼る!$I$6:$I$10005,$I4741)&gt;0,N(U4740),N(U4740)+1))</f>
        <v>2</v>
      </c>
    </row>
    <row r="4742" customFormat="false" ht="15" hidden="false" customHeight="false" outlineLevel="0" collapsed="false">
      <c r="B4742" s="53"/>
      <c r="I4742" s="53"/>
      <c r="U4742" s="31" t="n">
        <f aca="false">IF($B4742&lt;&gt;'設定（最初に1回）'!$C$4,N(U4741),IF(COUNTIFS(①今日の在庫を貼る!$B$6:$B$10005,$B4742,①今日の在庫を貼る!$I$6:$I$10005,$I4742)&gt;0,N(U4741),N(U4741)+1))</f>
        <v>2</v>
      </c>
    </row>
    <row r="4743" customFormat="false" ht="15" hidden="false" customHeight="false" outlineLevel="0" collapsed="false">
      <c r="B4743" s="53"/>
      <c r="I4743" s="53"/>
      <c r="U4743" s="31" t="n">
        <f aca="false">IF($B4743&lt;&gt;'設定（最初に1回）'!$C$4,N(U4742),IF(COUNTIFS(①今日の在庫を貼る!$B$6:$B$10005,$B4743,①今日の在庫を貼る!$I$6:$I$10005,$I4743)&gt;0,N(U4742),N(U4742)+1))</f>
        <v>2</v>
      </c>
    </row>
    <row r="4744" customFormat="false" ht="15" hidden="false" customHeight="false" outlineLevel="0" collapsed="false">
      <c r="B4744" s="53"/>
      <c r="I4744" s="53"/>
      <c r="U4744" s="31" t="n">
        <f aca="false">IF($B4744&lt;&gt;'設定（最初に1回）'!$C$4,N(U4743),IF(COUNTIFS(①今日の在庫を貼る!$B$6:$B$10005,$B4744,①今日の在庫を貼る!$I$6:$I$10005,$I4744)&gt;0,N(U4743),N(U4743)+1))</f>
        <v>2</v>
      </c>
    </row>
    <row r="4745" customFormat="false" ht="15" hidden="false" customHeight="false" outlineLevel="0" collapsed="false">
      <c r="B4745" s="53"/>
      <c r="I4745" s="53"/>
      <c r="U4745" s="31" t="n">
        <f aca="false">IF($B4745&lt;&gt;'設定（最初に1回）'!$C$4,N(U4744),IF(COUNTIFS(①今日の在庫を貼る!$B$6:$B$10005,$B4745,①今日の在庫を貼る!$I$6:$I$10005,$I4745)&gt;0,N(U4744),N(U4744)+1))</f>
        <v>2</v>
      </c>
    </row>
    <row r="4746" customFormat="false" ht="15" hidden="false" customHeight="false" outlineLevel="0" collapsed="false">
      <c r="B4746" s="53"/>
      <c r="I4746" s="53"/>
      <c r="U4746" s="31" t="n">
        <f aca="false">IF($B4746&lt;&gt;'設定（最初に1回）'!$C$4,N(U4745),IF(COUNTIFS(①今日の在庫を貼る!$B$6:$B$10005,$B4746,①今日の在庫を貼る!$I$6:$I$10005,$I4746)&gt;0,N(U4745),N(U4745)+1))</f>
        <v>2</v>
      </c>
    </row>
    <row r="4747" customFormat="false" ht="15" hidden="false" customHeight="false" outlineLevel="0" collapsed="false">
      <c r="B4747" s="53"/>
      <c r="I4747" s="53"/>
      <c r="U4747" s="31" t="n">
        <f aca="false">IF($B4747&lt;&gt;'設定（最初に1回）'!$C$4,N(U4746),IF(COUNTIFS(①今日の在庫を貼る!$B$6:$B$10005,$B4747,①今日の在庫を貼る!$I$6:$I$10005,$I4747)&gt;0,N(U4746),N(U4746)+1))</f>
        <v>2</v>
      </c>
    </row>
    <row r="4748" customFormat="false" ht="15" hidden="false" customHeight="false" outlineLevel="0" collapsed="false">
      <c r="B4748" s="53"/>
      <c r="I4748" s="53"/>
      <c r="U4748" s="31" t="n">
        <f aca="false">IF($B4748&lt;&gt;'設定（最初に1回）'!$C$4,N(U4747),IF(COUNTIFS(①今日の在庫を貼る!$B$6:$B$10005,$B4748,①今日の在庫を貼る!$I$6:$I$10005,$I4748)&gt;0,N(U4747),N(U4747)+1))</f>
        <v>2</v>
      </c>
    </row>
    <row r="4749" customFormat="false" ht="15" hidden="false" customHeight="false" outlineLevel="0" collapsed="false">
      <c r="B4749" s="53"/>
      <c r="I4749" s="53"/>
      <c r="U4749" s="31" t="n">
        <f aca="false">IF($B4749&lt;&gt;'設定（最初に1回）'!$C$4,N(U4748),IF(COUNTIFS(①今日の在庫を貼る!$B$6:$B$10005,$B4749,①今日の在庫を貼る!$I$6:$I$10005,$I4749)&gt;0,N(U4748),N(U4748)+1))</f>
        <v>2</v>
      </c>
    </row>
    <row r="4750" customFormat="false" ht="15" hidden="false" customHeight="false" outlineLevel="0" collapsed="false">
      <c r="B4750" s="53"/>
      <c r="I4750" s="53"/>
      <c r="U4750" s="31" t="n">
        <f aca="false">IF($B4750&lt;&gt;'設定（最初に1回）'!$C$4,N(U4749),IF(COUNTIFS(①今日の在庫を貼る!$B$6:$B$10005,$B4750,①今日の在庫を貼る!$I$6:$I$10005,$I4750)&gt;0,N(U4749),N(U4749)+1))</f>
        <v>2</v>
      </c>
    </row>
    <row r="4751" customFormat="false" ht="15" hidden="false" customHeight="false" outlineLevel="0" collapsed="false">
      <c r="B4751" s="53"/>
      <c r="I4751" s="53"/>
      <c r="U4751" s="31" t="n">
        <f aca="false">IF($B4751&lt;&gt;'設定（最初に1回）'!$C$4,N(U4750),IF(COUNTIFS(①今日の在庫を貼る!$B$6:$B$10005,$B4751,①今日の在庫を貼る!$I$6:$I$10005,$I4751)&gt;0,N(U4750),N(U4750)+1))</f>
        <v>2</v>
      </c>
    </row>
    <row r="4752" customFormat="false" ht="15" hidden="false" customHeight="false" outlineLevel="0" collapsed="false">
      <c r="B4752" s="53"/>
      <c r="I4752" s="53"/>
      <c r="U4752" s="31" t="n">
        <f aca="false">IF($B4752&lt;&gt;'設定（最初に1回）'!$C$4,N(U4751),IF(COUNTIFS(①今日の在庫を貼る!$B$6:$B$10005,$B4752,①今日の在庫を貼る!$I$6:$I$10005,$I4752)&gt;0,N(U4751),N(U4751)+1))</f>
        <v>2</v>
      </c>
    </row>
    <row r="4753" customFormat="false" ht="15" hidden="false" customHeight="false" outlineLevel="0" collapsed="false">
      <c r="B4753" s="53"/>
      <c r="I4753" s="53"/>
      <c r="U4753" s="31" t="n">
        <f aca="false">IF($B4753&lt;&gt;'設定（最初に1回）'!$C$4,N(U4752),IF(COUNTIFS(①今日の在庫を貼る!$B$6:$B$10005,$B4753,①今日の在庫を貼る!$I$6:$I$10005,$I4753)&gt;0,N(U4752),N(U4752)+1))</f>
        <v>2</v>
      </c>
    </row>
    <row r="4754" customFormat="false" ht="15" hidden="false" customHeight="false" outlineLevel="0" collapsed="false">
      <c r="B4754" s="53"/>
      <c r="I4754" s="53"/>
      <c r="U4754" s="31" t="n">
        <f aca="false">IF($B4754&lt;&gt;'設定（最初に1回）'!$C$4,N(U4753),IF(COUNTIFS(①今日の在庫を貼る!$B$6:$B$10005,$B4754,①今日の在庫を貼る!$I$6:$I$10005,$I4754)&gt;0,N(U4753),N(U4753)+1))</f>
        <v>2</v>
      </c>
    </row>
    <row r="4755" customFormat="false" ht="15" hidden="false" customHeight="false" outlineLevel="0" collapsed="false">
      <c r="B4755" s="53"/>
      <c r="I4755" s="53"/>
      <c r="U4755" s="31" t="n">
        <f aca="false">IF($B4755&lt;&gt;'設定（最初に1回）'!$C$4,N(U4754),IF(COUNTIFS(①今日の在庫を貼る!$B$6:$B$10005,$B4755,①今日の在庫を貼る!$I$6:$I$10005,$I4755)&gt;0,N(U4754),N(U4754)+1))</f>
        <v>2</v>
      </c>
    </row>
    <row r="4756" customFormat="false" ht="15" hidden="false" customHeight="false" outlineLevel="0" collapsed="false">
      <c r="B4756" s="53"/>
      <c r="I4756" s="53"/>
      <c r="U4756" s="31" t="n">
        <f aca="false">IF($B4756&lt;&gt;'設定（最初に1回）'!$C$4,N(U4755),IF(COUNTIFS(①今日の在庫を貼る!$B$6:$B$10005,$B4756,①今日の在庫を貼る!$I$6:$I$10005,$I4756)&gt;0,N(U4755),N(U4755)+1))</f>
        <v>2</v>
      </c>
    </row>
    <row r="4757" customFormat="false" ht="15" hidden="false" customHeight="false" outlineLevel="0" collapsed="false">
      <c r="B4757" s="53"/>
      <c r="I4757" s="53"/>
      <c r="U4757" s="31" t="n">
        <f aca="false">IF($B4757&lt;&gt;'設定（最初に1回）'!$C$4,N(U4756),IF(COUNTIFS(①今日の在庫を貼る!$B$6:$B$10005,$B4757,①今日の在庫を貼る!$I$6:$I$10005,$I4757)&gt;0,N(U4756),N(U4756)+1))</f>
        <v>2</v>
      </c>
    </row>
    <row r="4758" customFormat="false" ht="15" hidden="false" customHeight="false" outlineLevel="0" collapsed="false">
      <c r="B4758" s="53"/>
      <c r="I4758" s="53"/>
      <c r="U4758" s="31" t="n">
        <f aca="false">IF($B4758&lt;&gt;'設定（最初に1回）'!$C$4,N(U4757),IF(COUNTIFS(①今日の在庫を貼る!$B$6:$B$10005,$B4758,①今日の在庫を貼る!$I$6:$I$10005,$I4758)&gt;0,N(U4757),N(U4757)+1))</f>
        <v>2</v>
      </c>
    </row>
    <row r="4759" customFormat="false" ht="15" hidden="false" customHeight="false" outlineLevel="0" collapsed="false">
      <c r="B4759" s="53"/>
      <c r="I4759" s="53"/>
      <c r="U4759" s="31" t="n">
        <f aca="false">IF($B4759&lt;&gt;'設定（最初に1回）'!$C$4,N(U4758),IF(COUNTIFS(①今日の在庫を貼る!$B$6:$B$10005,$B4759,①今日の在庫を貼る!$I$6:$I$10005,$I4759)&gt;0,N(U4758),N(U4758)+1))</f>
        <v>2</v>
      </c>
    </row>
    <row r="4760" customFormat="false" ht="15" hidden="false" customHeight="false" outlineLevel="0" collapsed="false">
      <c r="B4760" s="53"/>
      <c r="I4760" s="53"/>
      <c r="U4760" s="31" t="n">
        <f aca="false">IF($B4760&lt;&gt;'設定（最初に1回）'!$C$4,N(U4759),IF(COUNTIFS(①今日の在庫を貼る!$B$6:$B$10005,$B4760,①今日の在庫を貼る!$I$6:$I$10005,$I4760)&gt;0,N(U4759),N(U4759)+1))</f>
        <v>2</v>
      </c>
    </row>
    <row r="4761" customFormat="false" ht="15" hidden="false" customHeight="false" outlineLevel="0" collapsed="false">
      <c r="B4761" s="53"/>
      <c r="I4761" s="53"/>
      <c r="U4761" s="31" t="n">
        <f aca="false">IF($B4761&lt;&gt;'設定（最初に1回）'!$C$4,N(U4760),IF(COUNTIFS(①今日の在庫を貼る!$B$6:$B$10005,$B4761,①今日の在庫を貼る!$I$6:$I$10005,$I4761)&gt;0,N(U4760),N(U4760)+1))</f>
        <v>2</v>
      </c>
    </row>
    <row r="4762" customFormat="false" ht="15" hidden="false" customHeight="false" outlineLevel="0" collapsed="false">
      <c r="B4762" s="53"/>
      <c r="I4762" s="53"/>
      <c r="U4762" s="31" t="n">
        <f aca="false">IF($B4762&lt;&gt;'設定（最初に1回）'!$C$4,N(U4761),IF(COUNTIFS(①今日の在庫を貼る!$B$6:$B$10005,$B4762,①今日の在庫を貼る!$I$6:$I$10005,$I4762)&gt;0,N(U4761),N(U4761)+1))</f>
        <v>2</v>
      </c>
    </row>
    <row r="4763" customFormat="false" ht="15" hidden="false" customHeight="false" outlineLevel="0" collapsed="false">
      <c r="B4763" s="53"/>
      <c r="I4763" s="53"/>
      <c r="U4763" s="31" t="n">
        <f aca="false">IF($B4763&lt;&gt;'設定（最初に1回）'!$C$4,N(U4762),IF(COUNTIFS(①今日の在庫を貼る!$B$6:$B$10005,$B4763,①今日の在庫を貼る!$I$6:$I$10005,$I4763)&gt;0,N(U4762),N(U4762)+1))</f>
        <v>2</v>
      </c>
    </row>
    <row r="4764" customFormat="false" ht="15" hidden="false" customHeight="false" outlineLevel="0" collapsed="false">
      <c r="B4764" s="53"/>
      <c r="I4764" s="53"/>
      <c r="U4764" s="31" t="n">
        <f aca="false">IF($B4764&lt;&gt;'設定（最初に1回）'!$C$4,N(U4763),IF(COUNTIFS(①今日の在庫を貼る!$B$6:$B$10005,$B4764,①今日の在庫を貼る!$I$6:$I$10005,$I4764)&gt;0,N(U4763),N(U4763)+1))</f>
        <v>2</v>
      </c>
    </row>
    <row r="4765" customFormat="false" ht="15" hidden="false" customHeight="false" outlineLevel="0" collapsed="false">
      <c r="B4765" s="53"/>
      <c r="I4765" s="53"/>
      <c r="U4765" s="31" t="n">
        <f aca="false">IF($B4765&lt;&gt;'設定（最初に1回）'!$C$4,N(U4764),IF(COUNTIFS(①今日の在庫を貼る!$B$6:$B$10005,$B4765,①今日の在庫を貼る!$I$6:$I$10005,$I4765)&gt;0,N(U4764),N(U4764)+1))</f>
        <v>2</v>
      </c>
    </row>
    <row r="4766" customFormat="false" ht="15" hidden="false" customHeight="false" outlineLevel="0" collapsed="false">
      <c r="B4766" s="53"/>
      <c r="I4766" s="53"/>
      <c r="U4766" s="31" t="n">
        <f aca="false">IF($B4766&lt;&gt;'設定（最初に1回）'!$C$4,N(U4765),IF(COUNTIFS(①今日の在庫を貼る!$B$6:$B$10005,$B4766,①今日の在庫を貼る!$I$6:$I$10005,$I4766)&gt;0,N(U4765),N(U4765)+1))</f>
        <v>2</v>
      </c>
    </row>
    <row r="4767" customFormat="false" ht="15" hidden="false" customHeight="false" outlineLevel="0" collapsed="false">
      <c r="B4767" s="53"/>
      <c r="I4767" s="53"/>
      <c r="U4767" s="31" t="n">
        <f aca="false">IF($B4767&lt;&gt;'設定（最初に1回）'!$C$4,N(U4766),IF(COUNTIFS(①今日の在庫を貼る!$B$6:$B$10005,$B4767,①今日の在庫を貼る!$I$6:$I$10005,$I4767)&gt;0,N(U4766),N(U4766)+1))</f>
        <v>2</v>
      </c>
    </row>
    <row r="4768" customFormat="false" ht="15" hidden="false" customHeight="false" outlineLevel="0" collapsed="false">
      <c r="B4768" s="53"/>
      <c r="I4768" s="53"/>
      <c r="U4768" s="31" t="n">
        <f aca="false">IF($B4768&lt;&gt;'設定（最初に1回）'!$C$4,N(U4767),IF(COUNTIFS(①今日の在庫を貼る!$B$6:$B$10005,$B4768,①今日の在庫を貼る!$I$6:$I$10005,$I4768)&gt;0,N(U4767),N(U4767)+1))</f>
        <v>2</v>
      </c>
    </row>
    <row r="4769" customFormat="false" ht="15" hidden="false" customHeight="false" outlineLevel="0" collapsed="false">
      <c r="B4769" s="53"/>
      <c r="I4769" s="53"/>
      <c r="U4769" s="31" t="n">
        <f aca="false">IF($B4769&lt;&gt;'設定（最初に1回）'!$C$4,N(U4768),IF(COUNTIFS(①今日の在庫を貼る!$B$6:$B$10005,$B4769,①今日の在庫を貼る!$I$6:$I$10005,$I4769)&gt;0,N(U4768),N(U4768)+1))</f>
        <v>2</v>
      </c>
    </row>
    <row r="4770" customFormat="false" ht="15" hidden="false" customHeight="false" outlineLevel="0" collapsed="false">
      <c r="B4770" s="53"/>
      <c r="I4770" s="53"/>
      <c r="U4770" s="31" t="n">
        <f aca="false">IF($B4770&lt;&gt;'設定（最初に1回）'!$C$4,N(U4769),IF(COUNTIFS(①今日の在庫を貼る!$B$6:$B$10005,$B4770,①今日の在庫を貼る!$I$6:$I$10005,$I4770)&gt;0,N(U4769),N(U4769)+1))</f>
        <v>2</v>
      </c>
    </row>
    <row r="4771" customFormat="false" ht="15" hidden="false" customHeight="false" outlineLevel="0" collapsed="false">
      <c r="B4771" s="53"/>
      <c r="I4771" s="53"/>
      <c r="U4771" s="31" t="n">
        <f aca="false">IF($B4771&lt;&gt;'設定（最初に1回）'!$C$4,N(U4770),IF(COUNTIFS(①今日の在庫を貼る!$B$6:$B$10005,$B4771,①今日の在庫を貼る!$I$6:$I$10005,$I4771)&gt;0,N(U4770),N(U4770)+1))</f>
        <v>2</v>
      </c>
    </row>
    <row r="4772" customFormat="false" ht="15" hidden="false" customHeight="false" outlineLevel="0" collapsed="false">
      <c r="B4772" s="53"/>
      <c r="I4772" s="53"/>
      <c r="U4772" s="31" t="n">
        <f aca="false">IF($B4772&lt;&gt;'設定（最初に1回）'!$C$4,N(U4771),IF(COUNTIFS(①今日の在庫を貼る!$B$6:$B$10005,$B4772,①今日の在庫を貼る!$I$6:$I$10005,$I4772)&gt;0,N(U4771),N(U4771)+1))</f>
        <v>2</v>
      </c>
    </row>
    <row r="4773" customFormat="false" ht="15" hidden="false" customHeight="false" outlineLevel="0" collapsed="false">
      <c r="B4773" s="53"/>
      <c r="I4773" s="53"/>
      <c r="U4773" s="31" t="n">
        <f aca="false">IF($B4773&lt;&gt;'設定（最初に1回）'!$C$4,N(U4772),IF(COUNTIFS(①今日の在庫を貼る!$B$6:$B$10005,$B4773,①今日の在庫を貼る!$I$6:$I$10005,$I4773)&gt;0,N(U4772),N(U4772)+1))</f>
        <v>2</v>
      </c>
    </row>
    <row r="4774" customFormat="false" ht="15" hidden="false" customHeight="false" outlineLevel="0" collapsed="false">
      <c r="B4774" s="53"/>
      <c r="I4774" s="53"/>
      <c r="U4774" s="31" t="n">
        <f aca="false">IF($B4774&lt;&gt;'設定（最初に1回）'!$C$4,N(U4773),IF(COUNTIFS(①今日の在庫を貼る!$B$6:$B$10005,$B4774,①今日の在庫を貼る!$I$6:$I$10005,$I4774)&gt;0,N(U4773),N(U4773)+1))</f>
        <v>2</v>
      </c>
    </row>
    <row r="4775" customFormat="false" ht="15" hidden="false" customHeight="false" outlineLevel="0" collapsed="false">
      <c r="B4775" s="53"/>
      <c r="I4775" s="53"/>
      <c r="U4775" s="31" t="n">
        <f aca="false">IF($B4775&lt;&gt;'設定（最初に1回）'!$C$4,N(U4774),IF(COUNTIFS(①今日の在庫を貼る!$B$6:$B$10005,$B4775,①今日の在庫を貼る!$I$6:$I$10005,$I4775)&gt;0,N(U4774),N(U4774)+1))</f>
        <v>2</v>
      </c>
    </row>
    <row r="4776" customFormat="false" ht="15" hidden="false" customHeight="false" outlineLevel="0" collapsed="false">
      <c r="B4776" s="53"/>
      <c r="I4776" s="53"/>
      <c r="U4776" s="31" t="n">
        <f aca="false">IF($B4776&lt;&gt;'設定（最初に1回）'!$C$4,N(U4775),IF(COUNTIFS(①今日の在庫を貼る!$B$6:$B$10005,$B4776,①今日の在庫を貼る!$I$6:$I$10005,$I4776)&gt;0,N(U4775),N(U4775)+1))</f>
        <v>2</v>
      </c>
    </row>
    <row r="4777" customFormat="false" ht="15" hidden="false" customHeight="false" outlineLevel="0" collapsed="false">
      <c r="B4777" s="53"/>
      <c r="I4777" s="53"/>
      <c r="U4777" s="31" t="n">
        <f aca="false">IF($B4777&lt;&gt;'設定（最初に1回）'!$C$4,N(U4776),IF(COUNTIFS(①今日の在庫を貼る!$B$6:$B$10005,$B4777,①今日の在庫を貼る!$I$6:$I$10005,$I4777)&gt;0,N(U4776),N(U4776)+1))</f>
        <v>2</v>
      </c>
    </row>
    <row r="4778" customFormat="false" ht="15" hidden="false" customHeight="false" outlineLevel="0" collapsed="false">
      <c r="B4778" s="53"/>
      <c r="I4778" s="53"/>
      <c r="U4778" s="31" t="n">
        <f aca="false">IF($B4778&lt;&gt;'設定（最初に1回）'!$C$4,N(U4777),IF(COUNTIFS(①今日の在庫を貼る!$B$6:$B$10005,$B4778,①今日の在庫を貼る!$I$6:$I$10005,$I4778)&gt;0,N(U4777),N(U4777)+1))</f>
        <v>2</v>
      </c>
    </row>
    <row r="4779" customFormat="false" ht="15" hidden="false" customHeight="false" outlineLevel="0" collapsed="false">
      <c r="B4779" s="53"/>
      <c r="I4779" s="53"/>
      <c r="U4779" s="31" t="n">
        <f aca="false">IF($B4779&lt;&gt;'設定（最初に1回）'!$C$4,N(U4778),IF(COUNTIFS(①今日の在庫を貼る!$B$6:$B$10005,$B4779,①今日の在庫を貼る!$I$6:$I$10005,$I4779)&gt;0,N(U4778),N(U4778)+1))</f>
        <v>2</v>
      </c>
    </row>
    <row r="4780" customFormat="false" ht="15" hidden="false" customHeight="false" outlineLevel="0" collapsed="false">
      <c r="B4780" s="53"/>
      <c r="I4780" s="53"/>
      <c r="U4780" s="31" t="n">
        <f aca="false">IF($B4780&lt;&gt;'設定（最初に1回）'!$C$4,N(U4779),IF(COUNTIFS(①今日の在庫を貼る!$B$6:$B$10005,$B4780,①今日の在庫を貼る!$I$6:$I$10005,$I4780)&gt;0,N(U4779),N(U4779)+1))</f>
        <v>2</v>
      </c>
    </row>
    <row r="4781" customFormat="false" ht="15" hidden="false" customHeight="false" outlineLevel="0" collapsed="false">
      <c r="B4781" s="53"/>
      <c r="I4781" s="53"/>
      <c r="U4781" s="31" t="n">
        <f aca="false">IF($B4781&lt;&gt;'設定（最初に1回）'!$C$4,N(U4780),IF(COUNTIFS(①今日の在庫を貼る!$B$6:$B$10005,$B4781,①今日の在庫を貼る!$I$6:$I$10005,$I4781)&gt;0,N(U4780),N(U4780)+1))</f>
        <v>2</v>
      </c>
    </row>
    <row r="4782" customFormat="false" ht="15" hidden="false" customHeight="false" outlineLevel="0" collapsed="false">
      <c r="B4782" s="53"/>
      <c r="I4782" s="53"/>
      <c r="U4782" s="31" t="n">
        <f aca="false">IF($B4782&lt;&gt;'設定（最初に1回）'!$C$4,N(U4781),IF(COUNTIFS(①今日の在庫を貼る!$B$6:$B$10005,$B4782,①今日の在庫を貼る!$I$6:$I$10005,$I4782)&gt;0,N(U4781),N(U4781)+1))</f>
        <v>2</v>
      </c>
    </row>
    <row r="4783" customFormat="false" ht="15" hidden="false" customHeight="false" outlineLevel="0" collapsed="false">
      <c r="B4783" s="53"/>
      <c r="I4783" s="53"/>
      <c r="U4783" s="31" t="n">
        <f aca="false">IF($B4783&lt;&gt;'設定（最初に1回）'!$C$4,N(U4782),IF(COUNTIFS(①今日の在庫を貼る!$B$6:$B$10005,$B4783,①今日の在庫を貼る!$I$6:$I$10005,$I4783)&gt;0,N(U4782),N(U4782)+1))</f>
        <v>2</v>
      </c>
    </row>
    <row r="4784" customFormat="false" ht="15" hidden="false" customHeight="false" outlineLevel="0" collapsed="false">
      <c r="B4784" s="53"/>
      <c r="I4784" s="53"/>
      <c r="U4784" s="31" t="n">
        <f aca="false">IF($B4784&lt;&gt;'設定（最初に1回）'!$C$4,N(U4783),IF(COUNTIFS(①今日の在庫を貼る!$B$6:$B$10005,$B4784,①今日の在庫を貼る!$I$6:$I$10005,$I4784)&gt;0,N(U4783),N(U4783)+1))</f>
        <v>2</v>
      </c>
    </row>
    <row r="4785" customFormat="false" ht="15" hidden="false" customHeight="false" outlineLevel="0" collapsed="false">
      <c r="B4785" s="53"/>
      <c r="I4785" s="53"/>
      <c r="U4785" s="31" t="n">
        <f aca="false">IF($B4785&lt;&gt;'設定（最初に1回）'!$C$4,N(U4784),IF(COUNTIFS(①今日の在庫を貼る!$B$6:$B$10005,$B4785,①今日の在庫を貼る!$I$6:$I$10005,$I4785)&gt;0,N(U4784),N(U4784)+1))</f>
        <v>2</v>
      </c>
    </row>
    <row r="4786" customFormat="false" ht="15" hidden="false" customHeight="false" outlineLevel="0" collapsed="false">
      <c r="B4786" s="53"/>
      <c r="I4786" s="53"/>
      <c r="U4786" s="31" t="n">
        <f aca="false">IF($B4786&lt;&gt;'設定（最初に1回）'!$C$4,N(U4785),IF(COUNTIFS(①今日の在庫を貼る!$B$6:$B$10005,$B4786,①今日の在庫を貼る!$I$6:$I$10005,$I4786)&gt;0,N(U4785),N(U4785)+1))</f>
        <v>2</v>
      </c>
    </row>
    <row r="4787" customFormat="false" ht="15" hidden="false" customHeight="false" outlineLevel="0" collapsed="false">
      <c r="B4787" s="53"/>
      <c r="I4787" s="53"/>
      <c r="U4787" s="31" t="n">
        <f aca="false">IF($B4787&lt;&gt;'設定（最初に1回）'!$C$4,N(U4786),IF(COUNTIFS(①今日の在庫を貼る!$B$6:$B$10005,$B4787,①今日の在庫を貼る!$I$6:$I$10005,$I4787)&gt;0,N(U4786),N(U4786)+1))</f>
        <v>2</v>
      </c>
    </row>
    <row r="4788" customFormat="false" ht="15" hidden="false" customHeight="false" outlineLevel="0" collapsed="false">
      <c r="B4788" s="53"/>
      <c r="I4788" s="53"/>
      <c r="U4788" s="31" t="n">
        <f aca="false">IF($B4788&lt;&gt;'設定（最初に1回）'!$C$4,N(U4787),IF(COUNTIFS(①今日の在庫を貼る!$B$6:$B$10005,$B4788,①今日の在庫を貼る!$I$6:$I$10005,$I4788)&gt;0,N(U4787),N(U4787)+1))</f>
        <v>2</v>
      </c>
    </row>
    <row r="4789" customFormat="false" ht="15" hidden="false" customHeight="false" outlineLevel="0" collapsed="false">
      <c r="B4789" s="53"/>
      <c r="I4789" s="53"/>
      <c r="U4789" s="31" t="n">
        <f aca="false">IF($B4789&lt;&gt;'設定（最初に1回）'!$C$4,N(U4788),IF(COUNTIFS(①今日の在庫を貼る!$B$6:$B$10005,$B4789,①今日の在庫を貼る!$I$6:$I$10005,$I4789)&gt;0,N(U4788),N(U4788)+1))</f>
        <v>2</v>
      </c>
    </row>
    <row r="4790" customFormat="false" ht="15" hidden="false" customHeight="false" outlineLevel="0" collapsed="false">
      <c r="B4790" s="53"/>
      <c r="I4790" s="53"/>
      <c r="U4790" s="31" t="n">
        <f aca="false">IF($B4790&lt;&gt;'設定（最初に1回）'!$C$4,N(U4789),IF(COUNTIFS(①今日の在庫を貼る!$B$6:$B$10005,$B4790,①今日の在庫を貼る!$I$6:$I$10005,$I4790)&gt;0,N(U4789),N(U4789)+1))</f>
        <v>2</v>
      </c>
    </row>
    <row r="4791" customFormat="false" ht="15" hidden="false" customHeight="false" outlineLevel="0" collapsed="false">
      <c r="B4791" s="53"/>
      <c r="I4791" s="53"/>
      <c r="U4791" s="31" t="n">
        <f aca="false">IF($B4791&lt;&gt;'設定（最初に1回）'!$C$4,N(U4790),IF(COUNTIFS(①今日の在庫を貼る!$B$6:$B$10005,$B4791,①今日の在庫を貼る!$I$6:$I$10005,$I4791)&gt;0,N(U4790),N(U4790)+1))</f>
        <v>2</v>
      </c>
    </row>
    <row r="4792" customFormat="false" ht="15" hidden="false" customHeight="false" outlineLevel="0" collapsed="false">
      <c r="B4792" s="53"/>
      <c r="I4792" s="53"/>
      <c r="U4792" s="31" t="n">
        <f aca="false">IF($B4792&lt;&gt;'設定（最初に1回）'!$C$4,N(U4791),IF(COUNTIFS(①今日の在庫を貼る!$B$6:$B$10005,$B4792,①今日の在庫を貼る!$I$6:$I$10005,$I4792)&gt;0,N(U4791),N(U4791)+1))</f>
        <v>2</v>
      </c>
    </row>
    <row r="4793" customFormat="false" ht="15" hidden="false" customHeight="false" outlineLevel="0" collapsed="false">
      <c r="B4793" s="53"/>
      <c r="I4793" s="53"/>
      <c r="U4793" s="31" t="n">
        <f aca="false">IF($B4793&lt;&gt;'設定（最初に1回）'!$C$4,N(U4792),IF(COUNTIFS(①今日の在庫を貼る!$B$6:$B$10005,$B4793,①今日の在庫を貼る!$I$6:$I$10005,$I4793)&gt;0,N(U4792),N(U4792)+1))</f>
        <v>2</v>
      </c>
    </row>
    <row r="4794" customFormat="false" ht="15" hidden="false" customHeight="false" outlineLevel="0" collapsed="false">
      <c r="B4794" s="53"/>
      <c r="I4794" s="53"/>
      <c r="U4794" s="31" t="n">
        <f aca="false">IF($B4794&lt;&gt;'設定（最初に1回）'!$C$4,N(U4793),IF(COUNTIFS(①今日の在庫を貼る!$B$6:$B$10005,$B4794,①今日の在庫を貼る!$I$6:$I$10005,$I4794)&gt;0,N(U4793),N(U4793)+1))</f>
        <v>2</v>
      </c>
    </row>
    <row r="4795" customFormat="false" ht="15" hidden="false" customHeight="false" outlineLevel="0" collapsed="false">
      <c r="B4795" s="53"/>
      <c r="I4795" s="53"/>
      <c r="U4795" s="31" t="n">
        <f aca="false">IF($B4795&lt;&gt;'設定（最初に1回）'!$C$4,N(U4794),IF(COUNTIFS(①今日の在庫を貼る!$B$6:$B$10005,$B4795,①今日の在庫を貼る!$I$6:$I$10005,$I4795)&gt;0,N(U4794),N(U4794)+1))</f>
        <v>2</v>
      </c>
    </row>
    <row r="4796" customFormat="false" ht="15" hidden="false" customHeight="false" outlineLevel="0" collapsed="false">
      <c r="B4796" s="53"/>
      <c r="I4796" s="53"/>
      <c r="U4796" s="31" t="n">
        <f aca="false">IF($B4796&lt;&gt;'設定（最初に1回）'!$C$4,N(U4795),IF(COUNTIFS(①今日の在庫を貼る!$B$6:$B$10005,$B4796,①今日の在庫を貼る!$I$6:$I$10005,$I4796)&gt;0,N(U4795),N(U4795)+1))</f>
        <v>2</v>
      </c>
    </row>
    <row r="4797" customFormat="false" ht="15" hidden="false" customHeight="false" outlineLevel="0" collapsed="false">
      <c r="B4797" s="53"/>
      <c r="I4797" s="53"/>
      <c r="U4797" s="31" t="n">
        <f aca="false">IF($B4797&lt;&gt;'設定（最初に1回）'!$C$4,N(U4796),IF(COUNTIFS(①今日の在庫を貼る!$B$6:$B$10005,$B4797,①今日の在庫を貼る!$I$6:$I$10005,$I4797)&gt;0,N(U4796),N(U4796)+1))</f>
        <v>2</v>
      </c>
    </row>
    <row r="4798" customFormat="false" ht="15" hidden="false" customHeight="false" outlineLevel="0" collapsed="false">
      <c r="B4798" s="53"/>
      <c r="I4798" s="53"/>
      <c r="U4798" s="31" t="n">
        <f aca="false">IF($B4798&lt;&gt;'設定（最初に1回）'!$C$4,N(U4797),IF(COUNTIFS(①今日の在庫を貼る!$B$6:$B$10005,$B4798,①今日の在庫を貼る!$I$6:$I$10005,$I4798)&gt;0,N(U4797),N(U4797)+1))</f>
        <v>2</v>
      </c>
    </row>
    <row r="4799" customFormat="false" ht="15" hidden="false" customHeight="false" outlineLevel="0" collapsed="false">
      <c r="B4799" s="53"/>
      <c r="I4799" s="53"/>
      <c r="U4799" s="31" t="n">
        <f aca="false">IF($B4799&lt;&gt;'設定（最初に1回）'!$C$4,N(U4798),IF(COUNTIFS(①今日の在庫を貼る!$B$6:$B$10005,$B4799,①今日の在庫を貼る!$I$6:$I$10005,$I4799)&gt;0,N(U4798),N(U4798)+1))</f>
        <v>2</v>
      </c>
    </row>
    <row r="4800" customFormat="false" ht="15" hidden="false" customHeight="false" outlineLevel="0" collapsed="false">
      <c r="B4800" s="53"/>
      <c r="I4800" s="53"/>
      <c r="U4800" s="31" t="n">
        <f aca="false">IF($B4800&lt;&gt;'設定（最初に1回）'!$C$4,N(U4799),IF(COUNTIFS(①今日の在庫を貼る!$B$6:$B$10005,$B4800,①今日の在庫を貼る!$I$6:$I$10005,$I4800)&gt;0,N(U4799),N(U4799)+1))</f>
        <v>2</v>
      </c>
    </row>
    <row r="4801" customFormat="false" ht="15" hidden="false" customHeight="false" outlineLevel="0" collapsed="false">
      <c r="B4801" s="53"/>
      <c r="I4801" s="53"/>
      <c r="U4801" s="31" t="n">
        <f aca="false">IF($B4801&lt;&gt;'設定（最初に1回）'!$C$4,N(U4800),IF(COUNTIFS(①今日の在庫を貼る!$B$6:$B$10005,$B4801,①今日の在庫を貼る!$I$6:$I$10005,$I4801)&gt;0,N(U4800),N(U4800)+1))</f>
        <v>2</v>
      </c>
    </row>
    <row r="4802" customFormat="false" ht="15" hidden="false" customHeight="false" outlineLevel="0" collapsed="false">
      <c r="B4802" s="53"/>
      <c r="I4802" s="53"/>
      <c r="U4802" s="31" t="n">
        <f aca="false">IF($B4802&lt;&gt;'設定（最初に1回）'!$C$4,N(U4801),IF(COUNTIFS(①今日の在庫を貼る!$B$6:$B$10005,$B4802,①今日の在庫を貼る!$I$6:$I$10005,$I4802)&gt;0,N(U4801),N(U4801)+1))</f>
        <v>2</v>
      </c>
    </row>
    <row r="4803" customFormat="false" ht="15" hidden="false" customHeight="false" outlineLevel="0" collapsed="false">
      <c r="B4803" s="53"/>
      <c r="I4803" s="53"/>
      <c r="U4803" s="31" t="n">
        <f aca="false">IF($B4803&lt;&gt;'設定（最初に1回）'!$C$4,N(U4802),IF(COUNTIFS(①今日の在庫を貼る!$B$6:$B$10005,$B4803,①今日の在庫を貼る!$I$6:$I$10005,$I4803)&gt;0,N(U4802),N(U4802)+1))</f>
        <v>2</v>
      </c>
    </row>
    <row r="4804" customFormat="false" ht="15" hidden="false" customHeight="false" outlineLevel="0" collapsed="false">
      <c r="B4804" s="53"/>
      <c r="I4804" s="53"/>
      <c r="U4804" s="31" t="n">
        <f aca="false">IF($B4804&lt;&gt;'設定（最初に1回）'!$C$4,N(U4803),IF(COUNTIFS(①今日の在庫を貼る!$B$6:$B$10005,$B4804,①今日の在庫を貼る!$I$6:$I$10005,$I4804)&gt;0,N(U4803),N(U4803)+1))</f>
        <v>2</v>
      </c>
    </row>
    <row r="4805" customFormat="false" ht="15" hidden="false" customHeight="false" outlineLevel="0" collapsed="false">
      <c r="B4805" s="53"/>
      <c r="I4805" s="53"/>
      <c r="U4805" s="31" t="n">
        <f aca="false">IF($B4805&lt;&gt;'設定（最初に1回）'!$C$4,N(U4804),IF(COUNTIFS(①今日の在庫を貼る!$B$6:$B$10005,$B4805,①今日の在庫を貼る!$I$6:$I$10005,$I4805)&gt;0,N(U4804),N(U4804)+1))</f>
        <v>2</v>
      </c>
    </row>
    <row r="4806" customFormat="false" ht="15" hidden="false" customHeight="false" outlineLevel="0" collapsed="false">
      <c r="B4806" s="53"/>
      <c r="I4806" s="53"/>
      <c r="U4806" s="31" t="n">
        <f aca="false">IF($B4806&lt;&gt;'設定（最初に1回）'!$C$4,N(U4805),IF(COUNTIFS(①今日の在庫を貼る!$B$6:$B$10005,$B4806,①今日の在庫を貼る!$I$6:$I$10005,$I4806)&gt;0,N(U4805),N(U4805)+1))</f>
        <v>2</v>
      </c>
    </row>
    <row r="4807" customFormat="false" ht="15" hidden="false" customHeight="false" outlineLevel="0" collapsed="false">
      <c r="B4807" s="53"/>
      <c r="I4807" s="53"/>
      <c r="U4807" s="31" t="n">
        <f aca="false">IF($B4807&lt;&gt;'設定（最初に1回）'!$C$4,N(U4806),IF(COUNTIFS(①今日の在庫を貼る!$B$6:$B$10005,$B4807,①今日の在庫を貼る!$I$6:$I$10005,$I4807)&gt;0,N(U4806),N(U4806)+1))</f>
        <v>2</v>
      </c>
    </row>
    <row r="4808" customFormat="false" ht="15" hidden="false" customHeight="false" outlineLevel="0" collapsed="false">
      <c r="B4808" s="53"/>
      <c r="I4808" s="53"/>
      <c r="U4808" s="31" t="n">
        <f aca="false">IF($B4808&lt;&gt;'設定（最初に1回）'!$C$4,N(U4807),IF(COUNTIFS(①今日の在庫を貼る!$B$6:$B$10005,$B4808,①今日の在庫を貼る!$I$6:$I$10005,$I4808)&gt;0,N(U4807),N(U4807)+1))</f>
        <v>2</v>
      </c>
    </row>
    <row r="4809" customFormat="false" ht="15" hidden="false" customHeight="false" outlineLevel="0" collapsed="false">
      <c r="B4809" s="53"/>
      <c r="I4809" s="53"/>
      <c r="U4809" s="31" t="n">
        <f aca="false">IF($B4809&lt;&gt;'設定（最初に1回）'!$C$4,N(U4808),IF(COUNTIFS(①今日の在庫を貼る!$B$6:$B$10005,$B4809,①今日の在庫を貼る!$I$6:$I$10005,$I4809)&gt;0,N(U4808),N(U4808)+1))</f>
        <v>2</v>
      </c>
    </row>
    <row r="4810" customFormat="false" ht="15" hidden="false" customHeight="false" outlineLevel="0" collapsed="false">
      <c r="B4810" s="53"/>
      <c r="I4810" s="53"/>
      <c r="U4810" s="31" t="n">
        <f aca="false">IF($B4810&lt;&gt;'設定（最初に1回）'!$C$4,N(U4809),IF(COUNTIFS(①今日の在庫を貼る!$B$6:$B$10005,$B4810,①今日の在庫を貼る!$I$6:$I$10005,$I4810)&gt;0,N(U4809),N(U4809)+1))</f>
        <v>2</v>
      </c>
    </row>
    <row r="4811" customFormat="false" ht="15" hidden="false" customHeight="false" outlineLevel="0" collapsed="false">
      <c r="B4811" s="53"/>
      <c r="I4811" s="53"/>
      <c r="U4811" s="31" t="n">
        <f aca="false">IF($B4811&lt;&gt;'設定（最初に1回）'!$C$4,N(U4810),IF(COUNTIFS(①今日の在庫を貼る!$B$6:$B$10005,$B4811,①今日の在庫を貼る!$I$6:$I$10005,$I4811)&gt;0,N(U4810),N(U4810)+1))</f>
        <v>2</v>
      </c>
    </row>
    <row r="4812" customFormat="false" ht="15" hidden="false" customHeight="false" outlineLevel="0" collapsed="false">
      <c r="B4812" s="53"/>
      <c r="I4812" s="53"/>
      <c r="U4812" s="31" t="n">
        <f aca="false">IF($B4812&lt;&gt;'設定（最初に1回）'!$C$4,N(U4811),IF(COUNTIFS(①今日の在庫を貼る!$B$6:$B$10005,$B4812,①今日の在庫を貼る!$I$6:$I$10005,$I4812)&gt;0,N(U4811),N(U4811)+1))</f>
        <v>2</v>
      </c>
    </row>
    <row r="4813" customFormat="false" ht="15" hidden="false" customHeight="false" outlineLevel="0" collapsed="false">
      <c r="B4813" s="53"/>
      <c r="I4813" s="53"/>
      <c r="U4813" s="31" t="n">
        <f aca="false">IF($B4813&lt;&gt;'設定（最初に1回）'!$C$4,N(U4812),IF(COUNTIFS(①今日の在庫を貼る!$B$6:$B$10005,$B4813,①今日の在庫を貼る!$I$6:$I$10005,$I4813)&gt;0,N(U4812),N(U4812)+1))</f>
        <v>2</v>
      </c>
    </row>
    <row r="4814" customFormat="false" ht="15" hidden="false" customHeight="false" outlineLevel="0" collapsed="false">
      <c r="B4814" s="53"/>
      <c r="I4814" s="53"/>
      <c r="U4814" s="31" t="n">
        <f aca="false">IF($B4814&lt;&gt;'設定（最初に1回）'!$C$4,N(U4813),IF(COUNTIFS(①今日の在庫を貼る!$B$6:$B$10005,$B4814,①今日の在庫を貼る!$I$6:$I$10005,$I4814)&gt;0,N(U4813),N(U4813)+1))</f>
        <v>2</v>
      </c>
    </row>
    <row r="4815" customFormat="false" ht="15" hidden="false" customHeight="false" outlineLevel="0" collapsed="false">
      <c r="B4815" s="53"/>
      <c r="I4815" s="53"/>
      <c r="U4815" s="31" t="n">
        <f aca="false">IF($B4815&lt;&gt;'設定（最初に1回）'!$C$4,N(U4814),IF(COUNTIFS(①今日の在庫を貼る!$B$6:$B$10005,$B4815,①今日の在庫を貼る!$I$6:$I$10005,$I4815)&gt;0,N(U4814),N(U4814)+1))</f>
        <v>2</v>
      </c>
    </row>
    <row r="4816" customFormat="false" ht="15" hidden="false" customHeight="false" outlineLevel="0" collapsed="false">
      <c r="B4816" s="53"/>
      <c r="I4816" s="53"/>
      <c r="U4816" s="31" t="n">
        <f aca="false">IF($B4816&lt;&gt;'設定（最初に1回）'!$C$4,N(U4815),IF(COUNTIFS(①今日の在庫を貼る!$B$6:$B$10005,$B4816,①今日の在庫を貼る!$I$6:$I$10005,$I4816)&gt;0,N(U4815),N(U4815)+1))</f>
        <v>2</v>
      </c>
    </row>
    <row r="4817" customFormat="false" ht="15" hidden="false" customHeight="false" outlineLevel="0" collapsed="false">
      <c r="B4817" s="53"/>
      <c r="I4817" s="53"/>
      <c r="U4817" s="31" t="n">
        <f aca="false">IF($B4817&lt;&gt;'設定（最初に1回）'!$C$4,N(U4816),IF(COUNTIFS(①今日の在庫を貼る!$B$6:$B$10005,$B4817,①今日の在庫を貼る!$I$6:$I$10005,$I4817)&gt;0,N(U4816),N(U4816)+1))</f>
        <v>2</v>
      </c>
    </row>
    <row r="4818" customFormat="false" ht="15" hidden="false" customHeight="false" outlineLevel="0" collapsed="false">
      <c r="B4818" s="53"/>
      <c r="I4818" s="53"/>
      <c r="U4818" s="31" t="n">
        <f aca="false">IF($B4818&lt;&gt;'設定（最初に1回）'!$C$4,N(U4817),IF(COUNTIFS(①今日の在庫を貼る!$B$6:$B$10005,$B4818,①今日の在庫を貼る!$I$6:$I$10005,$I4818)&gt;0,N(U4817),N(U4817)+1))</f>
        <v>2</v>
      </c>
    </row>
    <row r="4819" customFormat="false" ht="15" hidden="false" customHeight="false" outlineLevel="0" collapsed="false">
      <c r="B4819" s="53"/>
      <c r="I4819" s="53"/>
      <c r="U4819" s="31" t="n">
        <f aca="false">IF($B4819&lt;&gt;'設定（最初に1回）'!$C$4,N(U4818),IF(COUNTIFS(①今日の在庫を貼る!$B$6:$B$10005,$B4819,①今日の在庫を貼る!$I$6:$I$10005,$I4819)&gt;0,N(U4818),N(U4818)+1))</f>
        <v>2</v>
      </c>
    </row>
    <row r="4820" customFormat="false" ht="15" hidden="false" customHeight="false" outlineLevel="0" collapsed="false">
      <c r="B4820" s="53"/>
      <c r="I4820" s="53"/>
      <c r="U4820" s="31" t="n">
        <f aca="false">IF($B4820&lt;&gt;'設定（最初に1回）'!$C$4,N(U4819),IF(COUNTIFS(①今日の在庫を貼る!$B$6:$B$10005,$B4820,①今日の在庫を貼る!$I$6:$I$10005,$I4820)&gt;0,N(U4819),N(U4819)+1))</f>
        <v>2</v>
      </c>
    </row>
    <row r="4821" customFormat="false" ht="15" hidden="false" customHeight="false" outlineLevel="0" collapsed="false">
      <c r="B4821" s="53"/>
      <c r="I4821" s="53"/>
      <c r="U4821" s="31" t="n">
        <f aca="false">IF($B4821&lt;&gt;'設定（最初に1回）'!$C$4,N(U4820),IF(COUNTIFS(①今日の在庫を貼る!$B$6:$B$10005,$B4821,①今日の在庫を貼る!$I$6:$I$10005,$I4821)&gt;0,N(U4820),N(U4820)+1))</f>
        <v>2</v>
      </c>
    </row>
    <row r="4822" customFormat="false" ht="15" hidden="false" customHeight="false" outlineLevel="0" collapsed="false">
      <c r="B4822" s="53"/>
      <c r="I4822" s="53"/>
      <c r="U4822" s="31" t="n">
        <f aca="false">IF($B4822&lt;&gt;'設定（最初に1回）'!$C$4,N(U4821),IF(COUNTIFS(①今日の在庫を貼る!$B$6:$B$10005,$B4822,①今日の在庫を貼る!$I$6:$I$10005,$I4822)&gt;0,N(U4821),N(U4821)+1))</f>
        <v>2</v>
      </c>
    </row>
    <row r="4823" customFormat="false" ht="15" hidden="false" customHeight="false" outlineLevel="0" collapsed="false">
      <c r="B4823" s="53"/>
      <c r="I4823" s="53"/>
      <c r="U4823" s="31" t="n">
        <f aca="false">IF($B4823&lt;&gt;'設定（最初に1回）'!$C$4,N(U4822),IF(COUNTIFS(①今日の在庫を貼る!$B$6:$B$10005,$B4823,①今日の在庫を貼る!$I$6:$I$10005,$I4823)&gt;0,N(U4822),N(U4822)+1))</f>
        <v>2</v>
      </c>
    </row>
    <row r="4824" customFormat="false" ht="15" hidden="false" customHeight="false" outlineLevel="0" collapsed="false">
      <c r="B4824" s="53"/>
      <c r="I4824" s="53"/>
      <c r="U4824" s="31" t="n">
        <f aca="false">IF($B4824&lt;&gt;'設定（最初に1回）'!$C$4,N(U4823),IF(COUNTIFS(①今日の在庫を貼る!$B$6:$B$10005,$B4824,①今日の在庫を貼る!$I$6:$I$10005,$I4824)&gt;0,N(U4823),N(U4823)+1))</f>
        <v>2</v>
      </c>
    </row>
    <row r="4825" customFormat="false" ht="15" hidden="false" customHeight="false" outlineLevel="0" collapsed="false">
      <c r="B4825" s="53"/>
      <c r="I4825" s="53"/>
      <c r="U4825" s="31" t="n">
        <f aca="false">IF($B4825&lt;&gt;'設定（最初に1回）'!$C$4,N(U4824),IF(COUNTIFS(①今日の在庫を貼る!$B$6:$B$10005,$B4825,①今日の在庫を貼る!$I$6:$I$10005,$I4825)&gt;0,N(U4824),N(U4824)+1))</f>
        <v>2</v>
      </c>
    </row>
    <row r="4826" customFormat="false" ht="15" hidden="false" customHeight="false" outlineLevel="0" collapsed="false">
      <c r="B4826" s="53"/>
      <c r="I4826" s="53"/>
      <c r="U4826" s="31" t="n">
        <f aca="false">IF($B4826&lt;&gt;'設定（最初に1回）'!$C$4,N(U4825),IF(COUNTIFS(①今日の在庫を貼る!$B$6:$B$10005,$B4826,①今日の在庫を貼る!$I$6:$I$10005,$I4826)&gt;0,N(U4825),N(U4825)+1))</f>
        <v>2</v>
      </c>
    </row>
    <row r="4827" customFormat="false" ht="15" hidden="false" customHeight="false" outlineLevel="0" collapsed="false">
      <c r="B4827" s="53"/>
      <c r="I4827" s="53"/>
      <c r="U4827" s="31" t="n">
        <f aca="false">IF($B4827&lt;&gt;'設定（最初に1回）'!$C$4,N(U4826),IF(COUNTIFS(①今日の在庫を貼る!$B$6:$B$10005,$B4827,①今日の在庫を貼る!$I$6:$I$10005,$I4827)&gt;0,N(U4826),N(U4826)+1))</f>
        <v>2</v>
      </c>
    </row>
    <row r="4828" customFormat="false" ht="15" hidden="false" customHeight="false" outlineLevel="0" collapsed="false">
      <c r="B4828" s="53"/>
      <c r="I4828" s="53"/>
      <c r="U4828" s="31" t="n">
        <f aca="false">IF($B4828&lt;&gt;'設定（最初に1回）'!$C$4,N(U4827),IF(COUNTIFS(①今日の在庫を貼る!$B$6:$B$10005,$B4828,①今日の在庫を貼る!$I$6:$I$10005,$I4828)&gt;0,N(U4827),N(U4827)+1))</f>
        <v>2</v>
      </c>
    </row>
    <row r="4829" customFormat="false" ht="15" hidden="false" customHeight="false" outlineLevel="0" collapsed="false">
      <c r="B4829" s="53"/>
      <c r="I4829" s="53"/>
      <c r="U4829" s="31" t="n">
        <f aca="false">IF($B4829&lt;&gt;'設定（最初に1回）'!$C$4,N(U4828),IF(COUNTIFS(①今日の在庫を貼る!$B$6:$B$10005,$B4829,①今日の在庫を貼る!$I$6:$I$10005,$I4829)&gt;0,N(U4828),N(U4828)+1))</f>
        <v>2</v>
      </c>
    </row>
    <row r="4830" customFormat="false" ht="15" hidden="false" customHeight="false" outlineLevel="0" collapsed="false">
      <c r="B4830" s="53"/>
      <c r="I4830" s="53"/>
      <c r="U4830" s="31" t="n">
        <f aca="false">IF($B4830&lt;&gt;'設定（最初に1回）'!$C$4,N(U4829),IF(COUNTIFS(①今日の在庫を貼る!$B$6:$B$10005,$B4830,①今日の在庫を貼る!$I$6:$I$10005,$I4830)&gt;0,N(U4829),N(U4829)+1))</f>
        <v>2</v>
      </c>
    </row>
    <row r="4831" customFormat="false" ht="15" hidden="false" customHeight="false" outlineLevel="0" collapsed="false">
      <c r="B4831" s="53"/>
      <c r="I4831" s="53"/>
      <c r="U4831" s="31" t="n">
        <f aca="false">IF($B4831&lt;&gt;'設定（最初に1回）'!$C$4,N(U4830),IF(COUNTIFS(①今日の在庫を貼る!$B$6:$B$10005,$B4831,①今日の在庫を貼る!$I$6:$I$10005,$I4831)&gt;0,N(U4830),N(U4830)+1))</f>
        <v>2</v>
      </c>
    </row>
    <row r="4832" customFormat="false" ht="15" hidden="false" customHeight="false" outlineLevel="0" collapsed="false">
      <c r="B4832" s="53"/>
      <c r="I4832" s="53"/>
      <c r="U4832" s="31" t="n">
        <f aca="false">IF($B4832&lt;&gt;'設定（最初に1回）'!$C$4,N(U4831),IF(COUNTIFS(①今日の在庫を貼る!$B$6:$B$10005,$B4832,①今日の在庫を貼る!$I$6:$I$10005,$I4832)&gt;0,N(U4831),N(U4831)+1))</f>
        <v>2</v>
      </c>
    </row>
    <row r="4833" customFormat="false" ht="15" hidden="false" customHeight="false" outlineLevel="0" collapsed="false">
      <c r="B4833" s="53"/>
      <c r="I4833" s="53"/>
      <c r="U4833" s="31" t="n">
        <f aca="false">IF($B4833&lt;&gt;'設定（最初に1回）'!$C$4,N(U4832),IF(COUNTIFS(①今日の在庫を貼る!$B$6:$B$10005,$B4833,①今日の在庫を貼る!$I$6:$I$10005,$I4833)&gt;0,N(U4832),N(U4832)+1))</f>
        <v>2</v>
      </c>
    </row>
    <row r="4834" customFormat="false" ht="15" hidden="false" customHeight="false" outlineLevel="0" collapsed="false">
      <c r="B4834" s="53"/>
      <c r="I4834" s="53"/>
      <c r="U4834" s="31" t="n">
        <f aca="false">IF($B4834&lt;&gt;'設定（最初に1回）'!$C$4,N(U4833),IF(COUNTIFS(①今日の在庫を貼る!$B$6:$B$10005,$B4834,①今日の在庫を貼る!$I$6:$I$10005,$I4834)&gt;0,N(U4833),N(U4833)+1))</f>
        <v>2</v>
      </c>
    </row>
    <row r="4835" customFormat="false" ht="15" hidden="false" customHeight="false" outlineLevel="0" collapsed="false">
      <c r="B4835" s="53"/>
      <c r="I4835" s="53"/>
      <c r="U4835" s="31" t="n">
        <f aca="false">IF($B4835&lt;&gt;'設定（最初に1回）'!$C$4,N(U4834),IF(COUNTIFS(①今日の在庫を貼る!$B$6:$B$10005,$B4835,①今日の在庫を貼る!$I$6:$I$10005,$I4835)&gt;0,N(U4834),N(U4834)+1))</f>
        <v>2</v>
      </c>
    </row>
    <row r="4836" customFormat="false" ht="15" hidden="false" customHeight="false" outlineLevel="0" collapsed="false">
      <c r="B4836" s="53"/>
      <c r="I4836" s="53"/>
      <c r="U4836" s="31" t="n">
        <f aca="false">IF($B4836&lt;&gt;'設定（最初に1回）'!$C$4,N(U4835),IF(COUNTIFS(①今日の在庫を貼る!$B$6:$B$10005,$B4836,①今日の在庫を貼る!$I$6:$I$10005,$I4836)&gt;0,N(U4835),N(U4835)+1))</f>
        <v>2</v>
      </c>
    </row>
    <row r="4837" customFormat="false" ht="15" hidden="false" customHeight="false" outlineLevel="0" collapsed="false">
      <c r="B4837" s="53"/>
      <c r="I4837" s="53"/>
      <c r="U4837" s="31" t="n">
        <f aca="false">IF($B4837&lt;&gt;'設定（最初に1回）'!$C$4,N(U4836),IF(COUNTIFS(①今日の在庫を貼る!$B$6:$B$10005,$B4837,①今日の在庫を貼る!$I$6:$I$10005,$I4837)&gt;0,N(U4836),N(U4836)+1))</f>
        <v>2</v>
      </c>
    </row>
    <row r="4838" customFormat="false" ht="15" hidden="false" customHeight="false" outlineLevel="0" collapsed="false">
      <c r="B4838" s="53"/>
      <c r="I4838" s="53"/>
      <c r="U4838" s="31" t="n">
        <f aca="false">IF($B4838&lt;&gt;'設定（最初に1回）'!$C$4,N(U4837),IF(COUNTIFS(①今日の在庫を貼る!$B$6:$B$10005,$B4838,①今日の在庫を貼る!$I$6:$I$10005,$I4838)&gt;0,N(U4837),N(U4837)+1))</f>
        <v>2</v>
      </c>
    </row>
    <row r="4839" customFormat="false" ht="15" hidden="false" customHeight="false" outlineLevel="0" collapsed="false">
      <c r="B4839" s="53"/>
      <c r="I4839" s="53"/>
      <c r="U4839" s="31" t="n">
        <f aca="false">IF($B4839&lt;&gt;'設定（最初に1回）'!$C$4,N(U4838),IF(COUNTIFS(①今日の在庫を貼る!$B$6:$B$10005,$B4839,①今日の在庫を貼る!$I$6:$I$10005,$I4839)&gt;0,N(U4838),N(U4838)+1))</f>
        <v>2</v>
      </c>
    </row>
    <row r="4840" customFormat="false" ht="15" hidden="false" customHeight="false" outlineLevel="0" collapsed="false">
      <c r="B4840" s="53"/>
      <c r="I4840" s="53"/>
      <c r="U4840" s="31" t="n">
        <f aca="false">IF($B4840&lt;&gt;'設定（最初に1回）'!$C$4,N(U4839),IF(COUNTIFS(①今日の在庫を貼る!$B$6:$B$10005,$B4840,①今日の在庫を貼る!$I$6:$I$10005,$I4840)&gt;0,N(U4839),N(U4839)+1))</f>
        <v>2</v>
      </c>
    </row>
    <row r="4841" customFormat="false" ht="15" hidden="false" customHeight="false" outlineLevel="0" collapsed="false">
      <c r="B4841" s="53"/>
      <c r="I4841" s="53"/>
      <c r="U4841" s="31" t="n">
        <f aca="false">IF($B4841&lt;&gt;'設定（最初に1回）'!$C$4,N(U4840),IF(COUNTIFS(①今日の在庫を貼る!$B$6:$B$10005,$B4841,①今日の在庫を貼る!$I$6:$I$10005,$I4841)&gt;0,N(U4840),N(U4840)+1))</f>
        <v>2</v>
      </c>
    </row>
    <row r="4842" customFormat="false" ht="15" hidden="false" customHeight="false" outlineLevel="0" collapsed="false">
      <c r="B4842" s="53"/>
      <c r="I4842" s="53"/>
      <c r="U4842" s="31" t="n">
        <f aca="false">IF($B4842&lt;&gt;'設定（最初に1回）'!$C$4,N(U4841),IF(COUNTIFS(①今日の在庫を貼る!$B$6:$B$10005,$B4842,①今日の在庫を貼る!$I$6:$I$10005,$I4842)&gt;0,N(U4841),N(U4841)+1))</f>
        <v>2</v>
      </c>
    </row>
    <row r="4843" customFormat="false" ht="15" hidden="false" customHeight="false" outlineLevel="0" collapsed="false">
      <c r="B4843" s="53"/>
      <c r="I4843" s="53"/>
      <c r="U4843" s="31" t="n">
        <f aca="false">IF($B4843&lt;&gt;'設定（最初に1回）'!$C$4,N(U4842),IF(COUNTIFS(①今日の在庫を貼る!$B$6:$B$10005,$B4843,①今日の在庫を貼る!$I$6:$I$10005,$I4843)&gt;0,N(U4842),N(U4842)+1))</f>
        <v>2</v>
      </c>
    </row>
    <row r="4844" customFormat="false" ht="15" hidden="false" customHeight="false" outlineLevel="0" collapsed="false">
      <c r="B4844" s="53"/>
      <c r="I4844" s="53"/>
      <c r="U4844" s="31" t="n">
        <f aca="false">IF($B4844&lt;&gt;'設定（最初に1回）'!$C$4,N(U4843),IF(COUNTIFS(①今日の在庫を貼る!$B$6:$B$10005,$B4844,①今日の在庫を貼る!$I$6:$I$10005,$I4844)&gt;0,N(U4843),N(U4843)+1))</f>
        <v>2</v>
      </c>
    </row>
    <row r="4845" customFormat="false" ht="15" hidden="false" customHeight="false" outlineLevel="0" collapsed="false">
      <c r="B4845" s="53"/>
      <c r="I4845" s="53"/>
      <c r="U4845" s="31" t="n">
        <f aca="false">IF($B4845&lt;&gt;'設定（最初に1回）'!$C$4,N(U4844),IF(COUNTIFS(①今日の在庫を貼る!$B$6:$B$10005,$B4845,①今日の在庫を貼る!$I$6:$I$10005,$I4845)&gt;0,N(U4844),N(U4844)+1))</f>
        <v>2</v>
      </c>
    </row>
    <row r="4846" customFormat="false" ht="15" hidden="false" customHeight="false" outlineLevel="0" collapsed="false">
      <c r="B4846" s="53"/>
      <c r="I4846" s="53"/>
      <c r="U4846" s="31" t="n">
        <f aca="false">IF($B4846&lt;&gt;'設定（最初に1回）'!$C$4,N(U4845),IF(COUNTIFS(①今日の在庫を貼る!$B$6:$B$10005,$B4846,①今日の在庫を貼る!$I$6:$I$10005,$I4846)&gt;0,N(U4845),N(U4845)+1))</f>
        <v>2</v>
      </c>
    </row>
    <row r="4847" customFormat="false" ht="15" hidden="false" customHeight="false" outlineLevel="0" collapsed="false">
      <c r="B4847" s="53"/>
      <c r="I4847" s="53"/>
      <c r="U4847" s="31" t="n">
        <f aca="false">IF($B4847&lt;&gt;'設定（最初に1回）'!$C$4,N(U4846),IF(COUNTIFS(①今日の在庫を貼る!$B$6:$B$10005,$B4847,①今日の在庫を貼る!$I$6:$I$10005,$I4847)&gt;0,N(U4846),N(U4846)+1))</f>
        <v>2</v>
      </c>
    </row>
    <row r="4848" customFormat="false" ht="15" hidden="false" customHeight="false" outlineLevel="0" collapsed="false">
      <c r="B4848" s="53"/>
      <c r="I4848" s="53"/>
      <c r="U4848" s="31" t="n">
        <f aca="false">IF($B4848&lt;&gt;'設定（最初に1回）'!$C$4,N(U4847),IF(COUNTIFS(①今日の在庫を貼る!$B$6:$B$10005,$B4848,①今日の在庫を貼る!$I$6:$I$10005,$I4848)&gt;0,N(U4847),N(U4847)+1))</f>
        <v>2</v>
      </c>
    </row>
    <row r="4849" customFormat="false" ht="15" hidden="false" customHeight="false" outlineLevel="0" collapsed="false">
      <c r="B4849" s="53"/>
      <c r="I4849" s="53"/>
      <c r="U4849" s="31" t="n">
        <f aca="false">IF($B4849&lt;&gt;'設定（最初に1回）'!$C$4,N(U4848),IF(COUNTIFS(①今日の在庫を貼る!$B$6:$B$10005,$B4849,①今日の在庫を貼る!$I$6:$I$10005,$I4849)&gt;0,N(U4848),N(U4848)+1))</f>
        <v>2</v>
      </c>
    </row>
    <row r="4850" customFormat="false" ht="15" hidden="false" customHeight="false" outlineLevel="0" collapsed="false">
      <c r="B4850" s="53"/>
      <c r="I4850" s="53"/>
      <c r="U4850" s="31" t="n">
        <f aca="false">IF($B4850&lt;&gt;'設定（最初に1回）'!$C$4,N(U4849),IF(COUNTIFS(①今日の在庫を貼る!$B$6:$B$10005,$B4850,①今日の在庫を貼る!$I$6:$I$10005,$I4850)&gt;0,N(U4849),N(U4849)+1))</f>
        <v>2</v>
      </c>
    </row>
    <row r="4851" customFormat="false" ht="15" hidden="false" customHeight="false" outlineLevel="0" collapsed="false">
      <c r="B4851" s="53"/>
      <c r="I4851" s="53"/>
      <c r="U4851" s="31" t="n">
        <f aca="false">IF($B4851&lt;&gt;'設定（最初に1回）'!$C$4,N(U4850),IF(COUNTIFS(①今日の在庫を貼る!$B$6:$B$10005,$B4851,①今日の在庫を貼る!$I$6:$I$10005,$I4851)&gt;0,N(U4850),N(U4850)+1))</f>
        <v>2</v>
      </c>
    </row>
    <row r="4852" customFormat="false" ht="15" hidden="false" customHeight="false" outlineLevel="0" collapsed="false">
      <c r="B4852" s="53"/>
      <c r="I4852" s="53"/>
      <c r="U4852" s="31" t="n">
        <f aca="false">IF($B4852&lt;&gt;'設定（最初に1回）'!$C$4,N(U4851),IF(COUNTIFS(①今日の在庫を貼る!$B$6:$B$10005,$B4852,①今日の在庫を貼る!$I$6:$I$10005,$I4852)&gt;0,N(U4851),N(U4851)+1))</f>
        <v>2</v>
      </c>
    </row>
    <row r="4853" customFormat="false" ht="15" hidden="false" customHeight="false" outlineLevel="0" collapsed="false">
      <c r="B4853" s="53"/>
      <c r="I4853" s="53"/>
      <c r="U4853" s="31" t="n">
        <f aca="false">IF($B4853&lt;&gt;'設定（最初に1回）'!$C$4,N(U4852),IF(COUNTIFS(①今日の在庫を貼る!$B$6:$B$10005,$B4853,①今日の在庫を貼る!$I$6:$I$10005,$I4853)&gt;0,N(U4852),N(U4852)+1))</f>
        <v>2</v>
      </c>
    </row>
    <row r="4854" customFormat="false" ht="15" hidden="false" customHeight="false" outlineLevel="0" collapsed="false">
      <c r="B4854" s="53"/>
      <c r="I4854" s="53"/>
      <c r="U4854" s="31" t="n">
        <f aca="false">IF($B4854&lt;&gt;'設定（最初に1回）'!$C$4,N(U4853),IF(COUNTIFS(①今日の在庫を貼る!$B$6:$B$10005,$B4854,①今日の在庫を貼る!$I$6:$I$10005,$I4854)&gt;0,N(U4853),N(U4853)+1))</f>
        <v>2</v>
      </c>
    </row>
    <row r="4855" customFormat="false" ht="15" hidden="false" customHeight="false" outlineLevel="0" collapsed="false">
      <c r="B4855" s="53"/>
      <c r="I4855" s="53"/>
      <c r="U4855" s="31" t="n">
        <f aca="false">IF($B4855&lt;&gt;'設定（最初に1回）'!$C$4,N(U4854),IF(COUNTIFS(①今日の在庫を貼る!$B$6:$B$10005,$B4855,①今日の在庫を貼る!$I$6:$I$10005,$I4855)&gt;0,N(U4854),N(U4854)+1))</f>
        <v>2</v>
      </c>
    </row>
    <row r="4856" customFormat="false" ht="15" hidden="false" customHeight="false" outlineLevel="0" collapsed="false">
      <c r="B4856" s="53"/>
      <c r="I4856" s="53"/>
      <c r="U4856" s="31" t="n">
        <f aca="false">IF($B4856&lt;&gt;'設定（最初に1回）'!$C$4,N(U4855),IF(COUNTIFS(①今日の在庫を貼る!$B$6:$B$10005,$B4856,①今日の在庫を貼る!$I$6:$I$10005,$I4856)&gt;0,N(U4855),N(U4855)+1))</f>
        <v>2</v>
      </c>
    </row>
    <row r="4857" customFormat="false" ht="15" hidden="false" customHeight="false" outlineLevel="0" collapsed="false">
      <c r="B4857" s="53"/>
      <c r="I4857" s="53"/>
      <c r="U4857" s="31" t="n">
        <f aca="false">IF($B4857&lt;&gt;'設定（最初に1回）'!$C$4,N(U4856),IF(COUNTIFS(①今日の在庫を貼る!$B$6:$B$10005,$B4857,①今日の在庫を貼る!$I$6:$I$10005,$I4857)&gt;0,N(U4856),N(U4856)+1))</f>
        <v>2</v>
      </c>
    </row>
    <row r="4858" customFormat="false" ht="15" hidden="false" customHeight="false" outlineLevel="0" collapsed="false">
      <c r="B4858" s="53"/>
      <c r="I4858" s="53"/>
      <c r="U4858" s="31" t="n">
        <f aca="false">IF($B4858&lt;&gt;'設定（最初に1回）'!$C$4,N(U4857),IF(COUNTIFS(①今日の在庫を貼る!$B$6:$B$10005,$B4858,①今日の在庫を貼る!$I$6:$I$10005,$I4858)&gt;0,N(U4857),N(U4857)+1))</f>
        <v>2</v>
      </c>
    </row>
    <row r="4859" customFormat="false" ht="15" hidden="false" customHeight="false" outlineLevel="0" collapsed="false">
      <c r="B4859" s="53"/>
      <c r="I4859" s="53"/>
      <c r="U4859" s="31" t="n">
        <f aca="false">IF($B4859&lt;&gt;'設定（最初に1回）'!$C$4,N(U4858),IF(COUNTIFS(①今日の在庫を貼る!$B$6:$B$10005,$B4859,①今日の在庫を貼る!$I$6:$I$10005,$I4859)&gt;0,N(U4858),N(U4858)+1))</f>
        <v>2</v>
      </c>
    </row>
    <row r="4860" customFormat="false" ht="15" hidden="false" customHeight="false" outlineLevel="0" collapsed="false">
      <c r="B4860" s="53"/>
      <c r="I4860" s="53"/>
      <c r="U4860" s="31" t="n">
        <f aca="false">IF($B4860&lt;&gt;'設定（最初に1回）'!$C$4,N(U4859),IF(COUNTIFS(①今日の在庫を貼る!$B$6:$B$10005,$B4860,①今日の在庫を貼る!$I$6:$I$10005,$I4860)&gt;0,N(U4859),N(U4859)+1))</f>
        <v>2</v>
      </c>
    </row>
    <row r="4861" customFormat="false" ht="15" hidden="false" customHeight="false" outlineLevel="0" collapsed="false">
      <c r="B4861" s="53"/>
      <c r="I4861" s="53"/>
      <c r="U4861" s="31" t="n">
        <f aca="false">IF($B4861&lt;&gt;'設定（最初に1回）'!$C$4,N(U4860),IF(COUNTIFS(①今日の在庫を貼る!$B$6:$B$10005,$B4861,①今日の在庫を貼る!$I$6:$I$10005,$I4861)&gt;0,N(U4860),N(U4860)+1))</f>
        <v>2</v>
      </c>
    </row>
    <row r="4862" customFormat="false" ht="15" hidden="false" customHeight="false" outlineLevel="0" collapsed="false">
      <c r="B4862" s="53"/>
      <c r="I4862" s="53"/>
      <c r="U4862" s="31" t="n">
        <f aca="false">IF($B4862&lt;&gt;'設定（最初に1回）'!$C$4,N(U4861),IF(COUNTIFS(①今日の在庫を貼る!$B$6:$B$10005,$B4862,①今日の在庫を貼る!$I$6:$I$10005,$I4862)&gt;0,N(U4861),N(U4861)+1))</f>
        <v>2</v>
      </c>
    </row>
    <row r="4863" customFormat="false" ht="15" hidden="false" customHeight="false" outlineLevel="0" collapsed="false">
      <c r="B4863" s="53"/>
      <c r="I4863" s="53"/>
      <c r="U4863" s="31" t="n">
        <f aca="false">IF($B4863&lt;&gt;'設定（最初に1回）'!$C$4,N(U4862),IF(COUNTIFS(①今日の在庫を貼る!$B$6:$B$10005,$B4863,①今日の在庫を貼る!$I$6:$I$10005,$I4863)&gt;0,N(U4862),N(U4862)+1))</f>
        <v>2</v>
      </c>
    </row>
    <row r="4864" customFormat="false" ht="15" hidden="false" customHeight="false" outlineLevel="0" collapsed="false">
      <c r="B4864" s="53"/>
      <c r="I4864" s="53"/>
      <c r="U4864" s="31" t="n">
        <f aca="false">IF($B4864&lt;&gt;'設定（最初に1回）'!$C$4,N(U4863),IF(COUNTIFS(①今日の在庫を貼る!$B$6:$B$10005,$B4864,①今日の在庫を貼る!$I$6:$I$10005,$I4864)&gt;0,N(U4863),N(U4863)+1))</f>
        <v>2</v>
      </c>
    </row>
    <row r="4865" customFormat="false" ht="15" hidden="false" customHeight="false" outlineLevel="0" collapsed="false">
      <c r="B4865" s="53"/>
      <c r="I4865" s="53"/>
      <c r="U4865" s="31" t="n">
        <f aca="false">IF($B4865&lt;&gt;'設定（最初に1回）'!$C$4,N(U4864),IF(COUNTIFS(①今日の在庫を貼る!$B$6:$B$10005,$B4865,①今日の在庫を貼る!$I$6:$I$10005,$I4865)&gt;0,N(U4864),N(U4864)+1))</f>
        <v>2</v>
      </c>
    </row>
    <row r="4866" customFormat="false" ht="15" hidden="false" customHeight="false" outlineLevel="0" collapsed="false">
      <c r="B4866" s="53"/>
      <c r="I4866" s="53"/>
      <c r="U4866" s="31" t="n">
        <f aca="false">IF($B4866&lt;&gt;'設定（最初に1回）'!$C$4,N(U4865),IF(COUNTIFS(①今日の在庫を貼る!$B$6:$B$10005,$B4866,①今日の在庫を貼る!$I$6:$I$10005,$I4866)&gt;0,N(U4865),N(U4865)+1))</f>
        <v>2</v>
      </c>
    </row>
    <row r="4867" customFormat="false" ht="15" hidden="false" customHeight="false" outlineLevel="0" collapsed="false">
      <c r="B4867" s="53"/>
      <c r="I4867" s="53"/>
      <c r="U4867" s="31" t="n">
        <f aca="false">IF($B4867&lt;&gt;'設定（最初に1回）'!$C$4,N(U4866),IF(COUNTIFS(①今日の在庫を貼る!$B$6:$B$10005,$B4867,①今日の在庫を貼る!$I$6:$I$10005,$I4867)&gt;0,N(U4866),N(U4866)+1))</f>
        <v>2</v>
      </c>
    </row>
    <row r="4868" customFormat="false" ht="15" hidden="false" customHeight="false" outlineLevel="0" collapsed="false">
      <c r="B4868" s="53"/>
      <c r="I4868" s="53"/>
      <c r="U4868" s="31" t="n">
        <f aca="false">IF($B4868&lt;&gt;'設定（最初に1回）'!$C$4,N(U4867),IF(COUNTIFS(①今日の在庫を貼る!$B$6:$B$10005,$B4868,①今日の在庫を貼る!$I$6:$I$10005,$I4868)&gt;0,N(U4867),N(U4867)+1))</f>
        <v>2</v>
      </c>
    </row>
    <row r="4869" customFormat="false" ht="15" hidden="false" customHeight="false" outlineLevel="0" collapsed="false">
      <c r="B4869" s="53"/>
      <c r="I4869" s="53"/>
      <c r="U4869" s="31" t="n">
        <f aca="false">IF($B4869&lt;&gt;'設定（最初に1回）'!$C$4,N(U4868),IF(COUNTIFS(①今日の在庫を貼る!$B$6:$B$10005,$B4869,①今日の在庫を貼る!$I$6:$I$10005,$I4869)&gt;0,N(U4868),N(U4868)+1))</f>
        <v>2</v>
      </c>
    </row>
    <row r="4870" customFormat="false" ht="15" hidden="false" customHeight="false" outlineLevel="0" collapsed="false">
      <c r="B4870" s="53"/>
      <c r="I4870" s="53"/>
      <c r="U4870" s="31" t="n">
        <f aca="false">IF($B4870&lt;&gt;'設定（最初に1回）'!$C$4,N(U4869),IF(COUNTIFS(①今日の在庫を貼る!$B$6:$B$10005,$B4870,①今日の在庫を貼る!$I$6:$I$10005,$I4870)&gt;0,N(U4869),N(U4869)+1))</f>
        <v>2</v>
      </c>
    </row>
    <row r="4871" customFormat="false" ht="15" hidden="false" customHeight="false" outlineLevel="0" collapsed="false">
      <c r="B4871" s="53"/>
      <c r="I4871" s="53"/>
      <c r="U4871" s="31" t="n">
        <f aca="false">IF($B4871&lt;&gt;'設定（最初に1回）'!$C$4,N(U4870),IF(COUNTIFS(①今日の在庫を貼る!$B$6:$B$10005,$B4871,①今日の在庫を貼る!$I$6:$I$10005,$I4871)&gt;0,N(U4870),N(U4870)+1))</f>
        <v>2</v>
      </c>
    </row>
    <row r="4872" customFormat="false" ht="15" hidden="false" customHeight="false" outlineLevel="0" collapsed="false">
      <c r="B4872" s="53"/>
      <c r="I4872" s="53"/>
      <c r="U4872" s="31" t="n">
        <f aca="false">IF($B4872&lt;&gt;'設定（最初に1回）'!$C$4,N(U4871),IF(COUNTIFS(①今日の在庫を貼る!$B$6:$B$10005,$B4872,①今日の在庫を貼る!$I$6:$I$10005,$I4872)&gt;0,N(U4871),N(U4871)+1))</f>
        <v>2</v>
      </c>
    </row>
    <row r="4873" customFormat="false" ht="15" hidden="false" customHeight="false" outlineLevel="0" collapsed="false">
      <c r="B4873" s="53"/>
      <c r="I4873" s="53"/>
      <c r="U4873" s="31" t="n">
        <f aca="false">IF($B4873&lt;&gt;'設定（最初に1回）'!$C$4,N(U4872),IF(COUNTIFS(①今日の在庫を貼る!$B$6:$B$10005,$B4873,①今日の在庫を貼る!$I$6:$I$10005,$I4873)&gt;0,N(U4872),N(U4872)+1))</f>
        <v>2</v>
      </c>
    </row>
    <row r="4874" customFormat="false" ht="15" hidden="false" customHeight="false" outlineLevel="0" collapsed="false">
      <c r="B4874" s="53"/>
      <c r="I4874" s="53"/>
      <c r="U4874" s="31" t="n">
        <f aca="false">IF($B4874&lt;&gt;'設定（最初に1回）'!$C$4,N(U4873),IF(COUNTIFS(①今日の在庫を貼る!$B$6:$B$10005,$B4874,①今日の在庫を貼る!$I$6:$I$10005,$I4874)&gt;0,N(U4873),N(U4873)+1))</f>
        <v>2</v>
      </c>
    </row>
    <row r="4875" customFormat="false" ht="15" hidden="false" customHeight="false" outlineLevel="0" collapsed="false">
      <c r="B4875" s="53"/>
      <c r="I4875" s="53"/>
      <c r="U4875" s="31" t="n">
        <f aca="false">IF($B4875&lt;&gt;'設定（最初に1回）'!$C$4,N(U4874),IF(COUNTIFS(①今日の在庫を貼る!$B$6:$B$10005,$B4875,①今日の在庫を貼る!$I$6:$I$10005,$I4875)&gt;0,N(U4874),N(U4874)+1))</f>
        <v>2</v>
      </c>
    </row>
    <row r="4876" customFormat="false" ht="15" hidden="false" customHeight="false" outlineLevel="0" collapsed="false">
      <c r="B4876" s="53"/>
      <c r="I4876" s="53"/>
      <c r="U4876" s="31" t="n">
        <f aca="false">IF($B4876&lt;&gt;'設定（最初に1回）'!$C$4,N(U4875),IF(COUNTIFS(①今日の在庫を貼る!$B$6:$B$10005,$B4876,①今日の在庫を貼る!$I$6:$I$10005,$I4876)&gt;0,N(U4875),N(U4875)+1))</f>
        <v>2</v>
      </c>
    </row>
    <row r="4877" customFormat="false" ht="15" hidden="false" customHeight="false" outlineLevel="0" collapsed="false">
      <c r="B4877" s="53"/>
      <c r="I4877" s="53"/>
      <c r="U4877" s="31" t="n">
        <f aca="false">IF($B4877&lt;&gt;'設定（最初に1回）'!$C$4,N(U4876),IF(COUNTIFS(①今日の在庫を貼る!$B$6:$B$10005,$B4877,①今日の在庫を貼る!$I$6:$I$10005,$I4877)&gt;0,N(U4876),N(U4876)+1))</f>
        <v>2</v>
      </c>
    </row>
    <row r="4878" customFormat="false" ht="15" hidden="false" customHeight="false" outlineLevel="0" collapsed="false">
      <c r="B4878" s="53"/>
      <c r="I4878" s="53"/>
      <c r="U4878" s="31" t="n">
        <f aca="false">IF($B4878&lt;&gt;'設定（最初に1回）'!$C$4,N(U4877),IF(COUNTIFS(①今日の在庫を貼る!$B$6:$B$10005,$B4878,①今日の在庫を貼る!$I$6:$I$10005,$I4878)&gt;0,N(U4877),N(U4877)+1))</f>
        <v>2</v>
      </c>
    </row>
    <row r="4879" customFormat="false" ht="15" hidden="false" customHeight="false" outlineLevel="0" collapsed="false">
      <c r="B4879" s="53"/>
      <c r="I4879" s="53"/>
      <c r="U4879" s="31" t="n">
        <f aca="false">IF($B4879&lt;&gt;'設定（最初に1回）'!$C$4,N(U4878),IF(COUNTIFS(①今日の在庫を貼る!$B$6:$B$10005,$B4879,①今日の在庫を貼る!$I$6:$I$10005,$I4879)&gt;0,N(U4878),N(U4878)+1))</f>
        <v>2</v>
      </c>
    </row>
    <row r="4880" customFormat="false" ht="15" hidden="false" customHeight="false" outlineLevel="0" collapsed="false">
      <c r="B4880" s="53"/>
      <c r="I4880" s="53"/>
      <c r="U4880" s="31" t="n">
        <f aca="false">IF($B4880&lt;&gt;'設定（最初に1回）'!$C$4,N(U4879),IF(COUNTIFS(①今日の在庫を貼る!$B$6:$B$10005,$B4880,①今日の在庫を貼る!$I$6:$I$10005,$I4880)&gt;0,N(U4879),N(U4879)+1))</f>
        <v>2</v>
      </c>
    </row>
    <row r="4881" customFormat="false" ht="15" hidden="false" customHeight="false" outlineLevel="0" collapsed="false">
      <c r="B4881" s="53"/>
      <c r="I4881" s="53"/>
      <c r="U4881" s="31" t="n">
        <f aca="false">IF($B4881&lt;&gt;'設定（最初に1回）'!$C$4,N(U4880),IF(COUNTIFS(①今日の在庫を貼る!$B$6:$B$10005,$B4881,①今日の在庫を貼る!$I$6:$I$10005,$I4881)&gt;0,N(U4880),N(U4880)+1))</f>
        <v>2</v>
      </c>
    </row>
    <row r="4882" customFormat="false" ht="15" hidden="false" customHeight="false" outlineLevel="0" collapsed="false">
      <c r="B4882" s="53"/>
      <c r="I4882" s="53"/>
      <c r="U4882" s="31" t="n">
        <f aca="false">IF($B4882&lt;&gt;'設定（最初に1回）'!$C$4,N(U4881),IF(COUNTIFS(①今日の在庫を貼る!$B$6:$B$10005,$B4882,①今日の在庫を貼る!$I$6:$I$10005,$I4882)&gt;0,N(U4881),N(U4881)+1))</f>
        <v>2</v>
      </c>
    </row>
    <row r="4883" customFormat="false" ht="15" hidden="false" customHeight="false" outlineLevel="0" collapsed="false">
      <c r="B4883" s="53"/>
      <c r="I4883" s="53"/>
      <c r="U4883" s="31" t="n">
        <f aca="false">IF($B4883&lt;&gt;'設定（最初に1回）'!$C$4,N(U4882),IF(COUNTIFS(①今日の在庫を貼る!$B$6:$B$10005,$B4883,①今日の在庫を貼る!$I$6:$I$10005,$I4883)&gt;0,N(U4882),N(U4882)+1))</f>
        <v>2</v>
      </c>
    </row>
    <row r="4884" customFormat="false" ht="15" hidden="false" customHeight="false" outlineLevel="0" collapsed="false">
      <c r="B4884" s="53"/>
      <c r="I4884" s="53"/>
      <c r="U4884" s="31" t="n">
        <f aca="false">IF($B4884&lt;&gt;'設定（最初に1回）'!$C$4,N(U4883),IF(COUNTIFS(①今日の在庫を貼る!$B$6:$B$10005,$B4884,①今日の在庫を貼る!$I$6:$I$10005,$I4884)&gt;0,N(U4883),N(U4883)+1))</f>
        <v>2</v>
      </c>
    </row>
    <row r="4885" customFormat="false" ht="15" hidden="false" customHeight="false" outlineLevel="0" collapsed="false">
      <c r="B4885" s="53"/>
      <c r="I4885" s="53"/>
      <c r="U4885" s="31" t="n">
        <f aca="false">IF($B4885&lt;&gt;'設定（最初に1回）'!$C$4,N(U4884),IF(COUNTIFS(①今日の在庫を貼る!$B$6:$B$10005,$B4885,①今日の在庫を貼る!$I$6:$I$10005,$I4885)&gt;0,N(U4884),N(U4884)+1))</f>
        <v>2</v>
      </c>
    </row>
    <row r="4886" customFormat="false" ht="15" hidden="false" customHeight="false" outlineLevel="0" collapsed="false">
      <c r="B4886" s="53"/>
      <c r="I4886" s="53"/>
      <c r="U4886" s="31" t="n">
        <f aca="false">IF($B4886&lt;&gt;'設定（最初に1回）'!$C$4,N(U4885),IF(COUNTIFS(①今日の在庫を貼る!$B$6:$B$10005,$B4886,①今日の在庫を貼る!$I$6:$I$10005,$I4886)&gt;0,N(U4885),N(U4885)+1))</f>
        <v>2</v>
      </c>
    </row>
    <row r="4887" customFormat="false" ht="15" hidden="false" customHeight="false" outlineLevel="0" collapsed="false">
      <c r="B4887" s="53"/>
      <c r="I4887" s="53"/>
      <c r="U4887" s="31" t="n">
        <f aca="false">IF($B4887&lt;&gt;'設定（最初に1回）'!$C$4,N(U4886),IF(COUNTIFS(①今日の在庫を貼る!$B$6:$B$10005,$B4887,①今日の在庫を貼る!$I$6:$I$10005,$I4887)&gt;0,N(U4886),N(U4886)+1))</f>
        <v>2</v>
      </c>
    </row>
    <row r="4888" customFormat="false" ht="15" hidden="false" customHeight="false" outlineLevel="0" collapsed="false">
      <c r="B4888" s="53"/>
      <c r="I4888" s="53"/>
      <c r="U4888" s="31" t="n">
        <f aca="false">IF($B4888&lt;&gt;'設定（最初に1回）'!$C$4,N(U4887),IF(COUNTIFS(①今日の在庫を貼る!$B$6:$B$10005,$B4888,①今日の在庫を貼る!$I$6:$I$10005,$I4888)&gt;0,N(U4887),N(U4887)+1))</f>
        <v>2</v>
      </c>
    </row>
    <row r="4889" customFormat="false" ht="15" hidden="false" customHeight="false" outlineLevel="0" collapsed="false">
      <c r="B4889" s="53"/>
      <c r="I4889" s="53"/>
      <c r="U4889" s="31" t="n">
        <f aca="false">IF($B4889&lt;&gt;'設定（最初に1回）'!$C$4,N(U4888),IF(COUNTIFS(①今日の在庫を貼る!$B$6:$B$10005,$B4889,①今日の在庫を貼る!$I$6:$I$10005,$I4889)&gt;0,N(U4888),N(U4888)+1))</f>
        <v>2</v>
      </c>
    </row>
    <row r="4890" customFormat="false" ht="15" hidden="false" customHeight="false" outlineLevel="0" collapsed="false">
      <c r="B4890" s="53"/>
      <c r="I4890" s="53"/>
      <c r="U4890" s="31" t="n">
        <f aca="false">IF($B4890&lt;&gt;'設定（最初に1回）'!$C$4,N(U4889),IF(COUNTIFS(①今日の在庫を貼る!$B$6:$B$10005,$B4890,①今日の在庫を貼る!$I$6:$I$10005,$I4890)&gt;0,N(U4889),N(U4889)+1))</f>
        <v>2</v>
      </c>
    </row>
    <row r="4891" customFormat="false" ht="15" hidden="false" customHeight="false" outlineLevel="0" collapsed="false">
      <c r="B4891" s="53"/>
      <c r="I4891" s="53"/>
      <c r="U4891" s="31" t="n">
        <f aca="false">IF($B4891&lt;&gt;'設定（最初に1回）'!$C$4,N(U4890),IF(COUNTIFS(①今日の在庫を貼る!$B$6:$B$10005,$B4891,①今日の在庫を貼る!$I$6:$I$10005,$I4891)&gt;0,N(U4890),N(U4890)+1))</f>
        <v>2</v>
      </c>
    </row>
    <row r="4892" customFormat="false" ht="15" hidden="false" customHeight="false" outlineLevel="0" collapsed="false">
      <c r="B4892" s="53"/>
      <c r="I4892" s="53"/>
      <c r="U4892" s="31" t="n">
        <f aca="false">IF($B4892&lt;&gt;'設定（最初に1回）'!$C$4,N(U4891),IF(COUNTIFS(①今日の在庫を貼る!$B$6:$B$10005,$B4892,①今日の在庫を貼る!$I$6:$I$10005,$I4892)&gt;0,N(U4891),N(U4891)+1))</f>
        <v>2</v>
      </c>
    </row>
    <row r="4893" customFormat="false" ht="15" hidden="false" customHeight="false" outlineLevel="0" collapsed="false">
      <c r="B4893" s="53"/>
      <c r="I4893" s="53"/>
      <c r="U4893" s="31" t="n">
        <f aca="false">IF($B4893&lt;&gt;'設定（最初に1回）'!$C$4,N(U4892),IF(COUNTIFS(①今日の在庫を貼る!$B$6:$B$10005,$B4893,①今日の在庫を貼る!$I$6:$I$10005,$I4893)&gt;0,N(U4892),N(U4892)+1))</f>
        <v>2</v>
      </c>
    </row>
    <row r="4894" customFormat="false" ht="15" hidden="false" customHeight="false" outlineLevel="0" collapsed="false">
      <c r="B4894" s="53"/>
      <c r="I4894" s="53"/>
      <c r="U4894" s="31" t="n">
        <f aca="false">IF($B4894&lt;&gt;'設定（最初に1回）'!$C$4,N(U4893),IF(COUNTIFS(①今日の在庫を貼る!$B$6:$B$10005,$B4894,①今日の在庫を貼る!$I$6:$I$10005,$I4894)&gt;0,N(U4893),N(U4893)+1))</f>
        <v>2</v>
      </c>
    </row>
    <row r="4895" customFormat="false" ht="15" hidden="false" customHeight="false" outlineLevel="0" collapsed="false">
      <c r="B4895" s="53"/>
      <c r="I4895" s="53"/>
      <c r="U4895" s="31" t="n">
        <f aca="false">IF($B4895&lt;&gt;'設定（最初に1回）'!$C$4,N(U4894),IF(COUNTIFS(①今日の在庫を貼る!$B$6:$B$10005,$B4895,①今日の在庫を貼る!$I$6:$I$10005,$I4895)&gt;0,N(U4894),N(U4894)+1))</f>
        <v>2</v>
      </c>
    </row>
    <row r="4896" customFormat="false" ht="15" hidden="false" customHeight="false" outlineLevel="0" collapsed="false">
      <c r="B4896" s="53"/>
      <c r="I4896" s="53"/>
      <c r="U4896" s="31" t="n">
        <f aca="false">IF($B4896&lt;&gt;'設定（最初に1回）'!$C$4,N(U4895),IF(COUNTIFS(①今日の在庫を貼る!$B$6:$B$10005,$B4896,①今日の在庫を貼る!$I$6:$I$10005,$I4896)&gt;0,N(U4895),N(U4895)+1))</f>
        <v>2</v>
      </c>
    </row>
    <row r="4897" customFormat="false" ht="15" hidden="false" customHeight="false" outlineLevel="0" collapsed="false">
      <c r="B4897" s="53"/>
      <c r="I4897" s="53"/>
      <c r="U4897" s="31" t="n">
        <f aca="false">IF($B4897&lt;&gt;'設定（最初に1回）'!$C$4,N(U4896),IF(COUNTIFS(①今日の在庫を貼る!$B$6:$B$10005,$B4897,①今日の在庫を貼る!$I$6:$I$10005,$I4897)&gt;0,N(U4896),N(U4896)+1))</f>
        <v>2</v>
      </c>
    </row>
    <row r="4898" customFormat="false" ht="15" hidden="false" customHeight="false" outlineLevel="0" collapsed="false">
      <c r="B4898" s="53"/>
      <c r="I4898" s="53"/>
      <c r="U4898" s="31" t="n">
        <f aca="false">IF($B4898&lt;&gt;'設定（最初に1回）'!$C$4,N(U4897),IF(COUNTIFS(①今日の在庫を貼る!$B$6:$B$10005,$B4898,①今日の在庫を貼る!$I$6:$I$10005,$I4898)&gt;0,N(U4897),N(U4897)+1))</f>
        <v>2</v>
      </c>
    </row>
    <row r="4899" customFormat="false" ht="15" hidden="false" customHeight="false" outlineLevel="0" collapsed="false">
      <c r="B4899" s="53"/>
      <c r="I4899" s="53"/>
      <c r="U4899" s="31" t="n">
        <f aca="false">IF($B4899&lt;&gt;'設定（最初に1回）'!$C$4,N(U4898),IF(COUNTIFS(①今日の在庫を貼る!$B$6:$B$10005,$B4899,①今日の在庫を貼る!$I$6:$I$10005,$I4899)&gt;0,N(U4898),N(U4898)+1))</f>
        <v>2</v>
      </c>
    </row>
    <row r="4900" customFormat="false" ht="15" hidden="false" customHeight="false" outlineLevel="0" collapsed="false">
      <c r="B4900" s="53"/>
      <c r="I4900" s="53"/>
      <c r="U4900" s="31" t="n">
        <f aca="false">IF($B4900&lt;&gt;'設定（最初に1回）'!$C$4,N(U4899),IF(COUNTIFS(①今日の在庫を貼る!$B$6:$B$10005,$B4900,①今日の在庫を貼る!$I$6:$I$10005,$I4900)&gt;0,N(U4899),N(U4899)+1))</f>
        <v>2</v>
      </c>
    </row>
    <row r="4901" customFormat="false" ht="15" hidden="false" customHeight="false" outlineLevel="0" collapsed="false">
      <c r="B4901" s="53"/>
      <c r="I4901" s="53"/>
      <c r="U4901" s="31" t="n">
        <f aca="false">IF($B4901&lt;&gt;'設定（最初に1回）'!$C$4,N(U4900),IF(COUNTIFS(①今日の在庫を貼る!$B$6:$B$10005,$B4901,①今日の在庫を貼る!$I$6:$I$10005,$I4901)&gt;0,N(U4900),N(U4900)+1))</f>
        <v>2</v>
      </c>
    </row>
    <row r="4902" customFormat="false" ht="15" hidden="false" customHeight="false" outlineLevel="0" collapsed="false">
      <c r="B4902" s="53"/>
      <c r="I4902" s="53"/>
      <c r="U4902" s="31" t="n">
        <f aca="false">IF($B4902&lt;&gt;'設定（最初に1回）'!$C$4,N(U4901),IF(COUNTIFS(①今日の在庫を貼る!$B$6:$B$10005,$B4902,①今日の在庫を貼る!$I$6:$I$10005,$I4902)&gt;0,N(U4901),N(U4901)+1))</f>
        <v>2</v>
      </c>
    </row>
    <row r="4903" customFormat="false" ht="15" hidden="false" customHeight="false" outlineLevel="0" collapsed="false">
      <c r="B4903" s="53"/>
      <c r="I4903" s="53"/>
      <c r="U4903" s="31" t="n">
        <f aca="false">IF($B4903&lt;&gt;'設定（最初に1回）'!$C$4,N(U4902),IF(COUNTIFS(①今日の在庫を貼る!$B$6:$B$10005,$B4903,①今日の在庫を貼る!$I$6:$I$10005,$I4903)&gt;0,N(U4902),N(U4902)+1))</f>
        <v>2</v>
      </c>
    </row>
    <row r="4904" customFormat="false" ht="15" hidden="false" customHeight="false" outlineLevel="0" collapsed="false">
      <c r="B4904" s="53"/>
      <c r="I4904" s="53"/>
      <c r="U4904" s="31" t="n">
        <f aca="false">IF($B4904&lt;&gt;'設定（最初に1回）'!$C$4,N(U4903),IF(COUNTIFS(①今日の在庫を貼る!$B$6:$B$10005,$B4904,①今日の在庫を貼る!$I$6:$I$10005,$I4904)&gt;0,N(U4903),N(U4903)+1))</f>
        <v>2</v>
      </c>
    </row>
    <row r="4905" customFormat="false" ht="15" hidden="false" customHeight="false" outlineLevel="0" collapsed="false">
      <c r="B4905" s="53"/>
      <c r="I4905" s="53"/>
      <c r="U4905" s="31" t="n">
        <f aca="false">IF($B4905&lt;&gt;'設定（最初に1回）'!$C$4,N(U4904),IF(COUNTIFS(①今日の在庫を貼る!$B$6:$B$10005,$B4905,①今日の在庫を貼る!$I$6:$I$10005,$I4905)&gt;0,N(U4904),N(U4904)+1))</f>
        <v>2</v>
      </c>
    </row>
    <row r="4906" customFormat="false" ht="15" hidden="false" customHeight="false" outlineLevel="0" collapsed="false">
      <c r="B4906" s="53"/>
      <c r="I4906" s="53"/>
      <c r="U4906" s="31" t="n">
        <f aca="false">IF($B4906&lt;&gt;'設定（最初に1回）'!$C$4,N(U4905),IF(COUNTIFS(①今日の在庫を貼る!$B$6:$B$10005,$B4906,①今日の在庫を貼る!$I$6:$I$10005,$I4906)&gt;0,N(U4905),N(U4905)+1))</f>
        <v>2</v>
      </c>
    </row>
    <row r="4907" customFormat="false" ht="15" hidden="false" customHeight="false" outlineLevel="0" collapsed="false">
      <c r="B4907" s="53"/>
      <c r="I4907" s="53"/>
      <c r="U4907" s="31" t="n">
        <f aca="false">IF($B4907&lt;&gt;'設定（最初に1回）'!$C$4,N(U4906),IF(COUNTIFS(①今日の在庫を貼る!$B$6:$B$10005,$B4907,①今日の在庫を貼る!$I$6:$I$10005,$I4907)&gt;0,N(U4906),N(U4906)+1))</f>
        <v>2</v>
      </c>
    </row>
    <row r="4908" customFormat="false" ht="15" hidden="false" customHeight="false" outlineLevel="0" collapsed="false">
      <c r="B4908" s="53"/>
      <c r="I4908" s="53"/>
      <c r="U4908" s="31" t="n">
        <f aca="false">IF($B4908&lt;&gt;'設定（最初に1回）'!$C$4,N(U4907),IF(COUNTIFS(①今日の在庫を貼る!$B$6:$B$10005,$B4908,①今日の在庫を貼る!$I$6:$I$10005,$I4908)&gt;0,N(U4907),N(U4907)+1))</f>
        <v>2</v>
      </c>
    </row>
    <row r="4909" customFormat="false" ht="15" hidden="false" customHeight="false" outlineLevel="0" collapsed="false">
      <c r="B4909" s="53"/>
      <c r="I4909" s="53"/>
      <c r="U4909" s="31" t="n">
        <f aca="false">IF($B4909&lt;&gt;'設定（最初に1回）'!$C$4,N(U4908),IF(COUNTIFS(①今日の在庫を貼る!$B$6:$B$10005,$B4909,①今日の在庫を貼る!$I$6:$I$10005,$I4909)&gt;0,N(U4908),N(U4908)+1))</f>
        <v>2</v>
      </c>
    </row>
    <row r="4910" customFormat="false" ht="15" hidden="false" customHeight="false" outlineLevel="0" collapsed="false">
      <c r="B4910" s="53"/>
      <c r="I4910" s="53"/>
      <c r="U4910" s="31" t="n">
        <f aca="false">IF($B4910&lt;&gt;'設定（最初に1回）'!$C$4,N(U4909),IF(COUNTIFS(①今日の在庫を貼る!$B$6:$B$10005,$B4910,①今日の在庫を貼る!$I$6:$I$10005,$I4910)&gt;0,N(U4909),N(U4909)+1))</f>
        <v>2</v>
      </c>
    </row>
    <row r="4911" customFormat="false" ht="15" hidden="false" customHeight="false" outlineLevel="0" collapsed="false">
      <c r="B4911" s="53"/>
      <c r="I4911" s="53"/>
      <c r="U4911" s="31" t="n">
        <f aca="false">IF($B4911&lt;&gt;'設定（最初に1回）'!$C$4,N(U4910),IF(COUNTIFS(①今日の在庫を貼る!$B$6:$B$10005,$B4911,①今日の在庫を貼る!$I$6:$I$10005,$I4911)&gt;0,N(U4910),N(U4910)+1))</f>
        <v>2</v>
      </c>
    </row>
    <row r="4912" customFormat="false" ht="15" hidden="false" customHeight="false" outlineLevel="0" collapsed="false">
      <c r="B4912" s="53"/>
      <c r="I4912" s="53"/>
      <c r="U4912" s="31" t="n">
        <f aca="false">IF($B4912&lt;&gt;'設定（最初に1回）'!$C$4,N(U4911),IF(COUNTIFS(①今日の在庫を貼る!$B$6:$B$10005,$B4912,①今日の在庫を貼る!$I$6:$I$10005,$I4912)&gt;0,N(U4911),N(U4911)+1))</f>
        <v>2</v>
      </c>
    </row>
    <row r="4913" customFormat="false" ht="15" hidden="false" customHeight="false" outlineLevel="0" collapsed="false">
      <c r="B4913" s="53"/>
      <c r="I4913" s="53"/>
      <c r="U4913" s="31" t="n">
        <f aca="false">IF($B4913&lt;&gt;'設定（最初に1回）'!$C$4,N(U4912),IF(COUNTIFS(①今日の在庫を貼る!$B$6:$B$10005,$B4913,①今日の在庫を貼る!$I$6:$I$10005,$I4913)&gt;0,N(U4912),N(U4912)+1))</f>
        <v>2</v>
      </c>
    </row>
    <row r="4914" customFormat="false" ht="15" hidden="false" customHeight="false" outlineLevel="0" collapsed="false">
      <c r="B4914" s="53"/>
      <c r="I4914" s="53"/>
      <c r="U4914" s="31" t="n">
        <f aca="false">IF($B4914&lt;&gt;'設定（最初に1回）'!$C$4,N(U4913),IF(COUNTIFS(①今日の在庫を貼る!$B$6:$B$10005,$B4914,①今日の在庫を貼る!$I$6:$I$10005,$I4914)&gt;0,N(U4913),N(U4913)+1))</f>
        <v>2</v>
      </c>
    </row>
    <row r="4915" customFormat="false" ht="15" hidden="false" customHeight="false" outlineLevel="0" collapsed="false">
      <c r="B4915" s="53"/>
      <c r="I4915" s="53"/>
      <c r="U4915" s="31" t="n">
        <f aca="false">IF($B4915&lt;&gt;'設定（最初に1回）'!$C$4,N(U4914),IF(COUNTIFS(①今日の在庫を貼る!$B$6:$B$10005,$B4915,①今日の在庫を貼る!$I$6:$I$10005,$I4915)&gt;0,N(U4914),N(U4914)+1))</f>
        <v>2</v>
      </c>
    </row>
    <row r="4916" customFormat="false" ht="15" hidden="false" customHeight="false" outlineLevel="0" collapsed="false">
      <c r="B4916" s="53"/>
      <c r="I4916" s="53"/>
      <c r="U4916" s="31" t="n">
        <f aca="false">IF($B4916&lt;&gt;'設定（最初に1回）'!$C$4,N(U4915),IF(COUNTIFS(①今日の在庫を貼る!$B$6:$B$10005,$B4916,①今日の在庫を貼る!$I$6:$I$10005,$I4916)&gt;0,N(U4915),N(U4915)+1))</f>
        <v>2</v>
      </c>
    </row>
    <row r="4917" customFormat="false" ht="15" hidden="false" customHeight="false" outlineLevel="0" collapsed="false">
      <c r="B4917" s="53"/>
      <c r="I4917" s="53"/>
      <c r="U4917" s="31" t="n">
        <f aca="false">IF($B4917&lt;&gt;'設定（最初に1回）'!$C$4,N(U4916),IF(COUNTIFS(①今日の在庫を貼る!$B$6:$B$10005,$B4917,①今日の在庫を貼る!$I$6:$I$10005,$I4917)&gt;0,N(U4916),N(U4916)+1))</f>
        <v>2</v>
      </c>
    </row>
    <row r="4918" customFormat="false" ht="15" hidden="false" customHeight="false" outlineLevel="0" collapsed="false">
      <c r="B4918" s="53"/>
      <c r="I4918" s="53"/>
      <c r="U4918" s="31" t="n">
        <f aca="false">IF($B4918&lt;&gt;'設定（最初に1回）'!$C$4,N(U4917),IF(COUNTIFS(①今日の在庫を貼る!$B$6:$B$10005,$B4918,①今日の在庫を貼る!$I$6:$I$10005,$I4918)&gt;0,N(U4917),N(U4917)+1))</f>
        <v>2</v>
      </c>
    </row>
    <row r="4919" customFormat="false" ht="15" hidden="false" customHeight="false" outlineLevel="0" collapsed="false">
      <c r="B4919" s="53"/>
      <c r="I4919" s="53"/>
      <c r="U4919" s="31" t="n">
        <f aca="false">IF($B4919&lt;&gt;'設定（最初に1回）'!$C$4,N(U4918),IF(COUNTIFS(①今日の在庫を貼る!$B$6:$B$10005,$B4919,①今日の在庫を貼る!$I$6:$I$10005,$I4919)&gt;0,N(U4918),N(U4918)+1))</f>
        <v>2</v>
      </c>
    </row>
    <row r="4920" customFormat="false" ht="15" hidden="false" customHeight="false" outlineLevel="0" collapsed="false">
      <c r="B4920" s="53"/>
      <c r="I4920" s="53"/>
      <c r="U4920" s="31" t="n">
        <f aca="false">IF($B4920&lt;&gt;'設定（最初に1回）'!$C$4,N(U4919),IF(COUNTIFS(①今日の在庫を貼る!$B$6:$B$10005,$B4920,①今日の在庫を貼る!$I$6:$I$10005,$I4920)&gt;0,N(U4919),N(U4919)+1))</f>
        <v>2</v>
      </c>
    </row>
    <row r="4921" customFormat="false" ht="15" hidden="false" customHeight="false" outlineLevel="0" collapsed="false">
      <c r="B4921" s="53"/>
      <c r="I4921" s="53"/>
      <c r="U4921" s="31" t="n">
        <f aca="false">IF($B4921&lt;&gt;'設定（最初に1回）'!$C$4,N(U4920),IF(COUNTIFS(①今日の在庫を貼る!$B$6:$B$10005,$B4921,①今日の在庫を貼る!$I$6:$I$10005,$I4921)&gt;0,N(U4920),N(U4920)+1))</f>
        <v>2</v>
      </c>
    </row>
    <row r="4922" customFormat="false" ht="15" hidden="false" customHeight="false" outlineLevel="0" collapsed="false">
      <c r="B4922" s="53"/>
      <c r="I4922" s="53"/>
      <c r="U4922" s="31" t="n">
        <f aca="false">IF($B4922&lt;&gt;'設定（最初に1回）'!$C$4,N(U4921),IF(COUNTIFS(①今日の在庫を貼る!$B$6:$B$10005,$B4922,①今日の在庫を貼る!$I$6:$I$10005,$I4922)&gt;0,N(U4921),N(U4921)+1))</f>
        <v>2</v>
      </c>
    </row>
    <row r="4923" customFormat="false" ht="15" hidden="false" customHeight="false" outlineLevel="0" collapsed="false">
      <c r="B4923" s="53"/>
      <c r="I4923" s="53"/>
      <c r="U4923" s="31" t="n">
        <f aca="false">IF($B4923&lt;&gt;'設定（最初に1回）'!$C$4,N(U4922),IF(COUNTIFS(①今日の在庫を貼る!$B$6:$B$10005,$B4923,①今日の在庫を貼る!$I$6:$I$10005,$I4923)&gt;0,N(U4922),N(U4922)+1))</f>
        <v>2</v>
      </c>
    </row>
    <row r="4924" customFormat="false" ht="15" hidden="false" customHeight="false" outlineLevel="0" collapsed="false">
      <c r="B4924" s="53"/>
      <c r="I4924" s="53"/>
      <c r="U4924" s="31" t="n">
        <f aca="false">IF($B4924&lt;&gt;'設定（最初に1回）'!$C$4,N(U4923),IF(COUNTIFS(①今日の在庫を貼る!$B$6:$B$10005,$B4924,①今日の在庫を貼る!$I$6:$I$10005,$I4924)&gt;0,N(U4923),N(U4923)+1))</f>
        <v>2</v>
      </c>
    </row>
    <row r="4925" customFormat="false" ht="15" hidden="false" customHeight="false" outlineLevel="0" collapsed="false">
      <c r="B4925" s="53"/>
      <c r="I4925" s="53"/>
      <c r="U4925" s="31" t="n">
        <f aca="false">IF($B4925&lt;&gt;'設定（最初に1回）'!$C$4,N(U4924),IF(COUNTIFS(①今日の在庫を貼る!$B$6:$B$10005,$B4925,①今日の在庫を貼る!$I$6:$I$10005,$I4925)&gt;0,N(U4924),N(U4924)+1))</f>
        <v>2</v>
      </c>
    </row>
    <row r="4926" customFormat="false" ht="15" hidden="false" customHeight="false" outlineLevel="0" collapsed="false">
      <c r="B4926" s="53"/>
      <c r="I4926" s="53"/>
      <c r="U4926" s="31" t="n">
        <f aca="false">IF($B4926&lt;&gt;'設定（最初に1回）'!$C$4,N(U4925),IF(COUNTIFS(①今日の在庫を貼る!$B$6:$B$10005,$B4926,①今日の在庫を貼る!$I$6:$I$10005,$I4926)&gt;0,N(U4925),N(U4925)+1))</f>
        <v>2</v>
      </c>
    </row>
    <row r="4927" customFormat="false" ht="15" hidden="false" customHeight="false" outlineLevel="0" collapsed="false">
      <c r="B4927" s="53"/>
      <c r="I4927" s="53"/>
      <c r="U4927" s="31" t="n">
        <f aca="false">IF($B4927&lt;&gt;'設定（最初に1回）'!$C$4,N(U4926),IF(COUNTIFS(①今日の在庫を貼る!$B$6:$B$10005,$B4927,①今日の在庫を貼る!$I$6:$I$10005,$I4927)&gt;0,N(U4926),N(U4926)+1))</f>
        <v>2</v>
      </c>
    </row>
    <row r="4928" customFormat="false" ht="15" hidden="false" customHeight="false" outlineLevel="0" collapsed="false">
      <c r="B4928" s="53"/>
      <c r="I4928" s="53"/>
      <c r="U4928" s="31" t="n">
        <f aca="false">IF($B4928&lt;&gt;'設定（最初に1回）'!$C$4,N(U4927),IF(COUNTIFS(①今日の在庫を貼る!$B$6:$B$10005,$B4928,①今日の在庫を貼る!$I$6:$I$10005,$I4928)&gt;0,N(U4927),N(U4927)+1))</f>
        <v>2</v>
      </c>
    </row>
    <row r="4929" customFormat="false" ht="15" hidden="false" customHeight="false" outlineLevel="0" collapsed="false">
      <c r="B4929" s="53"/>
      <c r="I4929" s="53"/>
      <c r="U4929" s="31" t="n">
        <f aca="false">IF($B4929&lt;&gt;'設定（最初に1回）'!$C$4,N(U4928),IF(COUNTIFS(①今日の在庫を貼る!$B$6:$B$10005,$B4929,①今日の在庫を貼る!$I$6:$I$10005,$I4929)&gt;0,N(U4928),N(U4928)+1))</f>
        <v>2</v>
      </c>
    </row>
    <row r="4930" customFormat="false" ht="15" hidden="false" customHeight="false" outlineLevel="0" collapsed="false">
      <c r="B4930" s="53"/>
      <c r="I4930" s="53"/>
      <c r="U4930" s="31" t="n">
        <f aca="false">IF($B4930&lt;&gt;'設定（最初に1回）'!$C$4,N(U4929),IF(COUNTIFS(①今日の在庫を貼る!$B$6:$B$10005,$B4930,①今日の在庫を貼る!$I$6:$I$10005,$I4930)&gt;0,N(U4929),N(U4929)+1))</f>
        <v>2</v>
      </c>
    </row>
    <row r="4931" customFormat="false" ht="15" hidden="false" customHeight="false" outlineLevel="0" collapsed="false">
      <c r="B4931" s="53"/>
      <c r="I4931" s="53"/>
      <c r="U4931" s="31" t="n">
        <f aca="false">IF($B4931&lt;&gt;'設定（最初に1回）'!$C$4,N(U4930),IF(COUNTIFS(①今日の在庫を貼る!$B$6:$B$10005,$B4931,①今日の在庫を貼る!$I$6:$I$10005,$I4931)&gt;0,N(U4930),N(U4930)+1))</f>
        <v>2</v>
      </c>
    </row>
    <row r="4932" customFormat="false" ht="15" hidden="false" customHeight="false" outlineLevel="0" collapsed="false">
      <c r="B4932" s="53"/>
      <c r="I4932" s="53"/>
      <c r="U4932" s="31" t="n">
        <f aca="false">IF($B4932&lt;&gt;'設定（最初に1回）'!$C$4,N(U4931),IF(COUNTIFS(①今日の在庫を貼る!$B$6:$B$10005,$B4932,①今日の在庫を貼る!$I$6:$I$10005,$I4932)&gt;0,N(U4931),N(U4931)+1))</f>
        <v>2</v>
      </c>
    </row>
    <row r="4933" customFormat="false" ht="15" hidden="false" customHeight="false" outlineLevel="0" collapsed="false">
      <c r="B4933" s="53"/>
      <c r="I4933" s="53"/>
      <c r="U4933" s="31" t="n">
        <f aca="false">IF($B4933&lt;&gt;'設定（最初に1回）'!$C$4,N(U4932),IF(COUNTIFS(①今日の在庫を貼る!$B$6:$B$10005,$B4933,①今日の在庫を貼る!$I$6:$I$10005,$I4933)&gt;0,N(U4932),N(U4932)+1))</f>
        <v>2</v>
      </c>
    </row>
    <row r="4934" customFormat="false" ht="15" hidden="false" customHeight="false" outlineLevel="0" collapsed="false">
      <c r="B4934" s="53"/>
      <c r="I4934" s="53"/>
      <c r="U4934" s="31" t="n">
        <f aca="false">IF($B4934&lt;&gt;'設定（最初に1回）'!$C$4,N(U4933),IF(COUNTIFS(①今日の在庫を貼る!$B$6:$B$10005,$B4934,①今日の在庫を貼る!$I$6:$I$10005,$I4934)&gt;0,N(U4933),N(U4933)+1))</f>
        <v>2</v>
      </c>
    </row>
    <row r="4935" customFormat="false" ht="15" hidden="false" customHeight="false" outlineLevel="0" collapsed="false">
      <c r="B4935" s="53"/>
      <c r="I4935" s="53"/>
      <c r="U4935" s="31" t="n">
        <f aca="false">IF($B4935&lt;&gt;'設定（最初に1回）'!$C$4,N(U4934),IF(COUNTIFS(①今日の在庫を貼る!$B$6:$B$10005,$B4935,①今日の在庫を貼る!$I$6:$I$10005,$I4935)&gt;0,N(U4934),N(U4934)+1))</f>
        <v>2</v>
      </c>
    </row>
    <row r="4936" customFormat="false" ht="15" hidden="false" customHeight="false" outlineLevel="0" collapsed="false">
      <c r="B4936" s="53"/>
      <c r="I4936" s="53"/>
      <c r="U4936" s="31" t="n">
        <f aca="false">IF($B4936&lt;&gt;'設定（最初に1回）'!$C$4,N(U4935),IF(COUNTIFS(①今日の在庫を貼る!$B$6:$B$10005,$B4936,①今日の在庫を貼る!$I$6:$I$10005,$I4936)&gt;0,N(U4935),N(U4935)+1))</f>
        <v>2</v>
      </c>
    </row>
    <row r="4937" customFormat="false" ht="15" hidden="false" customHeight="false" outlineLevel="0" collapsed="false">
      <c r="B4937" s="53"/>
      <c r="I4937" s="53"/>
      <c r="U4937" s="31" t="n">
        <f aca="false">IF($B4937&lt;&gt;'設定（最初に1回）'!$C$4,N(U4936),IF(COUNTIFS(①今日の在庫を貼る!$B$6:$B$10005,$B4937,①今日の在庫を貼る!$I$6:$I$10005,$I4937)&gt;0,N(U4936),N(U4936)+1))</f>
        <v>2</v>
      </c>
    </row>
    <row r="4938" customFormat="false" ht="15" hidden="false" customHeight="false" outlineLevel="0" collapsed="false">
      <c r="B4938" s="53"/>
      <c r="I4938" s="53"/>
      <c r="U4938" s="31" t="n">
        <f aca="false">IF($B4938&lt;&gt;'設定（最初に1回）'!$C$4,N(U4937),IF(COUNTIFS(①今日の在庫を貼る!$B$6:$B$10005,$B4938,①今日の在庫を貼る!$I$6:$I$10005,$I4938)&gt;0,N(U4937),N(U4937)+1))</f>
        <v>2</v>
      </c>
    </row>
    <row r="4939" customFormat="false" ht="15" hidden="false" customHeight="false" outlineLevel="0" collapsed="false">
      <c r="B4939" s="53"/>
      <c r="I4939" s="53"/>
      <c r="U4939" s="31" t="n">
        <f aca="false">IF($B4939&lt;&gt;'設定（最初に1回）'!$C$4,N(U4938),IF(COUNTIFS(①今日の在庫を貼る!$B$6:$B$10005,$B4939,①今日の在庫を貼る!$I$6:$I$10005,$I4939)&gt;0,N(U4938),N(U4938)+1))</f>
        <v>2</v>
      </c>
    </row>
    <row r="4940" customFormat="false" ht="15" hidden="false" customHeight="false" outlineLevel="0" collapsed="false">
      <c r="B4940" s="53"/>
      <c r="I4940" s="53"/>
      <c r="U4940" s="31" t="n">
        <f aca="false">IF($B4940&lt;&gt;'設定（最初に1回）'!$C$4,N(U4939),IF(COUNTIFS(①今日の在庫を貼る!$B$6:$B$10005,$B4940,①今日の在庫を貼る!$I$6:$I$10005,$I4940)&gt;0,N(U4939),N(U4939)+1))</f>
        <v>2</v>
      </c>
    </row>
    <row r="4941" customFormat="false" ht="15" hidden="false" customHeight="false" outlineLevel="0" collapsed="false">
      <c r="B4941" s="53"/>
      <c r="I4941" s="53"/>
      <c r="U4941" s="31" t="n">
        <f aca="false">IF($B4941&lt;&gt;'設定（最初に1回）'!$C$4,N(U4940),IF(COUNTIFS(①今日の在庫を貼る!$B$6:$B$10005,$B4941,①今日の在庫を貼る!$I$6:$I$10005,$I4941)&gt;0,N(U4940),N(U4940)+1))</f>
        <v>2</v>
      </c>
    </row>
    <row r="4942" customFormat="false" ht="15" hidden="false" customHeight="false" outlineLevel="0" collapsed="false">
      <c r="B4942" s="53"/>
      <c r="I4942" s="53"/>
      <c r="U4942" s="31" t="n">
        <f aca="false">IF($B4942&lt;&gt;'設定（最初に1回）'!$C$4,N(U4941),IF(COUNTIFS(①今日の在庫を貼る!$B$6:$B$10005,$B4942,①今日の在庫を貼る!$I$6:$I$10005,$I4942)&gt;0,N(U4941),N(U4941)+1))</f>
        <v>2</v>
      </c>
    </row>
    <row r="4943" customFormat="false" ht="15" hidden="false" customHeight="false" outlineLevel="0" collapsed="false">
      <c r="B4943" s="53"/>
      <c r="I4943" s="53"/>
      <c r="U4943" s="31" t="n">
        <f aca="false">IF($B4943&lt;&gt;'設定（最初に1回）'!$C$4,N(U4942),IF(COUNTIFS(①今日の在庫を貼る!$B$6:$B$10005,$B4943,①今日の在庫を貼る!$I$6:$I$10005,$I4943)&gt;0,N(U4942),N(U4942)+1))</f>
        <v>2</v>
      </c>
    </row>
    <row r="4944" customFormat="false" ht="15" hidden="false" customHeight="false" outlineLevel="0" collapsed="false">
      <c r="B4944" s="53"/>
      <c r="I4944" s="53"/>
      <c r="U4944" s="31" t="n">
        <f aca="false">IF($B4944&lt;&gt;'設定（最初に1回）'!$C$4,N(U4943),IF(COUNTIFS(①今日の在庫を貼る!$B$6:$B$10005,$B4944,①今日の在庫を貼る!$I$6:$I$10005,$I4944)&gt;0,N(U4943),N(U4943)+1))</f>
        <v>2</v>
      </c>
    </row>
    <row r="4945" customFormat="false" ht="15" hidden="false" customHeight="false" outlineLevel="0" collapsed="false">
      <c r="B4945" s="53"/>
      <c r="I4945" s="53"/>
      <c r="U4945" s="31" t="n">
        <f aca="false">IF($B4945&lt;&gt;'設定（最初に1回）'!$C$4,N(U4944),IF(COUNTIFS(①今日の在庫を貼る!$B$6:$B$10005,$B4945,①今日の在庫を貼る!$I$6:$I$10005,$I4945)&gt;0,N(U4944),N(U4944)+1))</f>
        <v>2</v>
      </c>
    </row>
    <row r="4946" customFormat="false" ht="15" hidden="false" customHeight="false" outlineLevel="0" collapsed="false">
      <c r="B4946" s="53"/>
      <c r="I4946" s="53"/>
      <c r="U4946" s="31" t="n">
        <f aca="false">IF($B4946&lt;&gt;'設定（最初に1回）'!$C$4,N(U4945),IF(COUNTIFS(①今日の在庫を貼る!$B$6:$B$10005,$B4946,①今日の在庫を貼る!$I$6:$I$10005,$I4946)&gt;0,N(U4945),N(U4945)+1))</f>
        <v>2</v>
      </c>
    </row>
    <row r="4947" customFormat="false" ht="15" hidden="false" customHeight="false" outlineLevel="0" collapsed="false">
      <c r="B4947" s="53"/>
      <c r="I4947" s="53"/>
      <c r="U4947" s="31" t="n">
        <f aca="false">IF($B4947&lt;&gt;'設定（最初に1回）'!$C$4,N(U4946),IF(COUNTIFS(①今日の在庫を貼る!$B$6:$B$10005,$B4947,①今日の在庫を貼る!$I$6:$I$10005,$I4947)&gt;0,N(U4946),N(U4946)+1))</f>
        <v>2</v>
      </c>
    </row>
    <row r="4948" customFormat="false" ht="15" hidden="false" customHeight="false" outlineLevel="0" collapsed="false">
      <c r="B4948" s="53"/>
      <c r="I4948" s="53"/>
      <c r="U4948" s="31" t="n">
        <f aca="false">IF($B4948&lt;&gt;'設定（最初に1回）'!$C$4,N(U4947),IF(COUNTIFS(①今日の在庫を貼る!$B$6:$B$10005,$B4948,①今日の在庫を貼る!$I$6:$I$10005,$I4948)&gt;0,N(U4947),N(U4947)+1))</f>
        <v>2</v>
      </c>
    </row>
    <row r="4949" customFormat="false" ht="15" hidden="false" customHeight="false" outlineLevel="0" collapsed="false">
      <c r="B4949" s="53"/>
      <c r="I4949" s="53"/>
      <c r="U4949" s="31" t="n">
        <f aca="false">IF($B4949&lt;&gt;'設定（最初に1回）'!$C$4,N(U4948),IF(COUNTIFS(①今日の在庫を貼る!$B$6:$B$10005,$B4949,①今日の在庫を貼る!$I$6:$I$10005,$I4949)&gt;0,N(U4948),N(U4948)+1))</f>
        <v>2</v>
      </c>
    </row>
    <row r="4950" customFormat="false" ht="15" hidden="false" customHeight="false" outlineLevel="0" collapsed="false">
      <c r="B4950" s="53"/>
      <c r="I4950" s="53"/>
      <c r="U4950" s="31" t="n">
        <f aca="false">IF($B4950&lt;&gt;'設定（最初に1回）'!$C$4,N(U4949),IF(COUNTIFS(①今日の在庫を貼る!$B$6:$B$10005,$B4950,①今日の在庫を貼る!$I$6:$I$10005,$I4950)&gt;0,N(U4949),N(U4949)+1))</f>
        <v>2</v>
      </c>
    </row>
    <row r="4951" customFormat="false" ht="15" hidden="false" customHeight="false" outlineLevel="0" collapsed="false">
      <c r="B4951" s="53"/>
      <c r="I4951" s="53"/>
      <c r="U4951" s="31" t="n">
        <f aca="false">IF($B4951&lt;&gt;'設定（最初に1回）'!$C$4,N(U4950),IF(COUNTIFS(①今日の在庫を貼る!$B$6:$B$10005,$B4951,①今日の在庫を貼る!$I$6:$I$10005,$I4951)&gt;0,N(U4950),N(U4950)+1))</f>
        <v>2</v>
      </c>
    </row>
    <row r="4952" customFormat="false" ht="15" hidden="false" customHeight="false" outlineLevel="0" collapsed="false">
      <c r="B4952" s="53"/>
      <c r="I4952" s="53"/>
      <c r="U4952" s="31" t="n">
        <f aca="false">IF($B4952&lt;&gt;'設定（最初に1回）'!$C$4,N(U4951),IF(COUNTIFS(①今日の在庫を貼る!$B$6:$B$10005,$B4952,①今日の在庫を貼る!$I$6:$I$10005,$I4952)&gt;0,N(U4951),N(U4951)+1))</f>
        <v>2</v>
      </c>
    </row>
    <row r="4953" customFormat="false" ht="15" hidden="false" customHeight="false" outlineLevel="0" collapsed="false">
      <c r="B4953" s="53"/>
      <c r="I4953" s="53"/>
      <c r="U4953" s="31" t="n">
        <f aca="false">IF($B4953&lt;&gt;'設定（最初に1回）'!$C$4,N(U4952),IF(COUNTIFS(①今日の在庫を貼る!$B$6:$B$10005,$B4953,①今日の在庫を貼る!$I$6:$I$10005,$I4953)&gt;0,N(U4952),N(U4952)+1))</f>
        <v>2</v>
      </c>
    </row>
    <row r="4954" customFormat="false" ht="15" hidden="false" customHeight="false" outlineLevel="0" collapsed="false">
      <c r="B4954" s="53"/>
      <c r="I4954" s="53"/>
      <c r="U4954" s="31" t="n">
        <f aca="false">IF($B4954&lt;&gt;'設定（最初に1回）'!$C$4,N(U4953),IF(COUNTIFS(①今日の在庫を貼る!$B$6:$B$10005,$B4954,①今日の在庫を貼る!$I$6:$I$10005,$I4954)&gt;0,N(U4953),N(U4953)+1))</f>
        <v>2</v>
      </c>
    </row>
    <row r="4955" customFormat="false" ht="15" hidden="false" customHeight="false" outlineLevel="0" collapsed="false">
      <c r="B4955" s="53"/>
      <c r="I4955" s="53"/>
      <c r="U4955" s="31" t="n">
        <f aca="false">IF($B4955&lt;&gt;'設定（最初に1回）'!$C$4,N(U4954),IF(COUNTIFS(①今日の在庫を貼る!$B$6:$B$10005,$B4955,①今日の在庫を貼る!$I$6:$I$10005,$I4955)&gt;0,N(U4954),N(U4954)+1))</f>
        <v>2</v>
      </c>
    </row>
    <row r="4956" customFormat="false" ht="15" hidden="false" customHeight="false" outlineLevel="0" collapsed="false">
      <c r="B4956" s="53"/>
      <c r="I4956" s="53"/>
      <c r="U4956" s="31" t="n">
        <f aca="false">IF($B4956&lt;&gt;'設定（最初に1回）'!$C$4,N(U4955),IF(COUNTIFS(①今日の在庫を貼る!$B$6:$B$10005,$B4956,①今日の在庫を貼る!$I$6:$I$10005,$I4956)&gt;0,N(U4955),N(U4955)+1))</f>
        <v>2</v>
      </c>
    </row>
    <row r="4957" customFormat="false" ht="15" hidden="false" customHeight="false" outlineLevel="0" collapsed="false">
      <c r="B4957" s="53"/>
      <c r="I4957" s="53"/>
      <c r="U4957" s="31" t="n">
        <f aca="false">IF($B4957&lt;&gt;'設定（最初に1回）'!$C$4,N(U4956),IF(COUNTIFS(①今日の在庫を貼る!$B$6:$B$10005,$B4957,①今日の在庫を貼る!$I$6:$I$10005,$I4957)&gt;0,N(U4956),N(U4956)+1))</f>
        <v>2</v>
      </c>
    </row>
    <row r="4958" customFormat="false" ht="15" hidden="false" customHeight="false" outlineLevel="0" collapsed="false">
      <c r="B4958" s="53"/>
      <c r="I4958" s="53"/>
      <c r="U4958" s="31" t="n">
        <f aca="false">IF($B4958&lt;&gt;'設定（最初に1回）'!$C$4,N(U4957),IF(COUNTIFS(①今日の在庫を貼る!$B$6:$B$10005,$B4958,①今日の在庫を貼る!$I$6:$I$10005,$I4958)&gt;0,N(U4957),N(U4957)+1))</f>
        <v>2</v>
      </c>
    </row>
    <row r="4959" customFormat="false" ht="15" hidden="false" customHeight="false" outlineLevel="0" collapsed="false">
      <c r="B4959" s="53"/>
      <c r="I4959" s="53"/>
      <c r="U4959" s="31" t="n">
        <f aca="false">IF($B4959&lt;&gt;'設定（最初に1回）'!$C$4,N(U4958),IF(COUNTIFS(①今日の在庫を貼る!$B$6:$B$10005,$B4959,①今日の在庫を貼る!$I$6:$I$10005,$I4959)&gt;0,N(U4958),N(U4958)+1))</f>
        <v>2</v>
      </c>
    </row>
    <row r="4960" customFormat="false" ht="15" hidden="false" customHeight="false" outlineLevel="0" collapsed="false">
      <c r="B4960" s="53"/>
      <c r="I4960" s="53"/>
      <c r="U4960" s="31" t="n">
        <f aca="false">IF($B4960&lt;&gt;'設定（最初に1回）'!$C$4,N(U4959),IF(COUNTIFS(①今日の在庫を貼る!$B$6:$B$10005,$B4960,①今日の在庫を貼る!$I$6:$I$10005,$I4960)&gt;0,N(U4959),N(U4959)+1))</f>
        <v>2</v>
      </c>
    </row>
    <row r="4961" customFormat="false" ht="15" hidden="false" customHeight="false" outlineLevel="0" collapsed="false">
      <c r="B4961" s="53"/>
      <c r="I4961" s="53"/>
      <c r="U4961" s="31" t="n">
        <f aca="false">IF($B4961&lt;&gt;'設定（最初に1回）'!$C$4,N(U4960),IF(COUNTIFS(①今日の在庫を貼る!$B$6:$B$10005,$B4961,①今日の在庫を貼る!$I$6:$I$10005,$I4961)&gt;0,N(U4960),N(U4960)+1))</f>
        <v>2</v>
      </c>
    </row>
    <row r="4962" customFormat="false" ht="15" hidden="false" customHeight="false" outlineLevel="0" collapsed="false">
      <c r="B4962" s="53"/>
      <c r="I4962" s="53"/>
      <c r="U4962" s="31" t="n">
        <f aca="false">IF($B4962&lt;&gt;'設定（最初に1回）'!$C$4,N(U4961),IF(COUNTIFS(①今日の在庫を貼る!$B$6:$B$10005,$B4962,①今日の在庫を貼る!$I$6:$I$10005,$I4962)&gt;0,N(U4961),N(U4961)+1))</f>
        <v>2</v>
      </c>
    </row>
    <row r="4963" customFormat="false" ht="15" hidden="false" customHeight="false" outlineLevel="0" collapsed="false">
      <c r="B4963" s="53"/>
      <c r="I4963" s="53"/>
      <c r="U4963" s="31" t="n">
        <f aca="false">IF($B4963&lt;&gt;'設定（最初に1回）'!$C$4,N(U4962),IF(COUNTIFS(①今日の在庫を貼る!$B$6:$B$10005,$B4963,①今日の在庫を貼る!$I$6:$I$10005,$I4963)&gt;0,N(U4962),N(U4962)+1))</f>
        <v>2</v>
      </c>
    </row>
    <row r="4964" customFormat="false" ht="15" hidden="false" customHeight="false" outlineLevel="0" collapsed="false">
      <c r="B4964" s="53"/>
      <c r="I4964" s="53"/>
      <c r="U4964" s="31" t="n">
        <f aca="false">IF($B4964&lt;&gt;'設定（最初に1回）'!$C$4,N(U4963),IF(COUNTIFS(①今日の在庫を貼る!$B$6:$B$10005,$B4964,①今日の在庫を貼る!$I$6:$I$10005,$I4964)&gt;0,N(U4963),N(U4963)+1))</f>
        <v>2</v>
      </c>
    </row>
    <row r="4965" customFormat="false" ht="15" hidden="false" customHeight="false" outlineLevel="0" collapsed="false">
      <c r="B4965" s="53"/>
      <c r="I4965" s="53"/>
      <c r="U4965" s="31" t="n">
        <f aca="false">IF($B4965&lt;&gt;'設定（最初に1回）'!$C$4,N(U4964),IF(COUNTIFS(①今日の在庫を貼る!$B$6:$B$10005,$B4965,①今日の在庫を貼る!$I$6:$I$10005,$I4965)&gt;0,N(U4964),N(U4964)+1))</f>
        <v>2</v>
      </c>
    </row>
    <row r="4966" customFormat="false" ht="15" hidden="false" customHeight="false" outlineLevel="0" collapsed="false">
      <c r="B4966" s="53"/>
      <c r="I4966" s="53"/>
      <c r="U4966" s="31" t="n">
        <f aca="false">IF($B4966&lt;&gt;'設定（最初に1回）'!$C$4,N(U4965),IF(COUNTIFS(①今日の在庫を貼る!$B$6:$B$10005,$B4966,①今日の在庫を貼る!$I$6:$I$10005,$I4966)&gt;0,N(U4965),N(U4965)+1))</f>
        <v>2</v>
      </c>
    </row>
    <row r="4967" customFormat="false" ht="15" hidden="false" customHeight="false" outlineLevel="0" collapsed="false">
      <c r="B4967" s="53"/>
      <c r="I4967" s="53"/>
      <c r="U4967" s="31" t="n">
        <f aca="false">IF($B4967&lt;&gt;'設定（最初に1回）'!$C$4,N(U4966),IF(COUNTIFS(①今日の在庫を貼る!$B$6:$B$10005,$B4967,①今日の在庫を貼る!$I$6:$I$10005,$I4967)&gt;0,N(U4966),N(U4966)+1))</f>
        <v>2</v>
      </c>
    </row>
    <row r="4968" customFormat="false" ht="15" hidden="false" customHeight="false" outlineLevel="0" collapsed="false">
      <c r="B4968" s="53"/>
      <c r="I4968" s="53"/>
      <c r="U4968" s="31" t="n">
        <f aca="false">IF($B4968&lt;&gt;'設定（最初に1回）'!$C$4,N(U4967),IF(COUNTIFS(①今日の在庫を貼る!$B$6:$B$10005,$B4968,①今日の在庫を貼る!$I$6:$I$10005,$I4968)&gt;0,N(U4967),N(U4967)+1))</f>
        <v>2</v>
      </c>
    </row>
    <row r="4969" customFormat="false" ht="15" hidden="false" customHeight="false" outlineLevel="0" collapsed="false">
      <c r="B4969" s="53"/>
      <c r="I4969" s="53"/>
      <c r="U4969" s="31" t="n">
        <f aca="false">IF($B4969&lt;&gt;'設定（最初に1回）'!$C$4,N(U4968),IF(COUNTIFS(①今日の在庫を貼る!$B$6:$B$10005,$B4969,①今日の在庫を貼る!$I$6:$I$10005,$I4969)&gt;0,N(U4968),N(U4968)+1))</f>
        <v>2</v>
      </c>
    </row>
    <row r="4970" customFormat="false" ht="15" hidden="false" customHeight="false" outlineLevel="0" collapsed="false">
      <c r="B4970" s="53"/>
      <c r="I4970" s="53"/>
      <c r="U4970" s="31" t="n">
        <f aca="false">IF($B4970&lt;&gt;'設定（最初に1回）'!$C$4,N(U4969),IF(COUNTIFS(①今日の在庫を貼る!$B$6:$B$10005,$B4970,①今日の在庫を貼る!$I$6:$I$10005,$I4970)&gt;0,N(U4969),N(U4969)+1))</f>
        <v>2</v>
      </c>
    </row>
    <row r="4971" customFormat="false" ht="15" hidden="false" customHeight="false" outlineLevel="0" collapsed="false">
      <c r="B4971" s="53"/>
      <c r="I4971" s="53"/>
      <c r="U4971" s="31" t="n">
        <f aca="false">IF($B4971&lt;&gt;'設定（最初に1回）'!$C$4,N(U4970),IF(COUNTIFS(①今日の在庫を貼る!$B$6:$B$10005,$B4971,①今日の在庫を貼る!$I$6:$I$10005,$I4971)&gt;0,N(U4970),N(U4970)+1))</f>
        <v>2</v>
      </c>
    </row>
    <row r="4972" customFormat="false" ht="15" hidden="false" customHeight="false" outlineLevel="0" collapsed="false">
      <c r="B4972" s="53"/>
      <c r="I4972" s="53"/>
      <c r="U4972" s="31" t="n">
        <f aca="false">IF($B4972&lt;&gt;'設定（最初に1回）'!$C$4,N(U4971),IF(COUNTIFS(①今日の在庫を貼る!$B$6:$B$10005,$B4972,①今日の在庫を貼る!$I$6:$I$10005,$I4972)&gt;0,N(U4971),N(U4971)+1))</f>
        <v>2</v>
      </c>
    </row>
    <row r="4973" customFormat="false" ht="15" hidden="false" customHeight="false" outlineLevel="0" collapsed="false">
      <c r="B4973" s="53"/>
      <c r="I4973" s="53"/>
      <c r="U4973" s="31" t="n">
        <f aca="false">IF($B4973&lt;&gt;'設定（最初に1回）'!$C$4,N(U4972),IF(COUNTIFS(①今日の在庫を貼る!$B$6:$B$10005,$B4973,①今日の在庫を貼る!$I$6:$I$10005,$I4973)&gt;0,N(U4972),N(U4972)+1))</f>
        <v>2</v>
      </c>
    </row>
    <row r="4974" customFormat="false" ht="15" hidden="false" customHeight="false" outlineLevel="0" collapsed="false">
      <c r="B4974" s="53"/>
      <c r="I4974" s="53"/>
      <c r="U4974" s="31" t="n">
        <f aca="false">IF($B4974&lt;&gt;'設定（最初に1回）'!$C$4,N(U4973),IF(COUNTIFS(①今日の在庫を貼る!$B$6:$B$10005,$B4974,①今日の在庫を貼る!$I$6:$I$10005,$I4974)&gt;0,N(U4973),N(U4973)+1))</f>
        <v>2</v>
      </c>
    </row>
    <row r="4975" customFormat="false" ht="15" hidden="false" customHeight="false" outlineLevel="0" collapsed="false">
      <c r="B4975" s="53"/>
      <c r="I4975" s="53"/>
      <c r="U4975" s="31" t="n">
        <f aca="false">IF($B4975&lt;&gt;'設定（最初に1回）'!$C$4,N(U4974),IF(COUNTIFS(①今日の在庫を貼る!$B$6:$B$10005,$B4975,①今日の在庫を貼る!$I$6:$I$10005,$I4975)&gt;0,N(U4974),N(U4974)+1))</f>
        <v>2</v>
      </c>
    </row>
    <row r="4976" customFormat="false" ht="15" hidden="false" customHeight="false" outlineLevel="0" collapsed="false">
      <c r="B4976" s="53"/>
      <c r="I4976" s="53"/>
      <c r="U4976" s="31" t="n">
        <f aca="false">IF($B4976&lt;&gt;'設定（最初に1回）'!$C$4,N(U4975),IF(COUNTIFS(①今日の在庫を貼る!$B$6:$B$10005,$B4976,①今日の在庫を貼る!$I$6:$I$10005,$I4976)&gt;0,N(U4975),N(U4975)+1))</f>
        <v>2</v>
      </c>
    </row>
    <row r="4977" customFormat="false" ht="15" hidden="false" customHeight="false" outlineLevel="0" collapsed="false">
      <c r="B4977" s="53"/>
      <c r="I4977" s="53"/>
      <c r="U4977" s="31" t="n">
        <f aca="false">IF($B4977&lt;&gt;'設定（最初に1回）'!$C$4,N(U4976),IF(COUNTIFS(①今日の在庫を貼る!$B$6:$B$10005,$B4977,①今日の在庫を貼る!$I$6:$I$10005,$I4977)&gt;0,N(U4976),N(U4976)+1))</f>
        <v>2</v>
      </c>
    </row>
    <row r="4978" customFormat="false" ht="15" hidden="false" customHeight="false" outlineLevel="0" collapsed="false">
      <c r="B4978" s="53"/>
      <c r="I4978" s="53"/>
      <c r="U4978" s="31" t="n">
        <f aca="false">IF($B4978&lt;&gt;'設定（最初に1回）'!$C$4,N(U4977),IF(COUNTIFS(①今日の在庫を貼る!$B$6:$B$10005,$B4978,①今日の在庫を貼る!$I$6:$I$10005,$I4978)&gt;0,N(U4977),N(U4977)+1))</f>
        <v>2</v>
      </c>
    </row>
    <row r="4979" customFormat="false" ht="15" hidden="false" customHeight="false" outlineLevel="0" collapsed="false">
      <c r="B4979" s="53"/>
      <c r="I4979" s="53"/>
      <c r="U4979" s="31" t="n">
        <f aca="false">IF($B4979&lt;&gt;'設定（最初に1回）'!$C$4,N(U4978),IF(COUNTIFS(①今日の在庫を貼る!$B$6:$B$10005,$B4979,①今日の在庫を貼る!$I$6:$I$10005,$I4979)&gt;0,N(U4978),N(U4978)+1))</f>
        <v>2</v>
      </c>
    </row>
    <row r="4980" customFormat="false" ht="15" hidden="false" customHeight="false" outlineLevel="0" collapsed="false">
      <c r="B4980" s="53"/>
      <c r="I4980" s="53"/>
      <c r="U4980" s="31" t="n">
        <f aca="false">IF($B4980&lt;&gt;'設定（最初に1回）'!$C$4,N(U4979),IF(COUNTIFS(①今日の在庫を貼る!$B$6:$B$10005,$B4980,①今日の在庫を貼る!$I$6:$I$10005,$I4980)&gt;0,N(U4979),N(U4979)+1))</f>
        <v>2</v>
      </c>
    </row>
    <row r="4981" customFormat="false" ht="15" hidden="false" customHeight="false" outlineLevel="0" collapsed="false">
      <c r="B4981" s="53"/>
      <c r="I4981" s="53"/>
      <c r="U4981" s="31" t="n">
        <f aca="false">IF($B4981&lt;&gt;'設定（最初に1回）'!$C$4,N(U4980),IF(COUNTIFS(①今日の在庫を貼る!$B$6:$B$10005,$B4981,①今日の在庫を貼る!$I$6:$I$10005,$I4981)&gt;0,N(U4980),N(U4980)+1))</f>
        <v>2</v>
      </c>
    </row>
    <row r="4982" customFormat="false" ht="15" hidden="false" customHeight="false" outlineLevel="0" collapsed="false">
      <c r="B4982" s="53"/>
      <c r="I4982" s="53"/>
      <c r="U4982" s="31" t="n">
        <f aca="false">IF($B4982&lt;&gt;'設定（最初に1回）'!$C$4,N(U4981),IF(COUNTIFS(①今日の在庫を貼る!$B$6:$B$10005,$B4982,①今日の在庫を貼る!$I$6:$I$10005,$I4982)&gt;0,N(U4981),N(U4981)+1))</f>
        <v>2</v>
      </c>
    </row>
    <row r="4983" customFormat="false" ht="15" hidden="false" customHeight="false" outlineLevel="0" collapsed="false">
      <c r="B4983" s="53"/>
      <c r="I4983" s="53"/>
      <c r="U4983" s="31" t="n">
        <f aca="false">IF($B4983&lt;&gt;'設定（最初に1回）'!$C$4,N(U4982),IF(COUNTIFS(①今日の在庫を貼る!$B$6:$B$10005,$B4983,①今日の在庫を貼る!$I$6:$I$10005,$I4983)&gt;0,N(U4982),N(U4982)+1))</f>
        <v>2</v>
      </c>
    </row>
    <row r="4984" customFormat="false" ht="15" hidden="false" customHeight="false" outlineLevel="0" collapsed="false">
      <c r="B4984" s="53"/>
      <c r="I4984" s="53"/>
      <c r="U4984" s="31" t="n">
        <f aca="false">IF($B4984&lt;&gt;'設定（最初に1回）'!$C$4,N(U4983),IF(COUNTIFS(①今日の在庫を貼る!$B$6:$B$10005,$B4984,①今日の在庫を貼る!$I$6:$I$10005,$I4984)&gt;0,N(U4983),N(U4983)+1))</f>
        <v>2</v>
      </c>
    </row>
    <row r="4985" customFormat="false" ht="15" hidden="false" customHeight="false" outlineLevel="0" collapsed="false">
      <c r="B4985" s="53"/>
      <c r="I4985" s="53"/>
      <c r="U4985" s="31" t="n">
        <f aca="false">IF($B4985&lt;&gt;'設定（最初に1回）'!$C$4,N(U4984),IF(COUNTIFS(①今日の在庫を貼る!$B$6:$B$10005,$B4985,①今日の在庫を貼る!$I$6:$I$10005,$I4985)&gt;0,N(U4984),N(U4984)+1))</f>
        <v>2</v>
      </c>
    </row>
    <row r="4986" customFormat="false" ht="15" hidden="false" customHeight="false" outlineLevel="0" collapsed="false">
      <c r="B4986" s="53"/>
      <c r="I4986" s="53"/>
      <c r="U4986" s="31" t="n">
        <f aca="false">IF($B4986&lt;&gt;'設定（最初に1回）'!$C$4,N(U4985),IF(COUNTIFS(①今日の在庫を貼る!$B$6:$B$10005,$B4986,①今日の在庫を貼る!$I$6:$I$10005,$I4986)&gt;0,N(U4985),N(U4985)+1))</f>
        <v>2</v>
      </c>
    </row>
    <row r="4987" customFormat="false" ht="15" hidden="false" customHeight="false" outlineLevel="0" collapsed="false">
      <c r="B4987" s="53"/>
      <c r="I4987" s="53"/>
      <c r="U4987" s="31" t="n">
        <f aca="false">IF($B4987&lt;&gt;'設定（最初に1回）'!$C$4,N(U4986),IF(COUNTIFS(①今日の在庫を貼る!$B$6:$B$10005,$B4987,①今日の在庫を貼る!$I$6:$I$10005,$I4987)&gt;0,N(U4986),N(U4986)+1))</f>
        <v>2</v>
      </c>
    </row>
    <row r="4988" customFormat="false" ht="15" hidden="false" customHeight="false" outlineLevel="0" collapsed="false">
      <c r="B4988" s="53"/>
      <c r="I4988" s="53"/>
      <c r="U4988" s="31" t="n">
        <f aca="false">IF($B4988&lt;&gt;'設定（最初に1回）'!$C$4,N(U4987),IF(COUNTIFS(①今日の在庫を貼る!$B$6:$B$10005,$B4988,①今日の在庫を貼る!$I$6:$I$10005,$I4988)&gt;0,N(U4987),N(U4987)+1))</f>
        <v>2</v>
      </c>
    </row>
    <row r="4989" customFormat="false" ht="15" hidden="false" customHeight="false" outlineLevel="0" collapsed="false">
      <c r="B4989" s="53"/>
      <c r="I4989" s="53"/>
      <c r="U4989" s="31" t="n">
        <f aca="false">IF($B4989&lt;&gt;'設定（最初に1回）'!$C$4,N(U4988),IF(COUNTIFS(①今日の在庫を貼る!$B$6:$B$10005,$B4989,①今日の在庫を貼る!$I$6:$I$10005,$I4989)&gt;0,N(U4988),N(U4988)+1))</f>
        <v>2</v>
      </c>
    </row>
    <row r="4990" customFormat="false" ht="15" hidden="false" customHeight="false" outlineLevel="0" collapsed="false">
      <c r="B4990" s="53"/>
      <c r="I4990" s="53"/>
      <c r="U4990" s="31" t="n">
        <f aca="false">IF($B4990&lt;&gt;'設定（最初に1回）'!$C$4,N(U4989),IF(COUNTIFS(①今日の在庫を貼る!$B$6:$B$10005,$B4990,①今日の在庫を貼る!$I$6:$I$10005,$I4990)&gt;0,N(U4989),N(U4989)+1))</f>
        <v>2</v>
      </c>
    </row>
    <row r="4991" customFormat="false" ht="15" hidden="false" customHeight="false" outlineLevel="0" collapsed="false">
      <c r="B4991" s="53"/>
      <c r="I4991" s="53"/>
      <c r="U4991" s="31" t="n">
        <f aca="false">IF($B4991&lt;&gt;'設定（最初に1回）'!$C$4,N(U4990),IF(COUNTIFS(①今日の在庫を貼る!$B$6:$B$10005,$B4991,①今日の在庫を貼る!$I$6:$I$10005,$I4991)&gt;0,N(U4990),N(U4990)+1))</f>
        <v>2</v>
      </c>
    </row>
    <row r="4992" customFormat="false" ht="15" hidden="false" customHeight="false" outlineLevel="0" collapsed="false">
      <c r="B4992" s="53"/>
      <c r="I4992" s="53"/>
      <c r="U4992" s="31" t="n">
        <f aca="false">IF($B4992&lt;&gt;'設定（最初に1回）'!$C$4,N(U4991),IF(COUNTIFS(①今日の在庫を貼る!$B$6:$B$10005,$B4992,①今日の在庫を貼る!$I$6:$I$10005,$I4992)&gt;0,N(U4991),N(U4991)+1))</f>
        <v>2</v>
      </c>
    </row>
    <row r="4993" customFormat="false" ht="15" hidden="false" customHeight="false" outlineLevel="0" collapsed="false">
      <c r="B4993" s="53"/>
      <c r="I4993" s="53"/>
      <c r="U4993" s="31" t="n">
        <f aca="false">IF($B4993&lt;&gt;'設定（最初に1回）'!$C$4,N(U4992),IF(COUNTIFS(①今日の在庫を貼る!$B$6:$B$10005,$B4993,①今日の在庫を貼る!$I$6:$I$10005,$I4993)&gt;0,N(U4992),N(U4992)+1))</f>
        <v>2</v>
      </c>
    </row>
    <row r="4994" customFormat="false" ht="15" hidden="false" customHeight="false" outlineLevel="0" collapsed="false">
      <c r="B4994" s="53"/>
      <c r="I4994" s="53"/>
      <c r="U4994" s="31" t="n">
        <f aca="false">IF($B4994&lt;&gt;'設定（最初に1回）'!$C$4,N(U4993),IF(COUNTIFS(①今日の在庫を貼る!$B$6:$B$10005,$B4994,①今日の在庫を貼る!$I$6:$I$10005,$I4994)&gt;0,N(U4993),N(U4993)+1))</f>
        <v>2</v>
      </c>
    </row>
    <row r="4995" customFormat="false" ht="15" hidden="false" customHeight="false" outlineLevel="0" collapsed="false">
      <c r="B4995" s="53"/>
      <c r="I4995" s="53"/>
      <c r="U4995" s="31" t="n">
        <f aca="false">IF($B4995&lt;&gt;'設定（最初に1回）'!$C$4,N(U4994),IF(COUNTIFS(①今日の在庫を貼る!$B$6:$B$10005,$B4995,①今日の在庫を貼る!$I$6:$I$10005,$I4995)&gt;0,N(U4994),N(U4994)+1))</f>
        <v>2</v>
      </c>
    </row>
    <row r="4996" customFormat="false" ht="15" hidden="false" customHeight="false" outlineLevel="0" collapsed="false">
      <c r="B4996" s="53"/>
      <c r="I4996" s="53"/>
      <c r="U4996" s="31" t="n">
        <f aca="false">IF($B4996&lt;&gt;'設定（最初に1回）'!$C$4,N(U4995),IF(COUNTIFS(①今日の在庫を貼る!$B$6:$B$10005,$B4996,①今日の在庫を貼る!$I$6:$I$10005,$I4996)&gt;0,N(U4995),N(U4995)+1))</f>
        <v>2</v>
      </c>
    </row>
    <row r="4997" customFormat="false" ht="15" hidden="false" customHeight="false" outlineLevel="0" collapsed="false">
      <c r="B4997" s="53"/>
      <c r="I4997" s="53"/>
      <c r="U4997" s="31" t="n">
        <f aca="false">IF($B4997&lt;&gt;'設定（最初に1回）'!$C$4,N(U4996),IF(COUNTIFS(①今日の在庫を貼る!$B$6:$B$10005,$B4997,①今日の在庫を貼る!$I$6:$I$10005,$I4997)&gt;0,N(U4996),N(U4996)+1))</f>
        <v>2</v>
      </c>
    </row>
    <row r="4998" customFormat="false" ht="15" hidden="false" customHeight="false" outlineLevel="0" collapsed="false">
      <c r="B4998" s="53"/>
      <c r="I4998" s="53"/>
      <c r="U4998" s="31" t="n">
        <f aca="false">IF($B4998&lt;&gt;'設定（最初に1回）'!$C$4,N(U4997),IF(COUNTIFS(①今日の在庫を貼る!$B$6:$B$10005,$B4998,①今日の在庫を貼る!$I$6:$I$10005,$I4998)&gt;0,N(U4997),N(U4997)+1))</f>
        <v>2</v>
      </c>
    </row>
    <row r="4999" customFormat="false" ht="15" hidden="false" customHeight="false" outlineLevel="0" collapsed="false">
      <c r="B4999" s="53"/>
      <c r="I4999" s="53"/>
      <c r="U4999" s="31" t="n">
        <f aca="false">IF($B4999&lt;&gt;'設定（最初に1回）'!$C$4,N(U4998),IF(COUNTIFS(①今日の在庫を貼る!$B$6:$B$10005,$B4999,①今日の在庫を貼る!$I$6:$I$10005,$I4999)&gt;0,N(U4998),N(U4998)+1))</f>
        <v>2</v>
      </c>
    </row>
    <row r="5000" customFormat="false" ht="15" hidden="false" customHeight="false" outlineLevel="0" collapsed="false">
      <c r="B5000" s="53"/>
      <c r="I5000" s="53"/>
      <c r="U5000" s="31" t="n">
        <f aca="false">IF($B5000&lt;&gt;'設定（最初に1回）'!$C$4,N(U4999),IF(COUNTIFS(①今日の在庫を貼る!$B$6:$B$10005,$B5000,①今日の在庫を貼る!$I$6:$I$10005,$I5000)&gt;0,N(U4999),N(U4999)+1))</f>
        <v>2</v>
      </c>
    </row>
    <row r="5001" customFormat="false" ht="15" hidden="false" customHeight="false" outlineLevel="0" collapsed="false">
      <c r="B5001" s="53"/>
      <c r="I5001" s="53"/>
      <c r="U5001" s="31" t="n">
        <f aca="false">IF($B5001&lt;&gt;'設定（最初に1回）'!$C$4,N(U5000),IF(COUNTIFS(①今日の在庫を貼る!$B$6:$B$10005,$B5001,①今日の在庫を貼る!$I$6:$I$10005,$I5001)&gt;0,N(U5000),N(U5000)+1))</f>
        <v>2</v>
      </c>
    </row>
    <row r="5002" customFormat="false" ht="15" hidden="false" customHeight="false" outlineLevel="0" collapsed="false">
      <c r="B5002" s="53"/>
      <c r="I5002" s="53"/>
      <c r="U5002" s="31" t="n">
        <f aca="false">IF($B5002&lt;&gt;'設定（最初に1回）'!$C$4,N(U5001),IF(COUNTIFS(①今日の在庫を貼る!$B$6:$B$10005,$B5002,①今日の在庫を貼る!$I$6:$I$10005,$I5002)&gt;0,N(U5001),N(U5001)+1))</f>
        <v>2</v>
      </c>
    </row>
    <row r="5003" customFormat="false" ht="15" hidden="false" customHeight="false" outlineLevel="0" collapsed="false">
      <c r="B5003" s="53"/>
      <c r="I5003" s="53"/>
      <c r="U5003" s="31" t="n">
        <f aca="false">IF($B5003&lt;&gt;'設定（最初に1回）'!$C$4,N(U5002),IF(COUNTIFS(①今日の在庫を貼る!$B$6:$B$10005,$B5003,①今日の在庫を貼る!$I$6:$I$10005,$I5003)&gt;0,N(U5002),N(U5002)+1))</f>
        <v>2</v>
      </c>
    </row>
    <row r="5004" customFormat="false" ht="15" hidden="false" customHeight="false" outlineLevel="0" collapsed="false">
      <c r="B5004" s="53"/>
      <c r="I5004" s="53"/>
      <c r="U5004" s="31" t="n">
        <f aca="false">IF($B5004&lt;&gt;'設定（最初に1回）'!$C$4,N(U5003),IF(COUNTIFS(①今日の在庫を貼る!$B$6:$B$10005,$B5004,①今日の在庫を貼る!$I$6:$I$10005,$I5004)&gt;0,N(U5003),N(U5003)+1))</f>
        <v>2</v>
      </c>
    </row>
    <row r="5005" customFormat="false" ht="15" hidden="false" customHeight="false" outlineLevel="0" collapsed="false">
      <c r="B5005" s="53"/>
      <c r="I5005" s="53"/>
      <c r="U5005" s="31" t="n">
        <f aca="false">IF($B5005&lt;&gt;'設定（最初に1回）'!$C$4,N(U5004),IF(COUNTIFS(①今日の在庫を貼る!$B$6:$B$10005,$B5005,①今日の在庫を貼る!$I$6:$I$10005,$I5005)&gt;0,N(U5004),N(U5004)+1))</f>
        <v>2</v>
      </c>
    </row>
    <row r="5006" customFormat="false" ht="15" hidden="false" customHeight="false" outlineLevel="0" collapsed="false">
      <c r="B5006" s="53"/>
      <c r="I5006" s="53"/>
      <c r="U5006" s="31" t="n">
        <f aca="false">IF($B5006&lt;&gt;'設定（最初に1回）'!$C$4,N(U5005),IF(COUNTIFS(①今日の在庫を貼る!$B$6:$B$10005,$B5006,①今日の在庫を貼る!$I$6:$I$10005,$I5006)&gt;0,N(U5005),N(U5005)+1))</f>
        <v>2</v>
      </c>
    </row>
    <row r="5007" customFormat="false" ht="15" hidden="false" customHeight="false" outlineLevel="0" collapsed="false">
      <c r="B5007" s="53"/>
      <c r="I5007" s="53"/>
      <c r="U5007" s="31" t="n">
        <f aca="false">IF($B5007&lt;&gt;'設定（最初に1回）'!$C$4,N(U5006),IF(COUNTIFS(①今日の在庫を貼る!$B$6:$B$10005,$B5007,①今日の在庫を貼る!$I$6:$I$10005,$I5007)&gt;0,N(U5006),N(U5006)+1))</f>
        <v>2</v>
      </c>
    </row>
    <row r="5008" customFormat="false" ht="15" hidden="false" customHeight="false" outlineLevel="0" collapsed="false">
      <c r="B5008" s="53"/>
      <c r="I5008" s="53"/>
      <c r="U5008" s="31" t="n">
        <f aca="false">IF($B5008&lt;&gt;'設定（最初に1回）'!$C$4,N(U5007),IF(COUNTIFS(①今日の在庫を貼る!$B$6:$B$10005,$B5008,①今日の在庫を貼る!$I$6:$I$10005,$I5008)&gt;0,N(U5007),N(U5007)+1))</f>
        <v>2</v>
      </c>
    </row>
    <row r="5009" customFormat="false" ht="15" hidden="false" customHeight="false" outlineLevel="0" collapsed="false">
      <c r="B5009" s="53"/>
      <c r="I5009" s="53"/>
      <c r="U5009" s="31" t="n">
        <f aca="false">IF($B5009&lt;&gt;'設定（最初に1回）'!$C$4,N(U5008),IF(COUNTIFS(①今日の在庫を貼る!$B$6:$B$10005,$B5009,①今日の在庫を貼る!$I$6:$I$10005,$I5009)&gt;0,N(U5008),N(U5008)+1))</f>
        <v>2</v>
      </c>
    </row>
    <row r="5010" customFormat="false" ht="15" hidden="false" customHeight="false" outlineLevel="0" collapsed="false">
      <c r="B5010" s="53"/>
      <c r="I5010" s="53"/>
      <c r="U5010" s="31" t="n">
        <f aca="false">IF($B5010&lt;&gt;'設定（最初に1回）'!$C$4,N(U5009),IF(COUNTIFS(①今日の在庫を貼る!$B$6:$B$10005,$B5010,①今日の在庫を貼る!$I$6:$I$10005,$I5010)&gt;0,N(U5009),N(U5009)+1))</f>
        <v>2</v>
      </c>
    </row>
    <row r="5011" customFormat="false" ht="15" hidden="false" customHeight="false" outlineLevel="0" collapsed="false">
      <c r="B5011" s="53"/>
      <c r="I5011" s="53"/>
      <c r="U5011" s="31" t="n">
        <f aca="false">IF($B5011&lt;&gt;'設定（最初に1回）'!$C$4,N(U5010),IF(COUNTIFS(①今日の在庫を貼る!$B$6:$B$10005,$B5011,①今日の在庫を貼る!$I$6:$I$10005,$I5011)&gt;0,N(U5010),N(U5010)+1))</f>
        <v>2</v>
      </c>
    </row>
    <row r="5012" customFormat="false" ht="15" hidden="false" customHeight="false" outlineLevel="0" collapsed="false">
      <c r="B5012" s="53"/>
      <c r="I5012" s="53"/>
      <c r="U5012" s="31" t="n">
        <f aca="false">IF($B5012&lt;&gt;'設定（最初に1回）'!$C$4,N(U5011),IF(COUNTIFS(①今日の在庫を貼る!$B$6:$B$10005,$B5012,①今日の在庫を貼る!$I$6:$I$10005,$I5012)&gt;0,N(U5011),N(U5011)+1))</f>
        <v>2</v>
      </c>
    </row>
    <row r="5013" customFormat="false" ht="15" hidden="false" customHeight="false" outlineLevel="0" collapsed="false">
      <c r="B5013" s="53"/>
      <c r="I5013" s="53"/>
      <c r="U5013" s="31" t="n">
        <f aca="false">IF($B5013&lt;&gt;'設定（最初に1回）'!$C$4,N(U5012),IF(COUNTIFS(①今日の在庫を貼る!$B$6:$B$10005,$B5013,①今日の在庫を貼る!$I$6:$I$10005,$I5013)&gt;0,N(U5012),N(U5012)+1))</f>
        <v>2</v>
      </c>
    </row>
    <row r="5014" customFormat="false" ht="15" hidden="false" customHeight="false" outlineLevel="0" collapsed="false">
      <c r="B5014" s="53"/>
      <c r="I5014" s="53"/>
      <c r="U5014" s="31" t="n">
        <f aca="false">IF($B5014&lt;&gt;'設定（最初に1回）'!$C$4,N(U5013),IF(COUNTIFS(①今日の在庫を貼る!$B$6:$B$10005,$B5014,①今日の在庫を貼る!$I$6:$I$10005,$I5014)&gt;0,N(U5013),N(U5013)+1))</f>
        <v>2</v>
      </c>
    </row>
    <row r="5015" customFormat="false" ht="15" hidden="false" customHeight="false" outlineLevel="0" collapsed="false">
      <c r="B5015" s="53"/>
      <c r="I5015" s="53"/>
      <c r="U5015" s="31" t="n">
        <f aca="false">IF($B5015&lt;&gt;'設定（最初に1回）'!$C$4,N(U5014),IF(COUNTIFS(①今日の在庫を貼る!$B$6:$B$10005,$B5015,①今日の在庫を貼る!$I$6:$I$10005,$I5015)&gt;0,N(U5014),N(U5014)+1))</f>
        <v>2</v>
      </c>
    </row>
    <row r="5016" customFormat="false" ht="15" hidden="false" customHeight="false" outlineLevel="0" collapsed="false">
      <c r="B5016" s="53"/>
      <c r="I5016" s="53"/>
      <c r="U5016" s="31" t="n">
        <f aca="false">IF($B5016&lt;&gt;'設定（最初に1回）'!$C$4,N(U5015),IF(COUNTIFS(①今日の在庫を貼る!$B$6:$B$10005,$B5016,①今日の在庫を貼る!$I$6:$I$10005,$I5016)&gt;0,N(U5015),N(U5015)+1))</f>
        <v>2</v>
      </c>
    </row>
    <row r="5017" customFormat="false" ht="15" hidden="false" customHeight="false" outlineLevel="0" collapsed="false">
      <c r="B5017" s="53"/>
      <c r="I5017" s="53"/>
      <c r="U5017" s="31" t="n">
        <f aca="false">IF($B5017&lt;&gt;'設定（最初に1回）'!$C$4,N(U5016),IF(COUNTIFS(①今日の在庫を貼る!$B$6:$B$10005,$B5017,①今日の在庫を貼る!$I$6:$I$10005,$I5017)&gt;0,N(U5016),N(U5016)+1))</f>
        <v>2</v>
      </c>
    </row>
    <row r="5018" customFormat="false" ht="15" hidden="false" customHeight="false" outlineLevel="0" collapsed="false">
      <c r="B5018" s="53"/>
      <c r="I5018" s="53"/>
      <c r="U5018" s="31" t="n">
        <f aca="false">IF($B5018&lt;&gt;'設定（最初に1回）'!$C$4,N(U5017),IF(COUNTIFS(①今日の在庫を貼る!$B$6:$B$10005,$B5018,①今日の在庫を貼る!$I$6:$I$10005,$I5018)&gt;0,N(U5017),N(U5017)+1))</f>
        <v>2</v>
      </c>
    </row>
    <row r="5019" customFormat="false" ht="15" hidden="false" customHeight="false" outlineLevel="0" collapsed="false">
      <c r="B5019" s="53"/>
      <c r="I5019" s="53"/>
      <c r="U5019" s="31" t="n">
        <f aca="false">IF($B5019&lt;&gt;'設定（最初に1回）'!$C$4,N(U5018),IF(COUNTIFS(①今日の在庫を貼る!$B$6:$B$10005,$B5019,①今日の在庫を貼る!$I$6:$I$10005,$I5019)&gt;0,N(U5018),N(U5018)+1))</f>
        <v>2</v>
      </c>
    </row>
    <row r="5020" customFormat="false" ht="15" hidden="false" customHeight="false" outlineLevel="0" collapsed="false">
      <c r="B5020" s="53"/>
      <c r="I5020" s="53"/>
      <c r="U5020" s="31" t="n">
        <f aca="false">IF($B5020&lt;&gt;'設定（最初に1回）'!$C$4,N(U5019),IF(COUNTIFS(①今日の在庫を貼る!$B$6:$B$10005,$B5020,①今日の在庫を貼る!$I$6:$I$10005,$I5020)&gt;0,N(U5019),N(U5019)+1))</f>
        <v>2</v>
      </c>
    </row>
    <row r="5021" customFormat="false" ht="15" hidden="false" customHeight="false" outlineLevel="0" collapsed="false">
      <c r="B5021" s="53"/>
      <c r="I5021" s="53"/>
      <c r="U5021" s="31" t="n">
        <f aca="false">IF($B5021&lt;&gt;'設定（最初に1回）'!$C$4,N(U5020),IF(COUNTIFS(①今日の在庫を貼る!$B$6:$B$10005,$B5021,①今日の在庫を貼る!$I$6:$I$10005,$I5021)&gt;0,N(U5020),N(U5020)+1))</f>
        <v>2</v>
      </c>
    </row>
    <row r="5022" customFormat="false" ht="15" hidden="false" customHeight="false" outlineLevel="0" collapsed="false">
      <c r="B5022" s="53"/>
      <c r="I5022" s="53"/>
      <c r="U5022" s="31" t="n">
        <f aca="false">IF($B5022&lt;&gt;'設定（最初に1回）'!$C$4,N(U5021),IF(COUNTIFS(①今日の在庫を貼る!$B$6:$B$10005,$B5022,①今日の在庫を貼る!$I$6:$I$10005,$I5022)&gt;0,N(U5021),N(U5021)+1))</f>
        <v>2</v>
      </c>
    </row>
    <row r="5023" customFormat="false" ht="15" hidden="false" customHeight="false" outlineLevel="0" collapsed="false">
      <c r="B5023" s="53"/>
      <c r="I5023" s="53"/>
      <c r="U5023" s="31" t="n">
        <f aca="false">IF($B5023&lt;&gt;'設定（最初に1回）'!$C$4,N(U5022),IF(COUNTIFS(①今日の在庫を貼る!$B$6:$B$10005,$B5023,①今日の在庫を貼る!$I$6:$I$10005,$I5023)&gt;0,N(U5022),N(U5022)+1))</f>
        <v>2</v>
      </c>
    </row>
    <row r="5024" customFormat="false" ht="15" hidden="false" customHeight="false" outlineLevel="0" collapsed="false">
      <c r="B5024" s="53"/>
      <c r="I5024" s="53"/>
      <c r="U5024" s="31" t="n">
        <f aca="false">IF($B5024&lt;&gt;'設定（最初に1回）'!$C$4,N(U5023),IF(COUNTIFS(①今日の在庫を貼る!$B$6:$B$10005,$B5024,①今日の在庫を貼る!$I$6:$I$10005,$I5024)&gt;0,N(U5023),N(U5023)+1))</f>
        <v>2</v>
      </c>
    </row>
    <row r="5025" customFormat="false" ht="15" hidden="false" customHeight="false" outlineLevel="0" collapsed="false">
      <c r="B5025" s="53"/>
      <c r="I5025" s="53"/>
      <c r="U5025" s="31" t="n">
        <f aca="false">IF($B5025&lt;&gt;'設定（最初に1回）'!$C$4,N(U5024),IF(COUNTIFS(①今日の在庫を貼る!$B$6:$B$10005,$B5025,①今日の在庫を貼る!$I$6:$I$10005,$I5025)&gt;0,N(U5024),N(U5024)+1))</f>
        <v>2</v>
      </c>
    </row>
    <row r="5026" customFormat="false" ht="15" hidden="false" customHeight="false" outlineLevel="0" collapsed="false">
      <c r="B5026" s="53"/>
      <c r="I5026" s="53"/>
      <c r="U5026" s="31" t="n">
        <f aca="false">IF($B5026&lt;&gt;'設定（最初に1回）'!$C$4,N(U5025),IF(COUNTIFS(①今日の在庫を貼る!$B$6:$B$10005,$B5026,①今日の在庫を貼る!$I$6:$I$10005,$I5026)&gt;0,N(U5025),N(U5025)+1))</f>
        <v>2</v>
      </c>
    </row>
    <row r="5027" customFormat="false" ht="15" hidden="false" customHeight="false" outlineLevel="0" collapsed="false">
      <c r="B5027" s="53"/>
      <c r="I5027" s="53"/>
      <c r="U5027" s="31" t="n">
        <f aca="false">IF($B5027&lt;&gt;'設定（最初に1回）'!$C$4,N(U5026),IF(COUNTIFS(①今日の在庫を貼る!$B$6:$B$10005,$B5027,①今日の在庫を貼る!$I$6:$I$10005,$I5027)&gt;0,N(U5026),N(U5026)+1))</f>
        <v>2</v>
      </c>
    </row>
    <row r="5028" customFormat="false" ht="15" hidden="false" customHeight="false" outlineLevel="0" collapsed="false">
      <c r="B5028" s="53"/>
      <c r="I5028" s="53"/>
      <c r="U5028" s="31" t="n">
        <f aca="false">IF($B5028&lt;&gt;'設定（最初に1回）'!$C$4,N(U5027),IF(COUNTIFS(①今日の在庫を貼る!$B$6:$B$10005,$B5028,①今日の在庫を貼る!$I$6:$I$10005,$I5028)&gt;0,N(U5027),N(U5027)+1))</f>
        <v>2</v>
      </c>
    </row>
    <row r="5029" customFormat="false" ht="15" hidden="false" customHeight="false" outlineLevel="0" collapsed="false">
      <c r="B5029" s="53"/>
      <c r="I5029" s="53"/>
      <c r="U5029" s="31" t="n">
        <f aca="false">IF($B5029&lt;&gt;'設定（最初に1回）'!$C$4,N(U5028),IF(COUNTIFS(①今日の在庫を貼る!$B$6:$B$10005,$B5029,①今日の在庫を貼る!$I$6:$I$10005,$I5029)&gt;0,N(U5028),N(U5028)+1))</f>
        <v>2</v>
      </c>
    </row>
    <row r="5030" customFormat="false" ht="15" hidden="false" customHeight="false" outlineLevel="0" collapsed="false">
      <c r="B5030" s="53"/>
      <c r="I5030" s="53"/>
      <c r="U5030" s="31" t="n">
        <f aca="false">IF($B5030&lt;&gt;'設定（最初に1回）'!$C$4,N(U5029),IF(COUNTIFS(①今日の在庫を貼る!$B$6:$B$10005,$B5030,①今日の在庫を貼る!$I$6:$I$10005,$I5030)&gt;0,N(U5029),N(U5029)+1))</f>
        <v>2</v>
      </c>
    </row>
    <row r="5031" customFormat="false" ht="15" hidden="false" customHeight="false" outlineLevel="0" collapsed="false">
      <c r="B5031" s="53"/>
      <c r="I5031" s="53"/>
      <c r="U5031" s="31" t="n">
        <f aca="false">IF($B5031&lt;&gt;'設定（最初に1回）'!$C$4,N(U5030),IF(COUNTIFS(①今日の在庫を貼る!$B$6:$B$10005,$B5031,①今日の在庫を貼る!$I$6:$I$10005,$I5031)&gt;0,N(U5030),N(U5030)+1))</f>
        <v>2</v>
      </c>
    </row>
    <row r="5032" customFormat="false" ht="15" hidden="false" customHeight="false" outlineLevel="0" collapsed="false">
      <c r="B5032" s="53"/>
      <c r="I5032" s="53"/>
      <c r="U5032" s="31" t="n">
        <f aca="false">IF($B5032&lt;&gt;'設定（最初に1回）'!$C$4,N(U5031),IF(COUNTIFS(①今日の在庫を貼る!$B$6:$B$10005,$B5032,①今日の在庫を貼る!$I$6:$I$10005,$I5032)&gt;0,N(U5031),N(U5031)+1))</f>
        <v>2</v>
      </c>
    </row>
    <row r="5033" customFormat="false" ht="15" hidden="false" customHeight="false" outlineLevel="0" collapsed="false">
      <c r="B5033" s="53"/>
      <c r="I5033" s="53"/>
      <c r="U5033" s="31" t="n">
        <f aca="false">IF($B5033&lt;&gt;'設定（最初に1回）'!$C$4,N(U5032),IF(COUNTIFS(①今日の在庫を貼る!$B$6:$B$10005,$B5033,①今日の在庫を貼る!$I$6:$I$10005,$I5033)&gt;0,N(U5032),N(U5032)+1))</f>
        <v>2</v>
      </c>
    </row>
    <row r="5034" customFormat="false" ht="15" hidden="false" customHeight="false" outlineLevel="0" collapsed="false">
      <c r="B5034" s="53"/>
      <c r="I5034" s="53"/>
      <c r="U5034" s="31" t="n">
        <f aca="false">IF($B5034&lt;&gt;'設定（最初に1回）'!$C$4,N(U5033),IF(COUNTIFS(①今日の在庫を貼る!$B$6:$B$10005,$B5034,①今日の在庫を貼る!$I$6:$I$10005,$I5034)&gt;0,N(U5033),N(U5033)+1))</f>
        <v>2</v>
      </c>
    </row>
    <row r="5035" customFormat="false" ht="15" hidden="false" customHeight="false" outlineLevel="0" collapsed="false">
      <c r="B5035" s="53"/>
      <c r="I5035" s="53"/>
      <c r="U5035" s="31" t="n">
        <f aca="false">IF($B5035&lt;&gt;'設定（最初に1回）'!$C$4,N(U5034),IF(COUNTIFS(①今日の在庫を貼る!$B$6:$B$10005,$B5035,①今日の在庫を貼る!$I$6:$I$10005,$I5035)&gt;0,N(U5034),N(U5034)+1))</f>
        <v>2</v>
      </c>
    </row>
    <row r="5036" customFormat="false" ht="15" hidden="false" customHeight="false" outlineLevel="0" collapsed="false">
      <c r="B5036" s="53"/>
      <c r="I5036" s="53"/>
      <c r="U5036" s="31" t="n">
        <f aca="false">IF($B5036&lt;&gt;'設定（最初に1回）'!$C$4,N(U5035),IF(COUNTIFS(①今日の在庫を貼る!$B$6:$B$10005,$B5036,①今日の在庫を貼る!$I$6:$I$10005,$I5036)&gt;0,N(U5035),N(U5035)+1))</f>
        <v>2</v>
      </c>
    </row>
    <row r="5037" customFormat="false" ht="15" hidden="false" customHeight="false" outlineLevel="0" collapsed="false">
      <c r="B5037" s="53"/>
      <c r="I5037" s="53"/>
      <c r="U5037" s="31" t="n">
        <f aca="false">IF($B5037&lt;&gt;'設定（最初に1回）'!$C$4,N(U5036),IF(COUNTIFS(①今日の在庫を貼る!$B$6:$B$10005,$B5037,①今日の在庫を貼る!$I$6:$I$10005,$I5037)&gt;0,N(U5036),N(U5036)+1))</f>
        <v>2</v>
      </c>
    </row>
    <row r="5038" customFormat="false" ht="15" hidden="false" customHeight="false" outlineLevel="0" collapsed="false">
      <c r="B5038" s="53"/>
      <c r="I5038" s="53"/>
      <c r="U5038" s="31" t="n">
        <f aca="false">IF($B5038&lt;&gt;'設定（最初に1回）'!$C$4,N(U5037),IF(COUNTIFS(①今日の在庫を貼る!$B$6:$B$10005,$B5038,①今日の在庫を貼る!$I$6:$I$10005,$I5038)&gt;0,N(U5037),N(U5037)+1))</f>
        <v>2</v>
      </c>
    </row>
    <row r="5039" customFormat="false" ht="15" hidden="false" customHeight="false" outlineLevel="0" collapsed="false">
      <c r="B5039" s="53"/>
      <c r="I5039" s="53"/>
      <c r="U5039" s="31" t="n">
        <f aca="false">IF($B5039&lt;&gt;'設定（最初に1回）'!$C$4,N(U5038),IF(COUNTIFS(①今日の在庫を貼る!$B$6:$B$10005,$B5039,①今日の在庫を貼る!$I$6:$I$10005,$I5039)&gt;0,N(U5038),N(U5038)+1))</f>
        <v>2</v>
      </c>
    </row>
    <row r="5040" customFormat="false" ht="15" hidden="false" customHeight="false" outlineLevel="0" collapsed="false">
      <c r="B5040" s="53"/>
      <c r="I5040" s="53"/>
      <c r="U5040" s="31" t="n">
        <f aca="false">IF($B5040&lt;&gt;'設定（最初に1回）'!$C$4,N(U5039),IF(COUNTIFS(①今日の在庫を貼る!$B$6:$B$10005,$B5040,①今日の在庫を貼る!$I$6:$I$10005,$I5040)&gt;0,N(U5039),N(U5039)+1))</f>
        <v>2</v>
      </c>
    </row>
    <row r="5041" customFormat="false" ht="15" hidden="false" customHeight="false" outlineLevel="0" collapsed="false">
      <c r="B5041" s="53"/>
      <c r="I5041" s="53"/>
      <c r="U5041" s="31" t="n">
        <f aca="false">IF($B5041&lt;&gt;'設定（最初に1回）'!$C$4,N(U5040),IF(COUNTIFS(①今日の在庫を貼る!$B$6:$B$10005,$B5041,①今日の在庫を貼る!$I$6:$I$10005,$I5041)&gt;0,N(U5040),N(U5040)+1))</f>
        <v>2</v>
      </c>
    </row>
    <row r="5042" customFormat="false" ht="15" hidden="false" customHeight="false" outlineLevel="0" collapsed="false">
      <c r="B5042" s="53"/>
      <c r="I5042" s="53"/>
      <c r="U5042" s="31" t="n">
        <f aca="false">IF($B5042&lt;&gt;'設定（最初に1回）'!$C$4,N(U5041),IF(COUNTIFS(①今日の在庫を貼る!$B$6:$B$10005,$B5042,①今日の在庫を貼る!$I$6:$I$10005,$I5042)&gt;0,N(U5041),N(U5041)+1))</f>
        <v>2</v>
      </c>
    </row>
    <row r="5043" customFormat="false" ht="15" hidden="false" customHeight="false" outlineLevel="0" collapsed="false">
      <c r="B5043" s="53"/>
      <c r="I5043" s="53"/>
      <c r="U5043" s="31" t="n">
        <f aca="false">IF($B5043&lt;&gt;'設定（最初に1回）'!$C$4,N(U5042),IF(COUNTIFS(①今日の在庫を貼る!$B$6:$B$10005,$B5043,①今日の在庫を貼る!$I$6:$I$10005,$I5043)&gt;0,N(U5042),N(U5042)+1))</f>
        <v>2</v>
      </c>
    </row>
    <row r="5044" customFormat="false" ht="15" hidden="false" customHeight="false" outlineLevel="0" collapsed="false">
      <c r="B5044" s="53"/>
      <c r="I5044" s="53"/>
      <c r="U5044" s="31" t="n">
        <f aca="false">IF($B5044&lt;&gt;'設定（最初に1回）'!$C$4,N(U5043),IF(COUNTIFS(①今日の在庫を貼る!$B$6:$B$10005,$B5044,①今日の在庫を貼る!$I$6:$I$10005,$I5044)&gt;0,N(U5043),N(U5043)+1))</f>
        <v>2</v>
      </c>
    </row>
    <row r="5045" customFormat="false" ht="15" hidden="false" customHeight="false" outlineLevel="0" collapsed="false">
      <c r="B5045" s="53"/>
      <c r="I5045" s="53"/>
      <c r="U5045" s="31" t="n">
        <f aca="false">IF($B5045&lt;&gt;'設定（最初に1回）'!$C$4,N(U5044),IF(COUNTIFS(①今日の在庫を貼る!$B$6:$B$10005,$B5045,①今日の在庫を貼る!$I$6:$I$10005,$I5045)&gt;0,N(U5044),N(U5044)+1))</f>
        <v>2</v>
      </c>
    </row>
    <row r="5046" customFormat="false" ht="15" hidden="false" customHeight="false" outlineLevel="0" collapsed="false">
      <c r="B5046" s="53"/>
      <c r="I5046" s="53"/>
      <c r="U5046" s="31" t="n">
        <f aca="false">IF($B5046&lt;&gt;'設定（最初に1回）'!$C$4,N(U5045),IF(COUNTIFS(①今日の在庫を貼る!$B$6:$B$10005,$B5046,①今日の在庫を貼る!$I$6:$I$10005,$I5046)&gt;0,N(U5045),N(U5045)+1))</f>
        <v>2</v>
      </c>
    </row>
    <row r="5047" customFormat="false" ht="15" hidden="false" customHeight="false" outlineLevel="0" collapsed="false">
      <c r="B5047" s="53"/>
      <c r="I5047" s="53"/>
      <c r="U5047" s="31" t="n">
        <f aca="false">IF($B5047&lt;&gt;'設定（最初に1回）'!$C$4,N(U5046),IF(COUNTIFS(①今日の在庫を貼る!$B$6:$B$10005,$B5047,①今日の在庫を貼る!$I$6:$I$10005,$I5047)&gt;0,N(U5046),N(U5046)+1))</f>
        <v>2</v>
      </c>
    </row>
    <row r="5048" customFormat="false" ht="15" hidden="false" customHeight="false" outlineLevel="0" collapsed="false">
      <c r="B5048" s="53"/>
      <c r="I5048" s="53"/>
      <c r="U5048" s="31" t="n">
        <f aca="false">IF($B5048&lt;&gt;'設定（最初に1回）'!$C$4,N(U5047),IF(COUNTIFS(①今日の在庫を貼る!$B$6:$B$10005,$B5048,①今日の在庫を貼る!$I$6:$I$10005,$I5048)&gt;0,N(U5047),N(U5047)+1))</f>
        <v>2</v>
      </c>
    </row>
    <row r="5049" customFormat="false" ht="15" hidden="false" customHeight="false" outlineLevel="0" collapsed="false">
      <c r="B5049" s="53"/>
      <c r="I5049" s="53"/>
      <c r="U5049" s="31" t="n">
        <f aca="false">IF($B5049&lt;&gt;'設定（最初に1回）'!$C$4,N(U5048),IF(COUNTIFS(①今日の在庫を貼る!$B$6:$B$10005,$B5049,①今日の在庫を貼る!$I$6:$I$10005,$I5049)&gt;0,N(U5048),N(U5048)+1))</f>
        <v>2</v>
      </c>
    </row>
    <row r="5050" customFormat="false" ht="15" hidden="false" customHeight="false" outlineLevel="0" collapsed="false">
      <c r="B5050" s="53"/>
      <c r="I5050" s="53"/>
      <c r="U5050" s="31" t="n">
        <f aca="false">IF($B5050&lt;&gt;'設定（最初に1回）'!$C$4,N(U5049),IF(COUNTIFS(①今日の在庫を貼る!$B$6:$B$10005,$B5050,①今日の在庫を貼る!$I$6:$I$10005,$I5050)&gt;0,N(U5049),N(U5049)+1))</f>
        <v>2</v>
      </c>
    </row>
    <row r="5051" customFormat="false" ht="15" hidden="false" customHeight="false" outlineLevel="0" collapsed="false">
      <c r="B5051" s="53"/>
      <c r="I5051" s="53"/>
      <c r="U5051" s="31" t="n">
        <f aca="false">IF($B5051&lt;&gt;'設定（最初に1回）'!$C$4,N(U5050),IF(COUNTIFS(①今日の在庫を貼る!$B$6:$B$10005,$B5051,①今日の在庫を貼る!$I$6:$I$10005,$I5051)&gt;0,N(U5050),N(U5050)+1))</f>
        <v>2</v>
      </c>
    </row>
    <row r="5052" customFormat="false" ht="15" hidden="false" customHeight="false" outlineLevel="0" collapsed="false">
      <c r="B5052" s="53"/>
      <c r="I5052" s="53"/>
      <c r="U5052" s="31" t="n">
        <f aca="false">IF($B5052&lt;&gt;'設定（最初に1回）'!$C$4,N(U5051),IF(COUNTIFS(①今日の在庫を貼る!$B$6:$B$10005,$B5052,①今日の在庫を貼る!$I$6:$I$10005,$I5052)&gt;0,N(U5051),N(U5051)+1))</f>
        <v>2</v>
      </c>
    </row>
    <row r="5053" customFormat="false" ht="15" hidden="false" customHeight="false" outlineLevel="0" collapsed="false">
      <c r="B5053" s="53"/>
      <c r="I5053" s="53"/>
      <c r="U5053" s="31" t="n">
        <f aca="false">IF($B5053&lt;&gt;'設定（最初に1回）'!$C$4,N(U5052),IF(COUNTIFS(①今日の在庫を貼る!$B$6:$B$10005,$B5053,①今日の在庫を貼る!$I$6:$I$10005,$I5053)&gt;0,N(U5052),N(U5052)+1))</f>
        <v>2</v>
      </c>
    </row>
    <row r="5054" customFormat="false" ht="15" hidden="false" customHeight="false" outlineLevel="0" collapsed="false">
      <c r="B5054" s="53"/>
      <c r="I5054" s="53"/>
      <c r="U5054" s="31" t="n">
        <f aca="false">IF($B5054&lt;&gt;'設定（最初に1回）'!$C$4,N(U5053),IF(COUNTIFS(①今日の在庫を貼る!$B$6:$B$10005,$B5054,①今日の在庫を貼る!$I$6:$I$10005,$I5054)&gt;0,N(U5053),N(U5053)+1))</f>
        <v>2</v>
      </c>
    </row>
    <row r="5055" customFormat="false" ht="15" hidden="false" customHeight="false" outlineLevel="0" collapsed="false">
      <c r="B5055" s="53"/>
      <c r="I5055" s="53"/>
      <c r="U5055" s="31" t="n">
        <f aca="false">IF($B5055&lt;&gt;'設定（最初に1回）'!$C$4,N(U5054),IF(COUNTIFS(①今日の在庫を貼る!$B$6:$B$10005,$B5055,①今日の在庫を貼る!$I$6:$I$10005,$I5055)&gt;0,N(U5054),N(U5054)+1))</f>
        <v>2</v>
      </c>
    </row>
    <row r="5056" customFormat="false" ht="15" hidden="false" customHeight="false" outlineLevel="0" collapsed="false">
      <c r="B5056" s="53"/>
      <c r="I5056" s="53"/>
      <c r="U5056" s="31" t="n">
        <f aca="false">IF($B5056&lt;&gt;'設定（最初に1回）'!$C$4,N(U5055),IF(COUNTIFS(①今日の在庫を貼る!$B$6:$B$10005,$B5056,①今日の在庫を貼る!$I$6:$I$10005,$I5056)&gt;0,N(U5055),N(U5055)+1))</f>
        <v>2</v>
      </c>
    </row>
    <row r="5057" customFormat="false" ht="15" hidden="false" customHeight="false" outlineLevel="0" collapsed="false">
      <c r="B5057" s="53"/>
      <c r="I5057" s="53"/>
      <c r="U5057" s="31" t="n">
        <f aca="false">IF($B5057&lt;&gt;'設定（最初に1回）'!$C$4,N(U5056),IF(COUNTIFS(①今日の在庫を貼る!$B$6:$B$10005,$B5057,①今日の在庫を貼る!$I$6:$I$10005,$I5057)&gt;0,N(U5056),N(U5056)+1))</f>
        <v>2</v>
      </c>
    </row>
    <row r="5058" customFormat="false" ht="15" hidden="false" customHeight="false" outlineLevel="0" collapsed="false">
      <c r="B5058" s="53"/>
      <c r="I5058" s="53"/>
      <c r="U5058" s="31" t="n">
        <f aca="false">IF($B5058&lt;&gt;'設定（最初に1回）'!$C$4,N(U5057),IF(COUNTIFS(①今日の在庫を貼る!$B$6:$B$10005,$B5058,①今日の在庫を貼る!$I$6:$I$10005,$I5058)&gt;0,N(U5057),N(U5057)+1))</f>
        <v>2</v>
      </c>
    </row>
    <row r="5059" customFormat="false" ht="15" hidden="false" customHeight="false" outlineLevel="0" collapsed="false">
      <c r="B5059" s="53"/>
      <c r="I5059" s="53"/>
      <c r="U5059" s="31" t="n">
        <f aca="false">IF($B5059&lt;&gt;'設定（最初に1回）'!$C$4,N(U5058),IF(COUNTIFS(①今日の在庫を貼る!$B$6:$B$10005,$B5059,①今日の在庫を貼る!$I$6:$I$10005,$I5059)&gt;0,N(U5058),N(U5058)+1))</f>
        <v>2</v>
      </c>
    </row>
    <row r="5060" customFormat="false" ht="15" hidden="false" customHeight="false" outlineLevel="0" collapsed="false">
      <c r="B5060" s="53"/>
      <c r="I5060" s="53"/>
      <c r="U5060" s="31" t="n">
        <f aca="false">IF($B5060&lt;&gt;'設定（最初に1回）'!$C$4,N(U5059),IF(COUNTIFS(①今日の在庫を貼る!$B$6:$B$10005,$B5060,①今日の在庫を貼る!$I$6:$I$10005,$I5060)&gt;0,N(U5059),N(U5059)+1))</f>
        <v>2</v>
      </c>
    </row>
    <row r="5061" customFormat="false" ht="15" hidden="false" customHeight="false" outlineLevel="0" collapsed="false">
      <c r="B5061" s="53"/>
      <c r="I5061" s="53"/>
      <c r="U5061" s="31" t="n">
        <f aca="false">IF($B5061&lt;&gt;'設定（最初に1回）'!$C$4,N(U5060),IF(COUNTIFS(①今日の在庫を貼る!$B$6:$B$10005,$B5061,①今日の在庫を貼る!$I$6:$I$10005,$I5061)&gt;0,N(U5060),N(U5060)+1))</f>
        <v>2</v>
      </c>
    </row>
    <row r="5062" customFormat="false" ht="15" hidden="false" customHeight="false" outlineLevel="0" collapsed="false">
      <c r="B5062" s="53"/>
      <c r="I5062" s="53"/>
      <c r="U5062" s="31" t="n">
        <f aca="false">IF($B5062&lt;&gt;'設定（最初に1回）'!$C$4,N(U5061),IF(COUNTIFS(①今日の在庫を貼る!$B$6:$B$10005,$B5062,①今日の在庫を貼る!$I$6:$I$10005,$I5062)&gt;0,N(U5061),N(U5061)+1))</f>
        <v>2</v>
      </c>
    </row>
    <row r="5063" customFormat="false" ht="15" hidden="false" customHeight="false" outlineLevel="0" collapsed="false">
      <c r="B5063" s="53"/>
      <c r="I5063" s="53"/>
      <c r="U5063" s="31" t="n">
        <f aca="false">IF($B5063&lt;&gt;'設定（最初に1回）'!$C$4,N(U5062),IF(COUNTIFS(①今日の在庫を貼る!$B$6:$B$10005,$B5063,①今日の在庫を貼る!$I$6:$I$10005,$I5063)&gt;0,N(U5062),N(U5062)+1))</f>
        <v>2</v>
      </c>
    </row>
    <row r="5064" customFormat="false" ht="15" hidden="false" customHeight="false" outlineLevel="0" collapsed="false">
      <c r="B5064" s="53"/>
      <c r="I5064" s="53"/>
      <c r="U5064" s="31" t="n">
        <f aca="false">IF($B5064&lt;&gt;'設定（最初に1回）'!$C$4,N(U5063),IF(COUNTIFS(①今日の在庫を貼る!$B$6:$B$10005,$B5064,①今日の在庫を貼る!$I$6:$I$10005,$I5064)&gt;0,N(U5063),N(U5063)+1))</f>
        <v>2</v>
      </c>
    </row>
    <row r="5065" customFormat="false" ht="15" hidden="false" customHeight="false" outlineLevel="0" collapsed="false">
      <c r="B5065" s="53"/>
      <c r="I5065" s="53"/>
      <c r="U5065" s="31" t="n">
        <f aca="false">IF($B5065&lt;&gt;'設定（最初に1回）'!$C$4,N(U5064),IF(COUNTIFS(①今日の在庫を貼る!$B$6:$B$10005,$B5065,①今日の在庫を貼る!$I$6:$I$10005,$I5065)&gt;0,N(U5064),N(U5064)+1))</f>
        <v>2</v>
      </c>
    </row>
    <row r="5066" customFormat="false" ht="15" hidden="false" customHeight="false" outlineLevel="0" collapsed="false">
      <c r="B5066" s="53"/>
      <c r="I5066" s="53"/>
      <c r="U5066" s="31" t="n">
        <f aca="false">IF($B5066&lt;&gt;'設定（最初に1回）'!$C$4,N(U5065),IF(COUNTIFS(①今日の在庫を貼る!$B$6:$B$10005,$B5066,①今日の在庫を貼る!$I$6:$I$10005,$I5066)&gt;0,N(U5065),N(U5065)+1))</f>
        <v>2</v>
      </c>
    </row>
    <row r="5067" customFormat="false" ht="15" hidden="false" customHeight="false" outlineLevel="0" collapsed="false">
      <c r="B5067" s="53"/>
      <c r="I5067" s="53"/>
      <c r="U5067" s="31" t="n">
        <f aca="false">IF($B5067&lt;&gt;'設定（最初に1回）'!$C$4,N(U5066),IF(COUNTIFS(①今日の在庫を貼る!$B$6:$B$10005,$B5067,①今日の在庫を貼る!$I$6:$I$10005,$I5067)&gt;0,N(U5066),N(U5066)+1))</f>
        <v>2</v>
      </c>
    </row>
    <row r="5068" customFormat="false" ht="15" hidden="false" customHeight="false" outlineLevel="0" collapsed="false">
      <c r="B5068" s="53"/>
      <c r="I5068" s="53"/>
      <c r="U5068" s="31" t="n">
        <f aca="false">IF($B5068&lt;&gt;'設定（最初に1回）'!$C$4,N(U5067),IF(COUNTIFS(①今日の在庫を貼る!$B$6:$B$10005,$B5068,①今日の在庫を貼る!$I$6:$I$10005,$I5068)&gt;0,N(U5067),N(U5067)+1))</f>
        <v>2</v>
      </c>
    </row>
    <row r="5069" customFormat="false" ht="15" hidden="false" customHeight="false" outlineLevel="0" collapsed="false">
      <c r="B5069" s="53"/>
      <c r="I5069" s="53"/>
      <c r="U5069" s="31" t="n">
        <f aca="false">IF($B5069&lt;&gt;'設定（最初に1回）'!$C$4,N(U5068),IF(COUNTIFS(①今日の在庫を貼る!$B$6:$B$10005,$B5069,①今日の在庫を貼る!$I$6:$I$10005,$I5069)&gt;0,N(U5068),N(U5068)+1))</f>
        <v>2</v>
      </c>
    </row>
    <row r="5070" customFormat="false" ht="15" hidden="false" customHeight="false" outlineLevel="0" collapsed="false">
      <c r="B5070" s="53"/>
      <c r="I5070" s="53"/>
      <c r="U5070" s="31" t="n">
        <f aca="false">IF($B5070&lt;&gt;'設定（最初に1回）'!$C$4,N(U5069),IF(COUNTIFS(①今日の在庫を貼る!$B$6:$B$10005,$B5070,①今日の在庫を貼る!$I$6:$I$10005,$I5070)&gt;0,N(U5069),N(U5069)+1))</f>
        <v>2</v>
      </c>
    </row>
    <row r="5071" customFormat="false" ht="15" hidden="false" customHeight="false" outlineLevel="0" collapsed="false">
      <c r="B5071" s="53"/>
      <c r="I5071" s="53"/>
      <c r="U5071" s="31" t="n">
        <f aca="false">IF($B5071&lt;&gt;'設定（最初に1回）'!$C$4,N(U5070),IF(COUNTIFS(①今日の在庫を貼る!$B$6:$B$10005,$B5071,①今日の在庫を貼る!$I$6:$I$10005,$I5071)&gt;0,N(U5070),N(U5070)+1))</f>
        <v>2</v>
      </c>
    </row>
    <row r="5072" customFormat="false" ht="15" hidden="false" customHeight="false" outlineLevel="0" collapsed="false">
      <c r="B5072" s="53"/>
      <c r="I5072" s="53"/>
      <c r="U5072" s="31" t="n">
        <f aca="false">IF($B5072&lt;&gt;'設定（最初に1回）'!$C$4,N(U5071),IF(COUNTIFS(①今日の在庫を貼る!$B$6:$B$10005,$B5072,①今日の在庫を貼る!$I$6:$I$10005,$I5072)&gt;0,N(U5071),N(U5071)+1))</f>
        <v>2</v>
      </c>
    </row>
    <row r="5073" customFormat="false" ht="15" hidden="false" customHeight="false" outlineLevel="0" collapsed="false">
      <c r="B5073" s="53"/>
      <c r="I5073" s="53"/>
      <c r="U5073" s="31" t="n">
        <f aca="false">IF($B5073&lt;&gt;'設定（最初に1回）'!$C$4,N(U5072),IF(COUNTIFS(①今日の在庫を貼る!$B$6:$B$10005,$B5073,①今日の在庫を貼る!$I$6:$I$10005,$I5073)&gt;0,N(U5072),N(U5072)+1))</f>
        <v>2</v>
      </c>
    </row>
    <row r="5074" customFormat="false" ht="15" hidden="false" customHeight="false" outlineLevel="0" collapsed="false">
      <c r="B5074" s="53"/>
      <c r="I5074" s="53"/>
      <c r="U5074" s="31" t="n">
        <f aca="false">IF($B5074&lt;&gt;'設定（最初に1回）'!$C$4,N(U5073),IF(COUNTIFS(①今日の在庫を貼る!$B$6:$B$10005,$B5074,①今日の在庫を貼る!$I$6:$I$10005,$I5074)&gt;0,N(U5073),N(U5073)+1))</f>
        <v>2</v>
      </c>
    </row>
    <row r="5075" customFormat="false" ht="15" hidden="false" customHeight="false" outlineLevel="0" collapsed="false">
      <c r="B5075" s="53"/>
      <c r="I5075" s="53"/>
      <c r="U5075" s="31" t="n">
        <f aca="false">IF($B5075&lt;&gt;'設定（最初に1回）'!$C$4,N(U5074),IF(COUNTIFS(①今日の在庫を貼る!$B$6:$B$10005,$B5075,①今日の在庫を貼る!$I$6:$I$10005,$I5075)&gt;0,N(U5074),N(U5074)+1))</f>
        <v>2</v>
      </c>
    </row>
    <row r="5076" customFormat="false" ht="15" hidden="false" customHeight="false" outlineLevel="0" collapsed="false">
      <c r="B5076" s="53"/>
      <c r="I5076" s="53"/>
      <c r="U5076" s="31" t="n">
        <f aca="false">IF($B5076&lt;&gt;'設定（最初に1回）'!$C$4,N(U5075),IF(COUNTIFS(①今日の在庫を貼る!$B$6:$B$10005,$B5076,①今日の在庫を貼る!$I$6:$I$10005,$I5076)&gt;0,N(U5075),N(U5075)+1))</f>
        <v>2</v>
      </c>
    </row>
    <row r="5077" customFormat="false" ht="15" hidden="false" customHeight="false" outlineLevel="0" collapsed="false">
      <c r="B5077" s="53"/>
      <c r="I5077" s="53"/>
      <c r="U5077" s="31" t="n">
        <f aca="false">IF($B5077&lt;&gt;'設定（最初に1回）'!$C$4,N(U5076),IF(COUNTIFS(①今日の在庫を貼る!$B$6:$B$10005,$B5077,①今日の在庫を貼る!$I$6:$I$10005,$I5077)&gt;0,N(U5076),N(U5076)+1))</f>
        <v>2</v>
      </c>
    </row>
    <row r="5078" customFormat="false" ht="15" hidden="false" customHeight="false" outlineLevel="0" collapsed="false">
      <c r="B5078" s="53"/>
      <c r="I5078" s="53"/>
      <c r="U5078" s="31" t="n">
        <f aca="false">IF($B5078&lt;&gt;'設定（最初に1回）'!$C$4,N(U5077),IF(COUNTIFS(①今日の在庫を貼る!$B$6:$B$10005,$B5078,①今日の在庫を貼る!$I$6:$I$10005,$I5078)&gt;0,N(U5077),N(U5077)+1))</f>
        <v>2</v>
      </c>
    </row>
    <row r="5079" customFormat="false" ht="15" hidden="false" customHeight="false" outlineLevel="0" collapsed="false">
      <c r="B5079" s="53"/>
      <c r="I5079" s="53"/>
      <c r="U5079" s="31" t="n">
        <f aca="false">IF($B5079&lt;&gt;'設定（最初に1回）'!$C$4,N(U5078),IF(COUNTIFS(①今日の在庫を貼る!$B$6:$B$10005,$B5079,①今日の在庫を貼る!$I$6:$I$10005,$I5079)&gt;0,N(U5078),N(U5078)+1))</f>
        <v>2</v>
      </c>
    </row>
    <row r="5080" customFormat="false" ht="15" hidden="false" customHeight="false" outlineLevel="0" collapsed="false">
      <c r="B5080" s="53"/>
      <c r="I5080" s="53"/>
      <c r="U5080" s="31" t="n">
        <f aca="false">IF($B5080&lt;&gt;'設定（最初に1回）'!$C$4,N(U5079),IF(COUNTIFS(①今日の在庫を貼る!$B$6:$B$10005,$B5080,①今日の在庫を貼る!$I$6:$I$10005,$I5080)&gt;0,N(U5079),N(U5079)+1))</f>
        <v>2</v>
      </c>
    </row>
    <row r="5081" customFormat="false" ht="15" hidden="false" customHeight="false" outlineLevel="0" collapsed="false">
      <c r="B5081" s="53"/>
      <c r="I5081" s="53"/>
      <c r="U5081" s="31" t="n">
        <f aca="false">IF($B5081&lt;&gt;'設定（最初に1回）'!$C$4,N(U5080),IF(COUNTIFS(①今日の在庫を貼る!$B$6:$B$10005,$B5081,①今日の在庫を貼る!$I$6:$I$10005,$I5081)&gt;0,N(U5080),N(U5080)+1))</f>
        <v>2</v>
      </c>
    </row>
    <row r="5082" customFormat="false" ht="15" hidden="false" customHeight="false" outlineLevel="0" collapsed="false">
      <c r="B5082" s="53"/>
      <c r="I5082" s="53"/>
      <c r="U5082" s="31" t="n">
        <f aca="false">IF($B5082&lt;&gt;'設定（最初に1回）'!$C$4,N(U5081),IF(COUNTIFS(①今日の在庫を貼る!$B$6:$B$10005,$B5082,①今日の在庫を貼る!$I$6:$I$10005,$I5082)&gt;0,N(U5081),N(U5081)+1))</f>
        <v>2</v>
      </c>
    </row>
    <row r="5083" customFormat="false" ht="15" hidden="false" customHeight="false" outlineLevel="0" collapsed="false">
      <c r="B5083" s="53"/>
      <c r="I5083" s="53"/>
      <c r="U5083" s="31" t="n">
        <f aca="false">IF($B5083&lt;&gt;'設定（最初に1回）'!$C$4,N(U5082),IF(COUNTIFS(①今日の在庫を貼る!$B$6:$B$10005,$B5083,①今日の在庫を貼る!$I$6:$I$10005,$I5083)&gt;0,N(U5082),N(U5082)+1))</f>
        <v>2</v>
      </c>
    </row>
    <row r="5084" customFormat="false" ht="15" hidden="false" customHeight="false" outlineLevel="0" collapsed="false">
      <c r="B5084" s="53"/>
      <c r="I5084" s="53"/>
      <c r="U5084" s="31" t="n">
        <f aca="false">IF($B5084&lt;&gt;'設定（最初に1回）'!$C$4,N(U5083),IF(COUNTIFS(①今日の在庫を貼る!$B$6:$B$10005,$B5084,①今日の在庫を貼る!$I$6:$I$10005,$I5084)&gt;0,N(U5083),N(U5083)+1))</f>
        <v>2</v>
      </c>
    </row>
    <row r="5085" customFormat="false" ht="15" hidden="false" customHeight="false" outlineLevel="0" collapsed="false">
      <c r="B5085" s="53"/>
      <c r="I5085" s="53"/>
      <c r="U5085" s="31" t="n">
        <f aca="false">IF($B5085&lt;&gt;'設定（最初に1回）'!$C$4,N(U5084),IF(COUNTIFS(①今日の在庫を貼る!$B$6:$B$10005,$B5085,①今日の在庫を貼る!$I$6:$I$10005,$I5085)&gt;0,N(U5084),N(U5084)+1))</f>
        <v>2</v>
      </c>
    </row>
    <row r="5086" customFormat="false" ht="15" hidden="false" customHeight="false" outlineLevel="0" collapsed="false">
      <c r="B5086" s="53"/>
      <c r="I5086" s="53"/>
      <c r="U5086" s="31" t="n">
        <f aca="false">IF($B5086&lt;&gt;'設定（最初に1回）'!$C$4,N(U5085),IF(COUNTIFS(①今日の在庫を貼る!$B$6:$B$10005,$B5086,①今日の在庫を貼る!$I$6:$I$10005,$I5086)&gt;0,N(U5085),N(U5085)+1))</f>
        <v>2</v>
      </c>
    </row>
    <row r="5087" customFormat="false" ht="15" hidden="false" customHeight="false" outlineLevel="0" collapsed="false">
      <c r="B5087" s="53"/>
      <c r="I5087" s="53"/>
      <c r="U5087" s="31" t="n">
        <f aca="false">IF($B5087&lt;&gt;'設定（最初に1回）'!$C$4,N(U5086),IF(COUNTIFS(①今日の在庫を貼る!$B$6:$B$10005,$B5087,①今日の在庫を貼る!$I$6:$I$10005,$I5087)&gt;0,N(U5086),N(U5086)+1))</f>
        <v>2</v>
      </c>
    </row>
    <row r="5088" customFormat="false" ht="15" hidden="false" customHeight="false" outlineLevel="0" collapsed="false">
      <c r="B5088" s="53"/>
      <c r="I5088" s="53"/>
      <c r="U5088" s="31" t="n">
        <f aca="false">IF($B5088&lt;&gt;'設定（最初に1回）'!$C$4,N(U5087),IF(COUNTIFS(①今日の在庫を貼る!$B$6:$B$10005,$B5088,①今日の在庫を貼る!$I$6:$I$10005,$I5088)&gt;0,N(U5087),N(U5087)+1))</f>
        <v>2</v>
      </c>
    </row>
    <row r="5089" customFormat="false" ht="15" hidden="false" customHeight="false" outlineLevel="0" collapsed="false">
      <c r="B5089" s="53"/>
      <c r="I5089" s="53"/>
      <c r="U5089" s="31" t="n">
        <f aca="false">IF($B5089&lt;&gt;'設定（最初に1回）'!$C$4,N(U5088),IF(COUNTIFS(①今日の在庫を貼る!$B$6:$B$10005,$B5089,①今日の在庫を貼る!$I$6:$I$10005,$I5089)&gt;0,N(U5088),N(U5088)+1))</f>
        <v>2</v>
      </c>
    </row>
    <row r="5090" customFormat="false" ht="15" hidden="false" customHeight="false" outlineLevel="0" collapsed="false">
      <c r="B5090" s="53"/>
      <c r="I5090" s="53"/>
      <c r="U5090" s="31" t="n">
        <f aca="false">IF($B5090&lt;&gt;'設定（最初に1回）'!$C$4,N(U5089),IF(COUNTIFS(①今日の在庫を貼る!$B$6:$B$10005,$B5090,①今日の在庫を貼る!$I$6:$I$10005,$I5090)&gt;0,N(U5089),N(U5089)+1))</f>
        <v>2</v>
      </c>
    </row>
    <row r="5091" customFormat="false" ht="15" hidden="false" customHeight="false" outlineLevel="0" collapsed="false">
      <c r="B5091" s="53"/>
      <c r="I5091" s="53"/>
      <c r="U5091" s="31" t="n">
        <f aca="false">IF($B5091&lt;&gt;'設定（最初に1回）'!$C$4,N(U5090),IF(COUNTIFS(①今日の在庫を貼る!$B$6:$B$10005,$B5091,①今日の在庫を貼る!$I$6:$I$10005,$I5091)&gt;0,N(U5090),N(U5090)+1))</f>
        <v>2</v>
      </c>
    </row>
    <row r="5092" customFormat="false" ht="15" hidden="false" customHeight="false" outlineLevel="0" collapsed="false">
      <c r="B5092" s="53"/>
      <c r="I5092" s="53"/>
      <c r="U5092" s="31" t="n">
        <f aca="false">IF($B5092&lt;&gt;'設定（最初に1回）'!$C$4,N(U5091),IF(COUNTIFS(①今日の在庫を貼る!$B$6:$B$10005,$B5092,①今日の在庫を貼る!$I$6:$I$10005,$I5092)&gt;0,N(U5091),N(U5091)+1))</f>
        <v>2</v>
      </c>
    </row>
    <row r="5093" customFormat="false" ht="15" hidden="false" customHeight="false" outlineLevel="0" collapsed="false">
      <c r="B5093" s="53"/>
      <c r="I5093" s="53"/>
      <c r="U5093" s="31" t="n">
        <f aca="false">IF($B5093&lt;&gt;'設定（最初に1回）'!$C$4,N(U5092),IF(COUNTIFS(①今日の在庫を貼る!$B$6:$B$10005,$B5093,①今日の在庫を貼る!$I$6:$I$10005,$I5093)&gt;0,N(U5092),N(U5092)+1))</f>
        <v>2</v>
      </c>
    </row>
    <row r="5094" customFormat="false" ht="15" hidden="false" customHeight="false" outlineLevel="0" collapsed="false">
      <c r="B5094" s="53"/>
      <c r="I5094" s="53"/>
      <c r="U5094" s="31" t="n">
        <f aca="false">IF($B5094&lt;&gt;'設定（最初に1回）'!$C$4,N(U5093),IF(COUNTIFS(①今日の在庫を貼る!$B$6:$B$10005,$B5094,①今日の在庫を貼る!$I$6:$I$10005,$I5094)&gt;0,N(U5093),N(U5093)+1))</f>
        <v>2</v>
      </c>
    </row>
    <row r="5095" customFormat="false" ht="15" hidden="false" customHeight="false" outlineLevel="0" collapsed="false">
      <c r="B5095" s="53"/>
      <c r="I5095" s="53"/>
      <c r="U5095" s="31" t="n">
        <f aca="false">IF($B5095&lt;&gt;'設定（最初に1回）'!$C$4,N(U5094),IF(COUNTIFS(①今日の在庫を貼る!$B$6:$B$10005,$B5095,①今日の在庫を貼る!$I$6:$I$10005,$I5095)&gt;0,N(U5094),N(U5094)+1))</f>
        <v>2</v>
      </c>
    </row>
    <row r="5096" customFormat="false" ht="15" hidden="false" customHeight="false" outlineLevel="0" collapsed="false">
      <c r="B5096" s="53"/>
      <c r="I5096" s="53"/>
      <c r="U5096" s="31" t="n">
        <f aca="false">IF($B5096&lt;&gt;'設定（最初に1回）'!$C$4,N(U5095),IF(COUNTIFS(①今日の在庫を貼る!$B$6:$B$10005,$B5096,①今日の在庫を貼る!$I$6:$I$10005,$I5096)&gt;0,N(U5095),N(U5095)+1))</f>
        <v>2</v>
      </c>
    </row>
    <row r="5097" customFormat="false" ht="15" hidden="false" customHeight="false" outlineLevel="0" collapsed="false">
      <c r="B5097" s="53"/>
      <c r="I5097" s="53"/>
      <c r="U5097" s="31" t="n">
        <f aca="false">IF($B5097&lt;&gt;'設定（最初に1回）'!$C$4,N(U5096),IF(COUNTIFS(①今日の在庫を貼る!$B$6:$B$10005,$B5097,①今日の在庫を貼る!$I$6:$I$10005,$I5097)&gt;0,N(U5096),N(U5096)+1))</f>
        <v>2</v>
      </c>
    </row>
    <row r="5098" customFormat="false" ht="15" hidden="false" customHeight="false" outlineLevel="0" collapsed="false">
      <c r="B5098" s="53"/>
      <c r="I5098" s="53"/>
      <c r="U5098" s="31" t="n">
        <f aca="false">IF($B5098&lt;&gt;'設定（最初に1回）'!$C$4,N(U5097),IF(COUNTIFS(①今日の在庫を貼る!$B$6:$B$10005,$B5098,①今日の在庫を貼る!$I$6:$I$10005,$I5098)&gt;0,N(U5097),N(U5097)+1))</f>
        <v>2</v>
      </c>
    </row>
    <row r="5099" customFormat="false" ht="15" hidden="false" customHeight="false" outlineLevel="0" collapsed="false">
      <c r="B5099" s="53"/>
      <c r="I5099" s="53"/>
      <c r="U5099" s="31" t="n">
        <f aca="false">IF($B5099&lt;&gt;'設定（最初に1回）'!$C$4,N(U5098),IF(COUNTIFS(①今日の在庫を貼る!$B$6:$B$10005,$B5099,①今日の在庫を貼る!$I$6:$I$10005,$I5099)&gt;0,N(U5098),N(U5098)+1))</f>
        <v>2</v>
      </c>
    </row>
    <row r="5100" customFormat="false" ht="15" hidden="false" customHeight="false" outlineLevel="0" collapsed="false">
      <c r="B5100" s="53"/>
      <c r="I5100" s="53"/>
      <c r="U5100" s="31" t="n">
        <f aca="false">IF($B5100&lt;&gt;'設定（最初に1回）'!$C$4,N(U5099),IF(COUNTIFS(①今日の在庫を貼る!$B$6:$B$10005,$B5100,①今日の在庫を貼る!$I$6:$I$10005,$I5100)&gt;0,N(U5099),N(U5099)+1))</f>
        <v>2</v>
      </c>
    </row>
    <row r="5101" customFormat="false" ht="15" hidden="false" customHeight="false" outlineLevel="0" collapsed="false">
      <c r="B5101" s="53"/>
      <c r="I5101" s="53"/>
      <c r="U5101" s="31" t="n">
        <f aca="false">IF($B5101&lt;&gt;'設定（最初に1回）'!$C$4,N(U5100),IF(COUNTIFS(①今日の在庫を貼る!$B$6:$B$10005,$B5101,①今日の在庫を貼る!$I$6:$I$10005,$I5101)&gt;0,N(U5100),N(U5100)+1))</f>
        <v>2</v>
      </c>
    </row>
    <row r="5102" customFormat="false" ht="15" hidden="false" customHeight="false" outlineLevel="0" collapsed="false">
      <c r="B5102" s="53"/>
      <c r="I5102" s="53"/>
      <c r="U5102" s="31" t="n">
        <f aca="false">IF($B5102&lt;&gt;'設定（最初に1回）'!$C$4,N(U5101),IF(COUNTIFS(①今日の在庫を貼る!$B$6:$B$10005,$B5102,①今日の在庫を貼る!$I$6:$I$10005,$I5102)&gt;0,N(U5101),N(U5101)+1))</f>
        <v>2</v>
      </c>
    </row>
    <row r="5103" customFormat="false" ht="15" hidden="false" customHeight="false" outlineLevel="0" collapsed="false">
      <c r="B5103" s="53"/>
      <c r="I5103" s="53"/>
      <c r="U5103" s="31" t="n">
        <f aca="false">IF($B5103&lt;&gt;'設定（最初に1回）'!$C$4,N(U5102),IF(COUNTIFS(①今日の在庫を貼る!$B$6:$B$10005,$B5103,①今日の在庫を貼る!$I$6:$I$10005,$I5103)&gt;0,N(U5102),N(U5102)+1))</f>
        <v>2</v>
      </c>
    </row>
    <row r="5104" customFormat="false" ht="15" hidden="false" customHeight="false" outlineLevel="0" collapsed="false">
      <c r="B5104" s="53"/>
      <c r="I5104" s="53"/>
      <c r="U5104" s="31" t="n">
        <f aca="false">IF($B5104&lt;&gt;'設定（最初に1回）'!$C$4,N(U5103),IF(COUNTIFS(①今日の在庫を貼る!$B$6:$B$10005,$B5104,①今日の在庫を貼る!$I$6:$I$10005,$I5104)&gt;0,N(U5103),N(U5103)+1))</f>
        <v>2</v>
      </c>
    </row>
    <row r="5105" customFormat="false" ht="15" hidden="false" customHeight="false" outlineLevel="0" collapsed="false">
      <c r="B5105" s="53"/>
      <c r="I5105" s="53"/>
      <c r="U5105" s="31" t="n">
        <f aca="false">IF($B5105&lt;&gt;'設定（最初に1回）'!$C$4,N(U5104),IF(COUNTIFS(①今日の在庫を貼る!$B$6:$B$10005,$B5105,①今日の在庫を貼る!$I$6:$I$10005,$I5105)&gt;0,N(U5104),N(U5104)+1))</f>
        <v>2</v>
      </c>
    </row>
    <row r="5106" customFormat="false" ht="15" hidden="false" customHeight="false" outlineLevel="0" collapsed="false">
      <c r="B5106" s="53"/>
      <c r="I5106" s="53"/>
      <c r="U5106" s="31" t="n">
        <f aca="false">IF($B5106&lt;&gt;'設定（最初に1回）'!$C$4,N(U5105),IF(COUNTIFS(①今日の在庫を貼る!$B$6:$B$10005,$B5106,①今日の在庫を貼る!$I$6:$I$10005,$I5106)&gt;0,N(U5105),N(U5105)+1))</f>
        <v>2</v>
      </c>
    </row>
    <row r="5107" customFormat="false" ht="15" hidden="false" customHeight="false" outlineLevel="0" collapsed="false">
      <c r="B5107" s="53"/>
      <c r="I5107" s="53"/>
      <c r="U5107" s="31" t="n">
        <f aca="false">IF($B5107&lt;&gt;'設定（最初に1回）'!$C$4,N(U5106),IF(COUNTIFS(①今日の在庫を貼る!$B$6:$B$10005,$B5107,①今日の在庫を貼る!$I$6:$I$10005,$I5107)&gt;0,N(U5106),N(U5106)+1))</f>
        <v>2</v>
      </c>
    </row>
    <row r="5108" customFormat="false" ht="15" hidden="false" customHeight="false" outlineLevel="0" collapsed="false">
      <c r="B5108" s="53"/>
      <c r="I5108" s="53"/>
      <c r="U5108" s="31" t="n">
        <f aca="false">IF($B5108&lt;&gt;'設定（最初に1回）'!$C$4,N(U5107),IF(COUNTIFS(①今日の在庫を貼る!$B$6:$B$10005,$B5108,①今日の在庫を貼る!$I$6:$I$10005,$I5108)&gt;0,N(U5107),N(U5107)+1))</f>
        <v>2</v>
      </c>
    </row>
    <row r="5109" customFormat="false" ht="15" hidden="false" customHeight="false" outlineLevel="0" collapsed="false">
      <c r="B5109" s="53"/>
      <c r="I5109" s="53"/>
      <c r="U5109" s="31" t="n">
        <f aca="false">IF($B5109&lt;&gt;'設定（最初に1回）'!$C$4,N(U5108),IF(COUNTIFS(①今日の在庫を貼る!$B$6:$B$10005,$B5109,①今日の在庫を貼る!$I$6:$I$10005,$I5109)&gt;0,N(U5108),N(U5108)+1))</f>
        <v>2</v>
      </c>
    </row>
    <row r="5110" customFormat="false" ht="15" hidden="false" customHeight="false" outlineLevel="0" collapsed="false">
      <c r="B5110" s="53"/>
      <c r="I5110" s="53"/>
      <c r="U5110" s="31" t="n">
        <f aca="false">IF($B5110&lt;&gt;'設定（最初に1回）'!$C$4,N(U5109),IF(COUNTIFS(①今日の在庫を貼る!$B$6:$B$10005,$B5110,①今日の在庫を貼る!$I$6:$I$10005,$I5110)&gt;0,N(U5109),N(U5109)+1))</f>
        <v>2</v>
      </c>
    </row>
    <row r="5111" customFormat="false" ht="15" hidden="false" customHeight="false" outlineLevel="0" collapsed="false">
      <c r="B5111" s="53"/>
      <c r="I5111" s="53"/>
      <c r="U5111" s="31" t="n">
        <f aca="false">IF($B5111&lt;&gt;'設定（最初に1回）'!$C$4,N(U5110),IF(COUNTIFS(①今日の在庫を貼る!$B$6:$B$10005,$B5111,①今日の在庫を貼る!$I$6:$I$10005,$I5111)&gt;0,N(U5110),N(U5110)+1))</f>
        <v>2</v>
      </c>
    </row>
    <row r="5112" customFormat="false" ht="15" hidden="false" customHeight="false" outlineLevel="0" collapsed="false">
      <c r="B5112" s="53"/>
      <c r="I5112" s="53"/>
      <c r="U5112" s="31" t="n">
        <f aca="false">IF($B5112&lt;&gt;'設定（最初に1回）'!$C$4,N(U5111),IF(COUNTIFS(①今日の在庫を貼る!$B$6:$B$10005,$B5112,①今日の在庫を貼る!$I$6:$I$10005,$I5112)&gt;0,N(U5111),N(U5111)+1))</f>
        <v>2</v>
      </c>
    </row>
    <row r="5113" customFormat="false" ht="15" hidden="false" customHeight="false" outlineLevel="0" collapsed="false">
      <c r="B5113" s="53"/>
      <c r="I5113" s="53"/>
      <c r="U5113" s="31" t="n">
        <f aca="false">IF($B5113&lt;&gt;'設定（最初に1回）'!$C$4,N(U5112),IF(COUNTIFS(①今日の在庫を貼る!$B$6:$B$10005,$B5113,①今日の在庫を貼る!$I$6:$I$10005,$I5113)&gt;0,N(U5112),N(U5112)+1))</f>
        <v>2</v>
      </c>
    </row>
    <row r="5114" customFormat="false" ht="15" hidden="false" customHeight="false" outlineLevel="0" collapsed="false">
      <c r="B5114" s="53"/>
      <c r="I5114" s="53"/>
      <c r="U5114" s="31" t="n">
        <f aca="false">IF($B5114&lt;&gt;'設定（最初に1回）'!$C$4,N(U5113),IF(COUNTIFS(①今日の在庫を貼る!$B$6:$B$10005,$B5114,①今日の在庫を貼る!$I$6:$I$10005,$I5114)&gt;0,N(U5113),N(U5113)+1))</f>
        <v>2</v>
      </c>
    </row>
    <row r="5115" customFormat="false" ht="15" hidden="false" customHeight="false" outlineLevel="0" collapsed="false">
      <c r="B5115" s="53"/>
      <c r="I5115" s="53"/>
      <c r="U5115" s="31" t="n">
        <f aca="false">IF($B5115&lt;&gt;'設定（最初に1回）'!$C$4,N(U5114),IF(COUNTIFS(①今日の在庫を貼る!$B$6:$B$10005,$B5115,①今日の在庫を貼る!$I$6:$I$10005,$I5115)&gt;0,N(U5114),N(U5114)+1))</f>
        <v>2</v>
      </c>
    </row>
    <row r="5116" customFormat="false" ht="15" hidden="false" customHeight="false" outlineLevel="0" collapsed="false">
      <c r="B5116" s="53"/>
      <c r="I5116" s="53"/>
      <c r="U5116" s="31" t="n">
        <f aca="false">IF($B5116&lt;&gt;'設定（最初に1回）'!$C$4,N(U5115),IF(COUNTIFS(①今日の在庫を貼る!$B$6:$B$10005,$B5116,①今日の在庫を貼る!$I$6:$I$10005,$I5116)&gt;0,N(U5115),N(U5115)+1))</f>
        <v>2</v>
      </c>
    </row>
    <row r="5117" customFormat="false" ht="15" hidden="false" customHeight="false" outlineLevel="0" collapsed="false">
      <c r="B5117" s="53"/>
      <c r="I5117" s="53"/>
      <c r="U5117" s="31" t="n">
        <f aca="false">IF($B5117&lt;&gt;'設定（最初に1回）'!$C$4,N(U5116),IF(COUNTIFS(①今日の在庫を貼る!$B$6:$B$10005,$B5117,①今日の在庫を貼る!$I$6:$I$10005,$I5117)&gt;0,N(U5116),N(U5116)+1))</f>
        <v>2</v>
      </c>
    </row>
    <row r="5118" customFormat="false" ht="15" hidden="false" customHeight="false" outlineLevel="0" collapsed="false">
      <c r="B5118" s="53"/>
      <c r="I5118" s="53"/>
      <c r="U5118" s="31" t="n">
        <f aca="false">IF($B5118&lt;&gt;'設定（最初に1回）'!$C$4,N(U5117),IF(COUNTIFS(①今日の在庫を貼る!$B$6:$B$10005,$B5118,①今日の在庫を貼る!$I$6:$I$10005,$I5118)&gt;0,N(U5117),N(U5117)+1))</f>
        <v>2</v>
      </c>
    </row>
    <row r="5119" customFormat="false" ht="15" hidden="false" customHeight="false" outlineLevel="0" collapsed="false">
      <c r="B5119" s="53"/>
      <c r="I5119" s="53"/>
      <c r="U5119" s="31" t="n">
        <f aca="false">IF($B5119&lt;&gt;'設定（最初に1回）'!$C$4,N(U5118),IF(COUNTIFS(①今日の在庫を貼る!$B$6:$B$10005,$B5119,①今日の在庫を貼る!$I$6:$I$10005,$I5119)&gt;0,N(U5118),N(U5118)+1))</f>
        <v>2</v>
      </c>
    </row>
    <row r="5120" customFormat="false" ht="15" hidden="false" customHeight="false" outlineLevel="0" collapsed="false">
      <c r="B5120" s="53"/>
      <c r="I5120" s="53"/>
      <c r="U5120" s="31" t="n">
        <f aca="false">IF($B5120&lt;&gt;'設定（最初に1回）'!$C$4,N(U5119),IF(COUNTIFS(①今日の在庫を貼る!$B$6:$B$10005,$B5120,①今日の在庫を貼る!$I$6:$I$10005,$I5120)&gt;0,N(U5119),N(U5119)+1))</f>
        <v>2</v>
      </c>
    </row>
    <row r="5121" customFormat="false" ht="15" hidden="false" customHeight="false" outlineLevel="0" collapsed="false">
      <c r="B5121" s="53"/>
      <c r="I5121" s="53"/>
      <c r="U5121" s="31" t="n">
        <f aca="false">IF($B5121&lt;&gt;'設定（最初に1回）'!$C$4,N(U5120),IF(COUNTIFS(①今日の在庫を貼る!$B$6:$B$10005,$B5121,①今日の在庫を貼る!$I$6:$I$10005,$I5121)&gt;0,N(U5120),N(U5120)+1))</f>
        <v>2</v>
      </c>
    </row>
    <row r="5122" customFormat="false" ht="15" hidden="false" customHeight="false" outlineLevel="0" collapsed="false">
      <c r="B5122" s="53"/>
      <c r="I5122" s="53"/>
      <c r="U5122" s="31" t="n">
        <f aca="false">IF($B5122&lt;&gt;'設定（最初に1回）'!$C$4,N(U5121),IF(COUNTIFS(①今日の在庫を貼る!$B$6:$B$10005,$B5122,①今日の在庫を貼る!$I$6:$I$10005,$I5122)&gt;0,N(U5121),N(U5121)+1))</f>
        <v>2</v>
      </c>
    </row>
    <row r="5123" customFormat="false" ht="15" hidden="false" customHeight="false" outlineLevel="0" collapsed="false">
      <c r="B5123" s="53"/>
      <c r="I5123" s="53"/>
      <c r="U5123" s="31" t="n">
        <f aca="false">IF($B5123&lt;&gt;'設定（最初に1回）'!$C$4,N(U5122),IF(COUNTIFS(①今日の在庫を貼る!$B$6:$B$10005,$B5123,①今日の在庫を貼る!$I$6:$I$10005,$I5123)&gt;0,N(U5122),N(U5122)+1))</f>
        <v>2</v>
      </c>
    </row>
    <row r="5124" customFormat="false" ht="15" hidden="false" customHeight="false" outlineLevel="0" collapsed="false">
      <c r="B5124" s="53"/>
      <c r="I5124" s="53"/>
      <c r="U5124" s="31" t="n">
        <f aca="false">IF($B5124&lt;&gt;'設定（最初に1回）'!$C$4,N(U5123),IF(COUNTIFS(①今日の在庫を貼る!$B$6:$B$10005,$B5124,①今日の在庫を貼る!$I$6:$I$10005,$I5124)&gt;0,N(U5123),N(U5123)+1))</f>
        <v>2</v>
      </c>
    </row>
    <row r="5125" customFormat="false" ht="15" hidden="false" customHeight="false" outlineLevel="0" collapsed="false">
      <c r="B5125" s="53"/>
      <c r="I5125" s="53"/>
      <c r="U5125" s="31" t="n">
        <f aca="false">IF($B5125&lt;&gt;'設定（最初に1回）'!$C$4,N(U5124),IF(COUNTIFS(①今日の在庫を貼る!$B$6:$B$10005,$B5125,①今日の在庫を貼る!$I$6:$I$10005,$I5125)&gt;0,N(U5124),N(U5124)+1))</f>
        <v>2</v>
      </c>
    </row>
    <row r="5126" customFormat="false" ht="15" hidden="false" customHeight="false" outlineLevel="0" collapsed="false">
      <c r="B5126" s="53"/>
      <c r="I5126" s="53"/>
      <c r="U5126" s="31" t="n">
        <f aca="false">IF($B5126&lt;&gt;'設定（最初に1回）'!$C$4,N(U5125),IF(COUNTIFS(①今日の在庫を貼る!$B$6:$B$10005,$B5126,①今日の在庫を貼る!$I$6:$I$10005,$I5126)&gt;0,N(U5125),N(U5125)+1))</f>
        <v>2</v>
      </c>
    </row>
    <row r="5127" customFormat="false" ht="15" hidden="false" customHeight="false" outlineLevel="0" collapsed="false">
      <c r="B5127" s="53"/>
      <c r="I5127" s="53"/>
      <c r="U5127" s="31" t="n">
        <f aca="false">IF($B5127&lt;&gt;'設定（最初に1回）'!$C$4,N(U5126),IF(COUNTIFS(①今日の在庫を貼る!$B$6:$B$10005,$B5127,①今日の在庫を貼る!$I$6:$I$10005,$I5127)&gt;0,N(U5126),N(U5126)+1))</f>
        <v>2</v>
      </c>
    </row>
    <row r="5128" customFormat="false" ht="15" hidden="false" customHeight="false" outlineLevel="0" collapsed="false">
      <c r="B5128" s="53"/>
      <c r="I5128" s="53"/>
      <c r="U5128" s="31" t="n">
        <f aca="false">IF($B5128&lt;&gt;'設定（最初に1回）'!$C$4,N(U5127),IF(COUNTIFS(①今日の在庫を貼る!$B$6:$B$10005,$B5128,①今日の在庫を貼る!$I$6:$I$10005,$I5128)&gt;0,N(U5127),N(U5127)+1))</f>
        <v>2</v>
      </c>
    </row>
    <row r="5129" customFormat="false" ht="15" hidden="false" customHeight="false" outlineLevel="0" collapsed="false">
      <c r="B5129" s="53"/>
      <c r="I5129" s="53"/>
      <c r="U5129" s="31" t="n">
        <f aca="false">IF($B5129&lt;&gt;'設定（最初に1回）'!$C$4,N(U5128),IF(COUNTIFS(①今日の在庫を貼る!$B$6:$B$10005,$B5129,①今日の在庫を貼る!$I$6:$I$10005,$I5129)&gt;0,N(U5128),N(U5128)+1))</f>
        <v>2</v>
      </c>
    </row>
    <row r="5130" customFormat="false" ht="15" hidden="false" customHeight="false" outlineLevel="0" collapsed="false">
      <c r="B5130" s="53"/>
      <c r="I5130" s="53"/>
      <c r="U5130" s="31" t="n">
        <f aca="false">IF($B5130&lt;&gt;'設定（最初に1回）'!$C$4,N(U5129),IF(COUNTIFS(①今日の在庫を貼る!$B$6:$B$10005,$B5130,①今日の在庫を貼る!$I$6:$I$10005,$I5130)&gt;0,N(U5129),N(U5129)+1))</f>
        <v>2</v>
      </c>
    </row>
    <row r="5131" customFormat="false" ht="15" hidden="false" customHeight="false" outlineLevel="0" collapsed="false">
      <c r="B5131" s="53"/>
      <c r="I5131" s="53"/>
      <c r="U5131" s="31" t="n">
        <f aca="false">IF($B5131&lt;&gt;'設定（最初に1回）'!$C$4,N(U5130),IF(COUNTIFS(①今日の在庫を貼る!$B$6:$B$10005,$B5131,①今日の在庫を貼る!$I$6:$I$10005,$I5131)&gt;0,N(U5130),N(U5130)+1))</f>
        <v>2</v>
      </c>
    </row>
    <row r="5132" customFormat="false" ht="15" hidden="false" customHeight="false" outlineLevel="0" collapsed="false">
      <c r="B5132" s="53"/>
      <c r="I5132" s="53"/>
      <c r="U5132" s="31" t="n">
        <f aca="false">IF($B5132&lt;&gt;'設定（最初に1回）'!$C$4,N(U5131),IF(COUNTIFS(①今日の在庫を貼る!$B$6:$B$10005,$B5132,①今日の在庫を貼る!$I$6:$I$10005,$I5132)&gt;0,N(U5131),N(U5131)+1))</f>
        <v>2</v>
      </c>
    </row>
    <row r="5133" customFormat="false" ht="15" hidden="false" customHeight="false" outlineLevel="0" collapsed="false">
      <c r="B5133" s="53"/>
      <c r="I5133" s="53"/>
      <c r="U5133" s="31" t="n">
        <f aca="false">IF($B5133&lt;&gt;'設定（最初に1回）'!$C$4,N(U5132),IF(COUNTIFS(①今日の在庫を貼る!$B$6:$B$10005,$B5133,①今日の在庫を貼る!$I$6:$I$10005,$I5133)&gt;0,N(U5132),N(U5132)+1))</f>
        <v>2</v>
      </c>
    </row>
    <row r="5134" customFormat="false" ht="15" hidden="false" customHeight="false" outlineLevel="0" collapsed="false">
      <c r="B5134" s="53"/>
      <c r="I5134" s="53"/>
      <c r="U5134" s="31" t="n">
        <f aca="false">IF($B5134&lt;&gt;'設定（最初に1回）'!$C$4,N(U5133),IF(COUNTIFS(①今日の在庫を貼る!$B$6:$B$10005,$B5134,①今日の在庫を貼る!$I$6:$I$10005,$I5134)&gt;0,N(U5133),N(U5133)+1))</f>
        <v>2</v>
      </c>
    </row>
    <row r="5135" customFormat="false" ht="15" hidden="false" customHeight="false" outlineLevel="0" collapsed="false">
      <c r="B5135" s="53"/>
      <c r="I5135" s="53"/>
      <c r="U5135" s="31" t="n">
        <f aca="false">IF($B5135&lt;&gt;'設定（最初に1回）'!$C$4,N(U5134),IF(COUNTIFS(①今日の在庫を貼る!$B$6:$B$10005,$B5135,①今日の在庫を貼る!$I$6:$I$10005,$I5135)&gt;0,N(U5134),N(U5134)+1))</f>
        <v>2</v>
      </c>
    </row>
    <row r="5136" customFormat="false" ht="15" hidden="false" customHeight="false" outlineLevel="0" collapsed="false">
      <c r="B5136" s="53"/>
      <c r="I5136" s="53"/>
      <c r="U5136" s="31" t="n">
        <f aca="false">IF($B5136&lt;&gt;'設定（最初に1回）'!$C$4,N(U5135),IF(COUNTIFS(①今日の在庫を貼る!$B$6:$B$10005,$B5136,①今日の在庫を貼る!$I$6:$I$10005,$I5136)&gt;0,N(U5135),N(U5135)+1))</f>
        <v>2</v>
      </c>
    </row>
    <row r="5137" customFormat="false" ht="15" hidden="false" customHeight="false" outlineLevel="0" collapsed="false">
      <c r="B5137" s="53"/>
      <c r="I5137" s="53"/>
      <c r="U5137" s="31" t="n">
        <f aca="false">IF($B5137&lt;&gt;'設定（最初に1回）'!$C$4,N(U5136),IF(COUNTIFS(①今日の在庫を貼る!$B$6:$B$10005,$B5137,①今日の在庫を貼る!$I$6:$I$10005,$I5137)&gt;0,N(U5136),N(U5136)+1))</f>
        <v>2</v>
      </c>
    </row>
    <row r="5138" customFormat="false" ht="15" hidden="false" customHeight="false" outlineLevel="0" collapsed="false">
      <c r="B5138" s="53"/>
      <c r="I5138" s="53"/>
      <c r="U5138" s="31" t="n">
        <f aca="false">IF($B5138&lt;&gt;'設定（最初に1回）'!$C$4,N(U5137),IF(COUNTIFS(①今日の在庫を貼る!$B$6:$B$10005,$B5138,①今日の在庫を貼る!$I$6:$I$10005,$I5138)&gt;0,N(U5137),N(U5137)+1))</f>
        <v>2</v>
      </c>
    </row>
    <row r="5139" customFormat="false" ht="15" hidden="false" customHeight="false" outlineLevel="0" collapsed="false">
      <c r="B5139" s="53"/>
      <c r="I5139" s="53"/>
      <c r="U5139" s="31" t="n">
        <f aca="false">IF($B5139&lt;&gt;'設定（最初に1回）'!$C$4,N(U5138),IF(COUNTIFS(①今日の在庫を貼る!$B$6:$B$10005,$B5139,①今日の在庫を貼る!$I$6:$I$10005,$I5139)&gt;0,N(U5138),N(U5138)+1))</f>
        <v>2</v>
      </c>
    </row>
    <row r="5140" customFormat="false" ht="15" hidden="false" customHeight="false" outlineLevel="0" collapsed="false">
      <c r="B5140" s="53"/>
      <c r="I5140" s="53"/>
      <c r="U5140" s="31" t="n">
        <f aca="false">IF($B5140&lt;&gt;'設定（最初に1回）'!$C$4,N(U5139),IF(COUNTIFS(①今日の在庫を貼る!$B$6:$B$10005,$B5140,①今日の在庫を貼る!$I$6:$I$10005,$I5140)&gt;0,N(U5139),N(U5139)+1))</f>
        <v>2</v>
      </c>
    </row>
    <row r="5141" customFormat="false" ht="15" hidden="false" customHeight="false" outlineLevel="0" collapsed="false">
      <c r="B5141" s="53"/>
      <c r="I5141" s="53"/>
      <c r="U5141" s="31" t="n">
        <f aca="false">IF($B5141&lt;&gt;'設定（最初に1回）'!$C$4,N(U5140),IF(COUNTIFS(①今日の在庫を貼る!$B$6:$B$10005,$B5141,①今日の在庫を貼る!$I$6:$I$10005,$I5141)&gt;0,N(U5140),N(U5140)+1))</f>
        <v>2</v>
      </c>
    </row>
    <row r="5142" customFormat="false" ht="15" hidden="false" customHeight="false" outlineLevel="0" collapsed="false">
      <c r="B5142" s="53"/>
      <c r="I5142" s="53"/>
      <c r="U5142" s="31" t="n">
        <f aca="false">IF($B5142&lt;&gt;'設定（最初に1回）'!$C$4,N(U5141),IF(COUNTIFS(①今日の在庫を貼る!$B$6:$B$10005,$B5142,①今日の在庫を貼る!$I$6:$I$10005,$I5142)&gt;0,N(U5141),N(U5141)+1))</f>
        <v>2</v>
      </c>
    </row>
    <row r="5143" customFormat="false" ht="15" hidden="false" customHeight="false" outlineLevel="0" collapsed="false">
      <c r="B5143" s="53"/>
      <c r="I5143" s="53"/>
      <c r="U5143" s="31" t="n">
        <f aca="false">IF($B5143&lt;&gt;'設定（最初に1回）'!$C$4,N(U5142),IF(COUNTIFS(①今日の在庫を貼る!$B$6:$B$10005,$B5143,①今日の在庫を貼る!$I$6:$I$10005,$I5143)&gt;0,N(U5142),N(U5142)+1))</f>
        <v>2</v>
      </c>
    </row>
    <row r="5144" customFormat="false" ht="15" hidden="false" customHeight="false" outlineLevel="0" collapsed="false">
      <c r="B5144" s="53"/>
      <c r="I5144" s="53"/>
      <c r="U5144" s="31" t="n">
        <f aca="false">IF($B5144&lt;&gt;'設定（最初に1回）'!$C$4,N(U5143),IF(COUNTIFS(①今日の在庫を貼る!$B$6:$B$10005,$B5144,①今日の在庫を貼る!$I$6:$I$10005,$I5144)&gt;0,N(U5143),N(U5143)+1))</f>
        <v>2</v>
      </c>
    </row>
    <row r="5145" customFormat="false" ht="15" hidden="false" customHeight="false" outlineLevel="0" collapsed="false">
      <c r="B5145" s="53"/>
      <c r="I5145" s="53"/>
      <c r="U5145" s="31" t="n">
        <f aca="false">IF($B5145&lt;&gt;'設定（最初に1回）'!$C$4,N(U5144),IF(COUNTIFS(①今日の在庫を貼る!$B$6:$B$10005,$B5145,①今日の在庫を貼る!$I$6:$I$10005,$I5145)&gt;0,N(U5144),N(U5144)+1))</f>
        <v>2</v>
      </c>
    </row>
    <row r="5146" customFormat="false" ht="15" hidden="false" customHeight="false" outlineLevel="0" collapsed="false">
      <c r="B5146" s="53"/>
      <c r="I5146" s="53"/>
      <c r="U5146" s="31" t="n">
        <f aca="false">IF($B5146&lt;&gt;'設定（最初に1回）'!$C$4,N(U5145),IF(COUNTIFS(①今日の在庫を貼る!$B$6:$B$10005,$B5146,①今日の在庫を貼る!$I$6:$I$10005,$I5146)&gt;0,N(U5145),N(U5145)+1))</f>
        <v>2</v>
      </c>
    </row>
    <row r="5147" customFormat="false" ht="15" hidden="false" customHeight="false" outlineLevel="0" collapsed="false">
      <c r="B5147" s="53"/>
      <c r="I5147" s="53"/>
      <c r="U5147" s="31" t="n">
        <f aca="false">IF($B5147&lt;&gt;'設定（最初に1回）'!$C$4,N(U5146),IF(COUNTIFS(①今日の在庫を貼る!$B$6:$B$10005,$B5147,①今日の在庫を貼る!$I$6:$I$10005,$I5147)&gt;0,N(U5146),N(U5146)+1))</f>
        <v>2</v>
      </c>
    </row>
    <row r="5148" customFormat="false" ht="15" hidden="false" customHeight="false" outlineLevel="0" collapsed="false">
      <c r="B5148" s="53"/>
      <c r="I5148" s="53"/>
      <c r="U5148" s="31" t="n">
        <f aca="false">IF($B5148&lt;&gt;'設定（最初に1回）'!$C$4,N(U5147),IF(COUNTIFS(①今日の在庫を貼る!$B$6:$B$10005,$B5148,①今日の在庫を貼る!$I$6:$I$10005,$I5148)&gt;0,N(U5147),N(U5147)+1))</f>
        <v>2</v>
      </c>
    </row>
    <row r="5149" customFormat="false" ht="15" hidden="false" customHeight="false" outlineLevel="0" collapsed="false">
      <c r="B5149" s="53"/>
      <c r="I5149" s="53"/>
      <c r="U5149" s="31" t="n">
        <f aca="false">IF($B5149&lt;&gt;'設定（最初に1回）'!$C$4,N(U5148),IF(COUNTIFS(①今日の在庫を貼る!$B$6:$B$10005,$B5149,①今日の在庫を貼る!$I$6:$I$10005,$I5149)&gt;0,N(U5148),N(U5148)+1))</f>
        <v>2</v>
      </c>
    </row>
    <row r="5150" customFormat="false" ht="15" hidden="false" customHeight="false" outlineLevel="0" collapsed="false">
      <c r="B5150" s="53"/>
      <c r="I5150" s="53"/>
      <c r="U5150" s="31" t="n">
        <f aca="false">IF($B5150&lt;&gt;'設定（最初に1回）'!$C$4,N(U5149),IF(COUNTIFS(①今日の在庫を貼る!$B$6:$B$10005,$B5150,①今日の在庫を貼る!$I$6:$I$10005,$I5150)&gt;0,N(U5149),N(U5149)+1))</f>
        <v>2</v>
      </c>
    </row>
    <row r="5151" customFormat="false" ht="15" hidden="false" customHeight="false" outlineLevel="0" collapsed="false">
      <c r="B5151" s="53"/>
      <c r="I5151" s="53"/>
      <c r="U5151" s="31" t="n">
        <f aca="false">IF($B5151&lt;&gt;'設定（最初に1回）'!$C$4,N(U5150),IF(COUNTIFS(①今日の在庫を貼る!$B$6:$B$10005,$B5151,①今日の在庫を貼る!$I$6:$I$10005,$I5151)&gt;0,N(U5150),N(U5150)+1))</f>
        <v>2</v>
      </c>
    </row>
    <row r="5152" customFormat="false" ht="15" hidden="false" customHeight="false" outlineLevel="0" collapsed="false">
      <c r="B5152" s="53"/>
      <c r="I5152" s="53"/>
      <c r="U5152" s="31" t="n">
        <f aca="false">IF($B5152&lt;&gt;'設定（最初に1回）'!$C$4,N(U5151),IF(COUNTIFS(①今日の在庫を貼る!$B$6:$B$10005,$B5152,①今日の在庫を貼る!$I$6:$I$10005,$I5152)&gt;0,N(U5151),N(U5151)+1))</f>
        <v>2</v>
      </c>
    </row>
    <row r="5153" customFormat="false" ht="15" hidden="false" customHeight="false" outlineLevel="0" collapsed="false">
      <c r="B5153" s="53"/>
      <c r="I5153" s="53"/>
      <c r="U5153" s="31" t="n">
        <f aca="false">IF($B5153&lt;&gt;'設定（最初に1回）'!$C$4,N(U5152),IF(COUNTIFS(①今日の在庫を貼る!$B$6:$B$10005,$B5153,①今日の在庫を貼る!$I$6:$I$10005,$I5153)&gt;0,N(U5152),N(U5152)+1))</f>
        <v>2</v>
      </c>
    </row>
    <row r="5154" customFormat="false" ht="15" hidden="false" customHeight="false" outlineLevel="0" collapsed="false">
      <c r="B5154" s="53"/>
      <c r="I5154" s="53"/>
      <c r="U5154" s="31" t="n">
        <f aca="false">IF($B5154&lt;&gt;'設定（最初に1回）'!$C$4,N(U5153),IF(COUNTIFS(①今日の在庫を貼る!$B$6:$B$10005,$B5154,①今日の在庫を貼る!$I$6:$I$10005,$I5154)&gt;0,N(U5153),N(U5153)+1))</f>
        <v>2</v>
      </c>
    </row>
    <row r="5155" customFormat="false" ht="15" hidden="false" customHeight="false" outlineLevel="0" collapsed="false">
      <c r="B5155" s="53"/>
      <c r="I5155" s="53"/>
      <c r="U5155" s="31" t="n">
        <f aca="false">IF($B5155&lt;&gt;'設定（最初に1回）'!$C$4,N(U5154),IF(COUNTIFS(①今日の在庫を貼る!$B$6:$B$10005,$B5155,①今日の在庫を貼る!$I$6:$I$10005,$I5155)&gt;0,N(U5154),N(U5154)+1))</f>
        <v>2</v>
      </c>
    </row>
    <row r="5156" customFormat="false" ht="15" hidden="false" customHeight="false" outlineLevel="0" collapsed="false">
      <c r="B5156" s="53"/>
      <c r="I5156" s="53"/>
      <c r="U5156" s="31" t="n">
        <f aca="false">IF($B5156&lt;&gt;'設定（最初に1回）'!$C$4,N(U5155),IF(COUNTIFS(①今日の在庫を貼る!$B$6:$B$10005,$B5156,①今日の在庫を貼る!$I$6:$I$10005,$I5156)&gt;0,N(U5155),N(U5155)+1))</f>
        <v>2</v>
      </c>
    </row>
    <row r="5157" customFormat="false" ht="15" hidden="false" customHeight="false" outlineLevel="0" collapsed="false">
      <c r="B5157" s="53"/>
      <c r="I5157" s="53"/>
      <c r="U5157" s="31" t="n">
        <f aca="false">IF($B5157&lt;&gt;'設定（最初に1回）'!$C$4,N(U5156),IF(COUNTIFS(①今日の在庫を貼る!$B$6:$B$10005,$B5157,①今日の在庫を貼る!$I$6:$I$10005,$I5157)&gt;0,N(U5156),N(U5156)+1))</f>
        <v>2</v>
      </c>
    </row>
    <row r="5158" customFormat="false" ht="15" hidden="false" customHeight="false" outlineLevel="0" collapsed="false">
      <c r="B5158" s="53"/>
      <c r="I5158" s="53"/>
      <c r="U5158" s="31" t="n">
        <f aca="false">IF($B5158&lt;&gt;'設定（最初に1回）'!$C$4,N(U5157),IF(COUNTIFS(①今日の在庫を貼る!$B$6:$B$10005,$B5158,①今日の在庫を貼る!$I$6:$I$10005,$I5158)&gt;0,N(U5157),N(U5157)+1))</f>
        <v>2</v>
      </c>
    </row>
    <row r="5159" customFormat="false" ht="15" hidden="false" customHeight="false" outlineLevel="0" collapsed="false">
      <c r="B5159" s="53"/>
      <c r="I5159" s="53"/>
      <c r="U5159" s="31" t="n">
        <f aca="false">IF($B5159&lt;&gt;'設定（最初に1回）'!$C$4,N(U5158),IF(COUNTIFS(①今日の在庫を貼る!$B$6:$B$10005,$B5159,①今日の在庫を貼る!$I$6:$I$10005,$I5159)&gt;0,N(U5158),N(U5158)+1))</f>
        <v>2</v>
      </c>
    </row>
    <row r="5160" customFormat="false" ht="15" hidden="false" customHeight="false" outlineLevel="0" collapsed="false">
      <c r="B5160" s="53"/>
      <c r="I5160" s="53"/>
      <c r="U5160" s="31" t="n">
        <f aca="false">IF($B5160&lt;&gt;'設定（最初に1回）'!$C$4,N(U5159),IF(COUNTIFS(①今日の在庫を貼る!$B$6:$B$10005,$B5160,①今日の在庫を貼る!$I$6:$I$10005,$I5160)&gt;0,N(U5159),N(U5159)+1))</f>
        <v>2</v>
      </c>
    </row>
    <row r="5161" customFormat="false" ht="15" hidden="false" customHeight="false" outlineLevel="0" collapsed="false">
      <c r="B5161" s="53"/>
      <c r="I5161" s="53"/>
      <c r="U5161" s="31" t="n">
        <f aca="false">IF($B5161&lt;&gt;'設定（最初に1回）'!$C$4,N(U5160),IF(COUNTIFS(①今日の在庫を貼る!$B$6:$B$10005,$B5161,①今日の在庫を貼る!$I$6:$I$10005,$I5161)&gt;0,N(U5160),N(U5160)+1))</f>
        <v>2</v>
      </c>
    </row>
    <row r="5162" customFormat="false" ht="15" hidden="false" customHeight="false" outlineLevel="0" collapsed="false">
      <c r="B5162" s="53"/>
      <c r="I5162" s="53"/>
      <c r="U5162" s="31" t="n">
        <f aca="false">IF($B5162&lt;&gt;'設定（最初に1回）'!$C$4,N(U5161),IF(COUNTIFS(①今日の在庫を貼る!$B$6:$B$10005,$B5162,①今日の在庫を貼る!$I$6:$I$10005,$I5162)&gt;0,N(U5161),N(U5161)+1))</f>
        <v>2</v>
      </c>
    </row>
    <row r="5163" customFormat="false" ht="15" hidden="false" customHeight="false" outlineLevel="0" collapsed="false">
      <c r="B5163" s="53"/>
      <c r="I5163" s="53"/>
      <c r="U5163" s="31" t="n">
        <f aca="false">IF($B5163&lt;&gt;'設定（最初に1回）'!$C$4,N(U5162),IF(COUNTIFS(①今日の在庫を貼る!$B$6:$B$10005,$B5163,①今日の在庫を貼る!$I$6:$I$10005,$I5163)&gt;0,N(U5162),N(U5162)+1))</f>
        <v>2</v>
      </c>
    </row>
    <row r="5164" customFormat="false" ht="15" hidden="false" customHeight="false" outlineLevel="0" collapsed="false">
      <c r="B5164" s="53"/>
      <c r="I5164" s="53"/>
      <c r="U5164" s="31" t="n">
        <f aca="false">IF($B5164&lt;&gt;'設定（最初に1回）'!$C$4,N(U5163),IF(COUNTIFS(①今日の在庫を貼る!$B$6:$B$10005,$B5164,①今日の在庫を貼る!$I$6:$I$10005,$I5164)&gt;0,N(U5163),N(U5163)+1))</f>
        <v>2</v>
      </c>
    </row>
    <row r="5165" customFormat="false" ht="15" hidden="false" customHeight="false" outlineLevel="0" collapsed="false">
      <c r="B5165" s="53"/>
      <c r="I5165" s="53"/>
      <c r="U5165" s="31" t="n">
        <f aca="false">IF($B5165&lt;&gt;'設定（最初に1回）'!$C$4,N(U5164),IF(COUNTIFS(①今日の在庫を貼る!$B$6:$B$10005,$B5165,①今日の在庫を貼る!$I$6:$I$10005,$I5165)&gt;0,N(U5164),N(U5164)+1))</f>
        <v>2</v>
      </c>
    </row>
    <row r="5166" customFormat="false" ht="15" hidden="false" customHeight="false" outlineLevel="0" collapsed="false">
      <c r="B5166" s="53"/>
      <c r="I5166" s="53"/>
      <c r="U5166" s="31" t="n">
        <f aca="false">IF($B5166&lt;&gt;'設定（最初に1回）'!$C$4,N(U5165),IF(COUNTIFS(①今日の在庫を貼る!$B$6:$B$10005,$B5166,①今日の在庫を貼る!$I$6:$I$10005,$I5166)&gt;0,N(U5165),N(U5165)+1))</f>
        <v>2</v>
      </c>
    </row>
    <row r="5167" customFormat="false" ht="15" hidden="false" customHeight="false" outlineLevel="0" collapsed="false">
      <c r="B5167" s="53"/>
      <c r="I5167" s="53"/>
      <c r="U5167" s="31" t="n">
        <f aca="false">IF($B5167&lt;&gt;'設定（最初に1回）'!$C$4,N(U5166),IF(COUNTIFS(①今日の在庫を貼る!$B$6:$B$10005,$B5167,①今日の在庫を貼る!$I$6:$I$10005,$I5167)&gt;0,N(U5166),N(U5166)+1))</f>
        <v>2</v>
      </c>
    </row>
    <row r="5168" customFormat="false" ht="15" hidden="false" customHeight="false" outlineLevel="0" collapsed="false">
      <c r="B5168" s="53"/>
      <c r="I5168" s="53"/>
      <c r="U5168" s="31" t="n">
        <f aca="false">IF($B5168&lt;&gt;'設定（最初に1回）'!$C$4,N(U5167),IF(COUNTIFS(①今日の在庫を貼る!$B$6:$B$10005,$B5168,①今日の在庫を貼る!$I$6:$I$10005,$I5168)&gt;0,N(U5167),N(U5167)+1))</f>
        <v>2</v>
      </c>
    </row>
    <row r="5169" customFormat="false" ht="15" hidden="false" customHeight="false" outlineLevel="0" collapsed="false">
      <c r="B5169" s="53"/>
      <c r="I5169" s="53"/>
      <c r="U5169" s="31" t="n">
        <f aca="false">IF($B5169&lt;&gt;'設定（最初に1回）'!$C$4,N(U5168),IF(COUNTIFS(①今日の在庫を貼る!$B$6:$B$10005,$B5169,①今日の在庫を貼る!$I$6:$I$10005,$I5169)&gt;0,N(U5168),N(U5168)+1))</f>
        <v>2</v>
      </c>
    </row>
    <row r="5170" customFormat="false" ht="15" hidden="false" customHeight="false" outlineLevel="0" collapsed="false">
      <c r="B5170" s="53"/>
      <c r="I5170" s="53"/>
      <c r="U5170" s="31" t="n">
        <f aca="false">IF($B5170&lt;&gt;'設定（最初に1回）'!$C$4,N(U5169),IF(COUNTIFS(①今日の在庫を貼る!$B$6:$B$10005,$B5170,①今日の在庫を貼る!$I$6:$I$10005,$I5170)&gt;0,N(U5169),N(U5169)+1))</f>
        <v>2</v>
      </c>
    </row>
    <row r="5171" customFormat="false" ht="15" hidden="false" customHeight="false" outlineLevel="0" collapsed="false">
      <c r="B5171" s="53"/>
      <c r="I5171" s="53"/>
      <c r="U5171" s="31" t="n">
        <f aca="false">IF($B5171&lt;&gt;'設定（最初に1回）'!$C$4,N(U5170),IF(COUNTIFS(①今日の在庫を貼る!$B$6:$B$10005,$B5171,①今日の在庫を貼る!$I$6:$I$10005,$I5171)&gt;0,N(U5170),N(U5170)+1))</f>
        <v>2</v>
      </c>
    </row>
    <row r="5172" customFormat="false" ht="15" hidden="false" customHeight="false" outlineLevel="0" collapsed="false">
      <c r="B5172" s="53"/>
      <c r="I5172" s="53"/>
      <c r="U5172" s="31" t="n">
        <f aca="false">IF($B5172&lt;&gt;'設定（最初に1回）'!$C$4,N(U5171),IF(COUNTIFS(①今日の在庫を貼る!$B$6:$B$10005,$B5172,①今日の在庫を貼る!$I$6:$I$10005,$I5172)&gt;0,N(U5171),N(U5171)+1))</f>
        <v>2</v>
      </c>
    </row>
    <row r="5173" customFormat="false" ht="15" hidden="false" customHeight="false" outlineLevel="0" collapsed="false">
      <c r="B5173" s="53"/>
      <c r="I5173" s="53"/>
      <c r="U5173" s="31" t="n">
        <f aca="false">IF($B5173&lt;&gt;'設定（最初に1回）'!$C$4,N(U5172),IF(COUNTIFS(①今日の在庫を貼る!$B$6:$B$10005,$B5173,①今日の在庫を貼る!$I$6:$I$10005,$I5173)&gt;0,N(U5172),N(U5172)+1))</f>
        <v>2</v>
      </c>
    </row>
    <row r="5174" customFormat="false" ht="15" hidden="false" customHeight="false" outlineLevel="0" collapsed="false">
      <c r="B5174" s="53"/>
      <c r="I5174" s="53"/>
      <c r="U5174" s="31" t="n">
        <f aca="false">IF($B5174&lt;&gt;'設定（最初に1回）'!$C$4,N(U5173),IF(COUNTIFS(①今日の在庫を貼る!$B$6:$B$10005,$B5174,①今日の在庫を貼る!$I$6:$I$10005,$I5174)&gt;0,N(U5173),N(U5173)+1))</f>
        <v>2</v>
      </c>
    </row>
    <row r="5175" customFormat="false" ht="15" hidden="false" customHeight="false" outlineLevel="0" collapsed="false">
      <c r="B5175" s="53"/>
      <c r="I5175" s="53"/>
      <c r="U5175" s="31" t="n">
        <f aca="false">IF($B5175&lt;&gt;'設定（最初に1回）'!$C$4,N(U5174),IF(COUNTIFS(①今日の在庫を貼る!$B$6:$B$10005,$B5175,①今日の在庫を貼る!$I$6:$I$10005,$I5175)&gt;0,N(U5174),N(U5174)+1))</f>
        <v>2</v>
      </c>
    </row>
    <row r="5176" customFormat="false" ht="15" hidden="false" customHeight="false" outlineLevel="0" collapsed="false">
      <c r="B5176" s="53"/>
      <c r="I5176" s="53"/>
      <c r="U5176" s="31" t="n">
        <f aca="false">IF($B5176&lt;&gt;'設定（最初に1回）'!$C$4,N(U5175),IF(COUNTIFS(①今日の在庫を貼る!$B$6:$B$10005,$B5176,①今日の在庫を貼る!$I$6:$I$10005,$I5176)&gt;0,N(U5175),N(U5175)+1))</f>
        <v>2</v>
      </c>
    </row>
    <row r="5177" customFormat="false" ht="15" hidden="false" customHeight="false" outlineLevel="0" collapsed="false">
      <c r="B5177" s="53"/>
      <c r="I5177" s="53"/>
      <c r="U5177" s="31" t="n">
        <f aca="false">IF($B5177&lt;&gt;'設定（最初に1回）'!$C$4,N(U5176),IF(COUNTIFS(①今日の在庫を貼る!$B$6:$B$10005,$B5177,①今日の在庫を貼る!$I$6:$I$10005,$I5177)&gt;0,N(U5176),N(U5176)+1))</f>
        <v>2</v>
      </c>
    </row>
    <row r="5178" customFormat="false" ht="15" hidden="false" customHeight="false" outlineLevel="0" collapsed="false">
      <c r="B5178" s="53"/>
      <c r="I5178" s="53"/>
      <c r="U5178" s="31" t="n">
        <f aca="false">IF($B5178&lt;&gt;'設定（最初に1回）'!$C$4,N(U5177),IF(COUNTIFS(①今日の在庫を貼る!$B$6:$B$10005,$B5178,①今日の在庫を貼る!$I$6:$I$10005,$I5178)&gt;0,N(U5177),N(U5177)+1))</f>
        <v>2</v>
      </c>
    </row>
    <row r="5179" customFormat="false" ht="15" hidden="false" customHeight="false" outlineLevel="0" collapsed="false">
      <c r="B5179" s="53"/>
      <c r="I5179" s="53"/>
      <c r="U5179" s="31" t="n">
        <f aca="false">IF($B5179&lt;&gt;'設定（最初に1回）'!$C$4,N(U5178),IF(COUNTIFS(①今日の在庫を貼る!$B$6:$B$10005,$B5179,①今日の在庫を貼る!$I$6:$I$10005,$I5179)&gt;0,N(U5178),N(U5178)+1))</f>
        <v>2</v>
      </c>
    </row>
    <row r="5180" customFormat="false" ht="15" hidden="false" customHeight="false" outlineLevel="0" collapsed="false">
      <c r="B5180" s="53"/>
      <c r="I5180" s="53"/>
      <c r="U5180" s="31" t="n">
        <f aca="false">IF($B5180&lt;&gt;'設定（最初に1回）'!$C$4,N(U5179),IF(COUNTIFS(①今日の在庫を貼る!$B$6:$B$10005,$B5180,①今日の在庫を貼る!$I$6:$I$10005,$I5180)&gt;0,N(U5179),N(U5179)+1))</f>
        <v>2</v>
      </c>
    </row>
    <row r="5181" customFormat="false" ht="15" hidden="false" customHeight="false" outlineLevel="0" collapsed="false">
      <c r="B5181" s="53"/>
      <c r="I5181" s="53"/>
      <c r="U5181" s="31" t="n">
        <f aca="false">IF($B5181&lt;&gt;'設定（最初に1回）'!$C$4,N(U5180),IF(COUNTIFS(①今日の在庫を貼る!$B$6:$B$10005,$B5181,①今日の在庫を貼る!$I$6:$I$10005,$I5181)&gt;0,N(U5180),N(U5180)+1))</f>
        <v>2</v>
      </c>
    </row>
    <row r="5182" customFormat="false" ht="15" hidden="false" customHeight="false" outlineLevel="0" collapsed="false">
      <c r="B5182" s="53"/>
      <c r="I5182" s="53"/>
      <c r="U5182" s="31" t="n">
        <f aca="false">IF($B5182&lt;&gt;'設定（最初に1回）'!$C$4,N(U5181),IF(COUNTIFS(①今日の在庫を貼る!$B$6:$B$10005,$B5182,①今日の在庫を貼る!$I$6:$I$10005,$I5182)&gt;0,N(U5181),N(U5181)+1))</f>
        <v>2</v>
      </c>
    </row>
    <row r="5183" customFormat="false" ht="15" hidden="false" customHeight="false" outlineLevel="0" collapsed="false">
      <c r="B5183" s="53"/>
      <c r="I5183" s="53"/>
      <c r="U5183" s="31" t="n">
        <f aca="false">IF($B5183&lt;&gt;'設定（最初に1回）'!$C$4,N(U5182),IF(COUNTIFS(①今日の在庫を貼る!$B$6:$B$10005,$B5183,①今日の在庫を貼る!$I$6:$I$10005,$I5183)&gt;0,N(U5182),N(U5182)+1))</f>
        <v>2</v>
      </c>
    </row>
    <row r="5184" customFormat="false" ht="15" hidden="false" customHeight="false" outlineLevel="0" collapsed="false">
      <c r="B5184" s="53"/>
      <c r="I5184" s="53"/>
      <c r="U5184" s="31" t="n">
        <f aca="false">IF($B5184&lt;&gt;'設定（最初に1回）'!$C$4,N(U5183),IF(COUNTIFS(①今日の在庫を貼る!$B$6:$B$10005,$B5184,①今日の在庫を貼る!$I$6:$I$10005,$I5184)&gt;0,N(U5183),N(U5183)+1))</f>
        <v>2</v>
      </c>
    </row>
    <row r="5185" customFormat="false" ht="15" hidden="false" customHeight="false" outlineLevel="0" collapsed="false">
      <c r="B5185" s="53"/>
      <c r="I5185" s="53"/>
      <c r="U5185" s="31" t="n">
        <f aca="false">IF($B5185&lt;&gt;'設定（最初に1回）'!$C$4,N(U5184),IF(COUNTIFS(①今日の在庫を貼る!$B$6:$B$10005,$B5185,①今日の在庫を貼る!$I$6:$I$10005,$I5185)&gt;0,N(U5184),N(U5184)+1))</f>
        <v>2</v>
      </c>
    </row>
    <row r="5186" customFormat="false" ht="15" hidden="false" customHeight="false" outlineLevel="0" collapsed="false">
      <c r="B5186" s="53"/>
      <c r="I5186" s="53"/>
      <c r="U5186" s="31" t="n">
        <f aca="false">IF($B5186&lt;&gt;'設定（最初に1回）'!$C$4,N(U5185),IF(COUNTIFS(①今日の在庫を貼る!$B$6:$B$10005,$B5186,①今日の在庫を貼る!$I$6:$I$10005,$I5186)&gt;0,N(U5185),N(U5185)+1))</f>
        <v>2</v>
      </c>
    </row>
    <row r="5187" customFormat="false" ht="15" hidden="false" customHeight="false" outlineLevel="0" collapsed="false">
      <c r="B5187" s="53"/>
      <c r="I5187" s="53"/>
      <c r="U5187" s="31" t="n">
        <f aca="false">IF($B5187&lt;&gt;'設定（最初に1回）'!$C$4,N(U5186),IF(COUNTIFS(①今日の在庫を貼る!$B$6:$B$10005,$B5187,①今日の在庫を貼る!$I$6:$I$10005,$I5187)&gt;0,N(U5186),N(U5186)+1))</f>
        <v>2</v>
      </c>
    </row>
    <row r="5188" customFormat="false" ht="15" hidden="false" customHeight="false" outlineLevel="0" collapsed="false">
      <c r="B5188" s="53"/>
      <c r="I5188" s="53"/>
      <c r="U5188" s="31" t="n">
        <f aca="false">IF($B5188&lt;&gt;'設定（最初に1回）'!$C$4,N(U5187),IF(COUNTIFS(①今日の在庫を貼る!$B$6:$B$10005,$B5188,①今日の在庫を貼る!$I$6:$I$10005,$I5188)&gt;0,N(U5187),N(U5187)+1))</f>
        <v>2</v>
      </c>
    </row>
    <row r="5189" customFormat="false" ht="15" hidden="false" customHeight="false" outlineLevel="0" collapsed="false">
      <c r="B5189" s="53"/>
      <c r="I5189" s="53"/>
      <c r="U5189" s="31" t="n">
        <f aca="false">IF($B5189&lt;&gt;'設定（最初に1回）'!$C$4,N(U5188),IF(COUNTIFS(①今日の在庫を貼る!$B$6:$B$10005,$B5189,①今日の在庫を貼る!$I$6:$I$10005,$I5189)&gt;0,N(U5188),N(U5188)+1))</f>
        <v>2</v>
      </c>
    </row>
    <row r="5190" customFormat="false" ht="15" hidden="false" customHeight="false" outlineLevel="0" collapsed="false">
      <c r="B5190" s="53"/>
      <c r="I5190" s="53"/>
      <c r="U5190" s="31" t="n">
        <f aca="false">IF($B5190&lt;&gt;'設定（最初に1回）'!$C$4,N(U5189),IF(COUNTIFS(①今日の在庫を貼る!$B$6:$B$10005,$B5190,①今日の在庫を貼る!$I$6:$I$10005,$I5190)&gt;0,N(U5189),N(U5189)+1))</f>
        <v>2</v>
      </c>
    </row>
    <row r="5191" customFormat="false" ht="15" hidden="false" customHeight="false" outlineLevel="0" collapsed="false">
      <c r="B5191" s="53"/>
      <c r="I5191" s="53"/>
      <c r="U5191" s="31" t="n">
        <f aca="false">IF($B5191&lt;&gt;'設定（最初に1回）'!$C$4,N(U5190),IF(COUNTIFS(①今日の在庫を貼る!$B$6:$B$10005,$B5191,①今日の在庫を貼る!$I$6:$I$10005,$I5191)&gt;0,N(U5190),N(U5190)+1))</f>
        <v>2</v>
      </c>
    </row>
    <row r="5192" customFormat="false" ht="15" hidden="false" customHeight="false" outlineLevel="0" collapsed="false">
      <c r="B5192" s="53"/>
      <c r="I5192" s="53"/>
      <c r="U5192" s="31" t="n">
        <f aca="false">IF($B5192&lt;&gt;'設定（最初に1回）'!$C$4,N(U5191),IF(COUNTIFS(①今日の在庫を貼る!$B$6:$B$10005,$B5192,①今日の在庫を貼る!$I$6:$I$10005,$I5192)&gt;0,N(U5191),N(U5191)+1))</f>
        <v>2</v>
      </c>
    </row>
    <row r="5193" customFormat="false" ht="15" hidden="false" customHeight="false" outlineLevel="0" collapsed="false">
      <c r="B5193" s="53"/>
      <c r="I5193" s="53"/>
      <c r="U5193" s="31" t="n">
        <f aca="false">IF($B5193&lt;&gt;'設定（最初に1回）'!$C$4,N(U5192),IF(COUNTIFS(①今日の在庫を貼る!$B$6:$B$10005,$B5193,①今日の在庫を貼る!$I$6:$I$10005,$I5193)&gt;0,N(U5192),N(U5192)+1))</f>
        <v>2</v>
      </c>
    </row>
    <row r="5194" customFormat="false" ht="15" hidden="false" customHeight="false" outlineLevel="0" collapsed="false">
      <c r="B5194" s="53"/>
      <c r="I5194" s="53"/>
      <c r="U5194" s="31" t="n">
        <f aca="false">IF($B5194&lt;&gt;'設定（最初に1回）'!$C$4,N(U5193),IF(COUNTIFS(①今日の在庫を貼る!$B$6:$B$10005,$B5194,①今日の在庫を貼る!$I$6:$I$10005,$I5194)&gt;0,N(U5193),N(U5193)+1))</f>
        <v>2</v>
      </c>
    </row>
    <row r="5195" customFormat="false" ht="15" hidden="false" customHeight="false" outlineLevel="0" collapsed="false">
      <c r="B5195" s="53"/>
      <c r="I5195" s="53"/>
      <c r="U5195" s="31" t="n">
        <f aca="false">IF($B5195&lt;&gt;'設定（最初に1回）'!$C$4,N(U5194),IF(COUNTIFS(①今日の在庫を貼る!$B$6:$B$10005,$B5195,①今日の在庫を貼る!$I$6:$I$10005,$I5195)&gt;0,N(U5194),N(U5194)+1))</f>
        <v>2</v>
      </c>
    </row>
    <row r="5196" customFormat="false" ht="15" hidden="false" customHeight="false" outlineLevel="0" collapsed="false">
      <c r="B5196" s="53"/>
      <c r="I5196" s="53"/>
      <c r="U5196" s="31" t="n">
        <f aca="false">IF($B5196&lt;&gt;'設定（最初に1回）'!$C$4,N(U5195),IF(COUNTIFS(①今日の在庫を貼る!$B$6:$B$10005,$B5196,①今日の在庫を貼る!$I$6:$I$10005,$I5196)&gt;0,N(U5195),N(U5195)+1))</f>
        <v>2</v>
      </c>
    </row>
    <row r="5197" customFormat="false" ht="15" hidden="false" customHeight="false" outlineLevel="0" collapsed="false">
      <c r="B5197" s="53"/>
      <c r="I5197" s="53"/>
      <c r="U5197" s="31" t="n">
        <f aca="false">IF($B5197&lt;&gt;'設定（最初に1回）'!$C$4,N(U5196),IF(COUNTIFS(①今日の在庫を貼る!$B$6:$B$10005,$B5197,①今日の在庫を貼る!$I$6:$I$10005,$I5197)&gt;0,N(U5196),N(U5196)+1))</f>
        <v>2</v>
      </c>
    </row>
    <row r="5198" customFormat="false" ht="15" hidden="false" customHeight="false" outlineLevel="0" collapsed="false">
      <c r="B5198" s="53"/>
      <c r="I5198" s="53"/>
      <c r="U5198" s="31" t="n">
        <f aca="false">IF($B5198&lt;&gt;'設定（最初に1回）'!$C$4,N(U5197),IF(COUNTIFS(①今日の在庫を貼る!$B$6:$B$10005,$B5198,①今日の在庫を貼る!$I$6:$I$10005,$I5198)&gt;0,N(U5197),N(U5197)+1))</f>
        <v>2</v>
      </c>
    </row>
    <row r="5199" customFormat="false" ht="15" hidden="false" customHeight="false" outlineLevel="0" collapsed="false">
      <c r="B5199" s="53"/>
      <c r="I5199" s="53"/>
      <c r="U5199" s="31" t="n">
        <f aca="false">IF($B5199&lt;&gt;'設定（最初に1回）'!$C$4,N(U5198),IF(COUNTIFS(①今日の在庫を貼る!$B$6:$B$10005,$B5199,①今日の在庫を貼る!$I$6:$I$10005,$I5199)&gt;0,N(U5198),N(U5198)+1))</f>
        <v>2</v>
      </c>
    </row>
    <row r="5200" customFormat="false" ht="15" hidden="false" customHeight="false" outlineLevel="0" collapsed="false">
      <c r="B5200" s="53"/>
      <c r="I5200" s="53"/>
      <c r="U5200" s="31" t="n">
        <f aca="false">IF($B5200&lt;&gt;'設定（最初に1回）'!$C$4,N(U5199),IF(COUNTIFS(①今日の在庫を貼る!$B$6:$B$10005,$B5200,①今日の在庫を貼る!$I$6:$I$10005,$I5200)&gt;0,N(U5199),N(U5199)+1))</f>
        <v>2</v>
      </c>
    </row>
    <row r="5201" customFormat="false" ht="15" hidden="false" customHeight="false" outlineLevel="0" collapsed="false">
      <c r="B5201" s="53"/>
      <c r="I5201" s="53"/>
      <c r="U5201" s="31" t="n">
        <f aca="false">IF($B5201&lt;&gt;'設定（最初に1回）'!$C$4,N(U5200),IF(COUNTIFS(①今日の在庫を貼る!$B$6:$B$10005,$B5201,①今日の在庫を貼る!$I$6:$I$10005,$I5201)&gt;0,N(U5200),N(U5200)+1))</f>
        <v>2</v>
      </c>
    </row>
    <row r="5202" customFormat="false" ht="15" hidden="false" customHeight="false" outlineLevel="0" collapsed="false">
      <c r="B5202" s="53"/>
      <c r="I5202" s="53"/>
      <c r="U5202" s="31" t="n">
        <f aca="false">IF($B5202&lt;&gt;'設定（最初に1回）'!$C$4,N(U5201),IF(COUNTIFS(①今日の在庫を貼る!$B$6:$B$10005,$B5202,①今日の在庫を貼る!$I$6:$I$10005,$I5202)&gt;0,N(U5201),N(U5201)+1))</f>
        <v>2</v>
      </c>
    </row>
    <row r="5203" customFormat="false" ht="15" hidden="false" customHeight="false" outlineLevel="0" collapsed="false">
      <c r="B5203" s="53"/>
      <c r="I5203" s="53"/>
      <c r="U5203" s="31" t="n">
        <f aca="false">IF($B5203&lt;&gt;'設定（最初に1回）'!$C$4,N(U5202),IF(COUNTIFS(①今日の在庫を貼る!$B$6:$B$10005,$B5203,①今日の在庫を貼る!$I$6:$I$10005,$I5203)&gt;0,N(U5202),N(U5202)+1))</f>
        <v>2</v>
      </c>
    </row>
    <row r="5204" customFormat="false" ht="15" hidden="false" customHeight="false" outlineLevel="0" collapsed="false">
      <c r="B5204" s="53"/>
      <c r="I5204" s="53"/>
      <c r="U5204" s="31" t="n">
        <f aca="false">IF($B5204&lt;&gt;'設定（最初に1回）'!$C$4,N(U5203),IF(COUNTIFS(①今日の在庫を貼る!$B$6:$B$10005,$B5204,①今日の在庫を貼る!$I$6:$I$10005,$I5204)&gt;0,N(U5203),N(U5203)+1))</f>
        <v>2</v>
      </c>
    </row>
    <row r="5205" customFormat="false" ht="15" hidden="false" customHeight="false" outlineLevel="0" collapsed="false">
      <c r="B5205" s="53"/>
      <c r="I5205" s="53"/>
      <c r="U5205" s="31" t="n">
        <f aca="false">IF($B5205&lt;&gt;'設定（最初に1回）'!$C$4,N(U5204),IF(COUNTIFS(①今日の在庫を貼る!$B$6:$B$10005,$B5205,①今日の在庫を貼る!$I$6:$I$10005,$I5205)&gt;0,N(U5204),N(U5204)+1))</f>
        <v>2</v>
      </c>
    </row>
    <row r="5206" customFormat="false" ht="15" hidden="false" customHeight="false" outlineLevel="0" collapsed="false">
      <c r="B5206" s="53"/>
      <c r="I5206" s="53"/>
      <c r="U5206" s="31" t="n">
        <f aca="false">IF($B5206&lt;&gt;'設定（最初に1回）'!$C$4,N(U5205),IF(COUNTIFS(①今日の在庫を貼る!$B$6:$B$10005,$B5206,①今日の在庫を貼る!$I$6:$I$10005,$I5206)&gt;0,N(U5205),N(U5205)+1))</f>
        <v>2</v>
      </c>
    </row>
    <row r="5207" customFormat="false" ht="15" hidden="false" customHeight="false" outlineLevel="0" collapsed="false">
      <c r="B5207" s="53"/>
      <c r="I5207" s="53"/>
      <c r="U5207" s="31" t="n">
        <f aca="false">IF($B5207&lt;&gt;'設定（最初に1回）'!$C$4,N(U5206),IF(COUNTIFS(①今日の在庫を貼る!$B$6:$B$10005,$B5207,①今日の在庫を貼る!$I$6:$I$10005,$I5207)&gt;0,N(U5206),N(U5206)+1))</f>
        <v>2</v>
      </c>
    </row>
    <row r="5208" customFormat="false" ht="15" hidden="false" customHeight="false" outlineLevel="0" collapsed="false">
      <c r="B5208" s="53"/>
      <c r="I5208" s="53"/>
      <c r="U5208" s="31" t="n">
        <f aca="false">IF($B5208&lt;&gt;'設定（最初に1回）'!$C$4,N(U5207),IF(COUNTIFS(①今日の在庫を貼る!$B$6:$B$10005,$B5208,①今日の在庫を貼る!$I$6:$I$10005,$I5208)&gt;0,N(U5207),N(U5207)+1))</f>
        <v>2</v>
      </c>
    </row>
    <row r="5209" customFormat="false" ht="15" hidden="false" customHeight="false" outlineLevel="0" collapsed="false">
      <c r="B5209" s="53"/>
      <c r="I5209" s="53"/>
      <c r="U5209" s="31" t="n">
        <f aca="false">IF($B5209&lt;&gt;'設定（最初に1回）'!$C$4,N(U5208),IF(COUNTIFS(①今日の在庫を貼る!$B$6:$B$10005,$B5209,①今日の在庫を貼る!$I$6:$I$10005,$I5209)&gt;0,N(U5208),N(U5208)+1))</f>
        <v>2</v>
      </c>
    </row>
    <row r="5210" customFormat="false" ht="15" hidden="false" customHeight="false" outlineLevel="0" collapsed="false">
      <c r="B5210" s="53"/>
      <c r="I5210" s="53"/>
      <c r="U5210" s="31" t="n">
        <f aca="false">IF($B5210&lt;&gt;'設定（最初に1回）'!$C$4,N(U5209),IF(COUNTIFS(①今日の在庫を貼る!$B$6:$B$10005,$B5210,①今日の在庫を貼る!$I$6:$I$10005,$I5210)&gt;0,N(U5209),N(U5209)+1))</f>
        <v>2</v>
      </c>
    </row>
    <row r="5211" customFormat="false" ht="15" hidden="false" customHeight="false" outlineLevel="0" collapsed="false">
      <c r="B5211" s="53"/>
      <c r="I5211" s="53"/>
      <c r="U5211" s="31" t="n">
        <f aca="false">IF($B5211&lt;&gt;'設定（最初に1回）'!$C$4,N(U5210),IF(COUNTIFS(①今日の在庫を貼る!$B$6:$B$10005,$B5211,①今日の在庫を貼る!$I$6:$I$10005,$I5211)&gt;0,N(U5210),N(U5210)+1))</f>
        <v>2</v>
      </c>
    </row>
    <row r="5212" customFormat="false" ht="15" hidden="false" customHeight="false" outlineLevel="0" collapsed="false">
      <c r="B5212" s="53"/>
      <c r="I5212" s="53"/>
      <c r="U5212" s="31" t="n">
        <f aca="false">IF($B5212&lt;&gt;'設定（最初に1回）'!$C$4,N(U5211),IF(COUNTIFS(①今日の在庫を貼る!$B$6:$B$10005,$B5212,①今日の在庫を貼る!$I$6:$I$10005,$I5212)&gt;0,N(U5211),N(U5211)+1))</f>
        <v>2</v>
      </c>
    </row>
    <row r="5213" customFormat="false" ht="15" hidden="false" customHeight="false" outlineLevel="0" collapsed="false">
      <c r="B5213" s="53"/>
      <c r="I5213" s="53"/>
      <c r="U5213" s="31" t="n">
        <f aca="false">IF($B5213&lt;&gt;'設定（最初に1回）'!$C$4,N(U5212),IF(COUNTIFS(①今日の在庫を貼る!$B$6:$B$10005,$B5213,①今日の在庫を貼る!$I$6:$I$10005,$I5213)&gt;0,N(U5212),N(U5212)+1))</f>
        <v>2</v>
      </c>
    </row>
    <row r="5214" customFormat="false" ht="15" hidden="false" customHeight="false" outlineLevel="0" collapsed="false">
      <c r="B5214" s="53"/>
      <c r="I5214" s="53"/>
      <c r="U5214" s="31" t="n">
        <f aca="false">IF($B5214&lt;&gt;'設定（最初に1回）'!$C$4,N(U5213),IF(COUNTIFS(①今日の在庫を貼る!$B$6:$B$10005,$B5214,①今日の在庫を貼る!$I$6:$I$10005,$I5214)&gt;0,N(U5213),N(U5213)+1))</f>
        <v>2</v>
      </c>
    </row>
    <row r="5215" customFormat="false" ht="15" hidden="false" customHeight="false" outlineLevel="0" collapsed="false">
      <c r="B5215" s="53"/>
      <c r="I5215" s="53"/>
      <c r="U5215" s="31" t="n">
        <f aca="false">IF($B5215&lt;&gt;'設定（最初に1回）'!$C$4,N(U5214),IF(COUNTIFS(①今日の在庫を貼る!$B$6:$B$10005,$B5215,①今日の在庫を貼る!$I$6:$I$10005,$I5215)&gt;0,N(U5214),N(U5214)+1))</f>
        <v>2</v>
      </c>
    </row>
    <row r="5216" customFormat="false" ht="15" hidden="false" customHeight="false" outlineLevel="0" collapsed="false">
      <c r="B5216" s="53"/>
      <c r="I5216" s="53"/>
      <c r="U5216" s="31" t="n">
        <f aca="false">IF($B5216&lt;&gt;'設定（最初に1回）'!$C$4,N(U5215),IF(COUNTIFS(①今日の在庫を貼る!$B$6:$B$10005,$B5216,①今日の在庫を貼る!$I$6:$I$10005,$I5216)&gt;0,N(U5215),N(U5215)+1))</f>
        <v>2</v>
      </c>
    </row>
    <row r="5217" customFormat="false" ht="15" hidden="false" customHeight="false" outlineLevel="0" collapsed="false">
      <c r="B5217" s="53"/>
      <c r="I5217" s="53"/>
      <c r="U5217" s="31" t="n">
        <f aca="false">IF($B5217&lt;&gt;'設定（最初に1回）'!$C$4,N(U5216),IF(COUNTIFS(①今日の在庫を貼る!$B$6:$B$10005,$B5217,①今日の在庫を貼る!$I$6:$I$10005,$I5217)&gt;0,N(U5216),N(U5216)+1))</f>
        <v>2</v>
      </c>
    </row>
    <row r="5218" customFormat="false" ht="15" hidden="false" customHeight="false" outlineLevel="0" collapsed="false">
      <c r="B5218" s="53"/>
      <c r="I5218" s="53"/>
      <c r="U5218" s="31" t="n">
        <f aca="false">IF($B5218&lt;&gt;'設定（最初に1回）'!$C$4,N(U5217),IF(COUNTIFS(①今日の在庫を貼る!$B$6:$B$10005,$B5218,①今日の在庫を貼る!$I$6:$I$10005,$I5218)&gt;0,N(U5217),N(U5217)+1))</f>
        <v>2</v>
      </c>
    </row>
    <row r="5219" customFormat="false" ht="15" hidden="false" customHeight="false" outlineLevel="0" collapsed="false">
      <c r="B5219" s="53"/>
      <c r="I5219" s="53"/>
      <c r="U5219" s="31" t="n">
        <f aca="false">IF($B5219&lt;&gt;'設定（最初に1回）'!$C$4,N(U5218),IF(COUNTIFS(①今日の在庫を貼る!$B$6:$B$10005,$B5219,①今日の在庫を貼る!$I$6:$I$10005,$I5219)&gt;0,N(U5218),N(U5218)+1))</f>
        <v>2</v>
      </c>
    </row>
    <row r="5220" customFormat="false" ht="15" hidden="false" customHeight="false" outlineLevel="0" collapsed="false">
      <c r="B5220" s="53"/>
      <c r="I5220" s="53"/>
      <c r="U5220" s="31" t="n">
        <f aca="false">IF($B5220&lt;&gt;'設定（最初に1回）'!$C$4,N(U5219),IF(COUNTIFS(①今日の在庫を貼る!$B$6:$B$10005,$B5220,①今日の在庫を貼る!$I$6:$I$10005,$I5220)&gt;0,N(U5219),N(U5219)+1))</f>
        <v>2</v>
      </c>
    </row>
    <row r="5221" customFormat="false" ht="15" hidden="false" customHeight="false" outlineLevel="0" collapsed="false">
      <c r="B5221" s="53"/>
      <c r="I5221" s="53"/>
      <c r="U5221" s="31" t="n">
        <f aca="false">IF($B5221&lt;&gt;'設定（最初に1回）'!$C$4,N(U5220),IF(COUNTIFS(①今日の在庫を貼る!$B$6:$B$10005,$B5221,①今日の在庫を貼る!$I$6:$I$10005,$I5221)&gt;0,N(U5220),N(U5220)+1))</f>
        <v>2</v>
      </c>
    </row>
    <row r="5222" customFormat="false" ht="15" hidden="false" customHeight="false" outlineLevel="0" collapsed="false">
      <c r="B5222" s="53"/>
      <c r="I5222" s="53"/>
      <c r="U5222" s="31" t="n">
        <f aca="false">IF($B5222&lt;&gt;'設定（最初に1回）'!$C$4,N(U5221),IF(COUNTIFS(①今日の在庫を貼る!$B$6:$B$10005,$B5222,①今日の在庫を貼る!$I$6:$I$10005,$I5222)&gt;0,N(U5221),N(U5221)+1))</f>
        <v>2</v>
      </c>
    </row>
    <row r="5223" customFormat="false" ht="15" hidden="false" customHeight="false" outlineLevel="0" collapsed="false">
      <c r="B5223" s="53"/>
      <c r="I5223" s="53"/>
      <c r="U5223" s="31" t="n">
        <f aca="false">IF($B5223&lt;&gt;'設定（最初に1回）'!$C$4,N(U5222),IF(COUNTIFS(①今日の在庫を貼る!$B$6:$B$10005,$B5223,①今日の在庫を貼る!$I$6:$I$10005,$I5223)&gt;0,N(U5222),N(U5222)+1))</f>
        <v>2</v>
      </c>
    </row>
    <row r="5224" customFormat="false" ht="15" hidden="false" customHeight="false" outlineLevel="0" collapsed="false">
      <c r="B5224" s="53"/>
      <c r="I5224" s="53"/>
      <c r="U5224" s="31" t="n">
        <f aca="false">IF($B5224&lt;&gt;'設定（最初に1回）'!$C$4,N(U5223),IF(COUNTIFS(①今日の在庫を貼る!$B$6:$B$10005,$B5224,①今日の在庫を貼る!$I$6:$I$10005,$I5224)&gt;0,N(U5223),N(U5223)+1))</f>
        <v>2</v>
      </c>
    </row>
    <row r="5225" customFormat="false" ht="15" hidden="false" customHeight="false" outlineLevel="0" collapsed="false">
      <c r="B5225" s="53"/>
      <c r="I5225" s="53"/>
      <c r="U5225" s="31" t="n">
        <f aca="false">IF($B5225&lt;&gt;'設定（最初に1回）'!$C$4,N(U5224),IF(COUNTIFS(①今日の在庫を貼る!$B$6:$B$10005,$B5225,①今日の在庫を貼る!$I$6:$I$10005,$I5225)&gt;0,N(U5224),N(U5224)+1))</f>
        <v>2</v>
      </c>
    </row>
    <row r="5226" customFormat="false" ht="15" hidden="false" customHeight="false" outlineLevel="0" collapsed="false">
      <c r="B5226" s="53"/>
      <c r="I5226" s="53"/>
      <c r="U5226" s="31" t="n">
        <f aca="false">IF($B5226&lt;&gt;'設定（最初に1回）'!$C$4,N(U5225),IF(COUNTIFS(①今日の在庫を貼る!$B$6:$B$10005,$B5226,①今日の在庫を貼る!$I$6:$I$10005,$I5226)&gt;0,N(U5225),N(U5225)+1))</f>
        <v>2</v>
      </c>
    </row>
    <row r="5227" customFormat="false" ht="15" hidden="false" customHeight="false" outlineLevel="0" collapsed="false">
      <c r="B5227" s="53"/>
      <c r="I5227" s="53"/>
      <c r="U5227" s="31" t="n">
        <f aca="false">IF($B5227&lt;&gt;'設定（最初に1回）'!$C$4,N(U5226),IF(COUNTIFS(①今日の在庫を貼る!$B$6:$B$10005,$B5227,①今日の在庫を貼る!$I$6:$I$10005,$I5227)&gt;0,N(U5226),N(U5226)+1))</f>
        <v>2</v>
      </c>
    </row>
    <row r="5228" customFormat="false" ht="15" hidden="false" customHeight="false" outlineLevel="0" collapsed="false">
      <c r="B5228" s="53"/>
      <c r="I5228" s="53"/>
      <c r="U5228" s="31" t="n">
        <f aca="false">IF($B5228&lt;&gt;'設定（最初に1回）'!$C$4,N(U5227),IF(COUNTIFS(①今日の在庫を貼る!$B$6:$B$10005,$B5228,①今日の在庫を貼る!$I$6:$I$10005,$I5228)&gt;0,N(U5227),N(U5227)+1))</f>
        <v>2</v>
      </c>
    </row>
    <row r="5229" customFormat="false" ht="15" hidden="false" customHeight="false" outlineLevel="0" collapsed="false">
      <c r="B5229" s="53"/>
      <c r="I5229" s="53"/>
      <c r="U5229" s="31" t="n">
        <f aca="false">IF($B5229&lt;&gt;'設定（最初に1回）'!$C$4,N(U5228),IF(COUNTIFS(①今日の在庫を貼る!$B$6:$B$10005,$B5229,①今日の在庫を貼る!$I$6:$I$10005,$I5229)&gt;0,N(U5228),N(U5228)+1))</f>
        <v>2</v>
      </c>
    </row>
    <row r="5230" customFormat="false" ht="15" hidden="false" customHeight="false" outlineLevel="0" collapsed="false">
      <c r="B5230" s="53"/>
      <c r="I5230" s="53"/>
      <c r="U5230" s="31" t="n">
        <f aca="false">IF($B5230&lt;&gt;'設定（最初に1回）'!$C$4,N(U5229),IF(COUNTIFS(①今日の在庫を貼る!$B$6:$B$10005,$B5230,①今日の在庫を貼る!$I$6:$I$10005,$I5230)&gt;0,N(U5229),N(U5229)+1))</f>
        <v>2</v>
      </c>
    </row>
    <row r="5231" customFormat="false" ht="15" hidden="false" customHeight="false" outlineLevel="0" collapsed="false">
      <c r="B5231" s="53"/>
      <c r="I5231" s="53"/>
      <c r="U5231" s="31" t="n">
        <f aca="false">IF($B5231&lt;&gt;'設定（最初に1回）'!$C$4,N(U5230),IF(COUNTIFS(①今日の在庫を貼る!$B$6:$B$10005,$B5231,①今日の在庫を貼る!$I$6:$I$10005,$I5231)&gt;0,N(U5230),N(U5230)+1))</f>
        <v>2</v>
      </c>
    </row>
    <row r="5232" customFormat="false" ht="15" hidden="false" customHeight="false" outlineLevel="0" collapsed="false">
      <c r="B5232" s="53"/>
      <c r="I5232" s="53"/>
      <c r="U5232" s="31" t="n">
        <f aca="false">IF($B5232&lt;&gt;'設定（最初に1回）'!$C$4,N(U5231),IF(COUNTIFS(①今日の在庫を貼る!$B$6:$B$10005,$B5232,①今日の在庫を貼る!$I$6:$I$10005,$I5232)&gt;0,N(U5231),N(U5231)+1))</f>
        <v>2</v>
      </c>
    </row>
    <row r="5233" customFormat="false" ht="15" hidden="false" customHeight="false" outlineLevel="0" collapsed="false">
      <c r="B5233" s="53"/>
      <c r="I5233" s="53"/>
      <c r="U5233" s="31" t="n">
        <f aca="false">IF($B5233&lt;&gt;'設定（最初に1回）'!$C$4,N(U5232),IF(COUNTIFS(①今日の在庫を貼る!$B$6:$B$10005,$B5233,①今日の在庫を貼る!$I$6:$I$10005,$I5233)&gt;0,N(U5232),N(U5232)+1))</f>
        <v>2</v>
      </c>
    </row>
    <row r="5234" customFormat="false" ht="15" hidden="false" customHeight="false" outlineLevel="0" collapsed="false">
      <c r="B5234" s="53"/>
      <c r="I5234" s="53"/>
      <c r="U5234" s="31" t="n">
        <f aca="false">IF($B5234&lt;&gt;'設定（最初に1回）'!$C$4,N(U5233),IF(COUNTIFS(①今日の在庫を貼る!$B$6:$B$10005,$B5234,①今日の在庫を貼る!$I$6:$I$10005,$I5234)&gt;0,N(U5233),N(U5233)+1))</f>
        <v>2</v>
      </c>
    </row>
    <row r="5235" customFormat="false" ht="15" hidden="false" customHeight="false" outlineLevel="0" collapsed="false">
      <c r="B5235" s="53"/>
      <c r="I5235" s="53"/>
      <c r="U5235" s="31" t="n">
        <f aca="false">IF($B5235&lt;&gt;'設定（最初に1回）'!$C$4,N(U5234),IF(COUNTIFS(①今日の在庫を貼る!$B$6:$B$10005,$B5235,①今日の在庫を貼る!$I$6:$I$10005,$I5235)&gt;0,N(U5234),N(U5234)+1))</f>
        <v>2</v>
      </c>
    </row>
    <row r="5236" customFormat="false" ht="15" hidden="false" customHeight="false" outlineLevel="0" collapsed="false">
      <c r="B5236" s="53"/>
      <c r="I5236" s="53"/>
      <c r="U5236" s="31" t="n">
        <f aca="false">IF($B5236&lt;&gt;'設定（最初に1回）'!$C$4,N(U5235),IF(COUNTIFS(①今日の在庫を貼る!$B$6:$B$10005,$B5236,①今日の在庫を貼る!$I$6:$I$10005,$I5236)&gt;0,N(U5235),N(U5235)+1))</f>
        <v>2</v>
      </c>
    </row>
    <row r="5237" customFormat="false" ht="15" hidden="false" customHeight="false" outlineLevel="0" collapsed="false">
      <c r="B5237" s="53"/>
      <c r="I5237" s="53"/>
      <c r="U5237" s="31" t="n">
        <f aca="false">IF($B5237&lt;&gt;'設定（最初に1回）'!$C$4,N(U5236),IF(COUNTIFS(①今日の在庫を貼る!$B$6:$B$10005,$B5237,①今日の在庫を貼る!$I$6:$I$10005,$I5237)&gt;0,N(U5236),N(U5236)+1))</f>
        <v>2</v>
      </c>
    </row>
    <row r="5238" customFormat="false" ht="15" hidden="false" customHeight="false" outlineLevel="0" collapsed="false">
      <c r="B5238" s="53"/>
      <c r="I5238" s="53"/>
      <c r="U5238" s="31" t="n">
        <f aca="false">IF($B5238&lt;&gt;'設定（最初に1回）'!$C$4,N(U5237),IF(COUNTIFS(①今日の在庫を貼る!$B$6:$B$10005,$B5238,①今日の在庫を貼る!$I$6:$I$10005,$I5238)&gt;0,N(U5237),N(U5237)+1))</f>
        <v>2</v>
      </c>
    </row>
    <row r="5239" customFormat="false" ht="15" hidden="false" customHeight="false" outlineLevel="0" collapsed="false">
      <c r="B5239" s="53"/>
      <c r="I5239" s="53"/>
      <c r="U5239" s="31" t="n">
        <f aca="false">IF($B5239&lt;&gt;'設定（最初に1回）'!$C$4,N(U5238),IF(COUNTIFS(①今日の在庫を貼る!$B$6:$B$10005,$B5239,①今日の在庫を貼る!$I$6:$I$10005,$I5239)&gt;0,N(U5238),N(U5238)+1))</f>
        <v>2</v>
      </c>
    </row>
    <row r="5240" customFormat="false" ht="15" hidden="false" customHeight="false" outlineLevel="0" collapsed="false">
      <c r="B5240" s="53"/>
      <c r="I5240" s="53"/>
      <c r="U5240" s="31" t="n">
        <f aca="false">IF($B5240&lt;&gt;'設定（最初に1回）'!$C$4,N(U5239),IF(COUNTIFS(①今日の在庫を貼る!$B$6:$B$10005,$B5240,①今日の在庫を貼る!$I$6:$I$10005,$I5240)&gt;0,N(U5239),N(U5239)+1))</f>
        <v>2</v>
      </c>
    </row>
    <row r="5241" customFormat="false" ht="15" hidden="false" customHeight="false" outlineLevel="0" collapsed="false">
      <c r="B5241" s="53"/>
      <c r="I5241" s="53"/>
      <c r="U5241" s="31" t="n">
        <f aca="false">IF($B5241&lt;&gt;'設定（最初に1回）'!$C$4,N(U5240),IF(COUNTIFS(①今日の在庫を貼る!$B$6:$B$10005,$B5241,①今日の在庫を貼る!$I$6:$I$10005,$I5241)&gt;0,N(U5240),N(U5240)+1))</f>
        <v>2</v>
      </c>
    </row>
    <row r="5242" customFormat="false" ht="15" hidden="false" customHeight="false" outlineLevel="0" collapsed="false">
      <c r="B5242" s="53"/>
      <c r="I5242" s="53"/>
      <c r="U5242" s="31" t="n">
        <f aca="false">IF($B5242&lt;&gt;'設定（最初に1回）'!$C$4,N(U5241),IF(COUNTIFS(①今日の在庫を貼る!$B$6:$B$10005,$B5242,①今日の在庫を貼る!$I$6:$I$10005,$I5242)&gt;0,N(U5241),N(U5241)+1))</f>
        <v>2</v>
      </c>
    </row>
    <row r="5243" customFormat="false" ht="15" hidden="false" customHeight="false" outlineLevel="0" collapsed="false">
      <c r="B5243" s="53"/>
      <c r="I5243" s="53"/>
      <c r="U5243" s="31" t="n">
        <f aca="false">IF($B5243&lt;&gt;'設定（最初に1回）'!$C$4,N(U5242),IF(COUNTIFS(①今日の在庫を貼る!$B$6:$B$10005,$B5243,①今日の在庫を貼る!$I$6:$I$10005,$I5243)&gt;0,N(U5242),N(U5242)+1))</f>
        <v>2</v>
      </c>
    </row>
    <row r="5244" customFormat="false" ht="15" hidden="false" customHeight="false" outlineLevel="0" collapsed="false">
      <c r="B5244" s="53"/>
      <c r="I5244" s="53"/>
      <c r="U5244" s="31" t="n">
        <f aca="false">IF($B5244&lt;&gt;'設定（最初に1回）'!$C$4,N(U5243),IF(COUNTIFS(①今日の在庫を貼る!$B$6:$B$10005,$B5244,①今日の在庫を貼る!$I$6:$I$10005,$I5244)&gt;0,N(U5243),N(U5243)+1))</f>
        <v>2</v>
      </c>
    </row>
    <row r="5245" customFormat="false" ht="15" hidden="false" customHeight="false" outlineLevel="0" collapsed="false">
      <c r="B5245" s="53"/>
      <c r="I5245" s="53"/>
      <c r="U5245" s="31" t="n">
        <f aca="false">IF($B5245&lt;&gt;'設定（最初に1回）'!$C$4,N(U5244),IF(COUNTIFS(①今日の在庫を貼る!$B$6:$B$10005,$B5245,①今日の在庫を貼る!$I$6:$I$10005,$I5245)&gt;0,N(U5244),N(U5244)+1))</f>
        <v>2</v>
      </c>
    </row>
    <row r="5246" customFormat="false" ht="15" hidden="false" customHeight="false" outlineLevel="0" collapsed="false">
      <c r="B5246" s="53"/>
      <c r="I5246" s="53"/>
      <c r="U5246" s="31" t="n">
        <f aca="false">IF($B5246&lt;&gt;'設定（最初に1回）'!$C$4,N(U5245),IF(COUNTIFS(①今日の在庫を貼る!$B$6:$B$10005,$B5246,①今日の在庫を貼る!$I$6:$I$10005,$I5246)&gt;0,N(U5245),N(U5245)+1))</f>
        <v>2</v>
      </c>
    </row>
    <row r="5247" customFormat="false" ht="15" hidden="false" customHeight="false" outlineLevel="0" collapsed="false">
      <c r="B5247" s="53"/>
      <c r="I5247" s="53"/>
      <c r="U5247" s="31" t="n">
        <f aca="false">IF($B5247&lt;&gt;'設定（最初に1回）'!$C$4,N(U5246),IF(COUNTIFS(①今日の在庫を貼る!$B$6:$B$10005,$B5247,①今日の在庫を貼る!$I$6:$I$10005,$I5247)&gt;0,N(U5246),N(U5246)+1))</f>
        <v>2</v>
      </c>
    </row>
    <row r="5248" customFormat="false" ht="15" hidden="false" customHeight="false" outlineLevel="0" collapsed="false">
      <c r="B5248" s="53"/>
      <c r="I5248" s="53"/>
      <c r="U5248" s="31" t="n">
        <f aca="false">IF($B5248&lt;&gt;'設定（最初に1回）'!$C$4,N(U5247),IF(COUNTIFS(①今日の在庫を貼る!$B$6:$B$10005,$B5248,①今日の在庫を貼る!$I$6:$I$10005,$I5248)&gt;0,N(U5247),N(U5247)+1))</f>
        <v>2</v>
      </c>
    </row>
    <row r="5249" customFormat="false" ht="15" hidden="false" customHeight="false" outlineLevel="0" collapsed="false">
      <c r="B5249" s="53"/>
      <c r="I5249" s="53"/>
      <c r="U5249" s="31" t="n">
        <f aca="false">IF($B5249&lt;&gt;'設定（最初に1回）'!$C$4,N(U5248),IF(COUNTIFS(①今日の在庫を貼る!$B$6:$B$10005,$B5249,①今日の在庫を貼る!$I$6:$I$10005,$I5249)&gt;0,N(U5248),N(U5248)+1))</f>
        <v>2</v>
      </c>
    </row>
    <row r="5250" customFormat="false" ht="15" hidden="false" customHeight="false" outlineLevel="0" collapsed="false">
      <c r="B5250" s="53"/>
      <c r="I5250" s="53"/>
      <c r="U5250" s="31" t="n">
        <f aca="false">IF($B5250&lt;&gt;'設定（最初に1回）'!$C$4,N(U5249),IF(COUNTIFS(①今日の在庫を貼る!$B$6:$B$10005,$B5250,①今日の在庫を貼る!$I$6:$I$10005,$I5250)&gt;0,N(U5249),N(U5249)+1))</f>
        <v>2</v>
      </c>
    </row>
    <row r="5251" customFormat="false" ht="15" hidden="false" customHeight="false" outlineLevel="0" collapsed="false">
      <c r="B5251" s="53"/>
      <c r="I5251" s="53"/>
      <c r="U5251" s="31" t="n">
        <f aca="false">IF($B5251&lt;&gt;'設定（最初に1回）'!$C$4,N(U5250),IF(COUNTIFS(①今日の在庫を貼る!$B$6:$B$10005,$B5251,①今日の在庫を貼る!$I$6:$I$10005,$I5251)&gt;0,N(U5250),N(U5250)+1))</f>
        <v>2</v>
      </c>
    </row>
    <row r="5252" customFormat="false" ht="15" hidden="false" customHeight="false" outlineLevel="0" collapsed="false">
      <c r="B5252" s="53"/>
      <c r="I5252" s="53"/>
      <c r="U5252" s="31" t="n">
        <f aca="false">IF($B5252&lt;&gt;'設定（最初に1回）'!$C$4,N(U5251),IF(COUNTIFS(①今日の在庫を貼る!$B$6:$B$10005,$B5252,①今日の在庫を貼る!$I$6:$I$10005,$I5252)&gt;0,N(U5251),N(U5251)+1))</f>
        <v>2</v>
      </c>
    </row>
    <row r="5253" customFormat="false" ht="15" hidden="false" customHeight="false" outlineLevel="0" collapsed="false">
      <c r="B5253" s="53"/>
      <c r="I5253" s="53"/>
      <c r="U5253" s="31" t="n">
        <f aca="false">IF($B5253&lt;&gt;'設定（最初に1回）'!$C$4,N(U5252),IF(COUNTIFS(①今日の在庫を貼る!$B$6:$B$10005,$B5253,①今日の在庫を貼る!$I$6:$I$10005,$I5253)&gt;0,N(U5252),N(U5252)+1))</f>
        <v>2</v>
      </c>
    </row>
    <row r="5254" customFormat="false" ht="15" hidden="false" customHeight="false" outlineLevel="0" collapsed="false">
      <c r="B5254" s="53"/>
      <c r="I5254" s="53"/>
      <c r="U5254" s="31" t="n">
        <f aca="false">IF($B5254&lt;&gt;'設定（最初に1回）'!$C$4,N(U5253),IF(COUNTIFS(①今日の在庫を貼る!$B$6:$B$10005,$B5254,①今日の在庫を貼る!$I$6:$I$10005,$I5254)&gt;0,N(U5253),N(U5253)+1))</f>
        <v>2</v>
      </c>
    </row>
    <row r="5255" customFormat="false" ht="15" hidden="false" customHeight="false" outlineLevel="0" collapsed="false">
      <c r="B5255" s="53"/>
      <c r="I5255" s="53"/>
      <c r="U5255" s="31" t="n">
        <f aca="false">IF($B5255&lt;&gt;'設定（最初に1回）'!$C$4,N(U5254),IF(COUNTIFS(①今日の在庫を貼る!$B$6:$B$10005,$B5255,①今日の在庫を貼る!$I$6:$I$10005,$I5255)&gt;0,N(U5254),N(U5254)+1))</f>
        <v>2</v>
      </c>
    </row>
    <row r="5256" customFormat="false" ht="15" hidden="false" customHeight="false" outlineLevel="0" collapsed="false">
      <c r="B5256" s="53"/>
      <c r="I5256" s="53"/>
      <c r="U5256" s="31" t="n">
        <f aca="false">IF($B5256&lt;&gt;'設定（最初に1回）'!$C$4,N(U5255),IF(COUNTIFS(①今日の在庫を貼る!$B$6:$B$10005,$B5256,①今日の在庫を貼る!$I$6:$I$10005,$I5256)&gt;0,N(U5255),N(U5255)+1))</f>
        <v>2</v>
      </c>
    </row>
    <row r="5257" customFormat="false" ht="15" hidden="false" customHeight="false" outlineLevel="0" collapsed="false">
      <c r="B5257" s="53"/>
      <c r="I5257" s="53"/>
      <c r="U5257" s="31" t="n">
        <f aca="false">IF($B5257&lt;&gt;'設定（最初に1回）'!$C$4,N(U5256),IF(COUNTIFS(①今日の在庫を貼る!$B$6:$B$10005,$B5257,①今日の在庫を貼る!$I$6:$I$10005,$I5257)&gt;0,N(U5256),N(U5256)+1))</f>
        <v>2</v>
      </c>
    </row>
    <row r="5258" customFormat="false" ht="15" hidden="false" customHeight="false" outlineLevel="0" collapsed="false">
      <c r="B5258" s="53"/>
      <c r="I5258" s="53"/>
      <c r="U5258" s="31" t="n">
        <f aca="false">IF($B5258&lt;&gt;'設定（最初に1回）'!$C$4,N(U5257),IF(COUNTIFS(①今日の在庫を貼る!$B$6:$B$10005,$B5258,①今日の在庫を貼る!$I$6:$I$10005,$I5258)&gt;0,N(U5257),N(U5257)+1))</f>
        <v>2</v>
      </c>
    </row>
    <row r="5259" customFormat="false" ht="15" hidden="false" customHeight="false" outlineLevel="0" collapsed="false">
      <c r="B5259" s="53"/>
      <c r="I5259" s="53"/>
      <c r="U5259" s="31" t="n">
        <f aca="false">IF($B5259&lt;&gt;'設定（最初に1回）'!$C$4,N(U5258),IF(COUNTIFS(①今日の在庫を貼る!$B$6:$B$10005,$B5259,①今日の在庫を貼る!$I$6:$I$10005,$I5259)&gt;0,N(U5258),N(U5258)+1))</f>
        <v>2</v>
      </c>
    </row>
    <row r="5260" customFormat="false" ht="15" hidden="false" customHeight="false" outlineLevel="0" collapsed="false">
      <c r="B5260" s="53"/>
      <c r="I5260" s="53"/>
      <c r="U5260" s="31" t="n">
        <f aca="false">IF($B5260&lt;&gt;'設定（最初に1回）'!$C$4,N(U5259),IF(COUNTIFS(①今日の在庫を貼る!$B$6:$B$10005,$B5260,①今日の在庫を貼る!$I$6:$I$10005,$I5260)&gt;0,N(U5259),N(U5259)+1))</f>
        <v>2</v>
      </c>
    </row>
    <row r="5261" customFormat="false" ht="15" hidden="false" customHeight="false" outlineLevel="0" collapsed="false">
      <c r="B5261" s="53"/>
      <c r="I5261" s="53"/>
      <c r="U5261" s="31" t="n">
        <f aca="false">IF($B5261&lt;&gt;'設定（最初に1回）'!$C$4,N(U5260),IF(COUNTIFS(①今日の在庫を貼る!$B$6:$B$10005,$B5261,①今日の在庫を貼る!$I$6:$I$10005,$I5261)&gt;0,N(U5260),N(U5260)+1))</f>
        <v>2</v>
      </c>
    </row>
    <row r="5262" customFormat="false" ht="15" hidden="false" customHeight="false" outlineLevel="0" collapsed="false">
      <c r="B5262" s="53"/>
      <c r="I5262" s="53"/>
      <c r="U5262" s="31" t="n">
        <f aca="false">IF($B5262&lt;&gt;'設定（最初に1回）'!$C$4,N(U5261),IF(COUNTIFS(①今日の在庫を貼る!$B$6:$B$10005,$B5262,①今日の在庫を貼る!$I$6:$I$10005,$I5262)&gt;0,N(U5261),N(U5261)+1))</f>
        <v>2</v>
      </c>
    </row>
    <row r="5263" customFormat="false" ht="15" hidden="false" customHeight="false" outlineLevel="0" collapsed="false">
      <c r="B5263" s="53"/>
      <c r="I5263" s="53"/>
      <c r="U5263" s="31" t="n">
        <f aca="false">IF($B5263&lt;&gt;'設定（最初に1回）'!$C$4,N(U5262),IF(COUNTIFS(①今日の在庫を貼る!$B$6:$B$10005,$B5263,①今日の在庫を貼る!$I$6:$I$10005,$I5263)&gt;0,N(U5262),N(U5262)+1))</f>
        <v>2</v>
      </c>
    </row>
    <row r="5264" customFormat="false" ht="15" hidden="false" customHeight="false" outlineLevel="0" collapsed="false">
      <c r="B5264" s="53"/>
      <c r="I5264" s="53"/>
      <c r="U5264" s="31" t="n">
        <f aca="false">IF($B5264&lt;&gt;'設定（最初に1回）'!$C$4,N(U5263),IF(COUNTIFS(①今日の在庫を貼る!$B$6:$B$10005,$B5264,①今日の在庫を貼る!$I$6:$I$10005,$I5264)&gt;0,N(U5263),N(U5263)+1))</f>
        <v>2</v>
      </c>
    </row>
    <row r="5265" customFormat="false" ht="15" hidden="false" customHeight="false" outlineLevel="0" collapsed="false">
      <c r="B5265" s="53"/>
      <c r="I5265" s="53"/>
      <c r="U5265" s="31" t="n">
        <f aca="false">IF($B5265&lt;&gt;'設定（最初に1回）'!$C$4,N(U5264),IF(COUNTIFS(①今日の在庫を貼る!$B$6:$B$10005,$B5265,①今日の在庫を貼る!$I$6:$I$10005,$I5265)&gt;0,N(U5264),N(U5264)+1))</f>
        <v>2</v>
      </c>
    </row>
    <row r="5266" customFormat="false" ht="15" hidden="false" customHeight="false" outlineLevel="0" collapsed="false">
      <c r="B5266" s="53"/>
      <c r="I5266" s="53"/>
      <c r="U5266" s="31" t="n">
        <f aca="false">IF($B5266&lt;&gt;'設定（最初に1回）'!$C$4,N(U5265),IF(COUNTIFS(①今日の在庫を貼る!$B$6:$B$10005,$B5266,①今日の在庫を貼る!$I$6:$I$10005,$I5266)&gt;0,N(U5265),N(U5265)+1))</f>
        <v>2</v>
      </c>
    </row>
    <row r="5267" customFormat="false" ht="15" hidden="false" customHeight="false" outlineLevel="0" collapsed="false">
      <c r="B5267" s="53"/>
      <c r="I5267" s="53"/>
      <c r="U5267" s="31" t="n">
        <f aca="false">IF($B5267&lt;&gt;'設定（最初に1回）'!$C$4,N(U5266),IF(COUNTIFS(①今日の在庫を貼る!$B$6:$B$10005,$B5267,①今日の在庫を貼る!$I$6:$I$10005,$I5267)&gt;0,N(U5266),N(U5266)+1))</f>
        <v>2</v>
      </c>
    </row>
    <row r="5268" customFormat="false" ht="15" hidden="false" customHeight="false" outlineLevel="0" collapsed="false">
      <c r="B5268" s="53"/>
      <c r="I5268" s="53"/>
      <c r="U5268" s="31" t="n">
        <f aca="false">IF($B5268&lt;&gt;'設定（最初に1回）'!$C$4,N(U5267),IF(COUNTIFS(①今日の在庫を貼る!$B$6:$B$10005,$B5268,①今日の在庫を貼る!$I$6:$I$10005,$I5268)&gt;0,N(U5267),N(U5267)+1))</f>
        <v>2</v>
      </c>
    </row>
    <row r="5269" customFormat="false" ht="15" hidden="false" customHeight="false" outlineLevel="0" collapsed="false">
      <c r="B5269" s="53"/>
      <c r="I5269" s="53"/>
      <c r="U5269" s="31" t="n">
        <f aca="false">IF($B5269&lt;&gt;'設定（最初に1回）'!$C$4,N(U5268),IF(COUNTIFS(①今日の在庫を貼る!$B$6:$B$10005,$B5269,①今日の在庫を貼る!$I$6:$I$10005,$I5269)&gt;0,N(U5268),N(U5268)+1))</f>
        <v>2</v>
      </c>
    </row>
    <row r="5270" customFormat="false" ht="15" hidden="false" customHeight="false" outlineLevel="0" collapsed="false">
      <c r="B5270" s="53"/>
      <c r="I5270" s="53"/>
      <c r="U5270" s="31" t="n">
        <f aca="false">IF($B5270&lt;&gt;'設定（最初に1回）'!$C$4,N(U5269),IF(COUNTIFS(①今日の在庫を貼る!$B$6:$B$10005,$B5270,①今日の在庫を貼る!$I$6:$I$10005,$I5270)&gt;0,N(U5269),N(U5269)+1))</f>
        <v>2</v>
      </c>
    </row>
    <row r="5271" customFormat="false" ht="15" hidden="false" customHeight="false" outlineLevel="0" collapsed="false">
      <c r="B5271" s="53"/>
      <c r="I5271" s="53"/>
      <c r="U5271" s="31" t="n">
        <f aca="false">IF($B5271&lt;&gt;'設定（最初に1回）'!$C$4,N(U5270),IF(COUNTIFS(①今日の在庫を貼る!$B$6:$B$10005,$B5271,①今日の在庫を貼る!$I$6:$I$10005,$I5271)&gt;0,N(U5270),N(U5270)+1))</f>
        <v>2</v>
      </c>
    </row>
    <row r="5272" customFormat="false" ht="15" hidden="false" customHeight="false" outlineLevel="0" collapsed="false">
      <c r="B5272" s="53"/>
      <c r="I5272" s="53"/>
      <c r="U5272" s="31" t="n">
        <f aca="false">IF($B5272&lt;&gt;'設定（最初に1回）'!$C$4,N(U5271),IF(COUNTIFS(①今日の在庫を貼る!$B$6:$B$10005,$B5272,①今日の在庫を貼る!$I$6:$I$10005,$I5272)&gt;0,N(U5271),N(U5271)+1))</f>
        <v>2</v>
      </c>
    </row>
    <row r="5273" customFormat="false" ht="15" hidden="false" customHeight="false" outlineLevel="0" collapsed="false">
      <c r="B5273" s="53"/>
      <c r="I5273" s="53"/>
      <c r="U5273" s="31" t="n">
        <f aca="false">IF($B5273&lt;&gt;'設定（最初に1回）'!$C$4,N(U5272),IF(COUNTIFS(①今日の在庫を貼る!$B$6:$B$10005,$B5273,①今日の在庫を貼る!$I$6:$I$10005,$I5273)&gt;0,N(U5272),N(U5272)+1))</f>
        <v>2</v>
      </c>
    </row>
    <row r="5274" customFormat="false" ht="15" hidden="false" customHeight="false" outlineLevel="0" collapsed="false">
      <c r="B5274" s="53"/>
      <c r="I5274" s="53"/>
      <c r="U5274" s="31" t="n">
        <f aca="false">IF($B5274&lt;&gt;'設定（最初に1回）'!$C$4,N(U5273),IF(COUNTIFS(①今日の在庫を貼る!$B$6:$B$10005,$B5274,①今日の在庫を貼る!$I$6:$I$10005,$I5274)&gt;0,N(U5273),N(U5273)+1))</f>
        <v>2</v>
      </c>
    </row>
    <row r="5275" customFormat="false" ht="15" hidden="false" customHeight="false" outlineLevel="0" collapsed="false">
      <c r="B5275" s="53"/>
      <c r="I5275" s="53"/>
      <c r="U5275" s="31" t="n">
        <f aca="false">IF($B5275&lt;&gt;'設定（最初に1回）'!$C$4,N(U5274),IF(COUNTIFS(①今日の在庫を貼る!$B$6:$B$10005,$B5275,①今日の在庫を貼る!$I$6:$I$10005,$I5275)&gt;0,N(U5274),N(U5274)+1))</f>
        <v>2</v>
      </c>
    </row>
    <row r="5276" customFormat="false" ht="15" hidden="false" customHeight="false" outlineLevel="0" collapsed="false">
      <c r="B5276" s="53"/>
      <c r="I5276" s="53"/>
      <c r="U5276" s="31" t="n">
        <f aca="false">IF($B5276&lt;&gt;'設定（最初に1回）'!$C$4,N(U5275),IF(COUNTIFS(①今日の在庫を貼る!$B$6:$B$10005,$B5276,①今日の在庫を貼る!$I$6:$I$10005,$I5276)&gt;0,N(U5275),N(U5275)+1))</f>
        <v>2</v>
      </c>
    </row>
    <row r="5277" customFormat="false" ht="15" hidden="false" customHeight="false" outlineLevel="0" collapsed="false">
      <c r="B5277" s="53"/>
      <c r="I5277" s="53"/>
      <c r="U5277" s="31" t="n">
        <f aca="false">IF($B5277&lt;&gt;'設定（最初に1回）'!$C$4,N(U5276),IF(COUNTIFS(①今日の在庫を貼る!$B$6:$B$10005,$B5277,①今日の在庫を貼る!$I$6:$I$10005,$I5277)&gt;0,N(U5276),N(U5276)+1))</f>
        <v>2</v>
      </c>
    </row>
    <row r="5278" customFormat="false" ht="15" hidden="false" customHeight="false" outlineLevel="0" collapsed="false">
      <c r="B5278" s="53"/>
      <c r="I5278" s="53"/>
      <c r="U5278" s="31" t="n">
        <f aca="false">IF($B5278&lt;&gt;'設定（最初に1回）'!$C$4,N(U5277),IF(COUNTIFS(①今日の在庫を貼る!$B$6:$B$10005,$B5278,①今日の在庫を貼る!$I$6:$I$10005,$I5278)&gt;0,N(U5277),N(U5277)+1))</f>
        <v>2</v>
      </c>
    </row>
    <row r="5279" customFormat="false" ht="15" hidden="false" customHeight="false" outlineLevel="0" collapsed="false">
      <c r="B5279" s="53"/>
      <c r="I5279" s="53"/>
      <c r="U5279" s="31" t="n">
        <f aca="false">IF($B5279&lt;&gt;'設定（最初に1回）'!$C$4,N(U5278),IF(COUNTIFS(①今日の在庫を貼る!$B$6:$B$10005,$B5279,①今日の在庫を貼る!$I$6:$I$10005,$I5279)&gt;0,N(U5278),N(U5278)+1))</f>
        <v>2</v>
      </c>
    </row>
    <row r="5280" customFormat="false" ht="15" hidden="false" customHeight="false" outlineLevel="0" collapsed="false">
      <c r="B5280" s="53"/>
      <c r="I5280" s="53"/>
      <c r="U5280" s="31" t="n">
        <f aca="false">IF($B5280&lt;&gt;'設定（最初に1回）'!$C$4,N(U5279),IF(COUNTIFS(①今日の在庫を貼る!$B$6:$B$10005,$B5280,①今日の在庫を貼る!$I$6:$I$10005,$I5280)&gt;0,N(U5279),N(U5279)+1))</f>
        <v>2</v>
      </c>
    </row>
    <row r="5281" customFormat="false" ht="15" hidden="false" customHeight="false" outlineLevel="0" collapsed="false">
      <c r="B5281" s="53"/>
      <c r="I5281" s="53"/>
      <c r="U5281" s="31" t="n">
        <f aca="false">IF($B5281&lt;&gt;'設定（最初に1回）'!$C$4,N(U5280),IF(COUNTIFS(①今日の在庫を貼る!$B$6:$B$10005,$B5281,①今日の在庫を貼る!$I$6:$I$10005,$I5281)&gt;0,N(U5280),N(U5280)+1))</f>
        <v>2</v>
      </c>
    </row>
    <row r="5282" customFormat="false" ht="15" hidden="false" customHeight="false" outlineLevel="0" collapsed="false">
      <c r="B5282" s="53"/>
      <c r="I5282" s="53"/>
      <c r="U5282" s="31" t="n">
        <f aca="false">IF($B5282&lt;&gt;'設定（最初に1回）'!$C$4,N(U5281),IF(COUNTIFS(①今日の在庫を貼る!$B$6:$B$10005,$B5282,①今日の在庫を貼る!$I$6:$I$10005,$I5282)&gt;0,N(U5281),N(U5281)+1))</f>
        <v>2</v>
      </c>
    </row>
    <row r="5283" customFormat="false" ht="15" hidden="false" customHeight="false" outlineLevel="0" collapsed="false">
      <c r="B5283" s="53"/>
      <c r="I5283" s="53"/>
      <c r="U5283" s="31" t="n">
        <f aca="false">IF($B5283&lt;&gt;'設定（最初に1回）'!$C$4,N(U5282),IF(COUNTIFS(①今日の在庫を貼る!$B$6:$B$10005,$B5283,①今日の在庫を貼る!$I$6:$I$10005,$I5283)&gt;0,N(U5282),N(U5282)+1))</f>
        <v>2</v>
      </c>
    </row>
    <row r="5284" customFormat="false" ht="15" hidden="false" customHeight="false" outlineLevel="0" collapsed="false">
      <c r="B5284" s="53"/>
      <c r="I5284" s="53"/>
      <c r="U5284" s="31" t="n">
        <f aca="false">IF($B5284&lt;&gt;'設定（最初に1回）'!$C$4,N(U5283),IF(COUNTIFS(①今日の在庫を貼る!$B$6:$B$10005,$B5284,①今日の在庫を貼る!$I$6:$I$10005,$I5284)&gt;0,N(U5283),N(U5283)+1))</f>
        <v>2</v>
      </c>
    </row>
    <row r="5285" customFormat="false" ht="15" hidden="false" customHeight="false" outlineLevel="0" collapsed="false">
      <c r="B5285" s="53"/>
      <c r="I5285" s="53"/>
      <c r="U5285" s="31" t="n">
        <f aca="false">IF($B5285&lt;&gt;'設定（最初に1回）'!$C$4,N(U5284),IF(COUNTIFS(①今日の在庫を貼る!$B$6:$B$10005,$B5285,①今日の在庫を貼る!$I$6:$I$10005,$I5285)&gt;0,N(U5284),N(U5284)+1))</f>
        <v>2</v>
      </c>
    </row>
    <row r="5286" customFormat="false" ht="15" hidden="false" customHeight="false" outlineLevel="0" collapsed="false">
      <c r="B5286" s="53"/>
      <c r="I5286" s="53"/>
      <c r="U5286" s="31" t="n">
        <f aca="false">IF($B5286&lt;&gt;'設定（最初に1回）'!$C$4,N(U5285),IF(COUNTIFS(①今日の在庫を貼る!$B$6:$B$10005,$B5286,①今日の在庫を貼る!$I$6:$I$10005,$I5286)&gt;0,N(U5285),N(U5285)+1))</f>
        <v>2</v>
      </c>
    </row>
    <row r="5287" customFormat="false" ht="15" hidden="false" customHeight="false" outlineLevel="0" collapsed="false">
      <c r="B5287" s="53"/>
      <c r="I5287" s="53"/>
      <c r="U5287" s="31" t="n">
        <f aca="false">IF($B5287&lt;&gt;'設定（最初に1回）'!$C$4,N(U5286),IF(COUNTIFS(①今日の在庫を貼る!$B$6:$B$10005,$B5287,①今日の在庫を貼る!$I$6:$I$10005,$I5287)&gt;0,N(U5286),N(U5286)+1))</f>
        <v>2</v>
      </c>
    </row>
    <row r="5288" customFormat="false" ht="15" hidden="false" customHeight="false" outlineLevel="0" collapsed="false">
      <c r="B5288" s="53"/>
      <c r="I5288" s="53"/>
      <c r="U5288" s="31" t="n">
        <f aca="false">IF($B5288&lt;&gt;'設定（最初に1回）'!$C$4,N(U5287),IF(COUNTIFS(①今日の在庫を貼る!$B$6:$B$10005,$B5288,①今日の在庫を貼る!$I$6:$I$10005,$I5288)&gt;0,N(U5287),N(U5287)+1))</f>
        <v>2</v>
      </c>
    </row>
    <row r="5289" customFormat="false" ht="15" hidden="false" customHeight="false" outlineLevel="0" collapsed="false">
      <c r="B5289" s="53"/>
      <c r="I5289" s="53"/>
      <c r="U5289" s="31" t="n">
        <f aca="false">IF($B5289&lt;&gt;'設定（最初に1回）'!$C$4,N(U5288),IF(COUNTIFS(①今日の在庫を貼る!$B$6:$B$10005,$B5289,①今日の在庫を貼る!$I$6:$I$10005,$I5289)&gt;0,N(U5288),N(U5288)+1))</f>
        <v>2</v>
      </c>
    </row>
    <row r="5290" customFormat="false" ht="15" hidden="false" customHeight="false" outlineLevel="0" collapsed="false">
      <c r="B5290" s="53"/>
      <c r="I5290" s="53"/>
      <c r="U5290" s="31" t="n">
        <f aca="false">IF($B5290&lt;&gt;'設定（最初に1回）'!$C$4,N(U5289),IF(COUNTIFS(①今日の在庫を貼る!$B$6:$B$10005,$B5290,①今日の在庫を貼る!$I$6:$I$10005,$I5290)&gt;0,N(U5289),N(U5289)+1))</f>
        <v>2</v>
      </c>
    </row>
    <row r="5291" customFormat="false" ht="15" hidden="false" customHeight="false" outlineLevel="0" collapsed="false">
      <c r="B5291" s="53"/>
      <c r="I5291" s="53"/>
      <c r="U5291" s="31" t="n">
        <f aca="false">IF($B5291&lt;&gt;'設定（最初に1回）'!$C$4,N(U5290),IF(COUNTIFS(①今日の在庫を貼る!$B$6:$B$10005,$B5291,①今日の在庫を貼る!$I$6:$I$10005,$I5291)&gt;0,N(U5290),N(U5290)+1))</f>
        <v>2</v>
      </c>
    </row>
    <row r="5292" customFormat="false" ht="15" hidden="false" customHeight="false" outlineLevel="0" collapsed="false">
      <c r="B5292" s="53"/>
      <c r="I5292" s="53"/>
      <c r="U5292" s="31" t="n">
        <f aca="false">IF($B5292&lt;&gt;'設定（最初に1回）'!$C$4,N(U5291),IF(COUNTIFS(①今日の在庫を貼る!$B$6:$B$10005,$B5292,①今日の在庫を貼る!$I$6:$I$10005,$I5292)&gt;0,N(U5291),N(U5291)+1))</f>
        <v>2</v>
      </c>
    </row>
    <row r="5293" customFormat="false" ht="15" hidden="false" customHeight="false" outlineLevel="0" collapsed="false">
      <c r="B5293" s="53"/>
      <c r="I5293" s="53"/>
      <c r="U5293" s="31" t="n">
        <f aca="false">IF($B5293&lt;&gt;'設定（最初に1回）'!$C$4,N(U5292),IF(COUNTIFS(①今日の在庫を貼る!$B$6:$B$10005,$B5293,①今日の在庫を貼る!$I$6:$I$10005,$I5293)&gt;0,N(U5292),N(U5292)+1))</f>
        <v>2</v>
      </c>
    </row>
    <row r="5294" customFormat="false" ht="15" hidden="false" customHeight="false" outlineLevel="0" collapsed="false">
      <c r="B5294" s="53"/>
      <c r="I5294" s="53"/>
      <c r="U5294" s="31" t="n">
        <f aca="false">IF($B5294&lt;&gt;'設定（最初に1回）'!$C$4,N(U5293),IF(COUNTIFS(①今日の在庫を貼る!$B$6:$B$10005,$B5294,①今日の在庫を貼る!$I$6:$I$10005,$I5294)&gt;0,N(U5293),N(U5293)+1))</f>
        <v>2</v>
      </c>
    </row>
    <row r="5295" customFormat="false" ht="15" hidden="false" customHeight="false" outlineLevel="0" collapsed="false">
      <c r="B5295" s="53"/>
      <c r="I5295" s="53"/>
      <c r="U5295" s="31" t="n">
        <f aca="false">IF($B5295&lt;&gt;'設定（最初に1回）'!$C$4,N(U5294),IF(COUNTIFS(①今日の在庫を貼る!$B$6:$B$10005,$B5295,①今日の在庫を貼る!$I$6:$I$10005,$I5295)&gt;0,N(U5294),N(U5294)+1))</f>
        <v>2</v>
      </c>
    </row>
    <row r="5296" customFormat="false" ht="15" hidden="false" customHeight="false" outlineLevel="0" collapsed="false">
      <c r="B5296" s="53"/>
      <c r="I5296" s="53"/>
      <c r="U5296" s="31" t="n">
        <f aca="false">IF($B5296&lt;&gt;'設定（最初に1回）'!$C$4,N(U5295),IF(COUNTIFS(①今日の在庫を貼る!$B$6:$B$10005,$B5296,①今日の在庫を貼る!$I$6:$I$10005,$I5296)&gt;0,N(U5295),N(U5295)+1))</f>
        <v>2</v>
      </c>
    </row>
    <row r="5297" customFormat="false" ht="15" hidden="false" customHeight="false" outlineLevel="0" collapsed="false">
      <c r="B5297" s="53"/>
      <c r="I5297" s="53"/>
      <c r="U5297" s="31" t="n">
        <f aca="false">IF($B5297&lt;&gt;'設定（最初に1回）'!$C$4,N(U5296),IF(COUNTIFS(①今日の在庫を貼る!$B$6:$B$10005,$B5297,①今日の在庫を貼る!$I$6:$I$10005,$I5297)&gt;0,N(U5296),N(U5296)+1))</f>
        <v>2</v>
      </c>
    </row>
    <row r="5298" customFormat="false" ht="15" hidden="false" customHeight="false" outlineLevel="0" collapsed="false">
      <c r="B5298" s="53"/>
      <c r="I5298" s="53"/>
      <c r="U5298" s="31" t="n">
        <f aca="false">IF($B5298&lt;&gt;'設定（最初に1回）'!$C$4,N(U5297),IF(COUNTIFS(①今日の在庫を貼る!$B$6:$B$10005,$B5298,①今日の在庫を貼る!$I$6:$I$10005,$I5298)&gt;0,N(U5297),N(U5297)+1))</f>
        <v>2</v>
      </c>
    </row>
    <row r="5299" customFormat="false" ht="15" hidden="false" customHeight="false" outlineLevel="0" collapsed="false">
      <c r="B5299" s="53"/>
      <c r="I5299" s="53"/>
      <c r="U5299" s="31" t="n">
        <f aca="false">IF($B5299&lt;&gt;'設定（最初に1回）'!$C$4,N(U5298),IF(COUNTIFS(①今日の在庫を貼る!$B$6:$B$10005,$B5299,①今日の在庫を貼る!$I$6:$I$10005,$I5299)&gt;0,N(U5298),N(U5298)+1))</f>
        <v>2</v>
      </c>
    </row>
    <row r="5300" customFormat="false" ht="15" hidden="false" customHeight="false" outlineLevel="0" collapsed="false">
      <c r="B5300" s="53"/>
      <c r="I5300" s="53"/>
      <c r="U5300" s="31" t="n">
        <f aca="false">IF($B5300&lt;&gt;'設定（最初に1回）'!$C$4,N(U5299),IF(COUNTIFS(①今日の在庫を貼る!$B$6:$B$10005,$B5300,①今日の在庫を貼る!$I$6:$I$10005,$I5300)&gt;0,N(U5299),N(U5299)+1))</f>
        <v>2</v>
      </c>
    </row>
    <row r="5301" customFormat="false" ht="15" hidden="false" customHeight="false" outlineLevel="0" collapsed="false">
      <c r="B5301" s="53"/>
      <c r="I5301" s="53"/>
      <c r="U5301" s="31" t="n">
        <f aca="false">IF($B5301&lt;&gt;'設定（最初に1回）'!$C$4,N(U5300),IF(COUNTIFS(①今日の在庫を貼る!$B$6:$B$10005,$B5301,①今日の在庫を貼る!$I$6:$I$10005,$I5301)&gt;0,N(U5300),N(U5300)+1))</f>
        <v>2</v>
      </c>
    </row>
    <row r="5302" customFormat="false" ht="15" hidden="false" customHeight="false" outlineLevel="0" collapsed="false">
      <c r="B5302" s="53"/>
      <c r="I5302" s="53"/>
      <c r="U5302" s="31" t="n">
        <f aca="false">IF($B5302&lt;&gt;'設定（最初に1回）'!$C$4,N(U5301),IF(COUNTIFS(①今日の在庫を貼る!$B$6:$B$10005,$B5302,①今日の在庫を貼る!$I$6:$I$10005,$I5302)&gt;0,N(U5301),N(U5301)+1))</f>
        <v>2</v>
      </c>
    </row>
    <row r="5303" customFormat="false" ht="15" hidden="false" customHeight="false" outlineLevel="0" collapsed="false">
      <c r="B5303" s="53"/>
      <c r="I5303" s="53"/>
      <c r="U5303" s="31" t="n">
        <f aca="false">IF($B5303&lt;&gt;'設定（最初に1回）'!$C$4,N(U5302),IF(COUNTIFS(①今日の在庫を貼る!$B$6:$B$10005,$B5303,①今日の在庫を貼る!$I$6:$I$10005,$I5303)&gt;0,N(U5302),N(U5302)+1))</f>
        <v>2</v>
      </c>
    </row>
    <row r="5304" customFormat="false" ht="15" hidden="false" customHeight="false" outlineLevel="0" collapsed="false">
      <c r="B5304" s="53"/>
      <c r="I5304" s="53"/>
      <c r="U5304" s="31" t="n">
        <f aca="false">IF($B5304&lt;&gt;'設定（最初に1回）'!$C$4,N(U5303),IF(COUNTIFS(①今日の在庫を貼る!$B$6:$B$10005,$B5304,①今日の在庫を貼る!$I$6:$I$10005,$I5304)&gt;0,N(U5303),N(U5303)+1))</f>
        <v>2</v>
      </c>
    </row>
    <row r="5305" customFormat="false" ht="15" hidden="false" customHeight="false" outlineLevel="0" collapsed="false">
      <c r="B5305" s="53"/>
      <c r="I5305" s="53"/>
      <c r="U5305" s="31" t="n">
        <f aca="false">IF($B5305&lt;&gt;'設定（最初に1回）'!$C$4,N(U5304),IF(COUNTIFS(①今日の在庫を貼る!$B$6:$B$10005,$B5305,①今日の在庫を貼る!$I$6:$I$10005,$I5305)&gt;0,N(U5304),N(U5304)+1))</f>
        <v>2</v>
      </c>
    </row>
    <row r="5306" customFormat="false" ht="15" hidden="false" customHeight="false" outlineLevel="0" collapsed="false">
      <c r="B5306" s="53"/>
      <c r="I5306" s="53"/>
      <c r="U5306" s="31" t="n">
        <f aca="false">IF($B5306&lt;&gt;'設定（最初に1回）'!$C$4,N(U5305),IF(COUNTIFS(①今日の在庫を貼る!$B$6:$B$10005,$B5306,①今日の在庫を貼る!$I$6:$I$10005,$I5306)&gt;0,N(U5305),N(U5305)+1))</f>
        <v>2</v>
      </c>
    </row>
    <row r="5307" customFormat="false" ht="15" hidden="false" customHeight="false" outlineLevel="0" collapsed="false">
      <c r="B5307" s="53"/>
      <c r="I5307" s="53"/>
      <c r="U5307" s="31" t="n">
        <f aca="false">IF($B5307&lt;&gt;'設定（最初に1回）'!$C$4,N(U5306),IF(COUNTIFS(①今日の在庫を貼る!$B$6:$B$10005,$B5307,①今日の在庫を貼る!$I$6:$I$10005,$I5307)&gt;0,N(U5306),N(U5306)+1))</f>
        <v>2</v>
      </c>
    </row>
    <row r="5308" customFormat="false" ht="15" hidden="false" customHeight="false" outlineLevel="0" collapsed="false">
      <c r="B5308" s="53"/>
      <c r="I5308" s="53"/>
      <c r="U5308" s="31" t="n">
        <f aca="false">IF($B5308&lt;&gt;'設定（最初に1回）'!$C$4,N(U5307),IF(COUNTIFS(①今日の在庫を貼る!$B$6:$B$10005,$B5308,①今日の在庫を貼る!$I$6:$I$10005,$I5308)&gt;0,N(U5307),N(U5307)+1))</f>
        <v>2</v>
      </c>
    </row>
    <row r="5309" customFormat="false" ht="15" hidden="false" customHeight="false" outlineLevel="0" collapsed="false">
      <c r="B5309" s="53"/>
      <c r="I5309" s="53"/>
      <c r="U5309" s="31" t="n">
        <f aca="false">IF($B5309&lt;&gt;'設定（最初に1回）'!$C$4,N(U5308),IF(COUNTIFS(①今日の在庫を貼る!$B$6:$B$10005,$B5309,①今日の在庫を貼る!$I$6:$I$10005,$I5309)&gt;0,N(U5308),N(U5308)+1))</f>
        <v>2</v>
      </c>
    </row>
    <row r="5310" customFormat="false" ht="15" hidden="false" customHeight="false" outlineLevel="0" collapsed="false">
      <c r="B5310" s="53"/>
      <c r="I5310" s="53"/>
      <c r="U5310" s="31" t="n">
        <f aca="false">IF($B5310&lt;&gt;'設定（最初に1回）'!$C$4,N(U5309),IF(COUNTIFS(①今日の在庫を貼る!$B$6:$B$10005,$B5310,①今日の在庫を貼る!$I$6:$I$10005,$I5310)&gt;0,N(U5309),N(U5309)+1))</f>
        <v>2</v>
      </c>
    </row>
    <row r="5311" customFormat="false" ht="15" hidden="false" customHeight="false" outlineLevel="0" collapsed="false">
      <c r="B5311" s="53"/>
      <c r="I5311" s="53"/>
      <c r="U5311" s="31" t="n">
        <f aca="false">IF($B5311&lt;&gt;'設定（最初に1回）'!$C$4,N(U5310),IF(COUNTIFS(①今日の在庫を貼る!$B$6:$B$10005,$B5311,①今日の在庫を貼る!$I$6:$I$10005,$I5311)&gt;0,N(U5310),N(U5310)+1))</f>
        <v>2</v>
      </c>
    </row>
    <row r="5312" customFormat="false" ht="15" hidden="false" customHeight="false" outlineLevel="0" collapsed="false">
      <c r="B5312" s="53"/>
      <c r="I5312" s="53"/>
      <c r="U5312" s="31" t="n">
        <f aca="false">IF($B5312&lt;&gt;'設定（最初に1回）'!$C$4,N(U5311),IF(COUNTIFS(①今日の在庫を貼る!$B$6:$B$10005,$B5312,①今日の在庫を貼る!$I$6:$I$10005,$I5312)&gt;0,N(U5311),N(U5311)+1))</f>
        <v>2</v>
      </c>
    </row>
    <row r="5313" customFormat="false" ht="15" hidden="false" customHeight="false" outlineLevel="0" collapsed="false">
      <c r="B5313" s="53"/>
      <c r="I5313" s="53"/>
      <c r="U5313" s="31" t="n">
        <f aca="false">IF($B5313&lt;&gt;'設定（最初に1回）'!$C$4,N(U5312),IF(COUNTIFS(①今日の在庫を貼る!$B$6:$B$10005,$B5313,①今日の在庫を貼る!$I$6:$I$10005,$I5313)&gt;0,N(U5312),N(U5312)+1))</f>
        <v>2</v>
      </c>
    </row>
    <row r="5314" customFormat="false" ht="15" hidden="false" customHeight="false" outlineLevel="0" collapsed="false">
      <c r="B5314" s="53"/>
      <c r="I5314" s="53"/>
      <c r="U5314" s="31" t="n">
        <f aca="false">IF($B5314&lt;&gt;'設定（最初に1回）'!$C$4,N(U5313),IF(COUNTIFS(①今日の在庫を貼る!$B$6:$B$10005,$B5314,①今日の在庫を貼る!$I$6:$I$10005,$I5314)&gt;0,N(U5313),N(U5313)+1))</f>
        <v>2</v>
      </c>
    </row>
    <row r="5315" customFormat="false" ht="15" hidden="false" customHeight="false" outlineLevel="0" collapsed="false">
      <c r="B5315" s="53"/>
      <c r="I5315" s="53"/>
      <c r="U5315" s="31" t="n">
        <f aca="false">IF($B5315&lt;&gt;'設定（最初に1回）'!$C$4,N(U5314),IF(COUNTIFS(①今日の在庫を貼る!$B$6:$B$10005,$B5315,①今日の在庫を貼る!$I$6:$I$10005,$I5315)&gt;0,N(U5314),N(U5314)+1))</f>
        <v>2</v>
      </c>
    </row>
    <row r="5316" customFormat="false" ht="15" hidden="false" customHeight="false" outlineLevel="0" collapsed="false">
      <c r="B5316" s="53"/>
      <c r="I5316" s="53"/>
      <c r="U5316" s="31" t="n">
        <f aca="false">IF($B5316&lt;&gt;'設定（最初に1回）'!$C$4,N(U5315),IF(COUNTIFS(①今日の在庫を貼る!$B$6:$B$10005,$B5316,①今日の在庫を貼る!$I$6:$I$10005,$I5316)&gt;0,N(U5315),N(U5315)+1))</f>
        <v>2</v>
      </c>
    </row>
    <row r="5317" customFormat="false" ht="15" hidden="false" customHeight="false" outlineLevel="0" collapsed="false">
      <c r="B5317" s="53"/>
      <c r="I5317" s="53"/>
      <c r="U5317" s="31" t="n">
        <f aca="false">IF($B5317&lt;&gt;'設定（最初に1回）'!$C$4,N(U5316),IF(COUNTIFS(①今日の在庫を貼る!$B$6:$B$10005,$B5317,①今日の在庫を貼る!$I$6:$I$10005,$I5317)&gt;0,N(U5316),N(U5316)+1))</f>
        <v>2</v>
      </c>
    </row>
    <row r="5318" customFormat="false" ht="15" hidden="false" customHeight="false" outlineLevel="0" collapsed="false">
      <c r="B5318" s="53"/>
      <c r="I5318" s="53"/>
      <c r="U5318" s="31" t="n">
        <f aca="false">IF($B5318&lt;&gt;'設定（最初に1回）'!$C$4,N(U5317),IF(COUNTIFS(①今日の在庫を貼る!$B$6:$B$10005,$B5318,①今日の在庫を貼る!$I$6:$I$10005,$I5318)&gt;0,N(U5317),N(U5317)+1))</f>
        <v>2</v>
      </c>
    </row>
    <row r="5319" customFormat="false" ht="15" hidden="false" customHeight="false" outlineLevel="0" collapsed="false">
      <c r="B5319" s="53"/>
      <c r="I5319" s="53"/>
      <c r="U5319" s="31" t="n">
        <f aca="false">IF($B5319&lt;&gt;'設定（最初に1回）'!$C$4,N(U5318),IF(COUNTIFS(①今日の在庫を貼る!$B$6:$B$10005,$B5319,①今日の在庫を貼る!$I$6:$I$10005,$I5319)&gt;0,N(U5318),N(U5318)+1))</f>
        <v>2</v>
      </c>
    </row>
    <row r="5320" customFormat="false" ht="15" hidden="false" customHeight="false" outlineLevel="0" collapsed="false">
      <c r="B5320" s="53"/>
      <c r="I5320" s="53"/>
      <c r="U5320" s="31" t="n">
        <f aca="false">IF($B5320&lt;&gt;'設定（最初に1回）'!$C$4,N(U5319),IF(COUNTIFS(①今日の在庫を貼る!$B$6:$B$10005,$B5320,①今日の在庫を貼る!$I$6:$I$10005,$I5320)&gt;0,N(U5319),N(U5319)+1))</f>
        <v>2</v>
      </c>
    </row>
    <row r="5321" customFormat="false" ht="15" hidden="false" customHeight="false" outlineLevel="0" collapsed="false">
      <c r="B5321" s="53"/>
      <c r="I5321" s="53"/>
      <c r="U5321" s="31" t="n">
        <f aca="false">IF($B5321&lt;&gt;'設定（最初に1回）'!$C$4,N(U5320),IF(COUNTIFS(①今日の在庫を貼る!$B$6:$B$10005,$B5321,①今日の在庫を貼る!$I$6:$I$10005,$I5321)&gt;0,N(U5320),N(U5320)+1))</f>
        <v>2</v>
      </c>
    </row>
    <row r="5322" customFormat="false" ht="15" hidden="false" customHeight="false" outlineLevel="0" collapsed="false">
      <c r="B5322" s="53"/>
      <c r="I5322" s="53"/>
      <c r="U5322" s="31" t="n">
        <f aca="false">IF($B5322&lt;&gt;'設定（最初に1回）'!$C$4,N(U5321),IF(COUNTIFS(①今日の在庫を貼る!$B$6:$B$10005,$B5322,①今日の在庫を貼る!$I$6:$I$10005,$I5322)&gt;0,N(U5321),N(U5321)+1))</f>
        <v>2</v>
      </c>
    </row>
    <row r="5323" customFormat="false" ht="15" hidden="false" customHeight="false" outlineLevel="0" collapsed="false">
      <c r="B5323" s="53"/>
      <c r="I5323" s="53"/>
      <c r="U5323" s="31" t="n">
        <f aca="false">IF($B5323&lt;&gt;'設定（最初に1回）'!$C$4,N(U5322),IF(COUNTIFS(①今日の在庫を貼る!$B$6:$B$10005,$B5323,①今日の在庫を貼る!$I$6:$I$10005,$I5323)&gt;0,N(U5322),N(U5322)+1))</f>
        <v>2</v>
      </c>
    </row>
    <row r="5324" customFormat="false" ht="15" hidden="false" customHeight="false" outlineLevel="0" collapsed="false">
      <c r="B5324" s="53"/>
      <c r="I5324" s="53"/>
      <c r="U5324" s="31" t="n">
        <f aca="false">IF($B5324&lt;&gt;'設定（最初に1回）'!$C$4,N(U5323),IF(COUNTIFS(①今日の在庫を貼る!$B$6:$B$10005,$B5324,①今日の在庫を貼る!$I$6:$I$10005,$I5324)&gt;0,N(U5323),N(U5323)+1))</f>
        <v>2</v>
      </c>
    </row>
    <row r="5325" customFormat="false" ht="15" hidden="false" customHeight="false" outlineLevel="0" collapsed="false">
      <c r="B5325" s="53"/>
      <c r="I5325" s="53"/>
      <c r="U5325" s="31" t="n">
        <f aca="false">IF($B5325&lt;&gt;'設定（最初に1回）'!$C$4,N(U5324),IF(COUNTIFS(①今日の在庫を貼る!$B$6:$B$10005,$B5325,①今日の在庫を貼る!$I$6:$I$10005,$I5325)&gt;0,N(U5324),N(U5324)+1))</f>
        <v>2</v>
      </c>
    </row>
    <row r="5326" customFormat="false" ht="15" hidden="false" customHeight="false" outlineLevel="0" collapsed="false">
      <c r="B5326" s="53"/>
      <c r="I5326" s="53"/>
      <c r="U5326" s="31" t="n">
        <f aca="false">IF($B5326&lt;&gt;'設定（最初に1回）'!$C$4,N(U5325),IF(COUNTIFS(①今日の在庫を貼る!$B$6:$B$10005,$B5326,①今日の在庫を貼る!$I$6:$I$10005,$I5326)&gt;0,N(U5325),N(U5325)+1))</f>
        <v>2</v>
      </c>
    </row>
    <row r="5327" customFormat="false" ht="15" hidden="false" customHeight="false" outlineLevel="0" collapsed="false">
      <c r="B5327" s="53"/>
      <c r="I5327" s="53"/>
      <c r="U5327" s="31" t="n">
        <f aca="false">IF($B5327&lt;&gt;'設定（最初に1回）'!$C$4,N(U5326),IF(COUNTIFS(①今日の在庫を貼る!$B$6:$B$10005,$B5327,①今日の在庫を貼る!$I$6:$I$10005,$I5327)&gt;0,N(U5326),N(U5326)+1))</f>
        <v>2</v>
      </c>
    </row>
    <row r="5328" customFormat="false" ht="15" hidden="false" customHeight="false" outlineLevel="0" collapsed="false">
      <c r="B5328" s="53"/>
      <c r="I5328" s="53"/>
      <c r="U5328" s="31" t="n">
        <f aca="false">IF($B5328&lt;&gt;'設定（最初に1回）'!$C$4,N(U5327),IF(COUNTIFS(①今日の在庫を貼る!$B$6:$B$10005,$B5328,①今日の在庫を貼る!$I$6:$I$10005,$I5328)&gt;0,N(U5327),N(U5327)+1))</f>
        <v>2</v>
      </c>
    </row>
    <row r="5329" customFormat="false" ht="15" hidden="false" customHeight="false" outlineLevel="0" collapsed="false">
      <c r="B5329" s="53"/>
      <c r="I5329" s="53"/>
      <c r="U5329" s="31" t="n">
        <f aca="false">IF($B5329&lt;&gt;'設定（最初に1回）'!$C$4,N(U5328),IF(COUNTIFS(①今日の在庫を貼る!$B$6:$B$10005,$B5329,①今日の在庫を貼る!$I$6:$I$10005,$I5329)&gt;0,N(U5328),N(U5328)+1))</f>
        <v>2</v>
      </c>
    </row>
    <row r="5330" customFormat="false" ht="15" hidden="false" customHeight="false" outlineLevel="0" collapsed="false">
      <c r="B5330" s="53"/>
      <c r="I5330" s="53"/>
      <c r="U5330" s="31" t="n">
        <f aca="false">IF($B5330&lt;&gt;'設定（最初に1回）'!$C$4,N(U5329),IF(COUNTIFS(①今日の在庫を貼る!$B$6:$B$10005,$B5330,①今日の在庫を貼る!$I$6:$I$10005,$I5330)&gt;0,N(U5329),N(U5329)+1))</f>
        <v>2</v>
      </c>
    </row>
    <row r="5331" customFormat="false" ht="15" hidden="false" customHeight="false" outlineLevel="0" collapsed="false">
      <c r="B5331" s="53"/>
      <c r="I5331" s="53"/>
      <c r="U5331" s="31" t="n">
        <f aca="false">IF($B5331&lt;&gt;'設定（最初に1回）'!$C$4,N(U5330),IF(COUNTIFS(①今日の在庫を貼る!$B$6:$B$10005,$B5331,①今日の在庫を貼る!$I$6:$I$10005,$I5331)&gt;0,N(U5330),N(U5330)+1))</f>
        <v>2</v>
      </c>
    </row>
    <row r="5332" customFormat="false" ht="15" hidden="false" customHeight="false" outlineLevel="0" collapsed="false">
      <c r="B5332" s="53"/>
      <c r="I5332" s="53"/>
      <c r="U5332" s="31" t="n">
        <f aca="false">IF($B5332&lt;&gt;'設定（最初に1回）'!$C$4,N(U5331),IF(COUNTIFS(①今日の在庫を貼る!$B$6:$B$10005,$B5332,①今日の在庫を貼る!$I$6:$I$10005,$I5332)&gt;0,N(U5331),N(U5331)+1))</f>
        <v>2</v>
      </c>
    </row>
    <row r="5333" customFormat="false" ht="15" hidden="false" customHeight="false" outlineLevel="0" collapsed="false">
      <c r="B5333" s="53"/>
      <c r="I5333" s="53"/>
      <c r="U5333" s="31" t="n">
        <f aca="false">IF($B5333&lt;&gt;'設定（最初に1回）'!$C$4,N(U5332),IF(COUNTIFS(①今日の在庫を貼る!$B$6:$B$10005,$B5333,①今日の在庫を貼る!$I$6:$I$10005,$I5333)&gt;0,N(U5332),N(U5332)+1))</f>
        <v>2</v>
      </c>
    </row>
    <row r="5334" customFormat="false" ht="15" hidden="false" customHeight="false" outlineLevel="0" collapsed="false">
      <c r="B5334" s="53"/>
      <c r="I5334" s="53"/>
      <c r="U5334" s="31" t="n">
        <f aca="false">IF($B5334&lt;&gt;'設定（最初に1回）'!$C$4,N(U5333),IF(COUNTIFS(①今日の在庫を貼る!$B$6:$B$10005,$B5334,①今日の在庫を貼る!$I$6:$I$10005,$I5334)&gt;0,N(U5333),N(U5333)+1))</f>
        <v>2</v>
      </c>
    </row>
    <row r="5335" customFormat="false" ht="15" hidden="false" customHeight="false" outlineLevel="0" collapsed="false">
      <c r="B5335" s="53"/>
      <c r="I5335" s="53"/>
      <c r="U5335" s="31" t="n">
        <f aca="false">IF($B5335&lt;&gt;'設定（最初に1回）'!$C$4,N(U5334),IF(COUNTIFS(①今日の在庫を貼る!$B$6:$B$10005,$B5335,①今日の在庫を貼る!$I$6:$I$10005,$I5335)&gt;0,N(U5334),N(U5334)+1))</f>
        <v>2</v>
      </c>
    </row>
    <row r="5336" customFormat="false" ht="15" hidden="false" customHeight="false" outlineLevel="0" collapsed="false">
      <c r="B5336" s="53"/>
      <c r="I5336" s="53"/>
      <c r="U5336" s="31" t="n">
        <f aca="false">IF($B5336&lt;&gt;'設定（最初に1回）'!$C$4,N(U5335),IF(COUNTIFS(①今日の在庫を貼る!$B$6:$B$10005,$B5336,①今日の在庫を貼る!$I$6:$I$10005,$I5336)&gt;0,N(U5335),N(U5335)+1))</f>
        <v>2</v>
      </c>
    </row>
    <row r="5337" customFormat="false" ht="15" hidden="false" customHeight="false" outlineLevel="0" collapsed="false">
      <c r="B5337" s="53"/>
      <c r="I5337" s="53"/>
      <c r="U5337" s="31" t="n">
        <f aca="false">IF($B5337&lt;&gt;'設定（最初に1回）'!$C$4,N(U5336),IF(COUNTIFS(①今日の在庫を貼る!$B$6:$B$10005,$B5337,①今日の在庫を貼る!$I$6:$I$10005,$I5337)&gt;0,N(U5336),N(U5336)+1))</f>
        <v>2</v>
      </c>
    </row>
    <row r="5338" customFormat="false" ht="15" hidden="false" customHeight="false" outlineLevel="0" collapsed="false">
      <c r="B5338" s="53"/>
      <c r="I5338" s="53"/>
      <c r="U5338" s="31" t="n">
        <f aca="false">IF($B5338&lt;&gt;'設定（最初に1回）'!$C$4,N(U5337),IF(COUNTIFS(①今日の在庫を貼る!$B$6:$B$10005,$B5338,①今日の在庫を貼る!$I$6:$I$10005,$I5338)&gt;0,N(U5337),N(U5337)+1))</f>
        <v>2</v>
      </c>
    </row>
    <row r="5339" customFormat="false" ht="15" hidden="false" customHeight="false" outlineLevel="0" collapsed="false">
      <c r="B5339" s="53"/>
      <c r="I5339" s="53"/>
      <c r="U5339" s="31" t="n">
        <f aca="false">IF($B5339&lt;&gt;'設定（最初に1回）'!$C$4,N(U5338),IF(COUNTIFS(①今日の在庫を貼る!$B$6:$B$10005,$B5339,①今日の在庫を貼る!$I$6:$I$10005,$I5339)&gt;0,N(U5338),N(U5338)+1))</f>
        <v>2</v>
      </c>
    </row>
    <row r="5340" customFormat="false" ht="15" hidden="false" customHeight="false" outlineLevel="0" collapsed="false">
      <c r="B5340" s="53"/>
      <c r="I5340" s="53"/>
      <c r="U5340" s="31" t="n">
        <f aca="false">IF($B5340&lt;&gt;'設定（最初に1回）'!$C$4,N(U5339),IF(COUNTIFS(①今日の在庫を貼る!$B$6:$B$10005,$B5340,①今日の在庫を貼る!$I$6:$I$10005,$I5340)&gt;0,N(U5339),N(U5339)+1))</f>
        <v>2</v>
      </c>
    </row>
    <row r="5341" customFormat="false" ht="15" hidden="false" customHeight="false" outlineLevel="0" collapsed="false">
      <c r="B5341" s="53"/>
      <c r="I5341" s="53"/>
      <c r="U5341" s="31" t="n">
        <f aca="false">IF($B5341&lt;&gt;'設定（最初に1回）'!$C$4,N(U5340),IF(COUNTIFS(①今日の在庫を貼る!$B$6:$B$10005,$B5341,①今日の在庫を貼る!$I$6:$I$10005,$I5341)&gt;0,N(U5340),N(U5340)+1))</f>
        <v>2</v>
      </c>
    </row>
    <row r="5342" customFormat="false" ht="15" hidden="false" customHeight="false" outlineLevel="0" collapsed="false">
      <c r="B5342" s="53"/>
      <c r="I5342" s="53"/>
      <c r="U5342" s="31" t="n">
        <f aca="false">IF($B5342&lt;&gt;'設定（最初に1回）'!$C$4,N(U5341),IF(COUNTIFS(①今日の在庫を貼る!$B$6:$B$10005,$B5342,①今日の在庫を貼る!$I$6:$I$10005,$I5342)&gt;0,N(U5341),N(U5341)+1))</f>
        <v>2</v>
      </c>
    </row>
    <row r="5343" customFormat="false" ht="15" hidden="false" customHeight="false" outlineLevel="0" collapsed="false">
      <c r="B5343" s="53"/>
      <c r="I5343" s="53"/>
      <c r="U5343" s="31" t="n">
        <f aca="false">IF($B5343&lt;&gt;'設定（最初に1回）'!$C$4,N(U5342),IF(COUNTIFS(①今日の在庫を貼る!$B$6:$B$10005,$B5343,①今日の在庫を貼る!$I$6:$I$10005,$I5343)&gt;0,N(U5342),N(U5342)+1))</f>
        <v>2</v>
      </c>
    </row>
    <row r="5344" customFormat="false" ht="15" hidden="false" customHeight="false" outlineLevel="0" collapsed="false">
      <c r="B5344" s="53"/>
      <c r="I5344" s="53"/>
      <c r="U5344" s="31" t="n">
        <f aca="false">IF($B5344&lt;&gt;'設定（最初に1回）'!$C$4,N(U5343),IF(COUNTIFS(①今日の在庫を貼る!$B$6:$B$10005,$B5344,①今日の在庫を貼る!$I$6:$I$10005,$I5344)&gt;0,N(U5343),N(U5343)+1))</f>
        <v>2</v>
      </c>
    </row>
    <row r="5345" customFormat="false" ht="15" hidden="false" customHeight="false" outlineLevel="0" collapsed="false">
      <c r="B5345" s="53"/>
      <c r="I5345" s="53"/>
      <c r="U5345" s="31" t="n">
        <f aca="false">IF($B5345&lt;&gt;'設定（最初に1回）'!$C$4,N(U5344),IF(COUNTIFS(①今日の在庫を貼る!$B$6:$B$10005,$B5345,①今日の在庫を貼る!$I$6:$I$10005,$I5345)&gt;0,N(U5344),N(U5344)+1))</f>
        <v>2</v>
      </c>
    </row>
    <row r="5346" customFormat="false" ht="15" hidden="false" customHeight="false" outlineLevel="0" collapsed="false">
      <c r="B5346" s="53"/>
      <c r="I5346" s="53"/>
      <c r="U5346" s="31" t="n">
        <f aca="false">IF($B5346&lt;&gt;'設定（最初に1回）'!$C$4,N(U5345),IF(COUNTIFS(①今日の在庫を貼る!$B$6:$B$10005,$B5346,①今日の在庫を貼る!$I$6:$I$10005,$I5346)&gt;0,N(U5345),N(U5345)+1))</f>
        <v>2</v>
      </c>
    </row>
    <row r="5347" customFormat="false" ht="15" hidden="false" customHeight="false" outlineLevel="0" collapsed="false">
      <c r="B5347" s="53"/>
      <c r="I5347" s="53"/>
      <c r="U5347" s="31" t="n">
        <f aca="false">IF($B5347&lt;&gt;'設定（最初に1回）'!$C$4,N(U5346),IF(COUNTIFS(①今日の在庫を貼る!$B$6:$B$10005,$B5347,①今日の在庫を貼る!$I$6:$I$10005,$I5347)&gt;0,N(U5346),N(U5346)+1))</f>
        <v>2</v>
      </c>
    </row>
    <row r="5348" customFormat="false" ht="15" hidden="false" customHeight="false" outlineLevel="0" collapsed="false">
      <c r="B5348" s="53"/>
      <c r="I5348" s="53"/>
      <c r="U5348" s="31" t="n">
        <f aca="false">IF($B5348&lt;&gt;'設定（最初に1回）'!$C$4,N(U5347),IF(COUNTIFS(①今日の在庫を貼る!$B$6:$B$10005,$B5348,①今日の在庫を貼る!$I$6:$I$10005,$I5348)&gt;0,N(U5347),N(U5347)+1))</f>
        <v>2</v>
      </c>
    </row>
    <row r="5349" customFormat="false" ht="15" hidden="false" customHeight="false" outlineLevel="0" collapsed="false">
      <c r="B5349" s="53"/>
      <c r="I5349" s="53"/>
      <c r="U5349" s="31" t="n">
        <f aca="false">IF($B5349&lt;&gt;'設定（最初に1回）'!$C$4,N(U5348),IF(COUNTIFS(①今日の在庫を貼る!$B$6:$B$10005,$B5349,①今日の在庫を貼る!$I$6:$I$10005,$I5349)&gt;0,N(U5348),N(U5348)+1))</f>
        <v>2</v>
      </c>
    </row>
    <row r="5350" customFormat="false" ht="15" hidden="false" customHeight="false" outlineLevel="0" collapsed="false">
      <c r="B5350" s="53"/>
      <c r="I5350" s="53"/>
      <c r="U5350" s="31" t="n">
        <f aca="false">IF($B5350&lt;&gt;'設定（最初に1回）'!$C$4,N(U5349),IF(COUNTIFS(①今日の在庫を貼る!$B$6:$B$10005,$B5350,①今日の在庫を貼る!$I$6:$I$10005,$I5350)&gt;0,N(U5349),N(U5349)+1))</f>
        <v>2</v>
      </c>
    </row>
    <row r="5351" customFormat="false" ht="15" hidden="false" customHeight="false" outlineLevel="0" collapsed="false">
      <c r="B5351" s="53"/>
      <c r="I5351" s="53"/>
      <c r="U5351" s="31" t="n">
        <f aca="false">IF($B5351&lt;&gt;'設定（最初に1回）'!$C$4,N(U5350),IF(COUNTIFS(①今日の在庫を貼る!$B$6:$B$10005,$B5351,①今日の在庫を貼る!$I$6:$I$10005,$I5351)&gt;0,N(U5350),N(U5350)+1))</f>
        <v>2</v>
      </c>
    </row>
    <row r="5352" customFormat="false" ht="15" hidden="false" customHeight="false" outlineLevel="0" collapsed="false">
      <c r="B5352" s="53"/>
      <c r="I5352" s="53"/>
      <c r="U5352" s="31" t="n">
        <f aca="false">IF($B5352&lt;&gt;'設定（最初に1回）'!$C$4,N(U5351),IF(COUNTIFS(①今日の在庫を貼る!$B$6:$B$10005,$B5352,①今日の在庫を貼る!$I$6:$I$10005,$I5352)&gt;0,N(U5351),N(U5351)+1))</f>
        <v>2</v>
      </c>
    </row>
    <row r="5353" customFormat="false" ht="15" hidden="false" customHeight="false" outlineLevel="0" collapsed="false">
      <c r="B5353" s="53"/>
      <c r="I5353" s="53"/>
      <c r="U5353" s="31" t="n">
        <f aca="false">IF($B5353&lt;&gt;'設定（最初に1回）'!$C$4,N(U5352),IF(COUNTIFS(①今日の在庫を貼る!$B$6:$B$10005,$B5353,①今日の在庫を貼る!$I$6:$I$10005,$I5353)&gt;0,N(U5352),N(U5352)+1))</f>
        <v>2</v>
      </c>
    </row>
    <row r="5354" customFormat="false" ht="15" hidden="false" customHeight="false" outlineLevel="0" collapsed="false">
      <c r="B5354" s="53"/>
      <c r="I5354" s="53"/>
      <c r="U5354" s="31" t="n">
        <f aca="false">IF($B5354&lt;&gt;'設定（最初に1回）'!$C$4,N(U5353),IF(COUNTIFS(①今日の在庫を貼る!$B$6:$B$10005,$B5354,①今日の在庫を貼る!$I$6:$I$10005,$I5354)&gt;0,N(U5353),N(U5353)+1))</f>
        <v>2</v>
      </c>
    </row>
    <row r="5355" customFormat="false" ht="15" hidden="false" customHeight="false" outlineLevel="0" collapsed="false">
      <c r="B5355" s="53"/>
      <c r="I5355" s="53"/>
      <c r="U5355" s="31" t="n">
        <f aca="false">IF($B5355&lt;&gt;'設定（最初に1回）'!$C$4,N(U5354),IF(COUNTIFS(①今日の在庫を貼る!$B$6:$B$10005,$B5355,①今日の在庫を貼る!$I$6:$I$10005,$I5355)&gt;0,N(U5354),N(U5354)+1))</f>
        <v>2</v>
      </c>
    </row>
    <row r="5356" customFormat="false" ht="15" hidden="false" customHeight="false" outlineLevel="0" collapsed="false">
      <c r="B5356" s="53"/>
      <c r="I5356" s="53"/>
      <c r="U5356" s="31" t="n">
        <f aca="false">IF($B5356&lt;&gt;'設定（最初に1回）'!$C$4,N(U5355),IF(COUNTIFS(①今日の在庫を貼る!$B$6:$B$10005,$B5356,①今日の在庫を貼る!$I$6:$I$10005,$I5356)&gt;0,N(U5355),N(U5355)+1))</f>
        <v>2</v>
      </c>
    </row>
    <row r="5357" customFormat="false" ht="15" hidden="false" customHeight="false" outlineLevel="0" collapsed="false">
      <c r="B5357" s="53"/>
      <c r="I5357" s="53"/>
      <c r="U5357" s="31" t="n">
        <f aca="false">IF($B5357&lt;&gt;'設定（最初に1回）'!$C$4,N(U5356),IF(COUNTIFS(①今日の在庫を貼る!$B$6:$B$10005,$B5357,①今日の在庫を貼る!$I$6:$I$10005,$I5357)&gt;0,N(U5356),N(U5356)+1))</f>
        <v>2</v>
      </c>
    </row>
    <row r="5358" customFormat="false" ht="15" hidden="false" customHeight="false" outlineLevel="0" collapsed="false">
      <c r="B5358" s="53"/>
      <c r="I5358" s="53"/>
      <c r="U5358" s="31" t="n">
        <f aca="false">IF($B5358&lt;&gt;'設定（最初に1回）'!$C$4,N(U5357),IF(COUNTIFS(①今日の在庫を貼る!$B$6:$B$10005,$B5358,①今日の在庫を貼る!$I$6:$I$10005,$I5358)&gt;0,N(U5357),N(U5357)+1))</f>
        <v>2</v>
      </c>
    </row>
    <row r="5359" customFormat="false" ht="15" hidden="false" customHeight="false" outlineLevel="0" collapsed="false">
      <c r="B5359" s="53"/>
      <c r="I5359" s="53"/>
      <c r="U5359" s="31" t="n">
        <f aca="false">IF($B5359&lt;&gt;'設定（最初に1回）'!$C$4,N(U5358),IF(COUNTIFS(①今日の在庫を貼る!$B$6:$B$10005,$B5359,①今日の在庫を貼る!$I$6:$I$10005,$I5359)&gt;0,N(U5358),N(U5358)+1))</f>
        <v>2</v>
      </c>
    </row>
    <row r="5360" customFormat="false" ht="15" hidden="false" customHeight="false" outlineLevel="0" collapsed="false">
      <c r="B5360" s="53"/>
      <c r="I5360" s="53"/>
      <c r="U5360" s="31" t="n">
        <f aca="false">IF($B5360&lt;&gt;'設定（最初に1回）'!$C$4,N(U5359),IF(COUNTIFS(①今日の在庫を貼る!$B$6:$B$10005,$B5360,①今日の在庫を貼る!$I$6:$I$10005,$I5360)&gt;0,N(U5359),N(U5359)+1))</f>
        <v>2</v>
      </c>
    </row>
    <row r="5361" customFormat="false" ht="15" hidden="false" customHeight="false" outlineLevel="0" collapsed="false">
      <c r="B5361" s="53"/>
      <c r="I5361" s="53"/>
      <c r="U5361" s="31" t="n">
        <f aca="false">IF($B5361&lt;&gt;'設定（最初に1回）'!$C$4,N(U5360),IF(COUNTIFS(①今日の在庫を貼る!$B$6:$B$10005,$B5361,①今日の在庫を貼る!$I$6:$I$10005,$I5361)&gt;0,N(U5360),N(U5360)+1))</f>
        <v>2</v>
      </c>
    </row>
    <row r="5362" customFormat="false" ht="15" hidden="false" customHeight="false" outlineLevel="0" collapsed="false">
      <c r="B5362" s="53"/>
      <c r="I5362" s="53"/>
      <c r="U5362" s="31" t="n">
        <f aca="false">IF($B5362&lt;&gt;'設定（最初に1回）'!$C$4,N(U5361),IF(COUNTIFS(①今日の在庫を貼る!$B$6:$B$10005,$B5362,①今日の在庫を貼る!$I$6:$I$10005,$I5362)&gt;0,N(U5361),N(U5361)+1))</f>
        <v>2</v>
      </c>
    </row>
    <row r="5363" customFormat="false" ht="15" hidden="false" customHeight="false" outlineLevel="0" collapsed="false">
      <c r="B5363" s="53"/>
      <c r="I5363" s="53"/>
      <c r="U5363" s="31" t="n">
        <f aca="false">IF($B5363&lt;&gt;'設定（最初に1回）'!$C$4,N(U5362),IF(COUNTIFS(①今日の在庫を貼る!$B$6:$B$10005,$B5363,①今日の在庫を貼る!$I$6:$I$10005,$I5363)&gt;0,N(U5362),N(U5362)+1))</f>
        <v>2</v>
      </c>
    </row>
    <row r="5364" customFormat="false" ht="15" hidden="false" customHeight="false" outlineLevel="0" collapsed="false">
      <c r="B5364" s="53"/>
      <c r="I5364" s="53"/>
      <c r="U5364" s="31" t="n">
        <f aca="false">IF($B5364&lt;&gt;'設定（最初に1回）'!$C$4,N(U5363),IF(COUNTIFS(①今日の在庫を貼る!$B$6:$B$10005,$B5364,①今日の在庫を貼る!$I$6:$I$10005,$I5364)&gt;0,N(U5363),N(U5363)+1))</f>
        <v>2</v>
      </c>
    </row>
    <row r="5365" customFormat="false" ht="15" hidden="false" customHeight="false" outlineLevel="0" collapsed="false">
      <c r="B5365" s="53"/>
      <c r="I5365" s="53"/>
      <c r="U5365" s="31" t="n">
        <f aca="false">IF($B5365&lt;&gt;'設定（最初に1回）'!$C$4,N(U5364),IF(COUNTIFS(①今日の在庫を貼る!$B$6:$B$10005,$B5365,①今日の在庫を貼る!$I$6:$I$10005,$I5365)&gt;0,N(U5364),N(U5364)+1))</f>
        <v>2</v>
      </c>
    </row>
    <row r="5366" customFormat="false" ht="15" hidden="false" customHeight="false" outlineLevel="0" collapsed="false">
      <c r="B5366" s="53"/>
      <c r="I5366" s="53"/>
      <c r="U5366" s="31" t="n">
        <f aca="false">IF($B5366&lt;&gt;'設定（最初に1回）'!$C$4,N(U5365),IF(COUNTIFS(①今日の在庫を貼る!$B$6:$B$10005,$B5366,①今日の在庫を貼る!$I$6:$I$10005,$I5366)&gt;0,N(U5365),N(U5365)+1))</f>
        <v>2</v>
      </c>
    </row>
    <row r="5367" customFormat="false" ht="15" hidden="false" customHeight="false" outlineLevel="0" collapsed="false">
      <c r="B5367" s="53"/>
      <c r="I5367" s="53"/>
      <c r="U5367" s="31" t="n">
        <f aca="false">IF($B5367&lt;&gt;'設定（最初に1回）'!$C$4,N(U5366),IF(COUNTIFS(①今日の在庫を貼る!$B$6:$B$10005,$B5367,①今日の在庫を貼る!$I$6:$I$10005,$I5367)&gt;0,N(U5366),N(U5366)+1))</f>
        <v>2</v>
      </c>
    </row>
    <row r="5368" customFormat="false" ht="15" hidden="false" customHeight="false" outlineLevel="0" collapsed="false">
      <c r="B5368" s="53"/>
      <c r="I5368" s="53"/>
      <c r="U5368" s="31" t="n">
        <f aca="false">IF($B5368&lt;&gt;'設定（最初に1回）'!$C$4,N(U5367),IF(COUNTIFS(①今日の在庫を貼る!$B$6:$B$10005,$B5368,①今日の在庫を貼る!$I$6:$I$10005,$I5368)&gt;0,N(U5367),N(U5367)+1))</f>
        <v>2</v>
      </c>
    </row>
    <row r="5369" customFormat="false" ht="15" hidden="false" customHeight="false" outlineLevel="0" collapsed="false">
      <c r="B5369" s="53"/>
      <c r="I5369" s="53"/>
      <c r="U5369" s="31" t="n">
        <f aca="false">IF($B5369&lt;&gt;'設定（最初に1回）'!$C$4,N(U5368),IF(COUNTIFS(①今日の在庫を貼る!$B$6:$B$10005,$B5369,①今日の在庫を貼る!$I$6:$I$10005,$I5369)&gt;0,N(U5368),N(U5368)+1))</f>
        <v>2</v>
      </c>
    </row>
    <row r="5370" customFormat="false" ht="15" hidden="false" customHeight="false" outlineLevel="0" collapsed="false">
      <c r="B5370" s="53"/>
      <c r="I5370" s="53"/>
      <c r="U5370" s="31" t="n">
        <f aca="false">IF($B5370&lt;&gt;'設定（最初に1回）'!$C$4,N(U5369),IF(COUNTIFS(①今日の在庫を貼る!$B$6:$B$10005,$B5370,①今日の在庫を貼る!$I$6:$I$10005,$I5370)&gt;0,N(U5369),N(U5369)+1))</f>
        <v>2</v>
      </c>
    </row>
    <row r="5371" customFormat="false" ht="15" hidden="false" customHeight="false" outlineLevel="0" collapsed="false">
      <c r="B5371" s="53"/>
      <c r="I5371" s="53"/>
      <c r="U5371" s="31" t="n">
        <f aca="false">IF($B5371&lt;&gt;'設定（最初に1回）'!$C$4,N(U5370),IF(COUNTIFS(①今日の在庫を貼る!$B$6:$B$10005,$B5371,①今日の在庫を貼る!$I$6:$I$10005,$I5371)&gt;0,N(U5370),N(U5370)+1))</f>
        <v>2</v>
      </c>
    </row>
    <row r="5372" customFormat="false" ht="15" hidden="false" customHeight="false" outlineLevel="0" collapsed="false">
      <c r="B5372" s="53"/>
      <c r="I5372" s="53"/>
      <c r="U5372" s="31" t="n">
        <f aca="false">IF($B5372&lt;&gt;'設定（最初に1回）'!$C$4,N(U5371),IF(COUNTIFS(①今日の在庫を貼る!$B$6:$B$10005,$B5372,①今日の在庫を貼る!$I$6:$I$10005,$I5372)&gt;0,N(U5371),N(U5371)+1))</f>
        <v>2</v>
      </c>
    </row>
    <row r="5373" customFormat="false" ht="15" hidden="false" customHeight="false" outlineLevel="0" collapsed="false">
      <c r="B5373" s="53"/>
      <c r="I5373" s="53"/>
      <c r="U5373" s="31" t="n">
        <f aca="false">IF($B5373&lt;&gt;'設定（最初に1回）'!$C$4,N(U5372),IF(COUNTIFS(①今日の在庫を貼る!$B$6:$B$10005,$B5373,①今日の在庫を貼る!$I$6:$I$10005,$I5373)&gt;0,N(U5372),N(U5372)+1))</f>
        <v>2</v>
      </c>
    </row>
    <row r="5374" customFormat="false" ht="15" hidden="false" customHeight="false" outlineLevel="0" collapsed="false">
      <c r="B5374" s="53"/>
      <c r="I5374" s="53"/>
      <c r="U5374" s="31" t="n">
        <f aca="false">IF($B5374&lt;&gt;'設定（最初に1回）'!$C$4,N(U5373),IF(COUNTIFS(①今日の在庫を貼る!$B$6:$B$10005,$B5374,①今日の在庫を貼る!$I$6:$I$10005,$I5374)&gt;0,N(U5373),N(U5373)+1))</f>
        <v>2</v>
      </c>
    </row>
    <row r="5375" customFormat="false" ht="15" hidden="false" customHeight="false" outlineLevel="0" collapsed="false">
      <c r="B5375" s="53"/>
      <c r="I5375" s="53"/>
      <c r="U5375" s="31" t="n">
        <f aca="false">IF($B5375&lt;&gt;'設定（最初に1回）'!$C$4,N(U5374),IF(COUNTIFS(①今日の在庫を貼る!$B$6:$B$10005,$B5375,①今日の在庫を貼る!$I$6:$I$10005,$I5375)&gt;0,N(U5374),N(U5374)+1))</f>
        <v>2</v>
      </c>
    </row>
    <row r="5376" customFormat="false" ht="15" hidden="false" customHeight="false" outlineLevel="0" collapsed="false">
      <c r="B5376" s="53"/>
      <c r="I5376" s="53"/>
      <c r="U5376" s="31" t="n">
        <f aca="false">IF($B5376&lt;&gt;'設定（最初に1回）'!$C$4,N(U5375),IF(COUNTIFS(①今日の在庫を貼る!$B$6:$B$10005,$B5376,①今日の在庫を貼る!$I$6:$I$10005,$I5376)&gt;0,N(U5375),N(U5375)+1))</f>
        <v>2</v>
      </c>
    </row>
    <row r="5377" customFormat="false" ht="15" hidden="false" customHeight="false" outlineLevel="0" collapsed="false">
      <c r="B5377" s="53"/>
      <c r="I5377" s="53"/>
      <c r="U5377" s="31" t="n">
        <f aca="false">IF($B5377&lt;&gt;'設定（最初に1回）'!$C$4,N(U5376),IF(COUNTIFS(①今日の在庫を貼る!$B$6:$B$10005,$B5377,①今日の在庫を貼る!$I$6:$I$10005,$I5377)&gt;0,N(U5376),N(U5376)+1))</f>
        <v>2</v>
      </c>
    </row>
    <row r="5378" customFormat="false" ht="15" hidden="false" customHeight="false" outlineLevel="0" collapsed="false">
      <c r="B5378" s="53"/>
      <c r="I5378" s="53"/>
      <c r="U5378" s="31" t="n">
        <f aca="false">IF($B5378&lt;&gt;'設定（最初に1回）'!$C$4,N(U5377),IF(COUNTIFS(①今日の在庫を貼る!$B$6:$B$10005,$B5378,①今日の在庫を貼る!$I$6:$I$10005,$I5378)&gt;0,N(U5377),N(U5377)+1))</f>
        <v>2</v>
      </c>
    </row>
    <row r="5379" customFormat="false" ht="15" hidden="false" customHeight="false" outlineLevel="0" collapsed="false">
      <c r="B5379" s="53"/>
      <c r="I5379" s="53"/>
      <c r="U5379" s="31" t="n">
        <f aca="false">IF($B5379&lt;&gt;'設定（最初に1回）'!$C$4,N(U5378),IF(COUNTIFS(①今日の在庫を貼る!$B$6:$B$10005,$B5379,①今日の在庫を貼る!$I$6:$I$10005,$I5379)&gt;0,N(U5378),N(U5378)+1))</f>
        <v>2</v>
      </c>
    </row>
    <row r="5380" customFormat="false" ht="15" hidden="false" customHeight="false" outlineLevel="0" collapsed="false">
      <c r="B5380" s="53"/>
      <c r="I5380" s="53"/>
      <c r="U5380" s="31" t="n">
        <f aca="false">IF($B5380&lt;&gt;'設定（最初に1回）'!$C$4,N(U5379),IF(COUNTIFS(①今日の在庫を貼る!$B$6:$B$10005,$B5380,①今日の在庫を貼る!$I$6:$I$10005,$I5380)&gt;0,N(U5379),N(U5379)+1))</f>
        <v>2</v>
      </c>
    </row>
    <row r="5381" customFormat="false" ht="15" hidden="false" customHeight="false" outlineLevel="0" collapsed="false">
      <c r="B5381" s="53"/>
      <c r="I5381" s="53"/>
      <c r="U5381" s="31" t="n">
        <f aca="false">IF($B5381&lt;&gt;'設定（最初に1回）'!$C$4,N(U5380),IF(COUNTIFS(①今日の在庫を貼る!$B$6:$B$10005,$B5381,①今日の在庫を貼る!$I$6:$I$10005,$I5381)&gt;0,N(U5380),N(U5380)+1))</f>
        <v>2</v>
      </c>
    </row>
    <row r="5382" customFormat="false" ht="15" hidden="false" customHeight="false" outlineLevel="0" collapsed="false">
      <c r="B5382" s="53"/>
      <c r="I5382" s="53"/>
      <c r="U5382" s="31" t="n">
        <f aca="false">IF($B5382&lt;&gt;'設定（最初に1回）'!$C$4,N(U5381),IF(COUNTIFS(①今日の在庫を貼る!$B$6:$B$10005,$B5382,①今日の在庫を貼る!$I$6:$I$10005,$I5382)&gt;0,N(U5381),N(U5381)+1))</f>
        <v>2</v>
      </c>
    </row>
    <row r="5383" customFormat="false" ht="15" hidden="false" customHeight="false" outlineLevel="0" collapsed="false">
      <c r="B5383" s="53"/>
      <c r="I5383" s="53"/>
      <c r="U5383" s="31" t="n">
        <f aca="false">IF($B5383&lt;&gt;'設定（最初に1回）'!$C$4,N(U5382),IF(COUNTIFS(①今日の在庫を貼る!$B$6:$B$10005,$B5383,①今日の在庫を貼る!$I$6:$I$10005,$I5383)&gt;0,N(U5382),N(U5382)+1))</f>
        <v>2</v>
      </c>
    </row>
    <row r="5384" customFormat="false" ht="15" hidden="false" customHeight="false" outlineLevel="0" collapsed="false">
      <c r="B5384" s="53"/>
      <c r="I5384" s="53"/>
      <c r="U5384" s="31" t="n">
        <f aca="false">IF($B5384&lt;&gt;'設定（最初に1回）'!$C$4,N(U5383),IF(COUNTIFS(①今日の在庫を貼る!$B$6:$B$10005,$B5384,①今日の在庫を貼る!$I$6:$I$10005,$I5384)&gt;0,N(U5383),N(U5383)+1))</f>
        <v>2</v>
      </c>
    </row>
    <row r="5385" customFormat="false" ht="15" hidden="false" customHeight="false" outlineLevel="0" collapsed="false">
      <c r="B5385" s="53"/>
      <c r="I5385" s="53"/>
      <c r="U5385" s="31" t="n">
        <f aca="false">IF($B5385&lt;&gt;'設定（最初に1回）'!$C$4,N(U5384),IF(COUNTIFS(①今日の在庫を貼る!$B$6:$B$10005,$B5385,①今日の在庫を貼る!$I$6:$I$10005,$I5385)&gt;0,N(U5384),N(U5384)+1))</f>
        <v>2</v>
      </c>
    </row>
    <row r="5386" customFormat="false" ht="15" hidden="false" customHeight="false" outlineLevel="0" collapsed="false">
      <c r="B5386" s="53"/>
      <c r="I5386" s="53"/>
      <c r="U5386" s="31" t="n">
        <f aca="false">IF($B5386&lt;&gt;'設定（最初に1回）'!$C$4,N(U5385),IF(COUNTIFS(①今日の在庫を貼る!$B$6:$B$10005,$B5386,①今日の在庫を貼る!$I$6:$I$10005,$I5386)&gt;0,N(U5385),N(U5385)+1))</f>
        <v>2</v>
      </c>
    </row>
    <row r="5387" customFormat="false" ht="15" hidden="false" customHeight="false" outlineLevel="0" collapsed="false">
      <c r="B5387" s="53"/>
      <c r="I5387" s="53"/>
      <c r="U5387" s="31" t="n">
        <f aca="false">IF($B5387&lt;&gt;'設定（最初に1回）'!$C$4,N(U5386),IF(COUNTIFS(①今日の在庫を貼る!$B$6:$B$10005,$B5387,①今日の在庫を貼る!$I$6:$I$10005,$I5387)&gt;0,N(U5386),N(U5386)+1))</f>
        <v>2</v>
      </c>
    </row>
    <row r="5388" customFormat="false" ht="15" hidden="false" customHeight="false" outlineLevel="0" collapsed="false">
      <c r="B5388" s="53"/>
      <c r="I5388" s="53"/>
      <c r="U5388" s="31" t="n">
        <f aca="false">IF($B5388&lt;&gt;'設定（最初に1回）'!$C$4,N(U5387),IF(COUNTIFS(①今日の在庫を貼る!$B$6:$B$10005,$B5388,①今日の在庫を貼る!$I$6:$I$10005,$I5388)&gt;0,N(U5387),N(U5387)+1))</f>
        <v>2</v>
      </c>
    </row>
    <row r="5389" customFormat="false" ht="15" hidden="false" customHeight="false" outlineLevel="0" collapsed="false">
      <c r="B5389" s="53"/>
      <c r="I5389" s="53"/>
      <c r="U5389" s="31" t="n">
        <f aca="false">IF($B5389&lt;&gt;'設定（最初に1回）'!$C$4,N(U5388),IF(COUNTIFS(①今日の在庫を貼る!$B$6:$B$10005,$B5389,①今日の在庫を貼る!$I$6:$I$10005,$I5389)&gt;0,N(U5388),N(U5388)+1))</f>
        <v>2</v>
      </c>
    </row>
    <row r="5390" customFormat="false" ht="15" hidden="false" customHeight="false" outlineLevel="0" collapsed="false">
      <c r="B5390" s="53"/>
      <c r="I5390" s="53"/>
      <c r="U5390" s="31" t="n">
        <f aca="false">IF($B5390&lt;&gt;'設定（最初に1回）'!$C$4,N(U5389),IF(COUNTIFS(①今日の在庫を貼る!$B$6:$B$10005,$B5390,①今日の在庫を貼る!$I$6:$I$10005,$I5390)&gt;0,N(U5389),N(U5389)+1))</f>
        <v>2</v>
      </c>
    </row>
    <row r="5391" customFormat="false" ht="15" hidden="false" customHeight="false" outlineLevel="0" collapsed="false">
      <c r="B5391" s="53"/>
      <c r="I5391" s="53"/>
      <c r="U5391" s="31" t="n">
        <f aca="false">IF($B5391&lt;&gt;'設定（最初に1回）'!$C$4,N(U5390),IF(COUNTIFS(①今日の在庫を貼る!$B$6:$B$10005,$B5391,①今日の在庫を貼る!$I$6:$I$10005,$I5391)&gt;0,N(U5390),N(U5390)+1))</f>
        <v>2</v>
      </c>
    </row>
    <row r="5392" customFormat="false" ht="15" hidden="false" customHeight="false" outlineLevel="0" collapsed="false">
      <c r="B5392" s="53"/>
      <c r="I5392" s="53"/>
      <c r="U5392" s="31" t="n">
        <f aca="false">IF($B5392&lt;&gt;'設定（最初に1回）'!$C$4,N(U5391),IF(COUNTIFS(①今日の在庫を貼る!$B$6:$B$10005,$B5392,①今日の在庫を貼る!$I$6:$I$10005,$I5392)&gt;0,N(U5391),N(U5391)+1))</f>
        <v>2</v>
      </c>
    </row>
    <row r="5393" customFormat="false" ht="15" hidden="false" customHeight="false" outlineLevel="0" collapsed="false">
      <c r="B5393" s="53"/>
      <c r="I5393" s="53"/>
      <c r="U5393" s="31" t="n">
        <f aca="false">IF($B5393&lt;&gt;'設定（最初に1回）'!$C$4,N(U5392),IF(COUNTIFS(①今日の在庫を貼る!$B$6:$B$10005,$B5393,①今日の在庫を貼る!$I$6:$I$10005,$I5393)&gt;0,N(U5392),N(U5392)+1))</f>
        <v>2</v>
      </c>
    </row>
    <row r="5394" customFormat="false" ht="15" hidden="false" customHeight="false" outlineLevel="0" collapsed="false">
      <c r="B5394" s="53"/>
      <c r="I5394" s="53"/>
      <c r="U5394" s="31" t="n">
        <f aca="false">IF($B5394&lt;&gt;'設定（最初に1回）'!$C$4,N(U5393),IF(COUNTIFS(①今日の在庫を貼る!$B$6:$B$10005,$B5394,①今日の在庫を貼る!$I$6:$I$10005,$I5394)&gt;0,N(U5393),N(U5393)+1))</f>
        <v>2</v>
      </c>
    </row>
    <row r="5395" customFormat="false" ht="15" hidden="false" customHeight="false" outlineLevel="0" collapsed="false">
      <c r="B5395" s="53"/>
      <c r="I5395" s="53"/>
      <c r="U5395" s="31" t="n">
        <f aca="false">IF($B5395&lt;&gt;'設定（最初に1回）'!$C$4,N(U5394),IF(COUNTIFS(①今日の在庫を貼る!$B$6:$B$10005,$B5395,①今日の在庫を貼る!$I$6:$I$10005,$I5395)&gt;0,N(U5394),N(U5394)+1))</f>
        <v>2</v>
      </c>
    </row>
    <row r="5396" customFormat="false" ht="15" hidden="false" customHeight="false" outlineLevel="0" collapsed="false">
      <c r="B5396" s="53"/>
      <c r="I5396" s="53"/>
      <c r="U5396" s="31" t="n">
        <f aca="false">IF($B5396&lt;&gt;'設定（最初に1回）'!$C$4,N(U5395),IF(COUNTIFS(①今日の在庫を貼る!$B$6:$B$10005,$B5396,①今日の在庫を貼る!$I$6:$I$10005,$I5396)&gt;0,N(U5395),N(U5395)+1))</f>
        <v>2</v>
      </c>
    </row>
    <row r="5397" customFormat="false" ht="15" hidden="false" customHeight="false" outlineLevel="0" collapsed="false">
      <c r="B5397" s="53"/>
      <c r="I5397" s="53"/>
      <c r="U5397" s="31" t="n">
        <f aca="false">IF($B5397&lt;&gt;'設定（最初に1回）'!$C$4,N(U5396),IF(COUNTIFS(①今日の在庫を貼る!$B$6:$B$10005,$B5397,①今日の在庫を貼る!$I$6:$I$10005,$I5397)&gt;0,N(U5396),N(U5396)+1))</f>
        <v>2</v>
      </c>
    </row>
    <row r="5398" customFormat="false" ht="15" hidden="false" customHeight="false" outlineLevel="0" collapsed="false">
      <c r="B5398" s="53"/>
      <c r="I5398" s="53"/>
      <c r="U5398" s="31" t="n">
        <f aca="false">IF($B5398&lt;&gt;'設定（最初に1回）'!$C$4,N(U5397),IF(COUNTIFS(①今日の在庫を貼る!$B$6:$B$10005,$B5398,①今日の在庫を貼る!$I$6:$I$10005,$I5398)&gt;0,N(U5397),N(U5397)+1))</f>
        <v>2</v>
      </c>
    </row>
    <row r="5399" customFormat="false" ht="15" hidden="false" customHeight="false" outlineLevel="0" collapsed="false">
      <c r="B5399" s="53"/>
      <c r="I5399" s="53"/>
      <c r="U5399" s="31" t="n">
        <f aca="false">IF($B5399&lt;&gt;'設定（最初に1回）'!$C$4,N(U5398),IF(COUNTIFS(①今日の在庫を貼る!$B$6:$B$10005,$B5399,①今日の在庫を貼る!$I$6:$I$10005,$I5399)&gt;0,N(U5398),N(U5398)+1))</f>
        <v>2</v>
      </c>
    </row>
    <row r="5400" customFormat="false" ht="15" hidden="false" customHeight="false" outlineLevel="0" collapsed="false">
      <c r="B5400" s="53"/>
      <c r="I5400" s="53"/>
      <c r="U5400" s="31" t="n">
        <f aca="false">IF($B5400&lt;&gt;'設定（最初に1回）'!$C$4,N(U5399),IF(COUNTIFS(①今日の在庫を貼る!$B$6:$B$10005,$B5400,①今日の在庫を貼る!$I$6:$I$10005,$I5400)&gt;0,N(U5399),N(U5399)+1))</f>
        <v>2</v>
      </c>
    </row>
    <row r="5401" customFormat="false" ht="15" hidden="false" customHeight="false" outlineLevel="0" collapsed="false">
      <c r="B5401" s="53"/>
      <c r="I5401" s="53"/>
      <c r="U5401" s="31" t="n">
        <f aca="false">IF($B5401&lt;&gt;'設定（最初に1回）'!$C$4,N(U5400),IF(COUNTIFS(①今日の在庫を貼る!$B$6:$B$10005,$B5401,①今日の在庫を貼る!$I$6:$I$10005,$I5401)&gt;0,N(U5400),N(U5400)+1))</f>
        <v>2</v>
      </c>
    </row>
    <row r="5402" customFormat="false" ht="15" hidden="false" customHeight="false" outlineLevel="0" collapsed="false">
      <c r="B5402" s="53"/>
      <c r="I5402" s="53"/>
      <c r="U5402" s="31" t="n">
        <f aca="false">IF($B5402&lt;&gt;'設定（最初に1回）'!$C$4,N(U5401),IF(COUNTIFS(①今日の在庫を貼る!$B$6:$B$10005,$B5402,①今日の在庫を貼る!$I$6:$I$10005,$I5402)&gt;0,N(U5401),N(U5401)+1))</f>
        <v>2</v>
      </c>
    </row>
    <row r="5403" customFormat="false" ht="15" hidden="false" customHeight="false" outlineLevel="0" collapsed="false">
      <c r="B5403" s="53"/>
      <c r="I5403" s="53"/>
      <c r="U5403" s="31" t="n">
        <f aca="false">IF($B5403&lt;&gt;'設定（最初に1回）'!$C$4,N(U5402),IF(COUNTIFS(①今日の在庫を貼る!$B$6:$B$10005,$B5403,①今日の在庫を貼る!$I$6:$I$10005,$I5403)&gt;0,N(U5402),N(U5402)+1))</f>
        <v>2</v>
      </c>
    </row>
    <row r="5404" customFormat="false" ht="15" hidden="false" customHeight="false" outlineLevel="0" collapsed="false">
      <c r="B5404" s="53"/>
      <c r="I5404" s="53"/>
      <c r="U5404" s="31" t="n">
        <f aca="false">IF($B5404&lt;&gt;'設定（最初に1回）'!$C$4,N(U5403),IF(COUNTIFS(①今日の在庫を貼る!$B$6:$B$10005,$B5404,①今日の在庫を貼る!$I$6:$I$10005,$I5404)&gt;0,N(U5403),N(U5403)+1))</f>
        <v>2</v>
      </c>
    </row>
    <row r="5405" customFormat="false" ht="15" hidden="false" customHeight="false" outlineLevel="0" collapsed="false">
      <c r="B5405" s="53"/>
      <c r="I5405" s="53"/>
      <c r="U5405" s="31" t="n">
        <f aca="false">IF($B5405&lt;&gt;'設定（最初に1回）'!$C$4,N(U5404),IF(COUNTIFS(①今日の在庫を貼る!$B$6:$B$10005,$B5405,①今日の在庫を貼る!$I$6:$I$10005,$I5405)&gt;0,N(U5404),N(U5404)+1))</f>
        <v>2</v>
      </c>
    </row>
    <row r="5406" customFormat="false" ht="15" hidden="false" customHeight="false" outlineLevel="0" collapsed="false">
      <c r="B5406" s="53"/>
      <c r="I5406" s="53"/>
      <c r="U5406" s="31" t="n">
        <f aca="false">IF($B5406&lt;&gt;'設定（最初に1回）'!$C$4,N(U5405),IF(COUNTIFS(①今日の在庫を貼る!$B$6:$B$10005,$B5406,①今日の在庫を貼る!$I$6:$I$10005,$I5406)&gt;0,N(U5405),N(U5405)+1))</f>
        <v>2</v>
      </c>
    </row>
    <row r="5407" customFormat="false" ht="15" hidden="false" customHeight="false" outlineLevel="0" collapsed="false">
      <c r="B5407" s="53"/>
      <c r="I5407" s="53"/>
      <c r="U5407" s="31" t="n">
        <f aca="false">IF($B5407&lt;&gt;'設定（最初に1回）'!$C$4,N(U5406),IF(COUNTIFS(①今日の在庫を貼る!$B$6:$B$10005,$B5407,①今日の在庫を貼る!$I$6:$I$10005,$I5407)&gt;0,N(U5406),N(U5406)+1))</f>
        <v>2</v>
      </c>
    </row>
    <row r="5408" customFormat="false" ht="15" hidden="false" customHeight="false" outlineLevel="0" collapsed="false">
      <c r="B5408" s="53"/>
      <c r="I5408" s="53"/>
      <c r="U5408" s="31" t="n">
        <f aca="false">IF($B5408&lt;&gt;'設定（最初に1回）'!$C$4,N(U5407),IF(COUNTIFS(①今日の在庫を貼る!$B$6:$B$10005,$B5408,①今日の在庫を貼る!$I$6:$I$10005,$I5408)&gt;0,N(U5407),N(U5407)+1))</f>
        <v>2</v>
      </c>
    </row>
    <row r="5409" customFormat="false" ht="15" hidden="false" customHeight="false" outlineLevel="0" collapsed="false">
      <c r="B5409" s="53"/>
      <c r="I5409" s="53"/>
      <c r="U5409" s="31" t="n">
        <f aca="false">IF($B5409&lt;&gt;'設定（最初に1回）'!$C$4,N(U5408),IF(COUNTIFS(①今日の在庫を貼る!$B$6:$B$10005,$B5409,①今日の在庫を貼る!$I$6:$I$10005,$I5409)&gt;0,N(U5408),N(U5408)+1))</f>
        <v>2</v>
      </c>
    </row>
    <row r="5410" customFormat="false" ht="15" hidden="false" customHeight="false" outlineLevel="0" collapsed="false">
      <c r="B5410" s="53"/>
      <c r="I5410" s="53"/>
      <c r="U5410" s="31" t="n">
        <f aca="false">IF($B5410&lt;&gt;'設定（最初に1回）'!$C$4,N(U5409),IF(COUNTIFS(①今日の在庫を貼る!$B$6:$B$10005,$B5410,①今日の在庫を貼る!$I$6:$I$10005,$I5410)&gt;0,N(U5409),N(U5409)+1))</f>
        <v>2</v>
      </c>
    </row>
    <row r="5411" customFormat="false" ht="15" hidden="false" customHeight="false" outlineLevel="0" collapsed="false">
      <c r="B5411" s="53"/>
      <c r="I5411" s="53"/>
      <c r="U5411" s="31" t="n">
        <f aca="false">IF($B5411&lt;&gt;'設定（最初に1回）'!$C$4,N(U5410),IF(COUNTIFS(①今日の在庫を貼る!$B$6:$B$10005,$B5411,①今日の在庫を貼る!$I$6:$I$10005,$I5411)&gt;0,N(U5410),N(U5410)+1))</f>
        <v>2</v>
      </c>
    </row>
    <row r="5412" customFormat="false" ht="15" hidden="false" customHeight="false" outlineLevel="0" collapsed="false">
      <c r="B5412" s="53"/>
      <c r="I5412" s="53"/>
      <c r="U5412" s="31" t="n">
        <f aca="false">IF($B5412&lt;&gt;'設定（最初に1回）'!$C$4,N(U5411),IF(COUNTIFS(①今日の在庫を貼る!$B$6:$B$10005,$B5412,①今日の在庫を貼る!$I$6:$I$10005,$I5412)&gt;0,N(U5411),N(U5411)+1))</f>
        <v>2</v>
      </c>
    </row>
    <row r="5413" customFormat="false" ht="15" hidden="false" customHeight="false" outlineLevel="0" collapsed="false">
      <c r="B5413" s="53"/>
      <c r="I5413" s="53"/>
      <c r="U5413" s="31" t="n">
        <f aca="false">IF($B5413&lt;&gt;'設定（最初に1回）'!$C$4,N(U5412),IF(COUNTIFS(①今日の在庫を貼る!$B$6:$B$10005,$B5413,①今日の在庫を貼る!$I$6:$I$10005,$I5413)&gt;0,N(U5412),N(U5412)+1))</f>
        <v>2</v>
      </c>
    </row>
    <row r="5414" customFormat="false" ht="15" hidden="false" customHeight="false" outlineLevel="0" collapsed="false">
      <c r="B5414" s="53"/>
      <c r="I5414" s="53"/>
      <c r="U5414" s="31" t="n">
        <f aca="false">IF($B5414&lt;&gt;'設定（最初に1回）'!$C$4,N(U5413),IF(COUNTIFS(①今日の在庫を貼る!$B$6:$B$10005,$B5414,①今日の在庫を貼る!$I$6:$I$10005,$I5414)&gt;0,N(U5413),N(U5413)+1))</f>
        <v>2</v>
      </c>
    </row>
    <row r="5415" customFormat="false" ht="15" hidden="false" customHeight="false" outlineLevel="0" collapsed="false">
      <c r="B5415" s="53"/>
      <c r="I5415" s="53"/>
      <c r="U5415" s="31" t="n">
        <f aca="false">IF($B5415&lt;&gt;'設定（最初に1回）'!$C$4,N(U5414),IF(COUNTIFS(①今日の在庫を貼る!$B$6:$B$10005,$B5415,①今日の在庫を貼る!$I$6:$I$10005,$I5415)&gt;0,N(U5414),N(U5414)+1))</f>
        <v>2</v>
      </c>
    </row>
    <row r="5416" customFormat="false" ht="15" hidden="false" customHeight="false" outlineLevel="0" collapsed="false">
      <c r="B5416" s="53"/>
      <c r="I5416" s="53"/>
      <c r="U5416" s="31" t="n">
        <f aca="false">IF($B5416&lt;&gt;'設定（最初に1回）'!$C$4,N(U5415),IF(COUNTIFS(①今日の在庫を貼る!$B$6:$B$10005,$B5416,①今日の在庫を貼る!$I$6:$I$10005,$I5416)&gt;0,N(U5415),N(U5415)+1))</f>
        <v>2</v>
      </c>
    </row>
    <row r="5417" customFormat="false" ht="15" hidden="false" customHeight="false" outlineLevel="0" collapsed="false">
      <c r="B5417" s="53"/>
      <c r="I5417" s="53"/>
      <c r="U5417" s="31" t="n">
        <f aca="false">IF($B5417&lt;&gt;'設定（最初に1回）'!$C$4,N(U5416),IF(COUNTIFS(①今日の在庫を貼る!$B$6:$B$10005,$B5417,①今日の在庫を貼る!$I$6:$I$10005,$I5417)&gt;0,N(U5416),N(U5416)+1))</f>
        <v>2</v>
      </c>
    </row>
    <row r="5418" customFormat="false" ht="15" hidden="false" customHeight="false" outlineLevel="0" collapsed="false">
      <c r="B5418" s="53"/>
      <c r="I5418" s="53"/>
      <c r="U5418" s="31" t="n">
        <f aca="false">IF($B5418&lt;&gt;'設定（最初に1回）'!$C$4,N(U5417),IF(COUNTIFS(①今日の在庫を貼る!$B$6:$B$10005,$B5418,①今日の在庫を貼る!$I$6:$I$10005,$I5418)&gt;0,N(U5417),N(U5417)+1))</f>
        <v>2</v>
      </c>
    </row>
    <row r="5419" customFormat="false" ht="15" hidden="false" customHeight="false" outlineLevel="0" collapsed="false">
      <c r="B5419" s="53"/>
      <c r="I5419" s="53"/>
      <c r="U5419" s="31" t="n">
        <f aca="false">IF($B5419&lt;&gt;'設定（最初に1回）'!$C$4,N(U5418),IF(COUNTIFS(①今日の在庫を貼る!$B$6:$B$10005,$B5419,①今日の在庫を貼る!$I$6:$I$10005,$I5419)&gt;0,N(U5418),N(U5418)+1))</f>
        <v>2</v>
      </c>
    </row>
    <row r="5420" customFormat="false" ht="15" hidden="false" customHeight="false" outlineLevel="0" collapsed="false">
      <c r="B5420" s="53"/>
      <c r="I5420" s="53"/>
      <c r="U5420" s="31" t="n">
        <f aca="false">IF($B5420&lt;&gt;'設定（最初に1回）'!$C$4,N(U5419),IF(COUNTIFS(①今日の在庫を貼る!$B$6:$B$10005,$B5420,①今日の在庫を貼る!$I$6:$I$10005,$I5420)&gt;0,N(U5419),N(U5419)+1))</f>
        <v>2</v>
      </c>
    </row>
    <row r="5421" customFormat="false" ht="15" hidden="false" customHeight="false" outlineLevel="0" collapsed="false">
      <c r="B5421" s="53"/>
      <c r="I5421" s="53"/>
      <c r="U5421" s="31" t="n">
        <f aca="false">IF($B5421&lt;&gt;'設定（最初に1回）'!$C$4,N(U5420),IF(COUNTIFS(①今日の在庫を貼る!$B$6:$B$10005,$B5421,①今日の在庫を貼る!$I$6:$I$10005,$I5421)&gt;0,N(U5420),N(U5420)+1))</f>
        <v>2</v>
      </c>
    </row>
    <row r="5422" customFormat="false" ht="15" hidden="false" customHeight="false" outlineLevel="0" collapsed="false">
      <c r="B5422" s="53"/>
      <c r="I5422" s="53"/>
      <c r="U5422" s="31" t="n">
        <f aca="false">IF($B5422&lt;&gt;'設定（最初に1回）'!$C$4,N(U5421),IF(COUNTIFS(①今日の在庫を貼る!$B$6:$B$10005,$B5422,①今日の在庫を貼る!$I$6:$I$10005,$I5422)&gt;0,N(U5421),N(U5421)+1))</f>
        <v>2</v>
      </c>
    </row>
    <row r="5423" customFormat="false" ht="15" hidden="false" customHeight="false" outlineLevel="0" collapsed="false">
      <c r="B5423" s="53"/>
      <c r="I5423" s="53"/>
      <c r="U5423" s="31" t="n">
        <f aca="false">IF($B5423&lt;&gt;'設定（最初に1回）'!$C$4,N(U5422),IF(COUNTIFS(①今日の在庫を貼る!$B$6:$B$10005,$B5423,①今日の在庫を貼る!$I$6:$I$10005,$I5423)&gt;0,N(U5422),N(U5422)+1))</f>
        <v>2</v>
      </c>
    </row>
    <row r="5424" customFormat="false" ht="15" hidden="false" customHeight="false" outlineLevel="0" collapsed="false">
      <c r="B5424" s="53"/>
      <c r="I5424" s="53"/>
      <c r="U5424" s="31" t="n">
        <f aca="false">IF($B5424&lt;&gt;'設定（最初に1回）'!$C$4,N(U5423),IF(COUNTIFS(①今日の在庫を貼る!$B$6:$B$10005,$B5424,①今日の在庫を貼る!$I$6:$I$10005,$I5424)&gt;0,N(U5423),N(U5423)+1))</f>
        <v>2</v>
      </c>
    </row>
    <row r="5425" customFormat="false" ht="15" hidden="false" customHeight="false" outlineLevel="0" collapsed="false">
      <c r="B5425" s="53"/>
      <c r="I5425" s="53"/>
      <c r="U5425" s="31" t="n">
        <f aca="false">IF($B5425&lt;&gt;'設定（最初に1回）'!$C$4,N(U5424),IF(COUNTIFS(①今日の在庫を貼る!$B$6:$B$10005,$B5425,①今日の在庫を貼る!$I$6:$I$10005,$I5425)&gt;0,N(U5424),N(U5424)+1))</f>
        <v>2</v>
      </c>
    </row>
    <row r="5426" customFormat="false" ht="15" hidden="false" customHeight="false" outlineLevel="0" collapsed="false">
      <c r="B5426" s="53"/>
      <c r="I5426" s="53"/>
      <c r="U5426" s="31" t="n">
        <f aca="false">IF($B5426&lt;&gt;'設定（最初に1回）'!$C$4,N(U5425),IF(COUNTIFS(①今日の在庫を貼る!$B$6:$B$10005,$B5426,①今日の在庫を貼る!$I$6:$I$10005,$I5426)&gt;0,N(U5425),N(U5425)+1))</f>
        <v>2</v>
      </c>
    </row>
    <row r="5427" customFormat="false" ht="15" hidden="false" customHeight="false" outlineLevel="0" collapsed="false">
      <c r="B5427" s="53"/>
      <c r="I5427" s="53"/>
      <c r="U5427" s="31" t="n">
        <f aca="false">IF($B5427&lt;&gt;'設定（最初に1回）'!$C$4,N(U5426),IF(COUNTIFS(①今日の在庫を貼る!$B$6:$B$10005,$B5427,①今日の在庫を貼る!$I$6:$I$10005,$I5427)&gt;0,N(U5426),N(U5426)+1))</f>
        <v>2</v>
      </c>
    </row>
    <row r="5428" customFormat="false" ht="15" hidden="false" customHeight="false" outlineLevel="0" collapsed="false">
      <c r="B5428" s="53"/>
      <c r="I5428" s="53"/>
      <c r="U5428" s="31" t="n">
        <f aca="false">IF($B5428&lt;&gt;'設定（最初に1回）'!$C$4,N(U5427),IF(COUNTIFS(①今日の在庫を貼る!$B$6:$B$10005,$B5428,①今日の在庫を貼る!$I$6:$I$10005,$I5428)&gt;0,N(U5427),N(U5427)+1))</f>
        <v>2</v>
      </c>
    </row>
    <row r="5429" customFormat="false" ht="15" hidden="false" customHeight="false" outlineLevel="0" collapsed="false">
      <c r="B5429" s="53"/>
      <c r="I5429" s="53"/>
      <c r="U5429" s="31" t="n">
        <f aca="false">IF($B5429&lt;&gt;'設定（最初に1回）'!$C$4,N(U5428),IF(COUNTIFS(①今日の在庫を貼る!$B$6:$B$10005,$B5429,①今日の在庫を貼る!$I$6:$I$10005,$I5429)&gt;0,N(U5428),N(U5428)+1))</f>
        <v>2</v>
      </c>
    </row>
    <row r="5430" customFormat="false" ht="15" hidden="false" customHeight="false" outlineLevel="0" collapsed="false">
      <c r="B5430" s="53"/>
      <c r="I5430" s="53"/>
      <c r="U5430" s="31" t="n">
        <f aca="false">IF($B5430&lt;&gt;'設定（最初に1回）'!$C$4,N(U5429),IF(COUNTIFS(①今日の在庫を貼る!$B$6:$B$10005,$B5430,①今日の在庫を貼る!$I$6:$I$10005,$I5430)&gt;0,N(U5429),N(U5429)+1))</f>
        <v>2</v>
      </c>
    </row>
    <row r="5431" customFormat="false" ht="15" hidden="false" customHeight="false" outlineLevel="0" collapsed="false">
      <c r="B5431" s="53"/>
      <c r="I5431" s="53"/>
      <c r="U5431" s="31" t="n">
        <f aca="false">IF($B5431&lt;&gt;'設定（最初に1回）'!$C$4,N(U5430),IF(COUNTIFS(①今日の在庫を貼る!$B$6:$B$10005,$B5431,①今日の在庫を貼る!$I$6:$I$10005,$I5431)&gt;0,N(U5430),N(U5430)+1))</f>
        <v>2</v>
      </c>
    </row>
    <row r="5432" customFormat="false" ht="15" hidden="false" customHeight="false" outlineLevel="0" collapsed="false">
      <c r="B5432" s="53"/>
      <c r="I5432" s="53"/>
      <c r="U5432" s="31" t="n">
        <f aca="false">IF($B5432&lt;&gt;'設定（最初に1回）'!$C$4,N(U5431),IF(COUNTIFS(①今日の在庫を貼る!$B$6:$B$10005,$B5432,①今日の在庫を貼る!$I$6:$I$10005,$I5432)&gt;0,N(U5431),N(U5431)+1))</f>
        <v>2</v>
      </c>
    </row>
    <row r="5433" customFormat="false" ht="15" hidden="false" customHeight="false" outlineLevel="0" collapsed="false">
      <c r="B5433" s="53"/>
      <c r="I5433" s="53"/>
      <c r="U5433" s="31" t="n">
        <f aca="false">IF($B5433&lt;&gt;'設定（最初に1回）'!$C$4,N(U5432),IF(COUNTIFS(①今日の在庫を貼る!$B$6:$B$10005,$B5433,①今日の在庫を貼る!$I$6:$I$10005,$I5433)&gt;0,N(U5432),N(U5432)+1))</f>
        <v>2</v>
      </c>
    </row>
    <row r="5434" customFormat="false" ht="15" hidden="false" customHeight="false" outlineLevel="0" collapsed="false">
      <c r="B5434" s="53"/>
      <c r="I5434" s="53"/>
      <c r="U5434" s="31" t="n">
        <f aca="false">IF($B5434&lt;&gt;'設定（最初に1回）'!$C$4,N(U5433),IF(COUNTIFS(①今日の在庫を貼る!$B$6:$B$10005,$B5434,①今日の在庫を貼る!$I$6:$I$10005,$I5434)&gt;0,N(U5433),N(U5433)+1))</f>
        <v>2</v>
      </c>
    </row>
    <row r="5435" customFormat="false" ht="15" hidden="false" customHeight="false" outlineLevel="0" collapsed="false">
      <c r="B5435" s="53"/>
      <c r="I5435" s="53"/>
      <c r="U5435" s="31" t="n">
        <f aca="false">IF($B5435&lt;&gt;'設定（最初に1回）'!$C$4,N(U5434),IF(COUNTIFS(①今日の在庫を貼る!$B$6:$B$10005,$B5435,①今日の在庫を貼る!$I$6:$I$10005,$I5435)&gt;0,N(U5434),N(U5434)+1))</f>
        <v>2</v>
      </c>
    </row>
    <row r="5436" customFormat="false" ht="15" hidden="false" customHeight="false" outlineLevel="0" collapsed="false">
      <c r="B5436" s="53"/>
      <c r="I5436" s="53"/>
      <c r="U5436" s="31" t="n">
        <f aca="false">IF($B5436&lt;&gt;'設定（最初に1回）'!$C$4,N(U5435),IF(COUNTIFS(①今日の在庫を貼る!$B$6:$B$10005,$B5436,①今日の在庫を貼る!$I$6:$I$10005,$I5436)&gt;0,N(U5435),N(U5435)+1))</f>
        <v>2</v>
      </c>
    </row>
    <row r="5437" customFormat="false" ht="15" hidden="false" customHeight="false" outlineLevel="0" collapsed="false">
      <c r="B5437" s="53"/>
      <c r="I5437" s="53"/>
      <c r="U5437" s="31" t="n">
        <f aca="false">IF($B5437&lt;&gt;'設定（最初に1回）'!$C$4,N(U5436),IF(COUNTIFS(①今日の在庫を貼る!$B$6:$B$10005,$B5437,①今日の在庫を貼る!$I$6:$I$10005,$I5437)&gt;0,N(U5436),N(U5436)+1))</f>
        <v>2</v>
      </c>
    </row>
    <row r="5438" customFormat="false" ht="15" hidden="false" customHeight="false" outlineLevel="0" collapsed="false">
      <c r="B5438" s="53"/>
      <c r="I5438" s="53"/>
      <c r="U5438" s="31" t="n">
        <f aca="false">IF($B5438&lt;&gt;'設定（最初に1回）'!$C$4,N(U5437),IF(COUNTIFS(①今日の在庫を貼る!$B$6:$B$10005,$B5438,①今日の在庫を貼る!$I$6:$I$10005,$I5438)&gt;0,N(U5437),N(U5437)+1))</f>
        <v>2</v>
      </c>
    </row>
    <row r="5439" customFormat="false" ht="15" hidden="false" customHeight="false" outlineLevel="0" collapsed="false">
      <c r="B5439" s="53"/>
      <c r="I5439" s="53"/>
      <c r="U5439" s="31" t="n">
        <f aca="false">IF($B5439&lt;&gt;'設定（最初に1回）'!$C$4,N(U5438),IF(COUNTIFS(①今日の在庫を貼る!$B$6:$B$10005,$B5439,①今日の在庫を貼る!$I$6:$I$10005,$I5439)&gt;0,N(U5438),N(U5438)+1))</f>
        <v>2</v>
      </c>
    </row>
    <row r="5440" customFormat="false" ht="15" hidden="false" customHeight="false" outlineLevel="0" collapsed="false">
      <c r="B5440" s="53"/>
      <c r="I5440" s="53"/>
      <c r="U5440" s="31" t="n">
        <f aca="false">IF($B5440&lt;&gt;'設定（最初に1回）'!$C$4,N(U5439),IF(COUNTIFS(①今日の在庫を貼る!$B$6:$B$10005,$B5440,①今日の在庫を貼る!$I$6:$I$10005,$I5440)&gt;0,N(U5439),N(U5439)+1))</f>
        <v>2</v>
      </c>
    </row>
    <row r="5441" customFormat="false" ht="15" hidden="false" customHeight="false" outlineLevel="0" collapsed="false">
      <c r="B5441" s="53"/>
      <c r="I5441" s="53"/>
      <c r="U5441" s="31" t="n">
        <f aca="false">IF($B5441&lt;&gt;'設定（最初に1回）'!$C$4,N(U5440),IF(COUNTIFS(①今日の在庫を貼る!$B$6:$B$10005,$B5441,①今日の在庫を貼る!$I$6:$I$10005,$I5441)&gt;0,N(U5440),N(U5440)+1))</f>
        <v>2</v>
      </c>
    </row>
    <row r="5442" customFormat="false" ht="15" hidden="false" customHeight="false" outlineLevel="0" collapsed="false">
      <c r="B5442" s="53"/>
      <c r="I5442" s="53"/>
      <c r="U5442" s="31" t="n">
        <f aca="false">IF($B5442&lt;&gt;'設定（最初に1回）'!$C$4,N(U5441),IF(COUNTIFS(①今日の在庫を貼る!$B$6:$B$10005,$B5442,①今日の在庫を貼る!$I$6:$I$10005,$I5442)&gt;0,N(U5441),N(U5441)+1))</f>
        <v>2</v>
      </c>
    </row>
    <row r="5443" customFormat="false" ht="15" hidden="false" customHeight="false" outlineLevel="0" collapsed="false">
      <c r="B5443" s="53"/>
      <c r="I5443" s="53"/>
      <c r="U5443" s="31" t="n">
        <f aca="false">IF($B5443&lt;&gt;'設定（最初に1回）'!$C$4,N(U5442),IF(COUNTIFS(①今日の在庫を貼る!$B$6:$B$10005,$B5443,①今日の在庫を貼る!$I$6:$I$10005,$I5443)&gt;0,N(U5442),N(U5442)+1))</f>
        <v>2</v>
      </c>
    </row>
    <row r="5444" customFormat="false" ht="15" hidden="false" customHeight="false" outlineLevel="0" collapsed="false">
      <c r="B5444" s="53"/>
      <c r="I5444" s="53"/>
      <c r="U5444" s="31" t="n">
        <f aca="false">IF($B5444&lt;&gt;'設定（最初に1回）'!$C$4,N(U5443),IF(COUNTIFS(①今日の在庫を貼る!$B$6:$B$10005,$B5444,①今日の在庫を貼る!$I$6:$I$10005,$I5444)&gt;0,N(U5443),N(U5443)+1))</f>
        <v>2</v>
      </c>
    </row>
    <row r="5445" customFormat="false" ht="15" hidden="false" customHeight="false" outlineLevel="0" collapsed="false">
      <c r="B5445" s="53"/>
      <c r="I5445" s="53"/>
      <c r="U5445" s="31" t="n">
        <f aca="false">IF($B5445&lt;&gt;'設定（最初に1回）'!$C$4,N(U5444),IF(COUNTIFS(①今日の在庫を貼る!$B$6:$B$10005,$B5445,①今日の在庫を貼る!$I$6:$I$10005,$I5445)&gt;0,N(U5444),N(U5444)+1))</f>
        <v>2</v>
      </c>
    </row>
    <row r="5446" customFormat="false" ht="15" hidden="false" customHeight="false" outlineLevel="0" collapsed="false">
      <c r="B5446" s="53"/>
      <c r="I5446" s="53"/>
      <c r="U5446" s="31" t="n">
        <f aca="false">IF($B5446&lt;&gt;'設定（最初に1回）'!$C$4,N(U5445),IF(COUNTIFS(①今日の在庫を貼る!$B$6:$B$10005,$B5446,①今日の在庫を貼る!$I$6:$I$10005,$I5446)&gt;0,N(U5445),N(U5445)+1))</f>
        <v>2</v>
      </c>
    </row>
    <row r="5447" customFormat="false" ht="15" hidden="false" customHeight="false" outlineLevel="0" collapsed="false">
      <c r="B5447" s="53"/>
      <c r="I5447" s="53"/>
      <c r="U5447" s="31" t="n">
        <f aca="false">IF($B5447&lt;&gt;'設定（最初に1回）'!$C$4,N(U5446),IF(COUNTIFS(①今日の在庫を貼る!$B$6:$B$10005,$B5447,①今日の在庫を貼る!$I$6:$I$10005,$I5447)&gt;0,N(U5446),N(U5446)+1))</f>
        <v>2</v>
      </c>
    </row>
    <row r="5448" customFormat="false" ht="15" hidden="false" customHeight="false" outlineLevel="0" collapsed="false">
      <c r="B5448" s="53"/>
      <c r="I5448" s="53"/>
      <c r="U5448" s="31" t="n">
        <f aca="false">IF($B5448&lt;&gt;'設定（最初に1回）'!$C$4,N(U5447),IF(COUNTIFS(①今日の在庫を貼る!$B$6:$B$10005,$B5448,①今日の在庫を貼る!$I$6:$I$10005,$I5448)&gt;0,N(U5447),N(U5447)+1))</f>
        <v>2</v>
      </c>
    </row>
    <row r="5449" customFormat="false" ht="15" hidden="false" customHeight="false" outlineLevel="0" collapsed="false">
      <c r="B5449" s="53"/>
      <c r="I5449" s="53"/>
      <c r="U5449" s="31" t="n">
        <f aca="false">IF($B5449&lt;&gt;'設定（最初に1回）'!$C$4,N(U5448),IF(COUNTIFS(①今日の在庫を貼る!$B$6:$B$10005,$B5449,①今日の在庫を貼る!$I$6:$I$10005,$I5449)&gt;0,N(U5448),N(U5448)+1))</f>
        <v>2</v>
      </c>
    </row>
    <row r="5450" customFormat="false" ht="15" hidden="false" customHeight="false" outlineLevel="0" collapsed="false">
      <c r="B5450" s="53"/>
      <c r="I5450" s="53"/>
      <c r="U5450" s="31" t="n">
        <f aca="false">IF($B5450&lt;&gt;'設定（最初に1回）'!$C$4,N(U5449),IF(COUNTIFS(①今日の在庫を貼る!$B$6:$B$10005,$B5450,①今日の在庫を貼る!$I$6:$I$10005,$I5450)&gt;0,N(U5449),N(U5449)+1))</f>
        <v>2</v>
      </c>
    </row>
    <row r="5451" customFormat="false" ht="15" hidden="false" customHeight="false" outlineLevel="0" collapsed="false">
      <c r="B5451" s="53"/>
      <c r="I5451" s="53"/>
      <c r="U5451" s="31" t="n">
        <f aca="false">IF($B5451&lt;&gt;'設定（最初に1回）'!$C$4,N(U5450),IF(COUNTIFS(①今日の在庫を貼る!$B$6:$B$10005,$B5451,①今日の在庫を貼る!$I$6:$I$10005,$I5451)&gt;0,N(U5450),N(U5450)+1))</f>
        <v>2</v>
      </c>
    </row>
    <row r="5452" customFormat="false" ht="15" hidden="false" customHeight="false" outlineLevel="0" collapsed="false">
      <c r="B5452" s="53"/>
      <c r="I5452" s="53"/>
      <c r="U5452" s="31" t="n">
        <f aca="false">IF($B5452&lt;&gt;'設定（最初に1回）'!$C$4,N(U5451),IF(COUNTIFS(①今日の在庫を貼る!$B$6:$B$10005,$B5452,①今日の在庫を貼る!$I$6:$I$10005,$I5452)&gt;0,N(U5451),N(U5451)+1))</f>
        <v>2</v>
      </c>
    </row>
    <row r="5453" customFormat="false" ht="15" hidden="false" customHeight="false" outlineLevel="0" collapsed="false">
      <c r="B5453" s="53"/>
      <c r="I5453" s="53"/>
      <c r="U5453" s="31" t="n">
        <f aca="false">IF($B5453&lt;&gt;'設定（最初に1回）'!$C$4,N(U5452),IF(COUNTIFS(①今日の在庫を貼る!$B$6:$B$10005,$B5453,①今日の在庫を貼る!$I$6:$I$10005,$I5453)&gt;0,N(U5452),N(U5452)+1))</f>
        <v>2</v>
      </c>
    </row>
    <row r="5454" customFormat="false" ht="15" hidden="false" customHeight="false" outlineLevel="0" collapsed="false">
      <c r="B5454" s="53"/>
      <c r="I5454" s="53"/>
      <c r="U5454" s="31" t="n">
        <f aca="false">IF($B5454&lt;&gt;'設定（最初に1回）'!$C$4,N(U5453),IF(COUNTIFS(①今日の在庫を貼る!$B$6:$B$10005,$B5454,①今日の在庫を貼る!$I$6:$I$10005,$I5454)&gt;0,N(U5453),N(U5453)+1))</f>
        <v>2</v>
      </c>
    </row>
    <row r="5455" customFormat="false" ht="15" hidden="false" customHeight="false" outlineLevel="0" collapsed="false">
      <c r="B5455" s="53"/>
      <c r="I5455" s="53"/>
      <c r="U5455" s="31" t="n">
        <f aca="false">IF($B5455&lt;&gt;'設定（最初に1回）'!$C$4,N(U5454),IF(COUNTIFS(①今日の在庫を貼る!$B$6:$B$10005,$B5455,①今日の在庫を貼る!$I$6:$I$10005,$I5455)&gt;0,N(U5454),N(U5454)+1))</f>
        <v>2</v>
      </c>
    </row>
    <row r="5456" customFormat="false" ht="15" hidden="false" customHeight="false" outlineLevel="0" collapsed="false">
      <c r="B5456" s="53"/>
      <c r="I5456" s="53"/>
      <c r="U5456" s="31" t="n">
        <f aca="false">IF($B5456&lt;&gt;'設定（最初に1回）'!$C$4,N(U5455),IF(COUNTIFS(①今日の在庫を貼る!$B$6:$B$10005,$B5456,①今日の在庫を貼る!$I$6:$I$10005,$I5456)&gt;0,N(U5455),N(U5455)+1))</f>
        <v>2</v>
      </c>
    </row>
    <row r="5457" customFormat="false" ht="15" hidden="false" customHeight="false" outlineLevel="0" collapsed="false">
      <c r="B5457" s="53"/>
      <c r="I5457" s="53"/>
      <c r="U5457" s="31" t="n">
        <f aca="false">IF($B5457&lt;&gt;'設定（最初に1回）'!$C$4,N(U5456),IF(COUNTIFS(①今日の在庫を貼る!$B$6:$B$10005,$B5457,①今日の在庫を貼る!$I$6:$I$10005,$I5457)&gt;0,N(U5456),N(U5456)+1))</f>
        <v>2</v>
      </c>
    </row>
    <row r="5458" customFormat="false" ht="15" hidden="false" customHeight="false" outlineLevel="0" collapsed="false">
      <c r="B5458" s="53"/>
      <c r="I5458" s="53"/>
      <c r="U5458" s="31" t="n">
        <f aca="false">IF($B5458&lt;&gt;'設定（最初に1回）'!$C$4,N(U5457),IF(COUNTIFS(①今日の在庫を貼る!$B$6:$B$10005,$B5458,①今日の在庫を貼る!$I$6:$I$10005,$I5458)&gt;0,N(U5457),N(U5457)+1))</f>
        <v>2</v>
      </c>
    </row>
    <row r="5459" customFormat="false" ht="15" hidden="false" customHeight="false" outlineLevel="0" collapsed="false">
      <c r="B5459" s="53"/>
      <c r="I5459" s="53"/>
      <c r="U5459" s="31" t="n">
        <f aca="false">IF($B5459&lt;&gt;'設定（最初に1回）'!$C$4,N(U5458),IF(COUNTIFS(①今日の在庫を貼る!$B$6:$B$10005,$B5459,①今日の在庫を貼る!$I$6:$I$10005,$I5459)&gt;0,N(U5458),N(U5458)+1))</f>
        <v>2</v>
      </c>
    </row>
    <row r="5460" customFormat="false" ht="15" hidden="false" customHeight="false" outlineLevel="0" collapsed="false">
      <c r="B5460" s="53"/>
      <c r="I5460" s="53"/>
      <c r="U5460" s="31" t="n">
        <f aca="false">IF($B5460&lt;&gt;'設定（最初に1回）'!$C$4,N(U5459),IF(COUNTIFS(①今日の在庫を貼る!$B$6:$B$10005,$B5460,①今日の在庫を貼る!$I$6:$I$10005,$I5460)&gt;0,N(U5459),N(U5459)+1))</f>
        <v>2</v>
      </c>
    </row>
    <row r="5461" customFormat="false" ht="15" hidden="false" customHeight="false" outlineLevel="0" collapsed="false">
      <c r="B5461" s="53"/>
      <c r="I5461" s="53"/>
      <c r="U5461" s="31" t="n">
        <f aca="false">IF($B5461&lt;&gt;'設定（最初に1回）'!$C$4,N(U5460),IF(COUNTIFS(①今日の在庫を貼る!$B$6:$B$10005,$B5461,①今日の在庫を貼る!$I$6:$I$10005,$I5461)&gt;0,N(U5460),N(U5460)+1))</f>
        <v>2</v>
      </c>
    </row>
    <row r="5462" customFormat="false" ht="15" hidden="false" customHeight="false" outlineLevel="0" collapsed="false">
      <c r="B5462" s="53"/>
      <c r="I5462" s="53"/>
      <c r="U5462" s="31" t="n">
        <f aca="false">IF($B5462&lt;&gt;'設定（最初に1回）'!$C$4,N(U5461),IF(COUNTIFS(①今日の在庫を貼る!$B$6:$B$10005,$B5462,①今日の在庫を貼る!$I$6:$I$10005,$I5462)&gt;0,N(U5461),N(U5461)+1))</f>
        <v>2</v>
      </c>
    </row>
    <row r="5463" customFormat="false" ht="15" hidden="false" customHeight="false" outlineLevel="0" collapsed="false">
      <c r="B5463" s="53"/>
      <c r="I5463" s="53"/>
      <c r="U5463" s="31" t="n">
        <f aca="false">IF($B5463&lt;&gt;'設定（最初に1回）'!$C$4,N(U5462),IF(COUNTIFS(①今日の在庫を貼る!$B$6:$B$10005,$B5463,①今日の在庫を貼る!$I$6:$I$10005,$I5463)&gt;0,N(U5462),N(U5462)+1))</f>
        <v>2</v>
      </c>
    </row>
    <row r="5464" customFormat="false" ht="15" hidden="false" customHeight="false" outlineLevel="0" collapsed="false">
      <c r="B5464" s="53"/>
      <c r="I5464" s="53"/>
      <c r="U5464" s="31" t="n">
        <f aca="false">IF($B5464&lt;&gt;'設定（最初に1回）'!$C$4,N(U5463),IF(COUNTIFS(①今日の在庫を貼る!$B$6:$B$10005,$B5464,①今日の在庫を貼る!$I$6:$I$10005,$I5464)&gt;0,N(U5463),N(U5463)+1))</f>
        <v>2</v>
      </c>
    </row>
    <row r="5465" customFormat="false" ht="15" hidden="false" customHeight="false" outlineLevel="0" collapsed="false">
      <c r="B5465" s="53"/>
      <c r="I5465" s="53"/>
      <c r="U5465" s="31" t="n">
        <f aca="false">IF($B5465&lt;&gt;'設定（最初に1回）'!$C$4,N(U5464),IF(COUNTIFS(①今日の在庫を貼る!$B$6:$B$10005,$B5465,①今日の在庫を貼る!$I$6:$I$10005,$I5465)&gt;0,N(U5464),N(U5464)+1))</f>
        <v>2</v>
      </c>
    </row>
    <row r="5466" customFormat="false" ht="15" hidden="false" customHeight="false" outlineLevel="0" collapsed="false">
      <c r="B5466" s="53"/>
      <c r="I5466" s="53"/>
      <c r="U5466" s="31" t="n">
        <f aca="false">IF($B5466&lt;&gt;'設定（最初に1回）'!$C$4,N(U5465),IF(COUNTIFS(①今日の在庫を貼る!$B$6:$B$10005,$B5466,①今日の在庫を貼る!$I$6:$I$10005,$I5466)&gt;0,N(U5465),N(U5465)+1))</f>
        <v>2</v>
      </c>
    </row>
    <row r="5467" customFormat="false" ht="15" hidden="false" customHeight="false" outlineLevel="0" collapsed="false">
      <c r="B5467" s="53"/>
      <c r="I5467" s="53"/>
      <c r="U5467" s="31" t="n">
        <f aca="false">IF($B5467&lt;&gt;'設定（最初に1回）'!$C$4,N(U5466),IF(COUNTIFS(①今日の在庫を貼る!$B$6:$B$10005,$B5467,①今日の在庫を貼る!$I$6:$I$10005,$I5467)&gt;0,N(U5466),N(U5466)+1))</f>
        <v>2</v>
      </c>
    </row>
    <row r="5468" customFormat="false" ht="15" hidden="false" customHeight="false" outlineLevel="0" collapsed="false">
      <c r="B5468" s="53"/>
      <c r="I5468" s="53"/>
      <c r="U5468" s="31" t="n">
        <f aca="false">IF($B5468&lt;&gt;'設定（最初に1回）'!$C$4,N(U5467),IF(COUNTIFS(①今日の在庫を貼る!$B$6:$B$10005,$B5468,①今日の在庫を貼る!$I$6:$I$10005,$I5468)&gt;0,N(U5467),N(U5467)+1))</f>
        <v>2</v>
      </c>
    </row>
    <row r="5469" customFormat="false" ht="15" hidden="false" customHeight="false" outlineLevel="0" collapsed="false">
      <c r="B5469" s="53"/>
      <c r="I5469" s="53"/>
      <c r="U5469" s="31" t="n">
        <f aca="false">IF($B5469&lt;&gt;'設定（最初に1回）'!$C$4,N(U5468),IF(COUNTIFS(①今日の在庫を貼る!$B$6:$B$10005,$B5469,①今日の在庫を貼る!$I$6:$I$10005,$I5469)&gt;0,N(U5468),N(U5468)+1))</f>
        <v>2</v>
      </c>
    </row>
    <row r="5470" customFormat="false" ht="15" hidden="false" customHeight="false" outlineLevel="0" collapsed="false">
      <c r="B5470" s="53"/>
      <c r="I5470" s="53"/>
      <c r="U5470" s="31" t="n">
        <f aca="false">IF($B5470&lt;&gt;'設定（最初に1回）'!$C$4,N(U5469),IF(COUNTIFS(①今日の在庫を貼る!$B$6:$B$10005,$B5470,①今日の在庫を貼る!$I$6:$I$10005,$I5470)&gt;0,N(U5469),N(U5469)+1))</f>
        <v>2</v>
      </c>
    </row>
    <row r="5471" customFormat="false" ht="15" hidden="false" customHeight="false" outlineLevel="0" collapsed="false">
      <c r="B5471" s="53"/>
      <c r="I5471" s="53"/>
      <c r="U5471" s="31" t="n">
        <f aca="false">IF($B5471&lt;&gt;'設定（最初に1回）'!$C$4,N(U5470),IF(COUNTIFS(①今日の在庫を貼る!$B$6:$B$10005,$B5471,①今日の在庫を貼る!$I$6:$I$10005,$I5471)&gt;0,N(U5470),N(U5470)+1))</f>
        <v>2</v>
      </c>
    </row>
    <row r="5472" customFormat="false" ht="15" hidden="false" customHeight="false" outlineLevel="0" collapsed="false">
      <c r="B5472" s="53"/>
      <c r="I5472" s="53"/>
      <c r="U5472" s="31" t="n">
        <f aca="false">IF($B5472&lt;&gt;'設定（最初に1回）'!$C$4,N(U5471),IF(COUNTIFS(①今日の在庫を貼る!$B$6:$B$10005,$B5472,①今日の在庫を貼る!$I$6:$I$10005,$I5472)&gt;0,N(U5471),N(U5471)+1))</f>
        <v>2</v>
      </c>
    </row>
    <row r="5473" customFormat="false" ht="15" hidden="false" customHeight="false" outlineLevel="0" collapsed="false">
      <c r="B5473" s="53"/>
      <c r="I5473" s="53"/>
      <c r="U5473" s="31" t="n">
        <f aca="false">IF($B5473&lt;&gt;'設定（最初に1回）'!$C$4,N(U5472),IF(COUNTIFS(①今日の在庫を貼る!$B$6:$B$10005,$B5473,①今日の在庫を貼る!$I$6:$I$10005,$I5473)&gt;0,N(U5472),N(U5472)+1))</f>
        <v>2</v>
      </c>
    </row>
    <row r="5474" customFormat="false" ht="15" hidden="false" customHeight="false" outlineLevel="0" collapsed="false">
      <c r="B5474" s="53"/>
      <c r="I5474" s="53"/>
      <c r="U5474" s="31" t="n">
        <f aca="false">IF($B5474&lt;&gt;'設定（最初に1回）'!$C$4,N(U5473),IF(COUNTIFS(①今日の在庫を貼る!$B$6:$B$10005,$B5474,①今日の在庫を貼る!$I$6:$I$10005,$I5474)&gt;0,N(U5473),N(U5473)+1))</f>
        <v>2</v>
      </c>
    </row>
    <row r="5475" customFormat="false" ht="15" hidden="false" customHeight="false" outlineLevel="0" collapsed="false">
      <c r="B5475" s="53"/>
      <c r="I5475" s="53"/>
      <c r="U5475" s="31" t="n">
        <f aca="false">IF($B5475&lt;&gt;'設定（最初に1回）'!$C$4,N(U5474),IF(COUNTIFS(①今日の在庫を貼る!$B$6:$B$10005,$B5475,①今日の在庫を貼る!$I$6:$I$10005,$I5475)&gt;0,N(U5474),N(U5474)+1))</f>
        <v>2</v>
      </c>
    </row>
    <row r="5476" customFormat="false" ht="15" hidden="false" customHeight="false" outlineLevel="0" collapsed="false">
      <c r="B5476" s="53"/>
      <c r="I5476" s="53"/>
      <c r="U5476" s="31" t="n">
        <f aca="false">IF($B5476&lt;&gt;'設定（最初に1回）'!$C$4,N(U5475),IF(COUNTIFS(①今日の在庫を貼る!$B$6:$B$10005,$B5476,①今日の在庫を貼る!$I$6:$I$10005,$I5476)&gt;0,N(U5475),N(U5475)+1))</f>
        <v>2</v>
      </c>
    </row>
    <row r="5477" customFormat="false" ht="15" hidden="false" customHeight="false" outlineLevel="0" collapsed="false">
      <c r="B5477" s="53"/>
      <c r="I5477" s="53"/>
      <c r="U5477" s="31" t="n">
        <f aca="false">IF($B5477&lt;&gt;'設定（最初に1回）'!$C$4,N(U5476),IF(COUNTIFS(①今日の在庫を貼る!$B$6:$B$10005,$B5477,①今日の在庫を貼る!$I$6:$I$10005,$I5477)&gt;0,N(U5476),N(U5476)+1))</f>
        <v>2</v>
      </c>
    </row>
    <row r="5478" customFormat="false" ht="15" hidden="false" customHeight="false" outlineLevel="0" collapsed="false">
      <c r="B5478" s="53"/>
      <c r="I5478" s="53"/>
      <c r="U5478" s="31" t="n">
        <f aca="false">IF($B5478&lt;&gt;'設定（最初に1回）'!$C$4,N(U5477),IF(COUNTIFS(①今日の在庫を貼る!$B$6:$B$10005,$B5478,①今日の在庫を貼る!$I$6:$I$10005,$I5478)&gt;0,N(U5477),N(U5477)+1))</f>
        <v>2</v>
      </c>
    </row>
    <row r="5479" customFormat="false" ht="15" hidden="false" customHeight="false" outlineLevel="0" collapsed="false">
      <c r="B5479" s="53"/>
      <c r="I5479" s="53"/>
      <c r="U5479" s="31" t="n">
        <f aca="false">IF($B5479&lt;&gt;'設定（最初に1回）'!$C$4,N(U5478),IF(COUNTIFS(①今日の在庫を貼る!$B$6:$B$10005,$B5479,①今日の在庫を貼る!$I$6:$I$10005,$I5479)&gt;0,N(U5478),N(U5478)+1))</f>
        <v>2</v>
      </c>
    </row>
    <row r="5480" customFormat="false" ht="15" hidden="false" customHeight="false" outlineLevel="0" collapsed="false">
      <c r="B5480" s="53"/>
      <c r="I5480" s="53"/>
      <c r="U5480" s="31" t="n">
        <f aca="false">IF($B5480&lt;&gt;'設定（最初に1回）'!$C$4,N(U5479),IF(COUNTIFS(①今日の在庫を貼る!$B$6:$B$10005,$B5480,①今日の在庫を貼る!$I$6:$I$10005,$I5480)&gt;0,N(U5479),N(U5479)+1))</f>
        <v>2</v>
      </c>
    </row>
    <row r="5481" customFormat="false" ht="15" hidden="false" customHeight="false" outlineLevel="0" collapsed="false">
      <c r="B5481" s="53"/>
      <c r="I5481" s="53"/>
      <c r="U5481" s="31" t="n">
        <f aca="false">IF($B5481&lt;&gt;'設定（最初に1回）'!$C$4,N(U5480),IF(COUNTIFS(①今日の在庫を貼る!$B$6:$B$10005,$B5481,①今日の在庫を貼る!$I$6:$I$10005,$I5481)&gt;0,N(U5480),N(U5480)+1))</f>
        <v>2</v>
      </c>
    </row>
    <row r="5482" customFormat="false" ht="15" hidden="false" customHeight="false" outlineLevel="0" collapsed="false">
      <c r="B5482" s="53"/>
      <c r="I5482" s="53"/>
      <c r="U5482" s="31" t="n">
        <f aca="false">IF($B5482&lt;&gt;'設定（最初に1回）'!$C$4,N(U5481),IF(COUNTIFS(①今日の在庫を貼る!$B$6:$B$10005,$B5482,①今日の在庫を貼る!$I$6:$I$10005,$I5482)&gt;0,N(U5481),N(U5481)+1))</f>
        <v>2</v>
      </c>
    </row>
    <row r="5483" customFormat="false" ht="15" hidden="false" customHeight="false" outlineLevel="0" collapsed="false">
      <c r="B5483" s="53"/>
      <c r="I5483" s="53"/>
      <c r="U5483" s="31" t="n">
        <f aca="false">IF($B5483&lt;&gt;'設定（最初に1回）'!$C$4,N(U5482),IF(COUNTIFS(①今日の在庫を貼る!$B$6:$B$10005,$B5483,①今日の在庫を貼る!$I$6:$I$10005,$I5483)&gt;0,N(U5482),N(U5482)+1))</f>
        <v>2</v>
      </c>
    </row>
    <row r="5484" customFormat="false" ht="15" hidden="false" customHeight="false" outlineLevel="0" collapsed="false">
      <c r="B5484" s="53"/>
      <c r="I5484" s="53"/>
      <c r="U5484" s="31" t="n">
        <f aca="false">IF($B5484&lt;&gt;'設定（最初に1回）'!$C$4,N(U5483),IF(COUNTIFS(①今日の在庫を貼る!$B$6:$B$10005,$B5484,①今日の在庫を貼る!$I$6:$I$10005,$I5484)&gt;0,N(U5483),N(U5483)+1))</f>
        <v>2</v>
      </c>
    </row>
    <row r="5485" customFormat="false" ht="15" hidden="false" customHeight="false" outlineLevel="0" collapsed="false">
      <c r="B5485" s="53"/>
      <c r="I5485" s="53"/>
      <c r="U5485" s="31" t="n">
        <f aca="false">IF($B5485&lt;&gt;'設定（最初に1回）'!$C$4,N(U5484),IF(COUNTIFS(①今日の在庫を貼る!$B$6:$B$10005,$B5485,①今日の在庫を貼る!$I$6:$I$10005,$I5485)&gt;0,N(U5484),N(U5484)+1))</f>
        <v>2</v>
      </c>
    </row>
    <row r="5486" customFormat="false" ht="15" hidden="false" customHeight="false" outlineLevel="0" collapsed="false">
      <c r="B5486" s="53"/>
      <c r="I5486" s="53"/>
      <c r="U5486" s="31" t="n">
        <f aca="false">IF($B5486&lt;&gt;'設定（最初に1回）'!$C$4,N(U5485),IF(COUNTIFS(①今日の在庫を貼る!$B$6:$B$10005,$B5486,①今日の在庫を貼る!$I$6:$I$10005,$I5486)&gt;0,N(U5485),N(U5485)+1))</f>
        <v>2</v>
      </c>
    </row>
    <row r="5487" customFormat="false" ht="15" hidden="false" customHeight="false" outlineLevel="0" collapsed="false">
      <c r="B5487" s="53"/>
      <c r="I5487" s="53"/>
      <c r="U5487" s="31" t="n">
        <f aca="false">IF($B5487&lt;&gt;'設定（最初に1回）'!$C$4,N(U5486),IF(COUNTIFS(①今日の在庫を貼る!$B$6:$B$10005,$B5487,①今日の在庫を貼る!$I$6:$I$10005,$I5487)&gt;0,N(U5486),N(U5486)+1))</f>
        <v>2</v>
      </c>
    </row>
    <row r="5488" customFormat="false" ht="15" hidden="false" customHeight="false" outlineLevel="0" collapsed="false">
      <c r="B5488" s="53"/>
      <c r="I5488" s="53"/>
      <c r="U5488" s="31" t="n">
        <f aca="false">IF($B5488&lt;&gt;'設定（最初に1回）'!$C$4,N(U5487),IF(COUNTIFS(①今日の在庫を貼る!$B$6:$B$10005,$B5488,①今日の在庫を貼る!$I$6:$I$10005,$I5488)&gt;0,N(U5487),N(U5487)+1))</f>
        <v>2</v>
      </c>
    </row>
    <row r="5489" customFormat="false" ht="15" hidden="false" customHeight="false" outlineLevel="0" collapsed="false">
      <c r="B5489" s="53"/>
      <c r="I5489" s="53"/>
      <c r="U5489" s="31" t="n">
        <f aca="false">IF($B5489&lt;&gt;'設定（最初に1回）'!$C$4,N(U5488),IF(COUNTIFS(①今日の在庫を貼る!$B$6:$B$10005,$B5489,①今日の在庫を貼る!$I$6:$I$10005,$I5489)&gt;0,N(U5488),N(U5488)+1))</f>
        <v>2</v>
      </c>
    </row>
    <row r="5490" customFormat="false" ht="15" hidden="false" customHeight="false" outlineLevel="0" collapsed="false">
      <c r="B5490" s="53"/>
      <c r="I5490" s="53"/>
      <c r="U5490" s="31" t="n">
        <f aca="false">IF($B5490&lt;&gt;'設定（最初に1回）'!$C$4,N(U5489),IF(COUNTIFS(①今日の在庫を貼る!$B$6:$B$10005,$B5490,①今日の在庫を貼る!$I$6:$I$10005,$I5490)&gt;0,N(U5489),N(U5489)+1))</f>
        <v>2</v>
      </c>
    </row>
    <row r="5491" customFormat="false" ht="15" hidden="false" customHeight="false" outlineLevel="0" collapsed="false">
      <c r="B5491" s="53"/>
      <c r="I5491" s="53"/>
      <c r="U5491" s="31" t="n">
        <f aca="false">IF($B5491&lt;&gt;'設定（最初に1回）'!$C$4,N(U5490),IF(COUNTIFS(①今日の在庫を貼る!$B$6:$B$10005,$B5491,①今日の在庫を貼る!$I$6:$I$10005,$I5491)&gt;0,N(U5490),N(U5490)+1))</f>
        <v>2</v>
      </c>
    </row>
    <row r="5492" customFormat="false" ht="15" hidden="false" customHeight="false" outlineLevel="0" collapsed="false">
      <c r="B5492" s="53"/>
      <c r="I5492" s="53"/>
      <c r="U5492" s="31" t="n">
        <f aca="false">IF($B5492&lt;&gt;'設定（最初に1回）'!$C$4,N(U5491),IF(COUNTIFS(①今日の在庫を貼る!$B$6:$B$10005,$B5492,①今日の在庫を貼る!$I$6:$I$10005,$I5492)&gt;0,N(U5491),N(U5491)+1))</f>
        <v>2</v>
      </c>
    </row>
    <row r="5493" customFormat="false" ht="15" hidden="false" customHeight="false" outlineLevel="0" collapsed="false">
      <c r="B5493" s="53"/>
      <c r="I5493" s="53"/>
      <c r="U5493" s="31" t="n">
        <f aca="false">IF($B5493&lt;&gt;'設定（最初に1回）'!$C$4,N(U5492),IF(COUNTIFS(①今日の在庫を貼る!$B$6:$B$10005,$B5493,①今日の在庫を貼る!$I$6:$I$10005,$I5493)&gt;0,N(U5492),N(U5492)+1))</f>
        <v>2</v>
      </c>
    </row>
    <row r="5494" customFormat="false" ht="15" hidden="false" customHeight="false" outlineLevel="0" collapsed="false">
      <c r="B5494" s="53"/>
      <c r="I5494" s="53"/>
      <c r="U5494" s="31" t="n">
        <f aca="false">IF($B5494&lt;&gt;'設定（最初に1回）'!$C$4,N(U5493),IF(COUNTIFS(①今日の在庫を貼る!$B$6:$B$10005,$B5494,①今日の在庫を貼る!$I$6:$I$10005,$I5494)&gt;0,N(U5493),N(U5493)+1))</f>
        <v>2</v>
      </c>
    </row>
    <row r="5495" customFormat="false" ht="15" hidden="false" customHeight="false" outlineLevel="0" collapsed="false">
      <c r="B5495" s="53"/>
      <c r="I5495" s="53"/>
      <c r="U5495" s="31" t="n">
        <f aca="false">IF($B5495&lt;&gt;'設定（最初に1回）'!$C$4,N(U5494),IF(COUNTIFS(①今日の在庫を貼る!$B$6:$B$10005,$B5495,①今日の在庫を貼る!$I$6:$I$10005,$I5495)&gt;0,N(U5494),N(U5494)+1))</f>
        <v>2</v>
      </c>
    </row>
    <row r="5496" customFormat="false" ht="15" hidden="false" customHeight="false" outlineLevel="0" collapsed="false">
      <c r="B5496" s="53"/>
      <c r="I5496" s="53"/>
      <c r="U5496" s="31" t="n">
        <f aca="false">IF($B5496&lt;&gt;'設定（最初に1回）'!$C$4,N(U5495),IF(COUNTIFS(①今日の在庫を貼る!$B$6:$B$10005,$B5496,①今日の在庫を貼る!$I$6:$I$10005,$I5496)&gt;0,N(U5495),N(U5495)+1))</f>
        <v>2</v>
      </c>
    </row>
    <row r="5497" customFormat="false" ht="15" hidden="false" customHeight="false" outlineLevel="0" collapsed="false">
      <c r="B5497" s="53"/>
      <c r="I5497" s="53"/>
      <c r="U5497" s="31" t="n">
        <f aca="false">IF($B5497&lt;&gt;'設定（最初に1回）'!$C$4,N(U5496),IF(COUNTIFS(①今日の在庫を貼る!$B$6:$B$10005,$B5497,①今日の在庫を貼る!$I$6:$I$10005,$I5497)&gt;0,N(U5496),N(U5496)+1))</f>
        <v>2</v>
      </c>
    </row>
    <row r="5498" customFormat="false" ht="15" hidden="false" customHeight="false" outlineLevel="0" collapsed="false">
      <c r="B5498" s="53"/>
      <c r="I5498" s="53"/>
      <c r="U5498" s="31" t="n">
        <f aca="false">IF($B5498&lt;&gt;'設定（最初に1回）'!$C$4,N(U5497),IF(COUNTIFS(①今日の在庫を貼る!$B$6:$B$10005,$B5498,①今日の在庫を貼る!$I$6:$I$10005,$I5498)&gt;0,N(U5497),N(U5497)+1))</f>
        <v>2</v>
      </c>
    </row>
    <row r="5499" customFormat="false" ht="15" hidden="false" customHeight="false" outlineLevel="0" collapsed="false">
      <c r="B5499" s="53"/>
      <c r="I5499" s="53"/>
      <c r="U5499" s="31" t="n">
        <f aca="false">IF($B5499&lt;&gt;'設定（最初に1回）'!$C$4,N(U5498),IF(COUNTIFS(①今日の在庫を貼る!$B$6:$B$10005,$B5499,①今日の在庫を貼る!$I$6:$I$10005,$I5499)&gt;0,N(U5498),N(U5498)+1))</f>
        <v>2</v>
      </c>
    </row>
    <row r="5500" customFormat="false" ht="15" hidden="false" customHeight="false" outlineLevel="0" collapsed="false">
      <c r="B5500" s="53"/>
      <c r="I5500" s="53"/>
      <c r="U5500" s="31" t="n">
        <f aca="false">IF($B5500&lt;&gt;'設定（最初に1回）'!$C$4,N(U5499),IF(COUNTIFS(①今日の在庫を貼る!$B$6:$B$10005,$B5500,①今日の在庫を貼る!$I$6:$I$10005,$I5500)&gt;0,N(U5499),N(U5499)+1))</f>
        <v>2</v>
      </c>
    </row>
    <row r="5501" customFormat="false" ht="15" hidden="false" customHeight="false" outlineLevel="0" collapsed="false">
      <c r="B5501" s="53"/>
      <c r="I5501" s="53"/>
      <c r="U5501" s="31" t="n">
        <f aca="false">IF($B5501&lt;&gt;'設定（最初に1回）'!$C$4,N(U5500),IF(COUNTIFS(①今日の在庫を貼る!$B$6:$B$10005,$B5501,①今日の在庫を貼る!$I$6:$I$10005,$I5501)&gt;0,N(U5500),N(U5500)+1))</f>
        <v>2</v>
      </c>
    </row>
    <row r="5502" customFormat="false" ht="15" hidden="false" customHeight="false" outlineLevel="0" collapsed="false">
      <c r="B5502" s="53"/>
      <c r="I5502" s="53"/>
      <c r="U5502" s="31" t="n">
        <f aca="false">IF($B5502&lt;&gt;'設定（最初に1回）'!$C$4,N(U5501),IF(COUNTIFS(①今日の在庫を貼る!$B$6:$B$10005,$B5502,①今日の在庫を貼る!$I$6:$I$10005,$I5502)&gt;0,N(U5501),N(U5501)+1))</f>
        <v>2</v>
      </c>
    </row>
    <row r="5503" customFormat="false" ht="15" hidden="false" customHeight="false" outlineLevel="0" collapsed="false">
      <c r="B5503" s="53"/>
      <c r="I5503" s="53"/>
      <c r="U5503" s="31" t="n">
        <f aca="false">IF($B5503&lt;&gt;'設定（最初に1回）'!$C$4,N(U5502),IF(COUNTIFS(①今日の在庫を貼る!$B$6:$B$10005,$B5503,①今日の在庫を貼る!$I$6:$I$10005,$I5503)&gt;0,N(U5502),N(U5502)+1))</f>
        <v>2</v>
      </c>
    </row>
    <row r="5504" customFormat="false" ht="15" hidden="false" customHeight="false" outlineLevel="0" collapsed="false">
      <c r="B5504" s="53"/>
      <c r="I5504" s="53"/>
      <c r="U5504" s="31" t="n">
        <f aca="false">IF($B5504&lt;&gt;'設定（最初に1回）'!$C$4,N(U5503),IF(COUNTIFS(①今日の在庫を貼る!$B$6:$B$10005,$B5504,①今日の在庫を貼る!$I$6:$I$10005,$I5504)&gt;0,N(U5503),N(U5503)+1))</f>
        <v>2</v>
      </c>
    </row>
    <row r="5505" customFormat="false" ht="15" hidden="false" customHeight="false" outlineLevel="0" collapsed="false">
      <c r="B5505" s="53"/>
      <c r="I5505" s="53"/>
      <c r="U5505" s="31" t="n">
        <f aca="false">IF($B5505&lt;&gt;'設定（最初に1回）'!$C$4,N(U5504),IF(COUNTIFS(①今日の在庫を貼る!$B$6:$B$10005,$B5505,①今日の在庫を貼る!$I$6:$I$10005,$I5505)&gt;0,N(U5504),N(U5504)+1))</f>
        <v>2</v>
      </c>
    </row>
    <row r="5506" customFormat="false" ht="15" hidden="false" customHeight="false" outlineLevel="0" collapsed="false">
      <c r="B5506" s="53"/>
      <c r="I5506" s="53"/>
      <c r="U5506" s="31" t="n">
        <f aca="false">IF($B5506&lt;&gt;'設定（最初に1回）'!$C$4,N(U5505),IF(COUNTIFS(①今日の在庫を貼る!$B$6:$B$10005,$B5506,①今日の在庫を貼る!$I$6:$I$10005,$I5506)&gt;0,N(U5505),N(U5505)+1))</f>
        <v>2</v>
      </c>
    </row>
    <row r="5507" customFormat="false" ht="15" hidden="false" customHeight="false" outlineLevel="0" collapsed="false">
      <c r="B5507" s="53"/>
      <c r="I5507" s="53"/>
      <c r="U5507" s="31" t="n">
        <f aca="false">IF($B5507&lt;&gt;'設定（最初に1回）'!$C$4,N(U5506),IF(COUNTIFS(①今日の在庫を貼る!$B$6:$B$10005,$B5507,①今日の在庫を貼る!$I$6:$I$10005,$I5507)&gt;0,N(U5506),N(U5506)+1))</f>
        <v>2</v>
      </c>
    </row>
    <row r="5508" customFormat="false" ht="15" hidden="false" customHeight="false" outlineLevel="0" collapsed="false">
      <c r="B5508" s="53"/>
      <c r="I5508" s="53"/>
      <c r="U5508" s="31" t="n">
        <f aca="false">IF($B5508&lt;&gt;'設定（最初に1回）'!$C$4,N(U5507),IF(COUNTIFS(①今日の在庫を貼る!$B$6:$B$10005,$B5508,①今日の在庫を貼る!$I$6:$I$10005,$I5508)&gt;0,N(U5507),N(U5507)+1))</f>
        <v>2</v>
      </c>
    </row>
    <row r="5509" customFormat="false" ht="15" hidden="false" customHeight="false" outlineLevel="0" collapsed="false">
      <c r="B5509" s="53"/>
      <c r="I5509" s="53"/>
      <c r="U5509" s="31" t="n">
        <f aca="false">IF($B5509&lt;&gt;'設定（最初に1回）'!$C$4,N(U5508),IF(COUNTIFS(①今日の在庫を貼る!$B$6:$B$10005,$B5509,①今日の在庫を貼る!$I$6:$I$10005,$I5509)&gt;0,N(U5508),N(U5508)+1))</f>
        <v>2</v>
      </c>
    </row>
    <row r="5510" customFormat="false" ht="15" hidden="false" customHeight="false" outlineLevel="0" collapsed="false">
      <c r="B5510" s="53"/>
      <c r="I5510" s="53"/>
      <c r="U5510" s="31" t="n">
        <f aca="false">IF($B5510&lt;&gt;'設定（最初に1回）'!$C$4,N(U5509),IF(COUNTIFS(①今日の在庫を貼る!$B$6:$B$10005,$B5510,①今日の在庫を貼る!$I$6:$I$10005,$I5510)&gt;0,N(U5509),N(U5509)+1))</f>
        <v>2</v>
      </c>
    </row>
    <row r="5511" customFormat="false" ht="15" hidden="false" customHeight="false" outlineLevel="0" collapsed="false">
      <c r="B5511" s="53"/>
      <c r="I5511" s="53"/>
      <c r="U5511" s="31" t="n">
        <f aca="false">IF($B5511&lt;&gt;'設定（最初に1回）'!$C$4,N(U5510),IF(COUNTIFS(①今日の在庫を貼る!$B$6:$B$10005,$B5511,①今日の在庫を貼る!$I$6:$I$10005,$I5511)&gt;0,N(U5510),N(U5510)+1))</f>
        <v>2</v>
      </c>
    </row>
    <row r="5512" customFormat="false" ht="15" hidden="false" customHeight="false" outlineLevel="0" collapsed="false">
      <c r="B5512" s="53"/>
      <c r="I5512" s="53"/>
      <c r="U5512" s="31" t="n">
        <f aca="false">IF($B5512&lt;&gt;'設定（最初に1回）'!$C$4,N(U5511),IF(COUNTIFS(①今日の在庫を貼る!$B$6:$B$10005,$B5512,①今日の在庫を貼る!$I$6:$I$10005,$I5512)&gt;0,N(U5511),N(U5511)+1))</f>
        <v>2</v>
      </c>
    </row>
    <row r="5513" customFormat="false" ht="15" hidden="false" customHeight="false" outlineLevel="0" collapsed="false">
      <c r="B5513" s="53"/>
      <c r="I5513" s="53"/>
      <c r="U5513" s="31" t="n">
        <f aca="false">IF($B5513&lt;&gt;'設定（最初に1回）'!$C$4,N(U5512),IF(COUNTIFS(①今日の在庫を貼る!$B$6:$B$10005,$B5513,①今日の在庫を貼る!$I$6:$I$10005,$I5513)&gt;0,N(U5512),N(U5512)+1))</f>
        <v>2</v>
      </c>
    </row>
    <row r="5514" customFormat="false" ht="15" hidden="false" customHeight="false" outlineLevel="0" collapsed="false">
      <c r="B5514" s="53"/>
      <c r="I5514" s="53"/>
      <c r="U5514" s="31" t="n">
        <f aca="false">IF($B5514&lt;&gt;'設定（最初に1回）'!$C$4,N(U5513),IF(COUNTIFS(①今日の在庫を貼る!$B$6:$B$10005,$B5514,①今日の在庫を貼る!$I$6:$I$10005,$I5514)&gt;0,N(U5513),N(U5513)+1))</f>
        <v>2</v>
      </c>
    </row>
    <row r="5515" customFormat="false" ht="15" hidden="false" customHeight="false" outlineLevel="0" collapsed="false">
      <c r="B5515" s="53"/>
      <c r="I5515" s="53"/>
      <c r="U5515" s="31" t="n">
        <f aca="false">IF($B5515&lt;&gt;'設定（最初に1回）'!$C$4,N(U5514),IF(COUNTIFS(①今日の在庫を貼る!$B$6:$B$10005,$B5515,①今日の在庫を貼る!$I$6:$I$10005,$I5515)&gt;0,N(U5514),N(U5514)+1))</f>
        <v>2</v>
      </c>
    </row>
    <row r="5516" customFormat="false" ht="15" hidden="false" customHeight="false" outlineLevel="0" collapsed="false">
      <c r="B5516" s="53"/>
      <c r="I5516" s="53"/>
      <c r="U5516" s="31" t="n">
        <f aca="false">IF($B5516&lt;&gt;'設定（最初に1回）'!$C$4,N(U5515),IF(COUNTIFS(①今日の在庫を貼る!$B$6:$B$10005,$B5516,①今日の在庫を貼る!$I$6:$I$10005,$I5516)&gt;0,N(U5515),N(U5515)+1))</f>
        <v>2</v>
      </c>
    </row>
    <row r="5517" customFormat="false" ht="15" hidden="false" customHeight="false" outlineLevel="0" collapsed="false">
      <c r="B5517" s="53"/>
      <c r="I5517" s="53"/>
      <c r="U5517" s="31" t="n">
        <f aca="false">IF($B5517&lt;&gt;'設定（最初に1回）'!$C$4,N(U5516),IF(COUNTIFS(①今日の在庫を貼る!$B$6:$B$10005,$B5517,①今日の在庫を貼る!$I$6:$I$10005,$I5517)&gt;0,N(U5516),N(U5516)+1))</f>
        <v>2</v>
      </c>
    </row>
    <row r="5518" customFormat="false" ht="15" hidden="false" customHeight="false" outlineLevel="0" collapsed="false">
      <c r="B5518" s="53"/>
      <c r="I5518" s="53"/>
      <c r="U5518" s="31" t="n">
        <f aca="false">IF($B5518&lt;&gt;'設定（最初に1回）'!$C$4,N(U5517),IF(COUNTIFS(①今日の在庫を貼る!$B$6:$B$10005,$B5518,①今日の在庫を貼る!$I$6:$I$10005,$I5518)&gt;0,N(U5517),N(U5517)+1))</f>
        <v>2</v>
      </c>
    </row>
    <row r="5519" customFormat="false" ht="15" hidden="false" customHeight="false" outlineLevel="0" collapsed="false">
      <c r="B5519" s="53"/>
      <c r="I5519" s="53"/>
      <c r="U5519" s="31" t="n">
        <f aca="false">IF($B5519&lt;&gt;'設定（最初に1回）'!$C$4,N(U5518),IF(COUNTIFS(①今日の在庫を貼る!$B$6:$B$10005,$B5519,①今日の在庫を貼る!$I$6:$I$10005,$I5519)&gt;0,N(U5518),N(U5518)+1))</f>
        <v>2</v>
      </c>
    </row>
    <row r="5520" customFormat="false" ht="15" hidden="false" customHeight="false" outlineLevel="0" collapsed="false">
      <c r="B5520" s="53"/>
      <c r="I5520" s="53"/>
      <c r="U5520" s="31" t="n">
        <f aca="false">IF($B5520&lt;&gt;'設定（最初に1回）'!$C$4,N(U5519),IF(COUNTIFS(①今日の在庫を貼る!$B$6:$B$10005,$B5520,①今日の在庫を貼る!$I$6:$I$10005,$I5520)&gt;0,N(U5519),N(U5519)+1))</f>
        <v>2</v>
      </c>
    </row>
    <row r="5521" customFormat="false" ht="15" hidden="false" customHeight="false" outlineLevel="0" collapsed="false">
      <c r="B5521" s="53"/>
      <c r="I5521" s="53"/>
      <c r="U5521" s="31" t="n">
        <f aca="false">IF($B5521&lt;&gt;'設定（最初に1回）'!$C$4,N(U5520),IF(COUNTIFS(①今日の在庫を貼る!$B$6:$B$10005,$B5521,①今日の在庫を貼る!$I$6:$I$10005,$I5521)&gt;0,N(U5520),N(U5520)+1))</f>
        <v>2</v>
      </c>
    </row>
    <row r="5522" customFormat="false" ht="15" hidden="false" customHeight="false" outlineLevel="0" collapsed="false">
      <c r="B5522" s="53"/>
      <c r="I5522" s="53"/>
      <c r="U5522" s="31" t="n">
        <f aca="false">IF($B5522&lt;&gt;'設定（最初に1回）'!$C$4,N(U5521),IF(COUNTIFS(①今日の在庫を貼る!$B$6:$B$10005,$B5522,①今日の在庫を貼る!$I$6:$I$10005,$I5522)&gt;0,N(U5521),N(U5521)+1))</f>
        <v>2</v>
      </c>
    </row>
    <row r="5523" customFormat="false" ht="15" hidden="false" customHeight="false" outlineLevel="0" collapsed="false">
      <c r="B5523" s="53"/>
      <c r="I5523" s="53"/>
      <c r="U5523" s="31" t="n">
        <f aca="false">IF($B5523&lt;&gt;'設定（最初に1回）'!$C$4,N(U5522),IF(COUNTIFS(①今日の在庫を貼る!$B$6:$B$10005,$B5523,①今日の在庫を貼る!$I$6:$I$10005,$I5523)&gt;0,N(U5522),N(U5522)+1))</f>
        <v>2</v>
      </c>
    </row>
    <row r="5524" customFormat="false" ht="15" hidden="false" customHeight="false" outlineLevel="0" collapsed="false">
      <c r="B5524" s="53"/>
      <c r="I5524" s="53"/>
      <c r="U5524" s="31" t="n">
        <f aca="false">IF($B5524&lt;&gt;'設定（最初に1回）'!$C$4,N(U5523),IF(COUNTIFS(①今日の在庫を貼る!$B$6:$B$10005,$B5524,①今日の在庫を貼る!$I$6:$I$10005,$I5524)&gt;0,N(U5523),N(U5523)+1))</f>
        <v>2</v>
      </c>
    </row>
    <row r="5525" customFormat="false" ht="15" hidden="false" customHeight="false" outlineLevel="0" collapsed="false">
      <c r="B5525" s="53"/>
      <c r="I5525" s="53"/>
      <c r="U5525" s="31" t="n">
        <f aca="false">IF($B5525&lt;&gt;'設定（最初に1回）'!$C$4,N(U5524),IF(COUNTIFS(①今日の在庫を貼る!$B$6:$B$10005,$B5525,①今日の在庫を貼る!$I$6:$I$10005,$I5525)&gt;0,N(U5524),N(U5524)+1))</f>
        <v>2</v>
      </c>
    </row>
    <row r="5526" customFormat="false" ht="15" hidden="false" customHeight="false" outlineLevel="0" collapsed="false">
      <c r="B5526" s="53"/>
      <c r="I5526" s="53"/>
      <c r="U5526" s="31" t="n">
        <f aca="false">IF($B5526&lt;&gt;'設定（最初に1回）'!$C$4,N(U5525),IF(COUNTIFS(①今日の在庫を貼る!$B$6:$B$10005,$B5526,①今日の在庫を貼る!$I$6:$I$10005,$I5526)&gt;0,N(U5525),N(U5525)+1))</f>
        <v>2</v>
      </c>
    </row>
    <row r="5527" customFormat="false" ht="15" hidden="false" customHeight="false" outlineLevel="0" collapsed="false">
      <c r="B5527" s="53"/>
      <c r="I5527" s="53"/>
      <c r="U5527" s="31" t="n">
        <f aca="false">IF($B5527&lt;&gt;'設定（最初に1回）'!$C$4,N(U5526),IF(COUNTIFS(①今日の在庫を貼る!$B$6:$B$10005,$B5527,①今日の在庫を貼る!$I$6:$I$10005,$I5527)&gt;0,N(U5526),N(U5526)+1))</f>
        <v>2</v>
      </c>
    </row>
    <row r="5528" customFormat="false" ht="15" hidden="false" customHeight="false" outlineLevel="0" collapsed="false">
      <c r="B5528" s="53"/>
      <c r="I5528" s="53"/>
      <c r="U5528" s="31" t="n">
        <f aca="false">IF($B5528&lt;&gt;'設定（最初に1回）'!$C$4,N(U5527),IF(COUNTIFS(①今日の在庫を貼る!$B$6:$B$10005,$B5528,①今日の在庫を貼る!$I$6:$I$10005,$I5528)&gt;0,N(U5527),N(U5527)+1))</f>
        <v>2</v>
      </c>
    </row>
    <row r="5529" customFormat="false" ht="15" hidden="false" customHeight="false" outlineLevel="0" collapsed="false">
      <c r="B5529" s="53"/>
      <c r="I5529" s="53"/>
      <c r="U5529" s="31" t="n">
        <f aca="false">IF($B5529&lt;&gt;'設定（最初に1回）'!$C$4,N(U5528),IF(COUNTIFS(①今日の在庫を貼る!$B$6:$B$10005,$B5529,①今日の在庫を貼る!$I$6:$I$10005,$I5529)&gt;0,N(U5528),N(U5528)+1))</f>
        <v>2</v>
      </c>
    </row>
    <row r="5530" customFormat="false" ht="15" hidden="false" customHeight="false" outlineLevel="0" collapsed="false">
      <c r="B5530" s="53"/>
      <c r="I5530" s="53"/>
      <c r="U5530" s="31" t="n">
        <f aca="false">IF($B5530&lt;&gt;'設定（最初に1回）'!$C$4,N(U5529),IF(COUNTIFS(①今日の在庫を貼る!$B$6:$B$10005,$B5530,①今日の在庫を貼る!$I$6:$I$10005,$I5530)&gt;0,N(U5529),N(U5529)+1))</f>
        <v>2</v>
      </c>
    </row>
    <row r="5531" customFormat="false" ht="15" hidden="false" customHeight="false" outlineLevel="0" collapsed="false">
      <c r="B5531" s="53"/>
      <c r="I5531" s="53"/>
      <c r="U5531" s="31" t="n">
        <f aca="false">IF($B5531&lt;&gt;'設定（最初に1回）'!$C$4,N(U5530),IF(COUNTIFS(①今日の在庫を貼る!$B$6:$B$10005,$B5531,①今日の在庫を貼る!$I$6:$I$10005,$I5531)&gt;0,N(U5530),N(U5530)+1))</f>
        <v>2</v>
      </c>
    </row>
    <row r="5532" customFormat="false" ht="15" hidden="false" customHeight="false" outlineLevel="0" collapsed="false">
      <c r="B5532" s="53"/>
      <c r="I5532" s="53"/>
      <c r="U5532" s="31" t="n">
        <f aca="false">IF($B5532&lt;&gt;'設定（最初に1回）'!$C$4,N(U5531),IF(COUNTIFS(①今日の在庫を貼る!$B$6:$B$10005,$B5532,①今日の在庫を貼る!$I$6:$I$10005,$I5532)&gt;0,N(U5531),N(U5531)+1))</f>
        <v>2</v>
      </c>
    </row>
    <row r="5533" customFormat="false" ht="15" hidden="false" customHeight="false" outlineLevel="0" collapsed="false">
      <c r="B5533" s="53"/>
      <c r="I5533" s="53"/>
      <c r="U5533" s="31" t="n">
        <f aca="false">IF($B5533&lt;&gt;'設定（最初に1回）'!$C$4,N(U5532),IF(COUNTIFS(①今日の在庫を貼る!$B$6:$B$10005,$B5533,①今日の在庫を貼る!$I$6:$I$10005,$I5533)&gt;0,N(U5532),N(U5532)+1))</f>
        <v>2</v>
      </c>
    </row>
    <row r="5534" customFormat="false" ht="15" hidden="false" customHeight="false" outlineLevel="0" collapsed="false">
      <c r="B5534" s="53"/>
      <c r="I5534" s="53"/>
      <c r="U5534" s="31" t="n">
        <f aca="false">IF($B5534&lt;&gt;'設定（最初に1回）'!$C$4,N(U5533),IF(COUNTIFS(①今日の在庫を貼る!$B$6:$B$10005,$B5534,①今日の在庫を貼る!$I$6:$I$10005,$I5534)&gt;0,N(U5533),N(U5533)+1))</f>
        <v>2</v>
      </c>
    </row>
    <row r="5535" customFormat="false" ht="15" hidden="false" customHeight="false" outlineLevel="0" collapsed="false">
      <c r="B5535" s="53"/>
      <c r="I5535" s="53"/>
      <c r="U5535" s="31" t="n">
        <f aca="false">IF($B5535&lt;&gt;'設定（最初に1回）'!$C$4,N(U5534),IF(COUNTIFS(①今日の在庫を貼る!$B$6:$B$10005,$B5535,①今日の在庫を貼る!$I$6:$I$10005,$I5535)&gt;0,N(U5534),N(U5534)+1))</f>
        <v>2</v>
      </c>
    </row>
    <row r="5536" customFormat="false" ht="15" hidden="false" customHeight="false" outlineLevel="0" collapsed="false">
      <c r="B5536" s="53"/>
      <c r="I5536" s="53"/>
      <c r="U5536" s="31" t="n">
        <f aca="false">IF($B5536&lt;&gt;'設定（最初に1回）'!$C$4,N(U5535),IF(COUNTIFS(①今日の在庫を貼る!$B$6:$B$10005,$B5536,①今日の在庫を貼る!$I$6:$I$10005,$I5536)&gt;0,N(U5535),N(U5535)+1))</f>
        <v>2</v>
      </c>
    </row>
    <row r="5537" customFormat="false" ht="15" hidden="false" customHeight="false" outlineLevel="0" collapsed="false">
      <c r="B5537" s="53"/>
      <c r="I5537" s="53"/>
      <c r="U5537" s="31" t="n">
        <f aca="false">IF($B5537&lt;&gt;'設定（最初に1回）'!$C$4,N(U5536),IF(COUNTIFS(①今日の在庫を貼る!$B$6:$B$10005,$B5537,①今日の在庫を貼る!$I$6:$I$10005,$I5537)&gt;0,N(U5536),N(U5536)+1))</f>
        <v>2</v>
      </c>
    </row>
    <row r="5538" customFormat="false" ht="15" hidden="false" customHeight="false" outlineLevel="0" collapsed="false">
      <c r="B5538" s="53"/>
      <c r="I5538" s="53"/>
      <c r="U5538" s="31" t="n">
        <f aca="false">IF($B5538&lt;&gt;'設定（最初に1回）'!$C$4,N(U5537),IF(COUNTIFS(①今日の在庫を貼る!$B$6:$B$10005,$B5538,①今日の在庫を貼る!$I$6:$I$10005,$I5538)&gt;0,N(U5537),N(U5537)+1))</f>
        <v>2</v>
      </c>
    </row>
    <row r="5539" customFormat="false" ht="15" hidden="false" customHeight="false" outlineLevel="0" collapsed="false">
      <c r="B5539" s="53"/>
      <c r="I5539" s="53"/>
      <c r="U5539" s="31" t="n">
        <f aca="false">IF($B5539&lt;&gt;'設定（最初に1回）'!$C$4,N(U5538),IF(COUNTIFS(①今日の在庫を貼る!$B$6:$B$10005,$B5539,①今日の在庫を貼る!$I$6:$I$10005,$I5539)&gt;0,N(U5538),N(U5538)+1))</f>
        <v>2</v>
      </c>
    </row>
    <row r="5540" customFormat="false" ht="15" hidden="false" customHeight="false" outlineLevel="0" collapsed="false">
      <c r="B5540" s="53"/>
      <c r="I5540" s="53"/>
      <c r="U5540" s="31" t="n">
        <f aca="false">IF($B5540&lt;&gt;'設定（最初に1回）'!$C$4,N(U5539),IF(COUNTIFS(①今日の在庫を貼る!$B$6:$B$10005,$B5540,①今日の在庫を貼る!$I$6:$I$10005,$I5540)&gt;0,N(U5539),N(U5539)+1))</f>
        <v>2</v>
      </c>
    </row>
    <row r="5541" customFormat="false" ht="15" hidden="false" customHeight="false" outlineLevel="0" collapsed="false">
      <c r="B5541" s="53"/>
      <c r="I5541" s="53"/>
      <c r="U5541" s="31" t="n">
        <f aca="false">IF($B5541&lt;&gt;'設定（最初に1回）'!$C$4,N(U5540),IF(COUNTIFS(①今日の在庫を貼る!$B$6:$B$10005,$B5541,①今日の在庫を貼る!$I$6:$I$10005,$I5541)&gt;0,N(U5540),N(U5540)+1))</f>
        <v>2</v>
      </c>
    </row>
    <row r="5542" customFormat="false" ht="15" hidden="false" customHeight="false" outlineLevel="0" collapsed="false">
      <c r="B5542" s="53"/>
      <c r="I5542" s="53"/>
      <c r="U5542" s="31" t="n">
        <f aca="false">IF($B5542&lt;&gt;'設定（最初に1回）'!$C$4,N(U5541),IF(COUNTIFS(①今日の在庫を貼る!$B$6:$B$10005,$B5542,①今日の在庫を貼る!$I$6:$I$10005,$I5542)&gt;0,N(U5541),N(U5541)+1))</f>
        <v>2</v>
      </c>
    </row>
    <row r="5543" customFormat="false" ht="15" hidden="false" customHeight="false" outlineLevel="0" collapsed="false">
      <c r="B5543" s="53"/>
      <c r="I5543" s="53"/>
      <c r="U5543" s="31" t="n">
        <f aca="false">IF($B5543&lt;&gt;'設定（最初に1回）'!$C$4,N(U5542),IF(COUNTIFS(①今日の在庫を貼る!$B$6:$B$10005,$B5543,①今日の在庫を貼る!$I$6:$I$10005,$I5543)&gt;0,N(U5542),N(U5542)+1))</f>
        <v>2</v>
      </c>
    </row>
    <row r="5544" customFormat="false" ht="15" hidden="false" customHeight="false" outlineLevel="0" collapsed="false">
      <c r="B5544" s="53"/>
      <c r="I5544" s="53"/>
      <c r="U5544" s="31" t="n">
        <f aca="false">IF($B5544&lt;&gt;'設定（最初に1回）'!$C$4,N(U5543),IF(COUNTIFS(①今日の在庫を貼る!$B$6:$B$10005,$B5544,①今日の在庫を貼る!$I$6:$I$10005,$I5544)&gt;0,N(U5543),N(U5543)+1))</f>
        <v>2</v>
      </c>
    </row>
    <row r="5545" customFormat="false" ht="15" hidden="false" customHeight="false" outlineLevel="0" collapsed="false">
      <c r="B5545" s="53"/>
      <c r="I5545" s="53"/>
      <c r="U5545" s="31" t="n">
        <f aca="false">IF($B5545&lt;&gt;'設定（最初に1回）'!$C$4,N(U5544),IF(COUNTIFS(①今日の在庫を貼る!$B$6:$B$10005,$B5545,①今日の在庫を貼る!$I$6:$I$10005,$I5545)&gt;0,N(U5544),N(U5544)+1))</f>
        <v>2</v>
      </c>
    </row>
    <row r="5546" customFormat="false" ht="15" hidden="false" customHeight="false" outlineLevel="0" collapsed="false">
      <c r="B5546" s="53"/>
      <c r="I5546" s="53"/>
      <c r="U5546" s="31" t="n">
        <f aca="false">IF($B5546&lt;&gt;'設定（最初に1回）'!$C$4,N(U5545),IF(COUNTIFS(①今日の在庫を貼る!$B$6:$B$10005,$B5546,①今日の在庫を貼る!$I$6:$I$10005,$I5546)&gt;0,N(U5545),N(U5545)+1))</f>
        <v>2</v>
      </c>
    </row>
    <row r="5547" customFormat="false" ht="15" hidden="false" customHeight="false" outlineLevel="0" collapsed="false">
      <c r="B5547" s="53"/>
      <c r="I5547" s="53"/>
      <c r="U5547" s="31" t="n">
        <f aca="false">IF($B5547&lt;&gt;'設定（最初に1回）'!$C$4,N(U5546),IF(COUNTIFS(①今日の在庫を貼る!$B$6:$B$10005,$B5547,①今日の在庫を貼る!$I$6:$I$10005,$I5547)&gt;0,N(U5546),N(U5546)+1))</f>
        <v>2</v>
      </c>
    </row>
    <row r="5548" customFormat="false" ht="15" hidden="false" customHeight="false" outlineLevel="0" collapsed="false">
      <c r="B5548" s="53"/>
      <c r="I5548" s="53"/>
      <c r="U5548" s="31" t="n">
        <f aca="false">IF($B5548&lt;&gt;'設定（最初に1回）'!$C$4,N(U5547),IF(COUNTIFS(①今日の在庫を貼る!$B$6:$B$10005,$B5548,①今日の在庫を貼る!$I$6:$I$10005,$I5548)&gt;0,N(U5547),N(U5547)+1))</f>
        <v>2</v>
      </c>
    </row>
    <row r="5549" customFormat="false" ht="15" hidden="false" customHeight="false" outlineLevel="0" collapsed="false">
      <c r="B5549" s="53"/>
      <c r="I5549" s="53"/>
      <c r="U5549" s="31" t="n">
        <f aca="false">IF($B5549&lt;&gt;'設定（最初に1回）'!$C$4,N(U5548),IF(COUNTIFS(①今日の在庫を貼る!$B$6:$B$10005,$B5549,①今日の在庫を貼る!$I$6:$I$10005,$I5549)&gt;0,N(U5548),N(U5548)+1))</f>
        <v>2</v>
      </c>
    </row>
    <row r="5550" customFormat="false" ht="15" hidden="false" customHeight="false" outlineLevel="0" collapsed="false">
      <c r="B5550" s="53"/>
      <c r="I5550" s="53"/>
      <c r="U5550" s="31" t="n">
        <f aca="false">IF($B5550&lt;&gt;'設定（最初に1回）'!$C$4,N(U5549),IF(COUNTIFS(①今日の在庫を貼る!$B$6:$B$10005,$B5550,①今日の在庫を貼る!$I$6:$I$10005,$I5550)&gt;0,N(U5549),N(U5549)+1))</f>
        <v>2</v>
      </c>
    </row>
    <row r="5551" customFormat="false" ht="15" hidden="false" customHeight="false" outlineLevel="0" collapsed="false">
      <c r="B5551" s="53"/>
      <c r="I5551" s="53"/>
      <c r="U5551" s="31" t="n">
        <f aca="false">IF($B5551&lt;&gt;'設定（最初に1回）'!$C$4,N(U5550),IF(COUNTIFS(①今日の在庫を貼る!$B$6:$B$10005,$B5551,①今日の在庫を貼る!$I$6:$I$10005,$I5551)&gt;0,N(U5550),N(U5550)+1))</f>
        <v>2</v>
      </c>
    </row>
    <row r="5552" customFormat="false" ht="15" hidden="false" customHeight="false" outlineLevel="0" collapsed="false">
      <c r="B5552" s="53"/>
      <c r="I5552" s="53"/>
      <c r="U5552" s="31" t="n">
        <f aca="false">IF($B5552&lt;&gt;'設定（最初に1回）'!$C$4,N(U5551),IF(COUNTIFS(①今日の在庫を貼る!$B$6:$B$10005,$B5552,①今日の在庫を貼る!$I$6:$I$10005,$I5552)&gt;0,N(U5551),N(U5551)+1))</f>
        <v>2</v>
      </c>
    </row>
    <row r="5553" customFormat="false" ht="15" hidden="false" customHeight="false" outlineLevel="0" collapsed="false">
      <c r="B5553" s="53"/>
      <c r="I5553" s="53"/>
      <c r="U5553" s="31" t="n">
        <f aca="false">IF($B5553&lt;&gt;'設定（最初に1回）'!$C$4,N(U5552),IF(COUNTIFS(①今日の在庫を貼る!$B$6:$B$10005,$B5553,①今日の在庫を貼る!$I$6:$I$10005,$I5553)&gt;0,N(U5552),N(U5552)+1))</f>
        <v>2</v>
      </c>
    </row>
    <row r="5554" customFormat="false" ht="15" hidden="false" customHeight="false" outlineLevel="0" collapsed="false">
      <c r="B5554" s="53"/>
      <c r="I5554" s="53"/>
      <c r="U5554" s="31" t="n">
        <f aca="false">IF($B5554&lt;&gt;'設定（最初に1回）'!$C$4,N(U5553),IF(COUNTIFS(①今日の在庫を貼る!$B$6:$B$10005,$B5554,①今日の在庫を貼る!$I$6:$I$10005,$I5554)&gt;0,N(U5553),N(U5553)+1))</f>
        <v>2</v>
      </c>
    </row>
    <row r="5555" customFormat="false" ht="15" hidden="false" customHeight="false" outlineLevel="0" collapsed="false">
      <c r="B5555" s="53"/>
      <c r="I5555" s="53"/>
      <c r="U5555" s="31" t="n">
        <f aca="false">IF($B5555&lt;&gt;'設定（最初に1回）'!$C$4,N(U5554),IF(COUNTIFS(①今日の在庫を貼る!$B$6:$B$10005,$B5555,①今日の在庫を貼る!$I$6:$I$10005,$I5555)&gt;0,N(U5554),N(U5554)+1))</f>
        <v>2</v>
      </c>
    </row>
    <row r="5556" customFormat="false" ht="15" hidden="false" customHeight="false" outlineLevel="0" collapsed="false">
      <c r="B5556" s="53"/>
      <c r="I5556" s="53"/>
      <c r="U5556" s="31" t="n">
        <f aca="false">IF($B5556&lt;&gt;'設定（最初に1回）'!$C$4,N(U5555),IF(COUNTIFS(①今日の在庫を貼る!$B$6:$B$10005,$B5556,①今日の在庫を貼る!$I$6:$I$10005,$I5556)&gt;0,N(U5555),N(U5555)+1))</f>
        <v>2</v>
      </c>
    </row>
    <row r="5557" customFormat="false" ht="15" hidden="false" customHeight="false" outlineLevel="0" collapsed="false">
      <c r="B5557" s="53"/>
      <c r="I5557" s="53"/>
      <c r="U5557" s="31" t="n">
        <f aca="false">IF($B5557&lt;&gt;'設定（最初に1回）'!$C$4,N(U5556),IF(COUNTIFS(①今日の在庫を貼る!$B$6:$B$10005,$B5557,①今日の在庫を貼る!$I$6:$I$10005,$I5557)&gt;0,N(U5556),N(U5556)+1))</f>
        <v>2</v>
      </c>
    </row>
    <row r="5558" customFormat="false" ht="15" hidden="false" customHeight="false" outlineLevel="0" collapsed="false">
      <c r="B5558" s="53"/>
      <c r="I5558" s="53"/>
      <c r="U5558" s="31" t="n">
        <f aca="false">IF($B5558&lt;&gt;'設定（最初に1回）'!$C$4,N(U5557),IF(COUNTIFS(①今日の在庫を貼る!$B$6:$B$10005,$B5558,①今日の在庫を貼る!$I$6:$I$10005,$I5558)&gt;0,N(U5557),N(U5557)+1))</f>
        <v>2</v>
      </c>
    </row>
    <row r="5559" customFormat="false" ht="15" hidden="false" customHeight="false" outlineLevel="0" collapsed="false">
      <c r="B5559" s="53"/>
      <c r="I5559" s="53"/>
      <c r="U5559" s="31" t="n">
        <f aca="false">IF($B5559&lt;&gt;'設定（最初に1回）'!$C$4,N(U5558),IF(COUNTIFS(①今日の在庫を貼る!$B$6:$B$10005,$B5559,①今日の在庫を貼る!$I$6:$I$10005,$I5559)&gt;0,N(U5558),N(U5558)+1))</f>
        <v>2</v>
      </c>
    </row>
    <row r="5560" customFormat="false" ht="15" hidden="false" customHeight="false" outlineLevel="0" collapsed="false">
      <c r="B5560" s="53"/>
      <c r="I5560" s="53"/>
      <c r="U5560" s="31" t="n">
        <f aca="false">IF($B5560&lt;&gt;'設定（最初に1回）'!$C$4,N(U5559),IF(COUNTIFS(①今日の在庫を貼る!$B$6:$B$10005,$B5560,①今日の在庫を貼る!$I$6:$I$10005,$I5560)&gt;0,N(U5559),N(U5559)+1))</f>
        <v>2</v>
      </c>
    </row>
    <row r="5561" customFormat="false" ht="15" hidden="false" customHeight="false" outlineLevel="0" collapsed="false">
      <c r="B5561" s="53"/>
      <c r="I5561" s="53"/>
      <c r="U5561" s="31" t="n">
        <f aca="false">IF($B5561&lt;&gt;'設定（最初に1回）'!$C$4,N(U5560),IF(COUNTIFS(①今日の在庫を貼る!$B$6:$B$10005,$B5561,①今日の在庫を貼る!$I$6:$I$10005,$I5561)&gt;0,N(U5560),N(U5560)+1))</f>
        <v>2</v>
      </c>
    </row>
    <row r="5562" customFormat="false" ht="15" hidden="false" customHeight="false" outlineLevel="0" collapsed="false">
      <c r="B5562" s="53"/>
      <c r="I5562" s="53"/>
      <c r="U5562" s="31" t="n">
        <f aca="false">IF($B5562&lt;&gt;'設定（最初に1回）'!$C$4,N(U5561),IF(COUNTIFS(①今日の在庫を貼る!$B$6:$B$10005,$B5562,①今日の在庫を貼る!$I$6:$I$10005,$I5562)&gt;0,N(U5561),N(U5561)+1))</f>
        <v>2</v>
      </c>
    </row>
    <row r="5563" customFormat="false" ht="15" hidden="false" customHeight="false" outlineLevel="0" collapsed="false">
      <c r="B5563" s="53"/>
      <c r="I5563" s="53"/>
      <c r="U5563" s="31" t="n">
        <f aca="false">IF($B5563&lt;&gt;'設定（最初に1回）'!$C$4,N(U5562),IF(COUNTIFS(①今日の在庫を貼る!$B$6:$B$10005,$B5563,①今日の在庫を貼る!$I$6:$I$10005,$I5563)&gt;0,N(U5562),N(U5562)+1))</f>
        <v>2</v>
      </c>
    </row>
    <row r="5564" customFormat="false" ht="15" hidden="false" customHeight="false" outlineLevel="0" collapsed="false">
      <c r="B5564" s="53"/>
      <c r="I5564" s="53"/>
      <c r="U5564" s="31" t="n">
        <f aca="false">IF($B5564&lt;&gt;'設定（最初に1回）'!$C$4,N(U5563),IF(COUNTIFS(①今日の在庫を貼る!$B$6:$B$10005,$B5564,①今日の在庫を貼る!$I$6:$I$10005,$I5564)&gt;0,N(U5563),N(U5563)+1))</f>
        <v>2</v>
      </c>
    </row>
    <row r="5565" customFormat="false" ht="15" hidden="false" customHeight="false" outlineLevel="0" collapsed="false">
      <c r="B5565" s="53"/>
      <c r="I5565" s="53"/>
      <c r="U5565" s="31" t="n">
        <f aca="false">IF($B5565&lt;&gt;'設定（最初に1回）'!$C$4,N(U5564),IF(COUNTIFS(①今日の在庫を貼る!$B$6:$B$10005,$B5565,①今日の在庫を貼る!$I$6:$I$10005,$I5565)&gt;0,N(U5564),N(U5564)+1))</f>
        <v>2</v>
      </c>
    </row>
    <row r="5566" customFormat="false" ht="15" hidden="false" customHeight="false" outlineLevel="0" collapsed="false">
      <c r="B5566" s="53"/>
      <c r="I5566" s="53"/>
      <c r="U5566" s="31" t="n">
        <f aca="false">IF($B5566&lt;&gt;'設定（最初に1回）'!$C$4,N(U5565),IF(COUNTIFS(①今日の在庫を貼る!$B$6:$B$10005,$B5566,①今日の在庫を貼る!$I$6:$I$10005,$I5566)&gt;0,N(U5565),N(U5565)+1))</f>
        <v>2</v>
      </c>
    </row>
    <row r="5567" customFormat="false" ht="15" hidden="false" customHeight="false" outlineLevel="0" collapsed="false">
      <c r="B5567" s="53"/>
      <c r="I5567" s="53"/>
      <c r="U5567" s="31" t="n">
        <f aca="false">IF($B5567&lt;&gt;'設定（最初に1回）'!$C$4,N(U5566),IF(COUNTIFS(①今日の在庫を貼る!$B$6:$B$10005,$B5567,①今日の在庫を貼る!$I$6:$I$10005,$I5567)&gt;0,N(U5566),N(U5566)+1))</f>
        <v>2</v>
      </c>
    </row>
    <row r="5568" customFormat="false" ht="15" hidden="false" customHeight="false" outlineLevel="0" collapsed="false">
      <c r="B5568" s="53"/>
      <c r="I5568" s="53"/>
      <c r="U5568" s="31" t="n">
        <f aca="false">IF($B5568&lt;&gt;'設定（最初に1回）'!$C$4,N(U5567),IF(COUNTIFS(①今日の在庫を貼る!$B$6:$B$10005,$B5568,①今日の在庫を貼る!$I$6:$I$10005,$I5568)&gt;0,N(U5567),N(U5567)+1))</f>
        <v>2</v>
      </c>
    </row>
    <row r="5569" customFormat="false" ht="15" hidden="false" customHeight="false" outlineLevel="0" collapsed="false">
      <c r="B5569" s="53"/>
      <c r="I5569" s="53"/>
      <c r="U5569" s="31" t="n">
        <f aca="false">IF($B5569&lt;&gt;'設定（最初に1回）'!$C$4,N(U5568),IF(COUNTIFS(①今日の在庫を貼る!$B$6:$B$10005,$B5569,①今日の在庫を貼る!$I$6:$I$10005,$I5569)&gt;0,N(U5568),N(U5568)+1))</f>
        <v>2</v>
      </c>
    </row>
    <row r="5570" customFormat="false" ht="15" hidden="false" customHeight="false" outlineLevel="0" collapsed="false">
      <c r="B5570" s="53"/>
      <c r="I5570" s="53"/>
      <c r="U5570" s="31" t="n">
        <f aca="false">IF($B5570&lt;&gt;'設定（最初に1回）'!$C$4,N(U5569),IF(COUNTIFS(①今日の在庫を貼る!$B$6:$B$10005,$B5570,①今日の在庫を貼る!$I$6:$I$10005,$I5570)&gt;0,N(U5569),N(U5569)+1))</f>
        <v>2</v>
      </c>
    </row>
    <row r="5571" customFormat="false" ht="15" hidden="false" customHeight="false" outlineLevel="0" collapsed="false">
      <c r="B5571" s="53"/>
      <c r="I5571" s="53"/>
      <c r="U5571" s="31" t="n">
        <f aca="false">IF($B5571&lt;&gt;'設定（最初に1回）'!$C$4,N(U5570),IF(COUNTIFS(①今日の在庫を貼る!$B$6:$B$10005,$B5571,①今日の在庫を貼る!$I$6:$I$10005,$I5571)&gt;0,N(U5570),N(U5570)+1))</f>
        <v>2</v>
      </c>
    </row>
    <row r="5572" customFormat="false" ht="15" hidden="false" customHeight="false" outlineLevel="0" collapsed="false">
      <c r="B5572" s="53"/>
      <c r="I5572" s="53"/>
      <c r="U5572" s="31" t="n">
        <f aca="false">IF($B5572&lt;&gt;'設定（最初に1回）'!$C$4,N(U5571),IF(COUNTIFS(①今日の在庫を貼る!$B$6:$B$10005,$B5572,①今日の在庫を貼る!$I$6:$I$10005,$I5572)&gt;0,N(U5571),N(U5571)+1))</f>
        <v>2</v>
      </c>
    </row>
    <row r="5573" customFormat="false" ht="15" hidden="false" customHeight="false" outlineLevel="0" collapsed="false">
      <c r="B5573" s="53"/>
      <c r="I5573" s="53"/>
      <c r="U5573" s="31" t="n">
        <f aca="false">IF($B5573&lt;&gt;'設定（最初に1回）'!$C$4,N(U5572),IF(COUNTIFS(①今日の在庫を貼る!$B$6:$B$10005,$B5573,①今日の在庫を貼る!$I$6:$I$10005,$I5573)&gt;0,N(U5572),N(U5572)+1))</f>
        <v>2</v>
      </c>
    </row>
    <row r="5574" customFormat="false" ht="15" hidden="false" customHeight="false" outlineLevel="0" collapsed="false">
      <c r="B5574" s="53"/>
      <c r="I5574" s="53"/>
      <c r="U5574" s="31" t="n">
        <f aca="false">IF($B5574&lt;&gt;'設定（最初に1回）'!$C$4,N(U5573),IF(COUNTIFS(①今日の在庫を貼る!$B$6:$B$10005,$B5574,①今日の在庫を貼る!$I$6:$I$10005,$I5574)&gt;0,N(U5573),N(U5573)+1))</f>
        <v>2</v>
      </c>
    </row>
    <row r="5575" customFormat="false" ht="15" hidden="false" customHeight="false" outlineLevel="0" collapsed="false">
      <c r="B5575" s="53"/>
      <c r="I5575" s="53"/>
      <c r="U5575" s="31" t="n">
        <f aca="false">IF($B5575&lt;&gt;'設定（最初に1回）'!$C$4,N(U5574),IF(COUNTIFS(①今日の在庫を貼る!$B$6:$B$10005,$B5575,①今日の在庫を貼る!$I$6:$I$10005,$I5575)&gt;0,N(U5574),N(U5574)+1))</f>
        <v>2</v>
      </c>
    </row>
    <row r="5576" customFormat="false" ht="15" hidden="false" customHeight="false" outlineLevel="0" collapsed="false">
      <c r="B5576" s="53"/>
      <c r="I5576" s="53"/>
      <c r="U5576" s="31" t="n">
        <f aca="false">IF($B5576&lt;&gt;'設定（最初に1回）'!$C$4,N(U5575),IF(COUNTIFS(①今日の在庫を貼る!$B$6:$B$10005,$B5576,①今日の在庫を貼る!$I$6:$I$10005,$I5576)&gt;0,N(U5575),N(U5575)+1))</f>
        <v>2</v>
      </c>
    </row>
    <row r="5577" customFormat="false" ht="15" hidden="false" customHeight="false" outlineLevel="0" collapsed="false">
      <c r="B5577" s="53"/>
      <c r="I5577" s="53"/>
      <c r="U5577" s="31" t="n">
        <f aca="false">IF($B5577&lt;&gt;'設定（最初に1回）'!$C$4,N(U5576),IF(COUNTIFS(①今日の在庫を貼る!$B$6:$B$10005,$B5577,①今日の在庫を貼る!$I$6:$I$10005,$I5577)&gt;0,N(U5576),N(U5576)+1))</f>
        <v>2</v>
      </c>
    </row>
    <row r="5578" customFormat="false" ht="15" hidden="false" customHeight="false" outlineLevel="0" collapsed="false">
      <c r="B5578" s="53"/>
      <c r="I5578" s="53"/>
      <c r="U5578" s="31" t="n">
        <f aca="false">IF($B5578&lt;&gt;'設定（最初に1回）'!$C$4,N(U5577),IF(COUNTIFS(①今日の在庫を貼る!$B$6:$B$10005,$B5578,①今日の在庫を貼る!$I$6:$I$10005,$I5578)&gt;0,N(U5577),N(U5577)+1))</f>
        <v>2</v>
      </c>
    </row>
    <row r="5579" customFormat="false" ht="15" hidden="false" customHeight="false" outlineLevel="0" collapsed="false">
      <c r="B5579" s="53"/>
      <c r="I5579" s="53"/>
      <c r="U5579" s="31" t="n">
        <f aca="false">IF($B5579&lt;&gt;'設定（最初に1回）'!$C$4,N(U5578),IF(COUNTIFS(①今日の在庫を貼る!$B$6:$B$10005,$B5579,①今日の在庫を貼る!$I$6:$I$10005,$I5579)&gt;0,N(U5578),N(U5578)+1))</f>
        <v>2</v>
      </c>
    </row>
    <row r="5580" customFormat="false" ht="15" hidden="false" customHeight="false" outlineLevel="0" collapsed="false">
      <c r="B5580" s="53"/>
      <c r="I5580" s="53"/>
      <c r="U5580" s="31" t="n">
        <f aca="false">IF($B5580&lt;&gt;'設定（最初に1回）'!$C$4,N(U5579),IF(COUNTIFS(①今日の在庫を貼る!$B$6:$B$10005,$B5580,①今日の在庫を貼る!$I$6:$I$10005,$I5580)&gt;0,N(U5579),N(U5579)+1))</f>
        <v>2</v>
      </c>
    </row>
    <row r="5581" customFormat="false" ht="15" hidden="false" customHeight="false" outlineLevel="0" collapsed="false">
      <c r="B5581" s="53"/>
      <c r="I5581" s="53"/>
      <c r="U5581" s="31" t="n">
        <f aca="false">IF($B5581&lt;&gt;'設定（最初に1回）'!$C$4,N(U5580),IF(COUNTIFS(①今日の在庫を貼る!$B$6:$B$10005,$B5581,①今日の在庫を貼る!$I$6:$I$10005,$I5581)&gt;0,N(U5580),N(U5580)+1))</f>
        <v>2</v>
      </c>
    </row>
    <row r="5582" customFormat="false" ht="15" hidden="false" customHeight="false" outlineLevel="0" collapsed="false">
      <c r="B5582" s="53"/>
      <c r="I5582" s="53"/>
      <c r="U5582" s="31" t="n">
        <f aca="false">IF($B5582&lt;&gt;'設定（最初に1回）'!$C$4,N(U5581),IF(COUNTIFS(①今日の在庫を貼る!$B$6:$B$10005,$B5582,①今日の在庫を貼る!$I$6:$I$10005,$I5582)&gt;0,N(U5581),N(U5581)+1))</f>
        <v>2</v>
      </c>
    </row>
    <row r="5583" customFormat="false" ht="15" hidden="false" customHeight="false" outlineLevel="0" collapsed="false">
      <c r="B5583" s="53"/>
      <c r="I5583" s="53"/>
      <c r="U5583" s="31" t="n">
        <f aca="false">IF($B5583&lt;&gt;'設定（最初に1回）'!$C$4,N(U5582),IF(COUNTIFS(①今日の在庫を貼る!$B$6:$B$10005,$B5583,①今日の在庫を貼る!$I$6:$I$10005,$I5583)&gt;0,N(U5582),N(U5582)+1))</f>
        <v>2</v>
      </c>
    </row>
    <row r="5584" customFormat="false" ht="15" hidden="false" customHeight="false" outlineLevel="0" collapsed="false">
      <c r="B5584" s="53"/>
      <c r="I5584" s="53"/>
      <c r="U5584" s="31" t="n">
        <f aca="false">IF($B5584&lt;&gt;'設定（最初に1回）'!$C$4,N(U5583),IF(COUNTIFS(①今日の在庫を貼る!$B$6:$B$10005,$B5584,①今日の在庫を貼る!$I$6:$I$10005,$I5584)&gt;0,N(U5583),N(U5583)+1))</f>
        <v>2</v>
      </c>
    </row>
    <row r="5585" customFormat="false" ht="15" hidden="false" customHeight="false" outlineLevel="0" collapsed="false">
      <c r="B5585" s="53"/>
      <c r="I5585" s="53"/>
      <c r="U5585" s="31" t="n">
        <f aca="false">IF($B5585&lt;&gt;'設定（最初に1回）'!$C$4,N(U5584),IF(COUNTIFS(①今日の在庫を貼る!$B$6:$B$10005,$B5585,①今日の在庫を貼る!$I$6:$I$10005,$I5585)&gt;0,N(U5584),N(U5584)+1))</f>
        <v>2</v>
      </c>
    </row>
    <row r="5586" customFormat="false" ht="15" hidden="false" customHeight="false" outlineLevel="0" collapsed="false">
      <c r="B5586" s="53"/>
      <c r="I5586" s="53"/>
      <c r="U5586" s="31" t="n">
        <f aca="false">IF($B5586&lt;&gt;'設定（最初に1回）'!$C$4,N(U5585),IF(COUNTIFS(①今日の在庫を貼る!$B$6:$B$10005,$B5586,①今日の在庫を貼る!$I$6:$I$10005,$I5586)&gt;0,N(U5585),N(U5585)+1))</f>
        <v>2</v>
      </c>
    </row>
    <row r="5587" customFormat="false" ht="15" hidden="false" customHeight="false" outlineLevel="0" collapsed="false">
      <c r="B5587" s="53"/>
      <c r="I5587" s="53"/>
      <c r="U5587" s="31" t="n">
        <f aca="false">IF($B5587&lt;&gt;'設定（最初に1回）'!$C$4,N(U5586),IF(COUNTIFS(①今日の在庫を貼る!$B$6:$B$10005,$B5587,①今日の在庫を貼る!$I$6:$I$10005,$I5587)&gt;0,N(U5586),N(U5586)+1))</f>
        <v>2</v>
      </c>
    </row>
    <row r="5588" customFormat="false" ht="15" hidden="false" customHeight="false" outlineLevel="0" collapsed="false">
      <c r="B5588" s="53"/>
      <c r="I5588" s="53"/>
      <c r="U5588" s="31" t="n">
        <f aca="false">IF($B5588&lt;&gt;'設定（最初に1回）'!$C$4,N(U5587),IF(COUNTIFS(①今日の在庫を貼る!$B$6:$B$10005,$B5588,①今日の在庫を貼る!$I$6:$I$10005,$I5588)&gt;0,N(U5587),N(U5587)+1))</f>
        <v>2</v>
      </c>
    </row>
    <row r="5589" customFormat="false" ht="15" hidden="false" customHeight="false" outlineLevel="0" collapsed="false">
      <c r="B5589" s="53"/>
      <c r="I5589" s="53"/>
      <c r="U5589" s="31" t="n">
        <f aca="false">IF($B5589&lt;&gt;'設定（最初に1回）'!$C$4,N(U5588),IF(COUNTIFS(①今日の在庫を貼る!$B$6:$B$10005,$B5589,①今日の在庫を貼る!$I$6:$I$10005,$I5589)&gt;0,N(U5588),N(U5588)+1))</f>
        <v>2</v>
      </c>
    </row>
    <row r="5590" customFormat="false" ht="15" hidden="false" customHeight="false" outlineLevel="0" collapsed="false">
      <c r="B5590" s="53"/>
      <c r="I5590" s="53"/>
      <c r="U5590" s="31" t="n">
        <f aca="false">IF($B5590&lt;&gt;'設定（最初に1回）'!$C$4,N(U5589),IF(COUNTIFS(①今日の在庫を貼る!$B$6:$B$10005,$B5590,①今日の在庫を貼る!$I$6:$I$10005,$I5590)&gt;0,N(U5589),N(U5589)+1))</f>
        <v>2</v>
      </c>
    </row>
    <row r="5591" customFormat="false" ht="15" hidden="false" customHeight="false" outlineLevel="0" collapsed="false">
      <c r="B5591" s="53"/>
      <c r="I5591" s="53"/>
      <c r="U5591" s="31" t="n">
        <f aca="false">IF($B5591&lt;&gt;'設定（最初に1回）'!$C$4,N(U5590),IF(COUNTIFS(①今日の在庫を貼る!$B$6:$B$10005,$B5591,①今日の在庫を貼る!$I$6:$I$10005,$I5591)&gt;0,N(U5590),N(U5590)+1))</f>
        <v>2</v>
      </c>
    </row>
    <row r="5592" customFormat="false" ht="15" hidden="false" customHeight="false" outlineLevel="0" collapsed="false">
      <c r="B5592" s="53"/>
      <c r="I5592" s="53"/>
      <c r="U5592" s="31" t="n">
        <f aca="false">IF($B5592&lt;&gt;'設定（最初に1回）'!$C$4,N(U5591),IF(COUNTIFS(①今日の在庫を貼る!$B$6:$B$10005,$B5592,①今日の在庫を貼る!$I$6:$I$10005,$I5592)&gt;0,N(U5591),N(U5591)+1))</f>
        <v>2</v>
      </c>
    </row>
    <row r="5593" customFormat="false" ht="15" hidden="false" customHeight="false" outlineLevel="0" collapsed="false">
      <c r="B5593" s="53"/>
      <c r="I5593" s="53"/>
      <c r="U5593" s="31" t="n">
        <f aca="false">IF($B5593&lt;&gt;'設定（最初に1回）'!$C$4,N(U5592),IF(COUNTIFS(①今日の在庫を貼る!$B$6:$B$10005,$B5593,①今日の在庫を貼る!$I$6:$I$10005,$I5593)&gt;0,N(U5592),N(U5592)+1))</f>
        <v>2</v>
      </c>
    </row>
    <row r="5594" customFormat="false" ht="15" hidden="false" customHeight="false" outlineLevel="0" collapsed="false">
      <c r="B5594" s="53"/>
      <c r="I5594" s="53"/>
      <c r="U5594" s="31" t="n">
        <f aca="false">IF($B5594&lt;&gt;'設定（最初に1回）'!$C$4,N(U5593),IF(COUNTIFS(①今日の在庫を貼る!$B$6:$B$10005,$B5594,①今日の在庫を貼る!$I$6:$I$10005,$I5594)&gt;0,N(U5593),N(U5593)+1))</f>
        <v>2</v>
      </c>
    </row>
    <row r="5595" customFormat="false" ht="15" hidden="false" customHeight="false" outlineLevel="0" collapsed="false">
      <c r="B5595" s="53"/>
      <c r="I5595" s="53"/>
      <c r="U5595" s="31" t="n">
        <f aca="false">IF($B5595&lt;&gt;'設定（最初に1回）'!$C$4,N(U5594),IF(COUNTIFS(①今日の在庫を貼る!$B$6:$B$10005,$B5595,①今日の在庫を貼る!$I$6:$I$10005,$I5595)&gt;0,N(U5594),N(U5594)+1))</f>
        <v>2</v>
      </c>
    </row>
    <row r="5596" customFormat="false" ht="15" hidden="false" customHeight="false" outlineLevel="0" collapsed="false">
      <c r="B5596" s="53"/>
      <c r="I5596" s="53"/>
      <c r="U5596" s="31" t="n">
        <f aca="false">IF($B5596&lt;&gt;'設定（最初に1回）'!$C$4,N(U5595),IF(COUNTIFS(①今日の在庫を貼る!$B$6:$B$10005,$B5596,①今日の在庫を貼る!$I$6:$I$10005,$I5596)&gt;0,N(U5595),N(U5595)+1))</f>
        <v>2</v>
      </c>
    </row>
    <row r="5597" customFormat="false" ht="15" hidden="false" customHeight="false" outlineLevel="0" collapsed="false">
      <c r="B5597" s="53"/>
      <c r="I5597" s="53"/>
      <c r="U5597" s="31" t="n">
        <f aca="false">IF($B5597&lt;&gt;'設定（最初に1回）'!$C$4,N(U5596),IF(COUNTIFS(①今日の在庫を貼る!$B$6:$B$10005,$B5597,①今日の在庫を貼る!$I$6:$I$10005,$I5597)&gt;0,N(U5596),N(U5596)+1))</f>
        <v>2</v>
      </c>
    </row>
    <row r="5598" customFormat="false" ht="15" hidden="false" customHeight="false" outlineLevel="0" collapsed="false">
      <c r="B5598" s="53"/>
      <c r="I5598" s="53"/>
      <c r="U5598" s="31" t="n">
        <f aca="false">IF($B5598&lt;&gt;'設定（最初に1回）'!$C$4,N(U5597),IF(COUNTIFS(①今日の在庫を貼る!$B$6:$B$10005,$B5598,①今日の在庫を貼る!$I$6:$I$10005,$I5598)&gt;0,N(U5597),N(U5597)+1))</f>
        <v>2</v>
      </c>
    </row>
    <row r="5599" customFormat="false" ht="15" hidden="false" customHeight="false" outlineLevel="0" collapsed="false">
      <c r="B5599" s="53"/>
      <c r="I5599" s="53"/>
      <c r="U5599" s="31" t="n">
        <f aca="false">IF($B5599&lt;&gt;'設定（最初に1回）'!$C$4,N(U5598),IF(COUNTIFS(①今日の在庫を貼る!$B$6:$B$10005,$B5599,①今日の在庫を貼る!$I$6:$I$10005,$I5599)&gt;0,N(U5598),N(U5598)+1))</f>
        <v>2</v>
      </c>
    </row>
    <row r="5600" customFormat="false" ht="15" hidden="false" customHeight="false" outlineLevel="0" collapsed="false">
      <c r="B5600" s="53"/>
      <c r="I5600" s="53"/>
      <c r="U5600" s="31" t="n">
        <f aca="false">IF($B5600&lt;&gt;'設定（最初に1回）'!$C$4,N(U5599),IF(COUNTIFS(①今日の在庫を貼る!$B$6:$B$10005,$B5600,①今日の在庫を貼る!$I$6:$I$10005,$I5600)&gt;0,N(U5599),N(U5599)+1))</f>
        <v>2</v>
      </c>
    </row>
    <row r="5601" customFormat="false" ht="15" hidden="false" customHeight="false" outlineLevel="0" collapsed="false">
      <c r="B5601" s="53"/>
      <c r="I5601" s="53"/>
      <c r="U5601" s="31" t="n">
        <f aca="false">IF($B5601&lt;&gt;'設定（最初に1回）'!$C$4,N(U5600),IF(COUNTIFS(①今日の在庫を貼る!$B$6:$B$10005,$B5601,①今日の在庫を貼る!$I$6:$I$10005,$I5601)&gt;0,N(U5600),N(U5600)+1))</f>
        <v>2</v>
      </c>
    </row>
    <row r="5602" customFormat="false" ht="15" hidden="false" customHeight="false" outlineLevel="0" collapsed="false">
      <c r="B5602" s="53"/>
      <c r="I5602" s="53"/>
      <c r="U5602" s="31" t="n">
        <f aca="false">IF($B5602&lt;&gt;'設定（最初に1回）'!$C$4,N(U5601),IF(COUNTIFS(①今日の在庫を貼る!$B$6:$B$10005,$B5602,①今日の在庫を貼る!$I$6:$I$10005,$I5602)&gt;0,N(U5601),N(U5601)+1))</f>
        <v>2</v>
      </c>
    </row>
    <row r="5603" customFormat="false" ht="15" hidden="false" customHeight="false" outlineLevel="0" collapsed="false">
      <c r="B5603" s="53"/>
      <c r="I5603" s="53"/>
      <c r="U5603" s="31" t="n">
        <f aca="false">IF($B5603&lt;&gt;'設定（最初に1回）'!$C$4,N(U5602),IF(COUNTIFS(①今日の在庫を貼る!$B$6:$B$10005,$B5603,①今日の在庫を貼る!$I$6:$I$10005,$I5603)&gt;0,N(U5602),N(U5602)+1))</f>
        <v>2</v>
      </c>
    </row>
    <row r="5604" customFormat="false" ht="15" hidden="false" customHeight="false" outlineLevel="0" collapsed="false">
      <c r="B5604" s="53"/>
      <c r="I5604" s="53"/>
      <c r="U5604" s="31" t="n">
        <f aca="false">IF($B5604&lt;&gt;'設定（最初に1回）'!$C$4,N(U5603),IF(COUNTIFS(①今日の在庫を貼る!$B$6:$B$10005,$B5604,①今日の在庫を貼る!$I$6:$I$10005,$I5604)&gt;0,N(U5603),N(U5603)+1))</f>
        <v>2</v>
      </c>
    </row>
    <row r="5605" customFormat="false" ht="15" hidden="false" customHeight="false" outlineLevel="0" collapsed="false">
      <c r="B5605" s="53"/>
      <c r="I5605" s="53"/>
      <c r="U5605" s="31" t="n">
        <f aca="false">IF($B5605&lt;&gt;'設定（最初に1回）'!$C$4,N(U5604),IF(COUNTIFS(①今日の在庫を貼る!$B$6:$B$10005,$B5605,①今日の在庫を貼る!$I$6:$I$10005,$I5605)&gt;0,N(U5604),N(U5604)+1))</f>
        <v>2</v>
      </c>
    </row>
    <row r="5606" customFormat="false" ht="15" hidden="false" customHeight="false" outlineLevel="0" collapsed="false">
      <c r="B5606" s="53"/>
      <c r="I5606" s="53"/>
      <c r="U5606" s="31" t="n">
        <f aca="false">IF($B5606&lt;&gt;'設定（最初に1回）'!$C$4,N(U5605),IF(COUNTIFS(①今日の在庫を貼る!$B$6:$B$10005,$B5606,①今日の在庫を貼る!$I$6:$I$10005,$I5606)&gt;0,N(U5605),N(U5605)+1))</f>
        <v>2</v>
      </c>
    </row>
    <row r="5607" customFormat="false" ht="15" hidden="false" customHeight="false" outlineLevel="0" collapsed="false">
      <c r="B5607" s="53"/>
      <c r="I5607" s="53"/>
      <c r="U5607" s="31" t="n">
        <f aca="false">IF($B5607&lt;&gt;'設定（最初に1回）'!$C$4,N(U5606),IF(COUNTIFS(①今日の在庫を貼る!$B$6:$B$10005,$B5607,①今日の在庫を貼る!$I$6:$I$10005,$I5607)&gt;0,N(U5606),N(U5606)+1))</f>
        <v>2</v>
      </c>
    </row>
    <row r="5608" customFormat="false" ht="15" hidden="false" customHeight="false" outlineLevel="0" collapsed="false">
      <c r="B5608" s="53"/>
      <c r="I5608" s="53"/>
      <c r="U5608" s="31" t="n">
        <f aca="false">IF($B5608&lt;&gt;'設定（最初に1回）'!$C$4,N(U5607),IF(COUNTIFS(①今日の在庫を貼る!$B$6:$B$10005,$B5608,①今日の在庫を貼る!$I$6:$I$10005,$I5608)&gt;0,N(U5607),N(U5607)+1))</f>
        <v>2</v>
      </c>
    </row>
    <row r="5609" customFormat="false" ht="15" hidden="false" customHeight="false" outlineLevel="0" collapsed="false">
      <c r="B5609" s="53"/>
      <c r="I5609" s="53"/>
      <c r="U5609" s="31" t="n">
        <f aca="false">IF($B5609&lt;&gt;'設定（最初に1回）'!$C$4,N(U5608),IF(COUNTIFS(①今日の在庫を貼る!$B$6:$B$10005,$B5609,①今日の在庫を貼る!$I$6:$I$10005,$I5609)&gt;0,N(U5608),N(U5608)+1))</f>
        <v>2</v>
      </c>
    </row>
    <row r="5610" customFormat="false" ht="15" hidden="false" customHeight="false" outlineLevel="0" collapsed="false">
      <c r="B5610" s="53"/>
      <c r="I5610" s="53"/>
      <c r="U5610" s="31" t="n">
        <f aca="false">IF($B5610&lt;&gt;'設定（最初に1回）'!$C$4,N(U5609),IF(COUNTIFS(①今日の在庫を貼る!$B$6:$B$10005,$B5610,①今日の在庫を貼る!$I$6:$I$10005,$I5610)&gt;0,N(U5609),N(U5609)+1))</f>
        <v>2</v>
      </c>
    </row>
    <row r="5611" customFormat="false" ht="15" hidden="false" customHeight="false" outlineLevel="0" collapsed="false">
      <c r="B5611" s="53"/>
      <c r="I5611" s="53"/>
      <c r="U5611" s="31" t="n">
        <f aca="false">IF($B5611&lt;&gt;'設定（最初に1回）'!$C$4,N(U5610),IF(COUNTIFS(①今日の在庫を貼る!$B$6:$B$10005,$B5611,①今日の在庫を貼る!$I$6:$I$10005,$I5611)&gt;0,N(U5610),N(U5610)+1))</f>
        <v>2</v>
      </c>
    </row>
    <row r="5612" customFormat="false" ht="15" hidden="false" customHeight="false" outlineLevel="0" collapsed="false">
      <c r="B5612" s="53"/>
      <c r="I5612" s="53"/>
      <c r="U5612" s="31" t="n">
        <f aca="false">IF($B5612&lt;&gt;'設定（最初に1回）'!$C$4,N(U5611),IF(COUNTIFS(①今日の在庫を貼る!$B$6:$B$10005,$B5612,①今日の在庫を貼る!$I$6:$I$10005,$I5612)&gt;0,N(U5611),N(U5611)+1))</f>
        <v>2</v>
      </c>
    </row>
    <row r="5613" customFormat="false" ht="15" hidden="false" customHeight="false" outlineLevel="0" collapsed="false">
      <c r="B5613" s="53"/>
      <c r="I5613" s="53"/>
      <c r="U5613" s="31" t="n">
        <f aca="false">IF($B5613&lt;&gt;'設定（最初に1回）'!$C$4,N(U5612),IF(COUNTIFS(①今日の在庫を貼る!$B$6:$B$10005,$B5613,①今日の在庫を貼る!$I$6:$I$10005,$I5613)&gt;0,N(U5612),N(U5612)+1))</f>
        <v>2</v>
      </c>
    </row>
    <row r="5614" customFormat="false" ht="15" hidden="false" customHeight="false" outlineLevel="0" collapsed="false">
      <c r="B5614" s="53"/>
      <c r="I5614" s="53"/>
      <c r="U5614" s="31" t="n">
        <f aca="false">IF($B5614&lt;&gt;'設定（最初に1回）'!$C$4,N(U5613),IF(COUNTIFS(①今日の在庫を貼る!$B$6:$B$10005,$B5614,①今日の在庫を貼る!$I$6:$I$10005,$I5614)&gt;0,N(U5613),N(U5613)+1))</f>
        <v>2</v>
      </c>
    </row>
    <row r="5615" customFormat="false" ht="15" hidden="false" customHeight="false" outlineLevel="0" collapsed="false">
      <c r="B5615" s="53"/>
      <c r="I5615" s="53"/>
      <c r="U5615" s="31" t="n">
        <f aca="false">IF($B5615&lt;&gt;'設定（最初に1回）'!$C$4,N(U5614),IF(COUNTIFS(①今日の在庫を貼る!$B$6:$B$10005,$B5615,①今日の在庫を貼る!$I$6:$I$10005,$I5615)&gt;0,N(U5614),N(U5614)+1))</f>
        <v>2</v>
      </c>
    </row>
    <row r="5616" customFormat="false" ht="15" hidden="false" customHeight="false" outlineLevel="0" collapsed="false">
      <c r="B5616" s="53"/>
      <c r="I5616" s="53"/>
      <c r="U5616" s="31" t="n">
        <f aca="false">IF($B5616&lt;&gt;'設定（最初に1回）'!$C$4,N(U5615),IF(COUNTIFS(①今日の在庫を貼る!$B$6:$B$10005,$B5616,①今日の在庫を貼る!$I$6:$I$10005,$I5616)&gt;0,N(U5615),N(U5615)+1))</f>
        <v>2</v>
      </c>
    </row>
    <row r="5617" customFormat="false" ht="15" hidden="false" customHeight="false" outlineLevel="0" collapsed="false">
      <c r="B5617" s="53"/>
      <c r="I5617" s="53"/>
      <c r="U5617" s="31" t="n">
        <f aca="false">IF($B5617&lt;&gt;'設定（最初に1回）'!$C$4,N(U5616),IF(COUNTIFS(①今日の在庫を貼る!$B$6:$B$10005,$B5617,①今日の在庫を貼る!$I$6:$I$10005,$I5617)&gt;0,N(U5616),N(U5616)+1))</f>
        <v>2</v>
      </c>
    </row>
    <row r="5618" customFormat="false" ht="15" hidden="false" customHeight="false" outlineLevel="0" collapsed="false">
      <c r="B5618" s="53"/>
      <c r="I5618" s="53"/>
      <c r="U5618" s="31" t="n">
        <f aca="false">IF($B5618&lt;&gt;'設定（最初に1回）'!$C$4,N(U5617),IF(COUNTIFS(①今日の在庫を貼る!$B$6:$B$10005,$B5618,①今日の在庫を貼る!$I$6:$I$10005,$I5618)&gt;0,N(U5617),N(U5617)+1))</f>
        <v>2</v>
      </c>
    </row>
    <row r="5619" customFormat="false" ht="15" hidden="false" customHeight="false" outlineLevel="0" collapsed="false">
      <c r="B5619" s="53"/>
      <c r="I5619" s="53"/>
      <c r="U5619" s="31" t="n">
        <f aca="false">IF($B5619&lt;&gt;'設定（最初に1回）'!$C$4,N(U5618),IF(COUNTIFS(①今日の在庫を貼る!$B$6:$B$10005,$B5619,①今日の在庫を貼る!$I$6:$I$10005,$I5619)&gt;0,N(U5618),N(U5618)+1))</f>
        <v>2</v>
      </c>
    </row>
    <row r="5620" customFormat="false" ht="15" hidden="false" customHeight="false" outlineLevel="0" collapsed="false">
      <c r="B5620" s="53"/>
      <c r="I5620" s="53"/>
      <c r="U5620" s="31" t="n">
        <f aca="false">IF($B5620&lt;&gt;'設定（最初に1回）'!$C$4,N(U5619),IF(COUNTIFS(①今日の在庫を貼る!$B$6:$B$10005,$B5620,①今日の在庫を貼る!$I$6:$I$10005,$I5620)&gt;0,N(U5619),N(U5619)+1))</f>
        <v>2</v>
      </c>
    </row>
    <row r="5621" customFormat="false" ht="15" hidden="false" customHeight="false" outlineLevel="0" collapsed="false">
      <c r="B5621" s="53"/>
      <c r="I5621" s="53"/>
      <c r="U5621" s="31" t="n">
        <f aca="false">IF($B5621&lt;&gt;'設定（最初に1回）'!$C$4,N(U5620),IF(COUNTIFS(①今日の在庫を貼る!$B$6:$B$10005,$B5621,①今日の在庫を貼る!$I$6:$I$10005,$I5621)&gt;0,N(U5620),N(U5620)+1))</f>
        <v>2</v>
      </c>
    </row>
    <row r="5622" customFormat="false" ht="15" hidden="false" customHeight="false" outlineLevel="0" collapsed="false">
      <c r="B5622" s="53"/>
      <c r="I5622" s="53"/>
      <c r="U5622" s="31" t="n">
        <f aca="false">IF($B5622&lt;&gt;'設定（最初に1回）'!$C$4,N(U5621),IF(COUNTIFS(①今日の在庫を貼る!$B$6:$B$10005,$B5622,①今日の在庫を貼る!$I$6:$I$10005,$I5622)&gt;0,N(U5621),N(U5621)+1))</f>
        <v>2</v>
      </c>
    </row>
    <row r="5623" customFormat="false" ht="15" hidden="false" customHeight="false" outlineLevel="0" collapsed="false">
      <c r="B5623" s="53"/>
      <c r="I5623" s="53"/>
      <c r="U5623" s="31" t="n">
        <f aca="false">IF($B5623&lt;&gt;'設定（最初に1回）'!$C$4,N(U5622),IF(COUNTIFS(①今日の在庫を貼る!$B$6:$B$10005,$B5623,①今日の在庫を貼る!$I$6:$I$10005,$I5623)&gt;0,N(U5622),N(U5622)+1))</f>
        <v>2</v>
      </c>
    </row>
    <row r="5624" customFormat="false" ht="15" hidden="false" customHeight="false" outlineLevel="0" collapsed="false">
      <c r="B5624" s="53"/>
      <c r="I5624" s="53"/>
      <c r="U5624" s="31" t="n">
        <f aca="false">IF($B5624&lt;&gt;'設定（最初に1回）'!$C$4,N(U5623),IF(COUNTIFS(①今日の在庫を貼る!$B$6:$B$10005,$B5624,①今日の在庫を貼る!$I$6:$I$10005,$I5624)&gt;0,N(U5623),N(U5623)+1))</f>
        <v>2</v>
      </c>
    </row>
    <row r="5625" customFormat="false" ht="15" hidden="false" customHeight="false" outlineLevel="0" collapsed="false">
      <c r="B5625" s="53"/>
      <c r="I5625" s="53"/>
      <c r="U5625" s="31" t="n">
        <f aca="false">IF($B5625&lt;&gt;'設定（最初に1回）'!$C$4,N(U5624),IF(COUNTIFS(①今日の在庫を貼る!$B$6:$B$10005,$B5625,①今日の在庫を貼る!$I$6:$I$10005,$I5625)&gt;0,N(U5624),N(U5624)+1))</f>
        <v>2</v>
      </c>
    </row>
    <row r="5626" customFormat="false" ht="15" hidden="false" customHeight="false" outlineLevel="0" collapsed="false">
      <c r="B5626" s="53"/>
      <c r="I5626" s="53"/>
      <c r="U5626" s="31" t="n">
        <f aca="false">IF($B5626&lt;&gt;'設定（最初に1回）'!$C$4,N(U5625),IF(COUNTIFS(①今日の在庫を貼る!$B$6:$B$10005,$B5626,①今日の在庫を貼る!$I$6:$I$10005,$I5626)&gt;0,N(U5625),N(U5625)+1))</f>
        <v>2</v>
      </c>
    </row>
    <row r="5627" customFormat="false" ht="15" hidden="false" customHeight="false" outlineLevel="0" collapsed="false">
      <c r="B5627" s="53"/>
      <c r="I5627" s="53"/>
      <c r="U5627" s="31" t="n">
        <f aca="false">IF($B5627&lt;&gt;'設定（最初に1回）'!$C$4,N(U5626),IF(COUNTIFS(①今日の在庫を貼る!$B$6:$B$10005,$B5627,①今日の在庫を貼る!$I$6:$I$10005,$I5627)&gt;0,N(U5626),N(U5626)+1))</f>
        <v>2</v>
      </c>
    </row>
    <row r="5628" customFormat="false" ht="15" hidden="false" customHeight="false" outlineLevel="0" collapsed="false">
      <c r="B5628" s="53"/>
      <c r="I5628" s="53"/>
      <c r="U5628" s="31" t="n">
        <f aca="false">IF($B5628&lt;&gt;'設定（最初に1回）'!$C$4,N(U5627),IF(COUNTIFS(①今日の在庫を貼る!$B$6:$B$10005,$B5628,①今日の在庫を貼る!$I$6:$I$10005,$I5628)&gt;0,N(U5627),N(U5627)+1))</f>
        <v>2</v>
      </c>
    </row>
    <row r="5629" customFormat="false" ht="15" hidden="false" customHeight="false" outlineLevel="0" collapsed="false">
      <c r="B5629" s="53"/>
      <c r="I5629" s="53"/>
      <c r="U5629" s="31" t="n">
        <f aca="false">IF($B5629&lt;&gt;'設定（最初に1回）'!$C$4,N(U5628),IF(COUNTIFS(①今日の在庫を貼る!$B$6:$B$10005,$B5629,①今日の在庫を貼る!$I$6:$I$10005,$I5629)&gt;0,N(U5628),N(U5628)+1))</f>
        <v>2</v>
      </c>
    </row>
    <row r="5630" customFormat="false" ht="15" hidden="false" customHeight="false" outlineLevel="0" collapsed="false">
      <c r="B5630" s="53"/>
      <c r="I5630" s="53"/>
      <c r="U5630" s="31" t="n">
        <f aca="false">IF($B5630&lt;&gt;'設定（最初に1回）'!$C$4,N(U5629),IF(COUNTIFS(①今日の在庫を貼る!$B$6:$B$10005,$B5630,①今日の在庫を貼る!$I$6:$I$10005,$I5630)&gt;0,N(U5629),N(U5629)+1))</f>
        <v>2</v>
      </c>
    </row>
    <row r="5631" customFormat="false" ht="15" hidden="false" customHeight="false" outlineLevel="0" collapsed="false">
      <c r="B5631" s="53"/>
      <c r="I5631" s="53"/>
      <c r="U5631" s="31" t="n">
        <f aca="false">IF($B5631&lt;&gt;'設定（最初に1回）'!$C$4,N(U5630),IF(COUNTIFS(①今日の在庫を貼る!$B$6:$B$10005,$B5631,①今日の在庫を貼る!$I$6:$I$10005,$I5631)&gt;0,N(U5630),N(U5630)+1))</f>
        <v>2</v>
      </c>
    </row>
    <row r="5632" customFormat="false" ht="15" hidden="false" customHeight="false" outlineLevel="0" collapsed="false">
      <c r="B5632" s="53"/>
      <c r="I5632" s="53"/>
      <c r="U5632" s="31" t="n">
        <f aca="false">IF($B5632&lt;&gt;'設定（最初に1回）'!$C$4,N(U5631),IF(COUNTIFS(①今日の在庫を貼る!$B$6:$B$10005,$B5632,①今日の在庫を貼る!$I$6:$I$10005,$I5632)&gt;0,N(U5631),N(U5631)+1))</f>
        <v>2</v>
      </c>
    </row>
    <row r="5633" customFormat="false" ht="15" hidden="false" customHeight="false" outlineLevel="0" collapsed="false">
      <c r="B5633" s="53"/>
      <c r="I5633" s="53"/>
      <c r="U5633" s="31" t="n">
        <f aca="false">IF($B5633&lt;&gt;'設定（最初に1回）'!$C$4,N(U5632),IF(COUNTIFS(①今日の在庫を貼る!$B$6:$B$10005,$B5633,①今日の在庫を貼る!$I$6:$I$10005,$I5633)&gt;0,N(U5632),N(U5632)+1))</f>
        <v>2</v>
      </c>
    </row>
    <row r="5634" customFormat="false" ht="15" hidden="false" customHeight="false" outlineLevel="0" collapsed="false">
      <c r="B5634" s="53"/>
      <c r="I5634" s="53"/>
      <c r="U5634" s="31" t="n">
        <f aca="false">IF($B5634&lt;&gt;'設定（最初に1回）'!$C$4,N(U5633),IF(COUNTIFS(①今日の在庫を貼る!$B$6:$B$10005,$B5634,①今日の在庫を貼る!$I$6:$I$10005,$I5634)&gt;0,N(U5633),N(U5633)+1))</f>
        <v>2</v>
      </c>
    </row>
    <row r="5635" customFormat="false" ht="15" hidden="false" customHeight="false" outlineLevel="0" collapsed="false">
      <c r="B5635" s="53"/>
      <c r="I5635" s="53"/>
      <c r="U5635" s="31" t="n">
        <f aca="false">IF($B5635&lt;&gt;'設定（最初に1回）'!$C$4,N(U5634),IF(COUNTIFS(①今日の在庫を貼る!$B$6:$B$10005,$B5635,①今日の在庫を貼る!$I$6:$I$10005,$I5635)&gt;0,N(U5634),N(U5634)+1))</f>
        <v>2</v>
      </c>
    </row>
    <row r="5636" customFormat="false" ht="15" hidden="false" customHeight="false" outlineLevel="0" collapsed="false">
      <c r="B5636" s="53"/>
      <c r="I5636" s="53"/>
      <c r="U5636" s="31" t="n">
        <f aca="false">IF($B5636&lt;&gt;'設定（最初に1回）'!$C$4,N(U5635),IF(COUNTIFS(①今日の在庫を貼る!$B$6:$B$10005,$B5636,①今日の在庫を貼る!$I$6:$I$10005,$I5636)&gt;0,N(U5635),N(U5635)+1))</f>
        <v>2</v>
      </c>
    </row>
    <row r="5637" customFormat="false" ht="15" hidden="false" customHeight="false" outlineLevel="0" collapsed="false">
      <c r="B5637" s="53"/>
      <c r="I5637" s="53"/>
      <c r="U5637" s="31" t="n">
        <f aca="false">IF($B5637&lt;&gt;'設定（最初に1回）'!$C$4,N(U5636),IF(COUNTIFS(①今日の在庫を貼る!$B$6:$B$10005,$B5637,①今日の在庫を貼る!$I$6:$I$10005,$I5637)&gt;0,N(U5636),N(U5636)+1))</f>
        <v>2</v>
      </c>
    </row>
    <row r="5638" customFormat="false" ht="15" hidden="false" customHeight="false" outlineLevel="0" collapsed="false">
      <c r="B5638" s="53"/>
      <c r="I5638" s="53"/>
      <c r="U5638" s="31" t="n">
        <f aca="false">IF($B5638&lt;&gt;'設定（最初に1回）'!$C$4,N(U5637),IF(COUNTIFS(①今日の在庫を貼る!$B$6:$B$10005,$B5638,①今日の在庫を貼る!$I$6:$I$10005,$I5638)&gt;0,N(U5637),N(U5637)+1))</f>
        <v>2</v>
      </c>
    </row>
    <row r="5639" customFormat="false" ht="15" hidden="false" customHeight="false" outlineLevel="0" collapsed="false">
      <c r="B5639" s="53"/>
      <c r="I5639" s="53"/>
      <c r="U5639" s="31" t="n">
        <f aca="false">IF($B5639&lt;&gt;'設定（最初に1回）'!$C$4,N(U5638),IF(COUNTIFS(①今日の在庫を貼る!$B$6:$B$10005,$B5639,①今日の在庫を貼る!$I$6:$I$10005,$I5639)&gt;0,N(U5638),N(U5638)+1))</f>
        <v>2</v>
      </c>
    </row>
    <row r="5640" customFormat="false" ht="15" hidden="false" customHeight="false" outlineLevel="0" collapsed="false">
      <c r="B5640" s="53"/>
      <c r="I5640" s="53"/>
      <c r="U5640" s="31" t="n">
        <f aca="false">IF($B5640&lt;&gt;'設定（最初に1回）'!$C$4,N(U5639),IF(COUNTIFS(①今日の在庫を貼る!$B$6:$B$10005,$B5640,①今日の在庫を貼る!$I$6:$I$10005,$I5640)&gt;0,N(U5639),N(U5639)+1))</f>
        <v>2</v>
      </c>
    </row>
    <row r="5641" customFormat="false" ht="15" hidden="false" customHeight="false" outlineLevel="0" collapsed="false">
      <c r="B5641" s="53"/>
      <c r="I5641" s="53"/>
      <c r="U5641" s="31" t="n">
        <f aca="false">IF($B5641&lt;&gt;'設定（最初に1回）'!$C$4,N(U5640),IF(COUNTIFS(①今日の在庫を貼る!$B$6:$B$10005,$B5641,①今日の在庫を貼る!$I$6:$I$10005,$I5641)&gt;0,N(U5640),N(U5640)+1))</f>
        <v>2</v>
      </c>
    </row>
    <row r="5642" customFormat="false" ht="15" hidden="false" customHeight="false" outlineLevel="0" collapsed="false">
      <c r="B5642" s="53"/>
      <c r="I5642" s="53"/>
      <c r="U5642" s="31" t="n">
        <f aca="false">IF($B5642&lt;&gt;'設定（最初に1回）'!$C$4,N(U5641),IF(COUNTIFS(①今日の在庫を貼る!$B$6:$B$10005,$B5642,①今日の在庫を貼る!$I$6:$I$10005,$I5642)&gt;0,N(U5641),N(U5641)+1))</f>
        <v>2</v>
      </c>
    </row>
    <row r="5643" customFormat="false" ht="15" hidden="false" customHeight="false" outlineLevel="0" collapsed="false">
      <c r="B5643" s="53"/>
      <c r="I5643" s="53"/>
      <c r="U5643" s="31" t="n">
        <f aca="false">IF($B5643&lt;&gt;'設定（最初に1回）'!$C$4,N(U5642),IF(COUNTIFS(①今日の在庫を貼る!$B$6:$B$10005,$B5643,①今日の在庫を貼る!$I$6:$I$10005,$I5643)&gt;0,N(U5642),N(U5642)+1))</f>
        <v>2</v>
      </c>
    </row>
    <row r="5644" customFormat="false" ht="15" hidden="false" customHeight="false" outlineLevel="0" collapsed="false">
      <c r="B5644" s="53"/>
      <c r="I5644" s="53"/>
      <c r="U5644" s="31" t="n">
        <f aca="false">IF($B5644&lt;&gt;'設定（最初に1回）'!$C$4,N(U5643),IF(COUNTIFS(①今日の在庫を貼る!$B$6:$B$10005,$B5644,①今日の在庫を貼る!$I$6:$I$10005,$I5644)&gt;0,N(U5643),N(U5643)+1))</f>
        <v>2</v>
      </c>
    </row>
    <row r="5645" customFormat="false" ht="15" hidden="false" customHeight="false" outlineLevel="0" collapsed="false">
      <c r="B5645" s="53"/>
      <c r="I5645" s="53"/>
      <c r="U5645" s="31" t="n">
        <f aca="false">IF($B5645&lt;&gt;'設定（最初に1回）'!$C$4,N(U5644),IF(COUNTIFS(①今日の在庫を貼る!$B$6:$B$10005,$B5645,①今日の在庫を貼る!$I$6:$I$10005,$I5645)&gt;0,N(U5644),N(U5644)+1))</f>
        <v>2</v>
      </c>
    </row>
    <row r="5646" customFormat="false" ht="15" hidden="false" customHeight="false" outlineLevel="0" collapsed="false">
      <c r="B5646" s="53"/>
      <c r="I5646" s="53"/>
      <c r="U5646" s="31" t="n">
        <f aca="false">IF($B5646&lt;&gt;'設定（最初に1回）'!$C$4,N(U5645),IF(COUNTIFS(①今日の在庫を貼る!$B$6:$B$10005,$B5646,①今日の在庫を貼る!$I$6:$I$10005,$I5646)&gt;0,N(U5645),N(U5645)+1))</f>
        <v>2</v>
      </c>
    </row>
    <row r="5647" customFormat="false" ht="15" hidden="false" customHeight="false" outlineLevel="0" collapsed="false">
      <c r="B5647" s="53"/>
      <c r="I5647" s="53"/>
      <c r="U5647" s="31" t="n">
        <f aca="false">IF($B5647&lt;&gt;'設定（最初に1回）'!$C$4,N(U5646),IF(COUNTIFS(①今日の在庫を貼る!$B$6:$B$10005,$B5647,①今日の在庫を貼る!$I$6:$I$10005,$I5647)&gt;0,N(U5646),N(U5646)+1))</f>
        <v>2</v>
      </c>
    </row>
    <row r="5648" customFormat="false" ht="15" hidden="false" customHeight="false" outlineLevel="0" collapsed="false">
      <c r="B5648" s="53"/>
      <c r="I5648" s="53"/>
      <c r="U5648" s="31" t="n">
        <f aca="false">IF($B5648&lt;&gt;'設定（最初に1回）'!$C$4,N(U5647),IF(COUNTIFS(①今日の在庫を貼る!$B$6:$B$10005,$B5648,①今日の在庫を貼る!$I$6:$I$10005,$I5648)&gt;0,N(U5647),N(U5647)+1))</f>
        <v>2</v>
      </c>
    </row>
    <row r="5649" customFormat="false" ht="15" hidden="false" customHeight="false" outlineLevel="0" collapsed="false">
      <c r="B5649" s="53"/>
      <c r="I5649" s="53"/>
      <c r="U5649" s="31" t="n">
        <f aca="false">IF($B5649&lt;&gt;'設定（最初に1回）'!$C$4,N(U5648),IF(COUNTIFS(①今日の在庫を貼る!$B$6:$B$10005,$B5649,①今日の在庫を貼る!$I$6:$I$10005,$I5649)&gt;0,N(U5648),N(U5648)+1))</f>
        <v>2</v>
      </c>
    </row>
    <row r="5650" customFormat="false" ht="15" hidden="false" customHeight="false" outlineLevel="0" collapsed="false">
      <c r="B5650" s="53"/>
      <c r="I5650" s="53"/>
      <c r="U5650" s="31" t="n">
        <f aca="false">IF($B5650&lt;&gt;'設定（最初に1回）'!$C$4,N(U5649),IF(COUNTIFS(①今日の在庫を貼る!$B$6:$B$10005,$B5650,①今日の在庫を貼る!$I$6:$I$10005,$I5650)&gt;0,N(U5649),N(U5649)+1))</f>
        <v>2</v>
      </c>
    </row>
    <row r="5651" customFormat="false" ht="15" hidden="false" customHeight="false" outlineLevel="0" collapsed="false">
      <c r="B5651" s="53"/>
      <c r="I5651" s="53"/>
      <c r="U5651" s="31" t="n">
        <f aca="false">IF($B5651&lt;&gt;'設定（最初に1回）'!$C$4,N(U5650),IF(COUNTIFS(①今日の在庫を貼る!$B$6:$B$10005,$B5651,①今日の在庫を貼る!$I$6:$I$10005,$I5651)&gt;0,N(U5650),N(U5650)+1))</f>
        <v>2</v>
      </c>
    </row>
    <row r="5652" customFormat="false" ht="15" hidden="false" customHeight="false" outlineLevel="0" collapsed="false">
      <c r="B5652" s="53"/>
      <c r="I5652" s="53"/>
      <c r="U5652" s="31" t="n">
        <f aca="false">IF($B5652&lt;&gt;'設定（最初に1回）'!$C$4,N(U5651),IF(COUNTIFS(①今日の在庫を貼る!$B$6:$B$10005,$B5652,①今日の在庫を貼る!$I$6:$I$10005,$I5652)&gt;0,N(U5651),N(U5651)+1))</f>
        <v>2</v>
      </c>
    </row>
    <row r="5653" customFormat="false" ht="15" hidden="false" customHeight="false" outlineLevel="0" collapsed="false">
      <c r="B5653" s="53"/>
      <c r="I5653" s="53"/>
      <c r="U5653" s="31" t="n">
        <f aca="false">IF($B5653&lt;&gt;'設定（最初に1回）'!$C$4,N(U5652),IF(COUNTIFS(①今日の在庫を貼る!$B$6:$B$10005,$B5653,①今日の在庫を貼る!$I$6:$I$10005,$I5653)&gt;0,N(U5652),N(U5652)+1))</f>
        <v>2</v>
      </c>
    </row>
    <row r="5654" customFormat="false" ht="15" hidden="false" customHeight="false" outlineLevel="0" collapsed="false">
      <c r="B5654" s="53"/>
      <c r="I5654" s="53"/>
      <c r="U5654" s="31" t="n">
        <f aca="false">IF($B5654&lt;&gt;'設定（最初に1回）'!$C$4,N(U5653),IF(COUNTIFS(①今日の在庫を貼る!$B$6:$B$10005,$B5654,①今日の在庫を貼る!$I$6:$I$10005,$I5654)&gt;0,N(U5653),N(U5653)+1))</f>
        <v>2</v>
      </c>
    </row>
    <row r="5655" customFormat="false" ht="15" hidden="false" customHeight="false" outlineLevel="0" collapsed="false">
      <c r="B5655" s="53"/>
      <c r="I5655" s="53"/>
      <c r="U5655" s="31" t="n">
        <f aca="false">IF($B5655&lt;&gt;'設定（最初に1回）'!$C$4,N(U5654),IF(COUNTIFS(①今日の在庫を貼る!$B$6:$B$10005,$B5655,①今日の在庫を貼る!$I$6:$I$10005,$I5655)&gt;0,N(U5654),N(U5654)+1))</f>
        <v>2</v>
      </c>
    </row>
    <row r="5656" customFormat="false" ht="15" hidden="false" customHeight="false" outlineLevel="0" collapsed="false">
      <c r="B5656" s="53"/>
      <c r="I5656" s="53"/>
      <c r="U5656" s="31" t="n">
        <f aca="false">IF($B5656&lt;&gt;'設定（最初に1回）'!$C$4,N(U5655),IF(COUNTIFS(①今日の在庫を貼る!$B$6:$B$10005,$B5656,①今日の在庫を貼る!$I$6:$I$10005,$I5656)&gt;0,N(U5655),N(U5655)+1))</f>
        <v>2</v>
      </c>
    </row>
    <row r="5657" customFormat="false" ht="15" hidden="false" customHeight="false" outlineLevel="0" collapsed="false">
      <c r="B5657" s="53"/>
      <c r="I5657" s="53"/>
      <c r="U5657" s="31" t="n">
        <f aca="false">IF($B5657&lt;&gt;'設定（最初に1回）'!$C$4,N(U5656),IF(COUNTIFS(①今日の在庫を貼る!$B$6:$B$10005,$B5657,①今日の在庫を貼る!$I$6:$I$10005,$I5657)&gt;0,N(U5656),N(U5656)+1))</f>
        <v>2</v>
      </c>
    </row>
    <row r="5658" customFormat="false" ht="15" hidden="false" customHeight="false" outlineLevel="0" collapsed="false">
      <c r="B5658" s="53"/>
      <c r="I5658" s="53"/>
      <c r="U5658" s="31" t="n">
        <f aca="false">IF($B5658&lt;&gt;'設定（最初に1回）'!$C$4,N(U5657),IF(COUNTIFS(①今日の在庫を貼る!$B$6:$B$10005,$B5658,①今日の在庫を貼る!$I$6:$I$10005,$I5658)&gt;0,N(U5657),N(U5657)+1))</f>
        <v>2</v>
      </c>
    </row>
    <row r="5659" customFormat="false" ht="15" hidden="false" customHeight="false" outlineLevel="0" collapsed="false">
      <c r="B5659" s="53"/>
      <c r="I5659" s="53"/>
      <c r="U5659" s="31" t="n">
        <f aca="false">IF($B5659&lt;&gt;'設定（最初に1回）'!$C$4,N(U5658),IF(COUNTIFS(①今日の在庫を貼る!$B$6:$B$10005,$B5659,①今日の在庫を貼る!$I$6:$I$10005,$I5659)&gt;0,N(U5658),N(U5658)+1))</f>
        <v>2</v>
      </c>
    </row>
    <row r="5660" customFormat="false" ht="15" hidden="false" customHeight="false" outlineLevel="0" collapsed="false">
      <c r="B5660" s="53"/>
      <c r="I5660" s="53"/>
      <c r="U5660" s="31" t="n">
        <f aca="false">IF($B5660&lt;&gt;'設定（最初に1回）'!$C$4,N(U5659),IF(COUNTIFS(①今日の在庫を貼る!$B$6:$B$10005,$B5660,①今日の在庫を貼る!$I$6:$I$10005,$I5660)&gt;0,N(U5659),N(U5659)+1))</f>
        <v>2</v>
      </c>
    </row>
    <row r="5661" customFormat="false" ht="15" hidden="false" customHeight="false" outlineLevel="0" collapsed="false">
      <c r="B5661" s="53"/>
      <c r="I5661" s="53"/>
      <c r="U5661" s="31" t="n">
        <f aca="false">IF($B5661&lt;&gt;'設定（最初に1回）'!$C$4,N(U5660),IF(COUNTIFS(①今日の在庫を貼る!$B$6:$B$10005,$B5661,①今日の在庫を貼る!$I$6:$I$10005,$I5661)&gt;0,N(U5660),N(U5660)+1))</f>
        <v>2</v>
      </c>
    </row>
    <row r="5662" customFormat="false" ht="15" hidden="false" customHeight="false" outlineLevel="0" collapsed="false">
      <c r="B5662" s="53"/>
      <c r="I5662" s="53"/>
      <c r="U5662" s="31" t="n">
        <f aca="false">IF($B5662&lt;&gt;'設定（最初に1回）'!$C$4,N(U5661),IF(COUNTIFS(①今日の在庫を貼る!$B$6:$B$10005,$B5662,①今日の在庫を貼る!$I$6:$I$10005,$I5662)&gt;0,N(U5661),N(U5661)+1))</f>
        <v>2</v>
      </c>
    </row>
    <row r="5663" customFormat="false" ht="15" hidden="false" customHeight="false" outlineLevel="0" collapsed="false">
      <c r="B5663" s="53"/>
      <c r="I5663" s="53"/>
      <c r="U5663" s="31" t="n">
        <f aca="false">IF($B5663&lt;&gt;'設定（最初に1回）'!$C$4,N(U5662),IF(COUNTIFS(①今日の在庫を貼る!$B$6:$B$10005,$B5663,①今日の在庫を貼る!$I$6:$I$10005,$I5663)&gt;0,N(U5662),N(U5662)+1))</f>
        <v>2</v>
      </c>
    </row>
    <row r="5664" customFormat="false" ht="15" hidden="false" customHeight="false" outlineLevel="0" collapsed="false">
      <c r="B5664" s="53"/>
      <c r="I5664" s="53"/>
      <c r="U5664" s="31" t="n">
        <f aca="false">IF($B5664&lt;&gt;'設定（最初に1回）'!$C$4,N(U5663),IF(COUNTIFS(①今日の在庫を貼る!$B$6:$B$10005,$B5664,①今日の在庫を貼る!$I$6:$I$10005,$I5664)&gt;0,N(U5663),N(U5663)+1))</f>
        <v>2</v>
      </c>
    </row>
    <row r="5665" customFormat="false" ht="15" hidden="false" customHeight="false" outlineLevel="0" collapsed="false">
      <c r="B5665" s="53"/>
      <c r="I5665" s="53"/>
      <c r="U5665" s="31" t="n">
        <f aca="false">IF($B5665&lt;&gt;'設定（最初に1回）'!$C$4,N(U5664),IF(COUNTIFS(①今日の在庫を貼る!$B$6:$B$10005,$B5665,①今日の在庫を貼る!$I$6:$I$10005,$I5665)&gt;0,N(U5664),N(U5664)+1))</f>
        <v>2</v>
      </c>
    </row>
    <row r="5666" customFormat="false" ht="15" hidden="false" customHeight="false" outlineLevel="0" collapsed="false">
      <c r="B5666" s="53"/>
      <c r="I5666" s="53"/>
      <c r="U5666" s="31" t="n">
        <f aca="false">IF($B5666&lt;&gt;'設定（最初に1回）'!$C$4,N(U5665),IF(COUNTIFS(①今日の在庫を貼る!$B$6:$B$10005,$B5666,①今日の在庫を貼る!$I$6:$I$10005,$I5666)&gt;0,N(U5665),N(U5665)+1))</f>
        <v>2</v>
      </c>
    </row>
    <row r="5667" customFormat="false" ht="15" hidden="false" customHeight="false" outlineLevel="0" collapsed="false">
      <c r="B5667" s="53"/>
      <c r="I5667" s="53"/>
      <c r="U5667" s="31" t="n">
        <f aca="false">IF($B5667&lt;&gt;'設定（最初に1回）'!$C$4,N(U5666),IF(COUNTIFS(①今日の在庫を貼る!$B$6:$B$10005,$B5667,①今日の在庫を貼る!$I$6:$I$10005,$I5667)&gt;0,N(U5666),N(U5666)+1))</f>
        <v>2</v>
      </c>
    </row>
    <row r="5668" customFormat="false" ht="15" hidden="false" customHeight="false" outlineLevel="0" collapsed="false">
      <c r="B5668" s="53"/>
      <c r="I5668" s="53"/>
      <c r="U5668" s="31" t="n">
        <f aca="false">IF($B5668&lt;&gt;'設定（最初に1回）'!$C$4,N(U5667),IF(COUNTIFS(①今日の在庫を貼る!$B$6:$B$10005,$B5668,①今日の在庫を貼る!$I$6:$I$10005,$I5668)&gt;0,N(U5667),N(U5667)+1))</f>
        <v>2</v>
      </c>
    </row>
    <row r="5669" customFormat="false" ht="15" hidden="false" customHeight="false" outlineLevel="0" collapsed="false">
      <c r="B5669" s="53"/>
      <c r="I5669" s="53"/>
      <c r="U5669" s="31" t="n">
        <f aca="false">IF($B5669&lt;&gt;'設定（最初に1回）'!$C$4,N(U5668),IF(COUNTIFS(①今日の在庫を貼る!$B$6:$B$10005,$B5669,①今日の在庫を貼る!$I$6:$I$10005,$I5669)&gt;0,N(U5668),N(U5668)+1))</f>
        <v>2</v>
      </c>
    </row>
    <row r="5670" customFormat="false" ht="15" hidden="false" customHeight="false" outlineLevel="0" collapsed="false">
      <c r="B5670" s="53"/>
      <c r="I5670" s="53"/>
      <c r="U5670" s="31" t="n">
        <f aca="false">IF($B5670&lt;&gt;'設定（最初に1回）'!$C$4,N(U5669),IF(COUNTIFS(①今日の在庫を貼る!$B$6:$B$10005,$B5670,①今日の在庫を貼る!$I$6:$I$10005,$I5670)&gt;0,N(U5669),N(U5669)+1))</f>
        <v>2</v>
      </c>
    </row>
    <row r="5671" customFormat="false" ht="15" hidden="false" customHeight="false" outlineLevel="0" collapsed="false">
      <c r="B5671" s="53"/>
      <c r="I5671" s="53"/>
      <c r="U5671" s="31" t="n">
        <f aca="false">IF($B5671&lt;&gt;'設定（最初に1回）'!$C$4,N(U5670),IF(COUNTIFS(①今日の在庫を貼る!$B$6:$B$10005,$B5671,①今日の在庫を貼る!$I$6:$I$10005,$I5671)&gt;0,N(U5670),N(U5670)+1))</f>
        <v>2</v>
      </c>
    </row>
    <row r="5672" customFormat="false" ht="15" hidden="false" customHeight="false" outlineLevel="0" collapsed="false">
      <c r="B5672" s="53"/>
      <c r="I5672" s="53"/>
      <c r="U5672" s="31" t="n">
        <f aca="false">IF($B5672&lt;&gt;'設定（最初に1回）'!$C$4,N(U5671),IF(COUNTIFS(①今日の在庫を貼る!$B$6:$B$10005,$B5672,①今日の在庫を貼る!$I$6:$I$10005,$I5672)&gt;0,N(U5671),N(U5671)+1))</f>
        <v>2</v>
      </c>
    </row>
    <row r="5673" customFormat="false" ht="15" hidden="false" customHeight="false" outlineLevel="0" collapsed="false">
      <c r="B5673" s="53"/>
      <c r="I5673" s="53"/>
      <c r="U5673" s="31" t="n">
        <f aca="false">IF($B5673&lt;&gt;'設定（最初に1回）'!$C$4,N(U5672),IF(COUNTIFS(①今日の在庫を貼る!$B$6:$B$10005,$B5673,①今日の在庫を貼る!$I$6:$I$10005,$I5673)&gt;0,N(U5672),N(U5672)+1))</f>
        <v>2</v>
      </c>
    </row>
    <row r="5674" customFormat="false" ht="15" hidden="false" customHeight="false" outlineLevel="0" collapsed="false">
      <c r="B5674" s="53"/>
      <c r="I5674" s="53"/>
      <c r="U5674" s="31" t="n">
        <f aca="false">IF($B5674&lt;&gt;'設定（最初に1回）'!$C$4,N(U5673),IF(COUNTIFS(①今日の在庫を貼る!$B$6:$B$10005,$B5674,①今日の在庫を貼る!$I$6:$I$10005,$I5674)&gt;0,N(U5673),N(U5673)+1))</f>
        <v>2</v>
      </c>
    </row>
    <row r="5675" customFormat="false" ht="15" hidden="false" customHeight="false" outlineLevel="0" collapsed="false">
      <c r="B5675" s="53"/>
      <c r="I5675" s="53"/>
      <c r="U5675" s="31" t="n">
        <f aca="false">IF($B5675&lt;&gt;'設定（最初に1回）'!$C$4,N(U5674),IF(COUNTIFS(①今日の在庫を貼る!$B$6:$B$10005,$B5675,①今日の在庫を貼る!$I$6:$I$10005,$I5675)&gt;0,N(U5674),N(U5674)+1))</f>
        <v>2</v>
      </c>
    </row>
    <row r="5676" customFormat="false" ht="15" hidden="false" customHeight="false" outlineLevel="0" collapsed="false">
      <c r="B5676" s="53"/>
      <c r="I5676" s="53"/>
      <c r="U5676" s="31" t="n">
        <f aca="false">IF($B5676&lt;&gt;'設定（最初に1回）'!$C$4,N(U5675),IF(COUNTIFS(①今日の在庫を貼る!$B$6:$B$10005,$B5676,①今日の在庫を貼る!$I$6:$I$10005,$I5676)&gt;0,N(U5675),N(U5675)+1))</f>
        <v>2</v>
      </c>
    </row>
    <row r="5677" customFormat="false" ht="15" hidden="false" customHeight="false" outlineLevel="0" collapsed="false">
      <c r="B5677" s="53"/>
      <c r="I5677" s="53"/>
      <c r="U5677" s="31" t="n">
        <f aca="false">IF($B5677&lt;&gt;'設定（最初に1回）'!$C$4,N(U5676),IF(COUNTIFS(①今日の在庫を貼る!$B$6:$B$10005,$B5677,①今日の在庫を貼る!$I$6:$I$10005,$I5677)&gt;0,N(U5676),N(U5676)+1))</f>
        <v>2</v>
      </c>
    </row>
    <row r="5678" customFormat="false" ht="15" hidden="false" customHeight="false" outlineLevel="0" collapsed="false">
      <c r="B5678" s="53"/>
      <c r="I5678" s="53"/>
      <c r="U5678" s="31" t="n">
        <f aca="false">IF($B5678&lt;&gt;'設定（最初に1回）'!$C$4,N(U5677),IF(COUNTIFS(①今日の在庫を貼る!$B$6:$B$10005,$B5678,①今日の在庫を貼る!$I$6:$I$10005,$I5678)&gt;0,N(U5677),N(U5677)+1))</f>
        <v>2</v>
      </c>
    </row>
    <row r="5679" customFormat="false" ht="15" hidden="false" customHeight="false" outlineLevel="0" collapsed="false">
      <c r="B5679" s="53"/>
      <c r="I5679" s="53"/>
      <c r="U5679" s="31" t="n">
        <f aca="false">IF($B5679&lt;&gt;'設定（最初に1回）'!$C$4,N(U5678),IF(COUNTIFS(①今日の在庫を貼る!$B$6:$B$10005,$B5679,①今日の在庫を貼る!$I$6:$I$10005,$I5679)&gt;0,N(U5678),N(U5678)+1))</f>
        <v>2</v>
      </c>
    </row>
    <row r="5680" customFormat="false" ht="15" hidden="false" customHeight="false" outlineLevel="0" collapsed="false">
      <c r="B5680" s="53"/>
      <c r="I5680" s="53"/>
      <c r="U5680" s="31" t="n">
        <f aca="false">IF($B5680&lt;&gt;'設定（最初に1回）'!$C$4,N(U5679),IF(COUNTIFS(①今日の在庫を貼る!$B$6:$B$10005,$B5680,①今日の在庫を貼る!$I$6:$I$10005,$I5680)&gt;0,N(U5679),N(U5679)+1))</f>
        <v>2</v>
      </c>
    </row>
    <row r="5681" customFormat="false" ht="15" hidden="false" customHeight="false" outlineLevel="0" collapsed="false">
      <c r="B5681" s="53"/>
      <c r="I5681" s="53"/>
      <c r="U5681" s="31" t="n">
        <f aca="false">IF($B5681&lt;&gt;'設定（最初に1回）'!$C$4,N(U5680),IF(COUNTIFS(①今日の在庫を貼る!$B$6:$B$10005,$B5681,①今日の在庫を貼る!$I$6:$I$10005,$I5681)&gt;0,N(U5680),N(U5680)+1))</f>
        <v>2</v>
      </c>
    </row>
    <row r="5682" customFormat="false" ht="15" hidden="false" customHeight="false" outlineLevel="0" collapsed="false">
      <c r="B5682" s="53"/>
      <c r="I5682" s="53"/>
      <c r="U5682" s="31" t="n">
        <f aca="false">IF($B5682&lt;&gt;'設定（最初に1回）'!$C$4,N(U5681),IF(COUNTIFS(①今日の在庫を貼る!$B$6:$B$10005,$B5682,①今日の在庫を貼る!$I$6:$I$10005,$I5682)&gt;0,N(U5681),N(U5681)+1))</f>
        <v>2</v>
      </c>
    </row>
    <row r="5683" customFormat="false" ht="15" hidden="false" customHeight="false" outlineLevel="0" collapsed="false">
      <c r="B5683" s="53"/>
      <c r="I5683" s="53"/>
      <c r="U5683" s="31" t="n">
        <f aca="false">IF($B5683&lt;&gt;'設定（最初に1回）'!$C$4,N(U5682),IF(COUNTIFS(①今日の在庫を貼る!$B$6:$B$10005,$B5683,①今日の在庫を貼る!$I$6:$I$10005,$I5683)&gt;0,N(U5682),N(U5682)+1))</f>
        <v>2</v>
      </c>
    </row>
    <row r="5684" customFormat="false" ht="15" hidden="false" customHeight="false" outlineLevel="0" collapsed="false">
      <c r="B5684" s="53"/>
      <c r="I5684" s="53"/>
      <c r="U5684" s="31" t="n">
        <f aca="false">IF($B5684&lt;&gt;'設定（最初に1回）'!$C$4,N(U5683),IF(COUNTIFS(①今日の在庫を貼る!$B$6:$B$10005,$B5684,①今日の在庫を貼る!$I$6:$I$10005,$I5684)&gt;0,N(U5683),N(U5683)+1))</f>
        <v>2</v>
      </c>
    </row>
    <row r="5685" customFormat="false" ht="15" hidden="false" customHeight="false" outlineLevel="0" collapsed="false">
      <c r="B5685" s="53"/>
      <c r="I5685" s="53"/>
      <c r="U5685" s="31" t="n">
        <f aca="false">IF($B5685&lt;&gt;'設定（最初に1回）'!$C$4,N(U5684),IF(COUNTIFS(①今日の在庫を貼る!$B$6:$B$10005,$B5685,①今日の在庫を貼る!$I$6:$I$10005,$I5685)&gt;0,N(U5684),N(U5684)+1))</f>
        <v>2</v>
      </c>
    </row>
    <row r="5686" customFormat="false" ht="15" hidden="false" customHeight="false" outlineLevel="0" collapsed="false">
      <c r="B5686" s="53"/>
      <c r="I5686" s="53"/>
      <c r="U5686" s="31" t="n">
        <f aca="false">IF($B5686&lt;&gt;'設定（最初に1回）'!$C$4,N(U5685),IF(COUNTIFS(①今日の在庫を貼る!$B$6:$B$10005,$B5686,①今日の在庫を貼る!$I$6:$I$10005,$I5686)&gt;0,N(U5685),N(U5685)+1))</f>
        <v>2</v>
      </c>
    </row>
    <row r="5687" customFormat="false" ht="15" hidden="false" customHeight="false" outlineLevel="0" collapsed="false">
      <c r="B5687" s="53"/>
      <c r="I5687" s="53"/>
      <c r="U5687" s="31" t="n">
        <f aca="false">IF($B5687&lt;&gt;'設定（最初に1回）'!$C$4,N(U5686),IF(COUNTIFS(①今日の在庫を貼る!$B$6:$B$10005,$B5687,①今日の在庫を貼る!$I$6:$I$10005,$I5687)&gt;0,N(U5686),N(U5686)+1))</f>
        <v>2</v>
      </c>
    </row>
    <row r="5688" customFormat="false" ht="15" hidden="false" customHeight="false" outlineLevel="0" collapsed="false">
      <c r="B5688" s="53"/>
      <c r="I5688" s="53"/>
      <c r="U5688" s="31" t="n">
        <f aca="false">IF($B5688&lt;&gt;'設定（最初に1回）'!$C$4,N(U5687),IF(COUNTIFS(①今日の在庫を貼る!$B$6:$B$10005,$B5688,①今日の在庫を貼る!$I$6:$I$10005,$I5688)&gt;0,N(U5687),N(U5687)+1))</f>
        <v>2</v>
      </c>
    </row>
    <row r="5689" customFormat="false" ht="15" hidden="false" customHeight="false" outlineLevel="0" collapsed="false">
      <c r="B5689" s="53"/>
      <c r="I5689" s="53"/>
      <c r="U5689" s="31" t="n">
        <f aca="false">IF($B5689&lt;&gt;'設定（最初に1回）'!$C$4,N(U5688),IF(COUNTIFS(①今日の在庫を貼る!$B$6:$B$10005,$B5689,①今日の在庫を貼る!$I$6:$I$10005,$I5689)&gt;0,N(U5688),N(U5688)+1))</f>
        <v>2</v>
      </c>
    </row>
    <row r="5690" customFormat="false" ht="15" hidden="false" customHeight="false" outlineLevel="0" collapsed="false">
      <c r="B5690" s="53"/>
      <c r="I5690" s="53"/>
      <c r="U5690" s="31" t="n">
        <f aca="false">IF($B5690&lt;&gt;'設定（最初に1回）'!$C$4,N(U5689),IF(COUNTIFS(①今日の在庫を貼る!$B$6:$B$10005,$B5690,①今日の在庫を貼る!$I$6:$I$10005,$I5690)&gt;0,N(U5689),N(U5689)+1))</f>
        <v>2</v>
      </c>
    </row>
    <row r="5691" customFormat="false" ht="15" hidden="false" customHeight="false" outlineLevel="0" collapsed="false">
      <c r="B5691" s="53"/>
      <c r="I5691" s="53"/>
      <c r="U5691" s="31" t="n">
        <f aca="false">IF($B5691&lt;&gt;'設定（最初に1回）'!$C$4,N(U5690),IF(COUNTIFS(①今日の在庫を貼る!$B$6:$B$10005,$B5691,①今日の在庫を貼る!$I$6:$I$10005,$I5691)&gt;0,N(U5690),N(U5690)+1))</f>
        <v>2</v>
      </c>
    </row>
    <row r="5692" customFormat="false" ht="15" hidden="false" customHeight="false" outlineLevel="0" collapsed="false">
      <c r="B5692" s="53"/>
      <c r="I5692" s="53"/>
      <c r="U5692" s="31" t="n">
        <f aca="false">IF($B5692&lt;&gt;'設定（最初に1回）'!$C$4,N(U5691),IF(COUNTIFS(①今日の在庫を貼る!$B$6:$B$10005,$B5692,①今日の在庫を貼る!$I$6:$I$10005,$I5692)&gt;0,N(U5691),N(U5691)+1))</f>
        <v>2</v>
      </c>
    </row>
    <row r="5693" customFormat="false" ht="15" hidden="false" customHeight="false" outlineLevel="0" collapsed="false">
      <c r="B5693" s="53"/>
      <c r="I5693" s="53"/>
      <c r="U5693" s="31" t="n">
        <f aca="false">IF($B5693&lt;&gt;'設定（最初に1回）'!$C$4,N(U5692),IF(COUNTIFS(①今日の在庫を貼る!$B$6:$B$10005,$B5693,①今日の在庫を貼る!$I$6:$I$10005,$I5693)&gt;0,N(U5692),N(U5692)+1))</f>
        <v>2</v>
      </c>
    </row>
    <row r="5694" customFormat="false" ht="15" hidden="false" customHeight="false" outlineLevel="0" collapsed="false">
      <c r="B5694" s="53"/>
      <c r="I5694" s="53"/>
      <c r="U5694" s="31" t="n">
        <f aca="false">IF($B5694&lt;&gt;'設定（最初に1回）'!$C$4,N(U5693),IF(COUNTIFS(①今日の在庫を貼る!$B$6:$B$10005,$B5694,①今日の在庫を貼る!$I$6:$I$10005,$I5694)&gt;0,N(U5693),N(U5693)+1))</f>
        <v>2</v>
      </c>
    </row>
    <row r="5695" customFormat="false" ht="15" hidden="false" customHeight="false" outlineLevel="0" collapsed="false">
      <c r="B5695" s="53"/>
      <c r="I5695" s="53"/>
      <c r="U5695" s="31" t="n">
        <f aca="false">IF($B5695&lt;&gt;'設定（最初に1回）'!$C$4,N(U5694),IF(COUNTIFS(①今日の在庫を貼る!$B$6:$B$10005,$B5695,①今日の在庫を貼る!$I$6:$I$10005,$I5695)&gt;0,N(U5694),N(U5694)+1))</f>
        <v>2</v>
      </c>
    </row>
    <row r="5696" customFormat="false" ht="15" hidden="false" customHeight="false" outlineLevel="0" collapsed="false">
      <c r="B5696" s="53"/>
      <c r="I5696" s="53"/>
      <c r="U5696" s="31" t="n">
        <f aca="false">IF($B5696&lt;&gt;'設定（最初に1回）'!$C$4,N(U5695),IF(COUNTIFS(①今日の在庫を貼る!$B$6:$B$10005,$B5696,①今日の在庫を貼る!$I$6:$I$10005,$I5696)&gt;0,N(U5695),N(U5695)+1))</f>
        <v>2</v>
      </c>
    </row>
    <row r="5697" customFormat="false" ht="15" hidden="false" customHeight="false" outlineLevel="0" collapsed="false">
      <c r="B5697" s="53"/>
      <c r="I5697" s="53"/>
      <c r="U5697" s="31" t="n">
        <f aca="false">IF($B5697&lt;&gt;'設定（最初に1回）'!$C$4,N(U5696),IF(COUNTIFS(①今日の在庫を貼る!$B$6:$B$10005,$B5697,①今日の在庫を貼る!$I$6:$I$10005,$I5697)&gt;0,N(U5696),N(U5696)+1))</f>
        <v>2</v>
      </c>
    </row>
    <row r="5698" customFormat="false" ht="15" hidden="false" customHeight="false" outlineLevel="0" collapsed="false">
      <c r="B5698" s="53"/>
      <c r="I5698" s="53"/>
      <c r="U5698" s="31" t="n">
        <f aca="false">IF($B5698&lt;&gt;'設定（最初に1回）'!$C$4,N(U5697),IF(COUNTIFS(①今日の在庫を貼る!$B$6:$B$10005,$B5698,①今日の在庫を貼る!$I$6:$I$10005,$I5698)&gt;0,N(U5697),N(U5697)+1))</f>
        <v>2</v>
      </c>
    </row>
    <row r="5699" customFormat="false" ht="15" hidden="false" customHeight="false" outlineLevel="0" collapsed="false">
      <c r="B5699" s="53"/>
      <c r="I5699" s="53"/>
      <c r="U5699" s="31" t="n">
        <f aca="false">IF($B5699&lt;&gt;'設定（最初に1回）'!$C$4,N(U5698),IF(COUNTIFS(①今日の在庫を貼る!$B$6:$B$10005,$B5699,①今日の在庫を貼る!$I$6:$I$10005,$I5699)&gt;0,N(U5698),N(U5698)+1))</f>
        <v>2</v>
      </c>
    </row>
    <row r="5700" customFormat="false" ht="15" hidden="false" customHeight="false" outlineLevel="0" collapsed="false">
      <c r="B5700" s="53"/>
      <c r="I5700" s="53"/>
      <c r="U5700" s="31" t="n">
        <f aca="false">IF($B5700&lt;&gt;'設定（最初に1回）'!$C$4,N(U5699),IF(COUNTIFS(①今日の在庫を貼る!$B$6:$B$10005,$B5700,①今日の在庫を貼る!$I$6:$I$10005,$I5700)&gt;0,N(U5699),N(U5699)+1))</f>
        <v>2</v>
      </c>
    </row>
    <row r="5701" customFormat="false" ht="15" hidden="false" customHeight="false" outlineLevel="0" collapsed="false">
      <c r="B5701" s="53"/>
      <c r="I5701" s="53"/>
      <c r="U5701" s="31" t="n">
        <f aca="false">IF($B5701&lt;&gt;'設定（最初に1回）'!$C$4,N(U5700),IF(COUNTIFS(①今日の在庫を貼る!$B$6:$B$10005,$B5701,①今日の在庫を貼る!$I$6:$I$10005,$I5701)&gt;0,N(U5700),N(U5700)+1))</f>
        <v>2</v>
      </c>
    </row>
    <row r="5702" customFormat="false" ht="15" hidden="false" customHeight="false" outlineLevel="0" collapsed="false">
      <c r="B5702" s="53"/>
      <c r="I5702" s="53"/>
      <c r="U5702" s="31" t="n">
        <f aca="false">IF($B5702&lt;&gt;'設定（最初に1回）'!$C$4,N(U5701),IF(COUNTIFS(①今日の在庫を貼る!$B$6:$B$10005,$B5702,①今日の在庫を貼る!$I$6:$I$10005,$I5702)&gt;0,N(U5701),N(U5701)+1))</f>
        <v>2</v>
      </c>
    </row>
    <row r="5703" customFormat="false" ht="15" hidden="false" customHeight="false" outlineLevel="0" collapsed="false">
      <c r="B5703" s="53"/>
      <c r="I5703" s="53"/>
      <c r="U5703" s="31" t="n">
        <f aca="false">IF($B5703&lt;&gt;'設定（最初に1回）'!$C$4,N(U5702),IF(COUNTIFS(①今日の在庫を貼る!$B$6:$B$10005,$B5703,①今日の在庫を貼る!$I$6:$I$10005,$I5703)&gt;0,N(U5702),N(U5702)+1))</f>
        <v>2</v>
      </c>
    </row>
    <row r="5704" customFormat="false" ht="15" hidden="false" customHeight="false" outlineLevel="0" collapsed="false">
      <c r="B5704" s="53"/>
      <c r="I5704" s="53"/>
      <c r="U5704" s="31" t="n">
        <f aca="false">IF($B5704&lt;&gt;'設定（最初に1回）'!$C$4,N(U5703),IF(COUNTIFS(①今日の在庫を貼る!$B$6:$B$10005,$B5704,①今日の在庫を貼る!$I$6:$I$10005,$I5704)&gt;0,N(U5703),N(U5703)+1))</f>
        <v>2</v>
      </c>
    </row>
    <row r="5705" customFormat="false" ht="15" hidden="false" customHeight="false" outlineLevel="0" collapsed="false">
      <c r="B5705" s="53"/>
      <c r="I5705" s="53"/>
      <c r="U5705" s="31" t="n">
        <f aca="false">IF($B5705&lt;&gt;'設定（最初に1回）'!$C$4,N(U5704),IF(COUNTIFS(①今日の在庫を貼る!$B$6:$B$10005,$B5705,①今日の在庫を貼る!$I$6:$I$10005,$I5705)&gt;0,N(U5704),N(U5704)+1))</f>
        <v>2</v>
      </c>
    </row>
    <row r="5706" customFormat="false" ht="15" hidden="false" customHeight="false" outlineLevel="0" collapsed="false">
      <c r="B5706" s="53"/>
      <c r="I5706" s="53"/>
      <c r="U5706" s="31" t="n">
        <f aca="false">IF($B5706&lt;&gt;'設定（最初に1回）'!$C$4,N(U5705),IF(COUNTIFS(①今日の在庫を貼る!$B$6:$B$10005,$B5706,①今日の在庫を貼る!$I$6:$I$10005,$I5706)&gt;0,N(U5705),N(U5705)+1))</f>
        <v>2</v>
      </c>
    </row>
    <row r="5707" customFormat="false" ht="15" hidden="false" customHeight="false" outlineLevel="0" collapsed="false">
      <c r="B5707" s="53"/>
      <c r="I5707" s="53"/>
      <c r="U5707" s="31" t="n">
        <f aca="false">IF($B5707&lt;&gt;'設定（最初に1回）'!$C$4,N(U5706),IF(COUNTIFS(①今日の在庫を貼る!$B$6:$B$10005,$B5707,①今日の在庫を貼る!$I$6:$I$10005,$I5707)&gt;0,N(U5706),N(U5706)+1))</f>
        <v>2</v>
      </c>
    </row>
    <row r="5708" customFormat="false" ht="15" hidden="false" customHeight="false" outlineLevel="0" collapsed="false">
      <c r="B5708" s="53"/>
      <c r="I5708" s="53"/>
      <c r="U5708" s="31" t="n">
        <f aca="false">IF($B5708&lt;&gt;'設定（最初に1回）'!$C$4,N(U5707),IF(COUNTIFS(①今日の在庫を貼る!$B$6:$B$10005,$B5708,①今日の在庫を貼る!$I$6:$I$10005,$I5708)&gt;0,N(U5707),N(U5707)+1))</f>
        <v>2</v>
      </c>
    </row>
    <row r="5709" customFormat="false" ht="15" hidden="false" customHeight="false" outlineLevel="0" collapsed="false">
      <c r="B5709" s="53"/>
      <c r="I5709" s="53"/>
      <c r="U5709" s="31" t="n">
        <f aca="false">IF($B5709&lt;&gt;'設定（最初に1回）'!$C$4,N(U5708),IF(COUNTIFS(①今日の在庫を貼る!$B$6:$B$10005,$B5709,①今日の在庫を貼る!$I$6:$I$10005,$I5709)&gt;0,N(U5708),N(U5708)+1))</f>
        <v>2</v>
      </c>
    </row>
    <row r="5710" customFormat="false" ht="15" hidden="false" customHeight="false" outlineLevel="0" collapsed="false">
      <c r="B5710" s="53"/>
      <c r="I5710" s="53"/>
      <c r="U5710" s="31" t="n">
        <f aca="false">IF($B5710&lt;&gt;'設定（最初に1回）'!$C$4,N(U5709),IF(COUNTIFS(①今日の在庫を貼る!$B$6:$B$10005,$B5710,①今日の在庫を貼る!$I$6:$I$10005,$I5710)&gt;0,N(U5709),N(U5709)+1))</f>
        <v>2</v>
      </c>
    </row>
    <row r="5711" customFormat="false" ht="15" hidden="false" customHeight="false" outlineLevel="0" collapsed="false">
      <c r="B5711" s="53"/>
      <c r="I5711" s="53"/>
      <c r="U5711" s="31" t="n">
        <f aca="false">IF($B5711&lt;&gt;'設定（最初に1回）'!$C$4,N(U5710),IF(COUNTIFS(①今日の在庫を貼る!$B$6:$B$10005,$B5711,①今日の在庫を貼る!$I$6:$I$10005,$I5711)&gt;0,N(U5710),N(U5710)+1))</f>
        <v>2</v>
      </c>
    </row>
    <row r="5712" customFormat="false" ht="15" hidden="false" customHeight="false" outlineLevel="0" collapsed="false">
      <c r="B5712" s="53"/>
      <c r="I5712" s="53"/>
      <c r="U5712" s="31" t="n">
        <f aca="false">IF($B5712&lt;&gt;'設定（最初に1回）'!$C$4,N(U5711),IF(COUNTIFS(①今日の在庫を貼る!$B$6:$B$10005,$B5712,①今日の在庫を貼る!$I$6:$I$10005,$I5712)&gt;0,N(U5711),N(U5711)+1))</f>
        <v>2</v>
      </c>
    </row>
    <row r="5713" customFormat="false" ht="15" hidden="false" customHeight="false" outlineLevel="0" collapsed="false">
      <c r="B5713" s="53"/>
      <c r="I5713" s="53"/>
      <c r="U5713" s="31" t="n">
        <f aca="false">IF($B5713&lt;&gt;'設定（最初に1回）'!$C$4,N(U5712),IF(COUNTIFS(①今日の在庫を貼る!$B$6:$B$10005,$B5713,①今日の在庫を貼る!$I$6:$I$10005,$I5713)&gt;0,N(U5712),N(U5712)+1))</f>
        <v>2</v>
      </c>
    </row>
    <row r="5714" customFormat="false" ht="15" hidden="false" customHeight="false" outlineLevel="0" collapsed="false">
      <c r="B5714" s="53"/>
      <c r="I5714" s="53"/>
      <c r="U5714" s="31" t="n">
        <f aca="false">IF($B5714&lt;&gt;'設定（最初に1回）'!$C$4,N(U5713),IF(COUNTIFS(①今日の在庫を貼る!$B$6:$B$10005,$B5714,①今日の在庫を貼る!$I$6:$I$10005,$I5714)&gt;0,N(U5713),N(U5713)+1))</f>
        <v>2</v>
      </c>
    </row>
    <row r="5715" customFormat="false" ht="15" hidden="false" customHeight="false" outlineLevel="0" collapsed="false">
      <c r="B5715" s="53"/>
      <c r="I5715" s="53"/>
      <c r="U5715" s="31" t="n">
        <f aca="false">IF($B5715&lt;&gt;'設定（最初に1回）'!$C$4,N(U5714),IF(COUNTIFS(①今日の在庫を貼る!$B$6:$B$10005,$B5715,①今日の在庫を貼る!$I$6:$I$10005,$I5715)&gt;0,N(U5714),N(U5714)+1))</f>
        <v>2</v>
      </c>
    </row>
    <row r="5716" customFormat="false" ht="15" hidden="false" customHeight="false" outlineLevel="0" collapsed="false">
      <c r="B5716" s="53"/>
      <c r="I5716" s="53"/>
      <c r="U5716" s="31" t="n">
        <f aca="false">IF($B5716&lt;&gt;'設定（最初に1回）'!$C$4,N(U5715),IF(COUNTIFS(①今日の在庫を貼る!$B$6:$B$10005,$B5716,①今日の在庫を貼る!$I$6:$I$10005,$I5716)&gt;0,N(U5715),N(U5715)+1))</f>
        <v>2</v>
      </c>
    </row>
    <row r="5717" customFormat="false" ht="15" hidden="false" customHeight="false" outlineLevel="0" collapsed="false">
      <c r="B5717" s="53"/>
      <c r="I5717" s="53"/>
      <c r="U5717" s="31" t="n">
        <f aca="false">IF($B5717&lt;&gt;'設定（最初に1回）'!$C$4,N(U5716),IF(COUNTIFS(①今日の在庫を貼る!$B$6:$B$10005,$B5717,①今日の在庫を貼る!$I$6:$I$10005,$I5717)&gt;0,N(U5716),N(U5716)+1))</f>
        <v>2</v>
      </c>
    </row>
    <row r="5718" customFormat="false" ht="15" hidden="false" customHeight="false" outlineLevel="0" collapsed="false">
      <c r="B5718" s="53"/>
      <c r="I5718" s="53"/>
      <c r="U5718" s="31" t="n">
        <f aca="false">IF($B5718&lt;&gt;'設定（最初に1回）'!$C$4,N(U5717),IF(COUNTIFS(①今日の在庫を貼る!$B$6:$B$10005,$B5718,①今日の在庫を貼る!$I$6:$I$10005,$I5718)&gt;0,N(U5717),N(U5717)+1))</f>
        <v>2</v>
      </c>
    </row>
    <row r="5719" customFormat="false" ht="15" hidden="false" customHeight="false" outlineLevel="0" collapsed="false">
      <c r="B5719" s="53"/>
      <c r="I5719" s="53"/>
      <c r="U5719" s="31" t="n">
        <f aca="false">IF($B5719&lt;&gt;'設定（最初に1回）'!$C$4,N(U5718),IF(COUNTIFS(①今日の在庫を貼る!$B$6:$B$10005,$B5719,①今日の在庫を貼る!$I$6:$I$10005,$I5719)&gt;0,N(U5718),N(U5718)+1))</f>
        <v>2</v>
      </c>
    </row>
    <row r="5720" customFormat="false" ht="15" hidden="false" customHeight="false" outlineLevel="0" collapsed="false">
      <c r="B5720" s="53"/>
      <c r="I5720" s="53"/>
      <c r="U5720" s="31" t="n">
        <f aca="false">IF($B5720&lt;&gt;'設定（最初に1回）'!$C$4,N(U5719),IF(COUNTIFS(①今日の在庫を貼る!$B$6:$B$10005,$B5720,①今日の在庫を貼る!$I$6:$I$10005,$I5720)&gt;0,N(U5719),N(U5719)+1))</f>
        <v>2</v>
      </c>
    </row>
    <row r="5721" customFormat="false" ht="15" hidden="false" customHeight="false" outlineLevel="0" collapsed="false">
      <c r="B5721" s="53"/>
      <c r="I5721" s="53"/>
      <c r="U5721" s="31" t="n">
        <f aca="false">IF($B5721&lt;&gt;'設定（最初に1回）'!$C$4,N(U5720),IF(COUNTIFS(①今日の在庫を貼る!$B$6:$B$10005,$B5721,①今日の在庫を貼る!$I$6:$I$10005,$I5721)&gt;0,N(U5720),N(U5720)+1))</f>
        <v>2</v>
      </c>
    </row>
    <row r="5722" customFormat="false" ht="15" hidden="false" customHeight="false" outlineLevel="0" collapsed="false">
      <c r="B5722" s="53"/>
      <c r="I5722" s="53"/>
      <c r="U5722" s="31" t="n">
        <f aca="false">IF($B5722&lt;&gt;'設定（最初に1回）'!$C$4,N(U5721),IF(COUNTIFS(①今日の在庫を貼る!$B$6:$B$10005,$B5722,①今日の在庫を貼る!$I$6:$I$10005,$I5722)&gt;0,N(U5721),N(U5721)+1))</f>
        <v>2</v>
      </c>
    </row>
    <row r="5723" customFormat="false" ht="15" hidden="false" customHeight="false" outlineLevel="0" collapsed="false">
      <c r="B5723" s="53"/>
      <c r="I5723" s="53"/>
      <c r="U5723" s="31" t="n">
        <f aca="false">IF($B5723&lt;&gt;'設定（最初に1回）'!$C$4,N(U5722),IF(COUNTIFS(①今日の在庫を貼る!$B$6:$B$10005,$B5723,①今日の在庫を貼る!$I$6:$I$10005,$I5723)&gt;0,N(U5722),N(U5722)+1))</f>
        <v>2</v>
      </c>
    </row>
    <row r="5724" customFormat="false" ht="15" hidden="false" customHeight="false" outlineLevel="0" collapsed="false">
      <c r="B5724" s="53"/>
      <c r="I5724" s="53"/>
      <c r="U5724" s="31" t="n">
        <f aca="false">IF($B5724&lt;&gt;'設定（最初に1回）'!$C$4,N(U5723),IF(COUNTIFS(①今日の在庫を貼る!$B$6:$B$10005,$B5724,①今日の在庫を貼る!$I$6:$I$10005,$I5724)&gt;0,N(U5723),N(U5723)+1))</f>
        <v>2</v>
      </c>
    </row>
    <row r="5725" customFormat="false" ht="15" hidden="false" customHeight="false" outlineLevel="0" collapsed="false">
      <c r="B5725" s="53"/>
      <c r="I5725" s="53"/>
      <c r="U5725" s="31" t="n">
        <f aca="false">IF($B5725&lt;&gt;'設定（最初に1回）'!$C$4,N(U5724),IF(COUNTIFS(①今日の在庫を貼る!$B$6:$B$10005,$B5725,①今日の在庫を貼る!$I$6:$I$10005,$I5725)&gt;0,N(U5724),N(U5724)+1))</f>
        <v>2</v>
      </c>
    </row>
    <row r="5726" customFormat="false" ht="15" hidden="false" customHeight="false" outlineLevel="0" collapsed="false">
      <c r="B5726" s="53"/>
      <c r="I5726" s="53"/>
      <c r="U5726" s="31" t="n">
        <f aca="false">IF($B5726&lt;&gt;'設定（最初に1回）'!$C$4,N(U5725),IF(COUNTIFS(①今日の在庫を貼る!$B$6:$B$10005,$B5726,①今日の在庫を貼る!$I$6:$I$10005,$I5726)&gt;0,N(U5725),N(U5725)+1))</f>
        <v>2</v>
      </c>
    </row>
    <row r="5727" customFormat="false" ht="15" hidden="false" customHeight="false" outlineLevel="0" collapsed="false">
      <c r="B5727" s="53"/>
      <c r="I5727" s="53"/>
      <c r="U5727" s="31" t="n">
        <f aca="false">IF($B5727&lt;&gt;'設定（最初に1回）'!$C$4,N(U5726),IF(COUNTIFS(①今日の在庫を貼る!$B$6:$B$10005,$B5727,①今日の在庫を貼る!$I$6:$I$10005,$I5727)&gt;0,N(U5726),N(U5726)+1))</f>
        <v>2</v>
      </c>
    </row>
    <row r="5728" customFormat="false" ht="15" hidden="false" customHeight="false" outlineLevel="0" collapsed="false">
      <c r="B5728" s="53"/>
      <c r="I5728" s="53"/>
      <c r="U5728" s="31" t="n">
        <f aca="false">IF($B5728&lt;&gt;'設定（最初に1回）'!$C$4,N(U5727),IF(COUNTIFS(①今日の在庫を貼る!$B$6:$B$10005,$B5728,①今日の在庫を貼る!$I$6:$I$10005,$I5728)&gt;0,N(U5727),N(U5727)+1))</f>
        <v>2</v>
      </c>
    </row>
    <row r="5729" customFormat="false" ht="15" hidden="false" customHeight="false" outlineLevel="0" collapsed="false">
      <c r="B5729" s="53"/>
      <c r="I5729" s="53"/>
      <c r="U5729" s="31" t="n">
        <f aca="false">IF($B5729&lt;&gt;'設定（最初に1回）'!$C$4,N(U5728),IF(COUNTIFS(①今日の在庫を貼る!$B$6:$B$10005,$B5729,①今日の在庫を貼る!$I$6:$I$10005,$I5729)&gt;0,N(U5728),N(U5728)+1))</f>
        <v>2</v>
      </c>
    </row>
    <row r="5730" customFormat="false" ht="15" hidden="false" customHeight="false" outlineLevel="0" collapsed="false">
      <c r="B5730" s="53"/>
      <c r="I5730" s="53"/>
      <c r="U5730" s="31" t="n">
        <f aca="false">IF($B5730&lt;&gt;'設定（最初に1回）'!$C$4,N(U5729),IF(COUNTIFS(①今日の在庫を貼る!$B$6:$B$10005,$B5730,①今日の在庫を貼る!$I$6:$I$10005,$I5730)&gt;0,N(U5729),N(U5729)+1))</f>
        <v>2</v>
      </c>
    </row>
    <row r="5731" customFormat="false" ht="15" hidden="false" customHeight="false" outlineLevel="0" collapsed="false">
      <c r="B5731" s="53"/>
      <c r="I5731" s="53"/>
      <c r="U5731" s="31" t="n">
        <f aca="false">IF($B5731&lt;&gt;'設定（最初に1回）'!$C$4,N(U5730),IF(COUNTIFS(①今日の在庫を貼る!$B$6:$B$10005,$B5731,①今日の在庫を貼る!$I$6:$I$10005,$I5731)&gt;0,N(U5730),N(U5730)+1))</f>
        <v>2</v>
      </c>
    </row>
    <row r="5732" customFormat="false" ht="15" hidden="false" customHeight="false" outlineLevel="0" collapsed="false">
      <c r="B5732" s="53"/>
      <c r="I5732" s="53"/>
      <c r="U5732" s="31" t="n">
        <f aca="false">IF($B5732&lt;&gt;'設定（最初に1回）'!$C$4,N(U5731),IF(COUNTIFS(①今日の在庫を貼る!$B$6:$B$10005,$B5732,①今日の在庫を貼る!$I$6:$I$10005,$I5732)&gt;0,N(U5731),N(U5731)+1))</f>
        <v>2</v>
      </c>
    </row>
    <row r="5733" customFormat="false" ht="15" hidden="false" customHeight="false" outlineLevel="0" collapsed="false">
      <c r="B5733" s="53"/>
      <c r="I5733" s="53"/>
      <c r="U5733" s="31" t="n">
        <f aca="false">IF($B5733&lt;&gt;'設定（最初に1回）'!$C$4,N(U5732),IF(COUNTIFS(①今日の在庫を貼る!$B$6:$B$10005,$B5733,①今日の在庫を貼る!$I$6:$I$10005,$I5733)&gt;0,N(U5732),N(U5732)+1))</f>
        <v>2</v>
      </c>
    </row>
    <row r="5734" customFormat="false" ht="15" hidden="false" customHeight="false" outlineLevel="0" collapsed="false">
      <c r="B5734" s="53"/>
      <c r="I5734" s="53"/>
      <c r="U5734" s="31" t="n">
        <f aca="false">IF($B5734&lt;&gt;'設定（最初に1回）'!$C$4,N(U5733),IF(COUNTIFS(①今日の在庫を貼る!$B$6:$B$10005,$B5734,①今日の在庫を貼る!$I$6:$I$10005,$I5734)&gt;0,N(U5733),N(U5733)+1))</f>
        <v>2</v>
      </c>
    </row>
    <row r="5735" customFormat="false" ht="15" hidden="false" customHeight="false" outlineLevel="0" collapsed="false">
      <c r="B5735" s="53"/>
      <c r="I5735" s="53"/>
      <c r="U5735" s="31" t="n">
        <f aca="false">IF($B5735&lt;&gt;'設定（最初に1回）'!$C$4,N(U5734),IF(COUNTIFS(①今日の在庫を貼る!$B$6:$B$10005,$B5735,①今日の在庫を貼る!$I$6:$I$10005,$I5735)&gt;0,N(U5734),N(U5734)+1))</f>
        <v>2</v>
      </c>
    </row>
    <row r="5736" customFormat="false" ht="15" hidden="false" customHeight="false" outlineLevel="0" collapsed="false">
      <c r="B5736" s="53"/>
      <c r="I5736" s="53"/>
      <c r="U5736" s="31" t="n">
        <f aca="false">IF($B5736&lt;&gt;'設定（最初に1回）'!$C$4,N(U5735),IF(COUNTIFS(①今日の在庫を貼る!$B$6:$B$10005,$B5736,①今日の在庫を貼る!$I$6:$I$10005,$I5736)&gt;0,N(U5735),N(U5735)+1))</f>
        <v>2</v>
      </c>
    </row>
    <row r="5737" customFormat="false" ht="15" hidden="false" customHeight="false" outlineLevel="0" collapsed="false">
      <c r="B5737" s="53"/>
      <c r="I5737" s="53"/>
      <c r="U5737" s="31" t="n">
        <f aca="false">IF($B5737&lt;&gt;'設定（最初に1回）'!$C$4,N(U5736),IF(COUNTIFS(①今日の在庫を貼る!$B$6:$B$10005,$B5737,①今日の在庫を貼る!$I$6:$I$10005,$I5737)&gt;0,N(U5736),N(U5736)+1))</f>
        <v>2</v>
      </c>
    </row>
    <row r="5738" customFormat="false" ht="15" hidden="false" customHeight="false" outlineLevel="0" collapsed="false">
      <c r="B5738" s="53"/>
      <c r="I5738" s="53"/>
      <c r="U5738" s="31" t="n">
        <f aca="false">IF($B5738&lt;&gt;'設定（最初に1回）'!$C$4,N(U5737),IF(COUNTIFS(①今日の在庫を貼る!$B$6:$B$10005,$B5738,①今日の在庫を貼る!$I$6:$I$10005,$I5738)&gt;0,N(U5737),N(U5737)+1))</f>
        <v>2</v>
      </c>
    </row>
    <row r="5739" customFormat="false" ht="15" hidden="false" customHeight="false" outlineLevel="0" collapsed="false">
      <c r="B5739" s="53"/>
      <c r="I5739" s="53"/>
      <c r="U5739" s="31" t="n">
        <f aca="false">IF($B5739&lt;&gt;'設定（最初に1回）'!$C$4,N(U5738),IF(COUNTIFS(①今日の在庫を貼る!$B$6:$B$10005,$B5739,①今日の在庫を貼る!$I$6:$I$10005,$I5739)&gt;0,N(U5738),N(U5738)+1))</f>
        <v>2</v>
      </c>
    </row>
    <row r="5740" customFormat="false" ht="15" hidden="false" customHeight="false" outlineLevel="0" collapsed="false">
      <c r="B5740" s="53"/>
      <c r="I5740" s="53"/>
      <c r="U5740" s="31" t="n">
        <f aca="false">IF($B5740&lt;&gt;'設定（最初に1回）'!$C$4,N(U5739),IF(COUNTIFS(①今日の在庫を貼る!$B$6:$B$10005,$B5740,①今日の在庫を貼る!$I$6:$I$10005,$I5740)&gt;0,N(U5739),N(U5739)+1))</f>
        <v>2</v>
      </c>
    </row>
    <row r="5741" customFormat="false" ht="15" hidden="false" customHeight="false" outlineLevel="0" collapsed="false">
      <c r="B5741" s="53"/>
      <c r="I5741" s="53"/>
      <c r="U5741" s="31" t="n">
        <f aca="false">IF($B5741&lt;&gt;'設定（最初に1回）'!$C$4,N(U5740),IF(COUNTIFS(①今日の在庫を貼る!$B$6:$B$10005,$B5741,①今日の在庫を貼る!$I$6:$I$10005,$I5741)&gt;0,N(U5740),N(U5740)+1))</f>
        <v>2</v>
      </c>
    </row>
    <row r="5742" customFormat="false" ht="15" hidden="false" customHeight="false" outlineLevel="0" collapsed="false">
      <c r="B5742" s="53"/>
      <c r="I5742" s="53"/>
      <c r="U5742" s="31" t="n">
        <f aca="false">IF($B5742&lt;&gt;'設定（最初に1回）'!$C$4,N(U5741),IF(COUNTIFS(①今日の在庫を貼る!$B$6:$B$10005,$B5742,①今日の在庫を貼る!$I$6:$I$10005,$I5742)&gt;0,N(U5741),N(U5741)+1))</f>
        <v>2</v>
      </c>
    </row>
    <row r="5743" customFormat="false" ht="15" hidden="false" customHeight="false" outlineLevel="0" collapsed="false">
      <c r="B5743" s="53"/>
      <c r="I5743" s="53"/>
      <c r="U5743" s="31" t="n">
        <f aca="false">IF($B5743&lt;&gt;'設定（最初に1回）'!$C$4,N(U5742),IF(COUNTIFS(①今日の在庫を貼る!$B$6:$B$10005,$B5743,①今日の在庫を貼る!$I$6:$I$10005,$I5743)&gt;0,N(U5742),N(U5742)+1))</f>
        <v>2</v>
      </c>
    </row>
    <row r="5744" customFormat="false" ht="15" hidden="false" customHeight="false" outlineLevel="0" collapsed="false">
      <c r="B5744" s="53"/>
      <c r="I5744" s="53"/>
      <c r="U5744" s="31" t="n">
        <f aca="false">IF($B5744&lt;&gt;'設定（最初に1回）'!$C$4,N(U5743),IF(COUNTIFS(①今日の在庫を貼る!$B$6:$B$10005,$B5744,①今日の在庫を貼る!$I$6:$I$10005,$I5744)&gt;0,N(U5743),N(U5743)+1))</f>
        <v>2</v>
      </c>
    </row>
    <row r="5745" customFormat="false" ht="15" hidden="false" customHeight="false" outlineLevel="0" collapsed="false">
      <c r="B5745" s="53"/>
      <c r="I5745" s="53"/>
      <c r="U5745" s="31" t="n">
        <f aca="false">IF($B5745&lt;&gt;'設定（最初に1回）'!$C$4,N(U5744),IF(COUNTIFS(①今日の在庫を貼る!$B$6:$B$10005,$B5745,①今日の在庫を貼る!$I$6:$I$10005,$I5745)&gt;0,N(U5744),N(U5744)+1))</f>
        <v>2</v>
      </c>
    </row>
    <row r="5746" customFormat="false" ht="15" hidden="false" customHeight="false" outlineLevel="0" collapsed="false">
      <c r="B5746" s="53"/>
      <c r="I5746" s="53"/>
      <c r="U5746" s="31" t="n">
        <f aca="false">IF($B5746&lt;&gt;'設定（最初に1回）'!$C$4,N(U5745),IF(COUNTIFS(①今日の在庫を貼る!$B$6:$B$10005,$B5746,①今日の在庫を貼る!$I$6:$I$10005,$I5746)&gt;0,N(U5745),N(U5745)+1))</f>
        <v>2</v>
      </c>
    </row>
    <row r="5747" customFormat="false" ht="15" hidden="false" customHeight="false" outlineLevel="0" collapsed="false">
      <c r="B5747" s="53"/>
      <c r="I5747" s="53"/>
      <c r="U5747" s="31" t="n">
        <f aca="false">IF($B5747&lt;&gt;'設定（最初に1回）'!$C$4,N(U5746),IF(COUNTIFS(①今日の在庫を貼る!$B$6:$B$10005,$B5747,①今日の在庫を貼る!$I$6:$I$10005,$I5747)&gt;0,N(U5746),N(U5746)+1))</f>
        <v>2</v>
      </c>
    </row>
    <row r="5748" customFormat="false" ht="15" hidden="false" customHeight="false" outlineLevel="0" collapsed="false">
      <c r="B5748" s="53"/>
      <c r="I5748" s="53"/>
      <c r="U5748" s="31" t="n">
        <f aca="false">IF($B5748&lt;&gt;'設定（最初に1回）'!$C$4,N(U5747),IF(COUNTIFS(①今日の在庫を貼る!$B$6:$B$10005,$B5748,①今日の在庫を貼る!$I$6:$I$10005,$I5748)&gt;0,N(U5747),N(U5747)+1))</f>
        <v>2</v>
      </c>
    </row>
    <row r="5749" customFormat="false" ht="15" hidden="false" customHeight="false" outlineLevel="0" collapsed="false">
      <c r="B5749" s="53"/>
      <c r="I5749" s="53"/>
      <c r="U5749" s="31" t="n">
        <f aca="false">IF($B5749&lt;&gt;'設定（最初に1回）'!$C$4,N(U5748),IF(COUNTIFS(①今日の在庫を貼る!$B$6:$B$10005,$B5749,①今日の在庫を貼る!$I$6:$I$10005,$I5749)&gt;0,N(U5748),N(U5748)+1))</f>
        <v>2</v>
      </c>
    </row>
    <row r="5750" customFormat="false" ht="15" hidden="false" customHeight="false" outlineLevel="0" collapsed="false">
      <c r="B5750" s="53"/>
      <c r="I5750" s="53"/>
      <c r="U5750" s="31" t="n">
        <f aca="false">IF($B5750&lt;&gt;'設定（最初に1回）'!$C$4,N(U5749),IF(COUNTIFS(①今日の在庫を貼る!$B$6:$B$10005,$B5750,①今日の在庫を貼る!$I$6:$I$10005,$I5750)&gt;0,N(U5749),N(U5749)+1))</f>
        <v>2</v>
      </c>
    </row>
    <row r="5751" customFormat="false" ht="15" hidden="false" customHeight="false" outlineLevel="0" collapsed="false">
      <c r="B5751" s="53"/>
      <c r="I5751" s="53"/>
      <c r="U5751" s="31" t="n">
        <f aca="false">IF($B5751&lt;&gt;'設定（最初に1回）'!$C$4,N(U5750),IF(COUNTIFS(①今日の在庫を貼る!$B$6:$B$10005,$B5751,①今日の在庫を貼る!$I$6:$I$10005,$I5751)&gt;0,N(U5750),N(U5750)+1))</f>
        <v>2</v>
      </c>
    </row>
    <row r="5752" customFormat="false" ht="15" hidden="false" customHeight="false" outlineLevel="0" collapsed="false">
      <c r="B5752" s="53"/>
      <c r="I5752" s="53"/>
      <c r="U5752" s="31" t="n">
        <f aca="false">IF($B5752&lt;&gt;'設定（最初に1回）'!$C$4,N(U5751),IF(COUNTIFS(①今日の在庫を貼る!$B$6:$B$10005,$B5752,①今日の在庫を貼る!$I$6:$I$10005,$I5752)&gt;0,N(U5751),N(U5751)+1))</f>
        <v>2</v>
      </c>
    </row>
    <row r="5753" customFormat="false" ht="15" hidden="false" customHeight="false" outlineLevel="0" collapsed="false">
      <c r="B5753" s="53"/>
      <c r="I5753" s="53"/>
      <c r="U5753" s="31" t="n">
        <f aca="false">IF($B5753&lt;&gt;'設定（最初に1回）'!$C$4,N(U5752),IF(COUNTIFS(①今日の在庫を貼る!$B$6:$B$10005,$B5753,①今日の在庫を貼る!$I$6:$I$10005,$I5753)&gt;0,N(U5752),N(U5752)+1))</f>
        <v>2</v>
      </c>
    </row>
    <row r="5754" customFormat="false" ht="15" hidden="false" customHeight="false" outlineLevel="0" collapsed="false">
      <c r="B5754" s="53"/>
      <c r="I5754" s="53"/>
      <c r="U5754" s="31" t="n">
        <f aca="false">IF($B5754&lt;&gt;'設定（最初に1回）'!$C$4,N(U5753),IF(COUNTIFS(①今日の在庫を貼る!$B$6:$B$10005,$B5754,①今日の在庫を貼る!$I$6:$I$10005,$I5754)&gt;0,N(U5753),N(U5753)+1))</f>
        <v>2</v>
      </c>
    </row>
    <row r="5755" customFormat="false" ht="15" hidden="false" customHeight="false" outlineLevel="0" collapsed="false">
      <c r="B5755" s="53"/>
      <c r="I5755" s="53"/>
      <c r="U5755" s="31" t="n">
        <f aca="false">IF($B5755&lt;&gt;'設定（最初に1回）'!$C$4,N(U5754),IF(COUNTIFS(①今日の在庫を貼る!$B$6:$B$10005,$B5755,①今日の在庫を貼る!$I$6:$I$10005,$I5755)&gt;0,N(U5754),N(U5754)+1))</f>
        <v>2</v>
      </c>
    </row>
    <row r="5756" customFormat="false" ht="15" hidden="false" customHeight="false" outlineLevel="0" collapsed="false">
      <c r="B5756" s="53"/>
      <c r="I5756" s="53"/>
      <c r="U5756" s="31" t="n">
        <f aca="false">IF($B5756&lt;&gt;'設定（最初に1回）'!$C$4,N(U5755),IF(COUNTIFS(①今日の在庫を貼る!$B$6:$B$10005,$B5756,①今日の在庫を貼る!$I$6:$I$10005,$I5756)&gt;0,N(U5755),N(U5755)+1))</f>
        <v>2</v>
      </c>
    </row>
    <row r="5757" customFormat="false" ht="15" hidden="false" customHeight="false" outlineLevel="0" collapsed="false">
      <c r="B5757" s="53"/>
      <c r="I5757" s="53"/>
      <c r="U5757" s="31" t="n">
        <f aca="false">IF($B5757&lt;&gt;'設定（最初に1回）'!$C$4,N(U5756),IF(COUNTIFS(①今日の在庫を貼る!$B$6:$B$10005,$B5757,①今日の在庫を貼る!$I$6:$I$10005,$I5757)&gt;0,N(U5756),N(U5756)+1))</f>
        <v>2</v>
      </c>
    </row>
    <row r="5758" customFormat="false" ht="15" hidden="false" customHeight="false" outlineLevel="0" collapsed="false">
      <c r="B5758" s="53"/>
      <c r="I5758" s="53"/>
      <c r="U5758" s="31" t="n">
        <f aca="false">IF($B5758&lt;&gt;'設定（最初に1回）'!$C$4,N(U5757),IF(COUNTIFS(①今日の在庫を貼る!$B$6:$B$10005,$B5758,①今日の在庫を貼る!$I$6:$I$10005,$I5758)&gt;0,N(U5757),N(U5757)+1))</f>
        <v>2</v>
      </c>
    </row>
    <row r="5759" customFormat="false" ht="15" hidden="false" customHeight="false" outlineLevel="0" collapsed="false">
      <c r="B5759" s="53"/>
      <c r="I5759" s="53"/>
      <c r="U5759" s="31" t="n">
        <f aca="false">IF($B5759&lt;&gt;'設定（最初に1回）'!$C$4,N(U5758),IF(COUNTIFS(①今日の在庫を貼る!$B$6:$B$10005,$B5759,①今日の在庫を貼る!$I$6:$I$10005,$I5759)&gt;0,N(U5758),N(U5758)+1))</f>
        <v>2</v>
      </c>
    </row>
    <row r="5760" customFormat="false" ht="15" hidden="false" customHeight="false" outlineLevel="0" collapsed="false">
      <c r="B5760" s="53"/>
      <c r="I5760" s="53"/>
      <c r="U5760" s="31" t="n">
        <f aca="false">IF($B5760&lt;&gt;'設定（最初に1回）'!$C$4,N(U5759),IF(COUNTIFS(①今日の在庫を貼る!$B$6:$B$10005,$B5760,①今日の在庫を貼る!$I$6:$I$10005,$I5760)&gt;0,N(U5759),N(U5759)+1))</f>
        <v>2</v>
      </c>
    </row>
    <row r="5761" customFormat="false" ht="15" hidden="false" customHeight="false" outlineLevel="0" collapsed="false">
      <c r="B5761" s="53"/>
      <c r="I5761" s="53"/>
      <c r="U5761" s="31" t="n">
        <f aca="false">IF($B5761&lt;&gt;'設定（最初に1回）'!$C$4,N(U5760),IF(COUNTIFS(①今日の在庫を貼る!$B$6:$B$10005,$B5761,①今日の在庫を貼る!$I$6:$I$10005,$I5761)&gt;0,N(U5760),N(U5760)+1))</f>
        <v>2</v>
      </c>
    </row>
    <row r="5762" customFormat="false" ht="15" hidden="false" customHeight="false" outlineLevel="0" collapsed="false">
      <c r="B5762" s="53"/>
      <c r="I5762" s="53"/>
      <c r="U5762" s="31" t="n">
        <f aca="false">IF($B5762&lt;&gt;'設定（最初に1回）'!$C$4,N(U5761),IF(COUNTIFS(①今日の在庫を貼る!$B$6:$B$10005,$B5762,①今日の在庫を貼る!$I$6:$I$10005,$I5762)&gt;0,N(U5761),N(U5761)+1))</f>
        <v>2</v>
      </c>
    </row>
    <row r="5763" customFormat="false" ht="15" hidden="false" customHeight="false" outlineLevel="0" collapsed="false">
      <c r="B5763" s="53"/>
      <c r="I5763" s="53"/>
      <c r="U5763" s="31" t="n">
        <f aca="false">IF($B5763&lt;&gt;'設定（最初に1回）'!$C$4,N(U5762),IF(COUNTIFS(①今日の在庫を貼る!$B$6:$B$10005,$B5763,①今日の在庫を貼る!$I$6:$I$10005,$I5763)&gt;0,N(U5762),N(U5762)+1))</f>
        <v>2</v>
      </c>
    </row>
    <row r="5764" customFormat="false" ht="15" hidden="false" customHeight="false" outlineLevel="0" collapsed="false">
      <c r="B5764" s="53"/>
      <c r="I5764" s="53"/>
      <c r="U5764" s="31" t="n">
        <f aca="false">IF($B5764&lt;&gt;'設定（最初に1回）'!$C$4,N(U5763),IF(COUNTIFS(①今日の在庫を貼る!$B$6:$B$10005,$B5764,①今日の在庫を貼る!$I$6:$I$10005,$I5764)&gt;0,N(U5763),N(U5763)+1))</f>
        <v>2</v>
      </c>
    </row>
    <row r="5765" customFormat="false" ht="15" hidden="false" customHeight="false" outlineLevel="0" collapsed="false">
      <c r="B5765" s="53"/>
      <c r="I5765" s="53"/>
      <c r="U5765" s="31" t="n">
        <f aca="false">IF($B5765&lt;&gt;'設定（最初に1回）'!$C$4,N(U5764),IF(COUNTIFS(①今日の在庫を貼る!$B$6:$B$10005,$B5765,①今日の在庫を貼る!$I$6:$I$10005,$I5765)&gt;0,N(U5764),N(U5764)+1))</f>
        <v>2</v>
      </c>
    </row>
    <row r="5766" customFormat="false" ht="15" hidden="false" customHeight="false" outlineLevel="0" collapsed="false">
      <c r="B5766" s="53"/>
      <c r="I5766" s="53"/>
      <c r="U5766" s="31" t="n">
        <f aca="false">IF($B5766&lt;&gt;'設定（最初に1回）'!$C$4,N(U5765),IF(COUNTIFS(①今日の在庫を貼る!$B$6:$B$10005,$B5766,①今日の在庫を貼る!$I$6:$I$10005,$I5766)&gt;0,N(U5765),N(U5765)+1))</f>
        <v>2</v>
      </c>
    </row>
    <row r="5767" customFormat="false" ht="15" hidden="false" customHeight="false" outlineLevel="0" collapsed="false">
      <c r="B5767" s="53"/>
      <c r="I5767" s="53"/>
      <c r="U5767" s="31" t="n">
        <f aca="false">IF($B5767&lt;&gt;'設定（最初に1回）'!$C$4,N(U5766),IF(COUNTIFS(①今日の在庫を貼る!$B$6:$B$10005,$B5767,①今日の在庫を貼る!$I$6:$I$10005,$I5767)&gt;0,N(U5766),N(U5766)+1))</f>
        <v>2</v>
      </c>
    </row>
    <row r="5768" customFormat="false" ht="15" hidden="false" customHeight="false" outlineLevel="0" collapsed="false">
      <c r="B5768" s="53"/>
      <c r="I5768" s="53"/>
      <c r="U5768" s="31" t="n">
        <f aca="false">IF($B5768&lt;&gt;'設定（最初に1回）'!$C$4,N(U5767),IF(COUNTIFS(①今日の在庫を貼る!$B$6:$B$10005,$B5768,①今日の在庫を貼る!$I$6:$I$10005,$I5768)&gt;0,N(U5767),N(U5767)+1))</f>
        <v>2</v>
      </c>
    </row>
    <row r="5769" customFormat="false" ht="15" hidden="false" customHeight="false" outlineLevel="0" collapsed="false">
      <c r="B5769" s="53"/>
      <c r="I5769" s="53"/>
      <c r="U5769" s="31" t="n">
        <f aca="false">IF($B5769&lt;&gt;'設定（最初に1回）'!$C$4,N(U5768),IF(COUNTIFS(①今日の在庫を貼る!$B$6:$B$10005,$B5769,①今日の在庫を貼る!$I$6:$I$10005,$I5769)&gt;0,N(U5768),N(U5768)+1))</f>
        <v>2</v>
      </c>
    </row>
    <row r="5770" customFormat="false" ht="15" hidden="false" customHeight="false" outlineLevel="0" collapsed="false">
      <c r="B5770" s="53"/>
      <c r="I5770" s="53"/>
      <c r="U5770" s="31" t="n">
        <f aca="false">IF($B5770&lt;&gt;'設定（最初に1回）'!$C$4,N(U5769),IF(COUNTIFS(①今日の在庫を貼る!$B$6:$B$10005,$B5770,①今日の在庫を貼る!$I$6:$I$10005,$I5770)&gt;0,N(U5769),N(U5769)+1))</f>
        <v>2</v>
      </c>
    </row>
    <row r="5771" customFormat="false" ht="15" hidden="false" customHeight="false" outlineLevel="0" collapsed="false">
      <c r="B5771" s="53"/>
      <c r="I5771" s="53"/>
      <c r="U5771" s="31" t="n">
        <f aca="false">IF($B5771&lt;&gt;'設定（最初に1回）'!$C$4,N(U5770),IF(COUNTIFS(①今日の在庫を貼る!$B$6:$B$10005,$B5771,①今日の在庫を貼る!$I$6:$I$10005,$I5771)&gt;0,N(U5770),N(U5770)+1))</f>
        <v>2</v>
      </c>
    </row>
    <row r="5772" customFormat="false" ht="15" hidden="false" customHeight="false" outlineLevel="0" collapsed="false">
      <c r="B5772" s="53"/>
      <c r="I5772" s="53"/>
      <c r="U5772" s="31" t="n">
        <f aca="false">IF($B5772&lt;&gt;'設定（最初に1回）'!$C$4,N(U5771),IF(COUNTIFS(①今日の在庫を貼る!$B$6:$B$10005,$B5772,①今日の在庫を貼る!$I$6:$I$10005,$I5772)&gt;0,N(U5771),N(U5771)+1))</f>
        <v>2</v>
      </c>
    </row>
    <row r="5773" customFormat="false" ht="15" hidden="false" customHeight="false" outlineLevel="0" collapsed="false">
      <c r="B5773" s="53"/>
      <c r="I5773" s="53"/>
      <c r="U5773" s="31" t="n">
        <f aca="false">IF($B5773&lt;&gt;'設定（最初に1回）'!$C$4,N(U5772),IF(COUNTIFS(①今日の在庫を貼る!$B$6:$B$10005,$B5773,①今日の在庫を貼る!$I$6:$I$10005,$I5773)&gt;0,N(U5772),N(U5772)+1))</f>
        <v>2</v>
      </c>
    </row>
    <row r="5774" customFormat="false" ht="15" hidden="false" customHeight="false" outlineLevel="0" collapsed="false">
      <c r="B5774" s="53"/>
      <c r="I5774" s="53"/>
      <c r="U5774" s="31" t="n">
        <f aca="false">IF($B5774&lt;&gt;'設定（最初に1回）'!$C$4,N(U5773),IF(COUNTIFS(①今日の在庫を貼る!$B$6:$B$10005,$B5774,①今日の在庫を貼る!$I$6:$I$10005,$I5774)&gt;0,N(U5773),N(U5773)+1))</f>
        <v>2</v>
      </c>
    </row>
    <row r="5775" customFormat="false" ht="15" hidden="false" customHeight="false" outlineLevel="0" collapsed="false">
      <c r="B5775" s="53"/>
      <c r="I5775" s="53"/>
      <c r="U5775" s="31" t="n">
        <f aca="false">IF($B5775&lt;&gt;'設定（最初に1回）'!$C$4,N(U5774),IF(COUNTIFS(①今日の在庫を貼る!$B$6:$B$10005,$B5775,①今日の在庫を貼る!$I$6:$I$10005,$I5775)&gt;0,N(U5774),N(U5774)+1))</f>
        <v>2</v>
      </c>
    </row>
    <row r="5776" customFormat="false" ht="15" hidden="false" customHeight="false" outlineLevel="0" collapsed="false">
      <c r="B5776" s="53"/>
      <c r="I5776" s="53"/>
      <c r="U5776" s="31" t="n">
        <f aca="false">IF($B5776&lt;&gt;'設定（最初に1回）'!$C$4,N(U5775),IF(COUNTIFS(①今日の在庫を貼る!$B$6:$B$10005,$B5776,①今日の在庫を貼る!$I$6:$I$10005,$I5776)&gt;0,N(U5775),N(U5775)+1))</f>
        <v>2</v>
      </c>
    </row>
    <row r="5777" customFormat="false" ht="15" hidden="false" customHeight="false" outlineLevel="0" collapsed="false">
      <c r="B5777" s="53"/>
      <c r="I5777" s="53"/>
      <c r="U5777" s="31" t="n">
        <f aca="false">IF($B5777&lt;&gt;'設定（最初に1回）'!$C$4,N(U5776),IF(COUNTIFS(①今日の在庫を貼る!$B$6:$B$10005,$B5777,①今日の在庫を貼る!$I$6:$I$10005,$I5777)&gt;0,N(U5776),N(U5776)+1))</f>
        <v>2</v>
      </c>
    </row>
    <row r="5778" customFormat="false" ht="15" hidden="false" customHeight="false" outlineLevel="0" collapsed="false">
      <c r="B5778" s="53"/>
      <c r="I5778" s="53"/>
      <c r="U5778" s="31" t="n">
        <f aca="false">IF($B5778&lt;&gt;'設定（最初に1回）'!$C$4,N(U5777),IF(COUNTIFS(①今日の在庫を貼る!$B$6:$B$10005,$B5778,①今日の在庫を貼る!$I$6:$I$10005,$I5778)&gt;0,N(U5777),N(U5777)+1))</f>
        <v>2</v>
      </c>
    </row>
    <row r="5779" customFormat="false" ht="15" hidden="false" customHeight="false" outlineLevel="0" collapsed="false">
      <c r="B5779" s="53"/>
      <c r="I5779" s="53"/>
      <c r="U5779" s="31" t="n">
        <f aca="false">IF($B5779&lt;&gt;'設定（最初に1回）'!$C$4,N(U5778),IF(COUNTIFS(①今日の在庫を貼る!$B$6:$B$10005,$B5779,①今日の在庫を貼る!$I$6:$I$10005,$I5779)&gt;0,N(U5778),N(U5778)+1))</f>
        <v>2</v>
      </c>
    </row>
    <row r="5780" customFormat="false" ht="15" hidden="false" customHeight="false" outlineLevel="0" collapsed="false">
      <c r="B5780" s="53"/>
      <c r="I5780" s="53"/>
      <c r="U5780" s="31" t="n">
        <f aca="false">IF($B5780&lt;&gt;'設定（最初に1回）'!$C$4,N(U5779),IF(COUNTIFS(①今日の在庫を貼る!$B$6:$B$10005,$B5780,①今日の在庫を貼る!$I$6:$I$10005,$I5780)&gt;0,N(U5779),N(U5779)+1))</f>
        <v>2</v>
      </c>
    </row>
    <row r="5781" customFormat="false" ht="15" hidden="false" customHeight="false" outlineLevel="0" collapsed="false">
      <c r="B5781" s="53"/>
      <c r="I5781" s="53"/>
      <c r="U5781" s="31" t="n">
        <f aca="false">IF($B5781&lt;&gt;'設定（最初に1回）'!$C$4,N(U5780),IF(COUNTIFS(①今日の在庫を貼る!$B$6:$B$10005,$B5781,①今日の在庫を貼る!$I$6:$I$10005,$I5781)&gt;0,N(U5780),N(U5780)+1))</f>
        <v>2</v>
      </c>
    </row>
    <row r="5782" customFormat="false" ht="15" hidden="false" customHeight="false" outlineLevel="0" collapsed="false">
      <c r="B5782" s="53"/>
      <c r="I5782" s="53"/>
      <c r="U5782" s="31" t="n">
        <f aca="false">IF($B5782&lt;&gt;'設定（最初に1回）'!$C$4,N(U5781),IF(COUNTIFS(①今日の在庫を貼る!$B$6:$B$10005,$B5782,①今日の在庫を貼る!$I$6:$I$10005,$I5782)&gt;0,N(U5781),N(U5781)+1))</f>
        <v>2</v>
      </c>
    </row>
    <row r="5783" customFormat="false" ht="15" hidden="false" customHeight="false" outlineLevel="0" collapsed="false">
      <c r="B5783" s="53"/>
      <c r="I5783" s="53"/>
      <c r="U5783" s="31" t="n">
        <f aca="false">IF($B5783&lt;&gt;'設定（最初に1回）'!$C$4,N(U5782),IF(COUNTIFS(①今日の在庫を貼る!$B$6:$B$10005,$B5783,①今日の在庫を貼る!$I$6:$I$10005,$I5783)&gt;0,N(U5782),N(U5782)+1))</f>
        <v>2</v>
      </c>
    </row>
    <row r="5784" customFormat="false" ht="15" hidden="false" customHeight="false" outlineLevel="0" collapsed="false">
      <c r="B5784" s="53"/>
      <c r="I5784" s="53"/>
      <c r="U5784" s="31" t="n">
        <f aca="false">IF($B5784&lt;&gt;'設定（最初に1回）'!$C$4,N(U5783),IF(COUNTIFS(①今日の在庫を貼る!$B$6:$B$10005,$B5784,①今日の在庫を貼る!$I$6:$I$10005,$I5784)&gt;0,N(U5783),N(U5783)+1))</f>
        <v>2</v>
      </c>
    </row>
    <row r="5785" customFormat="false" ht="15" hidden="false" customHeight="false" outlineLevel="0" collapsed="false">
      <c r="B5785" s="53"/>
      <c r="I5785" s="53"/>
      <c r="U5785" s="31" t="n">
        <f aca="false">IF($B5785&lt;&gt;'設定（最初に1回）'!$C$4,N(U5784),IF(COUNTIFS(①今日の在庫を貼る!$B$6:$B$10005,$B5785,①今日の在庫を貼る!$I$6:$I$10005,$I5785)&gt;0,N(U5784),N(U5784)+1))</f>
        <v>2</v>
      </c>
    </row>
    <row r="5786" customFormat="false" ht="15" hidden="false" customHeight="false" outlineLevel="0" collapsed="false">
      <c r="B5786" s="53"/>
      <c r="I5786" s="53"/>
      <c r="U5786" s="31" t="n">
        <f aca="false">IF($B5786&lt;&gt;'設定（最初に1回）'!$C$4,N(U5785),IF(COUNTIFS(①今日の在庫を貼る!$B$6:$B$10005,$B5786,①今日の在庫を貼る!$I$6:$I$10005,$I5786)&gt;0,N(U5785),N(U5785)+1))</f>
        <v>2</v>
      </c>
    </row>
    <row r="5787" customFormat="false" ht="15" hidden="false" customHeight="false" outlineLevel="0" collapsed="false">
      <c r="B5787" s="53"/>
      <c r="I5787" s="53"/>
      <c r="U5787" s="31" t="n">
        <f aca="false">IF($B5787&lt;&gt;'設定（最初に1回）'!$C$4,N(U5786),IF(COUNTIFS(①今日の在庫を貼る!$B$6:$B$10005,$B5787,①今日の在庫を貼る!$I$6:$I$10005,$I5787)&gt;0,N(U5786),N(U5786)+1))</f>
        <v>2</v>
      </c>
    </row>
    <row r="5788" customFormat="false" ht="15" hidden="false" customHeight="false" outlineLevel="0" collapsed="false">
      <c r="B5788" s="53"/>
      <c r="I5788" s="53"/>
      <c r="U5788" s="31" t="n">
        <f aca="false">IF($B5788&lt;&gt;'設定（最初に1回）'!$C$4,N(U5787),IF(COUNTIFS(①今日の在庫を貼る!$B$6:$B$10005,$B5788,①今日の在庫を貼る!$I$6:$I$10005,$I5788)&gt;0,N(U5787),N(U5787)+1))</f>
        <v>2</v>
      </c>
    </row>
    <row r="5789" customFormat="false" ht="15" hidden="false" customHeight="false" outlineLevel="0" collapsed="false">
      <c r="B5789" s="53"/>
      <c r="I5789" s="53"/>
      <c r="U5789" s="31" t="n">
        <f aca="false">IF($B5789&lt;&gt;'設定（最初に1回）'!$C$4,N(U5788),IF(COUNTIFS(①今日の在庫を貼る!$B$6:$B$10005,$B5789,①今日の在庫を貼る!$I$6:$I$10005,$I5789)&gt;0,N(U5788),N(U5788)+1))</f>
        <v>2</v>
      </c>
    </row>
    <row r="5790" customFormat="false" ht="15" hidden="false" customHeight="false" outlineLevel="0" collapsed="false">
      <c r="B5790" s="53"/>
      <c r="I5790" s="53"/>
      <c r="U5790" s="31" t="n">
        <f aca="false">IF($B5790&lt;&gt;'設定（最初に1回）'!$C$4,N(U5789),IF(COUNTIFS(①今日の在庫を貼る!$B$6:$B$10005,$B5790,①今日の在庫を貼る!$I$6:$I$10005,$I5790)&gt;0,N(U5789),N(U5789)+1))</f>
        <v>2</v>
      </c>
    </row>
    <row r="5791" customFormat="false" ht="15" hidden="false" customHeight="false" outlineLevel="0" collapsed="false">
      <c r="B5791" s="53"/>
      <c r="I5791" s="53"/>
      <c r="U5791" s="31" t="n">
        <f aca="false">IF($B5791&lt;&gt;'設定（最初に1回）'!$C$4,N(U5790),IF(COUNTIFS(①今日の在庫を貼る!$B$6:$B$10005,$B5791,①今日の在庫を貼る!$I$6:$I$10005,$I5791)&gt;0,N(U5790),N(U5790)+1))</f>
        <v>2</v>
      </c>
    </row>
    <row r="5792" customFormat="false" ht="15" hidden="false" customHeight="false" outlineLevel="0" collapsed="false">
      <c r="B5792" s="53"/>
      <c r="I5792" s="53"/>
      <c r="U5792" s="31" t="n">
        <f aca="false">IF($B5792&lt;&gt;'設定（最初に1回）'!$C$4,N(U5791),IF(COUNTIFS(①今日の在庫を貼る!$B$6:$B$10005,$B5792,①今日の在庫を貼る!$I$6:$I$10005,$I5792)&gt;0,N(U5791),N(U5791)+1))</f>
        <v>2</v>
      </c>
    </row>
    <row r="5793" customFormat="false" ht="15" hidden="false" customHeight="false" outlineLevel="0" collapsed="false">
      <c r="B5793" s="53"/>
      <c r="I5793" s="53"/>
      <c r="U5793" s="31" t="n">
        <f aca="false">IF($B5793&lt;&gt;'設定（最初に1回）'!$C$4,N(U5792),IF(COUNTIFS(①今日の在庫を貼る!$B$6:$B$10005,$B5793,①今日の在庫を貼る!$I$6:$I$10005,$I5793)&gt;0,N(U5792),N(U5792)+1))</f>
        <v>2</v>
      </c>
    </row>
    <row r="5794" customFormat="false" ht="15" hidden="false" customHeight="false" outlineLevel="0" collapsed="false">
      <c r="B5794" s="53"/>
      <c r="I5794" s="53"/>
      <c r="U5794" s="31" t="n">
        <f aca="false">IF($B5794&lt;&gt;'設定（最初に1回）'!$C$4,N(U5793),IF(COUNTIFS(①今日の在庫を貼る!$B$6:$B$10005,$B5794,①今日の在庫を貼る!$I$6:$I$10005,$I5794)&gt;0,N(U5793),N(U5793)+1))</f>
        <v>2</v>
      </c>
    </row>
    <row r="5795" customFormat="false" ht="15" hidden="false" customHeight="false" outlineLevel="0" collapsed="false">
      <c r="B5795" s="53"/>
      <c r="I5795" s="53"/>
      <c r="U5795" s="31" t="n">
        <f aca="false">IF($B5795&lt;&gt;'設定（最初に1回）'!$C$4,N(U5794),IF(COUNTIFS(①今日の在庫を貼る!$B$6:$B$10005,$B5795,①今日の在庫を貼る!$I$6:$I$10005,$I5795)&gt;0,N(U5794),N(U5794)+1))</f>
        <v>2</v>
      </c>
    </row>
    <row r="5796" customFormat="false" ht="15" hidden="false" customHeight="false" outlineLevel="0" collapsed="false">
      <c r="B5796" s="53"/>
      <c r="I5796" s="53"/>
      <c r="U5796" s="31" t="n">
        <f aca="false">IF($B5796&lt;&gt;'設定（最初に1回）'!$C$4,N(U5795),IF(COUNTIFS(①今日の在庫を貼る!$B$6:$B$10005,$B5796,①今日の在庫を貼る!$I$6:$I$10005,$I5796)&gt;0,N(U5795),N(U5795)+1))</f>
        <v>2</v>
      </c>
    </row>
    <row r="5797" customFormat="false" ht="15" hidden="false" customHeight="false" outlineLevel="0" collapsed="false">
      <c r="B5797" s="53"/>
      <c r="I5797" s="53"/>
      <c r="U5797" s="31" t="n">
        <f aca="false">IF($B5797&lt;&gt;'設定（最初に1回）'!$C$4,N(U5796),IF(COUNTIFS(①今日の在庫を貼る!$B$6:$B$10005,$B5797,①今日の在庫を貼る!$I$6:$I$10005,$I5797)&gt;0,N(U5796),N(U5796)+1))</f>
        <v>2</v>
      </c>
    </row>
    <row r="5798" customFormat="false" ht="15" hidden="false" customHeight="false" outlineLevel="0" collapsed="false">
      <c r="B5798" s="53"/>
      <c r="I5798" s="53"/>
      <c r="U5798" s="31" t="n">
        <f aca="false">IF($B5798&lt;&gt;'設定（最初に1回）'!$C$4,N(U5797),IF(COUNTIFS(①今日の在庫を貼る!$B$6:$B$10005,$B5798,①今日の在庫を貼る!$I$6:$I$10005,$I5798)&gt;0,N(U5797),N(U5797)+1))</f>
        <v>2</v>
      </c>
    </row>
    <row r="5799" customFormat="false" ht="15" hidden="false" customHeight="false" outlineLevel="0" collapsed="false">
      <c r="B5799" s="53"/>
      <c r="I5799" s="53"/>
      <c r="U5799" s="31" t="n">
        <f aca="false">IF($B5799&lt;&gt;'設定（最初に1回）'!$C$4,N(U5798),IF(COUNTIFS(①今日の在庫を貼る!$B$6:$B$10005,$B5799,①今日の在庫を貼る!$I$6:$I$10005,$I5799)&gt;0,N(U5798),N(U5798)+1))</f>
        <v>2</v>
      </c>
    </row>
    <row r="5800" customFormat="false" ht="15" hidden="false" customHeight="false" outlineLevel="0" collapsed="false">
      <c r="B5800" s="53"/>
      <c r="I5800" s="53"/>
      <c r="U5800" s="31" t="n">
        <f aca="false">IF($B5800&lt;&gt;'設定（最初に1回）'!$C$4,N(U5799),IF(COUNTIFS(①今日の在庫を貼る!$B$6:$B$10005,$B5800,①今日の在庫を貼る!$I$6:$I$10005,$I5800)&gt;0,N(U5799),N(U5799)+1))</f>
        <v>2</v>
      </c>
    </row>
    <row r="5801" customFormat="false" ht="15" hidden="false" customHeight="false" outlineLevel="0" collapsed="false">
      <c r="B5801" s="53"/>
      <c r="I5801" s="53"/>
      <c r="U5801" s="31" t="n">
        <f aca="false">IF($B5801&lt;&gt;'設定（最初に1回）'!$C$4,N(U5800),IF(COUNTIFS(①今日の在庫を貼る!$B$6:$B$10005,$B5801,①今日の在庫を貼る!$I$6:$I$10005,$I5801)&gt;0,N(U5800),N(U5800)+1))</f>
        <v>2</v>
      </c>
    </row>
    <row r="5802" customFormat="false" ht="15" hidden="false" customHeight="false" outlineLevel="0" collapsed="false">
      <c r="B5802" s="53"/>
      <c r="I5802" s="53"/>
      <c r="U5802" s="31" t="n">
        <f aca="false">IF($B5802&lt;&gt;'設定（最初に1回）'!$C$4,N(U5801),IF(COUNTIFS(①今日の在庫を貼る!$B$6:$B$10005,$B5802,①今日の在庫を貼る!$I$6:$I$10005,$I5802)&gt;0,N(U5801),N(U5801)+1))</f>
        <v>2</v>
      </c>
    </row>
    <row r="5803" customFormat="false" ht="15" hidden="false" customHeight="false" outlineLevel="0" collapsed="false">
      <c r="B5803" s="53"/>
      <c r="I5803" s="53"/>
      <c r="U5803" s="31" t="n">
        <f aca="false">IF($B5803&lt;&gt;'設定（最初に1回）'!$C$4,N(U5802),IF(COUNTIFS(①今日の在庫を貼る!$B$6:$B$10005,$B5803,①今日の在庫を貼る!$I$6:$I$10005,$I5803)&gt;0,N(U5802),N(U5802)+1))</f>
        <v>2</v>
      </c>
    </row>
    <row r="5804" customFormat="false" ht="15" hidden="false" customHeight="false" outlineLevel="0" collapsed="false">
      <c r="B5804" s="53"/>
      <c r="I5804" s="53"/>
      <c r="U5804" s="31" t="n">
        <f aca="false">IF($B5804&lt;&gt;'設定（最初に1回）'!$C$4,N(U5803),IF(COUNTIFS(①今日の在庫を貼る!$B$6:$B$10005,$B5804,①今日の在庫を貼る!$I$6:$I$10005,$I5804)&gt;0,N(U5803),N(U5803)+1))</f>
        <v>2</v>
      </c>
    </row>
    <row r="5805" customFormat="false" ht="15" hidden="false" customHeight="false" outlineLevel="0" collapsed="false">
      <c r="B5805" s="53"/>
      <c r="I5805" s="53"/>
      <c r="U5805" s="31" t="n">
        <f aca="false">IF($B5805&lt;&gt;'設定（最初に1回）'!$C$4,N(U5804),IF(COUNTIFS(①今日の在庫を貼る!$B$6:$B$10005,$B5805,①今日の在庫を貼る!$I$6:$I$10005,$I5805)&gt;0,N(U5804),N(U5804)+1))</f>
        <v>2</v>
      </c>
    </row>
    <row r="5806" customFormat="false" ht="15" hidden="false" customHeight="false" outlineLevel="0" collapsed="false">
      <c r="B5806" s="53"/>
      <c r="I5806" s="53"/>
      <c r="U5806" s="31" t="n">
        <f aca="false">IF($B5806&lt;&gt;'設定（最初に1回）'!$C$4,N(U5805),IF(COUNTIFS(①今日の在庫を貼る!$B$6:$B$10005,$B5806,①今日の在庫を貼る!$I$6:$I$10005,$I5806)&gt;0,N(U5805),N(U5805)+1))</f>
        <v>2</v>
      </c>
    </row>
    <row r="5807" customFormat="false" ht="15" hidden="false" customHeight="false" outlineLevel="0" collapsed="false">
      <c r="B5807" s="53"/>
      <c r="I5807" s="53"/>
      <c r="U5807" s="31" t="n">
        <f aca="false">IF($B5807&lt;&gt;'設定（最初に1回）'!$C$4,N(U5806),IF(COUNTIFS(①今日の在庫を貼る!$B$6:$B$10005,$B5807,①今日の在庫を貼る!$I$6:$I$10005,$I5807)&gt;0,N(U5806),N(U5806)+1))</f>
        <v>2</v>
      </c>
    </row>
    <row r="5808" customFormat="false" ht="15" hidden="false" customHeight="false" outlineLevel="0" collapsed="false">
      <c r="B5808" s="53"/>
      <c r="I5808" s="53"/>
      <c r="U5808" s="31" t="n">
        <f aca="false">IF($B5808&lt;&gt;'設定（最初に1回）'!$C$4,N(U5807),IF(COUNTIFS(①今日の在庫を貼る!$B$6:$B$10005,$B5808,①今日の在庫を貼る!$I$6:$I$10005,$I5808)&gt;0,N(U5807),N(U5807)+1))</f>
        <v>2</v>
      </c>
    </row>
    <row r="5809" customFormat="false" ht="15" hidden="false" customHeight="false" outlineLevel="0" collapsed="false">
      <c r="B5809" s="53"/>
      <c r="I5809" s="53"/>
      <c r="U5809" s="31" t="n">
        <f aca="false">IF($B5809&lt;&gt;'設定（最初に1回）'!$C$4,N(U5808),IF(COUNTIFS(①今日の在庫を貼る!$B$6:$B$10005,$B5809,①今日の在庫を貼る!$I$6:$I$10005,$I5809)&gt;0,N(U5808),N(U5808)+1))</f>
        <v>2</v>
      </c>
    </row>
    <row r="5810" customFormat="false" ht="15" hidden="false" customHeight="false" outlineLevel="0" collapsed="false">
      <c r="B5810" s="53"/>
      <c r="I5810" s="53"/>
      <c r="U5810" s="31" t="n">
        <f aca="false">IF($B5810&lt;&gt;'設定（最初に1回）'!$C$4,N(U5809),IF(COUNTIFS(①今日の在庫を貼る!$B$6:$B$10005,$B5810,①今日の在庫を貼る!$I$6:$I$10005,$I5810)&gt;0,N(U5809),N(U5809)+1))</f>
        <v>2</v>
      </c>
    </row>
    <row r="5811" customFormat="false" ht="15" hidden="false" customHeight="false" outlineLevel="0" collapsed="false">
      <c r="B5811" s="53"/>
      <c r="I5811" s="53"/>
      <c r="U5811" s="31" t="n">
        <f aca="false">IF($B5811&lt;&gt;'設定（最初に1回）'!$C$4,N(U5810),IF(COUNTIFS(①今日の在庫を貼る!$B$6:$B$10005,$B5811,①今日の在庫を貼る!$I$6:$I$10005,$I5811)&gt;0,N(U5810),N(U5810)+1))</f>
        <v>2</v>
      </c>
    </row>
    <row r="5812" customFormat="false" ht="15" hidden="false" customHeight="false" outlineLevel="0" collapsed="false">
      <c r="B5812" s="53"/>
      <c r="I5812" s="53"/>
      <c r="U5812" s="31" t="n">
        <f aca="false">IF($B5812&lt;&gt;'設定（最初に1回）'!$C$4,N(U5811),IF(COUNTIFS(①今日の在庫を貼る!$B$6:$B$10005,$B5812,①今日の在庫を貼る!$I$6:$I$10005,$I5812)&gt;0,N(U5811),N(U5811)+1))</f>
        <v>2</v>
      </c>
    </row>
    <row r="5813" customFormat="false" ht="15" hidden="false" customHeight="false" outlineLevel="0" collapsed="false">
      <c r="B5813" s="53"/>
      <c r="I5813" s="53"/>
      <c r="U5813" s="31" t="n">
        <f aca="false">IF($B5813&lt;&gt;'設定（最初に1回）'!$C$4,N(U5812),IF(COUNTIFS(①今日の在庫を貼る!$B$6:$B$10005,$B5813,①今日の在庫を貼る!$I$6:$I$10005,$I5813)&gt;0,N(U5812),N(U5812)+1))</f>
        <v>2</v>
      </c>
    </row>
    <row r="5814" customFormat="false" ht="15" hidden="false" customHeight="false" outlineLevel="0" collapsed="false">
      <c r="B5814" s="53"/>
      <c r="I5814" s="53"/>
      <c r="U5814" s="31" t="n">
        <f aca="false">IF($B5814&lt;&gt;'設定（最初に1回）'!$C$4,N(U5813),IF(COUNTIFS(①今日の在庫を貼る!$B$6:$B$10005,$B5814,①今日の在庫を貼る!$I$6:$I$10005,$I5814)&gt;0,N(U5813),N(U5813)+1))</f>
        <v>2</v>
      </c>
    </row>
    <row r="5815" customFormat="false" ht="15" hidden="false" customHeight="false" outlineLevel="0" collapsed="false">
      <c r="B5815" s="53"/>
      <c r="I5815" s="53"/>
      <c r="U5815" s="31" t="n">
        <f aca="false">IF($B5815&lt;&gt;'設定（最初に1回）'!$C$4,N(U5814),IF(COUNTIFS(①今日の在庫を貼る!$B$6:$B$10005,$B5815,①今日の在庫を貼る!$I$6:$I$10005,$I5815)&gt;0,N(U5814),N(U5814)+1))</f>
        <v>2</v>
      </c>
    </row>
    <row r="5816" customFormat="false" ht="15" hidden="false" customHeight="false" outlineLevel="0" collapsed="false">
      <c r="B5816" s="53"/>
      <c r="I5816" s="53"/>
      <c r="U5816" s="31" t="n">
        <f aca="false">IF($B5816&lt;&gt;'設定（最初に1回）'!$C$4,N(U5815),IF(COUNTIFS(①今日の在庫を貼る!$B$6:$B$10005,$B5816,①今日の在庫を貼る!$I$6:$I$10005,$I5816)&gt;0,N(U5815),N(U5815)+1))</f>
        <v>2</v>
      </c>
    </row>
    <row r="5817" customFormat="false" ht="15" hidden="false" customHeight="false" outlineLevel="0" collapsed="false">
      <c r="B5817" s="53"/>
      <c r="I5817" s="53"/>
      <c r="U5817" s="31" t="n">
        <f aca="false">IF($B5817&lt;&gt;'設定（最初に1回）'!$C$4,N(U5816),IF(COUNTIFS(①今日の在庫を貼る!$B$6:$B$10005,$B5817,①今日の在庫を貼る!$I$6:$I$10005,$I5817)&gt;0,N(U5816),N(U5816)+1))</f>
        <v>2</v>
      </c>
    </row>
    <row r="5818" customFormat="false" ht="15" hidden="false" customHeight="false" outlineLevel="0" collapsed="false">
      <c r="B5818" s="53"/>
      <c r="I5818" s="53"/>
      <c r="U5818" s="31" t="n">
        <f aca="false">IF($B5818&lt;&gt;'設定（最初に1回）'!$C$4,N(U5817),IF(COUNTIFS(①今日の在庫を貼る!$B$6:$B$10005,$B5818,①今日の在庫を貼る!$I$6:$I$10005,$I5818)&gt;0,N(U5817),N(U5817)+1))</f>
        <v>2</v>
      </c>
    </row>
    <row r="5819" customFormat="false" ht="15" hidden="false" customHeight="false" outlineLevel="0" collapsed="false">
      <c r="B5819" s="53"/>
      <c r="I5819" s="53"/>
      <c r="U5819" s="31" t="n">
        <f aca="false">IF($B5819&lt;&gt;'設定（最初に1回）'!$C$4,N(U5818),IF(COUNTIFS(①今日の在庫を貼る!$B$6:$B$10005,$B5819,①今日の在庫を貼る!$I$6:$I$10005,$I5819)&gt;0,N(U5818),N(U5818)+1))</f>
        <v>2</v>
      </c>
    </row>
    <row r="5820" customFormat="false" ht="15" hidden="false" customHeight="false" outlineLevel="0" collapsed="false">
      <c r="B5820" s="53"/>
      <c r="I5820" s="53"/>
      <c r="U5820" s="31" t="n">
        <f aca="false">IF($B5820&lt;&gt;'設定（最初に1回）'!$C$4,N(U5819),IF(COUNTIFS(①今日の在庫を貼る!$B$6:$B$10005,$B5820,①今日の在庫を貼る!$I$6:$I$10005,$I5820)&gt;0,N(U5819),N(U5819)+1))</f>
        <v>2</v>
      </c>
    </row>
    <row r="5821" customFormat="false" ht="15" hidden="false" customHeight="false" outlineLevel="0" collapsed="false">
      <c r="B5821" s="53"/>
      <c r="I5821" s="53"/>
      <c r="U5821" s="31" t="n">
        <f aca="false">IF($B5821&lt;&gt;'設定（最初に1回）'!$C$4,N(U5820),IF(COUNTIFS(①今日の在庫を貼る!$B$6:$B$10005,$B5821,①今日の在庫を貼る!$I$6:$I$10005,$I5821)&gt;0,N(U5820),N(U5820)+1))</f>
        <v>2</v>
      </c>
    </row>
    <row r="5822" customFormat="false" ht="15" hidden="false" customHeight="false" outlineLevel="0" collapsed="false">
      <c r="B5822" s="53"/>
      <c r="I5822" s="53"/>
      <c r="U5822" s="31" t="n">
        <f aca="false">IF($B5822&lt;&gt;'設定（最初に1回）'!$C$4,N(U5821),IF(COUNTIFS(①今日の在庫を貼る!$B$6:$B$10005,$B5822,①今日の在庫を貼る!$I$6:$I$10005,$I5822)&gt;0,N(U5821),N(U5821)+1))</f>
        <v>2</v>
      </c>
    </row>
    <row r="5823" customFormat="false" ht="15" hidden="false" customHeight="false" outlineLevel="0" collapsed="false">
      <c r="B5823" s="53"/>
      <c r="I5823" s="53"/>
      <c r="U5823" s="31" t="n">
        <f aca="false">IF($B5823&lt;&gt;'設定（最初に1回）'!$C$4,N(U5822),IF(COUNTIFS(①今日の在庫を貼る!$B$6:$B$10005,$B5823,①今日の在庫を貼る!$I$6:$I$10005,$I5823)&gt;0,N(U5822),N(U5822)+1))</f>
        <v>2</v>
      </c>
    </row>
    <row r="5824" customFormat="false" ht="15" hidden="false" customHeight="false" outlineLevel="0" collapsed="false">
      <c r="B5824" s="53"/>
      <c r="I5824" s="53"/>
      <c r="U5824" s="31" t="n">
        <f aca="false">IF($B5824&lt;&gt;'設定（最初に1回）'!$C$4,N(U5823),IF(COUNTIFS(①今日の在庫を貼る!$B$6:$B$10005,$B5824,①今日の在庫を貼る!$I$6:$I$10005,$I5824)&gt;0,N(U5823),N(U5823)+1))</f>
        <v>2</v>
      </c>
    </row>
    <row r="5825" customFormat="false" ht="15" hidden="false" customHeight="false" outlineLevel="0" collapsed="false">
      <c r="B5825" s="53"/>
      <c r="I5825" s="53"/>
      <c r="U5825" s="31" t="n">
        <f aca="false">IF($B5825&lt;&gt;'設定（最初に1回）'!$C$4,N(U5824),IF(COUNTIFS(①今日の在庫を貼る!$B$6:$B$10005,$B5825,①今日の在庫を貼る!$I$6:$I$10005,$I5825)&gt;0,N(U5824),N(U5824)+1))</f>
        <v>2</v>
      </c>
    </row>
    <row r="5826" customFormat="false" ht="15" hidden="false" customHeight="false" outlineLevel="0" collapsed="false">
      <c r="B5826" s="53"/>
      <c r="I5826" s="53"/>
      <c r="U5826" s="31" t="n">
        <f aca="false">IF($B5826&lt;&gt;'設定（最初に1回）'!$C$4,N(U5825),IF(COUNTIFS(①今日の在庫を貼る!$B$6:$B$10005,$B5826,①今日の在庫を貼る!$I$6:$I$10005,$I5826)&gt;0,N(U5825),N(U5825)+1))</f>
        <v>2</v>
      </c>
    </row>
    <row r="5827" customFormat="false" ht="15" hidden="false" customHeight="false" outlineLevel="0" collapsed="false">
      <c r="B5827" s="53"/>
      <c r="I5827" s="53"/>
      <c r="U5827" s="31" t="n">
        <f aca="false">IF($B5827&lt;&gt;'設定（最初に1回）'!$C$4,N(U5826),IF(COUNTIFS(①今日の在庫を貼る!$B$6:$B$10005,$B5827,①今日の在庫を貼る!$I$6:$I$10005,$I5827)&gt;0,N(U5826),N(U5826)+1))</f>
        <v>2</v>
      </c>
    </row>
    <row r="5828" customFormat="false" ht="15" hidden="false" customHeight="false" outlineLevel="0" collapsed="false">
      <c r="B5828" s="53"/>
      <c r="I5828" s="53"/>
      <c r="U5828" s="31" t="n">
        <f aca="false">IF($B5828&lt;&gt;'設定（最初に1回）'!$C$4,N(U5827),IF(COUNTIFS(①今日の在庫を貼る!$B$6:$B$10005,$B5828,①今日の在庫を貼る!$I$6:$I$10005,$I5828)&gt;0,N(U5827),N(U5827)+1))</f>
        <v>2</v>
      </c>
    </row>
    <row r="5829" customFormat="false" ht="15" hidden="false" customHeight="false" outlineLevel="0" collapsed="false">
      <c r="B5829" s="53"/>
      <c r="I5829" s="53"/>
      <c r="U5829" s="31" t="n">
        <f aca="false">IF($B5829&lt;&gt;'設定（最初に1回）'!$C$4,N(U5828),IF(COUNTIFS(①今日の在庫を貼る!$B$6:$B$10005,$B5829,①今日の在庫を貼る!$I$6:$I$10005,$I5829)&gt;0,N(U5828),N(U5828)+1))</f>
        <v>2</v>
      </c>
    </row>
    <row r="5830" customFormat="false" ht="15" hidden="false" customHeight="false" outlineLevel="0" collapsed="false">
      <c r="B5830" s="53"/>
      <c r="I5830" s="53"/>
      <c r="U5830" s="31" t="n">
        <f aca="false">IF($B5830&lt;&gt;'設定（最初に1回）'!$C$4,N(U5829),IF(COUNTIFS(①今日の在庫を貼る!$B$6:$B$10005,$B5830,①今日の在庫を貼る!$I$6:$I$10005,$I5830)&gt;0,N(U5829),N(U5829)+1))</f>
        <v>2</v>
      </c>
    </row>
    <row r="5831" customFormat="false" ht="15" hidden="false" customHeight="false" outlineLevel="0" collapsed="false">
      <c r="B5831" s="53"/>
      <c r="I5831" s="53"/>
      <c r="U5831" s="31" t="n">
        <f aca="false">IF($B5831&lt;&gt;'設定（最初に1回）'!$C$4,N(U5830),IF(COUNTIFS(①今日の在庫を貼る!$B$6:$B$10005,$B5831,①今日の在庫を貼る!$I$6:$I$10005,$I5831)&gt;0,N(U5830),N(U5830)+1))</f>
        <v>2</v>
      </c>
    </row>
    <row r="5832" customFormat="false" ht="15" hidden="false" customHeight="false" outlineLevel="0" collapsed="false">
      <c r="B5832" s="53"/>
      <c r="I5832" s="53"/>
      <c r="U5832" s="31" t="n">
        <f aca="false">IF($B5832&lt;&gt;'設定（最初に1回）'!$C$4,N(U5831),IF(COUNTIFS(①今日の在庫を貼る!$B$6:$B$10005,$B5832,①今日の在庫を貼る!$I$6:$I$10005,$I5832)&gt;0,N(U5831),N(U5831)+1))</f>
        <v>2</v>
      </c>
    </row>
    <row r="5833" customFormat="false" ht="15" hidden="false" customHeight="false" outlineLevel="0" collapsed="false">
      <c r="B5833" s="53"/>
      <c r="I5833" s="53"/>
      <c r="U5833" s="31" t="n">
        <f aca="false">IF($B5833&lt;&gt;'設定（最初に1回）'!$C$4,N(U5832),IF(COUNTIFS(①今日の在庫を貼る!$B$6:$B$10005,$B5833,①今日の在庫を貼る!$I$6:$I$10005,$I5833)&gt;0,N(U5832),N(U5832)+1))</f>
        <v>2</v>
      </c>
    </row>
    <row r="5834" customFormat="false" ht="15" hidden="false" customHeight="false" outlineLevel="0" collapsed="false">
      <c r="B5834" s="53"/>
      <c r="I5834" s="53"/>
      <c r="U5834" s="31" t="n">
        <f aca="false">IF($B5834&lt;&gt;'設定（最初に1回）'!$C$4,N(U5833),IF(COUNTIFS(①今日の在庫を貼る!$B$6:$B$10005,$B5834,①今日の在庫を貼る!$I$6:$I$10005,$I5834)&gt;0,N(U5833),N(U5833)+1))</f>
        <v>2</v>
      </c>
    </row>
    <row r="5835" customFormat="false" ht="15" hidden="false" customHeight="false" outlineLevel="0" collapsed="false">
      <c r="B5835" s="53"/>
      <c r="I5835" s="53"/>
      <c r="U5835" s="31" t="n">
        <f aca="false">IF($B5835&lt;&gt;'設定（最初に1回）'!$C$4,N(U5834),IF(COUNTIFS(①今日の在庫を貼る!$B$6:$B$10005,$B5835,①今日の在庫を貼る!$I$6:$I$10005,$I5835)&gt;0,N(U5834),N(U5834)+1))</f>
        <v>2</v>
      </c>
    </row>
    <row r="5836" customFormat="false" ht="15" hidden="false" customHeight="false" outlineLevel="0" collapsed="false">
      <c r="B5836" s="53"/>
      <c r="I5836" s="53"/>
      <c r="U5836" s="31" t="n">
        <f aca="false">IF($B5836&lt;&gt;'設定（最初に1回）'!$C$4,N(U5835),IF(COUNTIFS(①今日の在庫を貼る!$B$6:$B$10005,$B5836,①今日の在庫を貼る!$I$6:$I$10005,$I5836)&gt;0,N(U5835),N(U5835)+1))</f>
        <v>2</v>
      </c>
    </row>
    <row r="5837" customFormat="false" ht="15" hidden="false" customHeight="false" outlineLevel="0" collapsed="false">
      <c r="B5837" s="53"/>
      <c r="I5837" s="53"/>
      <c r="U5837" s="31" t="n">
        <f aca="false">IF($B5837&lt;&gt;'設定（最初に1回）'!$C$4,N(U5836),IF(COUNTIFS(①今日の在庫を貼る!$B$6:$B$10005,$B5837,①今日の在庫を貼る!$I$6:$I$10005,$I5837)&gt;0,N(U5836),N(U5836)+1))</f>
        <v>2</v>
      </c>
    </row>
    <row r="5838" customFormat="false" ht="15" hidden="false" customHeight="false" outlineLevel="0" collapsed="false">
      <c r="B5838" s="53"/>
      <c r="I5838" s="53"/>
      <c r="U5838" s="31" t="n">
        <f aca="false">IF($B5838&lt;&gt;'設定（最初に1回）'!$C$4,N(U5837),IF(COUNTIFS(①今日の在庫を貼る!$B$6:$B$10005,$B5838,①今日の在庫を貼る!$I$6:$I$10005,$I5838)&gt;0,N(U5837),N(U5837)+1))</f>
        <v>2</v>
      </c>
    </row>
    <row r="5839" customFormat="false" ht="15" hidden="false" customHeight="false" outlineLevel="0" collapsed="false">
      <c r="B5839" s="53"/>
      <c r="I5839" s="53"/>
      <c r="U5839" s="31" t="n">
        <f aca="false">IF($B5839&lt;&gt;'設定（最初に1回）'!$C$4,N(U5838),IF(COUNTIFS(①今日の在庫を貼る!$B$6:$B$10005,$B5839,①今日の在庫を貼る!$I$6:$I$10005,$I5839)&gt;0,N(U5838),N(U5838)+1))</f>
        <v>2</v>
      </c>
    </row>
    <row r="5840" customFormat="false" ht="15" hidden="false" customHeight="false" outlineLevel="0" collapsed="false">
      <c r="B5840" s="53"/>
      <c r="I5840" s="53"/>
      <c r="U5840" s="31" t="n">
        <f aca="false">IF($B5840&lt;&gt;'設定（最初に1回）'!$C$4,N(U5839),IF(COUNTIFS(①今日の在庫を貼る!$B$6:$B$10005,$B5840,①今日の在庫を貼る!$I$6:$I$10005,$I5840)&gt;0,N(U5839),N(U5839)+1))</f>
        <v>2</v>
      </c>
    </row>
    <row r="5841" customFormat="false" ht="15" hidden="false" customHeight="false" outlineLevel="0" collapsed="false">
      <c r="B5841" s="53"/>
      <c r="I5841" s="53"/>
      <c r="U5841" s="31" t="n">
        <f aca="false">IF($B5841&lt;&gt;'設定（最初に1回）'!$C$4,N(U5840),IF(COUNTIFS(①今日の在庫を貼る!$B$6:$B$10005,$B5841,①今日の在庫を貼る!$I$6:$I$10005,$I5841)&gt;0,N(U5840),N(U5840)+1))</f>
        <v>2</v>
      </c>
    </row>
    <row r="5842" customFormat="false" ht="15" hidden="false" customHeight="false" outlineLevel="0" collapsed="false">
      <c r="B5842" s="53"/>
      <c r="I5842" s="53"/>
      <c r="U5842" s="31" t="n">
        <f aca="false">IF($B5842&lt;&gt;'設定（最初に1回）'!$C$4,N(U5841),IF(COUNTIFS(①今日の在庫を貼る!$B$6:$B$10005,$B5842,①今日の在庫を貼る!$I$6:$I$10005,$I5842)&gt;0,N(U5841),N(U5841)+1))</f>
        <v>2</v>
      </c>
    </row>
    <row r="5843" customFormat="false" ht="15" hidden="false" customHeight="false" outlineLevel="0" collapsed="false">
      <c r="B5843" s="53"/>
      <c r="I5843" s="53"/>
      <c r="U5843" s="31" t="n">
        <f aca="false">IF($B5843&lt;&gt;'設定（最初に1回）'!$C$4,N(U5842),IF(COUNTIFS(①今日の在庫を貼る!$B$6:$B$10005,$B5843,①今日の在庫を貼る!$I$6:$I$10005,$I5843)&gt;0,N(U5842),N(U5842)+1))</f>
        <v>2</v>
      </c>
    </row>
    <row r="5844" customFormat="false" ht="15" hidden="false" customHeight="false" outlineLevel="0" collapsed="false">
      <c r="B5844" s="53"/>
      <c r="I5844" s="53"/>
      <c r="U5844" s="31" t="n">
        <f aca="false">IF($B5844&lt;&gt;'設定（最初に1回）'!$C$4,N(U5843),IF(COUNTIFS(①今日の在庫を貼る!$B$6:$B$10005,$B5844,①今日の在庫を貼る!$I$6:$I$10005,$I5844)&gt;0,N(U5843),N(U5843)+1))</f>
        <v>2</v>
      </c>
    </row>
    <row r="5845" customFormat="false" ht="15" hidden="false" customHeight="false" outlineLevel="0" collapsed="false">
      <c r="B5845" s="53"/>
      <c r="I5845" s="53"/>
      <c r="U5845" s="31" t="n">
        <f aca="false">IF($B5845&lt;&gt;'設定（最初に1回）'!$C$4,N(U5844),IF(COUNTIFS(①今日の在庫を貼る!$B$6:$B$10005,$B5845,①今日の在庫を貼る!$I$6:$I$10005,$I5845)&gt;0,N(U5844),N(U5844)+1))</f>
        <v>2</v>
      </c>
    </row>
    <row r="5846" customFormat="false" ht="15" hidden="false" customHeight="false" outlineLevel="0" collapsed="false">
      <c r="B5846" s="53"/>
      <c r="I5846" s="53"/>
      <c r="U5846" s="31" t="n">
        <f aca="false">IF($B5846&lt;&gt;'設定（最初に1回）'!$C$4,N(U5845),IF(COUNTIFS(①今日の在庫を貼る!$B$6:$B$10005,$B5846,①今日の在庫を貼る!$I$6:$I$10005,$I5846)&gt;0,N(U5845),N(U5845)+1))</f>
        <v>2</v>
      </c>
    </row>
    <row r="5847" customFormat="false" ht="15" hidden="false" customHeight="false" outlineLevel="0" collapsed="false">
      <c r="B5847" s="53"/>
      <c r="I5847" s="53"/>
      <c r="U5847" s="31" t="n">
        <f aca="false">IF($B5847&lt;&gt;'設定（最初に1回）'!$C$4,N(U5846),IF(COUNTIFS(①今日の在庫を貼る!$B$6:$B$10005,$B5847,①今日の在庫を貼る!$I$6:$I$10005,$I5847)&gt;0,N(U5846),N(U5846)+1))</f>
        <v>2</v>
      </c>
    </row>
    <row r="5848" customFormat="false" ht="15" hidden="false" customHeight="false" outlineLevel="0" collapsed="false">
      <c r="B5848" s="53"/>
      <c r="I5848" s="53"/>
      <c r="U5848" s="31" t="n">
        <f aca="false">IF($B5848&lt;&gt;'設定（最初に1回）'!$C$4,N(U5847),IF(COUNTIFS(①今日の在庫を貼る!$B$6:$B$10005,$B5848,①今日の在庫を貼る!$I$6:$I$10005,$I5848)&gt;0,N(U5847),N(U5847)+1))</f>
        <v>2</v>
      </c>
    </row>
    <row r="5849" customFormat="false" ht="15" hidden="false" customHeight="false" outlineLevel="0" collapsed="false">
      <c r="B5849" s="53"/>
      <c r="I5849" s="53"/>
      <c r="U5849" s="31" t="n">
        <f aca="false">IF($B5849&lt;&gt;'設定（最初に1回）'!$C$4,N(U5848),IF(COUNTIFS(①今日の在庫を貼る!$B$6:$B$10005,$B5849,①今日の在庫を貼る!$I$6:$I$10005,$I5849)&gt;0,N(U5848),N(U5848)+1))</f>
        <v>2</v>
      </c>
    </row>
    <row r="5850" customFormat="false" ht="15" hidden="false" customHeight="false" outlineLevel="0" collapsed="false">
      <c r="B5850" s="53"/>
      <c r="I5850" s="53"/>
      <c r="U5850" s="31" t="n">
        <f aca="false">IF($B5850&lt;&gt;'設定（最初に1回）'!$C$4,N(U5849),IF(COUNTIFS(①今日の在庫を貼る!$B$6:$B$10005,$B5850,①今日の在庫を貼る!$I$6:$I$10005,$I5850)&gt;0,N(U5849),N(U5849)+1))</f>
        <v>2</v>
      </c>
    </row>
    <row r="5851" customFormat="false" ht="15" hidden="false" customHeight="false" outlineLevel="0" collapsed="false">
      <c r="B5851" s="53"/>
      <c r="I5851" s="53"/>
      <c r="U5851" s="31" t="n">
        <f aca="false">IF($B5851&lt;&gt;'設定（最初に1回）'!$C$4,N(U5850),IF(COUNTIFS(①今日の在庫を貼る!$B$6:$B$10005,$B5851,①今日の在庫を貼る!$I$6:$I$10005,$I5851)&gt;0,N(U5850),N(U5850)+1))</f>
        <v>2</v>
      </c>
    </row>
    <row r="5852" customFormat="false" ht="15" hidden="false" customHeight="false" outlineLevel="0" collapsed="false">
      <c r="B5852" s="53"/>
      <c r="I5852" s="53"/>
      <c r="U5852" s="31" t="n">
        <f aca="false">IF($B5852&lt;&gt;'設定（最初に1回）'!$C$4,N(U5851),IF(COUNTIFS(①今日の在庫を貼る!$B$6:$B$10005,$B5852,①今日の在庫を貼る!$I$6:$I$10005,$I5852)&gt;0,N(U5851),N(U5851)+1))</f>
        <v>2</v>
      </c>
    </row>
    <row r="5853" customFormat="false" ht="15" hidden="false" customHeight="false" outlineLevel="0" collapsed="false">
      <c r="B5853" s="53"/>
      <c r="I5853" s="53"/>
      <c r="U5853" s="31" t="n">
        <f aca="false">IF($B5853&lt;&gt;'設定（最初に1回）'!$C$4,N(U5852),IF(COUNTIFS(①今日の在庫を貼る!$B$6:$B$10005,$B5853,①今日の在庫を貼る!$I$6:$I$10005,$I5853)&gt;0,N(U5852),N(U5852)+1))</f>
        <v>2</v>
      </c>
    </row>
    <row r="5854" customFormat="false" ht="15" hidden="false" customHeight="false" outlineLevel="0" collapsed="false">
      <c r="B5854" s="53"/>
      <c r="I5854" s="53"/>
      <c r="U5854" s="31" t="n">
        <f aca="false">IF($B5854&lt;&gt;'設定（最初に1回）'!$C$4,N(U5853),IF(COUNTIFS(①今日の在庫を貼る!$B$6:$B$10005,$B5854,①今日の在庫を貼る!$I$6:$I$10005,$I5854)&gt;0,N(U5853),N(U5853)+1))</f>
        <v>2</v>
      </c>
    </row>
    <row r="5855" customFormat="false" ht="15" hidden="false" customHeight="false" outlineLevel="0" collapsed="false">
      <c r="B5855" s="53"/>
      <c r="I5855" s="53"/>
      <c r="U5855" s="31" t="n">
        <f aca="false">IF($B5855&lt;&gt;'設定（最初に1回）'!$C$4,N(U5854),IF(COUNTIFS(①今日の在庫を貼る!$B$6:$B$10005,$B5855,①今日の在庫を貼る!$I$6:$I$10005,$I5855)&gt;0,N(U5854),N(U5854)+1))</f>
        <v>2</v>
      </c>
    </row>
    <row r="5856" customFormat="false" ht="15" hidden="false" customHeight="false" outlineLevel="0" collapsed="false">
      <c r="B5856" s="53"/>
      <c r="I5856" s="53"/>
      <c r="U5856" s="31" t="n">
        <f aca="false">IF($B5856&lt;&gt;'設定（最初に1回）'!$C$4,N(U5855),IF(COUNTIFS(①今日の在庫を貼る!$B$6:$B$10005,$B5856,①今日の在庫を貼る!$I$6:$I$10005,$I5856)&gt;0,N(U5855),N(U5855)+1))</f>
        <v>2</v>
      </c>
    </row>
    <row r="5857" customFormat="false" ht="15" hidden="false" customHeight="false" outlineLevel="0" collapsed="false">
      <c r="B5857" s="53"/>
      <c r="I5857" s="53"/>
      <c r="U5857" s="31" t="n">
        <f aca="false">IF($B5857&lt;&gt;'設定（最初に1回）'!$C$4,N(U5856),IF(COUNTIFS(①今日の在庫を貼る!$B$6:$B$10005,$B5857,①今日の在庫を貼る!$I$6:$I$10005,$I5857)&gt;0,N(U5856),N(U5856)+1))</f>
        <v>2</v>
      </c>
    </row>
    <row r="5858" customFormat="false" ht="15" hidden="false" customHeight="false" outlineLevel="0" collapsed="false">
      <c r="B5858" s="53"/>
      <c r="I5858" s="53"/>
      <c r="U5858" s="31" t="n">
        <f aca="false">IF($B5858&lt;&gt;'設定（最初に1回）'!$C$4,N(U5857),IF(COUNTIFS(①今日の在庫を貼る!$B$6:$B$10005,$B5858,①今日の在庫を貼る!$I$6:$I$10005,$I5858)&gt;0,N(U5857),N(U5857)+1))</f>
        <v>2</v>
      </c>
    </row>
    <row r="5859" customFormat="false" ht="15" hidden="false" customHeight="false" outlineLevel="0" collapsed="false">
      <c r="B5859" s="53"/>
      <c r="I5859" s="53"/>
      <c r="U5859" s="31" t="n">
        <f aca="false">IF($B5859&lt;&gt;'設定（最初に1回）'!$C$4,N(U5858),IF(COUNTIFS(①今日の在庫を貼る!$B$6:$B$10005,$B5859,①今日の在庫を貼る!$I$6:$I$10005,$I5859)&gt;0,N(U5858),N(U5858)+1))</f>
        <v>2</v>
      </c>
    </row>
    <row r="5860" customFormat="false" ht="15" hidden="false" customHeight="false" outlineLevel="0" collapsed="false">
      <c r="B5860" s="53"/>
      <c r="I5860" s="53"/>
      <c r="U5860" s="31" t="n">
        <f aca="false">IF($B5860&lt;&gt;'設定（最初に1回）'!$C$4,N(U5859),IF(COUNTIFS(①今日の在庫を貼る!$B$6:$B$10005,$B5860,①今日の在庫を貼る!$I$6:$I$10005,$I5860)&gt;0,N(U5859),N(U5859)+1))</f>
        <v>2</v>
      </c>
    </row>
    <row r="5861" customFormat="false" ht="15" hidden="false" customHeight="false" outlineLevel="0" collapsed="false">
      <c r="B5861" s="53"/>
      <c r="I5861" s="53"/>
      <c r="U5861" s="31" t="n">
        <f aca="false">IF($B5861&lt;&gt;'設定（最初に1回）'!$C$4,N(U5860),IF(COUNTIFS(①今日の在庫を貼る!$B$6:$B$10005,$B5861,①今日の在庫を貼る!$I$6:$I$10005,$I5861)&gt;0,N(U5860),N(U5860)+1))</f>
        <v>2</v>
      </c>
    </row>
    <row r="5862" customFormat="false" ht="15" hidden="false" customHeight="false" outlineLevel="0" collapsed="false">
      <c r="B5862" s="53"/>
      <c r="I5862" s="53"/>
      <c r="U5862" s="31" t="n">
        <f aca="false">IF($B5862&lt;&gt;'設定（最初に1回）'!$C$4,N(U5861),IF(COUNTIFS(①今日の在庫を貼る!$B$6:$B$10005,$B5862,①今日の在庫を貼る!$I$6:$I$10005,$I5862)&gt;0,N(U5861),N(U5861)+1))</f>
        <v>2</v>
      </c>
    </row>
    <row r="5863" customFormat="false" ht="15" hidden="false" customHeight="false" outlineLevel="0" collapsed="false">
      <c r="B5863" s="53"/>
      <c r="I5863" s="53"/>
      <c r="U5863" s="31" t="n">
        <f aca="false">IF($B5863&lt;&gt;'設定（最初に1回）'!$C$4,N(U5862),IF(COUNTIFS(①今日の在庫を貼る!$B$6:$B$10005,$B5863,①今日の在庫を貼る!$I$6:$I$10005,$I5863)&gt;0,N(U5862),N(U5862)+1))</f>
        <v>2</v>
      </c>
    </row>
    <row r="5864" customFormat="false" ht="15" hidden="false" customHeight="false" outlineLevel="0" collapsed="false">
      <c r="B5864" s="53"/>
      <c r="I5864" s="53"/>
      <c r="U5864" s="31" t="n">
        <f aca="false">IF($B5864&lt;&gt;'設定（最初に1回）'!$C$4,N(U5863),IF(COUNTIFS(①今日の在庫を貼る!$B$6:$B$10005,$B5864,①今日の在庫を貼る!$I$6:$I$10005,$I5864)&gt;0,N(U5863),N(U5863)+1))</f>
        <v>2</v>
      </c>
    </row>
    <row r="5865" customFormat="false" ht="15" hidden="false" customHeight="false" outlineLevel="0" collapsed="false">
      <c r="B5865" s="53"/>
      <c r="I5865" s="53"/>
      <c r="U5865" s="31" t="n">
        <f aca="false">IF($B5865&lt;&gt;'設定（最初に1回）'!$C$4,N(U5864),IF(COUNTIFS(①今日の在庫を貼る!$B$6:$B$10005,$B5865,①今日の在庫を貼る!$I$6:$I$10005,$I5865)&gt;0,N(U5864),N(U5864)+1))</f>
        <v>2</v>
      </c>
    </row>
    <row r="5866" customFormat="false" ht="15" hidden="false" customHeight="false" outlineLevel="0" collapsed="false">
      <c r="B5866" s="53"/>
      <c r="I5866" s="53"/>
      <c r="U5866" s="31" t="n">
        <f aca="false">IF($B5866&lt;&gt;'設定（最初に1回）'!$C$4,N(U5865),IF(COUNTIFS(①今日の在庫を貼る!$B$6:$B$10005,$B5866,①今日の在庫を貼る!$I$6:$I$10005,$I5866)&gt;0,N(U5865),N(U5865)+1))</f>
        <v>2</v>
      </c>
    </row>
    <row r="5867" customFormat="false" ht="15" hidden="false" customHeight="false" outlineLevel="0" collapsed="false">
      <c r="B5867" s="53"/>
      <c r="I5867" s="53"/>
      <c r="U5867" s="31" t="n">
        <f aca="false">IF($B5867&lt;&gt;'設定（最初に1回）'!$C$4,N(U5866),IF(COUNTIFS(①今日の在庫を貼る!$B$6:$B$10005,$B5867,①今日の在庫を貼る!$I$6:$I$10005,$I5867)&gt;0,N(U5866),N(U5866)+1))</f>
        <v>2</v>
      </c>
    </row>
    <row r="5868" customFormat="false" ht="15" hidden="false" customHeight="false" outlineLevel="0" collapsed="false">
      <c r="B5868" s="53"/>
      <c r="I5868" s="53"/>
      <c r="U5868" s="31" t="n">
        <f aca="false">IF($B5868&lt;&gt;'設定（最初に1回）'!$C$4,N(U5867),IF(COUNTIFS(①今日の在庫を貼る!$B$6:$B$10005,$B5868,①今日の在庫を貼る!$I$6:$I$10005,$I5868)&gt;0,N(U5867),N(U5867)+1))</f>
        <v>2</v>
      </c>
    </row>
    <row r="5869" customFormat="false" ht="15" hidden="false" customHeight="false" outlineLevel="0" collapsed="false">
      <c r="B5869" s="53"/>
      <c r="I5869" s="53"/>
      <c r="U5869" s="31" t="n">
        <f aca="false">IF($B5869&lt;&gt;'設定（最初に1回）'!$C$4,N(U5868),IF(COUNTIFS(①今日の在庫を貼る!$B$6:$B$10005,$B5869,①今日の在庫を貼る!$I$6:$I$10005,$I5869)&gt;0,N(U5868),N(U5868)+1))</f>
        <v>2</v>
      </c>
    </row>
    <row r="5870" customFormat="false" ht="15" hidden="false" customHeight="false" outlineLevel="0" collapsed="false">
      <c r="B5870" s="53"/>
      <c r="I5870" s="53"/>
      <c r="U5870" s="31" t="n">
        <f aca="false">IF($B5870&lt;&gt;'設定（最初に1回）'!$C$4,N(U5869),IF(COUNTIFS(①今日の在庫を貼る!$B$6:$B$10005,$B5870,①今日の在庫を貼る!$I$6:$I$10005,$I5870)&gt;0,N(U5869),N(U5869)+1))</f>
        <v>2</v>
      </c>
    </row>
    <row r="5871" customFormat="false" ht="15" hidden="false" customHeight="false" outlineLevel="0" collapsed="false">
      <c r="B5871" s="53"/>
      <c r="I5871" s="53"/>
      <c r="U5871" s="31" t="n">
        <f aca="false">IF($B5871&lt;&gt;'設定（最初に1回）'!$C$4,N(U5870),IF(COUNTIFS(①今日の在庫を貼る!$B$6:$B$10005,$B5871,①今日の在庫を貼る!$I$6:$I$10005,$I5871)&gt;0,N(U5870),N(U5870)+1))</f>
        <v>2</v>
      </c>
    </row>
    <row r="5872" customFormat="false" ht="15" hidden="false" customHeight="false" outlineLevel="0" collapsed="false">
      <c r="B5872" s="53"/>
      <c r="I5872" s="53"/>
      <c r="U5872" s="31" t="n">
        <f aca="false">IF($B5872&lt;&gt;'設定（最初に1回）'!$C$4,N(U5871),IF(COUNTIFS(①今日の在庫を貼る!$B$6:$B$10005,$B5872,①今日の在庫を貼る!$I$6:$I$10005,$I5872)&gt;0,N(U5871),N(U5871)+1))</f>
        <v>2</v>
      </c>
    </row>
    <row r="5873" customFormat="false" ht="15" hidden="false" customHeight="false" outlineLevel="0" collapsed="false">
      <c r="B5873" s="53"/>
      <c r="I5873" s="53"/>
      <c r="U5873" s="31" t="n">
        <f aca="false">IF($B5873&lt;&gt;'設定（最初に1回）'!$C$4,N(U5872),IF(COUNTIFS(①今日の在庫を貼る!$B$6:$B$10005,$B5873,①今日の在庫を貼る!$I$6:$I$10005,$I5873)&gt;0,N(U5872),N(U5872)+1))</f>
        <v>2</v>
      </c>
    </row>
    <row r="5874" customFormat="false" ht="15" hidden="false" customHeight="false" outlineLevel="0" collapsed="false">
      <c r="B5874" s="53"/>
      <c r="I5874" s="53"/>
      <c r="U5874" s="31" t="n">
        <f aca="false">IF($B5874&lt;&gt;'設定（最初に1回）'!$C$4,N(U5873),IF(COUNTIFS(①今日の在庫を貼る!$B$6:$B$10005,$B5874,①今日の在庫を貼る!$I$6:$I$10005,$I5874)&gt;0,N(U5873),N(U5873)+1))</f>
        <v>2</v>
      </c>
    </row>
    <row r="5875" customFormat="false" ht="15" hidden="false" customHeight="false" outlineLevel="0" collapsed="false">
      <c r="B5875" s="53"/>
      <c r="I5875" s="53"/>
      <c r="U5875" s="31" t="n">
        <f aca="false">IF($B5875&lt;&gt;'設定（最初に1回）'!$C$4,N(U5874),IF(COUNTIFS(①今日の在庫を貼る!$B$6:$B$10005,$B5875,①今日の在庫を貼る!$I$6:$I$10005,$I5875)&gt;0,N(U5874),N(U5874)+1))</f>
        <v>2</v>
      </c>
    </row>
    <row r="5876" customFormat="false" ht="15" hidden="false" customHeight="false" outlineLevel="0" collapsed="false">
      <c r="B5876" s="53"/>
      <c r="I5876" s="53"/>
      <c r="U5876" s="31" t="n">
        <f aca="false">IF($B5876&lt;&gt;'設定（最初に1回）'!$C$4,N(U5875),IF(COUNTIFS(①今日の在庫を貼る!$B$6:$B$10005,$B5876,①今日の在庫を貼る!$I$6:$I$10005,$I5876)&gt;0,N(U5875),N(U5875)+1))</f>
        <v>2</v>
      </c>
    </row>
    <row r="5877" customFormat="false" ht="15" hidden="false" customHeight="false" outlineLevel="0" collapsed="false">
      <c r="B5877" s="53"/>
      <c r="I5877" s="53"/>
      <c r="U5877" s="31" t="n">
        <f aca="false">IF($B5877&lt;&gt;'設定（最初に1回）'!$C$4,N(U5876),IF(COUNTIFS(①今日の在庫を貼る!$B$6:$B$10005,$B5877,①今日の在庫を貼る!$I$6:$I$10005,$I5877)&gt;0,N(U5876),N(U5876)+1))</f>
        <v>2</v>
      </c>
    </row>
    <row r="5878" customFormat="false" ht="15" hidden="false" customHeight="false" outlineLevel="0" collapsed="false">
      <c r="B5878" s="53"/>
      <c r="I5878" s="53"/>
      <c r="U5878" s="31" t="n">
        <f aca="false">IF($B5878&lt;&gt;'設定（最初に1回）'!$C$4,N(U5877),IF(COUNTIFS(①今日の在庫を貼る!$B$6:$B$10005,$B5878,①今日の在庫を貼る!$I$6:$I$10005,$I5878)&gt;0,N(U5877),N(U5877)+1))</f>
        <v>2</v>
      </c>
    </row>
    <row r="5879" customFormat="false" ht="15" hidden="false" customHeight="false" outlineLevel="0" collapsed="false">
      <c r="B5879" s="53"/>
      <c r="I5879" s="53"/>
      <c r="U5879" s="31" t="n">
        <f aca="false">IF($B5879&lt;&gt;'設定（最初に1回）'!$C$4,N(U5878),IF(COUNTIFS(①今日の在庫を貼る!$B$6:$B$10005,$B5879,①今日の在庫を貼る!$I$6:$I$10005,$I5879)&gt;0,N(U5878),N(U5878)+1))</f>
        <v>2</v>
      </c>
    </row>
    <row r="5880" customFormat="false" ht="15" hidden="false" customHeight="false" outlineLevel="0" collapsed="false">
      <c r="B5880" s="53"/>
      <c r="I5880" s="53"/>
      <c r="U5880" s="31" t="n">
        <f aca="false">IF($B5880&lt;&gt;'設定（最初に1回）'!$C$4,N(U5879),IF(COUNTIFS(①今日の在庫を貼る!$B$6:$B$10005,$B5880,①今日の在庫を貼る!$I$6:$I$10005,$I5880)&gt;0,N(U5879),N(U5879)+1))</f>
        <v>2</v>
      </c>
    </row>
    <row r="5881" customFormat="false" ht="15" hidden="false" customHeight="false" outlineLevel="0" collapsed="false">
      <c r="B5881" s="53"/>
      <c r="I5881" s="53"/>
      <c r="U5881" s="31" t="n">
        <f aca="false">IF($B5881&lt;&gt;'設定（最初に1回）'!$C$4,N(U5880),IF(COUNTIFS(①今日の在庫を貼る!$B$6:$B$10005,$B5881,①今日の在庫を貼る!$I$6:$I$10005,$I5881)&gt;0,N(U5880),N(U5880)+1))</f>
        <v>2</v>
      </c>
    </row>
    <row r="5882" customFormat="false" ht="15" hidden="false" customHeight="false" outlineLevel="0" collapsed="false">
      <c r="B5882" s="53"/>
      <c r="I5882" s="53"/>
      <c r="U5882" s="31" t="n">
        <f aca="false">IF($B5882&lt;&gt;'設定（最初に1回）'!$C$4,N(U5881),IF(COUNTIFS(①今日の在庫を貼る!$B$6:$B$10005,$B5882,①今日の在庫を貼る!$I$6:$I$10005,$I5882)&gt;0,N(U5881),N(U5881)+1))</f>
        <v>2</v>
      </c>
    </row>
    <row r="5883" customFormat="false" ht="15" hidden="false" customHeight="false" outlineLevel="0" collapsed="false">
      <c r="B5883" s="53"/>
      <c r="I5883" s="53"/>
      <c r="U5883" s="31" t="n">
        <f aca="false">IF($B5883&lt;&gt;'設定（最初に1回）'!$C$4,N(U5882),IF(COUNTIFS(①今日の在庫を貼る!$B$6:$B$10005,$B5883,①今日の在庫を貼る!$I$6:$I$10005,$I5883)&gt;0,N(U5882),N(U5882)+1))</f>
        <v>2</v>
      </c>
    </row>
    <row r="5884" customFormat="false" ht="15" hidden="false" customHeight="false" outlineLevel="0" collapsed="false">
      <c r="B5884" s="53"/>
      <c r="I5884" s="53"/>
      <c r="U5884" s="31" t="n">
        <f aca="false">IF($B5884&lt;&gt;'設定（最初に1回）'!$C$4,N(U5883),IF(COUNTIFS(①今日の在庫を貼る!$B$6:$B$10005,$B5884,①今日の在庫を貼る!$I$6:$I$10005,$I5884)&gt;0,N(U5883),N(U5883)+1))</f>
        <v>2</v>
      </c>
    </row>
    <row r="5885" customFormat="false" ht="15" hidden="false" customHeight="false" outlineLevel="0" collapsed="false">
      <c r="B5885" s="53"/>
      <c r="I5885" s="53"/>
      <c r="U5885" s="31" t="n">
        <f aca="false">IF($B5885&lt;&gt;'設定（最初に1回）'!$C$4,N(U5884),IF(COUNTIFS(①今日の在庫を貼る!$B$6:$B$10005,$B5885,①今日の在庫を貼る!$I$6:$I$10005,$I5885)&gt;0,N(U5884),N(U5884)+1))</f>
        <v>2</v>
      </c>
    </row>
    <row r="5886" customFormat="false" ht="15" hidden="false" customHeight="false" outlineLevel="0" collapsed="false">
      <c r="B5886" s="53"/>
      <c r="I5886" s="53"/>
      <c r="U5886" s="31" t="n">
        <f aca="false">IF($B5886&lt;&gt;'設定（最初に1回）'!$C$4,N(U5885),IF(COUNTIFS(①今日の在庫を貼る!$B$6:$B$10005,$B5886,①今日の在庫を貼る!$I$6:$I$10005,$I5886)&gt;0,N(U5885),N(U5885)+1))</f>
        <v>2</v>
      </c>
    </row>
    <row r="5887" customFormat="false" ht="15" hidden="false" customHeight="false" outlineLevel="0" collapsed="false">
      <c r="B5887" s="53"/>
      <c r="I5887" s="53"/>
      <c r="U5887" s="31" t="n">
        <f aca="false">IF($B5887&lt;&gt;'設定（最初に1回）'!$C$4,N(U5886),IF(COUNTIFS(①今日の在庫を貼る!$B$6:$B$10005,$B5887,①今日の在庫を貼る!$I$6:$I$10005,$I5887)&gt;0,N(U5886),N(U5886)+1))</f>
        <v>2</v>
      </c>
    </row>
    <row r="5888" customFormat="false" ht="15" hidden="false" customHeight="false" outlineLevel="0" collapsed="false">
      <c r="B5888" s="53"/>
      <c r="I5888" s="53"/>
      <c r="U5888" s="31" t="n">
        <f aca="false">IF($B5888&lt;&gt;'設定（最初に1回）'!$C$4,N(U5887),IF(COUNTIFS(①今日の在庫を貼る!$B$6:$B$10005,$B5888,①今日の在庫を貼る!$I$6:$I$10005,$I5888)&gt;0,N(U5887),N(U5887)+1))</f>
        <v>2</v>
      </c>
    </row>
    <row r="5889" customFormat="false" ht="15" hidden="false" customHeight="false" outlineLevel="0" collapsed="false">
      <c r="B5889" s="53"/>
      <c r="I5889" s="53"/>
      <c r="U5889" s="31" t="n">
        <f aca="false">IF($B5889&lt;&gt;'設定（最初に1回）'!$C$4,N(U5888),IF(COUNTIFS(①今日の在庫を貼る!$B$6:$B$10005,$B5889,①今日の在庫を貼る!$I$6:$I$10005,$I5889)&gt;0,N(U5888),N(U5888)+1))</f>
        <v>2</v>
      </c>
    </row>
    <row r="5890" customFormat="false" ht="15" hidden="false" customHeight="false" outlineLevel="0" collapsed="false">
      <c r="B5890" s="53"/>
      <c r="I5890" s="53"/>
      <c r="U5890" s="31" t="n">
        <f aca="false">IF($B5890&lt;&gt;'設定（最初に1回）'!$C$4,N(U5889),IF(COUNTIFS(①今日の在庫を貼る!$B$6:$B$10005,$B5890,①今日の在庫を貼る!$I$6:$I$10005,$I5890)&gt;0,N(U5889),N(U5889)+1))</f>
        <v>2</v>
      </c>
    </row>
    <row r="5891" customFormat="false" ht="15" hidden="false" customHeight="false" outlineLevel="0" collapsed="false">
      <c r="B5891" s="53"/>
      <c r="I5891" s="53"/>
      <c r="U5891" s="31" t="n">
        <f aca="false">IF($B5891&lt;&gt;'設定（最初に1回）'!$C$4,N(U5890),IF(COUNTIFS(①今日の在庫を貼る!$B$6:$B$10005,$B5891,①今日の在庫を貼る!$I$6:$I$10005,$I5891)&gt;0,N(U5890),N(U5890)+1))</f>
        <v>2</v>
      </c>
    </row>
    <row r="5892" customFormat="false" ht="15" hidden="false" customHeight="false" outlineLevel="0" collapsed="false">
      <c r="B5892" s="53"/>
      <c r="I5892" s="53"/>
      <c r="U5892" s="31" t="n">
        <f aca="false">IF($B5892&lt;&gt;'設定（最初に1回）'!$C$4,N(U5891),IF(COUNTIFS(①今日の在庫を貼る!$B$6:$B$10005,$B5892,①今日の在庫を貼る!$I$6:$I$10005,$I5892)&gt;0,N(U5891),N(U5891)+1))</f>
        <v>2</v>
      </c>
    </row>
    <row r="5893" customFormat="false" ht="15" hidden="false" customHeight="false" outlineLevel="0" collapsed="false">
      <c r="B5893" s="53"/>
      <c r="I5893" s="53"/>
      <c r="U5893" s="31" t="n">
        <f aca="false">IF($B5893&lt;&gt;'設定（最初に1回）'!$C$4,N(U5892),IF(COUNTIFS(①今日の在庫を貼る!$B$6:$B$10005,$B5893,①今日の在庫を貼る!$I$6:$I$10005,$I5893)&gt;0,N(U5892),N(U5892)+1))</f>
        <v>2</v>
      </c>
    </row>
    <row r="5894" customFormat="false" ht="15" hidden="false" customHeight="false" outlineLevel="0" collapsed="false">
      <c r="B5894" s="53"/>
      <c r="I5894" s="53"/>
      <c r="U5894" s="31" t="n">
        <f aca="false">IF($B5894&lt;&gt;'設定（最初に1回）'!$C$4,N(U5893),IF(COUNTIFS(①今日の在庫を貼る!$B$6:$B$10005,$B5894,①今日の在庫を貼る!$I$6:$I$10005,$I5894)&gt;0,N(U5893),N(U5893)+1))</f>
        <v>2</v>
      </c>
    </row>
    <row r="5895" customFormat="false" ht="15" hidden="false" customHeight="false" outlineLevel="0" collapsed="false">
      <c r="B5895" s="53"/>
      <c r="I5895" s="53"/>
      <c r="U5895" s="31" t="n">
        <f aca="false">IF($B5895&lt;&gt;'設定（最初に1回）'!$C$4,N(U5894),IF(COUNTIFS(①今日の在庫を貼る!$B$6:$B$10005,$B5895,①今日の在庫を貼る!$I$6:$I$10005,$I5895)&gt;0,N(U5894),N(U5894)+1))</f>
        <v>2</v>
      </c>
    </row>
    <row r="5896" customFormat="false" ht="15" hidden="false" customHeight="false" outlineLevel="0" collapsed="false">
      <c r="B5896" s="53"/>
      <c r="I5896" s="53"/>
      <c r="U5896" s="31" t="n">
        <f aca="false">IF($B5896&lt;&gt;'設定（最初に1回）'!$C$4,N(U5895),IF(COUNTIFS(①今日の在庫を貼る!$B$6:$B$10005,$B5896,①今日の在庫を貼る!$I$6:$I$10005,$I5896)&gt;0,N(U5895),N(U5895)+1))</f>
        <v>2</v>
      </c>
    </row>
    <row r="5897" customFormat="false" ht="15" hidden="false" customHeight="false" outlineLevel="0" collapsed="false">
      <c r="B5897" s="53"/>
      <c r="I5897" s="53"/>
      <c r="U5897" s="31" t="n">
        <f aca="false">IF($B5897&lt;&gt;'設定（最初に1回）'!$C$4,N(U5896),IF(COUNTIFS(①今日の在庫を貼る!$B$6:$B$10005,$B5897,①今日の在庫を貼る!$I$6:$I$10005,$I5897)&gt;0,N(U5896),N(U5896)+1))</f>
        <v>2</v>
      </c>
    </row>
    <row r="5898" customFormat="false" ht="15" hidden="false" customHeight="false" outlineLevel="0" collapsed="false">
      <c r="B5898" s="53"/>
      <c r="I5898" s="53"/>
      <c r="U5898" s="31" t="n">
        <f aca="false">IF($B5898&lt;&gt;'設定（最初に1回）'!$C$4,N(U5897),IF(COUNTIFS(①今日の在庫を貼る!$B$6:$B$10005,$B5898,①今日の在庫を貼る!$I$6:$I$10005,$I5898)&gt;0,N(U5897),N(U5897)+1))</f>
        <v>2</v>
      </c>
    </row>
    <row r="5899" customFormat="false" ht="15" hidden="false" customHeight="false" outlineLevel="0" collapsed="false">
      <c r="B5899" s="53"/>
      <c r="I5899" s="53"/>
      <c r="U5899" s="31" t="n">
        <f aca="false">IF($B5899&lt;&gt;'設定（最初に1回）'!$C$4,N(U5898),IF(COUNTIFS(①今日の在庫を貼る!$B$6:$B$10005,$B5899,①今日の在庫を貼る!$I$6:$I$10005,$I5899)&gt;0,N(U5898),N(U5898)+1))</f>
        <v>2</v>
      </c>
    </row>
    <row r="5900" customFormat="false" ht="15" hidden="false" customHeight="false" outlineLevel="0" collapsed="false">
      <c r="B5900" s="53"/>
      <c r="I5900" s="53"/>
      <c r="U5900" s="31" t="n">
        <f aca="false">IF($B5900&lt;&gt;'設定（最初に1回）'!$C$4,N(U5899),IF(COUNTIFS(①今日の在庫を貼る!$B$6:$B$10005,$B5900,①今日の在庫を貼る!$I$6:$I$10005,$I5900)&gt;0,N(U5899),N(U5899)+1))</f>
        <v>2</v>
      </c>
    </row>
    <row r="5901" customFormat="false" ht="15" hidden="false" customHeight="false" outlineLevel="0" collapsed="false">
      <c r="B5901" s="53"/>
      <c r="I5901" s="53"/>
      <c r="U5901" s="31" t="n">
        <f aca="false">IF($B5901&lt;&gt;'設定（最初に1回）'!$C$4,N(U5900),IF(COUNTIFS(①今日の在庫を貼る!$B$6:$B$10005,$B5901,①今日の在庫を貼る!$I$6:$I$10005,$I5901)&gt;0,N(U5900),N(U5900)+1))</f>
        <v>2</v>
      </c>
    </row>
    <row r="5902" customFormat="false" ht="15" hidden="false" customHeight="false" outlineLevel="0" collapsed="false">
      <c r="B5902" s="53"/>
      <c r="I5902" s="53"/>
      <c r="U5902" s="31" t="n">
        <f aca="false">IF($B5902&lt;&gt;'設定（最初に1回）'!$C$4,N(U5901),IF(COUNTIFS(①今日の在庫を貼る!$B$6:$B$10005,$B5902,①今日の在庫を貼る!$I$6:$I$10005,$I5902)&gt;0,N(U5901),N(U5901)+1))</f>
        <v>2</v>
      </c>
    </row>
    <row r="5903" customFormat="false" ht="15" hidden="false" customHeight="false" outlineLevel="0" collapsed="false">
      <c r="B5903" s="53"/>
      <c r="I5903" s="53"/>
      <c r="U5903" s="31" t="n">
        <f aca="false">IF($B5903&lt;&gt;'設定（最初に1回）'!$C$4,N(U5902),IF(COUNTIFS(①今日の在庫を貼る!$B$6:$B$10005,$B5903,①今日の在庫を貼る!$I$6:$I$10005,$I5903)&gt;0,N(U5902),N(U5902)+1))</f>
        <v>2</v>
      </c>
    </row>
    <row r="5904" customFormat="false" ht="15" hidden="false" customHeight="false" outlineLevel="0" collapsed="false">
      <c r="B5904" s="53"/>
      <c r="I5904" s="53"/>
      <c r="U5904" s="31" t="n">
        <f aca="false">IF($B5904&lt;&gt;'設定（最初に1回）'!$C$4,N(U5903),IF(COUNTIFS(①今日の在庫を貼る!$B$6:$B$10005,$B5904,①今日の在庫を貼る!$I$6:$I$10005,$I5904)&gt;0,N(U5903),N(U5903)+1))</f>
        <v>2</v>
      </c>
    </row>
    <row r="5905" customFormat="false" ht="15" hidden="false" customHeight="false" outlineLevel="0" collapsed="false">
      <c r="B5905" s="53"/>
      <c r="I5905" s="53"/>
      <c r="U5905" s="31" t="n">
        <f aca="false">IF($B5905&lt;&gt;'設定（最初に1回）'!$C$4,N(U5904),IF(COUNTIFS(①今日の在庫を貼る!$B$6:$B$10005,$B5905,①今日の在庫を貼る!$I$6:$I$10005,$I5905)&gt;0,N(U5904),N(U5904)+1))</f>
        <v>2</v>
      </c>
    </row>
    <row r="5906" customFormat="false" ht="15" hidden="false" customHeight="false" outlineLevel="0" collapsed="false">
      <c r="B5906" s="53"/>
      <c r="I5906" s="53"/>
      <c r="U5906" s="31" t="n">
        <f aca="false">IF($B5906&lt;&gt;'設定（最初に1回）'!$C$4,N(U5905),IF(COUNTIFS(①今日の在庫を貼る!$B$6:$B$10005,$B5906,①今日の在庫を貼る!$I$6:$I$10005,$I5906)&gt;0,N(U5905),N(U5905)+1))</f>
        <v>2</v>
      </c>
    </row>
    <row r="5907" customFormat="false" ht="15" hidden="false" customHeight="false" outlineLevel="0" collapsed="false">
      <c r="B5907" s="53"/>
      <c r="I5907" s="53"/>
      <c r="U5907" s="31" t="n">
        <f aca="false">IF($B5907&lt;&gt;'設定（最初に1回）'!$C$4,N(U5906),IF(COUNTIFS(①今日の在庫を貼る!$B$6:$B$10005,$B5907,①今日の在庫を貼る!$I$6:$I$10005,$I5907)&gt;0,N(U5906),N(U5906)+1))</f>
        <v>2</v>
      </c>
    </row>
    <row r="5908" customFormat="false" ht="15" hidden="false" customHeight="false" outlineLevel="0" collapsed="false">
      <c r="B5908" s="53"/>
      <c r="I5908" s="53"/>
      <c r="U5908" s="31" t="n">
        <f aca="false">IF($B5908&lt;&gt;'設定（最初に1回）'!$C$4,N(U5907),IF(COUNTIFS(①今日の在庫を貼る!$B$6:$B$10005,$B5908,①今日の在庫を貼る!$I$6:$I$10005,$I5908)&gt;0,N(U5907),N(U5907)+1))</f>
        <v>2</v>
      </c>
    </row>
    <row r="5909" customFormat="false" ht="15" hidden="false" customHeight="false" outlineLevel="0" collapsed="false">
      <c r="B5909" s="53"/>
      <c r="I5909" s="53"/>
      <c r="U5909" s="31" t="n">
        <f aca="false">IF($B5909&lt;&gt;'設定（最初に1回）'!$C$4,N(U5908),IF(COUNTIFS(①今日の在庫を貼る!$B$6:$B$10005,$B5909,①今日の在庫を貼る!$I$6:$I$10005,$I5909)&gt;0,N(U5908),N(U5908)+1))</f>
        <v>2</v>
      </c>
    </row>
    <row r="5910" customFormat="false" ht="15" hidden="false" customHeight="false" outlineLevel="0" collapsed="false">
      <c r="B5910" s="53"/>
      <c r="I5910" s="53"/>
      <c r="U5910" s="31" t="n">
        <f aca="false">IF($B5910&lt;&gt;'設定（最初に1回）'!$C$4,N(U5909),IF(COUNTIFS(①今日の在庫を貼る!$B$6:$B$10005,$B5910,①今日の在庫を貼る!$I$6:$I$10005,$I5910)&gt;0,N(U5909),N(U5909)+1))</f>
        <v>2</v>
      </c>
    </row>
    <row r="5911" customFormat="false" ht="15" hidden="false" customHeight="false" outlineLevel="0" collapsed="false">
      <c r="B5911" s="53"/>
      <c r="I5911" s="53"/>
      <c r="U5911" s="31" t="n">
        <f aca="false">IF($B5911&lt;&gt;'設定（最初に1回）'!$C$4,N(U5910),IF(COUNTIFS(①今日の在庫を貼る!$B$6:$B$10005,$B5911,①今日の在庫を貼る!$I$6:$I$10005,$I5911)&gt;0,N(U5910),N(U5910)+1))</f>
        <v>2</v>
      </c>
    </row>
    <row r="5912" customFormat="false" ht="15" hidden="false" customHeight="false" outlineLevel="0" collapsed="false">
      <c r="B5912" s="53"/>
      <c r="I5912" s="53"/>
      <c r="U5912" s="31" t="n">
        <f aca="false">IF($B5912&lt;&gt;'設定（最初に1回）'!$C$4,N(U5911),IF(COUNTIFS(①今日の在庫を貼る!$B$6:$B$10005,$B5912,①今日の在庫を貼る!$I$6:$I$10005,$I5912)&gt;0,N(U5911),N(U5911)+1))</f>
        <v>2</v>
      </c>
    </row>
    <row r="5913" customFormat="false" ht="15" hidden="false" customHeight="false" outlineLevel="0" collapsed="false">
      <c r="B5913" s="53"/>
      <c r="I5913" s="53"/>
      <c r="U5913" s="31" t="n">
        <f aca="false">IF($B5913&lt;&gt;'設定（最初に1回）'!$C$4,N(U5912),IF(COUNTIFS(①今日の在庫を貼る!$B$6:$B$10005,$B5913,①今日の在庫を貼る!$I$6:$I$10005,$I5913)&gt;0,N(U5912),N(U5912)+1))</f>
        <v>2</v>
      </c>
    </row>
    <row r="5914" customFormat="false" ht="15" hidden="false" customHeight="false" outlineLevel="0" collapsed="false">
      <c r="B5914" s="53"/>
      <c r="I5914" s="53"/>
      <c r="U5914" s="31" t="n">
        <f aca="false">IF($B5914&lt;&gt;'設定（最初に1回）'!$C$4,N(U5913),IF(COUNTIFS(①今日の在庫を貼る!$B$6:$B$10005,$B5914,①今日の在庫を貼る!$I$6:$I$10005,$I5914)&gt;0,N(U5913),N(U5913)+1))</f>
        <v>2</v>
      </c>
    </row>
    <row r="5915" customFormat="false" ht="15" hidden="false" customHeight="false" outlineLevel="0" collapsed="false">
      <c r="B5915" s="53"/>
      <c r="I5915" s="53"/>
      <c r="U5915" s="31" t="n">
        <f aca="false">IF($B5915&lt;&gt;'設定（最初に1回）'!$C$4,N(U5914),IF(COUNTIFS(①今日の在庫を貼る!$B$6:$B$10005,$B5915,①今日の在庫を貼る!$I$6:$I$10005,$I5915)&gt;0,N(U5914),N(U5914)+1))</f>
        <v>2</v>
      </c>
    </row>
    <row r="5916" customFormat="false" ht="15" hidden="false" customHeight="false" outlineLevel="0" collapsed="false">
      <c r="B5916" s="53"/>
      <c r="I5916" s="53"/>
      <c r="U5916" s="31" t="n">
        <f aca="false">IF($B5916&lt;&gt;'設定（最初に1回）'!$C$4,N(U5915),IF(COUNTIFS(①今日の在庫を貼る!$B$6:$B$10005,$B5916,①今日の在庫を貼る!$I$6:$I$10005,$I5916)&gt;0,N(U5915),N(U5915)+1))</f>
        <v>2</v>
      </c>
    </row>
    <row r="5917" customFormat="false" ht="15" hidden="false" customHeight="false" outlineLevel="0" collapsed="false">
      <c r="B5917" s="53"/>
      <c r="I5917" s="53"/>
      <c r="U5917" s="31" t="n">
        <f aca="false">IF($B5917&lt;&gt;'設定（最初に1回）'!$C$4,N(U5916),IF(COUNTIFS(①今日の在庫を貼る!$B$6:$B$10005,$B5917,①今日の在庫を貼る!$I$6:$I$10005,$I5917)&gt;0,N(U5916),N(U5916)+1))</f>
        <v>2</v>
      </c>
    </row>
    <row r="5918" customFormat="false" ht="15" hidden="false" customHeight="false" outlineLevel="0" collapsed="false">
      <c r="B5918" s="53"/>
      <c r="I5918" s="53"/>
      <c r="U5918" s="31" t="n">
        <f aca="false">IF($B5918&lt;&gt;'設定（最初に1回）'!$C$4,N(U5917),IF(COUNTIFS(①今日の在庫を貼る!$B$6:$B$10005,$B5918,①今日の在庫を貼る!$I$6:$I$10005,$I5918)&gt;0,N(U5917),N(U5917)+1))</f>
        <v>2</v>
      </c>
    </row>
    <row r="5919" customFormat="false" ht="15" hidden="false" customHeight="false" outlineLevel="0" collapsed="false">
      <c r="B5919" s="53"/>
      <c r="I5919" s="53"/>
      <c r="U5919" s="31" t="n">
        <f aca="false">IF($B5919&lt;&gt;'設定（最初に1回）'!$C$4,N(U5918),IF(COUNTIFS(①今日の在庫を貼る!$B$6:$B$10005,$B5919,①今日の在庫を貼る!$I$6:$I$10005,$I5919)&gt;0,N(U5918),N(U5918)+1))</f>
        <v>2</v>
      </c>
    </row>
    <row r="5920" customFormat="false" ht="15" hidden="false" customHeight="false" outlineLevel="0" collapsed="false">
      <c r="B5920" s="53"/>
      <c r="I5920" s="53"/>
      <c r="U5920" s="31" t="n">
        <f aca="false">IF($B5920&lt;&gt;'設定（最初に1回）'!$C$4,N(U5919),IF(COUNTIFS(①今日の在庫を貼る!$B$6:$B$10005,$B5920,①今日の在庫を貼る!$I$6:$I$10005,$I5920)&gt;0,N(U5919),N(U5919)+1))</f>
        <v>2</v>
      </c>
    </row>
    <row r="5921" customFormat="false" ht="15" hidden="false" customHeight="false" outlineLevel="0" collapsed="false">
      <c r="B5921" s="53"/>
      <c r="I5921" s="53"/>
      <c r="U5921" s="31" t="n">
        <f aca="false">IF($B5921&lt;&gt;'設定（最初に1回）'!$C$4,N(U5920),IF(COUNTIFS(①今日の在庫を貼る!$B$6:$B$10005,$B5921,①今日の在庫を貼る!$I$6:$I$10005,$I5921)&gt;0,N(U5920),N(U5920)+1))</f>
        <v>2</v>
      </c>
    </row>
    <row r="5922" customFormat="false" ht="15" hidden="false" customHeight="false" outlineLevel="0" collapsed="false">
      <c r="B5922" s="53"/>
      <c r="I5922" s="53"/>
      <c r="U5922" s="31" t="n">
        <f aca="false">IF($B5922&lt;&gt;'設定（最初に1回）'!$C$4,N(U5921),IF(COUNTIFS(①今日の在庫を貼る!$B$6:$B$10005,$B5922,①今日の在庫を貼る!$I$6:$I$10005,$I5922)&gt;0,N(U5921),N(U5921)+1))</f>
        <v>2</v>
      </c>
    </row>
    <row r="5923" customFormat="false" ht="15" hidden="false" customHeight="false" outlineLevel="0" collapsed="false">
      <c r="B5923" s="53"/>
      <c r="I5923" s="53"/>
      <c r="U5923" s="31" t="n">
        <f aca="false">IF($B5923&lt;&gt;'設定（最初に1回）'!$C$4,N(U5922),IF(COUNTIFS(①今日の在庫を貼る!$B$6:$B$10005,$B5923,①今日の在庫を貼る!$I$6:$I$10005,$I5923)&gt;0,N(U5922),N(U5922)+1))</f>
        <v>2</v>
      </c>
    </row>
    <row r="5924" customFormat="false" ht="15" hidden="false" customHeight="false" outlineLevel="0" collapsed="false">
      <c r="B5924" s="53"/>
      <c r="I5924" s="53"/>
      <c r="U5924" s="31" t="n">
        <f aca="false">IF($B5924&lt;&gt;'設定（最初に1回）'!$C$4,N(U5923),IF(COUNTIFS(①今日の在庫を貼る!$B$6:$B$10005,$B5924,①今日の在庫を貼る!$I$6:$I$10005,$I5924)&gt;0,N(U5923),N(U5923)+1))</f>
        <v>2</v>
      </c>
    </row>
    <row r="5925" customFormat="false" ht="15" hidden="false" customHeight="false" outlineLevel="0" collapsed="false">
      <c r="B5925" s="53"/>
      <c r="I5925" s="53"/>
      <c r="U5925" s="31" t="n">
        <f aca="false">IF($B5925&lt;&gt;'設定（最初に1回）'!$C$4,N(U5924),IF(COUNTIFS(①今日の在庫を貼る!$B$6:$B$10005,$B5925,①今日の在庫を貼る!$I$6:$I$10005,$I5925)&gt;0,N(U5924),N(U5924)+1))</f>
        <v>2</v>
      </c>
    </row>
    <row r="5926" customFormat="false" ht="15" hidden="false" customHeight="false" outlineLevel="0" collapsed="false">
      <c r="B5926" s="53"/>
      <c r="I5926" s="53"/>
      <c r="U5926" s="31" t="n">
        <f aca="false">IF($B5926&lt;&gt;'設定（最初に1回）'!$C$4,N(U5925),IF(COUNTIFS(①今日の在庫を貼る!$B$6:$B$10005,$B5926,①今日の在庫を貼る!$I$6:$I$10005,$I5926)&gt;0,N(U5925),N(U5925)+1))</f>
        <v>2</v>
      </c>
    </row>
    <row r="5927" customFormat="false" ht="15" hidden="false" customHeight="false" outlineLevel="0" collapsed="false">
      <c r="B5927" s="53"/>
      <c r="I5927" s="53"/>
      <c r="U5927" s="31" t="n">
        <f aca="false">IF($B5927&lt;&gt;'設定（最初に1回）'!$C$4,N(U5926),IF(COUNTIFS(①今日の在庫を貼る!$B$6:$B$10005,$B5927,①今日の在庫を貼る!$I$6:$I$10005,$I5927)&gt;0,N(U5926),N(U5926)+1))</f>
        <v>2</v>
      </c>
    </row>
    <row r="5928" customFormat="false" ht="15" hidden="false" customHeight="false" outlineLevel="0" collapsed="false">
      <c r="B5928" s="53"/>
      <c r="I5928" s="53"/>
      <c r="U5928" s="31" t="n">
        <f aca="false">IF($B5928&lt;&gt;'設定（最初に1回）'!$C$4,N(U5927),IF(COUNTIFS(①今日の在庫を貼る!$B$6:$B$10005,$B5928,①今日の在庫を貼る!$I$6:$I$10005,$I5928)&gt;0,N(U5927),N(U5927)+1))</f>
        <v>2</v>
      </c>
    </row>
    <row r="5929" customFormat="false" ht="15" hidden="false" customHeight="false" outlineLevel="0" collapsed="false">
      <c r="B5929" s="53"/>
      <c r="I5929" s="53"/>
      <c r="U5929" s="31" t="n">
        <f aca="false">IF($B5929&lt;&gt;'設定（最初に1回）'!$C$4,N(U5928),IF(COUNTIFS(①今日の在庫を貼る!$B$6:$B$10005,$B5929,①今日の在庫を貼る!$I$6:$I$10005,$I5929)&gt;0,N(U5928),N(U5928)+1))</f>
        <v>2</v>
      </c>
    </row>
    <row r="5930" customFormat="false" ht="15" hidden="false" customHeight="false" outlineLevel="0" collapsed="false">
      <c r="B5930" s="53"/>
      <c r="I5930" s="53"/>
      <c r="U5930" s="31" t="n">
        <f aca="false">IF($B5930&lt;&gt;'設定（最初に1回）'!$C$4,N(U5929),IF(COUNTIFS(①今日の在庫を貼る!$B$6:$B$10005,$B5930,①今日の在庫を貼る!$I$6:$I$10005,$I5930)&gt;0,N(U5929),N(U5929)+1))</f>
        <v>2</v>
      </c>
    </row>
    <row r="5931" customFormat="false" ht="15" hidden="false" customHeight="false" outlineLevel="0" collapsed="false">
      <c r="B5931" s="53"/>
      <c r="I5931" s="53"/>
      <c r="U5931" s="31" t="n">
        <f aca="false">IF($B5931&lt;&gt;'設定（最初に1回）'!$C$4,N(U5930),IF(COUNTIFS(①今日の在庫を貼る!$B$6:$B$10005,$B5931,①今日の在庫を貼る!$I$6:$I$10005,$I5931)&gt;0,N(U5930),N(U5930)+1))</f>
        <v>2</v>
      </c>
    </row>
    <row r="5932" customFormat="false" ht="15" hidden="false" customHeight="false" outlineLevel="0" collapsed="false">
      <c r="B5932" s="53"/>
      <c r="I5932" s="53"/>
      <c r="U5932" s="31" t="n">
        <f aca="false">IF($B5932&lt;&gt;'設定（最初に1回）'!$C$4,N(U5931),IF(COUNTIFS(①今日の在庫を貼る!$B$6:$B$10005,$B5932,①今日の在庫を貼る!$I$6:$I$10005,$I5932)&gt;0,N(U5931),N(U5931)+1))</f>
        <v>2</v>
      </c>
    </row>
    <row r="5933" customFormat="false" ht="15" hidden="false" customHeight="false" outlineLevel="0" collapsed="false">
      <c r="B5933" s="53"/>
      <c r="I5933" s="53"/>
      <c r="U5933" s="31" t="n">
        <f aca="false">IF($B5933&lt;&gt;'設定（最初に1回）'!$C$4,N(U5932),IF(COUNTIFS(①今日の在庫を貼る!$B$6:$B$10005,$B5933,①今日の在庫を貼る!$I$6:$I$10005,$I5933)&gt;0,N(U5932),N(U5932)+1))</f>
        <v>2</v>
      </c>
    </row>
    <row r="5934" customFormat="false" ht="15" hidden="false" customHeight="false" outlineLevel="0" collapsed="false">
      <c r="B5934" s="53"/>
      <c r="I5934" s="53"/>
      <c r="U5934" s="31" t="n">
        <f aca="false">IF($B5934&lt;&gt;'設定（最初に1回）'!$C$4,N(U5933),IF(COUNTIFS(①今日の在庫を貼る!$B$6:$B$10005,$B5934,①今日の在庫を貼る!$I$6:$I$10005,$I5934)&gt;0,N(U5933),N(U5933)+1))</f>
        <v>2</v>
      </c>
    </row>
    <row r="5935" customFormat="false" ht="15" hidden="false" customHeight="false" outlineLevel="0" collapsed="false">
      <c r="B5935" s="53"/>
      <c r="I5935" s="53"/>
      <c r="U5935" s="31" t="n">
        <f aca="false">IF($B5935&lt;&gt;'設定（最初に1回）'!$C$4,N(U5934),IF(COUNTIFS(①今日の在庫を貼る!$B$6:$B$10005,$B5935,①今日の在庫を貼る!$I$6:$I$10005,$I5935)&gt;0,N(U5934),N(U5934)+1))</f>
        <v>2</v>
      </c>
    </row>
    <row r="5936" customFormat="false" ht="15" hidden="false" customHeight="false" outlineLevel="0" collapsed="false">
      <c r="B5936" s="53"/>
      <c r="I5936" s="53"/>
      <c r="U5936" s="31" t="n">
        <f aca="false">IF($B5936&lt;&gt;'設定（最初に1回）'!$C$4,N(U5935),IF(COUNTIFS(①今日の在庫を貼る!$B$6:$B$10005,$B5936,①今日の在庫を貼る!$I$6:$I$10005,$I5936)&gt;0,N(U5935),N(U5935)+1))</f>
        <v>2</v>
      </c>
    </row>
    <row r="5937" customFormat="false" ht="15" hidden="false" customHeight="false" outlineLevel="0" collapsed="false">
      <c r="B5937" s="53"/>
      <c r="I5937" s="53"/>
      <c r="U5937" s="31" t="n">
        <f aca="false">IF($B5937&lt;&gt;'設定（最初に1回）'!$C$4,N(U5936),IF(COUNTIFS(①今日の在庫を貼る!$B$6:$B$10005,$B5937,①今日の在庫を貼る!$I$6:$I$10005,$I5937)&gt;0,N(U5936),N(U5936)+1))</f>
        <v>2</v>
      </c>
    </row>
    <row r="5938" customFormat="false" ht="15" hidden="false" customHeight="false" outlineLevel="0" collapsed="false">
      <c r="B5938" s="53"/>
      <c r="I5938" s="53"/>
      <c r="U5938" s="31" t="n">
        <f aca="false">IF($B5938&lt;&gt;'設定（最初に1回）'!$C$4,N(U5937),IF(COUNTIFS(①今日の在庫を貼る!$B$6:$B$10005,$B5938,①今日の在庫を貼る!$I$6:$I$10005,$I5938)&gt;0,N(U5937),N(U5937)+1))</f>
        <v>2</v>
      </c>
    </row>
    <row r="5939" customFormat="false" ht="15" hidden="false" customHeight="false" outlineLevel="0" collapsed="false">
      <c r="B5939" s="53"/>
      <c r="I5939" s="53"/>
      <c r="U5939" s="31" t="n">
        <f aca="false">IF($B5939&lt;&gt;'設定（最初に1回）'!$C$4,N(U5938),IF(COUNTIFS(①今日の在庫を貼る!$B$6:$B$10005,$B5939,①今日の在庫を貼る!$I$6:$I$10005,$I5939)&gt;0,N(U5938),N(U5938)+1))</f>
        <v>2</v>
      </c>
    </row>
    <row r="5940" customFormat="false" ht="15" hidden="false" customHeight="false" outlineLevel="0" collapsed="false">
      <c r="B5940" s="53"/>
      <c r="I5940" s="53"/>
      <c r="U5940" s="31" t="n">
        <f aca="false">IF($B5940&lt;&gt;'設定（最初に1回）'!$C$4,N(U5939),IF(COUNTIFS(①今日の在庫を貼る!$B$6:$B$10005,$B5940,①今日の在庫を貼る!$I$6:$I$10005,$I5940)&gt;0,N(U5939),N(U5939)+1))</f>
        <v>2</v>
      </c>
    </row>
    <row r="5941" customFormat="false" ht="15" hidden="false" customHeight="false" outlineLevel="0" collapsed="false">
      <c r="B5941" s="53"/>
      <c r="I5941" s="53"/>
      <c r="U5941" s="31" t="n">
        <f aca="false">IF($B5941&lt;&gt;'設定（最初に1回）'!$C$4,N(U5940),IF(COUNTIFS(①今日の在庫を貼る!$B$6:$B$10005,$B5941,①今日の在庫を貼る!$I$6:$I$10005,$I5941)&gt;0,N(U5940),N(U5940)+1))</f>
        <v>2</v>
      </c>
    </row>
    <row r="5942" customFormat="false" ht="15" hidden="false" customHeight="false" outlineLevel="0" collapsed="false">
      <c r="B5942" s="53"/>
      <c r="I5942" s="53"/>
      <c r="U5942" s="31" t="n">
        <f aca="false">IF($B5942&lt;&gt;'設定（最初に1回）'!$C$4,N(U5941),IF(COUNTIFS(①今日の在庫を貼る!$B$6:$B$10005,$B5942,①今日の在庫を貼る!$I$6:$I$10005,$I5942)&gt;0,N(U5941),N(U5941)+1))</f>
        <v>2</v>
      </c>
    </row>
    <row r="5943" customFormat="false" ht="15" hidden="false" customHeight="false" outlineLevel="0" collapsed="false">
      <c r="B5943" s="53"/>
      <c r="I5943" s="53"/>
      <c r="U5943" s="31" t="n">
        <f aca="false">IF($B5943&lt;&gt;'設定（最初に1回）'!$C$4,N(U5942),IF(COUNTIFS(①今日の在庫を貼る!$B$6:$B$10005,$B5943,①今日の在庫を貼る!$I$6:$I$10005,$I5943)&gt;0,N(U5942),N(U5942)+1))</f>
        <v>2</v>
      </c>
    </row>
    <row r="5944" customFormat="false" ht="15" hidden="false" customHeight="false" outlineLevel="0" collapsed="false">
      <c r="B5944" s="53"/>
      <c r="I5944" s="53"/>
      <c r="U5944" s="31" t="n">
        <f aca="false">IF($B5944&lt;&gt;'設定（最初に1回）'!$C$4,N(U5943),IF(COUNTIFS(①今日の在庫を貼る!$B$6:$B$10005,$B5944,①今日の在庫を貼る!$I$6:$I$10005,$I5944)&gt;0,N(U5943),N(U5943)+1))</f>
        <v>2</v>
      </c>
    </row>
    <row r="5945" customFormat="false" ht="15" hidden="false" customHeight="false" outlineLevel="0" collapsed="false">
      <c r="B5945" s="53"/>
      <c r="I5945" s="53"/>
      <c r="U5945" s="31" t="n">
        <f aca="false">IF($B5945&lt;&gt;'設定（最初に1回）'!$C$4,N(U5944),IF(COUNTIFS(①今日の在庫を貼る!$B$6:$B$10005,$B5945,①今日の在庫を貼る!$I$6:$I$10005,$I5945)&gt;0,N(U5944),N(U5944)+1))</f>
        <v>2</v>
      </c>
    </row>
    <row r="5946" customFormat="false" ht="15" hidden="false" customHeight="false" outlineLevel="0" collapsed="false">
      <c r="B5946" s="53"/>
      <c r="I5946" s="53"/>
      <c r="U5946" s="31" t="n">
        <f aca="false">IF($B5946&lt;&gt;'設定（最初に1回）'!$C$4,N(U5945),IF(COUNTIFS(①今日の在庫を貼る!$B$6:$B$10005,$B5946,①今日の在庫を貼る!$I$6:$I$10005,$I5946)&gt;0,N(U5945),N(U5945)+1))</f>
        <v>2</v>
      </c>
    </row>
    <row r="5947" customFormat="false" ht="15" hidden="false" customHeight="false" outlineLevel="0" collapsed="false">
      <c r="B5947" s="53"/>
      <c r="I5947" s="53"/>
      <c r="U5947" s="31" t="n">
        <f aca="false">IF($B5947&lt;&gt;'設定（最初に1回）'!$C$4,N(U5946),IF(COUNTIFS(①今日の在庫を貼る!$B$6:$B$10005,$B5947,①今日の在庫を貼る!$I$6:$I$10005,$I5947)&gt;0,N(U5946),N(U5946)+1))</f>
        <v>2</v>
      </c>
    </row>
    <row r="5948" customFormat="false" ht="15" hidden="false" customHeight="false" outlineLevel="0" collapsed="false">
      <c r="B5948" s="53"/>
      <c r="I5948" s="53"/>
      <c r="U5948" s="31" t="n">
        <f aca="false">IF($B5948&lt;&gt;'設定（最初に1回）'!$C$4,N(U5947),IF(COUNTIFS(①今日の在庫を貼る!$B$6:$B$10005,$B5948,①今日の在庫を貼る!$I$6:$I$10005,$I5948)&gt;0,N(U5947),N(U5947)+1))</f>
        <v>2</v>
      </c>
    </row>
    <row r="5949" customFormat="false" ht="15" hidden="false" customHeight="false" outlineLevel="0" collapsed="false">
      <c r="B5949" s="53"/>
      <c r="I5949" s="53"/>
      <c r="U5949" s="31" t="n">
        <f aca="false">IF($B5949&lt;&gt;'設定（最初に1回）'!$C$4,N(U5948),IF(COUNTIFS(①今日の在庫を貼る!$B$6:$B$10005,$B5949,①今日の在庫を貼る!$I$6:$I$10005,$I5949)&gt;0,N(U5948),N(U5948)+1))</f>
        <v>2</v>
      </c>
    </row>
    <row r="5950" customFormat="false" ht="15" hidden="false" customHeight="false" outlineLevel="0" collapsed="false">
      <c r="B5950" s="53"/>
      <c r="I5950" s="53"/>
      <c r="U5950" s="31" t="n">
        <f aca="false">IF($B5950&lt;&gt;'設定（最初に1回）'!$C$4,N(U5949),IF(COUNTIFS(①今日の在庫を貼る!$B$6:$B$10005,$B5950,①今日の在庫を貼る!$I$6:$I$10005,$I5950)&gt;0,N(U5949),N(U5949)+1))</f>
        <v>2</v>
      </c>
    </row>
    <row r="5951" customFormat="false" ht="15" hidden="false" customHeight="false" outlineLevel="0" collapsed="false">
      <c r="B5951" s="53"/>
      <c r="I5951" s="53"/>
      <c r="U5951" s="31" t="n">
        <f aca="false">IF($B5951&lt;&gt;'設定（最初に1回）'!$C$4,N(U5950),IF(COUNTIFS(①今日の在庫を貼る!$B$6:$B$10005,$B5951,①今日の在庫を貼る!$I$6:$I$10005,$I5951)&gt;0,N(U5950),N(U5950)+1))</f>
        <v>2</v>
      </c>
    </row>
    <row r="5952" customFormat="false" ht="15" hidden="false" customHeight="false" outlineLevel="0" collapsed="false">
      <c r="B5952" s="53"/>
      <c r="I5952" s="53"/>
      <c r="U5952" s="31" t="n">
        <f aca="false">IF($B5952&lt;&gt;'設定（最初に1回）'!$C$4,N(U5951),IF(COUNTIFS(①今日の在庫を貼る!$B$6:$B$10005,$B5952,①今日の在庫を貼る!$I$6:$I$10005,$I5952)&gt;0,N(U5951),N(U5951)+1))</f>
        <v>2</v>
      </c>
    </row>
    <row r="5953" customFormat="false" ht="15" hidden="false" customHeight="false" outlineLevel="0" collapsed="false">
      <c r="B5953" s="53"/>
      <c r="I5953" s="53"/>
      <c r="U5953" s="31" t="n">
        <f aca="false">IF($B5953&lt;&gt;'設定（最初に1回）'!$C$4,N(U5952),IF(COUNTIFS(①今日の在庫を貼る!$B$6:$B$10005,$B5953,①今日の在庫を貼る!$I$6:$I$10005,$I5953)&gt;0,N(U5952),N(U5952)+1))</f>
        <v>2</v>
      </c>
    </row>
    <row r="5954" customFormat="false" ht="15" hidden="false" customHeight="false" outlineLevel="0" collapsed="false">
      <c r="B5954" s="53"/>
      <c r="I5954" s="53"/>
      <c r="U5954" s="31" t="n">
        <f aca="false">IF($B5954&lt;&gt;'設定（最初に1回）'!$C$4,N(U5953),IF(COUNTIFS(①今日の在庫を貼る!$B$6:$B$10005,$B5954,①今日の在庫を貼る!$I$6:$I$10005,$I5954)&gt;0,N(U5953),N(U5953)+1))</f>
        <v>2</v>
      </c>
    </row>
    <row r="5955" customFormat="false" ht="15" hidden="false" customHeight="false" outlineLevel="0" collapsed="false">
      <c r="B5955" s="53"/>
      <c r="I5955" s="53"/>
      <c r="U5955" s="31" t="n">
        <f aca="false">IF($B5955&lt;&gt;'設定（最初に1回）'!$C$4,N(U5954),IF(COUNTIFS(①今日の在庫を貼る!$B$6:$B$10005,$B5955,①今日の在庫を貼る!$I$6:$I$10005,$I5955)&gt;0,N(U5954),N(U5954)+1))</f>
        <v>2</v>
      </c>
    </row>
    <row r="5956" customFormat="false" ht="15" hidden="false" customHeight="false" outlineLevel="0" collapsed="false">
      <c r="B5956" s="53"/>
      <c r="I5956" s="53"/>
      <c r="U5956" s="31" t="n">
        <f aca="false">IF($B5956&lt;&gt;'設定（最初に1回）'!$C$4,N(U5955),IF(COUNTIFS(①今日の在庫を貼る!$B$6:$B$10005,$B5956,①今日の在庫を貼る!$I$6:$I$10005,$I5956)&gt;0,N(U5955),N(U5955)+1))</f>
        <v>2</v>
      </c>
    </row>
    <row r="5957" customFormat="false" ht="15" hidden="false" customHeight="false" outlineLevel="0" collapsed="false">
      <c r="B5957" s="53"/>
      <c r="I5957" s="53"/>
      <c r="U5957" s="31" t="n">
        <f aca="false">IF($B5957&lt;&gt;'設定（最初に1回）'!$C$4,N(U5956),IF(COUNTIFS(①今日の在庫を貼る!$B$6:$B$10005,$B5957,①今日の在庫を貼る!$I$6:$I$10005,$I5957)&gt;0,N(U5956),N(U5956)+1))</f>
        <v>2</v>
      </c>
    </row>
    <row r="5958" customFormat="false" ht="15" hidden="false" customHeight="false" outlineLevel="0" collapsed="false">
      <c r="B5958" s="53"/>
      <c r="I5958" s="53"/>
      <c r="U5958" s="31" t="n">
        <f aca="false">IF($B5958&lt;&gt;'設定（最初に1回）'!$C$4,N(U5957),IF(COUNTIFS(①今日の在庫を貼る!$B$6:$B$10005,$B5958,①今日の在庫を貼る!$I$6:$I$10005,$I5958)&gt;0,N(U5957),N(U5957)+1))</f>
        <v>2</v>
      </c>
    </row>
    <row r="5959" customFormat="false" ht="15" hidden="false" customHeight="false" outlineLevel="0" collapsed="false">
      <c r="B5959" s="53"/>
      <c r="I5959" s="53"/>
      <c r="U5959" s="31" t="n">
        <f aca="false">IF($B5959&lt;&gt;'設定（最初に1回）'!$C$4,N(U5958),IF(COUNTIFS(①今日の在庫を貼る!$B$6:$B$10005,$B5959,①今日の在庫を貼る!$I$6:$I$10005,$I5959)&gt;0,N(U5958),N(U5958)+1))</f>
        <v>2</v>
      </c>
    </row>
    <row r="5960" customFormat="false" ht="15" hidden="false" customHeight="false" outlineLevel="0" collapsed="false">
      <c r="B5960" s="53"/>
      <c r="I5960" s="53"/>
      <c r="U5960" s="31" t="n">
        <f aca="false">IF($B5960&lt;&gt;'設定（最初に1回）'!$C$4,N(U5959),IF(COUNTIFS(①今日の在庫を貼る!$B$6:$B$10005,$B5960,①今日の在庫を貼る!$I$6:$I$10005,$I5960)&gt;0,N(U5959),N(U5959)+1))</f>
        <v>2</v>
      </c>
    </row>
    <row r="5961" customFormat="false" ht="15" hidden="false" customHeight="false" outlineLevel="0" collapsed="false">
      <c r="B5961" s="53"/>
      <c r="I5961" s="53"/>
      <c r="U5961" s="31" t="n">
        <f aca="false">IF($B5961&lt;&gt;'設定（最初に1回）'!$C$4,N(U5960),IF(COUNTIFS(①今日の在庫を貼る!$B$6:$B$10005,$B5961,①今日の在庫を貼る!$I$6:$I$10005,$I5961)&gt;0,N(U5960),N(U5960)+1))</f>
        <v>2</v>
      </c>
    </row>
    <row r="5962" customFormat="false" ht="15" hidden="false" customHeight="false" outlineLevel="0" collapsed="false">
      <c r="B5962" s="53"/>
      <c r="I5962" s="53"/>
      <c r="U5962" s="31" t="n">
        <f aca="false">IF($B5962&lt;&gt;'設定（最初に1回）'!$C$4,N(U5961),IF(COUNTIFS(①今日の在庫を貼る!$B$6:$B$10005,$B5962,①今日の在庫を貼る!$I$6:$I$10005,$I5962)&gt;0,N(U5961),N(U5961)+1))</f>
        <v>2</v>
      </c>
    </row>
    <row r="5963" customFormat="false" ht="15" hidden="false" customHeight="false" outlineLevel="0" collapsed="false">
      <c r="B5963" s="53"/>
      <c r="I5963" s="53"/>
      <c r="U5963" s="31" t="n">
        <f aca="false">IF($B5963&lt;&gt;'設定（最初に1回）'!$C$4,N(U5962),IF(COUNTIFS(①今日の在庫を貼る!$B$6:$B$10005,$B5963,①今日の在庫を貼る!$I$6:$I$10005,$I5963)&gt;0,N(U5962),N(U5962)+1))</f>
        <v>2</v>
      </c>
    </row>
    <row r="5964" customFormat="false" ht="15" hidden="false" customHeight="false" outlineLevel="0" collapsed="false">
      <c r="B5964" s="53"/>
      <c r="I5964" s="53"/>
      <c r="U5964" s="31" t="n">
        <f aca="false">IF($B5964&lt;&gt;'設定（最初に1回）'!$C$4,N(U5963),IF(COUNTIFS(①今日の在庫を貼る!$B$6:$B$10005,$B5964,①今日の在庫を貼る!$I$6:$I$10005,$I5964)&gt;0,N(U5963),N(U5963)+1))</f>
        <v>2</v>
      </c>
    </row>
    <row r="5965" customFormat="false" ht="15" hidden="false" customHeight="false" outlineLevel="0" collapsed="false">
      <c r="B5965" s="53"/>
      <c r="I5965" s="53"/>
      <c r="U5965" s="31" t="n">
        <f aca="false">IF($B5965&lt;&gt;'設定（最初に1回）'!$C$4,N(U5964),IF(COUNTIFS(①今日の在庫を貼る!$B$6:$B$10005,$B5965,①今日の在庫を貼る!$I$6:$I$10005,$I5965)&gt;0,N(U5964),N(U5964)+1))</f>
        <v>2</v>
      </c>
    </row>
    <row r="5966" customFormat="false" ht="15" hidden="false" customHeight="false" outlineLevel="0" collapsed="false">
      <c r="B5966" s="53"/>
      <c r="I5966" s="53"/>
      <c r="U5966" s="31" t="n">
        <f aca="false">IF($B5966&lt;&gt;'設定（最初に1回）'!$C$4,N(U5965),IF(COUNTIFS(①今日の在庫を貼る!$B$6:$B$10005,$B5966,①今日の在庫を貼る!$I$6:$I$10005,$I5966)&gt;0,N(U5965),N(U5965)+1))</f>
        <v>2</v>
      </c>
    </row>
    <row r="5967" customFormat="false" ht="15" hidden="false" customHeight="false" outlineLevel="0" collapsed="false">
      <c r="B5967" s="53"/>
      <c r="I5967" s="53"/>
      <c r="U5967" s="31" t="n">
        <f aca="false">IF($B5967&lt;&gt;'設定（最初に1回）'!$C$4,N(U5966),IF(COUNTIFS(①今日の在庫を貼る!$B$6:$B$10005,$B5967,①今日の在庫を貼る!$I$6:$I$10005,$I5967)&gt;0,N(U5966),N(U5966)+1))</f>
        <v>2</v>
      </c>
    </row>
    <row r="5968" customFormat="false" ht="15" hidden="false" customHeight="false" outlineLevel="0" collapsed="false">
      <c r="B5968" s="53"/>
      <c r="I5968" s="53"/>
      <c r="U5968" s="31" t="n">
        <f aca="false">IF($B5968&lt;&gt;'設定（最初に1回）'!$C$4,N(U5967),IF(COUNTIFS(①今日の在庫を貼る!$B$6:$B$10005,$B5968,①今日の在庫を貼る!$I$6:$I$10005,$I5968)&gt;0,N(U5967),N(U5967)+1))</f>
        <v>2</v>
      </c>
    </row>
    <row r="5969" customFormat="false" ht="15" hidden="false" customHeight="false" outlineLevel="0" collapsed="false">
      <c r="B5969" s="53"/>
      <c r="I5969" s="53"/>
      <c r="U5969" s="31" t="n">
        <f aca="false">IF($B5969&lt;&gt;'設定（最初に1回）'!$C$4,N(U5968),IF(COUNTIFS(①今日の在庫を貼る!$B$6:$B$10005,$B5969,①今日の在庫を貼る!$I$6:$I$10005,$I5969)&gt;0,N(U5968),N(U5968)+1))</f>
        <v>2</v>
      </c>
    </row>
    <row r="5970" customFormat="false" ht="15" hidden="false" customHeight="false" outlineLevel="0" collapsed="false">
      <c r="B5970" s="53"/>
      <c r="I5970" s="53"/>
      <c r="U5970" s="31" t="n">
        <f aca="false">IF($B5970&lt;&gt;'設定（最初に1回）'!$C$4,N(U5969),IF(COUNTIFS(①今日の在庫を貼る!$B$6:$B$10005,$B5970,①今日の在庫を貼る!$I$6:$I$10005,$I5970)&gt;0,N(U5969),N(U5969)+1))</f>
        <v>2</v>
      </c>
    </row>
    <row r="5971" customFormat="false" ht="15" hidden="false" customHeight="false" outlineLevel="0" collapsed="false">
      <c r="B5971" s="53"/>
      <c r="I5971" s="53"/>
      <c r="U5971" s="31" t="n">
        <f aca="false">IF($B5971&lt;&gt;'設定（最初に1回）'!$C$4,N(U5970),IF(COUNTIFS(①今日の在庫を貼る!$B$6:$B$10005,$B5971,①今日の在庫を貼る!$I$6:$I$10005,$I5971)&gt;0,N(U5970),N(U5970)+1))</f>
        <v>2</v>
      </c>
    </row>
    <row r="5972" customFormat="false" ht="15" hidden="false" customHeight="false" outlineLevel="0" collapsed="false">
      <c r="B5972" s="53"/>
      <c r="I5972" s="53"/>
      <c r="U5972" s="31" t="n">
        <f aca="false">IF($B5972&lt;&gt;'設定（最初に1回）'!$C$4,N(U5971),IF(COUNTIFS(①今日の在庫を貼る!$B$6:$B$10005,$B5972,①今日の在庫を貼る!$I$6:$I$10005,$I5972)&gt;0,N(U5971),N(U5971)+1))</f>
        <v>2</v>
      </c>
    </row>
    <row r="5973" customFormat="false" ht="15" hidden="false" customHeight="false" outlineLevel="0" collapsed="false">
      <c r="B5973" s="53"/>
      <c r="I5973" s="53"/>
      <c r="U5973" s="31" t="n">
        <f aca="false">IF($B5973&lt;&gt;'設定（最初に1回）'!$C$4,N(U5972),IF(COUNTIFS(①今日の在庫を貼る!$B$6:$B$10005,$B5973,①今日の在庫を貼る!$I$6:$I$10005,$I5973)&gt;0,N(U5972),N(U5972)+1))</f>
        <v>2</v>
      </c>
    </row>
    <row r="5974" customFormat="false" ht="15" hidden="false" customHeight="false" outlineLevel="0" collapsed="false">
      <c r="B5974" s="53"/>
      <c r="I5974" s="53"/>
      <c r="U5974" s="31" t="n">
        <f aca="false">IF($B5974&lt;&gt;'設定（最初に1回）'!$C$4,N(U5973),IF(COUNTIFS(①今日の在庫を貼る!$B$6:$B$10005,$B5974,①今日の在庫を貼る!$I$6:$I$10005,$I5974)&gt;0,N(U5973),N(U5973)+1))</f>
        <v>2</v>
      </c>
    </row>
    <row r="5975" customFormat="false" ht="15" hidden="false" customHeight="false" outlineLevel="0" collapsed="false">
      <c r="B5975" s="53"/>
      <c r="I5975" s="53"/>
      <c r="U5975" s="31" t="n">
        <f aca="false">IF($B5975&lt;&gt;'設定（最初に1回）'!$C$4,N(U5974),IF(COUNTIFS(①今日の在庫を貼る!$B$6:$B$10005,$B5975,①今日の在庫を貼る!$I$6:$I$10005,$I5975)&gt;0,N(U5974),N(U5974)+1))</f>
        <v>2</v>
      </c>
    </row>
    <row r="5976" customFormat="false" ht="15" hidden="false" customHeight="false" outlineLevel="0" collapsed="false">
      <c r="B5976" s="53"/>
      <c r="I5976" s="53"/>
      <c r="U5976" s="31" t="n">
        <f aca="false">IF($B5976&lt;&gt;'設定（最初に1回）'!$C$4,N(U5975),IF(COUNTIFS(①今日の在庫を貼る!$B$6:$B$10005,$B5976,①今日の在庫を貼る!$I$6:$I$10005,$I5976)&gt;0,N(U5975),N(U5975)+1))</f>
        <v>2</v>
      </c>
    </row>
    <row r="5977" customFormat="false" ht="15" hidden="false" customHeight="false" outlineLevel="0" collapsed="false">
      <c r="B5977" s="53"/>
      <c r="I5977" s="53"/>
      <c r="U5977" s="31" t="n">
        <f aca="false">IF($B5977&lt;&gt;'設定（最初に1回）'!$C$4,N(U5976),IF(COUNTIFS(①今日の在庫を貼る!$B$6:$B$10005,$B5977,①今日の在庫を貼る!$I$6:$I$10005,$I5977)&gt;0,N(U5976),N(U5976)+1))</f>
        <v>2</v>
      </c>
    </row>
    <row r="5978" customFormat="false" ht="15" hidden="false" customHeight="false" outlineLevel="0" collapsed="false">
      <c r="B5978" s="53"/>
      <c r="I5978" s="53"/>
      <c r="U5978" s="31" t="n">
        <f aca="false">IF($B5978&lt;&gt;'設定（最初に1回）'!$C$4,N(U5977),IF(COUNTIFS(①今日の在庫を貼る!$B$6:$B$10005,$B5978,①今日の在庫を貼る!$I$6:$I$10005,$I5978)&gt;0,N(U5977),N(U5977)+1))</f>
        <v>2</v>
      </c>
    </row>
    <row r="5979" customFormat="false" ht="15" hidden="false" customHeight="false" outlineLevel="0" collapsed="false">
      <c r="B5979" s="53"/>
      <c r="I5979" s="53"/>
      <c r="U5979" s="31" t="n">
        <f aca="false">IF($B5979&lt;&gt;'設定（最初に1回）'!$C$4,N(U5978),IF(COUNTIFS(①今日の在庫を貼る!$B$6:$B$10005,$B5979,①今日の在庫を貼る!$I$6:$I$10005,$I5979)&gt;0,N(U5978),N(U5978)+1))</f>
        <v>2</v>
      </c>
    </row>
    <row r="5980" customFormat="false" ht="15" hidden="false" customHeight="false" outlineLevel="0" collapsed="false">
      <c r="B5980" s="53"/>
      <c r="I5980" s="53"/>
      <c r="U5980" s="31" t="n">
        <f aca="false">IF($B5980&lt;&gt;'設定（最初に1回）'!$C$4,N(U5979),IF(COUNTIFS(①今日の在庫を貼る!$B$6:$B$10005,$B5980,①今日の在庫を貼る!$I$6:$I$10005,$I5980)&gt;0,N(U5979),N(U5979)+1))</f>
        <v>2</v>
      </c>
    </row>
    <row r="5981" customFormat="false" ht="15" hidden="false" customHeight="false" outlineLevel="0" collapsed="false">
      <c r="B5981" s="53"/>
      <c r="I5981" s="53"/>
      <c r="U5981" s="31" t="n">
        <f aca="false">IF($B5981&lt;&gt;'設定（最初に1回）'!$C$4,N(U5980),IF(COUNTIFS(①今日の在庫を貼る!$B$6:$B$10005,$B5981,①今日の在庫を貼る!$I$6:$I$10005,$I5981)&gt;0,N(U5980),N(U5980)+1))</f>
        <v>2</v>
      </c>
    </row>
    <row r="5982" customFormat="false" ht="15" hidden="false" customHeight="false" outlineLevel="0" collapsed="false">
      <c r="B5982" s="53"/>
      <c r="I5982" s="53"/>
      <c r="U5982" s="31" t="n">
        <f aca="false">IF($B5982&lt;&gt;'設定（最初に1回）'!$C$4,N(U5981),IF(COUNTIFS(①今日の在庫を貼る!$B$6:$B$10005,$B5982,①今日の在庫を貼る!$I$6:$I$10005,$I5982)&gt;0,N(U5981),N(U5981)+1))</f>
        <v>2</v>
      </c>
    </row>
    <row r="5983" customFormat="false" ht="15" hidden="false" customHeight="false" outlineLevel="0" collapsed="false">
      <c r="B5983" s="53"/>
      <c r="I5983" s="53"/>
      <c r="U5983" s="31" t="n">
        <f aca="false">IF($B5983&lt;&gt;'設定（最初に1回）'!$C$4,N(U5982),IF(COUNTIFS(①今日の在庫を貼る!$B$6:$B$10005,$B5983,①今日の在庫を貼る!$I$6:$I$10005,$I5983)&gt;0,N(U5982),N(U5982)+1))</f>
        <v>2</v>
      </c>
    </row>
    <row r="5984" customFormat="false" ht="15" hidden="false" customHeight="false" outlineLevel="0" collapsed="false">
      <c r="B5984" s="53"/>
      <c r="I5984" s="53"/>
      <c r="U5984" s="31" t="n">
        <f aca="false">IF($B5984&lt;&gt;'設定（最初に1回）'!$C$4,N(U5983),IF(COUNTIFS(①今日の在庫を貼る!$B$6:$B$10005,$B5984,①今日の在庫を貼る!$I$6:$I$10005,$I5984)&gt;0,N(U5983),N(U5983)+1))</f>
        <v>2</v>
      </c>
    </row>
    <row r="5985" customFormat="false" ht="15" hidden="false" customHeight="false" outlineLevel="0" collapsed="false">
      <c r="B5985" s="53"/>
      <c r="I5985" s="53"/>
      <c r="U5985" s="31" t="n">
        <f aca="false">IF($B5985&lt;&gt;'設定（最初に1回）'!$C$4,N(U5984),IF(COUNTIFS(①今日の在庫を貼る!$B$6:$B$10005,$B5985,①今日の在庫を貼る!$I$6:$I$10005,$I5985)&gt;0,N(U5984),N(U5984)+1))</f>
        <v>2</v>
      </c>
    </row>
    <row r="5986" customFormat="false" ht="15" hidden="false" customHeight="false" outlineLevel="0" collapsed="false">
      <c r="B5986" s="53"/>
      <c r="I5986" s="53"/>
      <c r="U5986" s="31" t="n">
        <f aca="false">IF($B5986&lt;&gt;'設定（最初に1回）'!$C$4,N(U5985),IF(COUNTIFS(①今日の在庫を貼る!$B$6:$B$10005,$B5986,①今日の在庫を貼る!$I$6:$I$10005,$I5986)&gt;0,N(U5985),N(U5985)+1))</f>
        <v>2</v>
      </c>
    </row>
    <row r="5987" customFormat="false" ht="15" hidden="false" customHeight="false" outlineLevel="0" collapsed="false">
      <c r="B5987" s="53"/>
      <c r="I5987" s="53"/>
      <c r="U5987" s="31" t="n">
        <f aca="false">IF($B5987&lt;&gt;'設定（最初に1回）'!$C$4,N(U5986),IF(COUNTIFS(①今日の在庫を貼る!$B$6:$B$10005,$B5987,①今日の在庫を貼る!$I$6:$I$10005,$I5987)&gt;0,N(U5986),N(U5986)+1))</f>
        <v>2</v>
      </c>
    </row>
    <row r="5988" customFormat="false" ht="15" hidden="false" customHeight="false" outlineLevel="0" collapsed="false">
      <c r="B5988" s="53"/>
      <c r="I5988" s="53"/>
      <c r="U5988" s="31" t="n">
        <f aca="false">IF($B5988&lt;&gt;'設定（最初に1回）'!$C$4,N(U5987),IF(COUNTIFS(①今日の在庫を貼る!$B$6:$B$10005,$B5988,①今日の在庫を貼る!$I$6:$I$10005,$I5988)&gt;0,N(U5987),N(U5987)+1))</f>
        <v>2</v>
      </c>
    </row>
    <row r="5989" customFormat="false" ht="15" hidden="false" customHeight="false" outlineLevel="0" collapsed="false">
      <c r="B5989" s="53"/>
      <c r="I5989" s="53"/>
      <c r="U5989" s="31" t="n">
        <f aca="false">IF($B5989&lt;&gt;'設定（最初に1回）'!$C$4,N(U5988),IF(COUNTIFS(①今日の在庫を貼る!$B$6:$B$10005,$B5989,①今日の在庫を貼る!$I$6:$I$10005,$I5989)&gt;0,N(U5988),N(U5988)+1))</f>
        <v>2</v>
      </c>
    </row>
    <row r="5990" customFormat="false" ht="15" hidden="false" customHeight="false" outlineLevel="0" collapsed="false">
      <c r="B5990" s="53"/>
      <c r="I5990" s="53"/>
      <c r="U5990" s="31" t="n">
        <f aca="false">IF($B5990&lt;&gt;'設定（最初に1回）'!$C$4,N(U5989),IF(COUNTIFS(①今日の在庫を貼る!$B$6:$B$10005,$B5990,①今日の在庫を貼る!$I$6:$I$10005,$I5990)&gt;0,N(U5989),N(U5989)+1))</f>
        <v>2</v>
      </c>
    </row>
    <row r="5991" customFormat="false" ht="15" hidden="false" customHeight="false" outlineLevel="0" collapsed="false">
      <c r="B5991" s="53"/>
      <c r="I5991" s="53"/>
      <c r="U5991" s="31" t="n">
        <f aca="false">IF($B5991&lt;&gt;'設定（最初に1回）'!$C$4,N(U5990),IF(COUNTIFS(①今日の在庫を貼る!$B$6:$B$10005,$B5991,①今日の在庫を貼る!$I$6:$I$10005,$I5991)&gt;0,N(U5990),N(U5990)+1))</f>
        <v>2</v>
      </c>
    </row>
    <row r="5992" customFormat="false" ht="15" hidden="false" customHeight="false" outlineLevel="0" collapsed="false">
      <c r="B5992" s="53"/>
      <c r="I5992" s="53"/>
      <c r="U5992" s="31" t="n">
        <f aca="false">IF($B5992&lt;&gt;'設定（最初に1回）'!$C$4,N(U5991),IF(COUNTIFS(①今日の在庫を貼る!$B$6:$B$10005,$B5992,①今日の在庫を貼る!$I$6:$I$10005,$I5992)&gt;0,N(U5991),N(U5991)+1))</f>
        <v>2</v>
      </c>
    </row>
    <row r="5993" customFormat="false" ht="15" hidden="false" customHeight="false" outlineLevel="0" collapsed="false">
      <c r="B5993" s="53"/>
      <c r="I5993" s="53"/>
      <c r="U5993" s="31" t="n">
        <f aca="false">IF($B5993&lt;&gt;'設定（最初に1回）'!$C$4,N(U5992),IF(COUNTIFS(①今日の在庫を貼る!$B$6:$B$10005,$B5993,①今日の在庫を貼る!$I$6:$I$10005,$I5993)&gt;0,N(U5992),N(U5992)+1))</f>
        <v>2</v>
      </c>
    </row>
    <row r="5994" customFormat="false" ht="15" hidden="false" customHeight="false" outlineLevel="0" collapsed="false">
      <c r="B5994" s="53"/>
      <c r="I5994" s="53"/>
      <c r="U5994" s="31" t="n">
        <f aca="false">IF($B5994&lt;&gt;'設定（最初に1回）'!$C$4,N(U5993),IF(COUNTIFS(①今日の在庫を貼る!$B$6:$B$10005,$B5994,①今日の在庫を貼る!$I$6:$I$10005,$I5994)&gt;0,N(U5993),N(U5993)+1))</f>
        <v>2</v>
      </c>
    </row>
    <row r="5995" customFormat="false" ht="15" hidden="false" customHeight="false" outlineLevel="0" collapsed="false">
      <c r="B5995" s="53"/>
      <c r="I5995" s="53"/>
      <c r="U5995" s="31" t="n">
        <f aca="false">IF($B5995&lt;&gt;'設定（最初に1回）'!$C$4,N(U5994),IF(COUNTIFS(①今日の在庫を貼る!$B$6:$B$10005,$B5995,①今日の在庫を貼る!$I$6:$I$10005,$I5995)&gt;0,N(U5994),N(U5994)+1))</f>
        <v>2</v>
      </c>
    </row>
    <row r="5996" customFormat="false" ht="15" hidden="false" customHeight="false" outlineLevel="0" collapsed="false">
      <c r="B5996" s="53"/>
      <c r="I5996" s="53"/>
      <c r="U5996" s="31" t="n">
        <f aca="false">IF($B5996&lt;&gt;'設定（最初に1回）'!$C$4,N(U5995),IF(COUNTIFS(①今日の在庫を貼る!$B$6:$B$10005,$B5996,①今日の在庫を貼る!$I$6:$I$10005,$I5996)&gt;0,N(U5995),N(U5995)+1))</f>
        <v>2</v>
      </c>
    </row>
    <row r="5997" customFormat="false" ht="15" hidden="false" customHeight="false" outlineLevel="0" collapsed="false">
      <c r="B5997" s="53"/>
      <c r="I5997" s="53"/>
      <c r="U5997" s="31" t="n">
        <f aca="false">IF($B5997&lt;&gt;'設定（最初に1回）'!$C$4,N(U5996),IF(COUNTIFS(①今日の在庫を貼る!$B$6:$B$10005,$B5997,①今日の在庫を貼る!$I$6:$I$10005,$I5997)&gt;0,N(U5996),N(U5996)+1))</f>
        <v>2</v>
      </c>
    </row>
    <row r="5998" customFormat="false" ht="15" hidden="false" customHeight="false" outlineLevel="0" collapsed="false">
      <c r="B5998" s="53"/>
      <c r="I5998" s="53"/>
      <c r="U5998" s="31" t="n">
        <f aca="false">IF($B5998&lt;&gt;'設定（最初に1回）'!$C$4,N(U5997),IF(COUNTIFS(①今日の在庫を貼る!$B$6:$B$10005,$B5998,①今日の在庫を貼る!$I$6:$I$10005,$I5998)&gt;0,N(U5997),N(U5997)+1))</f>
        <v>2</v>
      </c>
    </row>
    <row r="5999" customFormat="false" ht="15" hidden="false" customHeight="false" outlineLevel="0" collapsed="false">
      <c r="B5999" s="53"/>
      <c r="I5999" s="53"/>
      <c r="U5999" s="31" t="n">
        <f aca="false">IF($B5999&lt;&gt;'設定（最初に1回）'!$C$4,N(U5998),IF(COUNTIFS(①今日の在庫を貼る!$B$6:$B$10005,$B5999,①今日の在庫を貼る!$I$6:$I$10005,$I5999)&gt;0,N(U5998),N(U5998)+1))</f>
        <v>2</v>
      </c>
    </row>
    <row r="6000" customFormat="false" ht="15" hidden="false" customHeight="false" outlineLevel="0" collapsed="false">
      <c r="B6000" s="53"/>
      <c r="I6000" s="53"/>
      <c r="U6000" s="31" t="n">
        <f aca="false">IF($B6000&lt;&gt;'設定（最初に1回）'!$C$4,N(U5999),IF(COUNTIFS(①今日の在庫を貼る!$B$6:$B$10005,$B6000,①今日の在庫を貼る!$I$6:$I$10005,$I6000)&gt;0,N(U5999),N(U5999)+1))</f>
        <v>2</v>
      </c>
    </row>
    <row r="6001" customFormat="false" ht="15" hidden="false" customHeight="false" outlineLevel="0" collapsed="false">
      <c r="B6001" s="53"/>
      <c r="I6001" s="53"/>
      <c r="U6001" s="31" t="n">
        <f aca="false">IF($B6001&lt;&gt;'設定（最初に1回）'!$C$4,N(U6000),IF(COUNTIFS(①今日の在庫を貼る!$B$6:$B$10005,$B6001,①今日の在庫を貼る!$I$6:$I$10005,$I6001)&gt;0,N(U6000),N(U6000)+1))</f>
        <v>2</v>
      </c>
    </row>
    <row r="6002" customFormat="false" ht="15" hidden="false" customHeight="false" outlineLevel="0" collapsed="false">
      <c r="B6002" s="53"/>
      <c r="I6002" s="53"/>
      <c r="U6002" s="31" t="n">
        <f aca="false">IF($B6002&lt;&gt;'設定（最初に1回）'!$C$4,N(U6001),IF(COUNTIFS(①今日の在庫を貼る!$B$6:$B$10005,$B6002,①今日の在庫を貼る!$I$6:$I$10005,$I6002)&gt;0,N(U6001),N(U6001)+1))</f>
        <v>2</v>
      </c>
    </row>
    <row r="6003" customFormat="false" ht="15" hidden="false" customHeight="false" outlineLevel="0" collapsed="false">
      <c r="B6003" s="53"/>
      <c r="I6003" s="53"/>
      <c r="U6003" s="31" t="n">
        <f aca="false">IF($B6003&lt;&gt;'設定（最初に1回）'!$C$4,N(U6002),IF(COUNTIFS(①今日の在庫を貼る!$B$6:$B$10005,$B6003,①今日の在庫を貼る!$I$6:$I$10005,$I6003)&gt;0,N(U6002),N(U6002)+1))</f>
        <v>2</v>
      </c>
    </row>
    <row r="6004" customFormat="false" ht="15" hidden="false" customHeight="false" outlineLevel="0" collapsed="false">
      <c r="B6004" s="53"/>
      <c r="I6004" s="53"/>
      <c r="U6004" s="31" t="n">
        <f aca="false">IF($B6004&lt;&gt;'設定（最初に1回）'!$C$4,N(U6003),IF(COUNTIFS(①今日の在庫を貼る!$B$6:$B$10005,$B6004,①今日の在庫を貼る!$I$6:$I$10005,$I6004)&gt;0,N(U6003),N(U6003)+1))</f>
        <v>2</v>
      </c>
    </row>
    <row r="6005" customFormat="false" ht="15" hidden="false" customHeight="false" outlineLevel="0" collapsed="false">
      <c r="B6005" s="53"/>
      <c r="I6005" s="53"/>
      <c r="U6005" s="31" t="n">
        <f aca="false">IF($B6005&lt;&gt;'設定（最初に1回）'!$C$4,N(U6004),IF(COUNTIFS(①今日の在庫を貼る!$B$6:$B$10005,$B6005,①今日の在庫を貼る!$I$6:$I$10005,$I6005)&gt;0,N(U6004),N(U6004)+1))</f>
        <v>2</v>
      </c>
    </row>
    <row r="6006" customFormat="false" ht="15" hidden="false" customHeight="false" outlineLevel="0" collapsed="false">
      <c r="B6006" s="53"/>
      <c r="I6006" s="53"/>
      <c r="U6006" s="31" t="n">
        <f aca="false">IF($B6006&lt;&gt;'設定（最初に1回）'!$C$4,N(U6005),IF(COUNTIFS(①今日の在庫を貼る!$B$6:$B$10005,$B6006,①今日の在庫を貼る!$I$6:$I$10005,$I6006)&gt;0,N(U6005),N(U6005)+1))</f>
        <v>2</v>
      </c>
    </row>
    <row r="6007" customFormat="false" ht="15" hidden="false" customHeight="false" outlineLevel="0" collapsed="false">
      <c r="B6007" s="53"/>
      <c r="I6007" s="53"/>
      <c r="U6007" s="31" t="n">
        <f aca="false">IF($B6007&lt;&gt;'設定（最初に1回）'!$C$4,N(U6006),IF(COUNTIFS(①今日の在庫を貼る!$B$6:$B$10005,$B6007,①今日の在庫を貼る!$I$6:$I$10005,$I6007)&gt;0,N(U6006),N(U6006)+1))</f>
        <v>2</v>
      </c>
    </row>
    <row r="6008" customFormat="false" ht="15" hidden="false" customHeight="false" outlineLevel="0" collapsed="false">
      <c r="B6008" s="53"/>
      <c r="I6008" s="53"/>
      <c r="U6008" s="31" t="n">
        <f aca="false">IF($B6008&lt;&gt;'設定（最初に1回）'!$C$4,N(U6007),IF(COUNTIFS(①今日の在庫を貼る!$B$6:$B$10005,$B6008,①今日の在庫を貼る!$I$6:$I$10005,$I6008)&gt;0,N(U6007),N(U6007)+1))</f>
        <v>2</v>
      </c>
    </row>
    <row r="6009" customFormat="false" ht="15" hidden="false" customHeight="false" outlineLevel="0" collapsed="false">
      <c r="B6009" s="53"/>
      <c r="I6009" s="53"/>
      <c r="U6009" s="31" t="n">
        <f aca="false">IF($B6009&lt;&gt;'設定（最初に1回）'!$C$4,N(U6008),IF(COUNTIFS(①今日の在庫を貼る!$B$6:$B$10005,$B6009,①今日の在庫を貼る!$I$6:$I$10005,$I6009)&gt;0,N(U6008),N(U6008)+1))</f>
        <v>2</v>
      </c>
    </row>
    <row r="6010" customFormat="false" ht="15" hidden="false" customHeight="false" outlineLevel="0" collapsed="false">
      <c r="B6010" s="53"/>
      <c r="I6010" s="53"/>
      <c r="U6010" s="31" t="n">
        <f aca="false">IF($B6010&lt;&gt;'設定（最初に1回）'!$C$4,N(U6009),IF(COUNTIFS(①今日の在庫を貼る!$B$6:$B$10005,$B6010,①今日の在庫を貼る!$I$6:$I$10005,$I6010)&gt;0,N(U6009),N(U6009)+1))</f>
        <v>2</v>
      </c>
    </row>
    <row r="6011" customFormat="false" ht="15" hidden="false" customHeight="false" outlineLevel="0" collapsed="false">
      <c r="B6011" s="53"/>
      <c r="I6011" s="53"/>
      <c r="U6011" s="31" t="n">
        <f aca="false">IF($B6011&lt;&gt;'設定（最初に1回）'!$C$4,N(U6010),IF(COUNTIFS(①今日の在庫を貼る!$B$6:$B$10005,$B6011,①今日の在庫を貼る!$I$6:$I$10005,$I6011)&gt;0,N(U6010),N(U6010)+1))</f>
        <v>2</v>
      </c>
    </row>
    <row r="6012" customFormat="false" ht="15" hidden="false" customHeight="false" outlineLevel="0" collapsed="false">
      <c r="B6012" s="53"/>
      <c r="I6012" s="53"/>
      <c r="U6012" s="31" t="n">
        <f aca="false">IF($B6012&lt;&gt;'設定（最初に1回）'!$C$4,N(U6011),IF(COUNTIFS(①今日の在庫を貼る!$B$6:$B$10005,$B6012,①今日の在庫を貼る!$I$6:$I$10005,$I6012)&gt;0,N(U6011),N(U6011)+1))</f>
        <v>2</v>
      </c>
    </row>
    <row r="6013" customFormat="false" ht="15" hidden="false" customHeight="false" outlineLevel="0" collapsed="false">
      <c r="B6013" s="53"/>
      <c r="I6013" s="53"/>
      <c r="U6013" s="31" t="n">
        <f aca="false">IF($B6013&lt;&gt;'設定（最初に1回）'!$C$4,N(U6012),IF(COUNTIFS(①今日の在庫を貼る!$B$6:$B$10005,$B6013,①今日の在庫を貼る!$I$6:$I$10005,$I6013)&gt;0,N(U6012),N(U6012)+1))</f>
        <v>2</v>
      </c>
    </row>
    <row r="6014" customFormat="false" ht="15" hidden="false" customHeight="false" outlineLevel="0" collapsed="false">
      <c r="B6014" s="53"/>
      <c r="I6014" s="53"/>
      <c r="U6014" s="31" t="n">
        <f aca="false">IF($B6014&lt;&gt;'設定（最初に1回）'!$C$4,N(U6013),IF(COUNTIFS(①今日の在庫を貼る!$B$6:$B$10005,$B6014,①今日の在庫を貼る!$I$6:$I$10005,$I6014)&gt;0,N(U6013),N(U6013)+1))</f>
        <v>2</v>
      </c>
    </row>
    <row r="6015" customFormat="false" ht="15" hidden="false" customHeight="false" outlineLevel="0" collapsed="false">
      <c r="B6015" s="53"/>
      <c r="I6015" s="53"/>
      <c r="U6015" s="31" t="n">
        <f aca="false">IF($B6015&lt;&gt;'設定（最初に1回）'!$C$4,N(U6014),IF(COUNTIFS(①今日の在庫を貼る!$B$6:$B$10005,$B6015,①今日の在庫を貼る!$I$6:$I$10005,$I6015)&gt;0,N(U6014),N(U6014)+1))</f>
        <v>2</v>
      </c>
    </row>
    <row r="6016" customFormat="false" ht="15" hidden="false" customHeight="false" outlineLevel="0" collapsed="false">
      <c r="B6016" s="53"/>
      <c r="I6016" s="53"/>
      <c r="U6016" s="31" t="n">
        <f aca="false">IF($B6016&lt;&gt;'設定（最初に1回）'!$C$4,N(U6015),IF(COUNTIFS(①今日の在庫を貼る!$B$6:$B$10005,$B6016,①今日の在庫を貼る!$I$6:$I$10005,$I6016)&gt;0,N(U6015),N(U6015)+1))</f>
        <v>2</v>
      </c>
    </row>
    <row r="6017" customFormat="false" ht="15" hidden="false" customHeight="false" outlineLevel="0" collapsed="false">
      <c r="B6017" s="53"/>
      <c r="I6017" s="53"/>
      <c r="U6017" s="31" t="n">
        <f aca="false">IF($B6017&lt;&gt;'設定（最初に1回）'!$C$4,N(U6016),IF(COUNTIFS(①今日の在庫を貼る!$B$6:$B$10005,$B6017,①今日の在庫を貼る!$I$6:$I$10005,$I6017)&gt;0,N(U6016),N(U6016)+1))</f>
        <v>2</v>
      </c>
    </row>
    <row r="6018" customFormat="false" ht="15" hidden="false" customHeight="false" outlineLevel="0" collapsed="false">
      <c r="B6018" s="53"/>
      <c r="I6018" s="53"/>
      <c r="U6018" s="31" t="n">
        <f aca="false">IF($B6018&lt;&gt;'設定（最初に1回）'!$C$4,N(U6017),IF(COUNTIFS(①今日の在庫を貼る!$B$6:$B$10005,$B6018,①今日の在庫を貼る!$I$6:$I$10005,$I6018)&gt;0,N(U6017),N(U6017)+1))</f>
        <v>2</v>
      </c>
    </row>
    <row r="6019" customFormat="false" ht="15" hidden="false" customHeight="false" outlineLevel="0" collapsed="false">
      <c r="B6019" s="53"/>
      <c r="I6019" s="53"/>
      <c r="U6019" s="31" t="n">
        <f aca="false">IF($B6019&lt;&gt;'設定（最初に1回）'!$C$4,N(U6018),IF(COUNTIFS(①今日の在庫を貼る!$B$6:$B$10005,$B6019,①今日の在庫を貼る!$I$6:$I$10005,$I6019)&gt;0,N(U6018),N(U6018)+1))</f>
        <v>2</v>
      </c>
    </row>
    <row r="6020" customFormat="false" ht="15" hidden="false" customHeight="false" outlineLevel="0" collapsed="false">
      <c r="B6020" s="53"/>
      <c r="I6020" s="53"/>
      <c r="U6020" s="31" t="n">
        <f aca="false">IF($B6020&lt;&gt;'設定（最初に1回）'!$C$4,N(U6019),IF(COUNTIFS(①今日の在庫を貼る!$B$6:$B$10005,$B6020,①今日の在庫を貼る!$I$6:$I$10005,$I6020)&gt;0,N(U6019),N(U6019)+1))</f>
        <v>2</v>
      </c>
    </row>
    <row r="6021" customFormat="false" ht="15" hidden="false" customHeight="false" outlineLevel="0" collapsed="false">
      <c r="B6021" s="53"/>
      <c r="I6021" s="53"/>
      <c r="U6021" s="31" t="n">
        <f aca="false">IF($B6021&lt;&gt;'設定（最初に1回）'!$C$4,N(U6020),IF(COUNTIFS(①今日の在庫を貼る!$B$6:$B$10005,$B6021,①今日の在庫を貼る!$I$6:$I$10005,$I6021)&gt;0,N(U6020),N(U6020)+1))</f>
        <v>2</v>
      </c>
    </row>
    <row r="6022" customFormat="false" ht="15" hidden="false" customHeight="false" outlineLevel="0" collapsed="false">
      <c r="B6022" s="53"/>
      <c r="I6022" s="53"/>
      <c r="U6022" s="31" t="n">
        <f aca="false">IF($B6022&lt;&gt;'設定（最初に1回）'!$C$4,N(U6021),IF(COUNTIFS(①今日の在庫を貼る!$B$6:$B$10005,$B6022,①今日の在庫を貼る!$I$6:$I$10005,$I6022)&gt;0,N(U6021),N(U6021)+1))</f>
        <v>2</v>
      </c>
    </row>
    <row r="6023" customFormat="false" ht="15" hidden="false" customHeight="false" outlineLevel="0" collapsed="false">
      <c r="B6023" s="53"/>
      <c r="I6023" s="53"/>
      <c r="U6023" s="31" t="n">
        <f aca="false">IF($B6023&lt;&gt;'設定（最初に1回）'!$C$4,N(U6022),IF(COUNTIFS(①今日の在庫を貼る!$B$6:$B$10005,$B6023,①今日の在庫を貼る!$I$6:$I$10005,$I6023)&gt;0,N(U6022),N(U6022)+1))</f>
        <v>2</v>
      </c>
    </row>
    <row r="6024" customFormat="false" ht="15" hidden="false" customHeight="false" outlineLevel="0" collapsed="false">
      <c r="B6024" s="53"/>
      <c r="I6024" s="53"/>
      <c r="U6024" s="31" t="n">
        <f aca="false">IF($B6024&lt;&gt;'設定（最初に1回）'!$C$4,N(U6023),IF(COUNTIFS(①今日の在庫を貼る!$B$6:$B$10005,$B6024,①今日の在庫を貼る!$I$6:$I$10005,$I6024)&gt;0,N(U6023),N(U6023)+1))</f>
        <v>2</v>
      </c>
    </row>
    <row r="6025" customFormat="false" ht="15" hidden="false" customHeight="false" outlineLevel="0" collapsed="false">
      <c r="B6025" s="53"/>
      <c r="I6025" s="53"/>
      <c r="U6025" s="31" t="n">
        <f aca="false">IF($B6025&lt;&gt;'設定（最初に1回）'!$C$4,N(U6024),IF(COUNTIFS(①今日の在庫を貼る!$B$6:$B$10005,$B6025,①今日の在庫を貼る!$I$6:$I$10005,$I6025)&gt;0,N(U6024),N(U6024)+1))</f>
        <v>2</v>
      </c>
    </row>
    <row r="6026" customFormat="false" ht="15" hidden="false" customHeight="false" outlineLevel="0" collapsed="false">
      <c r="B6026" s="53"/>
      <c r="I6026" s="53"/>
      <c r="U6026" s="31" t="n">
        <f aca="false">IF($B6026&lt;&gt;'設定（最初に1回）'!$C$4,N(U6025),IF(COUNTIFS(①今日の在庫を貼る!$B$6:$B$10005,$B6026,①今日の在庫を貼る!$I$6:$I$10005,$I6026)&gt;0,N(U6025),N(U6025)+1))</f>
        <v>2</v>
      </c>
    </row>
    <row r="6027" customFormat="false" ht="15" hidden="false" customHeight="false" outlineLevel="0" collapsed="false">
      <c r="B6027" s="53"/>
      <c r="I6027" s="53"/>
      <c r="U6027" s="31" t="n">
        <f aca="false">IF($B6027&lt;&gt;'設定（最初に1回）'!$C$4,N(U6026),IF(COUNTIFS(①今日の在庫を貼る!$B$6:$B$10005,$B6027,①今日の在庫を貼る!$I$6:$I$10005,$I6027)&gt;0,N(U6026),N(U6026)+1))</f>
        <v>2</v>
      </c>
    </row>
    <row r="6028" customFormat="false" ht="15" hidden="false" customHeight="false" outlineLevel="0" collapsed="false">
      <c r="B6028" s="53"/>
      <c r="I6028" s="53"/>
      <c r="U6028" s="31" t="n">
        <f aca="false">IF($B6028&lt;&gt;'設定（最初に1回）'!$C$4,N(U6027),IF(COUNTIFS(①今日の在庫を貼る!$B$6:$B$10005,$B6028,①今日の在庫を貼る!$I$6:$I$10005,$I6028)&gt;0,N(U6027),N(U6027)+1))</f>
        <v>2</v>
      </c>
    </row>
    <row r="6029" customFormat="false" ht="15" hidden="false" customHeight="false" outlineLevel="0" collapsed="false">
      <c r="B6029" s="53"/>
      <c r="I6029" s="53"/>
      <c r="U6029" s="31" t="n">
        <f aca="false">IF($B6029&lt;&gt;'設定（最初に1回）'!$C$4,N(U6028),IF(COUNTIFS(①今日の在庫を貼る!$B$6:$B$10005,$B6029,①今日の在庫を貼る!$I$6:$I$10005,$I6029)&gt;0,N(U6028),N(U6028)+1))</f>
        <v>2</v>
      </c>
    </row>
    <row r="6030" customFormat="false" ht="15" hidden="false" customHeight="false" outlineLevel="0" collapsed="false">
      <c r="B6030" s="53"/>
      <c r="I6030" s="53"/>
      <c r="U6030" s="31" t="n">
        <f aca="false">IF($B6030&lt;&gt;'設定（最初に1回）'!$C$4,N(U6029),IF(COUNTIFS(①今日の在庫を貼る!$B$6:$B$10005,$B6030,①今日の在庫を貼る!$I$6:$I$10005,$I6030)&gt;0,N(U6029),N(U6029)+1))</f>
        <v>2</v>
      </c>
    </row>
    <row r="6031" customFormat="false" ht="15" hidden="false" customHeight="false" outlineLevel="0" collapsed="false">
      <c r="B6031" s="53"/>
      <c r="I6031" s="53"/>
      <c r="U6031" s="31" t="n">
        <f aca="false">IF($B6031&lt;&gt;'設定（最初に1回）'!$C$4,N(U6030),IF(COUNTIFS(①今日の在庫を貼る!$B$6:$B$10005,$B6031,①今日の在庫を貼る!$I$6:$I$10005,$I6031)&gt;0,N(U6030),N(U6030)+1))</f>
        <v>2</v>
      </c>
    </row>
    <row r="6032" customFormat="false" ht="15" hidden="false" customHeight="false" outlineLevel="0" collapsed="false">
      <c r="B6032" s="53"/>
      <c r="I6032" s="53"/>
      <c r="U6032" s="31" t="n">
        <f aca="false">IF($B6032&lt;&gt;'設定（最初に1回）'!$C$4,N(U6031),IF(COUNTIFS(①今日の在庫を貼る!$B$6:$B$10005,$B6032,①今日の在庫を貼る!$I$6:$I$10005,$I6032)&gt;0,N(U6031),N(U6031)+1))</f>
        <v>2</v>
      </c>
    </row>
    <row r="6033" customFormat="false" ht="15" hidden="false" customHeight="false" outlineLevel="0" collapsed="false">
      <c r="B6033" s="53"/>
      <c r="I6033" s="53"/>
      <c r="U6033" s="31" t="n">
        <f aca="false">IF($B6033&lt;&gt;'設定（最初に1回）'!$C$4,N(U6032),IF(COUNTIFS(①今日の在庫を貼る!$B$6:$B$10005,$B6033,①今日の在庫を貼る!$I$6:$I$10005,$I6033)&gt;0,N(U6032),N(U6032)+1))</f>
        <v>2</v>
      </c>
    </row>
    <row r="6034" customFormat="false" ht="15" hidden="false" customHeight="false" outlineLevel="0" collapsed="false">
      <c r="B6034" s="53"/>
      <c r="I6034" s="53"/>
      <c r="U6034" s="31" t="n">
        <f aca="false">IF($B6034&lt;&gt;'設定（最初に1回）'!$C$4,N(U6033),IF(COUNTIFS(①今日の在庫を貼る!$B$6:$B$10005,$B6034,①今日の在庫を貼る!$I$6:$I$10005,$I6034)&gt;0,N(U6033),N(U6033)+1))</f>
        <v>2</v>
      </c>
    </row>
    <row r="6035" customFormat="false" ht="15" hidden="false" customHeight="false" outlineLevel="0" collapsed="false">
      <c r="B6035" s="53"/>
      <c r="I6035" s="53"/>
      <c r="U6035" s="31" t="n">
        <f aca="false">IF($B6035&lt;&gt;'設定（最初に1回）'!$C$4,N(U6034),IF(COUNTIFS(①今日の在庫を貼る!$B$6:$B$10005,$B6035,①今日の在庫を貼る!$I$6:$I$10005,$I6035)&gt;0,N(U6034),N(U6034)+1))</f>
        <v>2</v>
      </c>
    </row>
    <row r="6036" customFormat="false" ht="15" hidden="false" customHeight="false" outlineLevel="0" collapsed="false">
      <c r="B6036" s="53"/>
      <c r="I6036" s="53"/>
      <c r="U6036" s="31" t="n">
        <f aca="false">IF($B6036&lt;&gt;'設定（最初に1回）'!$C$4,N(U6035),IF(COUNTIFS(①今日の在庫を貼る!$B$6:$B$10005,$B6036,①今日の在庫を貼る!$I$6:$I$10005,$I6036)&gt;0,N(U6035),N(U6035)+1))</f>
        <v>2</v>
      </c>
    </row>
    <row r="6037" customFormat="false" ht="15" hidden="false" customHeight="false" outlineLevel="0" collapsed="false">
      <c r="B6037" s="53"/>
      <c r="I6037" s="53"/>
      <c r="U6037" s="31" t="n">
        <f aca="false">IF($B6037&lt;&gt;'設定（最初に1回）'!$C$4,N(U6036),IF(COUNTIFS(①今日の在庫を貼る!$B$6:$B$10005,$B6037,①今日の在庫を貼る!$I$6:$I$10005,$I6037)&gt;0,N(U6036),N(U6036)+1))</f>
        <v>2</v>
      </c>
    </row>
    <row r="6038" customFormat="false" ht="15" hidden="false" customHeight="false" outlineLevel="0" collapsed="false">
      <c r="B6038" s="53"/>
      <c r="I6038" s="53"/>
      <c r="U6038" s="31" t="n">
        <f aca="false">IF($B6038&lt;&gt;'設定（最初に1回）'!$C$4,N(U6037),IF(COUNTIFS(①今日の在庫を貼る!$B$6:$B$10005,$B6038,①今日の在庫を貼る!$I$6:$I$10005,$I6038)&gt;0,N(U6037),N(U6037)+1))</f>
        <v>2</v>
      </c>
    </row>
    <row r="6039" customFormat="false" ht="15" hidden="false" customHeight="false" outlineLevel="0" collapsed="false">
      <c r="B6039" s="53"/>
      <c r="I6039" s="53"/>
      <c r="U6039" s="31" t="n">
        <f aca="false">IF($B6039&lt;&gt;'設定（最初に1回）'!$C$4,N(U6038),IF(COUNTIFS(①今日の在庫を貼る!$B$6:$B$10005,$B6039,①今日の在庫を貼る!$I$6:$I$10005,$I6039)&gt;0,N(U6038),N(U6038)+1))</f>
        <v>2</v>
      </c>
    </row>
    <row r="6040" customFormat="false" ht="15" hidden="false" customHeight="false" outlineLevel="0" collapsed="false">
      <c r="B6040" s="53"/>
      <c r="I6040" s="53"/>
      <c r="U6040" s="31" t="n">
        <f aca="false">IF($B6040&lt;&gt;'設定（最初に1回）'!$C$4,N(U6039),IF(COUNTIFS(①今日の在庫を貼る!$B$6:$B$10005,$B6040,①今日の在庫を貼る!$I$6:$I$10005,$I6040)&gt;0,N(U6039),N(U6039)+1))</f>
        <v>2</v>
      </c>
    </row>
    <row r="6041" customFormat="false" ht="15" hidden="false" customHeight="false" outlineLevel="0" collapsed="false">
      <c r="B6041" s="53"/>
      <c r="I6041" s="53"/>
      <c r="U6041" s="31" t="n">
        <f aca="false">IF($B6041&lt;&gt;'設定（最初に1回）'!$C$4,N(U6040),IF(COUNTIFS(①今日の在庫を貼る!$B$6:$B$10005,$B6041,①今日の在庫を貼る!$I$6:$I$10005,$I6041)&gt;0,N(U6040),N(U6040)+1))</f>
        <v>2</v>
      </c>
    </row>
    <row r="6042" customFormat="false" ht="15" hidden="false" customHeight="false" outlineLevel="0" collapsed="false">
      <c r="B6042" s="53"/>
      <c r="I6042" s="53"/>
      <c r="U6042" s="31" t="n">
        <f aca="false">IF($B6042&lt;&gt;'設定（最初に1回）'!$C$4,N(U6041),IF(COUNTIFS(①今日の在庫を貼る!$B$6:$B$10005,$B6042,①今日の在庫を貼る!$I$6:$I$10005,$I6042)&gt;0,N(U6041),N(U6041)+1))</f>
        <v>2</v>
      </c>
    </row>
    <row r="6043" customFormat="false" ht="15" hidden="false" customHeight="false" outlineLevel="0" collapsed="false">
      <c r="B6043" s="53"/>
      <c r="I6043" s="53"/>
      <c r="U6043" s="31" t="n">
        <f aca="false">IF($B6043&lt;&gt;'設定（最初に1回）'!$C$4,N(U6042),IF(COUNTIFS(①今日の在庫を貼る!$B$6:$B$10005,$B6043,①今日の在庫を貼る!$I$6:$I$10005,$I6043)&gt;0,N(U6042),N(U6042)+1))</f>
        <v>2</v>
      </c>
    </row>
    <row r="6044" customFormat="false" ht="15" hidden="false" customHeight="false" outlineLevel="0" collapsed="false">
      <c r="B6044" s="53"/>
      <c r="I6044" s="53"/>
      <c r="U6044" s="31" t="n">
        <f aca="false">IF($B6044&lt;&gt;'設定（最初に1回）'!$C$4,N(U6043),IF(COUNTIFS(①今日の在庫を貼る!$B$6:$B$10005,$B6044,①今日の在庫を貼る!$I$6:$I$10005,$I6044)&gt;0,N(U6043),N(U6043)+1))</f>
        <v>2</v>
      </c>
    </row>
    <row r="6045" customFormat="false" ht="15" hidden="false" customHeight="false" outlineLevel="0" collapsed="false">
      <c r="B6045" s="53"/>
      <c r="I6045" s="53"/>
      <c r="U6045" s="31" t="n">
        <f aca="false">IF($B6045&lt;&gt;'設定（最初に1回）'!$C$4,N(U6044),IF(COUNTIFS(①今日の在庫を貼る!$B$6:$B$10005,$B6045,①今日の在庫を貼る!$I$6:$I$10005,$I6045)&gt;0,N(U6044),N(U6044)+1))</f>
        <v>2</v>
      </c>
    </row>
    <row r="6046" customFormat="false" ht="15" hidden="false" customHeight="false" outlineLevel="0" collapsed="false">
      <c r="B6046" s="53"/>
      <c r="I6046" s="53"/>
      <c r="U6046" s="31" t="n">
        <f aca="false">IF($B6046&lt;&gt;'設定（最初に1回）'!$C$4,N(U6045),IF(COUNTIFS(①今日の在庫を貼る!$B$6:$B$10005,$B6046,①今日の在庫を貼る!$I$6:$I$10005,$I6046)&gt;0,N(U6045),N(U6045)+1))</f>
        <v>2</v>
      </c>
    </row>
    <row r="6047" customFormat="false" ht="15" hidden="false" customHeight="false" outlineLevel="0" collapsed="false">
      <c r="B6047" s="53"/>
      <c r="I6047" s="53"/>
      <c r="U6047" s="31" t="n">
        <f aca="false">IF($B6047&lt;&gt;'設定（最初に1回）'!$C$4,N(U6046),IF(COUNTIFS(①今日の在庫を貼る!$B$6:$B$10005,$B6047,①今日の在庫を貼る!$I$6:$I$10005,$I6047)&gt;0,N(U6046),N(U6046)+1))</f>
        <v>2</v>
      </c>
    </row>
    <row r="6048" customFormat="false" ht="15" hidden="false" customHeight="false" outlineLevel="0" collapsed="false">
      <c r="B6048" s="53"/>
      <c r="I6048" s="53"/>
      <c r="U6048" s="31" t="n">
        <f aca="false">IF($B6048&lt;&gt;'設定（最初に1回）'!$C$4,N(U6047),IF(COUNTIFS(①今日の在庫を貼る!$B$6:$B$10005,$B6048,①今日の在庫を貼る!$I$6:$I$10005,$I6048)&gt;0,N(U6047),N(U6047)+1))</f>
        <v>2</v>
      </c>
    </row>
    <row r="6049" customFormat="false" ht="15" hidden="false" customHeight="false" outlineLevel="0" collapsed="false">
      <c r="B6049" s="53"/>
      <c r="I6049" s="53"/>
      <c r="U6049" s="31" t="n">
        <f aca="false">IF($B6049&lt;&gt;'設定（最初に1回）'!$C$4,N(U6048),IF(COUNTIFS(①今日の在庫を貼る!$B$6:$B$10005,$B6049,①今日の在庫を貼る!$I$6:$I$10005,$I6049)&gt;0,N(U6048),N(U6048)+1))</f>
        <v>2</v>
      </c>
    </row>
    <row r="6050" customFormat="false" ht="15" hidden="false" customHeight="false" outlineLevel="0" collapsed="false">
      <c r="B6050" s="53"/>
      <c r="I6050" s="53"/>
      <c r="U6050" s="31" t="n">
        <f aca="false">IF($B6050&lt;&gt;'設定（最初に1回）'!$C$4,N(U6049),IF(COUNTIFS(①今日の在庫を貼る!$B$6:$B$10005,$B6050,①今日の在庫を貼る!$I$6:$I$10005,$I6050)&gt;0,N(U6049),N(U6049)+1))</f>
        <v>2</v>
      </c>
    </row>
    <row r="6051" customFormat="false" ht="15" hidden="false" customHeight="false" outlineLevel="0" collapsed="false">
      <c r="B6051" s="53"/>
      <c r="I6051" s="53"/>
      <c r="U6051" s="31" t="n">
        <f aca="false">IF($B6051&lt;&gt;'設定（最初に1回）'!$C$4,N(U6050),IF(COUNTIFS(①今日の在庫を貼る!$B$6:$B$10005,$B6051,①今日の在庫を貼る!$I$6:$I$10005,$I6051)&gt;0,N(U6050),N(U6050)+1))</f>
        <v>2</v>
      </c>
    </row>
    <row r="6052" customFormat="false" ht="15" hidden="false" customHeight="false" outlineLevel="0" collapsed="false">
      <c r="B6052" s="53"/>
      <c r="I6052" s="53"/>
      <c r="U6052" s="31" t="n">
        <f aca="false">IF($B6052&lt;&gt;'設定（最初に1回）'!$C$4,N(U6051),IF(COUNTIFS(①今日の在庫を貼る!$B$6:$B$10005,$B6052,①今日の在庫を貼る!$I$6:$I$10005,$I6052)&gt;0,N(U6051),N(U6051)+1))</f>
        <v>2</v>
      </c>
    </row>
    <row r="6053" customFormat="false" ht="15" hidden="false" customHeight="false" outlineLevel="0" collapsed="false">
      <c r="B6053" s="53"/>
      <c r="I6053" s="53"/>
      <c r="U6053" s="31" t="n">
        <f aca="false">IF($B6053&lt;&gt;'設定（最初に1回）'!$C$4,N(U6052),IF(COUNTIFS(①今日の在庫を貼る!$B$6:$B$10005,$B6053,①今日の在庫を貼る!$I$6:$I$10005,$I6053)&gt;0,N(U6052),N(U6052)+1))</f>
        <v>2</v>
      </c>
    </row>
    <row r="6054" customFormat="false" ht="15" hidden="false" customHeight="false" outlineLevel="0" collapsed="false">
      <c r="B6054" s="53"/>
      <c r="I6054" s="53"/>
      <c r="U6054" s="31" t="n">
        <f aca="false">IF($B6054&lt;&gt;'設定（最初に1回）'!$C$4,N(U6053),IF(COUNTIFS(①今日の在庫を貼る!$B$6:$B$10005,$B6054,①今日の在庫を貼る!$I$6:$I$10005,$I6054)&gt;0,N(U6053),N(U6053)+1))</f>
        <v>2</v>
      </c>
    </row>
    <row r="6055" customFormat="false" ht="15" hidden="false" customHeight="false" outlineLevel="0" collapsed="false">
      <c r="B6055" s="53"/>
      <c r="I6055" s="53"/>
      <c r="U6055" s="31" t="n">
        <f aca="false">IF($B6055&lt;&gt;'設定（最初に1回）'!$C$4,N(U6054),IF(COUNTIFS(①今日の在庫を貼る!$B$6:$B$10005,$B6055,①今日の在庫を貼る!$I$6:$I$10005,$I6055)&gt;0,N(U6054),N(U6054)+1))</f>
        <v>2</v>
      </c>
    </row>
    <row r="6056" customFormat="false" ht="15" hidden="false" customHeight="false" outlineLevel="0" collapsed="false">
      <c r="B6056" s="53"/>
      <c r="I6056" s="53"/>
      <c r="U6056" s="31" t="n">
        <f aca="false">IF($B6056&lt;&gt;'設定（最初に1回）'!$C$4,N(U6055),IF(COUNTIFS(①今日の在庫を貼る!$B$6:$B$10005,$B6056,①今日の在庫を貼る!$I$6:$I$10005,$I6056)&gt;0,N(U6055),N(U6055)+1))</f>
        <v>2</v>
      </c>
    </row>
    <row r="6057" customFormat="false" ht="15" hidden="false" customHeight="false" outlineLevel="0" collapsed="false">
      <c r="B6057" s="53"/>
      <c r="I6057" s="53"/>
      <c r="U6057" s="31" t="n">
        <f aca="false">IF($B6057&lt;&gt;'設定（最初に1回）'!$C$4,N(U6056),IF(COUNTIFS(①今日の在庫を貼る!$B$6:$B$10005,$B6057,①今日の在庫を貼る!$I$6:$I$10005,$I6057)&gt;0,N(U6056),N(U6056)+1))</f>
        <v>2</v>
      </c>
    </row>
    <row r="6058" customFormat="false" ht="15" hidden="false" customHeight="false" outlineLevel="0" collapsed="false">
      <c r="B6058" s="53"/>
      <c r="I6058" s="53"/>
      <c r="U6058" s="31" t="n">
        <f aca="false">IF($B6058&lt;&gt;'設定（最初に1回）'!$C$4,N(U6057),IF(COUNTIFS(①今日の在庫を貼る!$B$6:$B$10005,$B6058,①今日の在庫を貼る!$I$6:$I$10005,$I6058)&gt;0,N(U6057),N(U6057)+1))</f>
        <v>2</v>
      </c>
    </row>
    <row r="6059" customFormat="false" ht="15" hidden="false" customHeight="false" outlineLevel="0" collapsed="false">
      <c r="B6059" s="53"/>
      <c r="I6059" s="53"/>
      <c r="U6059" s="31" t="n">
        <f aca="false">IF($B6059&lt;&gt;'設定（最初に1回）'!$C$4,N(U6058),IF(COUNTIFS(①今日の在庫を貼る!$B$6:$B$10005,$B6059,①今日の在庫を貼る!$I$6:$I$10005,$I6059)&gt;0,N(U6058),N(U6058)+1))</f>
        <v>2</v>
      </c>
    </row>
    <row r="6060" customFormat="false" ht="15" hidden="false" customHeight="false" outlineLevel="0" collapsed="false">
      <c r="B6060" s="53"/>
      <c r="I6060" s="53"/>
      <c r="U6060" s="31" t="n">
        <f aca="false">IF($B6060&lt;&gt;'設定（最初に1回）'!$C$4,N(U6059),IF(COUNTIFS(①今日の在庫を貼る!$B$6:$B$10005,$B6060,①今日の在庫を貼る!$I$6:$I$10005,$I6060)&gt;0,N(U6059),N(U6059)+1))</f>
        <v>2</v>
      </c>
    </row>
    <row r="6061" customFormat="false" ht="15" hidden="false" customHeight="false" outlineLevel="0" collapsed="false">
      <c r="B6061" s="53"/>
      <c r="I6061" s="53"/>
      <c r="U6061" s="31" t="n">
        <f aca="false">IF($B6061&lt;&gt;'設定（最初に1回）'!$C$4,N(U6060),IF(COUNTIFS(①今日の在庫を貼る!$B$6:$B$10005,$B6061,①今日の在庫を貼る!$I$6:$I$10005,$I6061)&gt;0,N(U6060),N(U6060)+1))</f>
        <v>2</v>
      </c>
    </row>
    <row r="6062" customFormat="false" ht="15" hidden="false" customHeight="false" outlineLevel="0" collapsed="false">
      <c r="B6062" s="53"/>
      <c r="I6062" s="53"/>
      <c r="U6062" s="31" t="n">
        <f aca="false">IF($B6062&lt;&gt;'設定（最初に1回）'!$C$4,N(U6061),IF(COUNTIFS(①今日の在庫を貼る!$B$6:$B$10005,$B6062,①今日の在庫を貼る!$I$6:$I$10005,$I6062)&gt;0,N(U6061),N(U6061)+1))</f>
        <v>2</v>
      </c>
    </row>
    <row r="6063" customFormat="false" ht="15" hidden="false" customHeight="false" outlineLevel="0" collapsed="false">
      <c r="B6063" s="53"/>
      <c r="I6063" s="53"/>
      <c r="U6063" s="31" t="n">
        <f aca="false">IF($B6063&lt;&gt;'設定（最初に1回）'!$C$4,N(U6062),IF(COUNTIFS(①今日の在庫を貼る!$B$6:$B$10005,$B6063,①今日の在庫を貼る!$I$6:$I$10005,$I6063)&gt;0,N(U6062),N(U6062)+1))</f>
        <v>2</v>
      </c>
    </row>
    <row r="6064" customFormat="false" ht="15" hidden="false" customHeight="false" outlineLevel="0" collapsed="false">
      <c r="B6064" s="53"/>
      <c r="I6064" s="53"/>
      <c r="U6064" s="31" t="n">
        <f aca="false">IF($B6064&lt;&gt;'設定（最初に1回）'!$C$4,N(U6063),IF(COUNTIFS(①今日の在庫を貼る!$B$6:$B$10005,$B6064,①今日の在庫を貼る!$I$6:$I$10005,$I6064)&gt;0,N(U6063),N(U6063)+1))</f>
        <v>2</v>
      </c>
    </row>
    <row r="6065" customFormat="false" ht="15" hidden="false" customHeight="false" outlineLevel="0" collapsed="false">
      <c r="B6065" s="53"/>
      <c r="I6065" s="53"/>
      <c r="U6065" s="31" t="n">
        <f aca="false">IF($B6065&lt;&gt;'設定（最初に1回）'!$C$4,N(U6064),IF(COUNTIFS(①今日の在庫を貼る!$B$6:$B$10005,$B6065,①今日の在庫を貼る!$I$6:$I$10005,$I6065)&gt;0,N(U6064),N(U6064)+1))</f>
        <v>2</v>
      </c>
    </row>
    <row r="6066" customFormat="false" ht="15" hidden="false" customHeight="false" outlineLevel="0" collapsed="false">
      <c r="B6066" s="53"/>
      <c r="I6066" s="53"/>
      <c r="U6066" s="31" t="n">
        <f aca="false">IF($B6066&lt;&gt;'設定（最初に1回）'!$C$4,N(U6065),IF(COUNTIFS(①今日の在庫を貼る!$B$6:$B$10005,$B6066,①今日の在庫を貼る!$I$6:$I$10005,$I6066)&gt;0,N(U6065),N(U6065)+1))</f>
        <v>2</v>
      </c>
    </row>
    <row r="6067" customFormat="false" ht="15" hidden="false" customHeight="false" outlineLevel="0" collapsed="false">
      <c r="B6067" s="53"/>
      <c r="I6067" s="53"/>
      <c r="U6067" s="31" t="n">
        <f aca="false">IF($B6067&lt;&gt;'設定（最初に1回）'!$C$4,N(U6066),IF(COUNTIFS(①今日の在庫を貼る!$B$6:$B$10005,$B6067,①今日の在庫を貼る!$I$6:$I$10005,$I6067)&gt;0,N(U6066),N(U6066)+1))</f>
        <v>2</v>
      </c>
    </row>
    <row r="6068" customFormat="false" ht="15" hidden="false" customHeight="false" outlineLevel="0" collapsed="false">
      <c r="B6068" s="53"/>
      <c r="I6068" s="53"/>
      <c r="U6068" s="31" t="n">
        <f aca="false">IF($B6068&lt;&gt;'設定（最初に1回）'!$C$4,N(U6067),IF(COUNTIFS(①今日の在庫を貼る!$B$6:$B$10005,$B6068,①今日の在庫を貼る!$I$6:$I$10005,$I6068)&gt;0,N(U6067),N(U6067)+1))</f>
        <v>2</v>
      </c>
    </row>
    <row r="6069" customFormat="false" ht="15" hidden="false" customHeight="false" outlineLevel="0" collapsed="false">
      <c r="B6069" s="53"/>
      <c r="I6069" s="53"/>
      <c r="U6069" s="31" t="n">
        <f aca="false">IF($B6069&lt;&gt;'設定（最初に1回）'!$C$4,N(U6068),IF(COUNTIFS(①今日の在庫を貼る!$B$6:$B$10005,$B6069,①今日の在庫を貼る!$I$6:$I$10005,$I6069)&gt;0,N(U6068),N(U6068)+1))</f>
        <v>2</v>
      </c>
    </row>
    <row r="6070" customFormat="false" ht="15" hidden="false" customHeight="false" outlineLevel="0" collapsed="false">
      <c r="B6070" s="53"/>
      <c r="I6070" s="53"/>
      <c r="U6070" s="31" t="n">
        <f aca="false">IF($B6070&lt;&gt;'設定（最初に1回）'!$C$4,N(U6069),IF(COUNTIFS(①今日の在庫を貼る!$B$6:$B$10005,$B6070,①今日の在庫を貼る!$I$6:$I$10005,$I6070)&gt;0,N(U6069),N(U6069)+1))</f>
        <v>2</v>
      </c>
    </row>
    <row r="6071" customFormat="false" ht="15" hidden="false" customHeight="false" outlineLevel="0" collapsed="false">
      <c r="B6071" s="53"/>
      <c r="I6071" s="53"/>
      <c r="U6071" s="31" t="n">
        <f aca="false">IF($B6071&lt;&gt;'設定（最初に1回）'!$C$4,N(U6070),IF(COUNTIFS(①今日の在庫を貼る!$B$6:$B$10005,$B6071,①今日の在庫を貼る!$I$6:$I$10005,$I6071)&gt;0,N(U6070),N(U6070)+1))</f>
        <v>2</v>
      </c>
    </row>
    <row r="6072" customFormat="false" ht="15" hidden="false" customHeight="false" outlineLevel="0" collapsed="false">
      <c r="B6072" s="53"/>
      <c r="I6072" s="53"/>
      <c r="U6072" s="31" t="n">
        <f aca="false">IF($B6072&lt;&gt;'設定（最初に1回）'!$C$4,N(U6071),IF(COUNTIFS(①今日の在庫を貼る!$B$6:$B$10005,$B6072,①今日の在庫を貼る!$I$6:$I$10005,$I6072)&gt;0,N(U6071),N(U6071)+1))</f>
        <v>2</v>
      </c>
    </row>
    <row r="6073" customFormat="false" ht="15" hidden="false" customHeight="false" outlineLevel="0" collapsed="false">
      <c r="B6073" s="53"/>
      <c r="I6073" s="53"/>
      <c r="U6073" s="31" t="n">
        <f aca="false">IF($B6073&lt;&gt;'設定（最初に1回）'!$C$4,N(U6072),IF(COUNTIFS(①今日の在庫を貼る!$B$6:$B$10005,$B6073,①今日の在庫を貼る!$I$6:$I$10005,$I6073)&gt;0,N(U6072),N(U6072)+1))</f>
        <v>2</v>
      </c>
    </row>
    <row r="6074" customFormat="false" ht="15" hidden="false" customHeight="false" outlineLevel="0" collapsed="false">
      <c r="B6074" s="53"/>
      <c r="I6074" s="53"/>
      <c r="U6074" s="31" t="n">
        <f aca="false">IF($B6074&lt;&gt;'設定（最初に1回）'!$C$4,N(U6073),IF(COUNTIFS(①今日の在庫を貼る!$B$6:$B$10005,$B6074,①今日の在庫を貼る!$I$6:$I$10005,$I6074)&gt;0,N(U6073),N(U6073)+1))</f>
        <v>2</v>
      </c>
    </row>
    <row r="6075" customFormat="false" ht="15" hidden="false" customHeight="false" outlineLevel="0" collapsed="false">
      <c r="B6075" s="53"/>
      <c r="I6075" s="53"/>
      <c r="U6075" s="31" t="n">
        <f aca="false">IF($B6075&lt;&gt;'設定（最初に1回）'!$C$4,N(U6074),IF(COUNTIFS(①今日の在庫を貼る!$B$6:$B$10005,$B6075,①今日の在庫を貼る!$I$6:$I$10005,$I6075)&gt;0,N(U6074),N(U6074)+1))</f>
        <v>2</v>
      </c>
    </row>
    <row r="6076" customFormat="false" ht="15" hidden="false" customHeight="false" outlineLevel="0" collapsed="false">
      <c r="B6076" s="53"/>
      <c r="I6076" s="53"/>
      <c r="U6076" s="31" t="n">
        <f aca="false">IF($B6076&lt;&gt;'設定（最初に1回）'!$C$4,N(U6075),IF(COUNTIFS(①今日の在庫を貼る!$B$6:$B$10005,$B6076,①今日の在庫を貼る!$I$6:$I$10005,$I6076)&gt;0,N(U6075),N(U6075)+1))</f>
        <v>2</v>
      </c>
    </row>
    <row r="6077" customFormat="false" ht="15" hidden="false" customHeight="false" outlineLevel="0" collapsed="false">
      <c r="B6077" s="53"/>
      <c r="I6077" s="53"/>
      <c r="U6077" s="31" t="n">
        <f aca="false">IF($B6077&lt;&gt;'設定（最初に1回）'!$C$4,N(U6076),IF(COUNTIFS(①今日の在庫を貼る!$B$6:$B$10005,$B6077,①今日の在庫を貼る!$I$6:$I$10005,$I6077)&gt;0,N(U6076),N(U6076)+1))</f>
        <v>2</v>
      </c>
    </row>
    <row r="6078" customFormat="false" ht="15" hidden="false" customHeight="false" outlineLevel="0" collapsed="false">
      <c r="B6078" s="53"/>
      <c r="I6078" s="53"/>
      <c r="U6078" s="31" t="n">
        <f aca="false">IF($B6078&lt;&gt;'設定（最初に1回）'!$C$4,N(U6077),IF(COUNTIFS(①今日の在庫を貼る!$B$6:$B$10005,$B6078,①今日の在庫を貼る!$I$6:$I$10005,$I6078)&gt;0,N(U6077),N(U6077)+1))</f>
        <v>2</v>
      </c>
    </row>
    <row r="6079" customFormat="false" ht="15" hidden="false" customHeight="false" outlineLevel="0" collapsed="false">
      <c r="B6079" s="53"/>
      <c r="I6079" s="53"/>
      <c r="U6079" s="31" t="n">
        <f aca="false">IF($B6079&lt;&gt;'設定（最初に1回）'!$C$4,N(U6078),IF(COUNTIFS(①今日の在庫を貼る!$B$6:$B$10005,$B6079,①今日の在庫を貼る!$I$6:$I$10005,$I6079)&gt;0,N(U6078),N(U6078)+1))</f>
        <v>2</v>
      </c>
    </row>
    <row r="6080" customFormat="false" ht="15" hidden="false" customHeight="false" outlineLevel="0" collapsed="false">
      <c r="B6080" s="53"/>
      <c r="I6080" s="53"/>
      <c r="U6080" s="31" t="n">
        <f aca="false">IF($B6080&lt;&gt;'設定（最初に1回）'!$C$4,N(U6079),IF(COUNTIFS(①今日の在庫を貼る!$B$6:$B$10005,$B6080,①今日の在庫を貼る!$I$6:$I$10005,$I6080)&gt;0,N(U6079),N(U6079)+1))</f>
        <v>2</v>
      </c>
    </row>
    <row r="6081" customFormat="false" ht="15" hidden="false" customHeight="false" outlineLevel="0" collapsed="false">
      <c r="B6081" s="53"/>
      <c r="I6081" s="53"/>
      <c r="U6081" s="31" t="n">
        <f aca="false">IF($B6081&lt;&gt;'設定（最初に1回）'!$C$4,N(U6080),IF(COUNTIFS(①今日の在庫を貼る!$B$6:$B$10005,$B6081,①今日の在庫を貼る!$I$6:$I$10005,$I6081)&gt;0,N(U6080),N(U6080)+1))</f>
        <v>2</v>
      </c>
    </row>
    <row r="6082" customFormat="false" ht="15" hidden="false" customHeight="false" outlineLevel="0" collapsed="false">
      <c r="B6082" s="53"/>
      <c r="I6082" s="53"/>
      <c r="U6082" s="31" t="n">
        <f aca="false">IF($B6082&lt;&gt;'設定（最初に1回）'!$C$4,N(U6081),IF(COUNTIFS(①今日の在庫を貼る!$B$6:$B$10005,$B6082,①今日の在庫を貼る!$I$6:$I$10005,$I6082)&gt;0,N(U6081),N(U6081)+1))</f>
        <v>2</v>
      </c>
    </row>
    <row r="6083" customFormat="false" ht="15" hidden="false" customHeight="false" outlineLevel="0" collapsed="false">
      <c r="B6083" s="53"/>
      <c r="I6083" s="53"/>
      <c r="U6083" s="31" t="n">
        <f aca="false">IF($B6083&lt;&gt;'設定（最初に1回）'!$C$4,N(U6082),IF(COUNTIFS(①今日の在庫を貼る!$B$6:$B$10005,$B6083,①今日の在庫を貼る!$I$6:$I$10005,$I6083)&gt;0,N(U6082),N(U6082)+1))</f>
        <v>2</v>
      </c>
    </row>
    <row r="6084" customFormat="false" ht="15" hidden="false" customHeight="false" outlineLevel="0" collapsed="false">
      <c r="B6084" s="53"/>
      <c r="I6084" s="53"/>
      <c r="U6084" s="31" t="n">
        <f aca="false">IF($B6084&lt;&gt;'設定（最初に1回）'!$C$4,N(U6083),IF(COUNTIFS(①今日の在庫を貼る!$B$6:$B$10005,$B6084,①今日の在庫を貼る!$I$6:$I$10005,$I6084)&gt;0,N(U6083),N(U6083)+1))</f>
        <v>2</v>
      </c>
    </row>
    <row r="6085" customFormat="false" ht="15" hidden="false" customHeight="false" outlineLevel="0" collapsed="false">
      <c r="B6085" s="53"/>
      <c r="I6085" s="53"/>
      <c r="U6085" s="31" t="n">
        <f aca="false">IF($B6085&lt;&gt;'設定（最初に1回）'!$C$4,N(U6084),IF(COUNTIFS(①今日の在庫を貼る!$B$6:$B$10005,$B6085,①今日の在庫を貼る!$I$6:$I$10005,$I6085)&gt;0,N(U6084),N(U6084)+1))</f>
        <v>2</v>
      </c>
    </row>
    <row r="6086" customFormat="false" ht="15" hidden="false" customHeight="false" outlineLevel="0" collapsed="false">
      <c r="B6086" s="53"/>
      <c r="I6086" s="53"/>
      <c r="U6086" s="31" t="n">
        <f aca="false">IF($B6086&lt;&gt;'設定（最初に1回）'!$C$4,N(U6085),IF(COUNTIFS(①今日の在庫を貼る!$B$6:$B$10005,$B6086,①今日の在庫を貼る!$I$6:$I$10005,$I6086)&gt;0,N(U6085),N(U6085)+1))</f>
        <v>2</v>
      </c>
    </row>
    <row r="6087" customFormat="false" ht="15" hidden="false" customHeight="false" outlineLevel="0" collapsed="false">
      <c r="B6087" s="53"/>
      <c r="I6087" s="53"/>
      <c r="U6087" s="31" t="n">
        <f aca="false">IF($B6087&lt;&gt;'設定（最初に1回）'!$C$4,N(U6086),IF(COUNTIFS(①今日の在庫を貼る!$B$6:$B$10005,$B6087,①今日の在庫を貼る!$I$6:$I$10005,$I6087)&gt;0,N(U6086),N(U6086)+1))</f>
        <v>2</v>
      </c>
    </row>
    <row r="6088" customFormat="false" ht="15" hidden="false" customHeight="false" outlineLevel="0" collapsed="false">
      <c r="B6088" s="53"/>
      <c r="I6088" s="53"/>
      <c r="U6088" s="31" t="n">
        <f aca="false">IF($B6088&lt;&gt;'設定（最初に1回）'!$C$4,N(U6087),IF(COUNTIFS(①今日の在庫を貼る!$B$6:$B$10005,$B6088,①今日の在庫を貼る!$I$6:$I$10005,$I6088)&gt;0,N(U6087),N(U6087)+1))</f>
        <v>2</v>
      </c>
    </row>
    <row r="6089" customFormat="false" ht="15" hidden="false" customHeight="false" outlineLevel="0" collapsed="false">
      <c r="B6089" s="53"/>
      <c r="I6089" s="53"/>
      <c r="U6089" s="31" t="n">
        <f aca="false">IF($B6089&lt;&gt;'設定（最初に1回）'!$C$4,N(U6088),IF(COUNTIFS(①今日の在庫を貼る!$B$6:$B$10005,$B6089,①今日の在庫を貼る!$I$6:$I$10005,$I6089)&gt;0,N(U6088),N(U6088)+1))</f>
        <v>2</v>
      </c>
    </row>
    <row r="6090" customFormat="false" ht="15" hidden="false" customHeight="false" outlineLevel="0" collapsed="false">
      <c r="B6090" s="53"/>
      <c r="I6090" s="53"/>
      <c r="U6090" s="31" t="n">
        <f aca="false">IF($B6090&lt;&gt;'設定（最初に1回）'!$C$4,N(U6089),IF(COUNTIFS(①今日の在庫を貼る!$B$6:$B$10005,$B6090,①今日の在庫を貼る!$I$6:$I$10005,$I6090)&gt;0,N(U6089),N(U6089)+1))</f>
        <v>2</v>
      </c>
    </row>
    <row r="6091" customFormat="false" ht="15" hidden="false" customHeight="false" outlineLevel="0" collapsed="false">
      <c r="B6091" s="53"/>
      <c r="I6091" s="53"/>
      <c r="U6091" s="31" t="n">
        <f aca="false">IF($B6091&lt;&gt;'設定（最初に1回）'!$C$4,N(U6090),IF(COUNTIFS(①今日の在庫を貼る!$B$6:$B$10005,$B6091,①今日の在庫を貼る!$I$6:$I$10005,$I6091)&gt;0,N(U6090),N(U6090)+1))</f>
        <v>2</v>
      </c>
    </row>
    <row r="6092" customFormat="false" ht="15" hidden="false" customHeight="false" outlineLevel="0" collapsed="false">
      <c r="B6092" s="53"/>
      <c r="I6092" s="53"/>
      <c r="U6092" s="31" t="n">
        <f aca="false">IF($B6092&lt;&gt;'設定（最初に1回）'!$C$4,N(U6091),IF(COUNTIFS(①今日の在庫を貼る!$B$6:$B$10005,$B6092,①今日の在庫を貼る!$I$6:$I$10005,$I6092)&gt;0,N(U6091),N(U6091)+1))</f>
        <v>2</v>
      </c>
    </row>
    <row r="6093" customFormat="false" ht="15" hidden="false" customHeight="false" outlineLevel="0" collapsed="false">
      <c r="B6093" s="53"/>
      <c r="I6093" s="53"/>
      <c r="U6093" s="31" t="n">
        <f aca="false">IF($B6093&lt;&gt;'設定（最初に1回）'!$C$4,N(U6092),IF(COUNTIFS(①今日の在庫を貼る!$B$6:$B$10005,$B6093,①今日の在庫を貼る!$I$6:$I$10005,$I6093)&gt;0,N(U6092),N(U6092)+1))</f>
        <v>2</v>
      </c>
    </row>
    <row r="6094" customFormat="false" ht="15" hidden="false" customHeight="false" outlineLevel="0" collapsed="false">
      <c r="B6094" s="53"/>
      <c r="I6094" s="53"/>
      <c r="U6094" s="31" t="n">
        <f aca="false">IF($B6094&lt;&gt;'設定（最初に1回）'!$C$4,N(U6093),IF(COUNTIFS(①今日の在庫を貼る!$B$6:$B$10005,$B6094,①今日の在庫を貼る!$I$6:$I$10005,$I6094)&gt;0,N(U6093),N(U6093)+1))</f>
        <v>2</v>
      </c>
    </row>
    <row r="6095" customFormat="false" ht="15" hidden="false" customHeight="false" outlineLevel="0" collapsed="false">
      <c r="B6095" s="53"/>
      <c r="I6095" s="53"/>
      <c r="U6095" s="31" t="n">
        <f aca="false">IF($B6095&lt;&gt;'設定（最初に1回）'!$C$4,N(U6094),IF(COUNTIFS(①今日の在庫を貼る!$B$6:$B$10005,$B6095,①今日の在庫を貼る!$I$6:$I$10005,$I6095)&gt;0,N(U6094),N(U6094)+1))</f>
        <v>2</v>
      </c>
    </row>
    <row r="6096" customFormat="false" ht="15" hidden="false" customHeight="false" outlineLevel="0" collapsed="false">
      <c r="B6096" s="53"/>
      <c r="I6096" s="53"/>
      <c r="U6096" s="31" t="n">
        <f aca="false">IF($B6096&lt;&gt;'設定（最初に1回）'!$C$4,N(U6095),IF(COUNTIFS(①今日の在庫を貼る!$B$6:$B$10005,$B6096,①今日の在庫を貼る!$I$6:$I$10005,$I6096)&gt;0,N(U6095),N(U6095)+1))</f>
        <v>2</v>
      </c>
    </row>
    <row r="6097" customFormat="false" ht="15" hidden="false" customHeight="false" outlineLevel="0" collapsed="false">
      <c r="B6097" s="53"/>
      <c r="I6097" s="53"/>
      <c r="U6097" s="31" t="n">
        <f aca="false">IF($B6097&lt;&gt;'設定（最初に1回）'!$C$4,N(U6096),IF(COUNTIFS(①今日の在庫を貼る!$B$6:$B$10005,$B6097,①今日の在庫を貼る!$I$6:$I$10005,$I6097)&gt;0,N(U6096),N(U6096)+1))</f>
        <v>2</v>
      </c>
    </row>
    <row r="6098" customFormat="false" ht="15" hidden="false" customHeight="false" outlineLevel="0" collapsed="false">
      <c r="B6098" s="53"/>
      <c r="I6098" s="53"/>
      <c r="U6098" s="31" t="n">
        <f aca="false">IF($B6098&lt;&gt;'設定（最初に1回）'!$C$4,N(U6097),IF(COUNTIFS(①今日の在庫を貼る!$B$6:$B$10005,$B6098,①今日の在庫を貼る!$I$6:$I$10005,$I6098)&gt;0,N(U6097),N(U6097)+1))</f>
        <v>2</v>
      </c>
    </row>
    <row r="6099" customFormat="false" ht="15" hidden="false" customHeight="false" outlineLevel="0" collapsed="false">
      <c r="B6099" s="53"/>
      <c r="I6099" s="53"/>
      <c r="U6099" s="31" t="n">
        <f aca="false">IF($B6099&lt;&gt;'設定（最初に1回）'!$C$4,N(U6098),IF(COUNTIFS(①今日の在庫を貼る!$B$6:$B$10005,$B6099,①今日の在庫を貼る!$I$6:$I$10005,$I6099)&gt;0,N(U6098),N(U6098)+1))</f>
        <v>2</v>
      </c>
    </row>
    <row r="6100" customFormat="false" ht="15" hidden="false" customHeight="false" outlineLevel="0" collapsed="false">
      <c r="B6100" s="53"/>
      <c r="I6100" s="53"/>
      <c r="U6100" s="31" t="n">
        <f aca="false">IF($B6100&lt;&gt;'設定（最初に1回）'!$C$4,N(U6099),IF(COUNTIFS(①今日の在庫を貼る!$B$6:$B$10005,$B6100,①今日の在庫を貼る!$I$6:$I$10005,$I6100)&gt;0,N(U6099),N(U6099)+1))</f>
        <v>2</v>
      </c>
    </row>
    <row r="6101" customFormat="false" ht="15" hidden="false" customHeight="false" outlineLevel="0" collapsed="false">
      <c r="B6101" s="53"/>
      <c r="I6101" s="53"/>
      <c r="U6101" s="31" t="n">
        <f aca="false">IF($B6101&lt;&gt;'設定（最初に1回）'!$C$4,N(U6100),IF(COUNTIFS(①今日の在庫を貼る!$B$6:$B$10005,$B6101,①今日の在庫を貼る!$I$6:$I$10005,$I6101)&gt;0,N(U6100),N(U6100)+1))</f>
        <v>2</v>
      </c>
    </row>
    <row r="6102" customFormat="false" ht="15" hidden="false" customHeight="false" outlineLevel="0" collapsed="false">
      <c r="B6102" s="53"/>
      <c r="I6102" s="53"/>
      <c r="U6102" s="31" t="n">
        <f aca="false">IF($B6102&lt;&gt;'設定（最初に1回）'!$C$4,N(U6101),IF(COUNTIFS(①今日の在庫を貼る!$B$6:$B$10005,$B6102,①今日の在庫を貼る!$I$6:$I$10005,$I6102)&gt;0,N(U6101),N(U6101)+1))</f>
        <v>2</v>
      </c>
    </row>
    <row r="6103" customFormat="false" ht="15" hidden="false" customHeight="false" outlineLevel="0" collapsed="false">
      <c r="B6103" s="53"/>
      <c r="I6103" s="53"/>
      <c r="U6103" s="31" t="n">
        <f aca="false">IF($B6103&lt;&gt;'設定（最初に1回）'!$C$4,N(U6102),IF(COUNTIFS(①今日の在庫を貼る!$B$6:$B$10005,$B6103,①今日の在庫を貼る!$I$6:$I$10005,$I6103)&gt;0,N(U6102),N(U6102)+1))</f>
        <v>2</v>
      </c>
    </row>
    <row r="6104" customFormat="false" ht="15" hidden="false" customHeight="false" outlineLevel="0" collapsed="false">
      <c r="B6104" s="53"/>
      <c r="I6104" s="53"/>
      <c r="U6104" s="31" t="n">
        <f aca="false">IF($B6104&lt;&gt;'設定（最初に1回）'!$C$4,N(U6103),IF(COUNTIFS(①今日の在庫を貼る!$B$6:$B$10005,$B6104,①今日の在庫を貼る!$I$6:$I$10005,$I6104)&gt;0,N(U6103),N(U6103)+1))</f>
        <v>2</v>
      </c>
    </row>
    <row r="6105" customFormat="false" ht="15" hidden="false" customHeight="false" outlineLevel="0" collapsed="false">
      <c r="B6105" s="53"/>
      <c r="I6105" s="53"/>
      <c r="U6105" s="31" t="n">
        <f aca="false">IF($B6105&lt;&gt;'設定（最初に1回）'!$C$4,N(U6104),IF(COUNTIFS(①今日の在庫を貼る!$B$6:$B$10005,$B6105,①今日の在庫を貼る!$I$6:$I$10005,$I6105)&gt;0,N(U6104),N(U6104)+1))</f>
        <v>2</v>
      </c>
    </row>
    <row r="6106" customFormat="false" ht="15" hidden="false" customHeight="false" outlineLevel="0" collapsed="false">
      <c r="B6106" s="53"/>
      <c r="I6106" s="53"/>
      <c r="U6106" s="31" t="n">
        <f aca="false">IF($B6106&lt;&gt;'設定（最初に1回）'!$C$4,N(U6105),IF(COUNTIFS(①今日の在庫を貼る!$B$6:$B$10005,$B6106,①今日の在庫を貼る!$I$6:$I$10005,$I6106)&gt;0,N(U6105),N(U6105)+1))</f>
        <v>2</v>
      </c>
    </row>
    <row r="6107" customFormat="false" ht="15" hidden="false" customHeight="false" outlineLevel="0" collapsed="false">
      <c r="B6107" s="53"/>
      <c r="I6107" s="53"/>
      <c r="U6107" s="31" t="n">
        <f aca="false">IF($B6107&lt;&gt;'設定（最初に1回）'!$C$4,N(U6106),IF(COUNTIFS(①今日の在庫を貼る!$B$6:$B$10005,$B6107,①今日の在庫を貼る!$I$6:$I$10005,$I6107)&gt;0,N(U6106),N(U6106)+1))</f>
        <v>2</v>
      </c>
    </row>
    <row r="6108" customFormat="false" ht="15" hidden="false" customHeight="false" outlineLevel="0" collapsed="false">
      <c r="B6108" s="53"/>
      <c r="I6108" s="53"/>
      <c r="U6108" s="31" t="n">
        <f aca="false">IF($B6108&lt;&gt;'設定（最初に1回）'!$C$4,N(U6107),IF(COUNTIFS(①今日の在庫を貼る!$B$6:$B$10005,$B6108,①今日の在庫を貼る!$I$6:$I$10005,$I6108)&gt;0,N(U6107),N(U6107)+1))</f>
        <v>2</v>
      </c>
    </row>
    <row r="6109" customFormat="false" ht="15" hidden="false" customHeight="false" outlineLevel="0" collapsed="false">
      <c r="B6109" s="53"/>
      <c r="I6109" s="53"/>
      <c r="U6109" s="31" t="n">
        <f aca="false">IF($B6109&lt;&gt;'設定（最初に1回）'!$C$4,N(U6108),IF(COUNTIFS(①今日の在庫を貼る!$B$6:$B$10005,$B6109,①今日の在庫を貼る!$I$6:$I$10005,$I6109)&gt;0,N(U6108),N(U6108)+1))</f>
        <v>2</v>
      </c>
    </row>
    <row r="6110" customFormat="false" ht="15" hidden="false" customHeight="false" outlineLevel="0" collapsed="false">
      <c r="B6110" s="53"/>
      <c r="I6110" s="53"/>
      <c r="U6110" s="31" t="n">
        <f aca="false">IF($B6110&lt;&gt;'設定（最初に1回）'!$C$4,N(U6109),IF(COUNTIFS(①今日の在庫を貼る!$B$6:$B$10005,$B6110,①今日の在庫を貼る!$I$6:$I$10005,$I6110)&gt;0,N(U6109),N(U6109)+1))</f>
        <v>2</v>
      </c>
    </row>
    <row r="6111" customFormat="false" ht="15" hidden="false" customHeight="false" outlineLevel="0" collapsed="false">
      <c r="B6111" s="53"/>
      <c r="I6111" s="53"/>
      <c r="U6111" s="31" t="n">
        <f aca="false">IF($B6111&lt;&gt;'設定（最初に1回）'!$C$4,N(U6110),IF(COUNTIFS(①今日の在庫を貼る!$B$6:$B$10005,$B6111,①今日の在庫を貼る!$I$6:$I$10005,$I6111)&gt;0,N(U6110),N(U6110)+1))</f>
        <v>2</v>
      </c>
    </row>
    <row r="6112" customFormat="false" ht="15" hidden="false" customHeight="false" outlineLevel="0" collapsed="false">
      <c r="B6112" s="53"/>
      <c r="I6112" s="53"/>
      <c r="U6112" s="31" t="n">
        <f aca="false">IF($B6112&lt;&gt;'設定（最初に1回）'!$C$4,N(U6111),IF(COUNTIFS(①今日の在庫を貼る!$B$6:$B$10005,$B6112,①今日の在庫を貼る!$I$6:$I$10005,$I6112)&gt;0,N(U6111),N(U6111)+1))</f>
        <v>2</v>
      </c>
    </row>
    <row r="6113" customFormat="false" ht="15" hidden="false" customHeight="false" outlineLevel="0" collapsed="false">
      <c r="B6113" s="53"/>
      <c r="I6113" s="53"/>
      <c r="U6113" s="31" t="n">
        <f aca="false">IF($B6113&lt;&gt;'設定（最初に1回）'!$C$4,N(U6112),IF(COUNTIFS(①今日の在庫を貼る!$B$6:$B$10005,$B6113,①今日の在庫を貼る!$I$6:$I$10005,$I6113)&gt;0,N(U6112),N(U6112)+1))</f>
        <v>2</v>
      </c>
    </row>
    <row r="6114" customFormat="false" ht="15" hidden="false" customHeight="false" outlineLevel="0" collapsed="false">
      <c r="B6114" s="53"/>
      <c r="I6114" s="53"/>
      <c r="U6114" s="31" t="n">
        <f aca="false">IF($B6114&lt;&gt;'設定（最初に1回）'!$C$4,N(U6113),IF(COUNTIFS(①今日の在庫を貼る!$B$6:$B$10005,$B6114,①今日の在庫を貼る!$I$6:$I$10005,$I6114)&gt;0,N(U6113),N(U6113)+1))</f>
        <v>2</v>
      </c>
    </row>
    <row r="6115" customFormat="false" ht="15" hidden="false" customHeight="false" outlineLevel="0" collapsed="false">
      <c r="B6115" s="53"/>
      <c r="I6115" s="53"/>
      <c r="U6115" s="31" t="n">
        <f aca="false">IF($B6115&lt;&gt;'設定（最初に1回）'!$C$4,N(U6114),IF(COUNTIFS(①今日の在庫を貼る!$B$6:$B$10005,$B6115,①今日の在庫を貼る!$I$6:$I$10005,$I6115)&gt;0,N(U6114),N(U6114)+1))</f>
        <v>2</v>
      </c>
    </row>
    <row r="6116" customFormat="false" ht="15" hidden="false" customHeight="false" outlineLevel="0" collapsed="false">
      <c r="B6116" s="53"/>
      <c r="I6116" s="53"/>
      <c r="U6116" s="31" t="n">
        <f aca="false">IF($B6116&lt;&gt;'設定（最初に1回）'!$C$4,N(U6115),IF(COUNTIFS(①今日の在庫を貼る!$B$6:$B$10005,$B6116,①今日の在庫を貼る!$I$6:$I$10005,$I6116)&gt;0,N(U6115),N(U6115)+1))</f>
        <v>2</v>
      </c>
    </row>
    <row r="6117" customFormat="false" ht="15" hidden="false" customHeight="false" outlineLevel="0" collapsed="false">
      <c r="B6117" s="53"/>
      <c r="I6117" s="53"/>
      <c r="U6117" s="31" t="n">
        <f aca="false">IF($B6117&lt;&gt;'設定（最初に1回）'!$C$4,N(U6116),IF(COUNTIFS(①今日の在庫を貼る!$B$6:$B$10005,$B6117,①今日の在庫を貼る!$I$6:$I$10005,$I6117)&gt;0,N(U6116),N(U6116)+1))</f>
        <v>2</v>
      </c>
    </row>
    <row r="6118" customFormat="false" ht="15" hidden="false" customHeight="false" outlineLevel="0" collapsed="false">
      <c r="B6118" s="53"/>
      <c r="I6118" s="53"/>
      <c r="U6118" s="31" t="n">
        <f aca="false">IF($B6118&lt;&gt;'設定（最初に1回）'!$C$4,N(U6117),IF(COUNTIFS(①今日の在庫を貼る!$B$6:$B$10005,$B6118,①今日の在庫を貼る!$I$6:$I$10005,$I6118)&gt;0,N(U6117),N(U6117)+1))</f>
        <v>2</v>
      </c>
    </row>
    <row r="6119" customFormat="false" ht="15" hidden="false" customHeight="false" outlineLevel="0" collapsed="false">
      <c r="B6119" s="53"/>
      <c r="I6119" s="53"/>
      <c r="U6119" s="31" t="n">
        <f aca="false">IF($B6119&lt;&gt;'設定（最初に1回）'!$C$4,N(U6118),IF(COUNTIFS(①今日の在庫を貼る!$B$6:$B$10005,$B6119,①今日の在庫を貼る!$I$6:$I$10005,$I6119)&gt;0,N(U6118),N(U6118)+1))</f>
        <v>2</v>
      </c>
    </row>
    <row r="6120" customFormat="false" ht="15" hidden="false" customHeight="false" outlineLevel="0" collapsed="false">
      <c r="B6120" s="53"/>
      <c r="I6120" s="53"/>
      <c r="U6120" s="31" t="n">
        <f aca="false">IF($B6120&lt;&gt;'設定（最初に1回）'!$C$4,N(U6119),IF(COUNTIFS(①今日の在庫を貼る!$B$6:$B$10005,$B6120,①今日の在庫を貼る!$I$6:$I$10005,$I6120)&gt;0,N(U6119),N(U6119)+1))</f>
        <v>2</v>
      </c>
    </row>
    <row r="6121" customFormat="false" ht="15" hidden="false" customHeight="false" outlineLevel="0" collapsed="false">
      <c r="B6121" s="53"/>
      <c r="I6121" s="53"/>
      <c r="U6121" s="31" t="n">
        <f aca="false">IF($B6121&lt;&gt;'設定（最初に1回）'!$C$4,N(U6120),IF(COUNTIFS(①今日の在庫を貼る!$B$6:$B$10005,$B6121,①今日の在庫を貼る!$I$6:$I$10005,$I6121)&gt;0,N(U6120),N(U6120)+1))</f>
        <v>2</v>
      </c>
    </row>
    <row r="6122" customFormat="false" ht="15" hidden="false" customHeight="false" outlineLevel="0" collapsed="false">
      <c r="B6122" s="53"/>
      <c r="I6122" s="53"/>
      <c r="U6122" s="31" t="n">
        <f aca="false">IF($B6122&lt;&gt;'設定（最初に1回）'!$C$4,N(U6121),IF(COUNTIFS(①今日の在庫を貼る!$B$6:$B$10005,$B6122,①今日の在庫を貼る!$I$6:$I$10005,$I6122)&gt;0,N(U6121),N(U6121)+1))</f>
        <v>2</v>
      </c>
    </row>
    <row r="6123" customFormat="false" ht="15" hidden="false" customHeight="false" outlineLevel="0" collapsed="false">
      <c r="B6123" s="53"/>
      <c r="I6123" s="53"/>
      <c r="U6123" s="31" t="n">
        <f aca="false">IF($B6123&lt;&gt;'設定（最初に1回）'!$C$4,N(U6122),IF(COUNTIFS(①今日の在庫を貼る!$B$6:$B$10005,$B6123,①今日の在庫を貼る!$I$6:$I$10005,$I6123)&gt;0,N(U6122),N(U6122)+1))</f>
        <v>2</v>
      </c>
    </row>
    <row r="6124" customFormat="false" ht="15" hidden="false" customHeight="false" outlineLevel="0" collapsed="false">
      <c r="B6124" s="53"/>
      <c r="I6124" s="53"/>
      <c r="U6124" s="31" t="n">
        <f aca="false">IF($B6124&lt;&gt;'設定（最初に1回）'!$C$4,N(U6123),IF(COUNTIFS(①今日の在庫を貼る!$B$6:$B$10005,$B6124,①今日の在庫を貼る!$I$6:$I$10005,$I6124)&gt;0,N(U6123),N(U6123)+1))</f>
        <v>2</v>
      </c>
    </row>
    <row r="6125" customFormat="false" ht="15" hidden="false" customHeight="false" outlineLevel="0" collapsed="false">
      <c r="B6125" s="53"/>
      <c r="I6125" s="53"/>
      <c r="U6125" s="31" t="n">
        <f aca="false">IF($B6125&lt;&gt;'設定（最初に1回）'!$C$4,N(U6124),IF(COUNTIFS(①今日の在庫を貼る!$B$6:$B$10005,$B6125,①今日の在庫を貼る!$I$6:$I$10005,$I6125)&gt;0,N(U6124),N(U6124)+1))</f>
        <v>2</v>
      </c>
    </row>
    <row r="6126" customFormat="false" ht="15" hidden="false" customHeight="false" outlineLevel="0" collapsed="false">
      <c r="B6126" s="53"/>
      <c r="I6126" s="53"/>
      <c r="U6126" s="31" t="n">
        <f aca="false">IF($B6126&lt;&gt;'設定（最初に1回）'!$C$4,N(U6125),IF(COUNTIFS(①今日の在庫を貼る!$B$6:$B$10005,$B6126,①今日の在庫を貼る!$I$6:$I$10005,$I6126)&gt;0,N(U6125),N(U6125)+1))</f>
        <v>2</v>
      </c>
    </row>
    <row r="6127" customFormat="false" ht="15" hidden="false" customHeight="false" outlineLevel="0" collapsed="false">
      <c r="B6127" s="53"/>
      <c r="I6127" s="53"/>
      <c r="U6127" s="31" t="n">
        <f aca="false">IF($B6127&lt;&gt;'設定（最初に1回）'!$C$4,N(U6126),IF(COUNTIFS(①今日の在庫を貼る!$B$6:$B$10005,$B6127,①今日の在庫を貼る!$I$6:$I$10005,$I6127)&gt;0,N(U6126),N(U6126)+1))</f>
        <v>2</v>
      </c>
    </row>
    <row r="6128" customFormat="false" ht="15" hidden="false" customHeight="false" outlineLevel="0" collapsed="false">
      <c r="B6128" s="53"/>
      <c r="I6128" s="53"/>
      <c r="U6128" s="31" t="n">
        <f aca="false">IF($B6128&lt;&gt;'設定（最初に1回）'!$C$4,N(U6127),IF(COUNTIFS(①今日の在庫を貼る!$B$6:$B$10005,$B6128,①今日の在庫を貼る!$I$6:$I$10005,$I6128)&gt;0,N(U6127),N(U6127)+1))</f>
        <v>2</v>
      </c>
    </row>
    <row r="6129" customFormat="false" ht="15" hidden="false" customHeight="false" outlineLevel="0" collapsed="false">
      <c r="B6129" s="53"/>
      <c r="I6129" s="53"/>
      <c r="U6129" s="31" t="n">
        <f aca="false">IF($B6129&lt;&gt;'設定（最初に1回）'!$C$4,N(U6128),IF(COUNTIFS(①今日の在庫を貼る!$B$6:$B$10005,$B6129,①今日の在庫を貼る!$I$6:$I$10005,$I6129)&gt;0,N(U6128),N(U6128)+1))</f>
        <v>2</v>
      </c>
    </row>
    <row r="6130" customFormat="false" ht="15" hidden="false" customHeight="false" outlineLevel="0" collapsed="false">
      <c r="B6130" s="53"/>
      <c r="I6130" s="53"/>
      <c r="U6130" s="31" t="n">
        <f aca="false">IF($B6130&lt;&gt;'設定（最初に1回）'!$C$4,N(U6129),IF(COUNTIFS(①今日の在庫を貼る!$B$6:$B$10005,$B6130,①今日の在庫を貼る!$I$6:$I$10005,$I6130)&gt;0,N(U6129),N(U6129)+1))</f>
        <v>2</v>
      </c>
    </row>
    <row r="6131" customFormat="false" ht="15" hidden="false" customHeight="false" outlineLevel="0" collapsed="false">
      <c r="B6131" s="53"/>
      <c r="I6131" s="53"/>
      <c r="U6131" s="31" t="n">
        <f aca="false">IF($B6131&lt;&gt;'設定（最初に1回）'!$C$4,N(U6130),IF(COUNTIFS(①今日の在庫を貼る!$B$6:$B$10005,$B6131,①今日の在庫を貼る!$I$6:$I$10005,$I6131)&gt;0,N(U6130),N(U6130)+1))</f>
        <v>2</v>
      </c>
    </row>
    <row r="6132" customFormat="false" ht="15" hidden="false" customHeight="false" outlineLevel="0" collapsed="false">
      <c r="B6132" s="53"/>
      <c r="I6132" s="53"/>
      <c r="U6132" s="31" t="n">
        <f aca="false">IF($B6132&lt;&gt;'設定（最初に1回）'!$C$4,N(U6131),IF(COUNTIFS(①今日の在庫を貼る!$B$6:$B$10005,$B6132,①今日の在庫を貼る!$I$6:$I$10005,$I6132)&gt;0,N(U6131),N(U6131)+1))</f>
        <v>2</v>
      </c>
    </row>
    <row r="6133" customFormat="false" ht="15" hidden="false" customHeight="false" outlineLevel="0" collapsed="false">
      <c r="B6133" s="53"/>
      <c r="I6133" s="53"/>
      <c r="U6133" s="31" t="n">
        <f aca="false">IF($B6133&lt;&gt;'設定（最初に1回）'!$C$4,N(U6132),IF(COUNTIFS(①今日の在庫を貼る!$B$6:$B$10005,$B6133,①今日の在庫を貼る!$I$6:$I$10005,$I6133)&gt;0,N(U6132),N(U6132)+1))</f>
        <v>2</v>
      </c>
    </row>
    <row r="6134" customFormat="false" ht="15" hidden="false" customHeight="false" outlineLevel="0" collapsed="false">
      <c r="B6134" s="53"/>
      <c r="I6134" s="53"/>
      <c r="U6134" s="31" t="n">
        <f aca="false">IF($B6134&lt;&gt;'設定（最初に1回）'!$C$4,N(U6133),IF(COUNTIFS(①今日の在庫を貼る!$B$6:$B$10005,$B6134,①今日の在庫を貼る!$I$6:$I$10005,$I6134)&gt;0,N(U6133),N(U6133)+1))</f>
        <v>2</v>
      </c>
    </row>
    <row r="6135" customFormat="false" ht="15" hidden="false" customHeight="false" outlineLevel="0" collapsed="false">
      <c r="B6135" s="53"/>
      <c r="I6135" s="53"/>
      <c r="U6135" s="31" t="n">
        <f aca="false">IF($B6135&lt;&gt;'設定（最初に1回）'!$C$4,N(U6134),IF(COUNTIFS(①今日の在庫を貼る!$B$6:$B$10005,$B6135,①今日の在庫を貼る!$I$6:$I$10005,$I6135)&gt;0,N(U6134),N(U6134)+1))</f>
        <v>2</v>
      </c>
    </row>
    <row r="6136" customFormat="false" ht="15" hidden="false" customHeight="false" outlineLevel="0" collapsed="false">
      <c r="B6136" s="53"/>
      <c r="I6136" s="53"/>
      <c r="U6136" s="31" t="n">
        <f aca="false">IF($B6136&lt;&gt;'設定（最初に1回）'!$C$4,N(U6135),IF(COUNTIFS(①今日の在庫を貼る!$B$6:$B$10005,$B6136,①今日の在庫を貼る!$I$6:$I$10005,$I6136)&gt;0,N(U6135),N(U6135)+1))</f>
        <v>2</v>
      </c>
    </row>
    <row r="6137" customFormat="false" ht="15" hidden="false" customHeight="false" outlineLevel="0" collapsed="false">
      <c r="B6137" s="53"/>
      <c r="I6137" s="53"/>
      <c r="U6137" s="31" t="n">
        <f aca="false">IF($B6137&lt;&gt;'設定（最初に1回）'!$C$4,N(U6136),IF(COUNTIFS(①今日の在庫を貼る!$B$6:$B$10005,$B6137,①今日の在庫を貼る!$I$6:$I$10005,$I6137)&gt;0,N(U6136),N(U6136)+1))</f>
        <v>2</v>
      </c>
    </row>
    <row r="6138" customFormat="false" ht="15" hidden="false" customHeight="false" outlineLevel="0" collapsed="false">
      <c r="B6138" s="53"/>
      <c r="I6138" s="53"/>
      <c r="U6138" s="31" t="n">
        <f aca="false">IF($B6138&lt;&gt;'設定（最初に1回）'!$C$4,N(U6137),IF(COUNTIFS(①今日の在庫を貼る!$B$6:$B$10005,$B6138,①今日の在庫を貼る!$I$6:$I$10005,$I6138)&gt;0,N(U6137),N(U6137)+1))</f>
        <v>2</v>
      </c>
    </row>
    <row r="6139" customFormat="false" ht="15" hidden="false" customHeight="false" outlineLevel="0" collapsed="false">
      <c r="B6139" s="53"/>
      <c r="I6139" s="53"/>
      <c r="U6139" s="31" t="n">
        <f aca="false">IF($B6139&lt;&gt;'設定（最初に1回）'!$C$4,N(U6138),IF(COUNTIFS(①今日の在庫を貼る!$B$6:$B$10005,$B6139,①今日の在庫を貼る!$I$6:$I$10005,$I6139)&gt;0,N(U6138),N(U6138)+1))</f>
        <v>2</v>
      </c>
    </row>
    <row r="6140" customFormat="false" ht="15" hidden="false" customHeight="false" outlineLevel="0" collapsed="false">
      <c r="B6140" s="53"/>
      <c r="I6140" s="53"/>
      <c r="U6140" s="31" t="n">
        <f aca="false">IF($B6140&lt;&gt;'設定（最初に1回）'!$C$4,N(U6139),IF(COUNTIFS(①今日の在庫を貼る!$B$6:$B$10005,$B6140,①今日の在庫を貼る!$I$6:$I$10005,$I6140)&gt;0,N(U6139),N(U6139)+1))</f>
        <v>2</v>
      </c>
    </row>
    <row r="6141" customFormat="false" ht="15" hidden="false" customHeight="false" outlineLevel="0" collapsed="false">
      <c r="B6141" s="53"/>
      <c r="I6141" s="53"/>
      <c r="U6141" s="31" t="n">
        <f aca="false">IF($B6141&lt;&gt;'設定（最初に1回）'!$C$4,N(U6140),IF(COUNTIFS(①今日の在庫を貼る!$B$6:$B$10005,$B6141,①今日の在庫を貼る!$I$6:$I$10005,$I6141)&gt;0,N(U6140),N(U6140)+1))</f>
        <v>2</v>
      </c>
    </row>
    <row r="6142" customFormat="false" ht="15" hidden="false" customHeight="false" outlineLevel="0" collapsed="false">
      <c r="B6142" s="53"/>
      <c r="I6142" s="53"/>
      <c r="U6142" s="31" t="n">
        <f aca="false">IF($B6142&lt;&gt;'設定（最初に1回）'!$C$4,N(U6141),IF(COUNTIFS(①今日の在庫を貼る!$B$6:$B$10005,$B6142,①今日の在庫を貼る!$I$6:$I$10005,$I6142)&gt;0,N(U6141),N(U6141)+1))</f>
        <v>2</v>
      </c>
    </row>
    <row r="6143" customFormat="false" ht="15" hidden="false" customHeight="false" outlineLevel="0" collapsed="false">
      <c r="B6143" s="53"/>
      <c r="I6143" s="53"/>
      <c r="U6143" s="31" t="n">
        <f aca="false">IF($B6143&lt;&gt;'設定（最初に1回）'!$C$4,N(U6142),IF(COUNTIFS(①今日の在庫を貼る!$B$6:$B$10005,$B6143,①今日の在庫を貼る!$I$6:$I$10005,$I6143)&gt;0,N(U6142),N(U6142)+1))</f>
        <v>2</v>
      </c>
    </row>
    <row r="6144" customFormat="false" ht="15" hidden="false" customHeight="false" outlineLevel="0" collapsed="false">
      <c r="B6144" s="53"/>
      <c r="I6144" s="53"/>
      <c r="U6144" s="31" t="n">
        <f aca="false">IF($B6144&lt;&gt;'設定（最初に1回）'!$C$4,N(U6143),IF(COUNTIFS(①今日の在庫を貼る!$B$6:$B$10005,$B6144,①今日の在庫を貼る!$I$6:$I$10005,$I6144)&gt;0,N(U6143),N(U6143)+1))</f>
        <v>2</v>
      </c>
    </row>
    <row r="6145" customFormat="false" ht="15" hidden="false" customHeight="false" outlineLevel="0" collapsed="false">
      <c r="B6145" s="53"/>
      <c r="I6145" s="53"/>
      <c r="U6145" s="31" t="n">
        <f aca="false">IF($B6145&lt;&gt;'設定（最初に1回）'!$C$4,N(U6144),IF(COUNTIFS(①今日の在庫を貼る!$B$6:$B$10005,$B6145,①今日の在庫を貼る!$I$6:$I$10005,$I6145)&gt;0,N(U6144),N(U6144)+1))</f>
        <v>2</v>
      </c>
    </row>
    <row r="6146" customFormat="false" ht="15" hidden="false" customHeight="false" outlineLevel="0" collapsed="false">
      <c r="B6146" s="53"/>
      <c r="I6146" s="53"/>
      <c r="U6146" s="31" t="n">
        <f aca="false">IF($B6146&lt;&gt;'設定（最初に1回）'!$C$4,N(U6145),IF(COUNTIFS(①今日の在庫を貼る!$B$6:$B$10005,$B6146,①今日の在庫を貼る!$I$6:$I$10005,$I6146)&gt;0,N(U6145),N(U6145)+1))</f>
        <v>2</v>
      </c>
    </row>
    <row r="6147" customFormat="false" ht="15" hidden="false" customHeight="false" outlineLevel="0" collapsed="false">
      <c r="B6147" s="53"/>
      <c r="I6147" s="53"/>
      <c r="U6147" s="31" t="n">
        <f aca="false">IF($B6147&lt;&gt;'設定（最初に1回）'!$C$4,N(U6146),IF(COUNTIFS(①今日の在庫を貼る!$B$6:$B$10005,$B6147,①今日の在庫を貼る!$I$6:$I$10005,$I6147)&gt;0,N(U6146),N(U6146)+1))</f>
        <v>2</v>
      </c>
    </row>
    <row r="6148" customFormat="false" ht="15" hidden="false" customHeight="false" outlineLevel="0" collapsed="false">
      <c r="B6148" s="53"/>
      <c r="I6148" s="53"/>
      <c r="U6148" s="31" t="n">
        <f aca="false">IF($B6148&lt;&gt;'設定（最初に1回）'!$C$4,N(U6147),IF(COUNTIFS(①今日の在庫を貼る!$B$6:$B$10005,$B6148,①今日の在庫を貼る!$I$6:$I$10005,$I6148)&gt;0,N(U6147),N(U6147)+1))</f>
        <v>2</v>
      </c>
    </row>
    <row r="6149" customFormat="false" ht="15" hidden="false" customHeight="false" outlineLevel="0" collapsed="false">
      <c r="B6149" s="53"/>
      <c r="I6149" s="53"/>
      <c r="U6149" s="31" t="n">
        <f aca="false">IF($B6149&lt;&gt;'設定（最初に1回）'!$C$4,N(U6148),IF(COUNTIFS(①今日の在庫を貼る!$B$6:$B$10005,$B6149,①今日の在庫を貼る!$I$6:$I$10005,$I6149)&gt;0,N(U6148),N(U6148)+1))</f>
        <v>2</v>
      </c>
    </row>
    <row r="6150" customFormat="false" ht="15" hidden="false" customHeight="false" outlineLevel="0" collapsed="false">
      <c r="B6150" s="53"/>
      <c r="I6150" s="53"/>
      <c r="U6150" s="31" t="n">
        <f aca="false">IF($B6150&lt;&gt;'設定（最初に1回）'!$C$4,N(U6149),IF(COUNTIFS(①今日の在庫を貼る!$B$6:$B$10005,$B6150,①今日の在庫を貼る!$I$6:$I$10005,$I6150)&gt;0,N(U6149),N(U6149)+1))</f>
        <v>2</v>
      </c>
    </row>
    <row r="6151" customFormat="false" ht="15" hidden="false" customHeight="false" outlineLevel="0" collapsed="false">
      <c r="B6151" s="53"/>
      <c r="I6151" s="53"/>
      <c r="U6151" s="31" t="n">
        <f aca="false">IF($B6151&lt;&gt;'設定（最初に1回）'!$C$4,N(U6150),IF(COUNTIFS(①今日の在庫を貼る!$B$6:$B$10005,$B6151,①今日の在庫を貼る!$I$6:$I$10005,$I6151)&gt;0,N(U6150),N(U6150)+1))</f>
        <v>2</v>
      </c>
    </row>
    <row r="6152" customFormat="false" ht="15" hidden="false" customHeight="false" outlineLevel="0" collapsed="false">
      <c r="B6152" s="53"/>
      <c r="I6152" s="53"/>
      <c r="U6152" s="31" t="n">
        <f aca="false">IF($B6152&lt;&gt;'設定（最初に1回）'!$C$4,N(U6151),IF(COUNTIFS(①今日の在庫を貼る!$B$6:$B$10005,$B6152,①今日の在庫を貼る!$I$6:$I$10005,$I6152)&gt;0,N(U6151),N(U6151)+1))</f>
        <v>2</v>
      </c>
    </row>
    <row r="6153" customFormat="false" ht="15" hidden="false" customHeight="false" outlineLevel="0" collapsed="false">
      <c r="B6153" s="53"/>
      <c r="I6153" s="53"/>
      <c r="U6153" s="31" t="n">
        <f aca="false">IF($B6153&lt;&gt;'設定（最初に1回）'!$C$4,N(U6152),IF(COUNTIFS(①今日の在庫を貼る!$B$6:$B$10005,$B6153,①今日の在庫を貼る!$I$6:$I$10005,$I6153)&gt;0,N(U6152),N(U6152)+1))</f>
        <v>2</v>
      </c>
    </row>
    <row r="6154" customFormat="false" ht="15" hidden="false" customHeight="false" outlineLevel="0" collapsed="false">
      <c r="B6154" s="53"/>
      <c r="I6154" s="53"/>
      <c r="U6154" s="31" t="n">
        <f aca="false">IF($B6154&lt;&gt;'設定（最初に1回）'!$C$4,N(U6153),IF(COUNTIFS(①今日の在庫を貼る!$B$6:$B$10005,$B6154,①今日の在庫を貼る!$I$6:$I$10005,$I6154)&gt;0,N(U6153),N(U6153)+1))</f>
        <v>2</v>
      </c>
    </row>
    <row r="6155" customFormat="false" ht="15" hidden="false" customHeight="false" outlineLevel="0" collapsed="false">
      <c r="B6155" s="53"/>
      <c r="I6155" s="53"/>
      <c r="U6155" s="31" t="n">
        <f aca="false">IF($B6155&lt;&gt;'設定（最初に1回）'!$C$4,N(U6154),IF(COUNTIFS(①今日の在庫を貼る!$B$6:$B$10005,$B6155,①今日の在庫を貼る!$I$6:$I$10005,$I6155)&gt;0,N(U6154),N(U6154)+1))</f>
        <v>2</v>
      </c>
    </row>
    <row r="6156" customFormat="false" ht="15" hidden="false" customHeight="false" outlineLevel="0" collapsed="false">
      <c r="B6156" s="53"/>
      <c r="I6156" s="53"/>
      <c r="U6156" s="31" t="n">
        <f aca="false">IF($B6156&lt;&gt;'設定（最初に1回）'!$C$4,N(U6155),IF(COUNTIFS(①今日の在庫を貼る!$B$6:$B$10005,$B6156,①今日の在庫を貼る!$I$6:$I$10005,$I6156)&gt;0,N(U6155),N(U6155)+1))</f>
        <v>2</v>
      </c>
    </row>
    <row r="6157" customFormat="false" ht="15" hidden="false" customHeight="false" outlineLevel="0" collapsed="false">
      <c r="B6157" s="53"/>
      <c r="I6157" s="53"/>
      <c r="U6157" s="31" t="n">
        <f aca="false">IF($B6157&lt;&gt;'設定（最初に1回）'!$C$4,N(U6156),IF(COUNTIFS(①今日の在庫を貼る!$B$6:$B$10005,$B6157,①今日の在庫を貼る!$I$6:$I$10005,$I6157)&gt;0,N(U6156),N(U6156)+1))</f>
        <v>2</v>
      </c>
    </row>
    <row r="6158" customFormat="false" ht="15" hidden="false" customHeight="false" outlineLevel="0" collapsed="false">
      <c r="B6158" s="53"/>
      <c r="I6158" s="53"/>
      <c r="U6158" s="31" t="n">
        <f aca="false">IF($B6158&lt;&gt;'設定（最初に1回）'!$C$4,N(U6157),IF(COUNTIFS(①今日の在庫を貼る!$B$6:$B$10005,$B6158,①今日の在庫を貼る!$I$6:$I$10005,$I6158)&gt;0,N(U6157),N(U6157)+1))</f>
        <v>2</v>
      </c>
    </row>
    <row r="6159" customFormat="false" ht="15" hidden="false" customHeight="false" outlineLevel="0" collapsed="false">
      <c r="B6159" s="53"/>
      <c r="I6159" s="53"/>
      <c r="U6159" s="31" t="n">
        <f aca="false">IF($B6159&lt;&gt;'設定（最初に1回）'!$C$4,N(U6158),IF(COUNTIFS(①今日の在庫を貼る!$B$6:$B$10005,$B6159,①今日の在庫を貼る!$I$6:$I$10005,$I6159)&gt;0,N(U6158),N(U6158)+1))</f>
        <v>2</v>
      </c>
    </row>
    <row r="6160" customFormat="false" ht="15" hidden="false" customHeight="false" outlineLevel="0" collapsed="false">
      <c r="B6160" s="53"/>
      <c r="I6160" s="53"/>
      <c r="U6160" s="31" t="n">
        <f aca="false">IF($B6160&lt;&gt;'設定（最初に1回）'!$C$4,N(U6159),IF(COUNTIFS(①今日の在庫を貼る!$B$6:$B$10005,$B6160,①今日の在庫を貼る!$I$6:$I$10005,$I6160)&gt;0,N(U6159),N(U6159)+1))</f>
        <v>2</v>
      </c>
    </row>
    <row r="6161" customFormat="false" ht="15" hidden="false" customHeight="false" outlineLevel="0" collapsed="false">
      <c r="B6161" s="53"/>
      <c r="I6161" s="53"/>
      <c r="U6161" s="31" t="n">
        <f aca="false">IF($B6161&lt;&gt;'設定（最初に1回）'!$C$4,N(U6160),IF(COUNTIFS(①今日の在庫を貼る!$B$6:$B$10005,$B6161,①今日の在庫を貼る!$I$6:$I$10005,$I6161)&gt;0,N(U6160),N(U6160)+1))</f>
        <v>2</v>
      </c>
    </row>
    <row r="6162" customFormat="false" ht="15" hidden="false" customHeight="false" outlineLevel="0" collapsed="false">
      <c r="B6162" s="53"/>
      <c r="I6162" s="53"/>
      <c r="U6162" s="31" t="n">
        <f aca="false">IF($B6162&lt;&gt;'設定（最初に1回）'!$C$4,N(U6161),IF(COUNTIFS(①今日の在庫を貼る!$B$6:$B$10005,$B6162,①今日の在庫を貼る!$I$6:$I$10005,$I6162)&gt;0,N(U6161),N(U6161)+1))</f>
        <v>2</v>
      </c>
    </row>
    <row r="6163" customFormat="false" ht="15" hidden="false" customHeight="false" outlineLevel="0" collapsed="false">
      <c r="B6163" s="53"/>
      <c r="I6163" s="53"/>
      <c r="U6163" s="31" t="n">
        <f aca="false">IF($B6163&lt;&gt;'設定（最初に1回）'!$C$4,N(U6162),IF(COUNTIFS(①今日の在庫を貼る!$B$6:$B$10005,$B6163,①今日の在庫を貼る!$I$6:$I$10005,$I6163)&gt;0,N(U6162),N(U6162)+1))</f>
        <v>2</v>
      </c>
    </row>
    <row r="6164" customFormat="false" ht="15" hidden="false" customHeight="false" outlineLevel="0" collapsed="false">
      <c r="B6164" s="53"/>
      <c r="I6164" s="53"/>
      <c r="U6164" s="31" t="n">
        <f aca="false">IF($B6164&lt;&gt;'設定（最初に1回）'!$C$4,N(U6163),IF(COUNTIFS(①今日の在庫を貼る!$B$6:$B$10005,$B6164,①今日の在庫を貼る!$I$6:$I$10005,$I6164)&gt;0,N(U6163),N(U6163)+1))</f>
        <v>2</v>
      </c>
    </row>
    <row r="6165" customFormat="false" ht="15" hidden="false" customHeight="false" outlineLevel="0" collapsed="false">
      <c r="B6165" s="53"/>
      <c r="I6165" s="53"/>
      <c r="U6165" s="31" t="n">
        <f aca="false">IF($B6165&lt;&gt;'設定（最初に1回）'!$C$4,N(U6164),IF(COUNTIFS(①今日の在庫を貼る!$B$6:$B$10005,$B6165,①今日の在庫を貼る!$I$6:$I$10005,$I6165)&gt;0,N(U6164),N(U6164)+1))</f>
        <v>2</v>
      </c>
    </row>
    <row r="6166" customFormat="false" ht="15" hidden="false" customHeight="false" outlineLevel="0" collapsed="false">
      <c r="B6166" s="53"/>
      <c r="I6166" s="53"/>
      <c r="U6166" s="31" t="n">
        <f aca="false">IF($B6166&lt;&gt;'設定（最初に1回）'!$C$4,N(U6165),IF(COUNTIFS(①今日の在庫を貼る!$B$6:$B$10005,$B6166,①今日の在庫を貼る!$I$6:$I$10005,$I6166)&gt;0,N(U6165),N(U6165)+1))</f>
        <v>2</v>
      </c>
    </row>
    <row r="6167" customFormat="false" ht="15" hidden="false" customHeight="false" outlineLevel="0" collapsed="false">
      <c r="B6167" s="53"/>
      <c r="I6167" s="53"/>
      <c r="U6167" s="31" t="n">
        <f aca="false">IF($B6167&lt;&gt;'設定（最初に1回）'!$C$4,N(U6166),IF(COUNTIFS(①今日の在庫を貼る!$B$6:$B$10005,$B6167,①今日の在庫を貼る!$I$6:$I$10005,$I6167)&gt;0,N(U6166),N(U6166)+1))</f>
        <v>2</v>
      </c>
    </row>
    <row r="6168" customFormat="false" ht="15" hidden="false" customHeight="false" outlineLevel="0" collapsed="false">
      <c r="B6168" s="53"/>
      <c r="I6168" s="53"/>
      <c r="U6168" s="31" t="n">
        <f aca="false">IF($B6168&lt;&gt;'設定（最初に1回）'!$C$4,N(U6167),IF(COUNTIFS(①今日の在庫を貼る!$B$6:$B$10005,$B6168,①今日の在庫を貼る!$I$6:$I$10005,$I6168)&gt;0,N(U6167),N(U6167)+1))</f>
        <v>2</v>
      </c>
    </row>
    <row r="6169" customFormat="false" ht="15" hidden="false" customHeight="false" outlineLevel="0" collapsed="false">
      <c r="B6169" s="53"/>
      <c r="I6169" s="53"/>
      <c r="U6169" s="31" t="n">
        <f aca="false">IF($B6169&lt;&gt;'設定（最初に1回）'!$C$4,N(U6168),IF(COUNTIFS(①今日の在庫を貼る!$B$6:$B$10005,$B6169,①今日の在庫を貼る!$I$6:$I$10005,$I6169)&gt;0,N(U6168),N(U6168)+1))</f>
        <v>2</v>
      </c>
    </row>
    <row r="6170" customFormat="false" ht="15" hidden="false" customHeight="false" outlineLevel="0" collapsed="false">
      <c r="B6170" s="53"/>
      <c r="I6170" s="53"/>
      <c r="U6170" s="31" t="n">
        <f aca="false">IF($B6170&lt;&gt;'設定（最初に1回）'!$C$4,N(U6169),IF(COUNTIFS(①今日の在庫を貼る!$B$6:$B$10005,$B6170,①今日の在庫を貼る!$I$6:$I$10005,$I6170)&gt;0,N(U6169),N(U6169)+1))</f>
        <v>2</v>
      </c>
    </row>
    <row r="6171" customFormat="false" ht="15" hidden="false" customHeight="false" outlineLevel="0" collapsed="false">
      <c r="B6171" s="53"/>
      <c r="I6171" s="53"/>
      <c r="U6171" s="31" t="n">
        <f aca="false">IF($B6171&lt;&gt;'設定（最初に1回）'!$C$4,N(U6170),IF(COUNTIFS(①今日の在庫を貼る!$B$6:$B$10005,$B6171,①今日の在庫を貼る!$I$6:$I$10005,$I6171)&gt;0,N(U6170),N(U6170)+1))</f>
        <v>2</v>
      </c>
    </row>
    <row r="6172" customFormat="false" ht="15" hidden="false" customHeight="false" outlineLevel="0" collapsed="false">
      <c r="B6172" s="53"/>
      <c r="I6172" s="53"/>
      <c r="U6172" s="31" t="n">
        <f aca="false">IF($B6172&lt;&gt;'設定（最初に1回）'!$C$4,N(U6171),IF(COUNTIFS(①今日の在庫を貼る!$B$6:$B$10005,$B6172,①今日の在庫を貼る!$I$6:$I$10005,$I6172)&gt;0,N(U6171),N(U6171)+1))</f>
        <v>2</v>
      </c>
    </row>
    <row r="6173" customFormat="false" ht="15" hidden="false" customHeight="false" outlineLevel="0" collapsed="false">
      <c r="B6173" s="53"/>
      <c r="I6173" s="53"/>
      <c r="U6173" s="31" t="n">
        <f aca="false">IF($B6173&lt;&gt;'設定（最初に1回）'!$C$4,N(U6172),IF(COUNTIFS(①今日の在庫を貼る!$B$6:$B$10005,$B6173,①今日の在庫を貼る!$I$6:$I$10005,$I6173)&gt;0,N(U6172),N(U6172)+1))</f>
        <v>2</v>
      </c>
    </row>
    <row r="6174" customFormat="false" ht="15" hidden="false" customHeight="false" outlineLevel="0" collapsed="false">
      <c r="B6174" s="53"/>
      <c r="I6174" s="53"/>
      <c r="U6174" s="31" t="n">
        <f aca="false">IF($B6174&lt;&gt;'設定（最初に1回）'!$C$4,N(U6173),IF(COUNTIFS(①今日の在庫を貼る!$B$6:$B$10005,$B6174,①今日の在庫を貼る!$I$6:$I$10005,$I6174)&gt;0,N(U6173),N(U6173)+1))</f>
        <v>2</v>
      </c>
    </row>
    <row r="6175" customFormat="false" ht="15" hidden="false" customHeight="false" outlineLevel="0" collapsed="false">
      <c r="B6175" s="53"/>
      <c r="I6175" s="53"/>
      <c r="U6175" s="31" t="n">
        <f aca="false">IF($B6175&lt;&gt;'設定（最初に1回）'!$C$4,N(U6174),IF(COUNTIFS(①今日の在庫を貼る!$B$6:$B$10005,$B6175,①今日の在庫を貼る!$I$6:$I$10005,$I6175)&gt;0,N(U6174),N(U6174)+1))</f>
        <v>2</v>
      </c>
    </row>
    <row r="6176" customFormat="false" ht="15" hidden="false" customHeight="false" outlineLevel="0" collapsed="false">
      <c r="B6176" s="53"/>
      <c r="I6176" s="53"/>
      <c r="U6176" s="31" t="n">
        <f aca="false">IF($B6176&lt;&gt;'設定（最初に1回）'!$C$4,N(U6175),IF(COUNTIFS(①今日の在庫を貼る!$B$6:$B$10005,$B6176,①今日の在庫を貼る!$I$6:$I$10005,$I6176)&gt;0,N(U6175),N(U6175)+1))</f>
        <v>2</v>
      </c>
    </row>
    <row r="6177" customFormat="false" ht="15" hidden="false" customHeight="false" outlineLevel="0" collapsed="false">
      <c r="B6177" s="53"/>
      <c r="I6177" s="53"/>
      <c r="U6177" s="31" t="n">
        <f aca="false">IF($B6177&lt;&gt;'設定（最初に1回）'!$C$4,N(U6176),IF(COUNTIFS(①今日の在庫を貼る!$B$6:$B$10005,$B6177,①今日の在庫を貼る!$I$6:$I$10005,$I6177)&gt;0,N(U6176),N(U6176)+1))</f>
        <v>2</v>
      </c>
    </row>
    <row r="6178" customFormat="false" ht="15" hidden="false" customHeight="false" outlineLevel="0" collapsed="false">
      <c r="B6178" s="53"/>
      <c r="I6178" s="53"/>
      <c r="U6178" s="31" t="n">
        <f aca="false">IF($B6178&lt;&gt;'設定（最初に1回）'!$C$4,N(U6177),IF(COUNTIFS(①今日の在庫を貼る!$B$6:$B$10005,$B6178,①今日の在庫を貼る!$I$6:$I$10005,$I6178)&gt;0,N(U6177),N(U6177)+1))</f>
        <v>2</v>
      </c>
    </row>
    <row r="6179" customFormat="false" ht="15" hidden="false" customHeight="false" outlineLevel="0" collapsed="false">
      <c r="B6179" s="53"/>
      <c r="I6179" s="53"/>
      <c r="U6179" s="31" t="n">
        <f aca="false">IF($B6179&lt;&gt;'設定（最初に1回）'!$C$4,N(U6178),IF(COUNTIFS(①今日の在庫を貼る!$B$6:$B$10005,$B6179,①今日の在庫を貼る!$I$6:$I$10005,$I6179)&gt;0,N(U6178),N(U6178)+1))</f>
        <v>2</v>
      </c>
    </row>
    <row r="6180" customFormat="false" ht="15" hidden="false" customHeight="false" outlineLevel="0" collapsed="false">
      <c r="B6180" s="53"/>
      <c r="I6180" s="53"/>
      <c r="U6180" s="31" t="n">
        <f aca="false">IF($B6180&lt;&gt;'設定（最初に1回）'!$C$4,N(U6179),IF(COUNTIFS(①今日の在庫を貼る!$B$6:$B$10005,$B6180,①今日の在庫を貼る!$I$6:$I$10005,$I6180)&gt;0,N(U6179),N(U6179)+1))</f>
        <v>2</v>
      </c>
    </row>
    <row r="6181" customFormat="false" ht="15" hidden="false" customHeight="false" outlineLevel="0" collapsed="false">
      <c r="B6181" s="53"/>
      <c r="I6181" s="53"/>
      <c r="U6181" s="31" t="n">
        <f aca="false">IF($B6181&lt;&gt;'設定（最初に1回）'!$C$4,N(U6180),IF(COUNTIFS(①今日の在庫を貼る!$B$6:$B$10005,$B6181,①今日の在庫を貼る!$I$6:$I$10005,$I6181)&gt;0,N(U6180),N(U6180)+1))</f>
        <v>2</v>
      </c>
    </row>
    <row r="6182" customFormat="false" ht="15" hidden="false" customHeight="false" outlineLevel="0" collapsed="false">
      <c r="B6182" s="53"/>
      <c r="I6182" s="53"/>
      <c r="U6182" s="31" t="n">
        <f aca="false">IF($B6182&lt;&gt;'設定（最初に1回）'!$C$4,N(U6181),IF(COUNTIFS(①今日の在庫を貼る!$B$6:$B$10005,$B6182,①今日の在庫を貼る!$I$6:$I$10005,$I6182)&gt;0,N(U6181),N(U6181)+1))</f>
        <v>2</v>
      </c>
    </row>
    <row r="6183" customFormat="false" ht="15" hidden="false" customHeight="false" outlineLevel="0" collapsed="false">
      <c r="B6183" s="53"/>
      <c r="I6183" s="53"/>
      <c r="U6183" s="31" t="n">
        <f aca="false">IF($B6183&lt;&gt;'設定（最初に1回）'!$C$4,N(U6182),IF(COUNTIFS(①今日の在庫を貼る!$B$6:$B$10005,$B6183,①今日の在庫を貼る!$I$6:$I$10005,$I6183)&gt;0,N(U6182),N(U6182)+1))</f>
        <v>2</v>
      </c>
    </row>
    <row r="6184" customFormat="false" ht="15" hidden="false" customHeight="false" outlineLevel="0" collapsed="false">
      <c r="B6184" s="53"/>
      <c r="I6184" s="53"/>
      <c r="U6184" s="31" t="n">
        <f aca="false">IF($B6184&lt;&gt;'設定（最初に1回）'!$C$4,N(U6183),IF(COUNTIFS(①今日の在庫を貼る!$B$6:$B$10005,$B6184,①今日の在庫を貼る!$I$6:$I$10005,$I6184)&gt;0,N(U6183),N(U6183)+1))</f>
        <v>2</v>
      </c>
    </row>
    <row r="6185" customFormat="false" ht="15" hidden="false" customHeight="false" outlineLevel="0" collapsed="false">
      <c r="B6185" s="53"/>
      <c r="I6185" s="53"/>
      <c r="U6185" s="31" t="n">
        <f aca="false">IF($B6185&lt;&gt;'設定（最初に1回）'!$C$4,N(U6184),IF(COUNTIFS(①今日の在庫を貼る!$B$6:$B$10005,$B6185,①今日の在庫を貼る!$I$6:$I$10005,$I6185)&gt;0,N(U6184),N(U6184)+1))</f>
        <v>2</v>
      </c>
    </row>
    <row r="6186" customFormat="false" ht="15" hidden="false" customHeight="false" outlineLevel="0" collapsed="false">
      <c r="B6186" s="53"/>
      <c r="I6186" s="53"/>
      <c r="U6186" s="31" t="n">
        <f aca="false">IF($B6186&lt;&gt;'設定（最初に1回）'!$C$4,N(U6185),IF(COUNTIFS(①今日の在庫を貼る!$B$6:$B$10005,$B6186,①今日の在庫を貼る!$I$6:$I$10005,$I6186)&gt;0,N(U6185),N(U6185)+1))</f>
        <v>2</v>
      </c>
    </row>
    <row r="6187" customFormat="false" ht="15" hidden="false" customHeight="false" outlineLevel="0" collapsed="false">
      <c r="B6187" s="53"/>
      <c r="I6187" s="53"/>
      <c r="U6187" s="31" t="n">
        <f aca="false">IF($B6187&lt;&gt;'設定（最初に1回）'!$C$4,N(U6186),IF(COUNTIFS(①今日の在庫を貼る!$B$6:$B$10005,$B6187,①今日の在庫を貼る!$I$6:$I$10005,$I6187)&gt;0,N(U6186),N(U6186)+1))</f>
        <v>2</v>
      </c>
    </row>
    <row r="6188" customFormat="false" ht="15" hidden="false" customHeight="false" outlineLevel="0" collapsed="false">
      <c r="B6188" s="53"/>
      <c r="I6188" s="53"/>
      <c r="U6188" s="31" t="n">
        <f aca="false">IF($B6188&lt;&gt;'設定（最初に1回）'!$C$4,N(U6187),IF(COUNTIFS(①今日の在庫を貼る!$B$6:$B$10005,$B6188,①今日の在庫を貼る!$I$6:$I$10005,$I6188)&gt;0,N(U6187),N(U6187)+1))</f>
        <v>2</v>
      </c>
    </row>
    <row r="6189" customFormat="false" ht="15" hidden="false" customHeight="false" outlineLevel="0" collapsed="false">
      <c r="B6189" s="53"/>
      <c r="I6189" s="53"/>
      <c r="U6189" s="31" t="n">
        <f aca="false">IF($B6189&lt;&gt;'設定（最初に1回）'!$C$4,N(U6188),IF(COUNTIFS(①今日の在庫を貼る!$B$6:$B$10005,$B6189,①今日の在庫を貼る!$I$6:$I$10005,$I6189)&gt;0,N(U6188),N(U6188)+1))</f>
        <v>2</v>
      </c>
    </row>
    <row r="6190" customFormat="false" ht="15" hidden="false" customHeight="false" outlineLevel="0" collapsed="false">
      <c r="B6190" s="53"/>
      <c r="I6190" s="53"/>
      <c r="U6190" s="31" t="n">
        <f aca="false">IF($B6190&lt;&gt;'設定（最初に1回）'!$C$4,N(U6189),IF(COUNTIFS(①今日の在庫を貼る!$B$6:$B$10005,$B6190,①今日の在庫を貼る!$I$6:$I$10005,$I6190)&gt;0,N(U6189),N(U6189)+1))</f>
        <v>2</v>
      </c>
    </row>
    <row r="6191" customFormat="false" ht="15" hidden="false" customHeight="false" outlineLevel="0" collapsed="false">
      <c r="B6191" s="53"/>
      <c r="I6191" s="53"/>
      <c r="U6191" s="31" t="n">
        <f aca="false">IF($B6191&lt;&gt;'設定（最初に1回）'!$C$4,N(U6190),IF(COUNTIFS(①今日の在庫を貼る!$B$6:$B$10005,$B6191,①今日の在庫を貼る!$I$6:$I$10005,$I6191)&gt;0,N(U6190),N(U6190)+1))</f>
        <v>2</v>
      </c>
    </row>
    <row r="6192" customFormat="false" ht="15" hidden="false" customHeight="false" outlineLevel="0" collapsed="false">
      <c r="B6192" s="53"/>
      <c r="I6192" s="53"/>
      <c r="U6192" s="31" t="n">
        <f aca="false">IF($B6192&lt;&gt;'設定（最初に1回）'!$C$4,N(U6191),IF(COUNTIFS(①今日の在庫を貼る!$B$6:$B$10005,$B6192,①今日の在庫を貼る!$I$6:$I$10005,$I6192)&gt;0,N(U6191),N(U6191)+1))</f>
        <v>2</v>
      </c>
    </row>
    <row r="6193" customFormat="false" ht="15" hidden="false" customHeight="false" outlineLevel="0" collapsed="false">
      <c r="B6193" s="53"/>
      <c r="I6193" s="53"/>
      <c r="U6193" s="31" t="n">
        <f aca="false">IF($B6193&lt;&gt;'設定（最初に1回）'!$C$4,N(U6192),IF(COUNTIFS(①今日の在庫を貼る!$B$6:$B$10005,$B6193,①今日の在庫を貼る!$I$6:$I$10005,$I6193)&gt;0,N(U6192),N(U6192)+1))</f>
        <v>2</v>
      </c>
    </row>
    <row r="6194" customFormat="false" ht="15" hidden="false" customHeight="false" outlineLevel="0" collapsed="false">
      <c r="B6194" s="53"/>
      <c r="I6194" s="53"/>
      <c r="U6194" s="31" t="n">
        <f aca="false">IF($B6194&lt;&gt;'設定（最初に1回）'!$C$4,N(U6193),IF(COUNTIFS(①今日の在庫を貼る!$B$6:$B$10005,$B6194,①今日の在庫を貼る!$I$6:$I$10005,$I6194)&gt;0,N(U6193),N(U6193)+1))</f>
        <v>2</v>
      </c>
    </row>
    <row r="6195" customFormat="false" ht="15" hidden="false" customHeight="false" outlineLevel="0" collapsed="false">
      <c r="B6195" s="53"/>
      <c r="I6195" s="53"/>
      <c r="U6195" s="31" t="n">
        <f aca="false">IF($B6195&lt;&gt;'設定（最初に1回）'!$C$4,N(U6194),IF(COUNTIFS(①今日の在庫を貼る!$B$6:$B$10005,$B6195,①今日の在庫を貼る!$I$6:$I$10005,$I6195)&gt;0,N(U6194),N(U6194)+1))</f>
        <v>2</v>
      </c>
    </row>
    <row r="6196" customFormat="false" ht="15" hidden="false" customHeight="false" outlineLevel="0" collapsed="false">
      <c r="B6196" s="53"/>
      <c r="I6196" s="53"/>
      <c r="U6196" s="31" t="n">
        <f aca="false">IF($B6196&lt;&gt;'設定（最初に1回）'!$C$4,N(U6195),IF(COUNTIFS(①今日の在庫を貼る!$B$6:$B$10005,$B6196,①今日の在庫を貼る!$I$6:$I$10005,$I6196)&gt;0,N(U6195),N(U6195)+1))</f>
        <v>2</v>
      </c>
    </row>
    <row r="6197" customFormat="false" ht="15" hidden="false" customHeight="false" outlineLevel="0" collapsed="false">
      <c r="B6197" s="53"/>
      <c r="I6197" s="53"/>
      <c r="U6197" s="31" t="n">
        <f aca="false">IF($B6197&lt;&gt;'設定（最初に1回）'!$C$4,N(U6196),IF(COUNTIFS(①今日の在庫を貼る!$B$6:$B$10005,$B6197,①今日の在庫を貼る!$I$6:$I$10005,$I6197)&gt;0,N(U6196),N(U6196)+1))</f>
        <v>2</v>
      </c>
    </row>
    <row r="6198" customFormat="false" ht="15" hidden="false" customHeight="false" outlineLevel="0" collapsed="false">
      <c r="B6198" s="53"/>
      <c r="I6198" s="53"/>
      <c r="U6198" s="31" t="n">
        <f aca="false">IF($B6198&lt;&gt;'設定（最初に1回）'!$C$4,N(U6197),IF(COUNTIFS(①今日の在庫を貼る!$B$6:$B$10005,$B6198,①今日の在庫を貼る!$I$6:$I$10005,$I6198)&gt;0,N(U6197),N(U6197)+1))</f>
        <v>2</v>
      </c>
    </row>
    <row r="6199" customFormat="false" ht="15" hidden="false" customHeight="false" outlineLevel="0" collapsed="false">
      <c r="B6199" s="53"/>
      <c r="I6199" s="53"/>
      <c r="U6199" s="31" t="n">
        <f aca="false">IF($B6199&lt;&gt;'設定（最初に1回）'!$C$4,N(U6198),IF(COUNTIFS(①今日の在庫を貼る!$B$6:$B$10005,$B6199,①今日の在庫を貼る!$I$6:$I$10005,$I6199)&gt;0,N(U6198),N(U6198)+1))</f>
        <v>2</v>
      </c>
    </row>
    <row r="6200" customFormat="false" ht="15" hidden="false" customHeight="false" outlineLevel="0" collapsed="false">
      <c r="B6200" s="53"/>
      <c r="I6200" s="53"/>
      <c r="U6200" s="31" t="n">
        <f aca="false">IF($B6200&lt;&gt;'設定（最初に1回）'!$C$4,N(U6199),IF(COUNTIFS(①今日の在庫を貼る!$B$6:$B$10005,$B6200,①今日の在庫を貼る!$I$6:$I$10005,$I6200)&gt;0,N(U6199),N(U6199)+1))</f>
        <v>2</v>
      </c>
    </row>
    <row r="6201" customFormat="false" ht="15" hidden="false" customHeight="false" outlineLevel="0" collapsed="false">
      <c r="B6201" s="53"/>
      <c r="I6201" s="53"/>
      <c r="U6201" s="31" t="n">
        <f aca="false">IF($B6201&lt;&gt;'設定（最初に1回）'!$C$4,N(U6200),IF(COUNTIFS(①今日の在庫を貼る!$B$6:$B$10005,$B6201,①今日の在庫を貼る!$I$6:$I$10005,$I6201)&gt;0,N(U6200),N(U6200)+1))</f>
        <v>2</v>
      </c>
    </row>
    <row r="6202" customFormat="false" ht="15" hidden="false" customHeight="false" outlineLevel="0" collapsed="false">
      <c r="B6202" s="53"/>
      <c r="I6202" s="53"/>
      <c r="U6202" s="31" t="n">
        <f aca="false">IF($B6202&lt;&gt;'設定（最初に1回）'!$C$4,N(U6201),IF(COUNTIFS(①今日の在庫を貼る!$B$6:$B$10005,$B6202,①今日の在庫を貼る!$I$6:$I$10005,$I6202)&gt;0,N(U6201),N(U6201)+1))</f>
        <v>2</v>
      </c>
    </row>
    <row r="6203" customFormat="false" ht="15" hidden="false" customHeight="false" outlineLevel="0" collapsed="false">
      <c r="B6203" s="53"/>
      <c r="I6203" s="53"/>
      <c r="U6203" s="31" t="n">
        <f aca="false">IF($B6203&lt;&gt;'設定（最初に1回）'!$C$4,N(U6202),IF(COUNTIFS(①今日の在庫を貼る!$B$6:$B$10005,$B6203,①今日の在庫を貼る!$I$6:$I$10005,$I6203)&gt;0,N(U6202),N(U6202)+1))</f>
        <v>2</v>
      </c>
    </row>
    <row r="6204" customFormat="false" ht="15" hidden="false" customHeight="false" outlineLevel="0" collapsed="false">
      <c r="B6204" s="53"/>
      <c r="I6204" s="53"/>
      <c r="U6204" s="31" t="n">
        <f aca="false">IF($B6204&lt;&gt;'設定（最初に1回）'!$C$4,N(U6203),IF(COUNTIFS(①今日の在庫を貼る!$B$6:$B$10005,$B6204,①今日の在庫を貼る!$I$6:$I$10005,$I6204)&gt;0,N(U6203),N(U6203)+1))</f>
        <v>2</v>
      </c>
    </row>
    <row r="6205" customFormat="false" ht="15" hidden="false" customHeight="false" outlineLevel="0" collapsed="false">
      <c r="B6205" s="53"/>
      <c r="I6205" s="53"/>
      <c r="U6205" s="31" t="n">
        <f aca="false">IF($B6205&lt;&gt;'設定（最初に1回）'!$C$4,N(U6204),IF(COUNTIFS(①今日の在庫を貼る!$B$6:$B$10005,$B6205,①今日の在庫を貼る!$I$6:$I$10005,$I6205)&gt;0,N(U6204),N(U6204)+1))</f>
        <v>2</v>
      </c>
    </row>
    <row r="6206" customFormat="false" ht="15" hidden="false" customHeight="false" outlineLevel="0" collapsed="false">
      <c r="B6206" s="53"/>
      <c r="I6206" s="53"/>
      <c r="U6206" s="31" t="n">
        <f aca="false">IF($B6206&lt;&gt;'設定（最初に1回）'!$C$4,N(U6205),IF(COUNTIFS(①今日の在庫を貼る!$B$6:$B$10005,$B6206,①今日の在庫を貼る!$I$6:$I$10005,$I6206)&gt;0,N(U6205),N(U6205)+1))</f>
        <v>2</v>
      </c>
    </row>
    <row r="6207" customFormat="false" ht="15" hidden="false" customHeight="false" outlineLevel="0" collapsed="false">
      <c r="B6207" s="53"/>
      <c r="I6207" s="53"/>
      <c r="U6207" s="31" t="n">
        <f aca="false">IF($B6207&lt;&gt;'設定（最初に1回）'!$C$4,N(U6206),IF(COUNTIFS(①今日の在庫を貼る!$B$6:$B$10005,$B6207,①今日の在庫を貼る!$I$6:$I$10005,$I6207)&gt;0,N(U6206),N(U6206)+1))</f>
        <v>2</v>
      </c>
    </row>
    <row r="6208" customFormat="false" ht="15" hidden="false" customHeight="false" outlineLevel="0" collapsed="false">
      <c r="B6208" s="53"/>
      <c r="I6208" s="53"/>
      <c r="U6208" s="31" t="n">
        <f aca="false">IF($B6208&lt;&gt;'設定（最初に1回）'!$C$4,N(U6207),IF(COUNTIFS(①今日の在庫を貼る!$B$6:$B$10005,$B6208,①今日の在庫を貼る!$I$6:$I$10005,$I6208)&gt;0,N(U6207),N(U6207)+1))</f>
        <v>2</v>
      </c>
    </row>
    <row r="6209" customFormat="false" ht="15" hidden="false" customHeight="false" outlineLevel="0" collapsed="false">
      <c r="B6209" s="53"/>
      <c r="I6209" s="53"/>
      <c r="U6209" s="31" t="n">
        <f aca="false">IF($B6209&lt;&gt;'設定（最初に1回）'!$C$4,N(U6208),IF(COUNTIFS(①今日の在庫を貼る!$B$6:$B$10005,$B6209,①今日の在庫を貼る!$I$6:$I$10005,$I6209)&gt;0,N(U6208),N(U6208)+1))</f>
        <v>2</v>
      </c>
    </row>
    <row r="6210" customFormat="false" ht="15" hidden="false" customHeight="false" outlineLevel="0" collapsed="false">
      <c r="B6210" s="53"/>
      <c r="I6210" s="53"/>
      <c r="U6210" s="31" t="n">
        <f aca="false">IF($B6210&lt;&gt;'設定（最初に1回）'!$C$4,N(U6209),IF(COUNTIFS(①今日の在庫を貼る!$B$6:$B$10005,$B6210,①今日の在庫を貼る!$I$6:$I$10005,$I6210)&gt;0,N(U6209),N(U6209)+1))</f>
        <v>2</v>
      </c>
    </row>
    <row r="6211" customFormat="false" ht="15" hidden="false" customHeight="false" outlineLevel="0" collapsed="false">
      <c r="B6211" s="53"/>
      <c r="I6211" s="53"/>
      <c r="U6211" s="31" t="n">
        <f aca="false">IF($B6211&lt;&gt;'設定（最初に1回）'!$C$4,N(U6210),IF(COUNTIFS(①今日の在庫を貼る!$B$6:$B$10005,$B6211,①今日の在庫を貼る!$I$6:$I$10005,$I6211)&gt;0,N(U6210),N(U6210)+1))</f>
        <v>2</v>
      </c>
    </row>
    <row r="6212" customFormat="false" ht="15" hidden="false" customHeight="false" outlineLevel="0" collapsed="false">
      <c r="B6212" s="53"/>
      <c r="I6212" s="53"/>
      <c r="U6212" s="31" t="n">
        <f aca="false">IF($B6212&lt;&gt;'設定（最初に1回）'!$C$4,N(U6211),IF(COUNTIFS(①今日の在庫を貼る!$B$6:$B$10005,$B6212,①今日の在庫を貼る!$I$6:$I$10005,$I6212)&gt;0,N(U6211),N(U6211)+1))</f>
        <v>2</v>
      </c>
    </row>
    <row r="6213" customFormat="false" ht="15" hidden="false" customHeight="false" outlineLevel="0" collapsed="false">
      <c r="B6213" s="53"/>
      <c r="I6213" s="53"/>
      <c r="U6213" s="31" t="n">
        <f aca="false">IF($B6213&lt;&gt;'設定（最初に1回）'!$C$4,N(U6212),IF(COUNTIFS(①今日の在庫を貼る!$B$6:$B$10005,$B6213,①今日の在庫を貼る!$I$6:$I$10005,$I6213)&gt;0,N(U6212),N(U6212)+1))</f>
        <v>2</v>
      </c>
    </row>
    <row r="6214" customFormat="false" ht="15" hidden="false" customHeight="false" outlineLevel="0" collapsed="false">
      <c r="B6214" s="53"/>
      <c r="I6214" s="53"/>
      <c r="U6214" s="31" t="n">
        <f aca="false">IF($B6214&lt;&gt;'設定（最初に1回）'!$C$4,N(U6213),IF(COUNTIFS(①今日の在庫を貼る!$B$6:$B$10005,$B6214,①今日の在庫を貼る!$I$6:$I$10005,$I6214)&gt;0,N(U6213),N(U6213)+1))</f>
        <v>2</v>
      </c>
    </row>
    <row r="6215" customFormat="false" ht="15" hidden="false" customHeight="false" outlineLevel="0" collapsed="false">
      <c r="B6215" s="53"/>
      <c r="I6215" s="53"/>
      <c r="U6215" s="31" t="n">
        <f aca="false">IF($B6215&lt;&gt;'設定（最初に1回）'!$C$4,N(U6214),IF(COUNTIFS(①今日の在庫を貼る!$B$6:$B$10005,$B6215,①今日の在庫を貼る!$I$6:$I$10005,$I6215)&gt;0,N(U6214),N(U6214)+1))</f>
        <v>2</v>
      </c>
    </row>
    <row r="6216" customFormat="false" ht="15" hidden="false" customHeight="false" outlineLevel="0" collapsed="false">
      <c r="B6216" s="53"/>
      <c r="I6216" s="53"/>
      <c r="U6216" s="31" t="n">
        <f aca="false">IF($B6216&lt;&gt;'設定（最初に1回）'!$C$4,N(U6215),IF(COUNTIFS(①今日の在庫を貼る!$B$6:$B$10005,$B6216,①今日の在庫を貼る!$I$6:$I$10005,$I6216)&gt;0,N(U6215),N(U6215)+1))</f>
        <v>2</v>
      </c>
    </row>
    <row r="6217" customFormat="false" ht="15" hidden="false" customHeight="false" outlineLevel="0" collapsed="false">
      <c r="B6217" s="53"/>
      <c r="I6217" s="53"/>
      <c r="U6217" s="31" t="n">
        <f aca="false">IF($B6217&lt;&gt;'設定（最初に1回）'!$C$4,N(U6216),IF(COUNTIFS(①今日の在庫を貼る!$B$6:$B$10005,$B6217,①今日の在庫を貼る!$I$6:$I$10005,$I6217)&gt;0,N(U6216),N(U6216)+1))</f>
        <v>2</v>
      </c>
    </row>
    <row r="6218" customFormat="false" ht="15" hidden="false" customHeight="false" outlineLevel="0" collapsed="false">
      <c r="B6218" s="53"/>
      <c r="I6218" s="53"/>
      <c r="U6218" s="31" t="n">
        <f aca="false">IF($B6218&lt;&gt;'設定（最初に1回）'!$C$4,N(U6217),IF(COUNTIFS(①今日の在庫を貼る!$B$6:$B$10005,$B6218,①今日の在庫を貼る!$I$6:$I$10005,$I6218)&gt;0,N(U6217),N(U6217)+1))</f>
        <v>2</v>
      </c>
    </row>
    <row r="6219" customFormat="false" ht="15" hidden="false" customHeight="false" outlineLevel="0" collapsed="false">
      <c r="B6219" s="53"/>
      <c r="I6219" s="53"/>
      <c r="U6219" s="31" t="n">
        <f aca="false">IF($B6219&lt;&gt;'設定（最初に1回）'!$C$4,N(U6218),IF(COUNTIFS(①今日の在庫を貼る!$B$6:$B$10005,$B6219,①今日の在庫を貼る!$I$6:$I$10005,$I6219)&gt;0,N(U6218),N(U6218)+1))</f>
        <v>2</v>
      </c>
    </row>
    <row r="6220" customFormat="false" ht="15" hidden="false" customHeight="false" outlineLevel="0" collapsed="false">
      <c r="B6220" s="53"/>
      <c r="I6220" s="53"/>
      <c r="U6220" s="31" t="n">
        <f aca="false">IF($B6220&lt;&gt;'設定（最初に1回）'!$C$4,N(U6219),IF(COUNTIFS(①今日の在庫を貼る!$B$6:$B$10005,$B6220,①今日の在庫を貼る!$I$6:$I$10005,$I6220)&gt;0,N(U6219),N(U6219)+1))</f>
        <v>2</v>
      </c>
    </row>
    <row r="6221" customFormat="false" ht="15" hidden="false" customHeight="false" outlineLevel="0" collapsed="false">
      <c r="B6221" s="53"/>
      <c r="I6221" s="53"/>
      <c r="U6221" s="31" t="n">
        <f aca="false">IF($B6221&lt;&gt;'設定（最初に1回）'!$C$4,N(U6220),IF(COUNTIFS(①今日の在庫を貼る!$B$6:$B$10005,$B6221,①今日の在庫を貼る!$I$6:$I$10005,$I6221)&gt;0,N(U6220),N(U6220)+1))</f>
        <v>2</v>
      </c>
    </row>
    <row r="6222" customFormat="false" ht="15" hidden="false" customHeight="false" outlineLevel="0" collapsed="false">
      <c r="B6222" s="53"/>
      <c r="I6222" s="53"/>
      <c r="U6222" s="31" t="n">
        <f aca="false">IF($B6222&lt;&gt;'設定（最初に1回）'!$C$4,N(U6221),IF(COUNTIFS(①今日の在庫を貼る!$B$6:$B$10005,$B6222,①今日の在庫を貼る!$I$6:$I$10005,$I6222)&gt;0,N(U6221),N(U6221)+1))</f>
        <v>2</v>
      </c>
    </row>
    <row r="6223" customFormat="false" ht="15" hidden="false" customHeight="false" outlineLevel="0" collapsed="false">
      <c r="B6223" s="53"/>
      <c r="I6223" s="53"/>
      <c r="U6223" s="31" t="n">
        <f aca="false">IF($B6223&lt;&gt;'設定（最初に1回）'!$C$4,N(U6222),IF(COUNTIFS(①今日の在庫を貼る!$B$6:$B$10005,$B6223,①今日の在庫を貼る!$I$6:$I$10005,$I6223)&gt;0,N(U6222),N(U6222)+1))</f>
        <v>2</v>
      </c>
    </row>
    <row r="6224" customFormat="false" ht="15" hidden="false" customHeight="false" outlineLevel="0" collapsed="false">
      <c r="B6224" s="53"/>
      <c r="I6224" s="53"/>
      <c r="U6224" s="31" t="n">
        <f aca="false">IF($B6224&lt;&gt;'設定（最初に1回）'!$C$4,N(U6223),IF(COUNTIFS(①今日の在庫を貼る!$B$6:$B$10005,$B6224,①今日の在庫を貼る!$I$6:$I$10005,$I6224)&gt;0,N(U6223),N(U6223)+1))</f>
        <v>2</v>
      </c>
    </row>
    <row r="6225" customFormat="false" ht="15" hidden="false" customHeight="false" outlineLevel="0" collapsed="false">
      <c r="B6225" s="53"/>
      <c r="I6225" s="53"/>
      <c r="U6225" s="31" t="n">
        <f aca="false">IF($B6225&lt;&gt;'設定（最初に1回）'!$C$4,N(U6224),IF(COUNTIFS(①今日の在庫を貼る!$B$6:$B$10005,$B6225,①今日の在庫を貼る!$I$6:$I$10005,$I6225)&gt;0,N(U6224),N(U6224)+1))</f>
        <v>2</v>
      </c>
    </row>
    <row r="6226" customFormat="false" ht="15" hidden="false" customHeight="false" outlineLevel="0" collapsed="false">
      <c r="B6226" s="53"/>
      <c r="I6226" s="53"/>
      <c r="U6226" s="31" t="n">
        <f aca="false">IF($B6226&lt;&gt;'設定（最初に1回）'!$C$4,N(U6225),IF(COUNTIFS(①今日の在庫を貼る!$B$6:$B$10005,$B6226,①今日の在庫を貼る!$I$6:$I$10005,$I6226)&gt;0,N(U6225),N(U6225)+1))</f>
        <v>2</v>
      </c>
    </row>
    <row r="6227" customFormat="false" ht="15" hidden="false" customHeight="false" outlineLevel="0" collapsed="false">
      <c r="B6227" s="53"/>
      <c r="I6227" s="53"/>
      <c r="U6227" s="31" t="n">
        <f aca="false">IF($B6227&lt;&gt;'設定（最初に1回）'!$C$4,N(U6226),IF(COUNTIFS(①今日の在庫を貼る!$B$6:$B$10005,$B6227,①今日の在庫を貼る!$I$6:$I$10005,$I6227)&gt;0,N(U6226),N(U6226)+1))</f>
        <v>2</v>
      </c>
    </row>
    <row r="6228" customFormat="false" ht="15" hidden="false" customHeight="false" outlineLevel="0" collapsed="false">
      <c r="B6228" s="53"/>
      <c r="I6228" s="53"/>
      <c r="U6228" s="31" t="n">
        <f aca="false">IF($B6228&lt;&gt;'設定（最初に1回）'!$C$4,N(U6227),IF(COUNTIFS(①今日の在庫を貼る!$B$6:$B$10005,$B6228,①今日の在庫を貼る!$I$6:$I$10005,$I6228)&gt;0,N(U6227),N(U6227)+1))</f>
        <v>2</v>
      </c>
    </row>
    <row r="6229" customFormat="false" ht="15" hidden="false" customHeight="false" outlineLevel="0" collapsed="false">
      <c r="B6229" s="53"/>
      <c r="I6229" s="53"/>
      <c r="U6229" s="31" t="n">
        <f aca="false">IF($B6229&lt;&gt;'設定（最初に1回）'!$C$4,N(U6228),IF(COUNTIFS(①今日の在庫を貼る!$B$6:$B$10005,$B6229,①今日の在庫を貼る!$I$6:$I$10005,$I6229)&gt;0,N(U6228),N(U6228)+1))</f>
        <v>2</v>
      </c>
    </row>
    <row r="6230" customFormat="false" ht="15" hidden="false" customHeight="false" outlineLevel="0" collapsed="false">
      <c r="B6230" s="53"/>
      <c r="I6230" s="53"/>
      <c r="U6230" s="31" t="n">
        <f aca="false">IF($B6230&lt;&gt;'設定（最初に1回）'!$C$4,N(U6229),IF(COUNTIFS(①今日の在庫を貼る!$B$6:$B$10005,$B6230,①今日の在庫を貼る!$I$6:$I$10005,$I6230)&gt;0,N(U6229),N(U6229)+1))</f>
        <v>2</v>
      </c>
    </row>
    <row r="6231" customFormat="false" ht="15" hidden="false" customHeight="false" outlineLevel="0" collapsed="false">
      <c r="B6231" s="53"/>
      <c r="I6231" s="53"/>
      <c r="U6231" s="31" t="n">
        <f aca="false">IF($B6231&lt;&gt;'設定（最初に1回）'!$C$4,N(U6230),IF(COUNTIFS(①今日の在庫を貼る!$B$6:$B$10005,$B6231,①今日の在庫を貼る!$I$6:$I$10005,$I6231)&gt;0,N(U6230),N(U6230)+1))</f>
        <v>2</v>
      </c>
    </row>
    <row r="6232" customFormat="false" ht="15" hidden="false" customHeight="false" outlineLevel="0" collapsed="false">
      <c r="B6232" s="53"/>
      <c r="I6232" s="53"/>
      <c r="U6232" s="31" t="n">
        <f aca="false">IF($B6232&lt;&gt;'設定（最初に1回）'!$C$4,N(U6231),IF(COUNTIFS(①今日の在庫を貼る!$B$6:$B$10005,$B6232,①今日の在庫を貼る!$I$6:$I$10005,$I6232)&gt;0,N(U6231),N(U6231)+1))</f>
        <v>2</v>
      </c>
    </row>
    <row r="6233" customFormat="false" ht="15" hidden="false" customHeight="false" outlineLevel="0" collapsed="false">
      <c r="B6233" s="53"/>
      <c r="I6233" s="53"/>
      <c r="U6233" s="31" t="n">
        <f aca="false">IF($B6233&lt;&gt;'設定（最初に1回）'!$C$4,N(U6232),IF(COUNTIFS(①今日の在庫を貼る!$B$6:$B$10005,$B6233,①今日の在庫を貼る!$I$6:$I$10005,$I6233)&gt;0,N(U6232),N(U6232)+1))</f>
        <v>2</v>
      </c>
    </row>
    <row r="6234" customFormat="false" ht="15" hidden="false" customHeight="false" outlineLevel="0" collapsed="false">
      <c r="B6234" s="53"/>
      <c r="I6234" s="53"/>
      <c r="U6234" s="31" t="n">
        <f aca="false">IF($B6234&lt;&gt;'設定（最初に1回）'!$C$4,N(U6233),IF(COUNTIFS(①今日の在庫を貼る!$B$6:$B$10005,$B6234,①今日の在庫を貼る!$I$6:$I$10005,$I6234)&gt;0,N(U6233),N(U6233)+1))</f>
        <v>2</v>
      </c>
    </row>
    <row r="6235" customFormat="false" ht="15" hidden="false" customHeight="false" outlineLevel="0" collapsed="false">
      <c r="B6235" s="53"/>
      <c r="I6235" s="53"/>
      <c r="U6235" s="31" t="n">
        <f aca="false">IF($B6235&lt;&gt;'設定（最初に1回）'!$C$4,N(U6234),IF(COUNTIFS(①今日の在庫を貼る!$B$6:$B$10005,$B6235,①今日の在庫を貼る!$I$6:$I$10005,$I6235)&gt;0,N(U6234),N(U6234)+1))</f>
        <v>2</v>
      </c>
    </row>
    <row r="6236" customFormat="false" ht="15" hidden="false" customHeight="false" outlineLevel="0" collapsed="false">
      <c r="B6236" s="53"/>
      <c r="I6236" s="53"/>
      <c r="U6236" s="31" t="n">
        <f aca="false">IF($B6236&lt;&gt;'設定（最初に1回）'!$C$4,N(U6235),IF(COUNTIFS(①今日の在庫を貼る!$B$6:$B$10005,$B6236,①今日の在庫を貼る!$I$6:$I$10005,$I6236)&gt;0,N(U6235),N(U6235)+1))</f>
        <v>2</v>
      </c>
    </row>
    <row r="6237" customFormat="false" ht="15" hidden="false" customHeight="false" outlineLevel="0" collapsed="false">
      <c r="B6237" s="53"/>
      <c r="I6237" s="53"/>
      <c r="U6237" s="31" t="n">
        <f aca="false">IF($B6237&lt;&gt;'設定（最初に1回）'!$C$4,N(U6236),IF(COUNTIFS(①今日の在庫を貼る!$B$6:$B$10005,$B6237,①今日の在庫を貼る!$I$6:$I$10005,$I6237)&gt;0,N(U6236),N(U6236)+1))</f>
        <v>2</v>
      </c>
    </row>
    <row r="6238" customFormat="false" ht="15" hidden="false" customHeight="false" outlineLevel="0" collapsed="false">
      <c r="B6238" s="53"/>
      <c r="I6238" s="53"/>
      <c r="U6238" s="31" t="n">
        <f aca="false">IF($B6238&lt;&gt;'設定（最初に1回）'!$C$4,N(U6237),IF(COUNTIFS(①今日の在庫を貼る!$B$6:$B$10005,$B6238,①今日の在庫を貼る!$I$6:$I$10005,$I6238)&gt;0,N(U6237),N(U6237)+1))</f>
        <v>2</v>
      </c>
    </row>
    <row r="6239" customFormat="false" ht="15" hidden="false" customHeight="false" outlineLevel="0" collapsed="false">
      <c r="B6239" s="53"/>
      <c r="I6239" s="53"/>
      <c r="U6239" s="31" t="n">
        <f aca="false">IF($B6239&lt;&gt;'設定（最初に1回）'!$C$4,N(U6238),IF(COUNTIFS(①今日の在庫を貼る!$B$6:$B$10005,$B6239,①今日の在庫を貼る!$I$6:$I$10005,$I6239)&gt;0,N(U6238),N(U6238)+1))</f>
        <v>2</v>
      </c>
    </row>
    <row r="6240" customFormat="false" ht="15" hidden="false" customHeight="false" outlineLevel="0" collapsed="false">
      <c r="B6240" s="53"/>
      <c r="I6240" s="53"/>
      <c r="U6240" s="31" t="n">
        <f aca="false">IF($B6240&lt;&gt;'設定（最初に1回）'!$C$4,N(U6239),IF(COUNTIFS(①今日の在庫を貼る!$B$6:$B$10005,$B6240,①今日の在庫を貼る!$I$6:$I$10005,$I6240)&gt;0,N(U6239),N(U6239)+1))</f>
        <v>2</v>
      </c>
    </row>
    <row r="6241" customFormat="false" ht="15" hidden="false" customHeight="false" outlineLevel="0" collapsed="false">
      <c r="B6241" s="53"/>
      <c r="I6241" s="53"/>
      <c r="U6241" s="31" t="n">
        <f aca="false">IF($B6241&lt;&gt;'設定（最初に1回）'!$C$4,N(U6240),IF(COUNTIFS(①今日の在庫を貼る!$B$6:$B$10005,$B6241,①今日の在庫を貼る!$I$6:$I$10005,$I6241)&gt;0,N(U6240),N(U6240)+1))</f>
        <v>2</v>
      </c>
    </row>
    <row r="6242" customFormat="false" ht="15" hidden="false" customHeight="false" outlineLevel="0" collapsed="false">
      <c r="B6242" s="53"/>
      <c r="I6242" s="53"/>
      <c r="U6242" s="31" t="n">
        <f aca="false">IF($B6242&lt;&gt;'設定（最初に1回）'!$C$4,N(U6241),IF(COUNTIFS(①今日の在庫を貼る!$B$6:$B$10005,$B6242,①今日の在庫を貼る!$I$6:$I$10005,$I6242)&gt;0,N(U6241),N(U6241)+1))</f>
        <v>2</v>
      </c>
    </row>
    <row r="6243" customFormat="false" ht="15" hidden="false" customHeight="false" outlineLevel="0" collapsed="false">
      <c r="B6243" s="53"/>
      <c r="I6243" s="53"/>
      <c r="U6243" s="31" t="n">
        <f aca="false">IF($B6243&lt;&gt;'設定（最初に1回）'!$C$4,N(U6242),IF(COUNTIFS(①今日の在庫を貼る!$B$6:$B$10005,$B6243,①今日の在庫を貼る!$I$6:$I$10005,$I6243)&gt;0,N(U6242),N(U6242)+1))</f>
        <v>2</v>
      </c>
    </row>
    <row r="6244" customFormat="false" ht="15" hidden="false" customHeight="false" outlineLevel="0" collapsed="false">
      <c r="B6244" s="53"/>
      <c r="I6244" s="53"/>
      <c r="U6244" s="31" t="n">
        <f aca="false">IF($B6244&lt;&gt;'設定（最初に1回）'!$C$4,N(U6243),IF(COUNTIFS(①今日の在庫を貼る!$B$6:$B$10005,$B6244,①今日の在庫を貼る!$I$6:$I$10005,$I6244)&gt;0,N(U6243),N(U6243)+1))</f>
        <v>2</v>
      </c>
    </row>
    <row r="6245" customFormat="false" ht="15" hidden="false" customHeight="false" outlineLevel="0" collapsed="false">
      <c r="B6245" s="53"/>
      <c r="I6245" s="53"/>
      <c r="U6245" s="31" t="n">
        <f aca="false">IF($B6245&lt;&gt;'設定（最初に1回）'!$C$4,N(U6244),IF(COUNTIFS(①今日の在庫を貼る!$B$6:$B$10005,$B6245,①今日の在庫を貼る!$I$6:$I$10005,$I6245)&gt;0,N(U6244),N(U6244)+1))</f>
        <v>2</v>
      </c>
    </row>
    <row r="6246" customFormat="false" ht="15" hidden="false" customHeight="false" outlineLevel="0" collapsed="false">
      <c r="B6246" s="53"/>
      <c r="I6246" s="53"/>
      <c r="U6246" s="31" t="n">
        <f aca="false">IF($B6246&lt;&gt;'設定（最初に1回）'!$C$4,N(U6245),IF(COUNTIFS(①今日の在庫を貼る!$B$6:$B$10005,$B6246,①今日の在庫を貼る!$I$6:$I$10005,$I6246)&gt;0,N(U6245),N(U6245)+1))</f>
        <v>2</v>
      </c>
    </row>
    <row r="6247" customFormat="false" ht="15" hidden="false" customHeight="false" outlineLevel="0" collapsed="false">
      <c r="B6247" s="53"/>
      <c r="I6247" s="53"/>
      <c r="U6247" s="31" t="n">
        <f aca="false">IF($B6247&lt;&gt;'設定（最初に1回）'!$C$4,N(U6246),IF(COUNTIFS(①今日の在庫を貼る!$B$6:$B$10005,$B6247,①今日の在庫を貼る!$I$6:$I$10005,$I6247)&gt;0,N(U6246),N(U6246)+1))</f>
        <v>2</v>
      </c>
    </row>
    <row r="6248" customFormat="false" ht="15" hidden="false" customHeight="false" outlineLevel="0" collapsed="false">
      <c r="B6248" s="53"/>
      <c r="I6248" s="53"/>
      <c r="U6248" s="31" t="n">
        <f aca="false">IF($B6248&lt;&gt;'設定（最初に1回）'!$C$4,N(U6247),IF(COUNTIFS(①今日の在庫を貼る!$B$6:$B$10005,$B6248,①今日の在庫を貼る!$I$6:$I$10005,$I6248)&gt;0,N(U6247),N(U6247)+1))</f>
        <v>2</v>
      </c>
    </row>
    <row r="6249" customFormat="false" ht="15" hidden="false" customHeight="false" outlineLevel="0" collapsed="false">
      <c r="B6249" s="53"/>
      <c r="I6249" s="53"/>
      <c r="U6249" s="31" t="n">
        <f aca="false">IF($B6249&lt;&gt;'設定（最初に1回）'!$C$4,N(U6248),IF(COUNTIFS(①今日の在庫を貼る!$B$6:$B$10005,$B6249,①今日の在庫を貼る!$I$6:$I$10005,$I6249)&gt;0,N(U6248),N(U6248)+1))</f>
        <v>2</v>
      </c>
    </row>
    <row r="6250" customFormat="false" ht="15" hidden="false" customHeight="false" outlineLevel="0" collapsed="false">
      <c r="B6250" s="53"/>
      <c r="I6250" s="53"/>
      <c r="U6250" s="31" t="n">
        <f aca="false">IF($B6250&lt;&gt;'設定（最初に1回）'!$C$4,N(U6249),IF(COUNTIFS(①今日の在庫を貼る!$B$6:$B$10005,$B6250,①今日の在庫を貼る!$I$6:$I$10005,$I6250)&gt;0,N(U6249),N(U6249)+1))</f>
        <v>2</v>
      </c>
    </row>
    <row r="6251" customFormat="false" ht="15" hidden="false" customHeight="false" outlineLevel="0" collapsed="false">
      <c r="B6251" s="53"/>
      <c r="I6251" s="53"/>
      <c r="U6251" s="31" t="n">
        <f aca="false">IF($B6251&lt;&gt;'設定（最初に1回）'!$C$4,N(U6250),IF(COUNTIFS(①今日の在庫を貼る!$B$6:$B$10005,$B6251,①今日の在庫を貼る!$I$6:$I$10005,$I6251)&gt;0,N(U6250),N(U6250)+1))</f>
        <v>2</v>
      </c>
    </row>
    <row r="6252" customFormat="false" ht="15" hidden="false" customHeight="false" outlineLevel="0" collapsed="false">
      <c r="B6252" s="53"/>
      <c r="I6252" s="53"/>
      <c r="U6252" s="31" t="n">
        <f aca="false">IF($B6252&lt;&gt;'設定（最初に1回）'!$C$4,N(U6251),IF(COUNTIFS(①今日の在庫を貼る!$B$6:$B$10005,$B6252,①今日の在庫を貼る!$I$6:$I$10005,$I6252)&gt;0,N(U6251),N(U6251)+1))</f>
        <v>2</v>
      </c>
    </row>
    <row r="6253" customFormat="false" ht="15" hidden="false" customHeight="false" outlineLevel="0" collapsed="false">
      <c r="B6253" s="53"/>
      <c r="I6253" s="53"/>
      <c r="U6253" s="31" t="n">
        <f aca="false">IF($B6253&lt;&gt;'設定（最初に1回）'!$C$4,N(U6252),IF(COUNTIFS(①今日の在庫を貼る!$B$6:$B$10005,$B6253,①今日の在庫を貼る!$I$6:$I$10005,$I6253)&gt;0,N(U6252),N(U6252)+1))</f>
        <v>2</v>
      </c>
    </row>
    <row r="6254" customFormat="false" ht="15" hidden="false" customHeight="false" outlineLevel="0" collapsed="false">
      <c r="B6254" s="53"/>
      <c r="I6254" s="53"/>
      <c r="U6254" s="31" t="n">
        <f aca="false">IF($B6254&lt;&gt;'設定（最初に1回）'!$C$4,N(U6253),IF(COUNTIFS(①今日の在庫を貼る!$B$6:$B$10005,$B6254,①今日の在庫を貼る!$I$6:$I$10005,$I6254)&gt;0,N(U6253),N(U6253)+1))</f>
        <v>2</v>
      </c>
    </row>
    <row r="6255" customFormat="false" ht="15" hidden="false" customHeight="false" outlineLevel="0" collapsed="false">
      <c r="B6255" s="53"/>
      <c r="I6255" s="53"/>
      <c r="U6255" s="31" t="n">
        <f aca="false">IF($B6255&lt;&gt;'設定（最初に1回）'!$C$4,N(U6254),IF(COUNTIFS(①今日の在庫を貼る!$B$6:$B$10005,$B6255,①今日の在庫を貼る!$I$6:$I$10005,$I6255)&gt;0,N(U6254),N(U6254)+1))</f>
        <v>2</v>
      </c>
    </row>
    <row r="6256" customFormat="false" ht="15" hidden="false" customHeight="false" outlineLevel="0" collapsed="false">
      <c r="B6256" s="53"/>
      <c r="I6256" s="53"/>
      <c r="U6256" s="31" t="n">
        <f aca="false">IF($B6256&lt;&gt;'設定（最初に1回）'!$C$4,N(U6255),IF(COUNTIFS(①今日の在庫を貼る!$B$6:$B$10005,$B6256,①今日の在庫を貼る!$I$6:$I$10005,$I6256)&gt;0,N(U6255),N(U6255)+1))</f>
        <v>2</v>
      </c>
    </row>
    <row r="6257" customFormat="false" ht="15" hidden="false" customHeight="false" outlineLevel="0" collapsed="false">
      <c r="B6257" s="53"/>
      <c r="I6257" s="53"/>
      <c r="U6257" s="31" t="n">
        <f aca="false">IF($B6257&lt;&gt;'設定（最初に1回）'!$C$4,N(U6256),IF(COUNTIFS(①今日の在庫を貼る!$B$6:$B$10005,$B6257,①今日の在庫を貼る!$I$6:$I$10005,$I6257)&gt;0,N(U6256),N(U6256)+1))</f>
        <v>2</v>
      </c>
    </row>
    <row r="6258" customFormat="false" ht="15" hidden="false" customHeight="false" outlineLevel="0" collapsed="false">
      <c r="B6258" s="53"/>
      <c r="I6258" s="53"/>
      <c r="U6258" s="31" t="n">
        <f aca="false">IF($B6258&lt;&gt;'設定（最初に1回）'!$C$4,N(U6257),IF(COUNTIFS(①今日の在庫を貼る!$B$6:$B$10005,$B6258,①今日の在庫を貼る!$I$6:$I$10005,$I6258)&gt;0,N(U6257),N(U6257)+1))</f>
        <v>2</v>
      </c>
    </row>
    <row r="6259" customFormat="false" ht="15" hidden="false" customHeight="false" outlineLevel="0" collapsed="false">
      <c r="B6259" s="53"/>
      <c r="I6259" s="53"/>
      <c r="U6259" s="31" t="n">
        <f aca="false">IF($B6259&lt;&gt;'設定（最初に1回）'!$C$4,N(U6258),IF(COUNTIFS(①今日の在庫を貼る!$B$6:$B$10005,$B6259,①今日の在庫を貼る!$I$6:$I$10005,$I6259)&gt;0,N(U6258),N(U6258)+1))</f>
        <v>2</v>
      </c>
    </row>
    <row r="6260" customFormat="false" ht="15" hidden="false" customHeight="false" outlineLevel="0" collapsed="false">
      <c r="B6260" s="53"/>
      <c r="I6260" s="53"/>
      <c r="U6260" s="31" t="n">
        <f aca="false">IF($B6260&lt;&gt;'設定（最初に1回）'!$C$4,N(U6259),IF(COUNTIFS(①今日の在庫を貼る!$B$6:$B$10005,$B6260,①今日の在庫を貼る!$I$6:$I$10005,$I6260)&gt;0,N(U6259),N(U6259)+1))</f>
        <v>2</v>
      </c>
    </row>
    <row r="6261" customFormat="false" ht="15" hidden="false" customHeight="false" outlineLevel="0" collapsed="false">
      <c r="B6261" s="53"/>
      <c r="I6261" s="53"/>
      <c r="U6261" s="31" t="n">
        <f aca="false">IF($B6261&lt;&gt;'設定（最初に1回）'!$C$4,N(U6260),IF(COUNTIFS(①今日の在庫を貼る!$B$6:$B$10005,$B6261,①今日の在庫を貼る!$I$6:$I$10005,$I6261)&gt;0,N(U6260),N(U6260)+1))</f>
        <v>2</v>
      </c>
    </row>
    <row r="6262" customFormat="false" ht="15" hidden="false" customHeight="false" outlineLevel="0" collapsed="false">
      <c r="B6262" s="53"/>
      <c r="I6262" s="53"/>
      <c r="U6262" s="31" t="n">
        <f aca="false">IF($B6262&lt;&gt;'設定（最初に1回）'!$C$4,N(U6261),IF(COUNTIFS(①今日の在庫を貼る!$B$6:$B$10005,$B6262,①今日の在庫を貼る!$I$6:$I$10005,$I6262)&gt;0,N(U6261),N(U6261)+1))</f>
        <v>2</v>
      </c>
    </row>
    <row r="6263" customFormat="false" ht="15" hidden="false" customHeight="false" outlineLevel="0" collapsed="false">
      <c r="B6263" s="53"/>
      <c r="I6263" s="53"/>
      <c r="U6263" s="31" t="n">
        <f aca="false">IF($B6263&lt;&gt;'設定（最初に1回）'!$C$4,N(U6262),IF(COUNTIFS(①今日の在庫を貼る!$B$6:$B$10005,$B6263,①今日の在庫を貼る!$I$6:$I$10005,$I6263)&gt;0,N(U6262),N(U6262)+1))</f>
        <v>2</v>
      </c>
    </row>
    <row r="6264" customFormat="false" ht="15" hidden="false" customHeight="false" outlineLevel="0" collapsed="false">
      <c r="B6264" s="53"/>
      <c r="I6264" s="53"/>
      <c r="U6264" s="31" t="n">
        <f aca="false">IF($B6264&lt;&gt;'設定（最初に1回）'!$C$4,N(U6263),IF(COUNTIFS(①今日の在庫を貼る!$B$6:$B$10005,$B6264,①今日の在庫を貼る!$I$6:$I$10005,$I6264)&gt;0,N(U6263),N(U6263)+1))</f>
        <v>2</v>
      </c>
    </row>
    <row r="6265" customFormat="false" ht="15" hidden="false" customHeight="false" outlineLevel="0" collapsed="false">
      <c r="B6265" s="53"/>
      <c r="I6265" s="53"/>
      <c r="U6265" s="31" t="n">
        <f aca="false">IF($B6265&lt;&gt;'設定（最初に1回）'!$C$4,N(U6264),IF(COUNTIFS(①今日の在庫を貼る!$B$6:$B$10005,$B6265,①今日の在庫を貼る!$I$6:$I$10005,$I6265)&gt;0,N(U6264),N(U6264)+1))</f>
        <v>2</v>
      </c>
    </row>
    <row r="6266" customFormat="false" ht="15" hidden="false" customHeight="false" outlineLevel="0" collapsed="false">
      <c r="B6266" s="53"/>
      <c r="I6266" s="53"/>
      <c r="U6266" s="31" t="n">
        <f aca="false">IF($B6266&lt;&gt;'設定（最初に1回）'!$C$4,N(U6265),IF(COUNTIFS(①今日の在庫を貼る!$B$6:$B$10005,$B6266,①今日の在庫を貼る!$I$6:$I$10005,$I6266)&gt;0,N(U6265),N(U6265)+1))</f>
        <v>2</v>
      </c>
    </row>
    <row r="6267" customFormat="false" ht="15" hidden="false" customHeight="false" outlineLevel="0" collapsed="false">
      <c r="B6267" s="53"/>
      <c r="I6267" s="53"/>
      <c r="U6267" s="31" t="n">
        <f aca="false">IF($B6267&lt;&gt;'設定（最初に1回）'!$C$4,N(U6266),IF(COUNTIFS(①今日の在庫を貼る!$B$6:$B$10005,$B6267,①今日の在庫を貼る!$I$6:$I$10005,$I6267)&gt;0,N(U6266),N(U6266)+1))</f>
        <v>2</v>
      </c>
    </row>
    <row r="6268" customFormat="false" ht="15" hidden="false" customHeight="false" outlineLevel="0" collapsed="false">
      <c r="B6268" s="53"/>
      <c r="I6268" s="53"/>
      <c r="U6268" s="31" t="n">
        <f aca="false">IF($B6268&lt;&gt;'設定（最初に1回）'!$C$4,N(U6267),IF(COUNTIFS(①今日の在庫を貼る!$B$6:$B$10005,$B6268,①今日の在庫を貼る!$I$6:$I$10005,$I6268)&gt;0,N(U6267),N(U6267)+1))</f>
        <v>2</v>
      </c>
    </row>
    <row r="6269" customFormat="false" ht="15" hidden="false" customHeight="false" outlineLevel="0" collapsed="false">
      <c r="B6269" s="53"/>
      <c r="I6269" s="53"/>
      <c r="U6269" s="31" t="n">
        <f aca="false">IF($B6269&lt;&gt;'設定（最初に1回）'!$C$4,N(U6268),IF(COUNTIFS(①今日の在庫を貼る!$B$6:$B$10005,$B6269,①今日の在庫を貼る!$I$6:$I$10005,$I6269)&gt;0,N(U6268),N(U6268)+1))</f>
        <v>2</v>
      </c>
    </row>
    <row r="6270" customFormat="false" ht="15" hidden="false" customHeight="false" outlineLevel="0" collapsed="false">
      <c r="B6270" s="53"/>
      <c r="I6270" s="53"/>
      <c r="U6270" s="31" t="n">
        <f aca="false">IF($B6270&lt;&gt;'設定（最初に1回）'!$C$4,N(U6269),IF(COUNTIFS(①今日の在庫を貼る!$B$6:$B$10005,$B6270,①今日の在庫を貼る!$I$6:$I$10005,$I6270)&gt;0,N(U6269),N(U6269)+1))</f>
        <v>2</v>
      </c>
    </row>
    <row r="6271" customFormat="false" ht="15" hidden="false" customHeight="false" outlineLevel="0" collapsed="false">
      <c r="B6271" s="53"/>
      <c r="I6271" s="53"/>
      <c r="U6271" s="31" t="n">
        <f aca="false">IF($B6271&lt;&gt;'設定（最初に1回）'!$C$4,N(U6270),IF(COUNTIFS(①今日の在庫を貼る!$B$6:$B$10005,$B6271,①今日の在庫を貼る!$I$6:$I$10005,$I6271)&gt;0,N(U6270),N(U6270)+1))</f>
        <v>2</v>
      </c>
    </row>
    <row r="6272" customFormat="false" ht="15" hidden="false" customHeight="false" outlineLevel="0" collapsed="false">
      <c r="B6272" s="53"/>
      <c r="I6272" s="53"/>
      <c r="U6272" s="31" t="n">
        <f aca="false">IF($B6272&lt;&gt;'設定（最初に1回）'!$C$4,N(U6271),IF(COUNTIFS(①今日の在庫を貼る!$B$6:$B$10005,$B6272,①今日の在庫を貼る!$I$6:$I$10005,$I6272)&gt;0,N(U6271),N(U6271)+1))</f>
        <v>2</v>
      </c>
    </row>
    <row r="6273" customFormat="false" ht="15" hidden="false" customHeight="false" outlineLevel="0" collapsed="false">
      <c r="B6273" s="53"/>
      <c r="I6273" s="53"/>
      <c r="U6273" s="31" t="n">
        <f aca="false">IF($B6273&lt;&gt;'設定（最初に1回）'!$C$4,N(U6272),IF(COUNTIFS(①今日の在庫を貼る!$B$6:$B$10005,$B6273,①今日の在庫を貼る!$I$6:$I$10005,$I6273)&gt;0,N(U6272),N(U6272)+1))</f>
        <v>2</v>
      </c>
    </row>
    <row r="6274" customFormat="false" ht="15" hidden="false" customHeight="false" outlineLevel="0" collapsed="false">
      <c r="B6274" s="53"/>
      <c r="I6274" s="53"/>
      <c r="U6274" s="31" t="n">
        <f aca="false">IF($B6274&lt;&gt;'設定（最初に1回）'!$C$4,N(U6273),IF(COUNTIFS(①今日の在庫を貼る!$B$6:$B$10005,$B6274,①今日の在庫を貼る!$I$6:$I$10005,$I6274)&gt;0,N(U6273),N(U6273)+1))</f>
        <v>2</v>
      </c>
    </row>
    <row r="6275" customFormat="false" ht="15" hidden="false" customHeight="false" outlineLevel="0" collapsed="false">
      <c r="B6275" s="53"/>
      <c r="I6275" s="53"/>
      <c r="U6275" s="31" t="n">
        <f aca="false">IF($B6275&lt;&gt;'設定（最初に1回）'!$C$4,N(U6274),IF(COUNTIFS(①今日の在庫を貼る!$B$6:$B$10005,$B6275,①今日の在庫を貼る!$I$6:$I$10005,$I6275)&gt;0,N(U6274),N(U6274)+1))</f>
        <v>2</v>
      </c>
    </row>
    <row r="6276" customFormat="false" ht="15" hidden="false" customHeight="false" outlineLevel="0" collapsed="false">
      <c r="B6276" s="53"/>
      <c r="I6276" s="53"/>
      <c r="U6276" s="31" t="n">
        <f aca="false">IF($B6276&lt;&gt;'設定（最初に1回）'!$C$4,N(U6275),IF(COUNTIFS(①今日の在庫を貼る!$B$6:$B$10005,$B6276,①今日の在庫を貼る!$I$6:$I$10005,$I6276)&gt;0,N(U6275),N(U6275)+1))</f>
        <v>2</v>
      </c>
    </row>
    <row r="6277" customFormat="false" ht="15" hidden="false" customHeight="false" outlineLevel="0" collapsed="false">
      <c r="B6277" s="53"/>
      <c r="I6277" s="53"/>
      <c r="U6277" s="31" t="n">
        <f aca="false">IF($B6277&lt;&gt;'設定（最初に1回）'!$C$4,N(U6276),IF(COUNTIFS(①今日の在庫を貼る!$B$6:$B$10005,$B6277,①今日の在庫を貼る!$I$6:$I$10005,$I6277)&gt;0,N(U6276),N(U6276)+1))</f>
        <v>2</v>
      </c>
    </row>
    <row r="6278" customFormat="false" ht="15" hidden="false" customHeight="false" outlineLevel="0" collapsed="false">
      <c r="B6278" s="53"/>
      <c r="I6278" s="53"/>
      <c r="U6278" s="31" t="n">
        <f aca="false">IF($B6278&lt;&gt;'設定（最初に1回）'!$C$4,N(U6277),IF(COUNTIFS(①今日の在庫を貼る!$B$6:$B$10005,$B6278,①今日の在庫を貼る!$I$6:$I$10005,$I6278)&gt;0,N(U6277),N(U6277)+1))</f>
        <v>2</v>
      </c>
    </row>
    <row r="6279" customFormat="false" ht="15" hidden="false" customHeight="false" outlineLevel="0" collapsed="false">
      <c r="B6279" s="53"/>
      <c r="I6279" s="53"/>
      <c r="U6279" s="31" t="n">
        <f aca="false">IF($B6279&lt;&gt;'設定（最初に1回）'!$C$4,N(U6278),IF(COUNTIFS(①今日の在庫を貼る!$B$6:$B$10005,$B6279,①今日の在庫を貼る!$I$6:$I$10005,$I6279)&gt;0,N(U6278),N(U6278)+1))</f>
        <v>2</v>
      </c>
    </row>
    <row r="6280" customFormat="false" ht="15" hidden="false" customHeight="false" outlineLevel="0" collapsed="false">
      <c r="B6280" s="53"/>
      <c r="I6280" s="53"/>
      <c r="U6280" s="31" t="n">
        <f aca="false">IF($B6280&lt;&gt;'設定（最初に1回）'!$C$4,N(U6279),IF(COUNTIFS(①今日の在庫を貼る!$B$6:$B$10005,$B6280,①今日の在庫を貼る!$I$6:$I$10005,$I6280)&gt;0,N(U6279),N(U6279)+1))</f>
        <v>2</v>
      </c>
    </row>
    <row r="6281" customFormat="false" ht="15" hidden="false" customHeight="false" outlineLevel="0" collapsed="false">
      <c r="B6281" s="53"/>
      <c r="I6281" s="53"/>
      <c r="U6281" s="31" t="n">
        <f aca="false">IF($B6281&lt;&gt;'設定（最初に1回）'!$C$4,N(U6280),IF(COUNTIFS(①今日の在庫を貼る!$B$6:$B$10005,$B6281,①今日の在庫を貼る!$I$6:$I$10005,$I6281)&gt;0,N(U6280),N(U6280)+1))</f>
        <v>2</v>
      </c>
    </row>
    <row r="6282" customFormat="false" ht="15" hidden="false" customHeight="false" outlineLevel="0" collapsed="false">
      <c r="B6282" s="53"/>
      <c r="I6282" s="53"/>
      <c r="U6282" s="31" t="n">
        <f aca="false">IF($B6282&lt;&gt;'設定（最初に1回）'!$C$4,N(U6281),IF(COUNTIFS(①今日の在庫を貼る!$B$6:$B$10005,$B6282,①今日の在庫を貼る!$I$6:$I$10005,$I6282)&gt;0,N(U6281),N(U6281)+1))</f>
        <v>2</v>
      </c>
    </row>
    <row r="6283" customFormat="false" ht="15" hidden="false" customHeight="false" outlineLevel="0" collapsed="false">
      <c r="B6283" s="53"/>
      <c r="I6283" s="53"/>
      <c r="U6283" s="31" t="n">
        <f aca="false">IF($B6283&lt;&gt;'設定（最初に1回）'!$C$4,N(U6282),IF(COUNTIFS(①今日の在庫を貼る!$B$6:$B$10005,$B6283,①今日の在庫を貼る!$I$6:$I$10005,$I6283)&gt;0,N(U6282),N(U6282)+1))</f>
        <v>2</v>
      </c>
    </row>
    <row r="6284" customFormat="false" ht="15" hidden="false" customHeight="false" outlineLevel="0" collapsed="false">
      <c r="B6284" s="53"/>
      <c r="I6284" s="53"/>
      <c r="U6284" s="31" t="n">
        <f aca="false">IF($B6284&lt;&gt;'設定（最初に1回）'!$C$4,N(U6283),IF(COUNTIFS(①今日の在庫を貼る!$B$6:$B$10005,$B6284,①今日の在庫を貼る!$I$6:$I$10005,$I6284)&gt;0,N(U6283),N(U6283)+1))</f>
        <v>2</v>
      </c>
    </row>
    <row r="6285" customFormat="false" ht="15" hidden="false" customHeight="false" outlineLevel="0" collapsed="false">
      <c r="B6285" s="53"/>
      <c r="I6285" s="53"/>
      <c r="U6285" s="31" t="n">
        <f aca="false">IF($B6285&lt;&gt;'設定（最初に1回）'!$C$4,N(U6284),IF(COUNTIFS(①今日の在庫を貼る!$B$6:$B$10005,$B6285,①今日の在庫を貼る!$I$6:$I$10005,$I6285)&gt;0,N(U6284),N(U6284)+1))</f>
        <v>2</v>
      </c>
    </row>
    <row r="6286" customFormat="false" ht="15" hidden="false" customHeight="false" outlineLevel="0" collapsed="false">
      <c r="B6286" s="53"/>
      <c r="I6286" s="53"/>
      <c r="U6286" s="31" t="n">
        <f aca="false">IF($B6286&lt;&gt;'設定（最初に1回）'!$C$4,N(U6285),IF(COUNTIFS(①今日の在庫を貼る!$B$6:$B$10005,$B6286,①今日の在庫を貼る!$I$6:$I$10005,$I6286)&gt;0,N(U6285),N(U6285)+1))</f>
        <v>2</v>
      </c>
    </row>
    <row r="6287" customFormat="false" ht="15" hidden="false" customHeight="false" outlineLevel="0" collapsed="false">
      <c r="B6287" s="53"/>
      <c r="I6287" s="53"/>
      <c r="U6287" s="31" t="n">
        <f aca="false">IF($B6287&lt;&gt;'設定（最初に1回）'!$C$4,N(U6286),IF(COUNTIFS(①今日の在庫を貼る!$B$6:$B$10005,$B6287,①今日の在庫を貼る!$I$6:$I$10005,$I6287)&gt;0,N(U6286),N(U6286)+1))</f>
        <v>2</v>
      </c>
    </row>
    <row r="6288" customFormat="false" ht="15" hidden="false" customHeight="false" outlineLevel="0" collapsed="false">
      <c r="B6288" s="53"/>
      <c r="I6288" s="53"/>
      <c r="U6288" s="31" t="n">
        <f aca="false">IF($B6288&lt;&gt;'設定（最初に1回）'!$C$4,N(U6287),IF(COUNTIFS(①今日の在庫を貼る!$B$6:$B$10005,$B6288,①今日の在庫を貼る!$I$6:$I$10005,$I6288)&gt;0,N(U6287),N(U6287)+1))</f>
        <v>2</v>
      </c>
    </row>
    <row r="6289" customFormat="false" ht="15" hidden="false" customHeight="false" outlineLevel="0" collapsed="false">
      <c r="B6289" s="53"/>
      <c r="I6289" s="53"/>
      <c r="U6289" s="31" t="n">
        <f aca="false">IF($B6289&lt;&gt;'設定（最初に1回）'!$C$4,N(U6288),IF(COUNTIFS(①今日の在庫を貼る!$B$6:$B$10005,$B6289,①今日の在庫を貼る!$I$6:$I$10005,$I6289)&gt;0,N(U6288),N(U6288)+1))</f>
        <v>2</v>
      </c>
    </row>
    <row r="6290" customFormat="false" ht="15" hidden="false" customHeight="false" outlineLevel="0" collapsed="false">
      <c r="B6290" s="53"/>
      <c r="I6290" s="53"/>
      <c r="U6290" s="31" t="n">
        <f aca="false">IF($B6290&lt;&gt;'設定（最初に1回）'!$C$4,N(U6289),IF(COUNTIFS(①今日の在庫を貼る!$B$6:$B$10005,$B6290,①今日の在庫を貼る!$I$6:$I$10005,$I6290)&gt;0,N(U6289),N(U6289)+1))</f>
        <v>2</v>
      </c>
    </row>
    <row r="6291" customFormat="false" ht="15" hidden="false" customHeight="false" outlineLevel="0" collapsed="false">
      <c r="B6291" s="53"/>
      <c r="I6291" s="53"/>
      <c r="U6291" s="31" t="n">
        <f aca="false">IF($B6291&lt;&gt;'設定（最初に1回）'!$C$4,N(U6290),IF(COUNTIFS(①今日の在庫を貼る!$B$6:$B$10005,$B6291,①今日の在庫を貼る!$I$6:$I$10005,$I6291)&gt;0,N(U6290),N(U6290)+1))</f>
        <v>2</v>
      </c>
    </row>
    <row r="6292" customFormat="false" ht="15" hidden="false" customHeight="false" outlineLevel="0" collapsed="false">
      <c r="B6292" s="53"/>
      <c r="I6292" s="53"/>
      <c r="U6292" s="31" t="n">
        <f aca="false">IF($B6292&lt;&gt;'設定（最初に1回）'!$C$4,N(U6291),IF(COUNTIFS(①今日の在庫を貼る!$B$6:$B$10005,$B6292,①今日の在庫を貼る!$I$6:$I$10005,$I6292)&gt;0,N(U6291),N(U6291)+1))</f>
        <v>2</v>
      </c>
    </row>
    <row r="6293" customFormat="false" ht="15" hidden="false" customHeight="false" outlineLevel="0" collapsed="false">
      <c r="B6293" s="53"/>
      <c r="I6293" s="53"/>
      <c r="U6293" s="31" t="n">
        <f aca="false">IF($B6293&lt;&gt;'設定（最初に1回）'!$C$4,N(U6292),IF(COUNTIFS(①今日の在庫を貼る!$B$6:$B$10005,$B6293,①今日の在庫を貼る!$I$6:$I$10005,$I6293)&gt;0,N(U6292),N(U6292)+1))</f>
        <v>2</v>
      </c>
    </row>
    <row r="6294" customFormat="false" ht="15" hidden="false" customHeight="false" outlineLevel="0" collapsed="false">
      <c r="B6294" s="53"/>
      <c r="I6294" s="53"/>
      <c r="U6294" s="31" t="n">
        <f aca="false">IF($B6294&lt;&gt;'設定（最初に1回）'!$C$4,N(U6293),IF(COUNTIFS(①今日の在庫を貼る!$B$6:$B$10005,$B6294,①今日の在庫を貼る!$I$6:$I$10005,$I6294)&gt;0,N(U6293),N(U6293)+1))</f>
        <v>2</v>
      </c>
    </row>
    <row r="6295" customFormat="false" ht="15" hidden="false" customHeight="false" outlineLevel="0" collapsed="false">
      <c r="B6295" s="53"/>
      <c r="I6295" s="53"/>
      <c r="U6295" s="31" t="n">
        <f aca="false">IF($B6295&lt;&gt;'設定（最初に1回）'!$C$4,N(U6294),IF(COUNTIFS(①今日の在庫を貼る!$B$6:$B$10005,$B6295,①今日の在庫を貼る!$I$6:$I$10005,$I6295)&gt;0,N(U6294),N(U6294)+1))</f>
        <v>2</v>
      </c>
    </row>
    <row r="6296" customFormat="false" ht="15" hidden="false" customHeight="false" outlineLevel="0" collapsed="false">
      <c r="B6296" s="53"/>
      <c r="I6296" s="53"/>
      <c r="U6296" s="31" t="n">
        <f aca="false">IF($B6296&lt;&gt;'設定（最初に1回）'!$C$4,N(U6295),IF(COUNTIFS(①今日の在庫を貼る!$B$6:$B$10005,$B6296,①今日の在庫を貼る!$I$6:$I$10005,$I6296)&gt;0,N(U6295),N(U6295)+1))</f>
        <v>2</v>
      </c>
    </row>
    <row r="6297" customFormat="false" ht="15" hidden="false" customHeight="false" outlineLevel="0" collapsed="false">
      <c r="B6297" s="53"/>
      <c r="I6297" s="53"/>
      <c r="U6297" s="31" t="n">
        <f aca="false">IF($B6297&lt;&gt;'設定（最初に1回）'!$C$4,N(U6296),IF(COUNTIFS(①今日の在庫を貼る!$B$6:$B$10005,$B6297,①今日の在庫を貼る!$I$6:$I$10005,$I6297)&gt;0,N(U6296),N(U6296)+1))</f>
        <v>2</v>
      </c>
    </row>
    <row r="6298" customFormat="false" ht="15" hidden="false" customHeight="false" outlineLevel="0" collapsed="false">
      <c r="B6298" s="53"/>
      <c r="I6298" s="53"/>
      <c r="U6298" s="31" t="n">
        <f aca="false">IF($B6298&lt;&gt;'設定（最初に1回）'!$C$4,N(U6297),IF(COUNTIFS(①今日の在庫を貼る!$B$6:$B$10005,$B6298,①今日の在庫を貼る!$I$6:$I$10005,$I6298)&gt;0,N(U6297),N(U6297)+1))</f>
        <v>2</v>
      </c>
    </row>
    <row r="6299" customFormat="false" ht="15" hidden="false" customHeight="false" outlineLevel="0" collapsed="false">
      <c r="B6299" s="53"/>
      <c r="I6299" s="53"/>
      <c r="U6299" s="31" t="n">
        <f aca="false">IF($B6299&lt;&gt;'設定（最初に1回）'!$C$4,N(U6298),IF(COUNTIFS(①今日の在庫を貼る!$B$6:$B$10005,$B6299,①今日の在庫を貼る!$I$6:$I$10005,$I6299)&gt;0,N(U6298),N(U6298)+1))</f>
        <v>2</v>
      </c>
    </row>
    <row r="6300" customFormat="false" ht="15" hidden="false" customHeight="false" outlineLevel="0" collapsed="false">
      <c r="B6300" s="53"/>
      <c r="I6300" s="53"/>
      <c r="U6300" s="31" t="n">
        <f aca="false">IF($B6300&lt;&gt;'設定（最初に1回）'!$C$4,N(U6299),IF(COUNTIFS(①今日の在庫を貼る!$B$6:$B$10005,$B6300,①今日の在庫を貼る!$I$6:$I$10005,$I6300)&gt;0,N(U6299),N(U6299)+1))</f>
        <v>2</v>
      </c>
    </row>
    <row r="6301" customFormat="false" ht="15" hidden="false" customHeight="false" outlineLevel="0" collapsed="false">
      <c r="B6301" s="53"/>
      <c r="I6301" s="53"/>
      <c r="U6301" s="31" t="n">
        <f aca="false">IF($B6301&lt;&gt;'設定（最初に1回）'!$C$4,N(U6300),IF(COUNTIFS(①今日の在庫を貼る!$B$6:$B$10005,$B6301,①今日の在庫を貼る!$I$6:$I$10005,$I6301)&gt;0,N(U6300),N(U6300)+1))</f>
        <v>2</v>
      </c>
    </row>
    <row r="6302" customFormat="false" ht="15" hidden="false" customHeight="false" outlineLevel="0" collapsed="false">
      <c r="B6302" s="53"/>
      <c r="I6302" s="53"/>
      <c r="U6302" s="31" t="n">
        <f aca="false">IF($B6302&lt;&gt;'設定（最初に1回）'!$C$4,N(U6301),IF(COUNTIFS(①今日の在庫を貼る!$B$6:$B$10005,$B6302,①今日の在庫を貼る!$I$6:$I$10005,$I6302)&gt;0,N(U6301),N(U6301)+1))</f>
        <v>2</v>
      </c>
    </row>
    <row r="6303" customFormat="false" ht="15" hidden="false" customHeight="false" outlineLevel="0" collapsed="false">
      <c r="B6303" s="53"/>
      <c r="I6303" s="53"/>
      <c r="U6303" s="31" t="n">
        <f aca="false">IF($B6303&lt;&gt;'設定（最初に1回）'!$C$4,N(U6302),IF(COUNTIFS(①今日の在庫を貼る!$B$6:$B$10005,$B6303,①今日の在庫を貼る!$I$6:$I$10005,$I6303)&gt;0,N(U6302),N(U6302)+1))</f>
        <v>2</v>
      </c>
    </row>
    <row r="6304" customFormat="false" ht="15" hidden="false" customHeight="false" outlineLevel="0" collapsed="false">
      <c r="B6304" s="53"/>
      <c r="I6304" s="53"/>
      <c r="U6304" s="31" t="n">
        <f aca="false">IF($B6304&lt;&gt;'設定（最初に1回）'!$C$4,N(U6303),IF(COUNTIFS(①今日の在庫を貼る!$B$6:$B$10005,$B6304,①今日の在庫を貼る!$I$6:$I$10005,$I6304)&gt;0,N(U6303),N(U6303)+1))</f>
        <v>2</v>
      </c>
    </row>
    <row r="6305" customFormat="false" ht="15" hidden="false" customHeight="false" outlineLevel="0" collapsed="false">
      <c r="B6305" s="53"/>
      <c r="I6305" s="53"/>
      <c r="U6305" s="31" t="n">
        <f aca="false">IF($B6305&lt;&gt;'設定（最初に1回）'!$C$4,N(U6304),IF(COUNTIFS(①今日の在庫を貼る!$B$6:$B$10005,$B6305,①今日の在庫を貼る!$I$6:$I$10005,$I6305)&gt;0,N(U6304),N(U6304)+1))</f>
        <v>2</v>
      </c>
    </row>
    <row r="6306" customFormat="false" ht="15" hidden="false" customHeight="false" outlineLevel="0" collapsed="false">
      <c r="B6306" s="53"/>
      <c r="I6306" s="53"/>
      <c r="U6306" s="31" t="n">
        <f aca="false">IF($B6306&lt;&gt;'設定（最初に1回）'!$C$4,N(U6305),IF(COUNTIFS(①今日の在庫を貼る!$B$6:$B$10005,$B6306,①今日の在庫を貼る!$I$6:$I$10005,$I6306)&gt;0,N(U6305),N(U6305)+1))</f>
        <v>2</v>
      </c>
    </row>
    <row r="6307" customFormat="false" ht="15" hidden="false" customHeight="false" outlineLevel="0" collapsed="false">
      <c r="B6307" s="53"/>
      <c r="I6307" s="53"/>
      <c r="U6307" s="31" t="n">
        <f aca="false">IF($B6307&lt;&gt;'設定（最初に1回）'!$C$4,N(U6306),IF(COUNTIFS(①今日の在庫を貼る!$B$6:$B$10005,$B6307,①今日の在庫を貼る!$I$6:$I$10005,$I6307)&gt;0,N(U6306),N(U6306)+1))</f>
        <v>2</v>
      </c>
    </row>
    <row r="6308" customFormat="false" ht="15" hidden="false" customHeight="false" outlineLevel="0" collapsed="false">
      <c r="B6308" s="53"/>
      <c r="I6308" s="53"/>
      <c r="U6308" s="31" t="n">
        <f aca="false">IF($B6308&lt;&gt;'設定（最初に1回）'!$C$4,N(U6307),IF(COUNTIFS(①今日の在庫を貼る!$B$6:$B$10005,$B6308,①今日の在庫を貼る!$I$6:$I$10005,$I6308)&gt;0,N(U6307),N(U6307)+1))</f>
        <v>2</v>
      </c>
    </row>
    <row r="6309" customFormat="false" ht="15" hidden="false" customHeight="false" outlineLevel="0" collapsed="false">
      <c r="B6309" s="53"/>
      <c r="I6309" s="53"/>
      <c r="U6309" s="31" t="n">
        <f aca="false">IF($B6309&lt;&gt;'設定（最初に1回）'!$C$4,N(U6308),IF(COUNTIFS(①今日の在庫を貼る!$B$6:$B$10005,$B6309,①今日の在庫を貼る!$I$6:$I$10005,$I6309)&gt;0,N(U6308),N(U6308)+1))</f>
        <v>2</v>
      </c>
    </row>
    <row r="6310" customFormat="false" ht="15" hidden="false" customHeight="false" outlineLevel="0" collapsed="false">
      <c r="B6310" s="53"/>
      <c r="I6310" s="53"/>
      <c r="U6310" s="31" t="n">
        <f aca="false">IF($B6310&lt;&gt;'設定（最初に1回）'!$C$4,N(U6309),IF(COUNTIFS(①今日の在庫を貼る!$B$6:$B$10005,$B6310,①今日の在庫を貼る!$I$6:$I$10005,$I6310)&gt;0,N(U6309),N(U6309)+1))</f>
        <v>2</v>
      </c>
    </row>
    <row r="6311" customFormat="false" ht="15" hidden="false" customHeight="false" outlineLevel="0" collapsed="false">
      <c r="B6311" s="53"/>
      <c r="I6311" s="53"/>
      <c r="U6311" s="31" t="n">
        <f aca="false">IF($B6311&lt;&gt;'設定（最初に1回）'!$C$4,N(U6310),IF(COUNTIFS(①今日の在庫を貼る!$B$6:$B$10005,$B6311,①今日の在庫を貼る!$I$6:$I$10005,$I6311)&gt;0,N(U6310),N(U6310)+1))</f>
        <v>2</v>
      </c>
    </row>
    <row r="6312" customFormat="false" ht="15" hidden="false" customHeight="false" outlineLevel="0" collapsed="false">
      <c r="B6312" s="53"/>
      <c r="I6312" s="53"/>
      <c r="U6312" s="31" t="n">
        <f aca="false">IF($B6312&lt;&gt;'設定（最初に1回）'!$C$4,N(U6311),IF(COUNTIFS(①今日の在庫を貼る!$B$6:$B$10005,$B6312,①今日の在庫を貼る!$I$6:$I$10005,$I6312)&gt;0,N(U6311),N(U6311)+1))</f>
        <v>2</v>
      </c>
    </row>
    <row r="6313" customFormat="false" ht="15" hidden="false" customHeight="false" outlineLevel="0" collapsed="false">
      <c r="B6313" s="53"/>
      <c r="I6313" s="53"/>
      <c r="U6313" s="31" t="n">
        <f aca="false">IF($B6313&lt;&gt;'設定（最初に1回）'!$C$4,N(U6312),IF(COUNTIFS(①今日の在庫を貼る!$B$6:$B$10005,$B6313,①今日の在庫を貼る!$I$6:$I$10005,$I6313)&gt;0,N(U6312),N(U6312)+1))</f>
        <v>2</v>
      </c>
    </row>
    <row r="6314" customFormat="false" ht="15" hidden="false" customHeight="false" outlineLevel="0" collapsed="false">
      <c r="B6314" s="53"/>
      <c r="I6314" s="53"/>
      <c r="U6314" s="31" t="n">
        <f aca="false">IF($B6314&lt;&gt;'設定（最初に1回）'!$C$4,N(U6313),IF(COUNTIFS(①今日の在庫を貼る!$B$6:$B$10005,$B6314,①今日の在庫を貼る!$I$6:$I$10005,$I6314)&gt;0,N(U6313),N(U6313)+1))</f>
        <v>2</v>
      </c>
    </row>
    <row r="6315" customFormat="false" ht="15" hidden="false" customHeight="false" outlineLevel="0" collapsed="false">
      <c r="B6315" s="53"/>
      <c r="I6315" s="53"/>
      <c r="U6315" s="31" t="n">
        <f aca="false">IF($B6315&lt;&gt;'設定（最初に1回）'!$C$4,N(U6314),IF(COUNTIFS(①今日の在庫を貼る!$B$6:$B$10005,$B6315,①今日の在庫を貼る!$I$6:$I$10005,$I6315)&gt;0,N(U6314),N(U6314)+1))</f>
        <v>2</v>
      </c>
    </row>
    <row r="6316" customFormat="false" ht="15" hidden="false" customHeight="false" outlineLevel="0" collapsed="false">
      <c r="B6316" s="53"/>
      <c r="I6316" s="53"/>
      <c r="U6316" s="31" t="n">
        <f aca="false">IF($B6316&lt;&gt;'設定（最初に1回）'!$C$4,N(U6315),IF(COUNTIFS(①今日の在庫を貼る!$B$6:$B$10005,$B6316,①今日の在庫を貼る!$I$6:$I$10005,$I6316)&gt;0,N(U6315),N(U6315)+1))</f>
        <v>2</v>
      </c>
    </row>
    <row r="6317" customFormat="false" ht="15" hidden="false" customHeight="false" outlineLevel="0" collapsed="false">
      <c r="B6317" s="53"/>
      <c r="I6317" s="53"/>
      <c r="U6317" s="31" t="n">
        <f aca="false">IF($B6317&lt;&gt;'設定（最初に1回）'!$C$4,N(U6316),IF(COUNTIFS(①今日の在庫を貼る!$B$6:$B$10005,$B6317,①今日の在庫を貼る!$I$6:$I$10005,$I6317)&gt;0,N(U6316),N(U6316)+1))</f>
        <v>2</v>
      </c>
    </row>
    <row r="6318" customFormat="false" ht="15" hidden="false" customHeight="false" outlineLevel="0" collapsed="false">
      <c r="B6318" s="53"/>
      <c r="I6318" s="53"/>
      <c r="U6318" s="31" t="n">
        <f aca="false">IF($B6318&lt;&gt;'設定（最初に1回）'!$C$4,N(U6317),IF(COUNTIFS(①今日の在庫を貼る!$B$6:$B$10005,$B6318,①今日の在庫を貼る!$I$6:$I$10005,$I6318)&gt;0,N(U6317),N(U6317)+1))</f>
        <v>2</v>
      </c>
    </row>
    <row r="6319" customFormat="false" ht="15" hidden="false" customHeight="false" outlineLevel="0" collapsed="false">
      <c r="B6319" s="53"/>
      <c r="I6319" s="53"/>
      <c r="U6319" s="31" t="n">
        <f aca="false">IF($B6319&lt;&gt;'設定（最初に1回）'!$C$4,N(U6318),IF(COUNTIFS(①今日の在庫を貼る!$B$6:$B$10005,$B6319,①今日の在庫を貼る!$I$6:$I$10005,$I6319)&gt;0,N(U6318),N(U6318)+1))</f>
        <v>2</v>
      </c>
    </row>
    <row r="6320" customFormat="false" ht="15" hidden="false" customHeight="false" outlineLevel="0" collapsed="false">
      <c r="B6320" s="53"/>
      <c r="I6320" s="53"/>
      <c r="U6320" s="31" t="n">
        <f aca="false">IF($B6320&lt;&gt;'設定（最初に1回）'!$C$4,N(U6319),IF(COUNTIFS(①今日の在庫を貼る!$B$6:$B$10005,$B6320,①今日の在庫を貼る!$I$6:$I$10005,$I6320)&gt;0,N(U6319),N(U6319)+1))</f>
        <v>2</v>
      </c>
    </row>
    <row r="6321" customFormat="false" ht="15" hidden="false" customHeight="false" outlineLevel="0" collapsed="false">
      <c r="B6321" s="53"/>
      <c r="I6321" s="53"/>
      <c r="U6321" s="31" t="n">
        <f aca="false">IF($B6321&lt;&gt;'設定（最初に1回）'!$C$4,N(U6320),IF(COUNTIFS(①今日の在庫を貼る!$B$6:$B$10005,$B6321,①今日の在庫を貼る!$I$6:$I$10005,$I6321)&gt;0,N(U6320),N(U6320)+1))</f>
        <v>2</v>
      </c>
    </row>
    <row r="6322" customFormat="false" ht="15" hidden="false" customHeight="false" outlineLevel="0" collapsed="false">
      <c r="B6322" s="53"/>
      <c r="I6322" s="53"/>
      <c r="U6322" s="31" t="n">
        <f aca="false">IF($B6322&lt;&gt;'設定（最初に1回）'!$C$4,N(U6321),IF(COUNTIFS(①今日の在庫を貼る!$B$6:$B$10005,$B6322,①今日の在庫を貼る!$I$6:$I$10005,$I6322)&gt;0,N(U6321),N(U6321)+1))</f>
        <v>2</v>
      </c>
    </row>
    <row r="6323" customFormat="false" ht="15" hidden="false" customHeight="false" outlineLevel="0" collapsed="false">
      <c r="B6323" s="53"/>
      <c r="I6323" s="53"/>
      <c r="U6323" s="31" t="n">
        <f aca="false">IF($B6323&lt;&gt;'設定（最初に1回）'!$C$4,N(U6322),IF(COUNTIFS(①今日の在庫を貼る!$B$6:$B$10005,$B6323,①今日の在庫を貼る!$I$6:$I$10005,$I6323)&gt;0,N(U6322),N(U6322)+1))</f>
        <v>2</v>
      </c>
    </row>
    <row r="6324" customFormat="false" ht="15" hidden="false" customHeight="false" outlineLevel="0" collapsed="false">
      <c r="B6324" s="53"/>
      <c r="I6324" s="53"/>
      <c r="U6324" s="31" t="n">
        <f aca="false">IF($B6324&lt;&gt;'設定（最初に1回）'!$C$4,N(U6323),IF(COUNTIFS(①今日の在庫を貼る!$B$6:$B$10005,$B6324,①今日の在庫を貼る!$I$6:$I$10005,$I6324)&gt;0,N(U6323),N(U6323)+1))</f>
        <v>2</v>
      </c>
    </row>
    <row r="6325" customFormat="false" ht="15" hidden="false" customHeight="false" outlineLevel="0" collapsed="false">
      <c r="B6325" s="53"/>
      <c r="I6325" s="53"/>
      <c r="U6325" s="31" t="n">
        <f aca="false">IF($B6325&lt;&gt;'設定（最初に1回）'!$C$4,N(U6324),IF(COUNTIFS(①今日の在庫を貼る!$B$6:$B$10005,$B6325,①今日の在庫を貼る!$I$6:$I$10005,$I6325)&gt;0,N(U6324),N(U6324)+1))</f>
        <v>2</v>
      </c>
    </row>
    <row r="6326" customFormat="false" ht="15" hidden="false" customHeight="false" outlineLevel="0" collapsed="false">
      <c r="B6326" s="53"/>
      <c r="I6326" s="53"/>
      <c r="U6326" s="31" t="n">
        <f aca="false">IF($B6326&lt;&gt;'設定（最初に1回）'!$C$4,N(U6325),IF(COUNTIFS(①今日の在庫を貼る!$B$6:$B$10005,$B6326,①今日の在庫を貼る!$I$6:$I$10005,$I6326)&gt;0,N(U6325),N(U6325)+1))</f>
        <v>2</v>
      </c>
    </row>
    <row r="6327" customFormat="false" ht="15" hidden="false" customHeight="false" outlineLevel="0" collapsed="false">
      <c r="B6327" s="53"/>
      <c r="I6327" s="53"/>
      <c r="U6327" s="31" t="n">
        <f aca="false">IF($B6327&lt;&gt;'設定（最初に1回）'!$C$4,N(U6326),IF(COUNTIFS(①今日の在庫を貼る!$B$6:$B$10005,$B6327,①今日の在庫を貼る!$I$6:$I$10005,$I6327)&gt;0,N(U6326),N(U6326)+1))</f>
        <v>2</v>
      </c>
    </row>
    <row r="6328" customFormat="false" ht="15" hidden="false" customHeight="false" outlineLevel="0" collapsed="false">
      <c r="B6328" s="53"/>
      <c r="I6328" s="53"/>
      <c r="U6328" s="31" t="n">
        <f aca="false">IF($B6328&lt;&gt;'設定（最初に1回）'!$C$4,N(U6327),IF(COUNTIFS(①今日の在庫を貼る!$B$6:$B$10005,$B6328,①今日の在庫を貼る!$I$6:$I$10005,$I6328)&gt;0,N(U6327),N(U6327)+1))</f>
        <v>2</v>
      </c>
    </row>
    <row r="6329" customFormat="false" ht="15" hidden="false" customHeight="false" outlineLevel="0" collapsed="false">
      <c r="B6329" s="53"/>
      <c r="I6329" s="53"/>
      <c r="U6329" s="31" t="n">
        <f aca="false">IF($B6329&lt;&gt;'設定（最初に1回）'!$C$4,N(U6328),IF(COUNTIFS(①今日の在庫を貼る!$B$6:$B$10005,$B6329,①今日の在庫を貼る!$I$6:$I$10005,$I6329)&gt;0,N(U6328),N(U6328)+1))</f>
        <v>2</v>
      </c>
    </row>
    <row r="6330" customFormat="false" ht="15" hidden="false" customHeight="false" outlineLevel="0" collapsed="false">
      <c r="B6330" s="53"/>
      <c r="I6330" s="53"/>
      <c r="U6330" s="31" t="n">
        <f aca="false">IF($B6330&lt;&gt;'設定（最初に1回）'!$C$4,N(U6329),IF(COUNTIFS(①今日の在庫を貼る!$B$6:$B$10005,$B6330,①今日の在庫を貼る!$I$6:$I$10005,$I6330)&gt;0,N(U6329),N(U6329)+1))</f>
        <v>2</v>
      </c>
    </row>
    <row r="6331" customFormat="false" ht="15" hidden="false" customHeight="false" outlineLevel="0" collapsed="false">
      <c r="B6331" s="53"/>
      <c r="I6331" s="53"/>
      <c r="U6331" s="31" t="n">
        <f aca="false">IF($B6331&lt;&gt;'設定（最初に1回）'!$C$4,N(U6330),IF(COUNTIFS(①今日の在庫を貼る!$B$6:$B$10005,$B6331,①今日の在庫を貼る!$I$6:$I$10005,$I6331)&gt;0,N(U6330),N(U6330)+1))</f>
        <v>2</v>
      </c>
    </row>
    <row r="6332" customFormat="false" ht="15" hidden="false" customHeight="false" outlineLevel="0" collapsed="false">
      <c r="B6332" s="53"/>
      <c r="I6332" s="53"/>
      <c r="U6332" s="31" t="n">
        <f aca="false">IF($B6332&lt;&gt;'設定（最初に1回）'!$C$4,N(U6331),IF(COUNTIFS(①今日の在庫を貼る!$B$6:$B$10005,$B6332,①今日の在庫を貼る!$I$6:$I$10005,$I6332)&gt;0,N(U6331),N(U6331)+1))</f>
        <v>2</v>
      </c>
    </row>
    <row r="6333" customFormat="false" ht="15" hidden="false" customHeight="false" outlineLevel="0" collapsed="false">
      <c r="B6333" s="53"/>
      <c r="I6333" s="53"/>
      <c r="U6333" s="31" t="n">
        <f aca="false">IF($B6333&lt;&gt;'設定（最初に1回）'!$C$4,N(U6332),IF(COUNTIFS(①今日の在庫を貼る!$B$6:$B$10005,$B6333,①今日の在庫を貼る!$I$6:$I$10005,$I6333)&gt;0,N(U6332),N(U6332)+1))</f>
        <v>2</v>
      </c>
    </row>
    <row r="6334" customFormat="false" ht="15" hidden="false" customHeight="false" outlineLevel="0" collapsed="false">
      <c r="B6334" s="53"/>
      <c r="I6334" s="53"/>
      <c r="U6334" s="31" t="n">
        <f aca="false">IF($B6334&lt;&gt;'設定（最初に1回）'!$C$4,N(U6333),IF(COUNTIFS(①今日の在庫を貼る!$B$6:$B$10005,$B6334,①今日の在庫を貼る!$I$6:$I$10005,$I6334)&gt;0,N(U6333),N(U6333)+1))</f>
        <v>2</v>
      </c>
    </row>
    <row r="6335" customFormat="false" ht="15" hidden="false" customHeight="false" outlineLevel="0" collapsed="false">
      <c r="B6335" s="53"/>
      <c r="I6335" s="53"/>
      <c r="U6335" s="31" t="n">
        <f aca="false">IF($B6335&lt;&gt;'設定（最初に1回）'!$C$4,N(U6334),IF(COUNTIFS(①今日の在庫を貼る!$B$6:$B$10005,$B6335,①今日の在庫を貼る!$I$6:$I$10005,$I6335)&gt;0,N(U6334),N(U6334)+1))</f>
        <v>2</v>
      </c>
    </row>
    <row r="6336" customFormat="false" ht="15" hidden="false" customHeight="false" outlineLevel="0" collapsed="false">
      <c r="B6336" s="53"/>
      <c r="I6336" s="53"/>
      <c r="U6336" s="31" t="n">
        <f aca="false">IF($B6336&lt;&gt;'設定（最初に1回）'!$C$4,N(U6335),IF(COUNTIFS(①今日の在庫を貼る!$B$6:$B$10005,$B6336,①今日の在庫を貼る!$I$6:$I$10005,$I6336)&gt;0,N(U6335),N(U6335)+1))</f>
        <v>2</v>
      </c>
    </row>
    <row r="6337" customFormat="false" ht="15" hidden="false" customHeight="false" outlineLevel="0" collapsed="false">
      <c r="B6337" s="53"/>
      <c r="I6337" s="53"/>
      <c r="U6337" s="31" t="n">
        <f aca="false">IF($B6337&lt;&gt;'設定（最初に1回）'!$C$4,N(U6336),IF(COUNTIFS(①今日の在庫を貼る!$B$6:$B$10005,$B6337,①今日の在庫を貼る!$I$6:$I$10005,$I6337)&gt;0,N(U6336),N(U6336)+1))</f>
        <v>2</v>
      </c>
    </row>
    <row r="6338" customFormat="false" ht="15" hidden="false" customHeight="false" outlineLevel="0" collapsed="false">
      <c r="B6338" s="53"/>
      <c r="I6338" s="53"/>
      <c r="U6338" s="31" t="n">
        <f aca="false">IF($B6338&lt;&gt;'設定（最初に1回）'!$C$4,N(U6337),IF(COUNTIFS(①今日の在庫を貼る!$B$6:$B$10005,$B6338,①今日の在庫を貼る!$I$6:$I$10005,$I6338)&gt;0,N(U6337),N(U6337)+1))</f>
        <v>2</v>
      </c>
    </row>
    <row r="6339" customFormat="false" ht="15" hidden="false" customHeight="false" outlineLevel="0" collapsed="false">
      <c r="B6339" s="53"/>
      <c r="I6339" s="53"/>
      <c r="U6339" s="31" t="n">
        <f aca="false">IF($B6339&lt;&gt;'設定（最初に1回）'!$C$4,N(U6338),IF(COUNTIFS(①今日の在庫を貼る!$B$6:$B$10005,$B6339,①今日の在庫を貼る!$I$6:$I$10005,$I6339)&gt;0,N(U6338),N(U6338)+1))</f>
        <v>2</v>
      </c>
    </row>
    <row r="6340" customFormat="false" ht="15" hidden="false" customHeight="false" outlineLevel="0" collapsed="false">
      <c r="B6340" s="53"/>
      <c r="I6340" s="53"/>
      <c r="U6340" s="31" t="n">
        <f aca="false">IF($B6340&lt;&gt;'設定（最初に1回）'!$C$4,N(U6339),IF(COUNTIFS(①今日の在庫を貼る!$B$6:$B$10005,$B6340,①今日の在庫を貼る!$I$6:$I$10005,$I6340)&gt;0,N(U6339),N(U6339)+1))</f>
        <v>2</v>
      </c>
    </row>
    <row r="6341" customFormat="false" ht="15" hidden="false" customHeight="false" outlineLevel="0" collapsed="false">
      <c r="B6341" s="53"/>
      <c r="I6341" s="53"/>
      <c r="U6341" s="31" t="n">
        <f aca="false">IF($B6341&lt;&gt;'設定（最初に1回）'!$C$4,N(U6340),IF(COUNTIFS(①今日の在庫を貼る!$B$6:$B$10005,$B6341,①今日の在庫を貼る!$I$6:$I$10005,$I6341)&gt;0,N(U6340),N(U6340)+1))</f>
        <v>2</v>
      </c>
    </row>
    <row r="6342" customFormat="false" ht="15" hidden="false" customHeight="false" outlineLevel="0" collapsed="false">
      <c r="B6342" s="53"/>
      <c r="I6342" s="53"/>
      <c r="U6342" s="31" t="n">
        <f aca="false">IF($B6342&lt;&gt;'設定（最初に1回）'!$C$4,N(U6341),IF(COUNTIFS(①今日の在庫を貼る!$B$6:$B$10005,$B6342,①今日の在庫を貼る!$I$6:$I$10005,$I6342)&gt;0,N(U6341),N(U6341)+1))</f>
        <v>2</v>
      </c>
    </row>
    <row r="6343" customFormat="false" ht="15" hidden="false" customHeight="false" outlineLevel="0" collapsed="false">
      <c r="B6343" s="53"/>
      <c r="I6343" s="53"/>
      <c r="U6343" s="31" t="n">
        <f aca="false">IF($B6343&lt;&gt;'設定（最初に1回）'!$C$4,N(U6342),IF(COUNTIFS(①今日の在庫を貼る!$B$6:$B$10005,$B6343,①今日の在庫を貼る!$I$6:$I$10005,$I6343)&gt;0,N(U6342),N(U6342)+1))</f>
        <v>2</v>
      </c>
    </row>
    <row r="6344" customFormat="false" ht="15" hidden="false" customHeight="false" outlineLevel="0" collapsed="false">
      <c r="B6344" s="53"/>
      <c r="I6344" s="53"/>
      <c r="U6344" s="31" t="n">
        <f aca="false">IF($B6344&lt;&gt;'設定（最初に1回）'!$C$4,N(U6343),IF(COUNTIFS(①今日の在庫を貼る!$B$6:$B$10005,$B6344,①今日の在庫を貼る!$I$6:$I$10005,$I6344)&gt;0,N(U6343),N(U6343)+1))</f>
        <v>2</v>
      </c>
    </row>
    <row r="6345" customFormat="false" ht="15" hidden="false" customHeight="false" outlineLevel="0" collapsed="false">
      <c r="B6345" s="53"/>
      <c r="I6345" s="53"/>
      <c r="U6345" s="31" t="n">
        <f aca="false">IF($B6345&lt;&gt;'設定（最初に1回）'!$C$4,N(U6344),IF(COUNTIFS(①今日の在庫を貼る!$B$6:$B$10005,$B6345,①今日の在庫を貼る!$I$6:$I$10005,$I6345)&gt;0,N(U6344),N(U6344)+1))</f>
        <v>2</v>
      </c>
    </row>
    <row r="6346" customFormat="false" ht="15" hidden="false" customHeight="false" outlineLevel="0" collapsed="false">
      <c r="B6346" s="53"/>
      <c r="I6346" s="53"/>
      <c r="U6346" s="31" t="n">
        <f aca="false">IF($B6346&lt;&gt;'設定（最初に1回）'!$C$4,N(U6345),IF(COUNTIFS(①今日の在庫を貼る!$B$6:$B$10005,$B6346,①今日の在庫を貼る!$I$6:$I$10005,$I6346)&gt;0,N(U6345),N(U6345)+1))</f>
        <v>2</v>
      </c>
    </row>
    <row r="6347" customFormat="false" ht="15" hidden="false" customHeight="false" outlineLevel="0" collapsed="false">
      <c r="B6347" s="53"/>
      <c r="I6347" s="53"/>
      <c r="U6347" s="31" t="n">
        <f aca="false">IF($B6347&lt;&gt;'設定（最初に1回）'!$C$4,N(U6346),IF(COUNTIFS(①今日の在庫を貼る!$B$6:$B$10005,$B6347,①今日の在庫を貼る!$I$6:$I$10005,$I6347)&gt;0,N(U6346),N(U6346)+1))</f>
        <v>2</v>
      </c>
    </row>
    <row r="6348" customFormat="false" ht="15" hidden="false" customHeight="false" outlineLevel="0" collapsed="false">
      <c r="B6348" s="53"/>
      <c r="I6348" s="53"/>
      <c r="U6348" s="31" t="n">
        <f aca="false">IF($B6348&lt;&gt;'設定（最初に1回）'!$C$4,N(U6347),IF(COUNTIFS(①今日の在庫を貼る!$B$6:$B$10005,$B6348,①今日の在庫を貼る!$I$6:$I$10005,$I6348)&gt;0,N(U6347),N(U6347)+1))</f>
        <v>2</v>
      </c>
    </row>
    <row r="6349" customFormat="false" ht="15" hidden="false" customHeight="false" outlineLevel="0" collapsed="false">
      <c r="B6349" s="53"/>
      <c r="I6349" s="53"/>
      <c r="U6349" s="31" t="n">
        <f aca="false">IF($B6349&lt;&gt;'設定（最初に1回）'!$C$4,N(U6348),IF(COUNTIFS(①今日の在庫を貼る!$B$6:$B$10005,$B6349,①今日の在庫を貼る!$I$6:$I$10005,$I6349)&gt;0,N(U6348),N(U6348)+1))</f>
        <v>2</v>
      </c>
    </row>
    <row r="6350" customFormat="false" ht="15" hidden="false" customHeight="false" outlineLevel="0" collapsed="false">
      <c r="B6350" s="53"/>
      <c r="I6350" s="53"/>
      <c r="U6350" s="31" t="n">
        <f aca="false">IF($B6350&lt;&gt;'設定（最初に1回）'!$C$4,N(U6349),IF(COUNTIFS(①今日の在庫を貼る!$B$6:$B$10005,$B6350,①今日の在庫を貼る!$I$6:$I$10005,$I6350)&gt;0,N(U6349),N(U6349)+1))</f>
        <v>2</v>
      </c>
    </row>
    <row r="6351" customFormat="false" ht="15" hidden="false" customHeight="false" outlineLevel="0" collapsed="false">
      <c r="B6351" s="53"/>
      <c r="I6351" s="53"/>
      <c r="U6351" s="31" t="n">
        <f aca="false">IF($B6351&lt;&gt;'設定（最初に1回）'!$C$4,N(U6350),IF(COUNTIFS(①今日の在庫を貼る!$B$6:$B$10005,$B6351,①今日の在庫を貼る!$I$6:$I$10005,$I6351)&gt;0,N(U6350),N(U6350)+1))</f>
        <v>2</v>
      </c>
    </row>
    <row r="6352" customFormat="false" ht="15" hidden="false" customHeight="false" outlineLevel="0" collapsed="false">
      <c r="B6352" s="53"/>
      <c r="I6352" s="53"/>
      <c r="U6352" s="31" t="n">
        <f aca="false">IF($B6352&lt;&gt;'設定（最初に1回）'!$C$4,N(U6351),IF(COUNTIFS(①今日の在庫を貼る!$B$6:$B$10005,$B6352,①今日の在庫を貼る!$I$6:$I$10005,$I6352)&gt;0,N(U6351),N(U6351)+1))</f>
        <v>2</v>
      </c>
    </row>
    <row r="6353" customFormat="false" ht="15" hidden="false" customHeight="false" outlineLevel="0" collapsed="false">
      <c r="B6353" s="53"/>
      <c r="I6353" s="53"/>
      <c r="U6353" s="31" t="n">
        <f aca="false">IF($B6353&lt;&gt;'設定（最初に1回）'!$C$4,N(U6352),IF(COUNTIFS(①今日の在庫を貼る!$B$6:$B$10005,$B6353,①今日の在庫を貼る!$I$6:$I$10005,$I6353)&gt;0,N(U6352),N(U6352)+1))</f>
        <v>2</v>
      </c>
    </row>
    <row r="6354" customFormat="false" ht="15" hidden="false" customHeight="false" outlineLevel="0" collapsed="false">
      <c r="B6354" s="53"/>
      <c r="I6354" s="53"/>
      <c r="U6354" s="31" t="n">
        <f aca="false">IF($B6354&lt;&gt;'設定（最初に1回）'!$C$4,N(U6353),IF(COUNTIFS(①今日の在庫を貼る!$B$6:$B$10005,$B6354,①今日の在庫を貼る!$I$6:$I$10005,$I6354)&gt;0,N(U6353),N(U6353)+1))</f>
        <v>2</v>
      </c>
    </row>
    <row r="6355" customFormat="false" ht="15" hidden="false" customHeight="false" outlineLevel="0" collapsed="false">
      <c r="B6355" s="53"/>
      <c r="I6355" s="53"/>
      <c r="U6355" s="31" t="n">
        <f aca="false">IF($B6355&lt;&gt;'設定（最初に1回）'!$C$4,N(U6354),IF(COUNTIFS(①今日の在庫を貼る!$B$6:$B$10005,$B6355,①今日の在庫を貼る!$I$6:$I$10005,$I6355)&gt;0,N(U6354),N(U6354)+1))</f>
        <v>2</v>
      </c>
    </row>
    <row r="6356" customFormat="false" ht="15" hidden="false" customHeight="false" outlineLevel="0" collapsed="false">
      <c r="B6356" s="53"/>
      <c r="I6356" s="53"/>
      <c r="U6356" s="31" t="n">
        <f aca="false">IF($B6356&lt;&gt;'設定（最初に1回）'!$C$4,N(U6355),IF(COUNTIFS(①今日の在庫を貼る!$B$6:$B$10005,$B6356,①今日の在庫を貼る!$I$6:$I$10005,$I6356)&gt;0,N(U6355),N(U6355)+1))</f>
        <v>2</v>
      </c>
    </row>
    <row r="6357" customFormat="false" ht="15" hidden="false" customHeight="false" outlineLevel="0" collapsed="false">
      <c r="B6357" s="53"/>
      <c r="I6357" s="53"/>
      <c r="U6357" s="31" t="n">
        <f aca="false">IF($B6357&lt;&gt;'設定（最初に1回）'!$C$4,N(U6356),IF(COUNTIFS(①今日の在庫を貼る!$B$6:$B$10005,$B6357,①今日の在庫を貼る!$I$6:$I$10005,$I6357)&gt;0,N(U6356),N(U6356)+1))</f>
        <v>2</v>
      </c>
    </row>
    <row r="6358" customFormat="false" ht="15" hidden="false" customHeight="false" outlineLevel="0" collapsed="false">
      <c r="B6358" s="53"/>
      <c r="I6358" s="53"/>
      <c r="U6358" s="31" t="n">
        <f aca="false">IF($B6358&lt;&gt;'設定（最初に1回）'!$C$4,N(U6357),IF(COUNTIFS(①今日の在庫を貼る!$B$6:$B$10005,$B6358,①今日の在庫を貼る!$I$6:$I$10005,$I6358)&gt;0,N(U6357),N(U6357)+1))</f>
        <v>2</v>
      </c>
    </row>
    <row r="6359" customFormat="false" ht="15" hidden="false" customHeight="false" outlineLevel="0" collapsed="false">
      <c r="B6359" s="53"/>
      <c r="I6359" s="53"/>
      <c r="U6359" s="31" t="n">
        <f aca="false">IF($B6359&lt;&gt;'設定（最初に1回）'!$C$4,N(U6358),IF(COUNTIFS(①今日の在庫を貼る!$B$6:$B$10005,$B6359,①今日の在庫を貼る!$I$6:$I$10005,$I6359)&gt;0,N(U6358),N(U6358)+1))</f>
        <v>2</v>
      </c>
    </row>
    <row r="6360" customFormat="false" ht="15" hidden="false" customHeight="false" outlineLevel="0" collapsed="false">
      <c r="B6360" s="53"/>
      <c r="I6360" s="53"/>
      <c r="U6360" s="31" t="n">
        <f aca="false">IF($B6360&lt;&gt;'設定（最初に1回）'!$C$4,N(U6359),IF(COUNTIFS(①今日の在庫を貼る!$B$6:$B$10005,$B6360,①今日の在庫を貼る!$I$6:$I$10005,$I6360)&gt;0,N(U6359),N(U6359)+1))</f>
        <v>2</v>
      </c>
    </row>
    <row r="6361" customFormat="false" ht="15" hidden="false" customHeight="false" outlineLevel="0" collapsed="false">
      <c r="B6361" s="53"/>
      <c r="I6361" s="53"/>
      <c r="U6361" s="31" t="n">
        <f aca="false">IF($B6361&lt;&gt;'設定（最初に1回）'!$C$4,N(U6360),IF(COUNTIFS(①今日の在庫を貼る!$B$6:$B$10005,$B6361,①今日の在庫を貼る!$I$6:$I$10005,$I6361)&gt;0,N(U6360),N(U6360)+1))</f>
        <v>2</v>
      </c>
    </row>
    <row r="6362" customFormat="false" ht="15" hidden="false" customHeight="false" outlineLevel="0" collapsed="false">
      <c r="B6362" s="53"/>
      <c r="I6362" s="53"/>
      <c r="U6362" s="31" t="n">
        <f aca="false">IF($B6362&lt;&gt;'設定（最初に1回）'!$C$4,N(U6361),IF(COUNTIFS(①今日の在庫を貼る!$B$6:$B$10005,$B6362,①今日の在庫を貼る!$I$6:$I$10005,$I6362)&gt;0,N(U6361),N(U6361)+1))</f>
        <v>2</v>
      </c>
    </row>
    <row r="6363" customFormat="false" ht="15" hidden="false" customHeight="false" outlineLevel="0" collapsed="false">
      <c r="B6363" s="53"/>
      <c r="I6363" s="53"/>
      <c r="U6363" s="31" t="n">
        <f aca="false">IF($B6363&lt;&gt;'設定（最初に1回）'!$C$4,N(U6362),IF(COUNTIFS(①今日の在庫を貼る!$B$6:$B$10005,$B6363,①今日の在庫を貼る!$I$6:$I$10005,$I6363)&gt;0,N(U6362),N(U6362)+1))</f>
        <v>2</v>
      </c>
    </row>
    <row r="6364" customFormat="false" ht="15" hidden="false" customHeight="false" outlineLevel="0" collapsed="false">
      <c r="B6364" s="53"/>
      <c r="I6364" s="53"/>
      <c r="U6364" s="31" t="n">
        <f aca="false">IF($B6364&lt;&gt;'設定（最初に1回）'!$C$4,N(U6363),IF(COUNTIFS(①今日の在庫を貼る!$B$6:$B$10005,$B6364,①今日の在庫を貼る!$I$6:$I$10005,$I6364)&gt;0,N(U6363),N(U6363)+1))</f>
        <v>2</v>
      </c>
    </row>
    <row r="6365" customFormat="false" ht="15" hidden="false" customHeight="false" outlineLevel="0" collapsed="false">
      <c r="B6365" s="53"/>
      <c r="I6365" s="53"/>
      <c r="U6365" s="31" t="n">
        <f aca="false">IF($B6365&lt;&gt;'設定（最初に1回）'!$C$4,N(U6364),IF(COUNTIFS(①今日の在庫を貼る!$B$6:$B$10005,$B6365,①今日の在庫を貼る!$I$6:$I$10005,$I6365)&gt;0,N(U6364),N(U6364)+1))</f>
        <v>2</v>
      </c>
    </row>
    <row r="6366" customFormat="false" ht="15" hidden="false" customHeight="false" outlineLevel="0" collapsed="false">
      <c r="B6366" s="53"/>
      <c r="I6366" s="53"/>
      <c r="U6366" s="31" t="n">
        <f aca="false">IF($B6366&lt;&gt;'設定（最初に1回）'!$C$4,N(U6365),IF(COUNTIFS(①今日の在庫を貼る!$B$6:$B$10005,$B6366,①今日の在庫を貼る!$I$6:$I$10005,$I6366)&gt;0,N(U6365),N(U6365)+1))</f>
        <v>2</v>
      </c>
    </row>
    <row r="6367" customFormat="false" ht="15" hidden="false" customHeight="false" outlineLevel="0" collapsed="false">
      <c r="B6367" s="53"/>
      <c r="I6367" s="53"/>
      <c r="U6367" s="31" t="n">
        <f aca="false">IF($B6367&lt;&gt;'設定（最初に1回）'!$C$4,N(U6366),IF(COUNTIFS(①今日の在庫を貼る!$B$6:$B$10005,$B6367,①今日の在庫を貼る!$I$6:$I$10005,$I6367)&gt;0,N(U6366),N(U6366)+1))</f>
        <v>2</v>
      </c>
    </row>
    <row r="6368" customFormat="false" ht="15" hidden="false" customHeight="false" outlineLevel="0" collapsed="false">
      <c r="B6368" s="53"/>
      <c r="I6368" s="53"/>
      <c r="U6368" s="31" t="n">
        <f aca="false">IF($B6368&lt;&gt;'設定（最初に1回）'!$C$4,N(U6367),IF(COUNTIFS(①今日の在庫を貼る!$B$6:$B$10005,$B6368,①今日の在庫を貼る!$I$6:$I$10005,$I6368)&gt;0,N(U6367),N(U6367)+1))</f>
        <v>2</v>
      </c>
    </row>
    <row r="6369" customFormat="false" ht="15" hidden="false" customHeight="false" outlineLevel="0" collapsed="false">
      <c r="B6369" s="53"/>
      <c r="I6369" s="53"/>
      <c r="U6369" s="31" t="n">
        <f aca="false">IF($B6369&lt;&gt;'設定（最初に1回）'!$C$4,N(U6368),IF(COUNTIFS(①今日の在庫を貼る!$B$6:$B$10005,$B6369,①今日の在庫を貼る!$I$6:$I$10005,$I6369)&gt;0,N(U6368),N(U6368)+1))</f>
        <v>2</v>
      </c>
    </row>
    <row r="6370" customFormat="false" ht="15" hidden="false" customHeight="false" outlineLevel="0" collapsed="false">
      <c r="B6370" s="53"/>
      <c r="I6370" s="53"/>
      <c r="U6370" s="31" t="n">
        <f aca="false">IF($B6370&lt;&gt;'設定（最初に1回）'!$C$4,N(U6369),IF(COUNTIFS(①今日の在庫を貼る!$B$6:$B$10005,$B6370,①今日の在庫を貼る!$I$6:$I$10005,$I6370)&gt;0,N(U6369),N(U6369)+1))</f>
        <v>2</v>
      </c>
    </row>
    <row r="6371" customFormat="false" ht="15" hidden="false" customHeight="false" outlineLevel="0" collapsed="false">
      <c r="B6371" s="53"/>
      <c r="I6371" s="53"/>
      <c r="U6371" s="31" t="n">
        <f aca="false">IF($B6371&lt;&gt;'設定（最初に1回）'!$C$4,N(U6370),IF(COUNTIFS(①今日の在庫を貼る!$B$6:$B$10005,$B6371,①今日の在庫を貼る!$I$6:$I$10005,$I6371)&gt;0,N(U6370),N(U6370)+1))</f>
        <v>2</v>
      </c>
    </row>
    <row r="6372" customFormat="false" ht="15" hidden="false" customHeight="false" outlineLevel="0" collapsed="false">
      <c r="B6372" s="53"/>
      <c r="I6372" s="53"/>
      <c r="U6372" s="31" t="n">
        <f aca="false">IF($B6372&lt;&gt;'設定（最初に1回）'!$C$4,N(U6371),IF(COUNTIFS(①今日の在庫を貼る!$B$6:$B$10005,$B6372,①今日の在庫を貼る!$I$6:$I$10005,$I6372)&gt;0,N(U6371),N(U6371)+1))</f>
        <v>2</v>
      </c>
    </row>
    <row r="6373" customFormat="false" ht="15" hidden="false" customHeight="false" outlineLevel="0" collapsed="false">
      <c r="B6373" s="53"/>
      <c r="I6373" s="53"/>
      <c r="U6373" s="31" t="n">
        <f aca="false">IF($B6373&lt;&gt;'設定（最初に1回）'!$C$4,N(U6372),IF(COUNTIFS(①今日の在庫を貼る!$B$6:$B$10005,$B6373,①今日の在庫を貼る!$I$6:$I$10005,$I6373)&gt;0,N(U6372),N(U6372)+1))</f>
        <v>2</v>
      </c>
    </row>
    <row r="6374" customFormat="false" ht="15" hidden="false" customHeight="false" outlineLevel="0" collapsed="false">
      <c r="B6374" s="53"/>
      <c r="I6374" s="53"/>
      <c r="U6374" s="31" t="n">
        <f aca="false">IF($B6374&lt;&gt;'設定（最初に1回）'!$C$4,N(U6373),IF(COUNTIFS(①今日の在庫を貼る!$B$6:$B$10005,$B6374,①今日の在庫を貼る!$I$6:$I$10005,$I6374)&gt;0,N(U6373),N(U6373)+1))</f>
        <v>2</v>
      </c>
    </row>
    <row r="6375" customFormat="false" ht="15" hidden="false" customHeight="false" outlineLevel="0" collapsed="false">
      <c r="B6375" s="53"/>
      <c r="I6375" s="53"/>
      <c r="U6375" s="31" t="n">
        <f aca="false">IF($B6375&lt;&gt;'設定（最初に1回）'!$C$4,N(U6374),IF(COUNTIFS(①今日の在庫を貼る!$B$6:$B$10005,$B6375,①今日の在庫を貼る!$I$6:$I$10005,$I6375)&gt;0,N(U6374),N(U6374)+1))</f>
        <v>2</v>
      </c>
    </row>
    <row r="6376" customFormat="false" ht="15" hidden="false" customHeight="false" outlineLevel="0" collapsed="false">
      <c r="B6376" s="53"/>
      <c r="I6376" s="53"/>
      <c r="U6376" s="31" t="n">
        <f aca="false">IF($B6376&lt;&gt;'設定（最初に1回）'!$C$4,N(U6375),IF(COUNTIFS(①今日の在庫を貼る!$B$6:$B$10005,$B6376,①今日の在庫を貼る!$I$6:$I$10005,$I6376)&gt;0,N(U6375),N(U6375)+1))</f>
        <v>2</v>
      </c>
    </row>
    <row r="6377" customFormat="false" ht="15" hidden="false" customHeight="false" outlineLevel="0" collapsed="false">
      <c r="B6377" s="53"/>
      <c r="I6377" s="53"/>
      <c r="U6377" s="31" t="n">
        <f aca="false">IF($B6377&lt;&gt;'設定（最初に1回）'!$C$4,N(U6376),IF(COUNTIFS(①今日の在庫を貼る!$B$6:$B$10005,$B6377,①今日の在庫を貼る!$I$6:$I$10005,$I6377)&gt;0,N(U6376),N(U6376)+1))</f>
        <v>2</v>
      </c>
    </row>
    <row r="6378" customFormat="false" ht="15" hidden="false" customHeight="false" outlineLevel="0" collapsed="false">
      <c r="B6378" s="53"/>
      <c r="I6378" s="53"/>
      <c r="U6378" s="31" t="n">
        <f aca="false">IF($B6378&lt;&gt;'設定（最初に1回）'!$C$4,N(U6377),IF(COUNTIFS(①今日の在庫を貼る!$B$6:$B$10005,$B6378,①今日の在庫を貼る!$I$6:$I$10005,$I6378)&gt;0,N(U6377),N(U6377)+1))</f>
        <v>2</v>
      </c>
    </row>
    <row r="6379" customFormat="false" ht="15" hidden="false" customHeight="false" outlineLevel="0" collapsed="false">
      <c r="B6379" s="53"/>
      <c r="I6379" s="53"/>
      <c r="U6379" s="31" t="n">
        <f aca="false">IF($B6379&lt;&gt;'設定（最初に1回）'!$C$4,N(U6378),IF(COUNTIFS(①今日の在庫を貼る!$B$6:$B$10005,$B6379,①今日の在庫を貼る!$I$6:$I$10005,$I6379)&gt;0,N(U6378),N(U6378)+1))</f>
        <v>2</v>
      </c>
    </row>
    <row r="6380" customFormat="false" ht="15" hidden="false" customHeight="false" outlineLevel="0" collapsed="false">
      <c r="B6380" s="53"/>
      <c r="I6380" s="53"/>
      <c r="U6380" s="31" t="n">
        <f aca="false">IF($B6380&lt;&gt;'設定（最初に1回）'!$C$4,N(U6379),IF(COUNTIFS(①今日の在庫を貼る!$B$6:$B$10005,$B6380,①今日の在庫を貼る!$I$6:$I$10005,$I6380)&gt;0,N(U6379),N(U6379)+1))</f>
        <v>2</v>
      </c>
    </row>
    <row r="6381" customFormat="false" ht="15" hidden="false" customHeight="false" outlineLevel="0" collapsed="false">
      <c r="B6381" s="53"/>
      <c r="I6381" s="53"/>
      <c r="U6381" s="31" t="n">
        <f aca="false">IF($B6381&lt;&gt;'設定（最初に1回）'!$C$4,N(U6380),IF(COUNTIFS(①今日の在庫を貼る!$B$6:$B$10005,$B6381,①今日の在庫を貼る!$I$6:$I$10005,$I6381)&gt;0,N(U6380),N(U6380)+1))</f>
        <v>2</v>
      </c>
    </row>
    <row r="6382" customFormat="false" ht="15" hidden="false" customHeight="false" outlineLevel="0" collapsed="false">
      <c r="B6382" s="53"/>
      <c r="I6382" s="53"/>
      <c r="U6382" s="31" t="n">
        <f aca="false">IF($B6382&lt;&gt;'設定（最初に1回）'!$C$4,N(U6381),IF(COUNTIFS(①今日の在庫を貼る!$B$6:$B$10005,$B6382,①今日の在庫を貼る!$I$6:$I$10005,$I6382)&gt;0,N(U6381),N(U6381)+1))</f>
        <v>2</v>
      </c>
    </row>
    <row r="6383" customFormat="false" ht="15" hidden="false" customHeight="false" outlineLevel="0" collapsed="false">
      <c r="B6383" s="53"/>
      <c r="I6383" s="53"/>
      <c r="U6383" s="31" t="n">
        <f aca="false">IF($B6383&lt;&gt;'設定（最初に1回）'!$C$4,N(U6382),IF(COUNTIFS(①今日の在庫を貼る!$B$6:$B$10005,$B6383,①今日の在庫を貼る!$I$6:$I$10005,$I6383)&gt;0,N(U6382),N(U6382)+1))</f>
        <v>2</v>
      </c>
    </row>
    <row r="6384" customFormat="false" ht="15" hidden="false" customHeight="false" outlineLevel="0" collapsed="false">
      <c r="B6384" s="53"/>
      <c r="I6384" s="53"/>
      <c r="U6384" s="31" t="n">
        <f aca="false">IF($B6384&lt;&gt;'設定（最初に1回）'!$C$4,N(U6383),IF(COUNTIFS(①今日の在庫を貼る!$B$6:$B$10005,$B6384,①今日の在庫を貼る!$I$6:$I$10005,$I6384)&gt;0,N(U6383),N(U6383)+1))</f>
        <v>2</v>
      </c>
    </row>
    <row r="6385" customFormat="false" ht="15" hidden="false" customHeight="false" outlineLevel="0" collapsed="false">
      <c r="B6385" s="53"/>
      <c r="I6385" s="53"/>
      <c r="U6385" s="31" t="n">
        <f aca="false">IF($B6385&lt;&gt;'設定（最初に1回）'!$C$4,N(U6384),IF(COUNTIFS(①今日の在庫を貼る!$B$6:$B$10005,$B6385,①今日の在庫を貼る!$I$6:$I$10005,$I6385)&gt;0,N(U6384),N(U6384)+1))</f>
        <v>2</v>
      </c>
    </row>
    <row r="6386" customFormat="false" ht="15" hidden="false" customHeight="false" outlineLevel="0" collapsed="false">
      <c r="B6386" s="53"/>
      <c r="I6386" s="53"/>
      <c r="U6386" s="31" t="n">
        <f aca="false">IF($B6386&lt;&gt;'設定（最初に1回）'!$C$4,N(U6385),IF(COUNTIFS(①今日の在庫を貼る!$B$6:$B$10005,$B6386,①今日の在庫を貼る!$I$6:$I$10005,$I6386)&gt;0,N(U6385),N(U6385)+1))</f>
        <v>2</v>
      </c>
    </row>
    <row r="6387" customFormat="false" ht="15" hidden="false" customHeight="false" outlineLevel="0" collapsed="false">
      <c r="B6387" s="53"/>
      <c r="I6387" s="53"/>
      <c r="U6387" s="31" t="n">
        <f aca="false">IF($B6387&lt;&gt;'設定（最初に1回）'!$C$4,N(U6386),IF(COUNTIFS(①今日の在庫を貼る!$B$6:$B$10005,$B6387,①今日の在庫を貼る!$I$6:$I$10005,$I6387)&gt;0,N(U6386),N(U6386)+1))</f>
        <v>2</v>
      </c>
    </row>
    <row r="6388" customFormat="false" ht="15" hidden="false" customHeight="false" outlineLevel="0" collapsed="false">
      <c r="B6388" s="53"/>
      <c r="I6388" s="53"/>
      <c r="U6388" s="31" t="n">
        <f aca="false">IF($B6388&lt;&gt;'設定（最初に1回）'!$C$4,N(U6387),IF(COUNTIFS(①今日の在庫を貼る!$B$6:$B$10005,$B6388,①今日の在庫を貼る!$I$6:$I$10005,$I6388)&gt;0,N(U6387),N(U6387)+1))</f>
        <v>2</v>
      </c>
    </row>
    <row r="6389" customFormat="false" ht="15" hidden="false" customHeight="false" outlineLevel="0" collapsed="false">
      <c r="B6389" s="53"/>
      <c r="I6389" s="53"/>
      <c r="U6389" s="31" t="n">
        <f aca="false">IF($B6389&lt;&gt;'設定（最初に1回）'!$C$4,N(U6388),IF(COUNTIFS(①今日の在庫を貼る!$B$6:$B$10005,$B6389,①今日の在庫を貼る!$I$6:$I$10005,$I6389)&gt;0,N(U6388),N(U6388)+1))</f>
        <v>2</v>
      </c>
    </row>
    <row r="6390" customFormat="false" ht="15" hidden="false" customHeight="false" outlineLevel="0" collapsed="false">
      <c r="B6390" s="53"/>
      <c r="I6390" s="53"/>
      <c r="U6390" s="31" t="n">
        <f aca="false">IF($B6390&lt;&gt;'設定（最初に1回）'!$C$4,N(U6389),IF(COUNTIFS(①今日の在庫を貼る!$B$6:$B$10005,$B6390,①今日の在庫を貼る!$I$6:$I$10005,$I6390)&gt;0,N(U6389),N(U6389)+1))</f>
        <v>2</v>
      </c>
    </row>
    <row r="6391" customFormat="false" ht="15" hidden="false" customHeight="false" outlineLevel="0" collapsed="false">
      <c r="B6391" s="53"/>
      <c r="I6391" s="53"/>
      <c r="U6391" s="31" t="n">
        <f aca="false">IF($B6391&lt;&gt;'設定（最初に1回）'!$C$4,N(U6390),IF(COUNTIFS(①今日の在庫を貼る!$B$6:$B$10005,$B6391,①今日の在庫を貼る!$I$6:$I$10005,$I6391)&gt;0,N(U6390),N(U6390)+1))</f>
        <v>2</v>
      </c>
    </row>
    <row r="6392" customFormat="false" ht="15" hidden="false" customHeight="false" outlineLevel="0" collapsed="false">
      <c r="B6392" s="53"/>
      <c r="I6392" s="53"/>
      <c r="U6392" s="31" t="n">
        <f aca="false">IF($B6392&lt;&gt;'設定（最初に1回）'!$C$4,N(U6391),IF(COUNTIFS(①今日の在庫を貼る!$B$6:$B$10005,$B6392,①今日の在庫を貼る!$I$6:$I$10005,$I6392)&gt;0,N(U6391),N(U6391)+1))</f>
        <v>2</v>
      </c>
    </row>
    <row r="6393" customFormat="false" ht="15" hidden="false" customHeight="false" outlineLevel="0" collapsed="false">
      <c r="B6393" s="53"/>
      <c r="I6393" s="53"/>
      <c r="U6393" s="31" t="n">
        <f aca="false">IF($B6393&lt;&gt;'設定（最初に1回）'!$C$4,N(U6392),IF(COUNTIFS(①今日の在庫を貼る!$B$6:$B$10005,$B6393,①今日の在庫を貼る!$I$6:$I$10005,$I6393)&gt;0,N(U6392),N(U6392)+1))</f>
        <v>2</v>
      </c>
    </row>
    <row r="6394" customFormat="false" ht="15" hidden="false" customHeight="false" outlineLevel="0" collapsed="false">
      <c r="B6394" s="53"/>
      <c r="I6394" s="53"/>
      <c r="U6394" s="31" t="n">
        <f aca="false">IF($B6394&lt;&gt;'設定（最初に1回）'!$C$4,N(U6393),IF(COUNTIFS(①今日の在庫を貼る!$B$6:$B$10005,$B6394,①今日の在庫を貼る!$I$6:$I$10005,$I6394)&gt;0,N(U6393),N(U6393)+1))</f>
        <v>2</v>
      </c>
    </row>
    <row r="6395" customFormat="false" ht="15" hidden="false" customHeight="false" outlineLevel="0" collapsed="false">
      <c r="B6395" s="53"/>
      <c r="I6395" s="53"/>
      <c r="U6395" s="31" t="n">
        <f aca="false">IF($B6395&lt;&gt;'設定（最初に1回）'!$C$4,N(U6394),IF(COUNTIFS(①今日の在庫を貼る!$B$6:$B$10005,$B6395,①今日の在庫を貼る!$I$6:$I$10005,$I6395)&gt;0,N(U6394),N(U6394)+1))</f>
        <v>2</v>
      </c>
    </row>
    <row r="6396" customFormat="false" ht="15" hidden="false" customHeight="false" outlineLevel="0" collapsed="false">
      <c r="B6396" s="53"/>
      <c r="I6396" s="53"/>
      <c r="U6396" s="31" t="n">
        <f aca="false">IF($B6396&lt;&gt;'設定（最初に1回）'!$C$4,N(U6395),IF(COUNTIFS(①今日の在庫を貼る!$B$6:$B$10005,$B6396,①今日の在庫を貼る!$I$6:$I$10005,$I6396)&gt;0,N(U6395),N(U6395)+1))</f>
        <v>2</v>
      </c>
    </row>
    <row r="6397" customFormat="false" ht="15" hidden="false" customHeight="false" outlineLevel="0" collapsed="false">
      <c r="B6397" s="53"/>
      <c r="I6397" s="53"/>
      <c r="U6397" s="31" t="n">
        <f aca="false">IF($B6397&lt;&gt;'設定（最初に1回）'!$C$4,N(U6396),IF(COUNTIFS(①今日の在庫を貼る!$B$6:$B$10005,$B6397,①今日の在庫を貼る!$I$6:$I$10005,$I6397)&gt;0,N(U6396),N(U6396)+1))</f>
        <v>2</v>
      </c>
    </row>
    <row r="6398" customFormat="false" ht="15" hidden="false" customHeight="false" outlineLevel="0" collapsed="false">
      <c r="B6398" s="53"/>
      <c r="I6398" s="53"/>
      <c r="U6398" s="31" t="n">
        <f aca="false">IF($B6398&lt;&gt;'設定（最初に1回）'!$C$4,N(U6397),IF(COUNTIFS(①今日の在庫を貼る!$B$6:$B$10005,$B6398,①今日の在庫を貼る!$I$6:$I$10005,$I6398)&gt;0,N(U6397),N(U6397)+1))</f>
        <v>2</v>
      </c>
    </row>
    <row r="6399" customFormat="false" ht="15" hidden="false" customHeight="false" outlineLevel="0" collapsed="false">
      <c r="B6399" s="53"/>
      <c r="I6399" s="53"/>
      <c r="U6399" s="31" t="n">
        <f aca="false">IF($B6399&lt;&gt;'設定（最初に1回）'!$C$4,N(U6398),IF(COUNTIFS(①今日の在庫を貼る!$B$6:$B$10005,$B6399,①今日の在庫を貼る!$I$6:$I$10005,$I6399)&gt;0,N(U6398),N(U6398)+1))</f>
        <v>2</v>
      </c>
    </row>
    <row r="6400" customFormat="false" ht="15" hidden="false" customHeight="false" outlineLevel="0" collapsed="false">
      <c r="B6400" s="53"/>
      <c r="I6400" s="53"/>
      <c r="U6400" s="31" t="n">
        <f aca="false">IF($B6400&lt;&gt;'設定（最初に1回）'!$C$4,N(U6399),IF(COUNTIFS(①今日の在庫を貼る!$B$6:$B$10005,$B6400,①今日の在庫を貼る!$I$6:$I$10005,$I6400)&gt;0,N(U6399),N(U6399)+1))</f>
        <v>2</v>
      </c>
    </row>
    <row r="6401" customFormat="false" ht="15" hidden="false" customHeight="false" outlineLevel="0" collapsed="false">
      <c r="B6401" s="53"/>
      <c r="I6401" s="53"/>
      <c r="U6401" s="31" t="n">
        <f aca="false">IF($B6401&lt;&gt;'設定（最初に1回）'!$C$4,N(U6400),IF(COUNTIFS(①今日の在庫を貼る!$B$6:$B$10005,$B6401,①今日の在庫を貼る!$I$6:$I$10005,$I6401)&gt;0,N(U6400),N(U6400)+1))</f>
        <v>2</v>
      </c>
    </row>
    <row r="6402" customFormat="false" ht="15" hidden="false" customHeight="false" outlineLevel="0" collapsed="false">
      <c r="B6402" s="53"/>
      <c r="I6402" s="53"/>
      <c r="U6402" s="31" t="n">
        <f aca="false">IF($B6402&lt;&gt;'設定（最初に1回）'!$C$4,N(U6401),IF(COUNTIFS(①今日の在庫を貼る!$B$6:$B$10005,$B6402,①今日の在庫を貼る!$I$6:$I$10005,$I6402)&gt;0,N(U6401),N(U6401)+1))</f>
        <v>2</v>
      </c>
    </row>
    <row r="6403" customFormat="false" ht="15" hidden="false" customHeight="false" outlineLevel="0" collapsed="false">
      <c r="B6403" s="53"/>
      <c r="I6403" s="53"/>
      <c r="U6403" s="31" t="n">
        <f aca="false">IF($B6403&lt;&gt;'設定（最初に1回）'!$C$4,N(U6402),IF(COUNTIFS(①今日の在庫を貼る!$B$6:$B$10005,$B6403,①今日の在庫を貼る!$I$6:$I$10005,$I6403)&gt;0,N(U6402),N(U6402)+1))</f>
        <v>2</v>
      </c>
    </row>
    <row r="6404" customFormat="false" ht="15" hidden="false" customHeight="false" outlineLevel="0" collapsed="false">
      <c r="B6404" s="53"/>
      <c r="I6404" s="53"/>
      <c r="U6404" s="31" t="n">
        <f aca="false">IF($B6404&lt;&gt;'設定（最初に1回）'!$C$4,N(U6403),IF(COUNTIFS(①今日の在庫を貼る!$B$6:$B$10005,$B6404,①今日の在庫を貼る!$I$6:$I$10005,$I6404)&gt;0,N(U6403),N(U6403)+1))</f>
        <v>2</v>
      </c>
    </row>
    <row r="6405" customFormat="false" ht="15" hidden="false" customHeight="false" outlineLevel="0" collapsed="false">
      <c r="B6405" s="53"/>
      <c r="I6405" s="53"/>
      <c r="U6405" s="31" t="n">
        <f aca="false">IF($B6405&lt;&gt;'設定（最初に1回）'!$C$4,N(U6404),IF(COUNTIFS(①今日の在庫を貼る!$B$6:$B$10005,$B6405,①今日の在庫を貼る!$I$6:$I$10005,$I6405)&gt;0,N(U6404),N(U6404)+1))</f>
        <v>2</v>
      </c>
    </row>
    <row r="6406" customFormat="false" ht="15" hidden="false" customHeight="false" outlineLevel="0" collapsed="false">
      <c r="B6406" s="53"/>
      <c r="I6406" s="53"/>
      <c r="U6406" s="31" t="n">
        <f aca="false">IF($B6406&lt;&gt;'設定（最初に1回）'!$C$4,N(U6405),IF(COUNTIFS(①今日の在庫を貼る!$B$6:$B$10005,$B6406,①今日の在庫を貼る!$I$6:$I$10005,$I6406)&gt;0,N(U6405),N(U6405)+1))</f>
        <v>2</v>
      </c>
    </row>
    <row r="6407" customFormat="false" ht="15" hidden="false" customHeight="false" outlineLevel="0" collapsed="false">
      <c r="B6407" s="53"/>
      <c r="I6407" s="53"/>
      <c r="U6407" s="31" t="n">
        <f aca="false">IF($B6407&lt;&gt;'設定（最初に1回）'!$C$4,N(U6406),IF(COUNTIFS(①今日の在庫を貼る!$B$6:$B$10005,$B6407,①今日の在庫を貼る!$I$6:$I$10005,$I6407)&gt;0,N(U6406),N(U6406)+1))</f>
        <v>2</v>
      </c>
    </row>
    <row r="6408" customFormat="false" ht="15" hidden="false" customHeight="false" outlineLevel="0" collapsed="false">
      <c r="B6408" s="53"/>
      <c r="I6408" s="53"/>
      <c r="U6408" s="31" t="n">
        <f aca="false">IF($B6408&lt;&gt;'設定（最初に1回）'!$C$4,N(U6407),IF(COUNTIFS(①今日の在庫を貼る!$B$6:$B$10005,$B6408,①今日の在庫を貼る!$I$6:$I$10005,$I6408)&gt;0,N(U6407),N(U6407)+1))</f>
        <v>2</v>
      </c>
    </row>
    <row r="6409" customFormat="false" ht="15" hidden="false" customHeight="false" outlineLevel="0" collapsed="false">
      <c r="B6409" s="53"/>
      <c r="I6409" s="53"/>
      <c r="U6409" s="31" t="n">
        <f aca="false">IF($B6409&lt;&gt;'設定（最初に1回）'!$C$4,N(U6408),IF(COUNTIFS(①今日の在庫を貼る!$B$6:$B$10005,$B6409,①今日の在庫を貼る!$I$6:$I$10005,$I6409)&gt;0,N(U6408),N(U6408)+1))</f>
        <v>2</v>
      </c>
    </row>
    <row r="6410" customFormat="false" ht="15" hidden="false" customHeight="false" outlineLevel="0" collapsed="false">
      <c r="B6410" s="53"/>
      <c r="I6410" s="53"/>
      <c r="U6410" s="31" t="n">
        <f aca="false">IF($B6410&lt;&gt;'設定（最初に1回）'!$C$4,N(U6409),IF(COUNTIFS(①今日の在庫を貼る!$B$6:$B$10005,$B6410,①今日の在庫を貼る!$I$6:$I$10005,$I6410)&gt;0,N(U6409),N(U6409)+1))</f>
        <v>2</v>
      </c>
    </row>
    <row r="6411" customFormat="false" ht="15" hidden="false" customHeight="false" outlineLevel="0" collapsed="false">
      <c r="B6411" s="53"/>
      <c r="I6411" s="53"/>
      <c r="U6411" s="31" t="n">
        <f aca="false">IF($B6411&lt;&gt;'設定（最初に1回）'!$C$4,N(U6410),IF(COUNTIFS(①今日の在庫を貼る!$B$6:$B$10005,$B6411,①今日の在庫を貼る!$I$6:$I$10005,$I6411)&gt;0,N(U6410),N(U6410)+1))</f>
        <v>2</v>
      </c>
    </row>
    <row r="6412" customFormat="false" ht="15" hidden="false" customHeight="false" outlineLevel="0" collapsed="false">
      <c r="B6412" s="53"/>
      <c r="I6412" s="53"/>
      <c r="U6412" s="31" t="n">
        <f aca="false">IF($B6412&lt;&gt;'設定（最初に1回）'!$C$4,N(U6411),IF(COUNTIFS(①今日の在庫を貼る!$B$6:$B$10005,$B6412,①今日の在庫を貼る!$I$6:$I$10005,$I6412)&gt;0,N(U6411),N(U6411)+1))</f>
        <v>2</v>
      </c>
    </row>
    <row r="6413" customFormat="false" ht="15" hidden="false" customHeight="false" outlineLevel="0" collapsed="false">
      <c r="B6413" s="53"/>
      <c r="I6413" s="53"/>
      <c r="U6413" s="31" t="n">
        <f aca="false">IF($B6413&lt;&gt;'設定（最初に1回）'!$C$4,N(U6412),IF(COUNTIFS(①今日の在庫を貼る!$B$6:$B$10005,$B6413,①今日の在庫を貼る!$I$6:$I$10005,$I6413)&gt;0,N(U6412),N(U6412)+1))</f>
        <v>2</v>
      </c>
    </row>
    <row r="6414" customFormat="false" ht="15" hidden="false" customHeight="false" outlineLevel="0" collapsed="false">
      <c r="B6414" s="53"/>
      <c r="I6414" s="53"/>
      <c r="U6414" s="31" t="n">
        <f aca="false">IF($B6414&lt;&gt;'設定（最初に1回）'!$C$4,N(U6413),IF(COUNTIFS(①今日の在庫を貼る!$B$6:$B$10005,$B6414,①今日の在庫を貼る!$I$6:$I$10005,$I6414)&gt;0,N(U6413),N(U6413)+1))</f>
        <v>2</v>
      </c>
    </row>
    <row r="6415" customFormat="false" ht="15" hidden="false" customHeight="false" outlineLevel="0" collapsed="false">
      <c r="B6415" s="53"/>
      <c r="I6415" s="53"/>
      <c r="U6415" s="31" t="n">
        <f aca="false">IF($B6415&lt;&gt;'設定（最初に1回）'!$C$4,N(U6414),IF(COUNTIFS(①今日の在庫を貼る!$B$6:$B$10005,$B6415,①今日の在庫を貼る!$I$6:$I$10005,$I6415)&gt;0,N(U6414),N(U6414)+1))</f>
        <v>2</v>
      </c>
    </row>
    <row r="6416" customFormat="false" ht="15" hidden="false" customHeight="false" outlineLevel="0" collapsed="false">
      <c r="B6416" s="53"/>
      <c r="I6416" s="53"/>
      <c r="U6416" s="31" t="n">
        <f aca="false">IF($B6416&lt;&gt;'設定（最初に1回）'!$C$4,N(U6415),IF(COUNTIFS(①今日の在庫を貼る!$B$6:$B$10005,$B6416,①今日の在庫を貼る!$I$6:$I$10005,$I6416)&gt;0,N(U6415),N(U6415)+1))</f>
        <v>2</v>
      </c>
    </row>
    <row r="6417" customFormat="false" ht="15" hidden="false" customHeight="false" outlineLevel="0" collapsed="false">
      <c r="B6417" s="53"/>
      <c r="I6417" s="53"/>
      <c r="U6417" s="31" t="n">
        <f aca="false">IF($B6417&lt;&gt;'設定（最初に1回）'!$C$4,N(U6416),IF(COUNTIFS(①今日の在庫を貼る!$B$6:$B$10005,$B6417,①今日の在庫を貼る!$I$6:$I$10005,$I6417)&gt;0,N(U6416),N(U6416)+1))</f>
        <v>2</v>
      </c>
    </row>
    <row r="6418" customFormat="false" ht="15" hidden="false" customHeight="false" outlineLevel="0" collapsed="false">
      <c r="B6418" s="53"/>
      <c r="I6418" s="53"/>
      <c r="U6418" s="31" t="n">
        <f aca="false">IF($B6418&lt;&gt;'設定（最初に1回）'!$C$4,N(U6417),IF(COUNTIFS(①今日の在庫を貼る!$B$6:$B$10005,$B6418,①今日の在庫を貼る!$I$6:$I$10005,$I6418)&gt;0,N(U6417),N(U6417)+1))</f>
        <v>2</v>
      </c>
    </row>
    <row r="6419" customFormat="false" ht="15" hidden="false" customHeight="false" outlineLevel="0" collapsed="false">
      <c r="B6419" s="53"/>
      <c r="I6419" s="53"/>
      <c r="U6419" s="31" t="n">
        <f aca="false">IF($B6419&lt;&gt;'設定（最初に1回）'!$C$4,N(U6418),IF(COUNTIFS(①今日の在庫を貼る!$B$6:$B$10005,$B6419,①今日の在庫を貼る!$I$6:$I$10005,$I6419)&gt;0,N(U6418),N(U6418)+1))</f>
        <v>2</v>
      </c>
    </row>
    <row r="6420" customFormat="false" ht="15" hidden="false" customHeight="false" outlineLevel="0" collapsed="false">
      <c r="B6420" s="53"/>
      <c r="I6420" s="53"/>
      <c r="U6420" s="31" t="n">
        <f aca="false">IF($B6420&lt;&gt;'設定（最初に1回）'!$C$4,N(U6419),IF(COUNTIFS(①今日の在庫を貼る!$B$6:$B$10005,$B6420,①今日の在庫を貼る!$I$6:$I$10005,$I6420)&gt;0,N(U6419),N(U6419)+1))</f>
        <v>2</v>
      </c>
    </row>
    <row r="6421" customFormat="false" ht="15" hidden="false" customHeight="false" outlineLevel="0" collapsed="false">
      <c r="B6421" s="53"/>
      <c r="I6421" s="53"/>
      <c r="U6421" s="31" t="n">
        <f aca="false">IF($B6421&lt;&gt;'設定（最初に1回）'!$C$4,N(U6420),IF(COUNTIFS(①今日の在庫を貼る!$B$6:$B$10005,$B6421,①今日の在庫を貼る!$I$6:$I$10005,$I6421)&gt;0,N(U6420),N(U6420)+1))</f>
        <v>2</v>
      </c>
    </row>
    <row r="6422" customFormat="false" ht="15" hidden="false" customHeight="false" outlineLevel="0" collapsed="false">
      <c r="B6422" s="53"/>
      <c r="I6422" s="53"/>
      <c r="U6422" s="31" t="n">
        <f aca="false">IF($B6422&lt;&gt;'設定（最初に1回）'!$C$4,N(U6421),IF(COUNTIFS(①今日の在庫を貼る!$B$6:$B$10005,$B6422,①今日の在庫を貼る!$I$6:$I$10005,$I6422)&gt;0,N(U6421),N(U6421)+1))</f>
        <v>2</v>
      </c>
    </row>
    <row r="6423" customFormat="false" ht="15" hidden="false" customHeight="false" outlineLevel="0" collapsed="false">
      <c r="B6423" s="53"/>
      <c r="I6423" s="53"/>
      <c r="U6423" s="31" t="n">
        <f aca="false">IF($B6423&lt;&gt;'設定（最初に1回）'!$C$4,N(U6422),IF(COUNTIFS(①今日の在庫を貼る!$B$6:$B$10005,$B6423,①今日の在庫を貼る!$I$6:$I$10005,$I6423)&gt;0,N(U6422),N(U6422)+1))</f>
        <v>2</v>
      </c>
    </row>
    <row r="6424" customFormat="false" ht="15" hidden="false" customHeight="false" outlineLevel="0" collapsed="false">
      <c r="B6424" s="53"/>
      <c r="I6424" s="53"/>
      <c r="U6424" s="31" t="n">
        <f aca="false">IF($B6424&lt;&gt;'設定（最初に1回）'!$C$4,N(U6423),IF(COUNTIFS(①今日の在庫を貼る!$B$6:$B$10005,$B6424,①今日の在庫を貼る!$I$6:$I$10005,$I6424)&gt;0,N(U6423),N(U6423)+1))</f>
        <v>2</v>
      </c>
    </row>
    <row r="6425" customFormat="false" ht="15" hidden="false" customHeight="false" outlineLevel="0" collapsed="false">
      <c r="B6425" s="53"/>
      <c r="I6425" s="53"/>
      <c r="U6425" s="31" t="n">
        <f aca="false">IF($B6425&lt;&gt;'設定（最初に1回）'!$C$4,N(U6424),IF(COUNTIFS(①今日の在庫を貼る!$B$6:$B$10005,$B6425,①今日の在庫を貼る!$I$6:$I$10005,$I6425)&gt;0,N(U6424),N(U6424)+1))</f>
        <v>2</v>
      </c>
    </row>
    <row r="6426" customFormat="false" ht="15" hidden="false" customHeight="false" outlineLevel="0" collapsed="false">
      <c r="B6426" s="53"/>
      <c r="I6426" s="53"/>
      <c r="U6426" s="31" t="n">
        <f aca="false">IF($B6426&lt;&gt;'設定（最初に1回）'!$C$4,N(U6425),IF(COUNTIFS(①今日の在庫を貼る!$B$6:$B$10005,$B6426,①今日の在庫を貼る!$I$6:$I$10005,$I6426)&gt;0,N(U6425),N(U6425)+1))</f>
        <v>2</v>
      </c>
    </row>
    <row r="6427" customFormat="false" ht="15" hidden="false" customHeight="false" outlineLevel="0" collapsed="false">
      <c r="B6427" s="53"/>
      <c r="I6427" s="53"/>
      <c r="U6427" s="31" t="n">
        <f aca="false">IF($B6427&lt;&gt;'設定（最初に1回）'!$C$4,N(U6426),IF(COUNTIFS(①今日の在庫を貼る!$B$6:$B$10005,$B6427,①今日の在庫を貼る!$I$6:$I$10005,$I6427)&gt;0,N(U6426),N(U6426)+1))</f>
        <v>2</v>
      </c>
    </row>
    <row r="6428" customFormat="false" ht="15" hidden="false" customHeight="false" outlineLevel="0" collapsed="false">
      <c r="B6428" s="53"/>
      <c r="I6428" s="53"/>
      <c r="U6428" s="31" t="n">
        <f aca="false">IF($B6428&lt;&gt;'設定（最初に1回）'!$C$4,N(U6427),IF(COUNTIFS(①今日の在庫を貼る!$B$6:$B$10005,$B6428,①今日の在庫を貼る!$I$6:$I$10005,$I6428)&gt;0,N(U6427),N(U6427)+1))</f>
        <v>2</v>
      </c>
    </row>
    <row r="6429" customFormat="false" ht="15" hidden="false" customHeight="false" outlineLevel="0" collapsed="false">
      <c r="B6429" s="53"/>
      <c r="I6429" s="53"/>
      <c r="U6429" s="31" t="n">
        <f aca="false">IF($B6429&lt;&gt;'設定（最初に1回）'!$C$4,N(U6428),IF(COUNTIFS(①今日の在庫を貼る!$B$6:$B$10005,$B6429,①今日の在庫を貼る!$I$6:$I$10005,$I6429)&gt;0,N(U6428),N(U6428)+1))</f>
        <v>2</v>
      </c>
    </row>
    <row r="6430" customFormat="false" ht="15" hidden="false" customHeight="false" outlineLevel="0" collapsed="false">
      <c r="B6430" s="53"/>
      <c r="I6430" s="53"/>
      <c r="U6430" s="31" t="n">
        <f aca="false">IF($B6430&lt;&gt;'設定（最初に1回）'!$C$4,N(U6429),IF(COUNTIFS(①今日の在庫を貼る!$B$6:$B$10005,$B6430,①今日の在庫を貼る!$I$6:$I$10005,$I6430)&gt;0,N(U6429),N(U6429)+1))</f>
        <v>2</v>
      </c>
    </row>
    <row r="6431" customFormat="false" ht="15" hidden="false" customHeight="false" outlineLevel="0" collapsed="false">
      <c r="B6431" s="53"/>
      <c r="I6431" s="53"/>
      <c r="U6431" s="31" t="n">
        <f aca="false">IF($B6431&lt;&gt;'設定（最初に1回）'!$C$4,N(U6430),IF(COUNTIFS(①今日の在庫を貼る!$B$6:$B$10005,$B6431,①今日の在庫を貼る!$I$6:$I$10005,$I6431)&gt;0,N(U6430),N(U6430)+1))</f>
        <v>2</v>
      </c>
    </row>
    <row r="6432" customFormat="false" ht="15" hidden="false" customHeight="false" outlineLevel="0" collapsed="false">
      <c r="B6432" s="53"/>
      <c r="I6432" s="53"/>
      <c r="U6432" s="31" t="n">
        <f aca="false">IF($B6432&lt;&gt;'設定（最初に1回）'!$C$4,N(U6431),IF(COUNTIFS(①今日の在庫を貼る!$B$6:$B$10005,$B6432,①今日の在庫を貼る!$I$6:$I$10005,$I6432)&gt;0,N(U6431),N(U6431)+1))</f>
        <v>2</v>
      </c>
    </row>
    <row r="6433" customFormat="false" ht="15" hidden="false" customHeight="false" outlineLevel="0" collapsed="false">
      <c r="B6433" s="53"/>
      <c r="I6433" s="53"/>
      <c r="U6433" s="31" t="n">
        <f aca="false">IF($B6433&lt;&gt;'設定（最初に1回）'!$C$4,N(U6432),IF(COUNTIFS(①今日の在庫を貼る!$B$6:$B$10005,$B6433,①今日の在庫を貼る!$I$6:$I$10005,$I6433)&gt;0,N(U6432),N(U6432)+1))</f>
        <v>2</v>
      </c>
    </row>
    <row r="6434" customFormat="false" ht="15" hidden="false" customHeight="false" outlineLevel="0" collapsed="false">
      <c r="B6434" s="53"/>
      <c r="I6434" s="53"/>
      <c r="U6434" s="31" t="n">
        <f aca="false">IF($B6434&lt;&gt;'設定（最初に1回）'!$C$4,N(U6433),IF(COUNTIFS(①今日の在庫を貼る!$B$6:$B$10005,$B6434,①今日の在庫を貼る!$I$6:$I$10005,$I6434)&gt;0,N(U6433),N(U6433)+1))</f>
        <v>2</v>
      </c>
    </row>
    <row r="6435" customFormat="false" ht="15" hidden="false" customHeight="false" outlineLevel="0" collapsed="false">
      <c r="B6435" s="53"/>
      <c r="I6435" s="53"/>
      <c r="U6435" s="31" t="n">
        <f aca="false">IF($B6435&lt;&gt;'設定（最初に1回）'!$C$4,N(U6434),IF(COUNTIFS(①今日の在庫を貼る!$B$6:$B$10005,$B6435,①今日の在庫を貼る!$I$6:$I$10005,$I6435)&gt;0,N(U6434),N(U6434)+1))</f>
        <v>2</v>
      </c>
    </row>
    <row r="6436" customFormat="false" ht="15" hidden="false" customHeight="false" outlineLevel="0" collapsed="false">
      <c r="B6436" s="53"/>
      <c r="I6436" s="53"/>
      <c r="U6436" s="31" t="n">
        <f aca="false">IF($B6436&lt;&gt;'設定（最初に1回）'!$C$4,N(U6435),IF(COUNTIFS(①今日の在庫を貼る!$B$6:$B$10005,$B6436,①今日の在庫を貼る!$I$6:$I$10005,$I6436)&gt;0,N(U6435),N(U6435)+1))</f>
        <v>2</v>
      </c>
    </row>
    <row r="6437" customFormat="false" ht="15" hidden="false" customHeight="false" outlineLevel="0" collapsed="false">
      <c r="B6437" s="53"/>
      <c r="I6437" s="53"/>
      <c r="U6437" s="31" t="n">
        <f aca="false">IF($B6437&lt;&gt;'設定（最初に1回）'!$C$4,N(U6436),IF(COUNTIFS(①今日の在庫を貼る!$B$6:$B$10005,$B6437,①今日の在庫を貼る!$I$6:$I$10005,$I6437)&gt;0,N(U6436),N(U6436)+1))</f>
        <v>2</v>
      </c>
    </row>
    <row r="6438" customFormat="false" ht="15" hidden="false" customHeight="false" outlineLevel="0" collapsed="false">
      <c r="B6438" s="53"/>
      <c r="I6438" s="53"/>
      <c r="U6438" s="31" t="n">
        <f aca="false">IF($B6438&lt;&gt;'設定（最初に1回）'!$C$4,N(U6437),IF(COUNTIFS(①今日の在庫を貼る!$B$6:$B$10005,$B6438,①今日の在庫を貼る!$I$6:$I$10005,$I6438)&gt;0,N(U6437),N(U6437)+1))</f>
        <v>2</v>
      </c>
    </row>
    <row r="6439" customFormat="false" ht="15" hidden="false" customHeight="false" outlineLevel="0" collapsed="false">
      <c r="B6439" s="53"/>
      <c r="I6439" s="53"/>
      <c r="U6439" s="31" t="n">
        <f aca="false">IF($B6439&lt;&gt;'設定（最初に1回）'!$C$4,N(U6438),IF(COUNTIFS(①今日の在庫を貼る!$B$6:$B$10005,$B6439,①今日の在庫を貼る!$I$6:$I$10005,$I6439)&gt;0,N(U6438),N(U6438)+1))</f>
        <v>2</v>
      </c>
    </row>
    <row r="6440" customFormat="false" ht="15" hidden="false" customHeight="false" outlineLevel="0" collapsed="false">
      <c r="B6440" s="53"/>
      <c r="I6440" s="53"/>
      <c r="U6440" s="31" t="n">
        <f aca="false">IF($B6440&lt;&gt;'設定（最初に1回）'!$C$4,N(U6439),IF(COUNTIFS(①今日の在庫を貼る!$B$6:$B$10005,$B6440,①今日の在庫を貼る!$I$6:$I$10005,$I6440)&gt;0,N(U6439),N(U6439)+1))</f>
        <v>2</v>
      </c>
    </row>
    <row r="6441" customFormat="false" ht="15" hidden="false" customHeight="false" outlineLevel="0" collapsed="false">
      <c r="B6441" s="53"/>
      <c r="I6441" s="53"/>
      <c r="U6441" s="31" t="n">
        <f aca="false">IF($B6441&lt;&gt;'設定（最初に1回）'!$C$4,N(U6440),IF(COUNTIFS(①今日の在庫を貼る!$B$6:$B$10005,$B6441,①今日の在庫を貼る!$I$6:$I$10005,$I6441)&gt;0,N(U6440),N(U6440)+1))</f>
        <v>2</v>
      </c>
    </row>
    <row r="6442" customFormat="false" ht="15" hidden="false" customHeight="false" outlineLevel="0" collapsed="false">
      <c r="B6442" s="53"/>
      <c r="I6442" s="53"/>
      <c r="U6442" s="31" t="n">
        <f aca="false">IF($B6442&lt;&gt;'設定（最初に1回）'!$C$4,N(U6441),IF(COUNTIFS(①今日の在庫を貼る!$B$6:$B$10005,$B6442,①今日の在庫を貼る!$I$6:$I$10005,$I6442)&gt;0,N(U6441),N(U6441)+1))</f>
        <v>2</v>
      </c>
    </row>
    <row r="6443" customFormat="false" ht="15" hidden="false" customHeight="false" outlineLevel="0" collapsed="false">
      <c r="B6443" s="53"/>
      <c r="I6443" s="53"/>
      <c r="U6443" s="31" t="n">
        <f aca="false">IF($B6443&lt;&gt;'設定（最初に1回）'!$C$4,N(U6442),IF(COUNTIFS(①今日の在庫を貼る!$B$6:$B$10005,$B6443,①今日の在庫を貼る!$I$6:$I$10005,$I6443)&gt;0,N(U6442),N(U6442)+1))</f>
        <v>2</v>
      </c>
    </row>
    <row r="6444" customFormat="false" ht="15" hidden="false" customHeight="false" outlineLevel="0" collapsed="false">
      <c r="B6444" s="53"/>
      <c r="I6444" s="53"/>
      <c r="U6444" s="31" t="n">
        <f aca="false">IF($B6444&lt;&gt;'設定（最初に1回）'!$C$4,N(U6443),IF(COUNTIFS(①今日の在庫を貼る!$B$6:$B$10005,$B6444,①今日の在庫を貼る!$I$6:$I$10005,$I6444)&gt;0,N(U6443),N(U6443)+1))</f>
        <v>2</v>
      </c>
    </row>
    <row r="6445" customFormat="false" ht="15" hidden="false" customHeight="false" outlineLevel="0" collapsed="false">
      <c r="B6445" s="53"/>
      <c r="I6445" s="53"/>
      <c r="U6445" s="31" t="n">
        <f aca="false">IF($B6445&lt;&gt;'設定（最初に1回）'!$C$4,N(U6444),IF(COUNTIFS(①今日の在庫を貼る!$B$6:$B$10005,$B6445,①今日の在庫を貼る!$I$6:$I$10005,$I6445)&gt;0,N(U6444),N(U6444)+1))</f>
        <v>2</v>
      </c>
    </row>
    <row r="6446" customFormat="false" ht="15" hidden="false" customHeight="false" outlineLevel="0" collapsed="false">
      <c r="B6446" s="53"/>
      <c r="I6446" s="53"/>
      <c r="U6446" s="31" t="n">
        <f aca="false">IF($B6446&lt;&gt;'設定（最初に1回）'!$C$4,N(U6445),IF(COUNTIFS(①今日の在庫を貼る!$B$6:$B$10005,$B6446,①今日の在庫を貼る!$I$6:$I$10005,$I6446)&gt;0,N(U6445),N(U6445)+1))</f>
        <v>2</v>
      </c>
    </row>
    <row r="6447" customFormat="false" ht="15" hidden="false" customHeight="false" outlineLevel="0" collapsed="false">
      <c r="B6447" s="53"/>
      <c r="I6447" s="53"/>
      <c r="U6447" s="31" t="n">
        <f aca="false">IF($B6447&lt;&gt;'設定（最初に1回）'!$C$4,N(U6446),IF(COUNTIFS(①今日の在庫を貼る!$B$6:$B$10005,$B6447,①今日の在庫を貼る!$I$6:$I$10005,$I6447)&gt;0,N(U6446),N(U6446)+1))</f>
        <v>2</v>
      </c>
    </row>
    <row r="6448" customFormat="false" ht="15" hidden="false" customHeight="false" outlineLevel="0" collapsed="false">
      <c r="B6448" s="53"/>
      <c r="I6448" s="53"/>
      <c r="U6448" s="31" t="n">
        <f aca="false">IF($B6448&lt;&gt;'設定（最初に1回）'!$C$4,N(U6447),IF(COUNTIFS(①今日の在庫を貼る!$B$6:$B$10005,$B6448,①今日の在庫を貼る!$I$6:$I$10005,$I6448)&gt;0,N(U6447),N(U6447)+1))</f>
        <v>2</v>
      </c>
    </row>
    <row r="6449" customFormat="false" ht="15" hidden="false" customHeight="false" outlineLevel="0" collapsed="false">
      <c r="B6449" s="53"/>
      <c r="I6449" s="53"/>
      <c r="U6449" s="31" t="n">
        <f aca="false">IF($B6449&lt;&gt;'設定（最初に1回）'!$C$4,N(U6448),IF(COUNTIFS(①今日の在庫を貼る!$B$6:$B$10005,$B6449,①今日の在庫を貼る!$I$6:$I$10005,$I6449)&gt;0,N(U6448),N(U6448)+1))</f>
        <v>2</v>
      </c>
    </row>
    <row r="6450" customFormat="false" ht="15" hidden="false" customHeight="false" outlineLevel="0" collapsed="false">
      <c r="B6450" s="53"/>
      <c r="I6450" s="53"/>
      <c r="U6450" s="31" t="n">
        <f aca="false">IF($B6450&lt;&gt;'設定（最初に1回）'!$C$4,N(U6449),IF(COUNTIFS(①今日の在庫を貼る!$B$6:$B$10005,$B6450,①今日の在庫を貼る!$I$6:$I$10005,$I6450)&gt;0,N(U6449),N(U6449)+1))</f>
        <v>2</v>
      </c>
    </row>
    <row r="6451" customFormat="false" ht="15" hidden="false" customHeight="false" outlineLevel="0" collapsed="false">
      <c r="B6451" s="53"/>
      <c r="I6451" s="53"/>
      <c r="U6451" s="31" t="n">
        <f aca="false">IF($B6451&lt;&gt;'設定（最初に1回）'!$C$4,N(U6450),IF(COUNTIFS(①今日の在庫を貼る!$B$6:$B$10005,$B6451,①今日の在庫を貼る!$I$6:$I$10005,$I6451)&gt;0,N(U6450),N(U6450)+1))</f>
        <v>2</v>
      </c>
    </row>
    <row r="6452" customFormat="false" ht="15" hidden="false" customHeight="false" outlineLevel="0" collapsed="false">
      <c r="B6452" s="53"/>
      <c r="I6452" s="53"/>
      <c r="U6452" s="31" t="n">
        <f aca="false">IF($B6452&lt;&gt;'設定（最初に1回）'!$C$4,N(U6451),IF(COUNTIFS(①今日の在庫を貼る!$B$6:$B$10005,$B6452,①今日の在庫を貼る!$I$6:$I$10005,$I6452)&gt;0,N(U6451),N(U6451)+1))</f>
        <v>2</v>
      </c>
    </row>
    <row r="6453" customFormat="false" ht="15" hidden="false" customHeight="false" outlineLevel="0" collapsed="false">
      <c r="B6453" s="53"/>
      <c r="I6453" s="53"/>
      <c r="U6453" s="31" t="n">
        <f aca="false">IF($B6453&lt;&gt;'設定（最初に1回）'!$C$4,N(U6452),IF(COUNTIFS(①今日の在庫を貼る!$B$6:$B$10005,$B6453,①今日の在庫を貼る!$I$6:$I$10005,$I6453)&gt;0,N(U6452),N(U6452)+1))</f>
        <v>2</v>
      </c>
    </row>
    <row r="6454" customFormat="false" ht="15" hidden="false" customHeight="false" outlineLevel="0" collapsed="false">
      <c r="B6454" s="53"/>
      <c r="I6454" s="53"/>
      <c r="U6454" s="31" t="n">
        <f aca="false">IF($B6454&lt;&gt;'設定（最初に1回）'!$C$4,N(U6453),IF(COUNTIFS(①今日の在庫を貼る!$B$6:$B$10005,$B6454,①今日の在庫を貼る!$I$6:$I$10005,$I6454)&gt;0,N(U6453),N(U6453)+1))</f>
        <v>2</v>
      </c>
    </row>
    <row r="6455" customFormat="false" ht="15" hidden="false" customHeight="false" outlineLevel="0" collapsed="false">
      <c r="B6455" s="53"/>
      <c r="I6455" s="53"/>
      <c r="U6455" s="31" t="n">
        <f aca="false">IF($B6455&lt;&gt;'設定（最初に1回）'!$C$4,N(U6454),IF(COUNTIFS(①今日の在庫を貼る!$B$6:$B$10005,$B6455,①今日の在庫を貼る!$I$6:$I$10005,$I6455)&gt;0,N(U6454),N(U6454)+1))</f>
        <v>2</v>
      </c>
    </row>
    <row r="6456" customFormat="false" ht="15" hidden="false" customHeight="false" outlineLevel="0" collapsed="false">
      <c r="B6456" s="53"/>
      <c r="I6456" s="53"/>
      <c r="U6456" s="31" t="n">
        <f aca="false">IF($B6456&lt;&gt;'設定（最初に1回）'!$C$4,N(U6455),IF(COUNTIFS(①今日の在庫を貼る!$B$6:$B$10005,$B6456,①今日の在庫を貼る!$I$6:$I$10005,$I6456)&gt;0,N(U6455),N(U6455)+1))</f>
        <v>2</v>
      </c>
    </row>
    <row r="6457" customFormat="false" ht="15" hidden="false" customHeight="false" outlineLevel="0" collapsed="false">
      <c r="B6457" s="53"/>
      <c r="I6457" s="53"/>
      <c r="U6457" s="31" t="n">
        <f aca="false">IF($B6457&lt;&gt;'設定（最初に1回）'!$C$4,N(U6456),IF(COUNTIFS(①今日の在庫を貼る!$B$6:$B$10005,$B6457,①今日の在庫を貼る!$I$6:$I$10005,$I6457)&gt;0,N(U6456),N(U6456)+1))</f>
        <v>2</v>
      </c>
    </row>
    <row r="6458" customFormat="false" ht="15" hidden="false" customHeight="false" outlineLevel="0" collapsed="false">
      <c r="B6458" s="53"/>
      <c r="I6458" s="53"/>
      <c r="U6458" s="31" t="n">
        <f aca="false">IF($B6458&lt;&gt;'設定（最初に1回）'!$C$4,N(U6457),IF(COUNTIFS(①今日の在庫を貼る!$B$6:$B$10005,$B6458,①今日の在庫を貼る!$I$6:$I$10005,$I6458)&gt;0,N(U6457),N(U6457)+1))</f>
        <v>2</v>
      </c>
    </row>
    <row r="6459" customFormat="false" ht="15" hidden="false" customHeight="false" outlineLevel="0" collapsed="false">
      <c r="B6459" s="53"/>
      <c r="I6459" s="53"/>
      <c r="U6459" s="31" t="n">
        <f aca="false">IF($B6459&lt;&gt;'設定（最初に1回）'!$C$4,N(U6458),IF(COUNTIFS(①今日の在庫を貼る!$B$6:$B$10005,$B6459,①今日の在庫を貼る!$I$6:$I$10005,$I6459)&gt;0,N(U6458),N(U6458)+1))</f>
        <v>2</v>
      </c>
    </row>
    <row r="6460" customFormat="false" ht="15" hidden="false" customHeight="false" outlineLevel="0" collapsed="false">
      <c r="B6460" s="53"/>
      <c r="I6460" s="53"/>
      <c r="U6460" s="31" t="n">
        <f aca="false">IF($B6460&lt;&gt;'設定（最初に1回）'!$C$4,N(U6459),IF(COUNTIFS(①今日の在庫を貼る!$B$6:$B$10005,$B6460,①今日の在庫を貼る!$I$6:$I$10005,$I6460)&gt;0,N(U6459),N(U6459)+1))</f>
        <v>2</v>
      </c>
    </row>
    <row r="6461" customFormat="false" ht="15" hidden="false" customHeight="false" outlineLevel="0" collapsed="false">
      <c r="B6461" s="53"/>
      <c r="I6461" s="53"/>
      <c r="U6461" s="31" t="n">
        <f aca="false">IF($B6461&lt;&gt;'設定（最初に1回）'!$C$4,N(U6460),IF(COUNTIFS(①今日の在庫を貼る!$B$6:$B$10005,$B6461,①今日の在庫を貼る!$I$6:$I$10005,$I6461)&gt;0,N(U6460),N(U6460)+1))</f>
        <v>2</v>
      </c>
    </row>
    <row r="6462" customFormat="false" ht="15" hidden="false" customHeight="false" outlineLevel="0" collapsed="false">
      <c r="B6462" s="53"/>
      <c r="I6462" s="53"/>
      <c r="U6462" s="31" t="n">
        <f aca="false">IF($B6462&lt;&gt;'設定（最初に1回）'!$C$4,N(U6461),IF(COUNTIFS(①今日の在庫を貼る!$B$6:$B$10005,$B6462,①今日の在庫を貼る!$I$6:$I$10005,$I6462)&gt;0,N(U6461),N(U6461)+1))</f>
        <v>2</v>
      </c>
    </row>
    <row r="6463" customFormat="false" ht="15" hidden="false" customHeight="false" outlineLevel="0" collapsed="false">
      <c r="B6463" s="53"/>
      <c r="I6463" s="53"/>
      <c r="U6463" s="31" t="n">
        <f aca="false">IF($B6463&lt;&gt;'設定（最初に1回）'!$C$4,N(U6462),IF(COUNTIFS(①今日の在庫を貼る!$B$6:$B$10005,$B6463,①今日の在庫を貼る!$I$6:$I$10005,$I6463)&gt;0,N(U6462),N(U6462)+1))</f>
        <v>2</v>
      </c>
    </row>
    <row r="6464" customFormat="false" ht="15" hidden="false" customHeight="false" outlineLevel="0" collapsed="false">
      <c r="B6464" s="53"/>
      <c r="I6464" s="53"/>
      <c r="U6464" s="31" t="n">
        <f aca="false">IF($B6464&lt;&gt;'設定（最初に1回）'!$C$4,N(U6463),IF(COUNTIFS(①今日の在庫を貼る!$B$6:$B$10005,$B6464,①今日の在庫を貼る!$I$6:$I$10005,$I6464)&gt;0,N(U6463),N(U6463)+1))</f>
        <v>2</v>
      </c>
    </row>
    <row r="6465" customFormat="false" ht="15" hidden="false" customHeight="false" outlineLevel="0" collapsed="false">
      <c r="B6465" s="53"/>
      <c r="I6465" s="53"/>
      <c r="U6465" s="31" t="n">
        <f aca="false">IF($B6465&lt;&gt;'設定（最初に1回）'!$C$4,N(U6464),IF(COUNTIFS(①今日の在庫を貼る!$B$6:$B$10005,$B6465,①今日の在庫を貼る!$I$6:$I$10005,$I6465)&gt;0,N(U6464),N(U6464)+1))</f>
        <v>2</v>
      </c>
    </row>
    <row r="6466" customFormat="false" ht="15" hidden="false" customHeight="false" outlineLevel="0" collapsed="false">
      <c r="B6466" s="53"/>
      <c r="I6466" s="53"/>
      <c r="U6466" s="31" t="n">
        <f aca="false">IF($B6466&lt;&gt;'設定（最初に1回）'!$C$4,N(U6465),IF(COUNTIFS(①今日の在庫を貼る!$B$6:$B$10005,$B6466,①今日の在庫を貼る!$I$6:$I$10005,$I6466)&gt;0,N(U6465),N(U6465)+1))</f>
        <v>2</v>
      </c>
    </row>
    <row r="6467" customFormat="false" ht="15" hidden="false" customHeight="false" outlineLevel="0" collapsed="false">
      <c r="B6467" s="53"/>
      <c r="I6467" s="53"/>
      <c r="U6467" s="31" t="n">
        <f aca="false">IF($B6467&lt;&gt;'設定（最初に1回）'!$C$4,N(U6466),IF(COUNTIFS(①今日の在庫を貼る!$B$6:$B$10005,$B6467,①今日の在庫を貼る!$I$6:$I$10005,$I6467)&gt;0,N(U6466),N(U6466)+1))</f>
        <v>2</v>
      </c>
    </row>
    <row r="6468" customFormat="false" ht="15" hidden="false" customHeight="false" outlineLevel="0" collapsed="false">
      <c r="B6468" s="53"/>
      <c r="I6468" s="53"/>
      <c r="U6468" s="31" t="n">
        <f aca="false">IF($B6468&lt;&gt;'設定（最初に1回）'!$C$4,N(U6467),IF(COUNTIFS(①今日の在庫を貼る!$B$6:$B$10005,$B6468,①今日の在庫を貼る!$I$6:$I$10005,$I6468)&gt;0,N(U6467),N(U6467)+1))</f>
        <v>2</v>
      </c>
    </row>
    <row r="6469" customFormat="false" ht="15" hidden="false" customHeight="false" outlineLevel="0" collapsed="false">
      <c r="B6469" s="53"/>
      <c r="I6469" s="53"/>
      <c r="U6469" s="31" t="n">
        <f aca="false">IF($B6469&lt;&gt;'設定（最初に1回）'!$C$4,N(U6468),IF(COUNTIFS(①今日の在庫を貼る!$B$6:$B$10005,$B6469,①今日の在庫を貼る!$I$6:$I$10005,$I6469)&gt;0,N(U6468),N(U6468)+1))</f>
        <v>2</v>
      </c>
    </row>
    <row r="6470" customFormat="false" ht="15" hidden="false" customHeight="false" outlineLevel="0" collapsed="false">
      <c r="B6470" s="53"/>
      <c r="I6470" s="53"/>
      <c r="U6470" s="31" t="n">
        <f aca="false">IF($B6470&lt;&gt;'設定（最初に1回）'!$C$4,N(U6469),IF(COUNTIFS(①今日の在庫を貼る!$B$6:$B$10005,$B6470,①今日の在庫を貼る!$I$6:$I$10005,$I6470)&gt;0,N(U6469),N(U6469)+1))</f>
        <v>2</v>
      </c>
    </row>
    <row r="6471" customFormat="false" ht="15" hidden="false" customHeight="false" outlineLevel="0" collapsed="false">
      <c r="B6471" s="53"/>
      <c r="I6471" s="53"/>
      <c r="U6471" s="31" t="n">
        <f aca="false">IF($B6471&lt;&gt;'設定（最初に1回）'!$C$4,N(U6470),IF(COUNTIFS(①今日の在庫を貼る!$B$6:$B$10005,$B6471,①今日の在庫を貼る!$I$6:$I$10005,$I6471)&gt;0,N(U6470),N(U6470)+1))</f>
        <v>2</v>
      </c>
    </row>
    <row r="6472" customFormat="false" ht="15" hidden="false" customHeight="false" outlineLevel="0" collapsed="false">
      <c r="B6472" s="53"/>
      <c r="I6472" s="53"/>
      <c r="U6472" s="31" t="n">
        <f aca="false">IF($B6472&lt;&gt;'設定（最初に1回）'!$C$4,N(U6471),IF(COUNTIFS(①今日の在庫を貼る!$B$6:$B$10005,$B6472,①今日の在庫を貼る!$I$6:$I$10005,$I6472)&gt;0,N(U6471),N(U6471)+1))</f>
        <v>2</v>
      </c>
    </row>
    <row r="6473" customFormat="false" ht="15" hidden="false" customHeight="false" outlineLevel="0" collapsed="false">
      <c r="B6473" s="53"/>
      <c r="I6473" s="53"/>
      <c r="U6473" s="31" t="n">
        <f aca="false">IF($B6473&lt;&gt;'設定（最初に1回）'!$C$4,N(U6472),IF(COUNTIFS(①今日の在庫を貼る!$B$6:$B$10005,$B6473,①今日の在庫を貼る!$I$6:$I$10005,$I6473)&gt;0,N(U6472),N(U6472)+1))</f>
        <v>2</v>
      </c>
    </row>
    <row r="6474" customFormat="false" ht="15" hidden="false" customHeight="false" outlineLevel="0" collapsed="false">
      <c r="B6474" s="53"/>
      <c r="I6474" s="53"/>
      <c r="U6474" s="31" t="n">
        <f aca="false">IF($B6474&lt;&gt;'設定（最初に1回）'!$C$4,N(U6473),IF(COUNTIFS(①今日の在庫を貼る!$B$6:$B$10005,$B6474,①今日の在庫を貼る!$I$6:$I$10005,$I6474)&gt;0,N(U6473),N(U6473)+1))</f>
        <v>2</v>
      </c>
    </row>
    <row r="6475" customFormat="false" ht="15" hidden="false" customHeight="false" outlineLevel="0" collapsed="false">
      <c r="B6475" s="53"/>
      <c r="I6475" s="53"/>
      <c r="U6475" s="31" t="n">
        <f aca="false">IF($B6475&lt;&gt;'設定（最初に1回）'!$C$4,N(U6474),IF(COUNTIFS(①今日の在庫を貼る!$B$6:$B$10005,$B6475,①今日の在庫を貼る!$I$6:$I$10005,$I6475)&gt;0,N(U6474),N(U6474)+1))</f>
        <v>2</v>
      </c>
    </row>
    <row r="6476" customFormat="false" ht="15" hidden="false" customHeight="false" outlineLevel="0" collapsed="false">
      <c r="B6476" s="53"/>
      <c r="I6476" s="53"/>
      <c r="U6476" s="31" t="n">
        <f aca="false">IF($B6476&lt;&gt;'設定（最初に1回）'!$C$4,N(U6475),IF(COUNTIFS(①今日の在庫を貼る!$B$6:$B$10005,$B6476,①今日の在庫を貼る!$I$6:$I$10005,$I6476)&gt;0,N(U6475),N(U6475)+1))</f>
        <v>2</v>
      </c>
    </row>
    <row r="6477" customFormat="false" ht="15" hidden="false" customHeight="false" outlineLevel="0" collapsed="false">
      <c r="B6477" s="53"/>
      <c r="I6477" s="53"/>
      <c r="U6477" s="31" t="n">
        <f aca="false">IF($B6477&lt;&gt;'設定（最初に1回）'!$C$4,N(U6476),IF(COUNTIFS(①今日の在庫を貼る!$B$6:$B$10005,$B6477,①今日の在庫を貼る!$I$6:$I$10005,$I6477)&gt;0,N(U6476),N(U6476)+1))</f>
        <v>2</v>
      </c>
    </row>
    <row r="6478" customFormat="false" ht="15" hidden="false" customHeight="false" outlineLevel="0" collapsed="false">
      <c r="B6478" s="53"/>
      <c r="I6478" s="53"/>
      <c r="U6478" s="31" t="n">
        <f aca="false">IF($B6478&lt;&gt;'設定（最初に1回）'!$C$4,N(U6477),IF(COUNTIFS(①今日の在庫を貼る!$B$6:$B$10005,$B6478,①今日の在庫を貼る!$I$6:$I$10005,$I6478)&gt;0,N(U6477),N(U6477)+1))</f>
        <v>2</v>
      </c>
    </row>
    <row r="6479" customFormat="false" ht="15" hidden="false" customHeight="false" outlineLevel="0" collapsed="false">
      <c r="B6479" s="53"/>
      <c r="I6479" s="53"/>
      <c r="U6479" s="31" t="n">
        <f aca="false">IF($B6479&lt;&gt;'設定（最初に1回）'!$C$4,N(U6478),IF(COUNTIFS(①今日の在庫を貼る!$B$6:$B$10005,$B6479,①今日の在庫を貼る!$I$6:$I$10005,$I6479)&gt;0,N(U6478),N(U6478)+1))</f>
        <v>2</v>
      </c>
    </row>
    <row r="6480" customFormat="false" ht="15" hidden="false" customHeight="false" outlineLevel="0" collapsed="false">
      <c r="B6480" s="53"/>
      <c r="I6480" s="53"/>
      <c r="U6480" s="31" t="n">
        <f aca="false">IF($B6480&lt;&gt;'設定（最初に1回）'!$C$4,N(U6479),IF(COUNTIFS(①今日の在庫を貼る!$B$6:$B$10005,$B6480,①今日の在庫を貼る!$I$6:$I$10005,$I6480)&gt;0,N(U6479),N(U6479)+1))</f>
        <v>2</v>
      </c>
    </row>
    <row r="6481" customFormat="false" ht="15" hidden="false" customHeight="false" outlineLevel="0" collapsed="false">
      <c r="B6481" s="53"/>
      <c r="I6481" s="53"/>
      <c r="U6481" s="31" t="n">
        <f aca="false">IF($B6481&lt;&gt;'設定（最初に1回）'!$C$4,N(U6480),IF(COUNTIFS(①今日の在庫を貼る!$B$6:$B$10005,$B6481,①今日の在庫を貼る!$I$6:$I$10005,$I6481)&gt;0,N(U6480),N(U6480)+1))</f>
        <v>2</v>
      </c>
    </row>
    <row r="6482" customFormat="false" ht="15" hidden="false" customHeight="false" outlineLevel="0" collapsed="false">
      <c r="B6482" s="53"/>
      <c r="I6482" s="53"/>
      <c r="U6482" s="31" t="n">
        <f aca="false">IF($B6482&lt;&gt;'設定（最初に1回）'!$C$4,N(U6481),IF(COUNTIFS(①今日の在庫を貼る!$B$6:$B$10005,$B6482,①今日の在庫を貼る!$I$6:$I$10005,$I6482)&gt;0,N(U6481),N(U6481)+1))</f>
        <v>2</v>
      </c>
    </row>
    <row r="6483" customFormat="false" ht="15" hidden="false" customHeight="false" outlineLevel="0" collapsed="false">
      <c r="B6483" s="53"/>
      <c r="I6483" s="53"/>
      <c r="U6483" s="31" t="n">
        <f aca="false">IF($B6483&lt;&gt;'設定（最初に1回）'!$C$4,N(U6482),IF(COUNTIFS(①今日の在庫を貼る!$B$6:$B$10005,$B6483,①今日の在庫を貼る!$I$6:$I$10005,$I6483)&gt;0,N(U6482),N(U6482)+1))</f>
        <v>2</v>
      </c>
    </row>
    <row r="6484" customFormat="false" ht="15" hidden="false" customHeight="false" outlineLevel="0" collapsed="false">
      <c r="B6484" s="53"/>
      <c r="I6484" s="53"/>
      <c r="U6484" s="31" t="n">
        <f aca="false">IF($B6484&lt;&gt;'設定（最初に1回）'!$C$4,N(U6483),IF(COUNTIFS(①今日の在庫を貼る!$B$6:$B$10005,$B6484,①今日の在庫を貼る!$I$6:$I$10005,$I6484)&gt;0,N(U6483),N(U6483)+1))</f>
        <v>2</v>
      </c>
    </row>
    <row r="6485" customFormat="false" ht="15" hidden="false" customHeight="false" outlineLevel="0" collapsed="false">
      <c r="B6485" s="53"/>
      <c r="I6485" s="53"/>
      <c r="U6485" s="31" t="n">
        <f aca="false">IF($B6485&lt;&gt;'設定（最初に1回）'!$C$4,N(U6484),IF(COUNTIFS(①今日の在庫を貼る!$B$6:$B$10005,$B6485,①今日の在庫を貼る!$I$6:$I$10005,$I6485)&gt;0,N(U6484),N(U6484)+1))</f>
        <v>2</v>
      </c>
    </row>
    <row r="6486" customFormat="false" ht="15" hidden="false" customHeight="false" outlineLevel="0" collapsed="false">
      <c r="B6486" s="53"/>
      <c r="I6486" s="53"/>
      <c r="U6486" s="31" t="n">
        <f aca="false">IF($B6486&lt;&gt;'設定（最初に1回）'!$C$4,N(U6485),IF(COUNTIFS(①今日の在庫を貼る!$B$6:$B$10005,$B6486,①今日の在庫を貼る!$I$6:$I$10005,$I6486)&gt;0,N(U6485),N(U6485)+1))</f>
        <v>2</v>
      </c>
    </row>
    <row r="6487" customFormat="false" ht="15" hidden="false" customHeight="false" outlineLevel="0" collapsed="false">
      <c r="B6487" s="53"/>
      <c r="I6487" s="53"/>
      <c r="U6487" s="31" t="n">
        <f aca="false">IF($B6487&lt;&gt;'設定（最初に1回）'!$C$4,N(U6486),IF(COUNTIFS(①今日の在庫を貼る!$B$6:$B$10005,$B6487,①今日の在庫を貼る!$I$6:$I$10005,$I6487)&gt;0,N(U6486),N(U6486)+1))</f>
        <v>2</v>
      </c>
    </row>
    <row r="6488" customFormat="false" ht="15" hidden="false" customHeight="false" outlineLevel="0" collapsed="false">
      <c r="B6488" s="53"/>
      <c r="I6488" s="53"/>
      <c r="U6488" s="31" t="n">
        <f aca="false">IF($B6488&lt;&gt;'設定（最初に1回）'!$C$4,N(U6487),IF(COUNTIFS(①今日の在庫を貼る!$B$6:$B$10005,$B6488,①今日の在庫を貼る!$I$6:$I$10005,$I6488)&gt;0,N(U6487),N(U6487)+1))</f>
        <v>2</v>
      </c>
    </row>
    <row r="6489" customFormat="false" ht="15" hidden="false" customHeight="false" outlineLevel="0" collapsed="false">
      <c r="B6489" s="53"/>
      <c r="I6489" s="53"/>
      <c r="U6489" s="31" t="n">
        <f aca="false">IF($B6489&lt;&gt;'設定（最初に1回）'!$C$4,N(U6488),IF(COUNTIFS(①今日の在庫を貼る!$B$6:$B$10005,$B6489,①今日の在庫を貼る!$I$6:$I$10005,$I6489)&gt;0,N(U6488),N(U6488)+1))</f>
        <v>2</v>
      </c>
    </row>
    <row r="6490" customFormat="false" ht="15" hidden="false" customHeight="false" outlineLevel="0" collapsed="false">
      <c r="B6490" s="53"/>
      <c r="I6490" s="53"/>
      <c r="U6490" s="31" t="n">
        <f aca="false">IF($B6490&lt;&gt;'設定（最初に1回）'!$C$4,N(U6489),IF(COUNTIFS(①今日の在庫を貼る!$B$6:$B$10005,$B6490,①今日の在庫を貼る!$I$6:$I$10005,$I6490)&gt;0,N(U6489),N(U6489)+1))</f>
        <v>2</v>
      </c>
    </row>
    <row r="6491" customFormat="false" ht="15" hidden="false" customHeight="false" outlineLevel="0" collapsed="false">
      <c r="B6491" s="53"/>
      <c r="I6491" s="53"/>
      <c r="U6491" s="31" t="n">
        <f aca="false">IF($B6491&lt;&gt;'設定（最初に1回）'!$C$4,N(U6490),IF(COUNTIFS(①今日の在庫を貼る!$B$6:$B$10005,$B6491,①今日の在庫を貼る!$I$6:$I$10005,$I6491)&gt;0,N(U6490),N(U6490)+1))</f>
        <v>2</v>
      </c>
    </row>
    <row r="6492" customFormat="false" ht="15" hidden="false" customHeight="false" outlineLevel="0" collapsed="false">
      <c r="B6492" s="53"/>
      <c r="I6492" s="53"/>
      <c r="U6492" s="31" t="n">
        <f aca="false">IF($B6492&lt;&gt;'設定（最初に1回）'!$C$4,N(U6491),IF(COUNTIFS(①今日の在庫を貼る!$B$6:$B$10005,$B6492,①今日の在庫を貼る!$I$6:$I$10005,$I6492)&gt;0,N(U6491),N(U6491)+1))</f>
        <v>2</v>
      </c>
    </row>
    <row r="6493" customFormat="false" ht="15" hidden="false" customHeight="false" outlineLevel="0" collapsed="false">
      <c r="B6493" s="53"/>
      <c r="I6493" s="53"/>
      <c r="U6493" s="31" t="n">
        <f aca="false">IF($B6493&lt;&gt;'設定（最初に1回）'!$C$4,N(U6492),IF(COUNTIFS(①今日の在庫を貼る!$B$6:$B$10005,$B6493,①今日の在庫を貼る!$I$6:$I$10005,$I6493)&gt;0,N(U6492),N(U6492)+1))</f>
        <v>2</v>
      </c>
    </row>
    <row r="6494" customFormat="false" ht="15" hidden="false" customHeight="false" outlineLevel="0" collapsed="false">
      <c r="B6494" s="53"/>
      <c r="I6494" s="53"/>
      <c r="U6494" s="31" t="n">
        <f aca="false">IF($B6494&lt;&gt;'設定（最初に1回）'!$C$4,N(U6493),IF(COUNTIFS(①今日の在庫を貼る!$B$6:$B$10005,$B6494,①今日の在庫を貼る!$I$6:$I$10005,$I6494)&gt;0,N(U6493),N(U6493)+1))</f>
        <v>2</v>
      </c>
    </row>
    <row r="6495" customFormat="false" ht="15" hidden="false" customHeight="false" outlineLevel="0" collapsed="false">
      <c r="B6495" s="53"/>
      <c r="I6495" s="53"/>
      <c r="U6495" s="31" t="n">
        <f aca="false">IF($B6495&lt;&gt;'設定（最初に1回）'!$C$4,N(U6494),IF(COUNTIFS(①今日の在庫を貼る!$B$6:$B$10005,$B6495,①今日の在庫を貼る!$I$6:$I$10005,$I6495)&gt;0,N(U6494),N(U6494)+1))</f>
        <v>2</v>
      </c>
    </row>
    <row r="6496" customFormat="false" ht="15" hidden="false" customHeight="false" outlineLevel="0" collapsed="false">
      <c r="B6496" s="53"/>
      <c r="I6496" s="53"/>
      <c r="U6496" s="31" t="n">
        <f aca="false">IF($B6496&lt;&gt;'設定（最初に1回）'!$C$4,N(U6495),IF(COUNTIFS(①今日の在庫を貼る!$B$6:$B$10005,$B6496,①今日の在庫を貼る!$I$6:$I$10005,$I6496)&gt;0,N(U6495),N(U6495)+1))</f>
        <v>2</v>
      </c>
    </row>
    <row r="6497" customFormat="false" ht="15" hidden="false" customHeight="false" outlineLevel="0" collapsed="false">
      <c r="B6497" s="53"/>
      <c r="I6497" s="53"/>
      <c r="U6497" s="31" t="n">
        <f aca="false">IF($B6497&lt;&gt;'設定（最初に1回）'!$C$4,N(U6496),IF(COUNTIFS(①今日の在庫を貼る!$B$6:$B$10005,$B6497,①今日の在庫を貼る!$I$6:$I$10005,$I6497)&gt;0,N(U6496),N(U6496)+1))</f>
        <v>2</v>
      </c>
    </row>
    <row r="6498" customFormat="false" ht="15" hidden="false" customHeight="false" outlineLevel="0" collapsed="false">
      <c r="B6498" s="53"/>
      <c r="I6498" s="53"/>
      <c r="U6498" s="31" t="n">
        <f aca="false">IF($B6498&lt;&gt;'設定（最初に1回）'!$C$4,N(U6497),IF(COUNTIFS(①今日の在庫を貼る!$B$6:$B$10005,$B6498,①今日の在庫を貼る!$I$6:$I$10005,$I6498)&gt;0,N(U6497),N(U6497)+1))</f>
        <v>2</v>
      </c>
    </row>
    <row r="6499" customFormat="false" ht="15" hidden="false" customHeight="false" outlineLevel="0" collapsed="false">
      <c r="B6499" s="53"/>
      <c r="I6499" s="53"/>
      <c r="U6499" s="31" t="n">
        <f aca="false">IF($B6499&lt;&gt;'設定（最初に1回）'!$C$4,N(U6498),IF(COUNTIFS(①今日の在庫を貼る!$B$6:$B$10005,$B6499,①今日の在庫を貼る!$I$6:$I$10005,$I6499)&gt;0,N(U6498),N(U6498)+1))</f>
        <v>2</v>
      </c>
    </row>
    <row r="6500" customFormat="false" ht="15" hidden="false" customHeight="false" outlineLevel="0" collapsed="false">
      <c r="B6500" s="53"/>
      <c r="I6500" s="53"/>
      <c r="U6500" s="31" t="n">
        <f aca="false">IF($B6500&lt;&gt;'設定（最初に1回）'!$C$4,N(U6499),IF(COUNTIFS(①今日の在庫を貼る!$B$6:$B$10005,$B6500,①今日の在庫を貼る!$I$6:$I$10005,$I6500)&gt;0,N(U6499),N(U6499)+1))</f>
        <v>2</v>
      </c>
    </row>
    <row r="6501" customFormat="false" ht="15" hidden="false" customHeight="false" outlineLevel="0" collapsed="false">
      <c r="B6501" s="53"/>
      <c r="I6501" s="53"/>
      <c r="U6501" s="31" t="n">
        <f aca="false">IF($B6501&lt;&gt;'設定（最初に1回）'!$C$4,N(U6500),IF(COUNTIFS(①今日の在庫を貼る!$B$6:$B$10005,$B6501,①今日の在庫を貼る!$I$6:$I$10005,$I6501)&gt;0,N(U6500),N(U6500)+1))</f>
        <v>2</v>
      </c>
    </row>
    <row r="6502" customFormat="false" ht="15" hidden="false" customHeight="false" outlineLevel="0" collapsed="false">
      <c r="B6502" s="53"/>
      <c r="I6502" s="53"/>
      <c r="U6502" s="31" t="n">
        <f aca="false">IF($B6502&lt;&gt;'設定（最初に1回）'!$C$4,N(U6501),IF(COUNTIFS(①今日の在庫を貼る!$B$6:$B$10005,$B6502,①今日の在庫を貼る!$I$6:$I$10005,$I6502)&gt;0,N(U6501),N(U6501)+1))</f>
        <v>2</v>
      </c>
    </row>
    <row r="6503" customFormat="false" ht="15" hidden="false" customHeight="false" outlineLevel="0" collapsed="false">
      <c r="B6503" s="53"/>
      <c r="I6503" s="53"/>
      <c r="U6503" s="31" t="n">
        <f aca="false">IF($B6503&lt;&gt;'設定（最初に1回）'!$C$4,N(U6502),IF(COUNTIFS(①今日の在庫を貼る!$B$6:$B$10005,$B6503,①今日の在庫を貼る!$I$6:$I$10005,$I6503)&gt;0,N(U6502),N(U6502)+1))</f>
        <v>2</v>
      </c>
    </row>
    <row r="6504" customFormat="false" ht="15" hidden="false" customHeight="false" outlineLevel="0" collapsed="false">
      <c r="B6504" s="53"/>
      <c r="I6504" s="53"/>
      <c r="U6504" s="31" t="n">
        <f aca="false">IF($B6504&lt;&gt;'設定（最初に1回）'!$C$4,N(U6503),IF(COUNTIFS(①今日の在庫を貼る!$B$6:$B$10005,$B6504,①今日の在庫を貼る!$I$6:$I$10005,$I6504)&gt;0,N(U6503),N(U6503)+1))</f>
        <v>2</v>
      </c>
    </row>
    <row r="6505" customFormat="false" ht="15" hidden="false" customHeight="false" outlineLevel="0" collapsed="false">
      <c r="B6505" s="53"/>
      <c r="I6505" s="53"/>
      <c r="U6505" s="31" t="n">
        <f aca="false">IF($B6505&lt;&gt;'設定（最初に1回）'!$C$4,N(U6504),IF(COUNTIFS(①今日の在庫を貼る!$B$6:$B$10005,$B6505,①今日の在庫を貼る!$I$6:$I$10005,$I6505)&gt;0,N(U6504),N(U6504)+1))</f>
        <v>2</v>
      </c>
    </row>
    <row r="6506" customFormat="false" ht="15" hidden="false" customHeight="false" outlineLevel="0" collapsed="false">
      <c r="B6506" s="53"/>
      <c r="I6506" s="53"/>
      <c r="U6506" s="31" t="n">
        <f aca="false">IF($B6506&lt;&gt;'設定（最初に1回）'!$C$4,N(U6505),IF(COUNTIFS(①今日の在庫を貼る!$B$6:$B$10005,$B6506,①今日の在庫を貼る!$I$6:$I$10005,$I6506)&gt;0,N(U6505),N(U6505)+1))</f>
        <v>2</v>
      </c>
    </row>
    <row r="6507" customFormat="false" ht="15" hidden="false" customHeight="false" outlineLevel="0" collapsed="false">
      <c r="B6507" s="53"/>
      <c r="I6507" s="53"/>
      <c r="U6507" s="31" t="n">
        <f aca="false">IF($B6507&lt;&gt;'設定（最初に1回）'!$C$4,N(U6506),IF(COUNTIFS(①今日の在庫を貼る!$B$6:$B$10005,$B6507,①今日の在庫を貼る!$I$6:$I$10005,$I6507)&gt;0,N(U6506),N(U6506)+1))</f>
        <v>2</v>
      </c>
    </row>
    <row r="6508" customFormat="false" ht="15" hidden="false" customHeight="false" outlineLevel="0" collapsed="false">
      <c r="B6508" s="53"/>
      <c r="I6508" s="53"/>
      <c r="U6508" s="31" t="n">
        <f aca="false">IF($B6508&lt;&gt;'設定（最初に1回）'!$C$4,N(U6507),IF(COUNTIFS(①今日の在庫を貼る!$B$6:$B$10005,$B6508,①今日の在庫を貼る!$I$6:$I$10005,$I6508)&gt;0,N(U6507),N(U6507)+1))</f>
        <v>2</v>
      </c>
    </row>
    <row r="6509" customFormat="false" ht="15" hidden="false" customHeight="false" outlineLevel="0" collapsed="false">
      <c r="B6509" s="53"/>
      <c r="I6509" s="53"/>
      <c r="U6509" s="31" t="n">
        <f aca="false">IF($B6509&lt;&gt;'設定（最初に1回）'!$C$4,N(U6508),IF(COUNTIFS(①今日の在庫を貼る!$B$6:$B$10005,$B6509,①今日の在庫を貼る!$I$6:$I$10005,$I6509)&gt;0,N(U6508),N(U6508)+1))</f>
        <v>2</v>
      </c>
    </row>
    <row r="6510" customFormat="false" ht="15" hidden="false" customHeight="false" outlineLevel="0" collapsed="false">
      <c r="B6510" s="53"/>
      <c r="I6510" s="53"/>
      <c r="U6510" s="31" t="n">
        <f aca="false">IF($B6510&lt;&gt;'設定（最初に1回）'!$C$4,N(U6509),IF(COUNTIFS(①今日の在庫を貼る!$B$6:$B$10005,$B6510,①今日の在庫を貼る!$I$6:$I$10005,$I6510)&gt;0,N(U6509),N(U6509)+1))</f>
        <v>2</v>
      </c>
    </row>
    <row r="6511" customFormat="false" ht="15" hidden="false" customHeight="false" outlineLevel="0" collapsed="false">
      <c r="B6511" s="53"/>
      <c r="I6511" s="53"/>
      <c r="U6511" s="31" t="n">
        <f aca="false">IF($B6511&lt;&gt;'設定（最初に1回）'!$C$4,N(U6510),IF(COUNTIFS(①今日の在庫を貼る!$B$6:$B$10005,$B6511,①今日の在庫を貼る!$I$6:$I$10005,$I6511)&gt;0,N(U6510),N(U6510)+1))</f>
        <v>2</v>
      </c>
    </row>
    <row r="6512" customFormat="false" ht="15" hidden="false" customHeight="false" outlineLevel="0" collapsed="false">
      <c r="B6512" s="53"/>
      <c r="I6512" s="53"/>
      <c r="U6512" s="31" t="n">
        <f aca="false">IF($B6512&lt;&gt;'設定（最初に1回）'!$C$4,N(U6511),IF(COUNTIFS(①今日の在庫を貼る!$B$6:$B$10005,$B6512,①今日の在庫を貼る!$I$6:$I$10005,$I6512)&gt;0,N(U6511),N(U6511)+1))</f>
        <v>2</v>
      </c>
    </row>
    <row r="6513" customFormat="false" ht="15" hidden="false" customHeight="false" outlineLevel="0" collapsed="false">
      <c r="B6513" s="53"/>
      <c r="I6513" s="53"/>
      <c r="U6513" s="31" t="n">
        <f aca="false">IF($B6513&lt;&gt;'設定（最初に1回）'!$C$4,N(U6512),IF(COUNTIFS(①今日の在庫を貼る!$B$6:$B$10005,$B6513,①今日の在庫を貼る!$I$6:$I$10005,$I6513)&gt;0,N(U6512),N(U6512)+1))</f>
        <v>2</v>
      </c>
    </row>
    <row r="6514" customFormat="false" ht="15" hidden="false" customHeight="false" outlineLevel="0" collapsed="false">
      <c r="B6514" s="53"/>
      <c r="I6514" s="53"/>
      <c r="U6514" s="31" t="n">
        <f aca="false">IF($B6514&lt;&gt;'設定（最初に1回）'!$C$4,N(U6513),IF(COUNTIFS(①今日の在庫を貼る!$B$6:$B$10005,$B6514,①今日の在庫を貼る!$I$6:$I$10005,$I6514)&gt;0,N(U6513),N(U6513)+1))</f>
        <v>2</v>
      </c>
    </row>
    <row r="6515" customFormat="false" ht="15" hidden="false" customHeight="false" outlineLevel="0" collapsed="false">
      <c r="B6515" s="53"/>
      <c r="I6515" s="53"/>
      <c r="U6515" s="31" t="n">
        <f aca="false">IF($B6515&lt;&gt;'設定（最初に1回）'!$C$4,N(U6514),IF(COUNTIFS(①今日の在庫を貼る!$B$6:$B$10005,$B6515,①今日の在庫を貼る!$I$6:$I$10005,$I6515)&gt;0,N(U6514),N(U6514)+1))</f>
        <v>2</v>
      </c>
    </row>
    <row r="6516" customFormat="false" ht="15" hidden="false" customHeight="false" outlineLevel="0" collapsed="false">
      <c r="B6516" s="53"/>
      <c r="I6516" s="53"/>
      <c r="U6516" s="31" t="n">
        <f aca="false">IF($B6516&lt;&gt;'設定（最初に1回）'!$C$4,N(U6515),IF(COUNTIFS(①今日の在庫を貼る!$B$6:$B$10005,$B6516,①今日の在庫を貼る!$I$6:$I$10005,$I6516)&gt;0,N(U6515),N(U6515)+1))</f>
        <v>2</v>
      </c>
    </row>
    <row r="6517" customFormat="false" ht="15" hidden="false" customHeight="false" outlineLevel="0" collapsed="false">
      <c r="B6517" s="53"/>
      <c r="I6517" s="53"/>
      <c r="U6517" s="31" t="n">
        <f aca="false">IF($B6517&lt;&gt;'設定（最初に1回）'!$C$4,N(U6516),IF(COUNTIFS(①今日の在庫を貼る!$B$6:$B$10005,$B6517,①今日の在庫を貼る!$I$6:$I$10005,$I6517)&gt;0,N(U6516),N(U6516)+1))</f>
        <v>2</v>
      </c>
    </row>
    <row r="6518" customFormat="false" ht="15" hidden="false" customHeight="false" outlineLevel="0" collapsed="false">
      <c r="B6518" s="53"/>
      <c r="I6518" s="53"/>
      <c r="U6518" s="31" t="n">
        <f aca="false">IF($B6518&lt;&gt;'設定（最初に1回）'!$C$4,N(U6517),IF(COUNTIFS(①今日の在庫を貼る!$B$6:$B$10005,$B6518,①今日の在庫を貼る!$I$6:$I$10005,$I6518)&gt;0,N(U6517),N(U6517)+1))</f>
        <v>2</v>
      </c>
    </row>
    <row r="6519" customFormat="false" ht="15" hidden="false" customHeight="false" outlineLevel="0" collapsed="false">
      <c r="B6519" s="53"/>
      <c r="I6519" s="53"/>
      <c r="U6519" s="31" t="n">
        <f aca="false">IF($B6519&lt;&gt;'設定（最初に1回）'!$C$4,N(U6518),IF(COUNTIFS(①今日の在庫を貼る!$B$6:$B$10005,$B6519,①今日の在庫を貼る!$I$6:$I$10005,$I6519)&gt;0,N(U6518),N(U6518)+1))</f>
        <v>2</v>
      </c>
    </row>
    <row r="6520" customFormat="false" ht="15" hidden="false" customHeight="false" outlineLevel="0" collapsed="false">
      <c r="B6520" s="53"/>
      <c r="I6520" s="53"/>
      <c r="U6520" s="31" t="n">
        <f aca="false">IF($B6520&lt;&gt;'設定（最初に1回）'!$C$4,N(U6519),IF(COUNTIFS(①今日の在庫を貼る!$B$6:$B$10005,$B6520,①今日の在庫を貼る!$I$6:$I$10005,$I6520)&gt;0,N(U6519),N(U6519)+1))</f>
        <v>2</v>
      </c>
    </row>
    <row r="6521" customFormat="false" ht="15" hidden="false" customHeight="false" outlineLevel="0" collapsed="false">
      <c r="B6521" s="53"/>
      <c r="I6521" s="53"/>
      <c r="U6521" s="31" t="n">
        <f aca="false">IF($B6521&lt;&gt;'設定（最初に1回）'!$C$4,N(U6520),IF(COUNTIFS(①今日の在庫を貼る!$B$6:$B$10005,$B6521,①今日の在庫を貼る!$I$6:$I$10005,$I6521)&gt;0,N(U6520),N(U6520)+1))</f>
        <v>2</v>
      </c>
    </row>
    <row r="6522" customFormat="false" ht="15" hidden="false" customHeight="false" outlineLevel="0" collapsed="false">
      <c r="B6522" s="53"/>
      <c r="I6522" s="53"/>
      <c r="U6522" s="31" t="n">
        <f aca="false">IF($B6522&lt;&gt;'設定（最初に1回）'!$C$4,N(U6521),IF(COUNTIFS(①今日の在庫を貼る!$B$6:$B$10005,$B6522,①今日の在庫を貼る!$I$6:$I$10005,$I6522)&gt;0,N(U6521),N(U6521)+1))</f>
        <v>2</v>
      </c>
    </row>
    <row r="6523" customFormat="false" ht="15" hidden="false" customHeight="false" outlineLevel="0" collapsed="false">
      <c r="B6523" s="53"/>
      <c r="I6523" s="53"/>
      <c r="U6523" s="31" t="n">
        <f aca="false">IF($B6523&lt;&gt;'設定（最初に1回）'!$C$4,N(U6522),IF(COUNTIFS(①今日の在庫を貼る!$B$6:$B$10005,$B6523,①今日の在庫を貼る!$I$6:$I$10005,$I6523)&gt;0,N(U6522),N(U6522)+1))</f>
        <v>2</v>
      </c>
    </row>
    <row r="6524" customFormat="false" ht="15" hidden="false" customHeight="false" outlineLevel="0" collapsed="false">
      <c r="B6524" s="53"/>
      <c r="I6524" s="53"/>
      <c r="U6524" s="31" t="n">
        <f aca="false">IF($B6524&lt;&gt;'設定（最初に1回）'!$C$4,N(U6523),IF(COUNTIFS(①今日の在庫を貼る!$B$6:$B$10005,$B6524,①今日の在庫を貼る!$I$6:$I$10005,$I6524)&gt;0,N(U6523),N(U6523)+1))</f>
        <v>2</v>
      </c>
    </row>
    <row r="6525" customFormat="false" ht="15" hidden="false" customHeight="false" outlineLevel="0" collapsed="false">
      <c r="B6525" s="53"/>
      <c r="I6525" s="53"/>
      <c r="U6525" s="31" t="n">
        <f aca="false">IF($B6525&lt;&gt;'設定（最初に1回）'!$C$4,N(U6524),IF(COUNTIFS(①今日の在庫を貼る!$B$6:$B$10005,$B6525,①今日の在庫を貼る!$I$6:$I$10005,$I6525)&gt;0,N(U6524),N(U6524)+1))</f>
        <v>2</v>
      </c>
    </row>
    <row r="6526" customFormat="false" ht="15" hidden="false" customHeight="false" outlineLevel="0" collapsed="false">
      <c r="B6526" s="53"/>
      <c r="I6526" s="53"/>
      <c r="U6526" s="31" t="n">
        <f aca="false">IF($B6526&lt;&gt;'設定（最初に1回）'!$C$4,N(U6525),IF(COUNTIFS(①今日の在庫を貼る!$B$6:$B$10005,$B6526,①今日の在庫を貼る!$I$6:$I$10005,$I6526)&gt;0,N(U6525),N(U6525)+1))</f>
        <v>2</v>
      </c>
    </row>
    <row r="6527" customFormat="false" ht="15" hidden="false" customHeight="false" outlineLevel="0" collapsed="false">
      <c r="B6527" s="53"/>
      <c r="I6527" s="53"/>
      <c r="U6527" s="31" t="n">
        <f aca="false">IF($B6527&lt;&gt;'設定（最初に1回）'!$C$4,N(U6526),IF(COUNTIFS(①今日の在庫を貼る!$B$6:$B$10005,$B6527,①今日の在庫を貼る!$I$6:$I$10005,$I6527)&gt;0,N(U6526),N(U6526)+1))</f>
        <v>2</v>
      </c>
    </row>
    <row r="6528" customFormat="false" ht="15" hidden="false" customHeight="false" outlineLevel="0" collapsed="false">
      <c r="B6528" s="53"/>
      <c r="I6528" s="53"/>
      <c r="U6528" s="31" t="n">
        <f aca="false">IF($B6528&lt;&gt;'設定（最初に1回）'!$C$4,N(U6527),IF(COUNTIFS(①今日の在庫を貼る!$B$6:$B$10005,$B6528,①今日の在庫を貼る!$I$6:$I$10005,$I6528)&gt;0,N(U6527),N(U6527)+1))</f>
        <v>2</v>
      </c>
    </row>
    <row r="6529" customFormat="false" ht="15" hidden="false" customHeight="false" outlineLevel="0" collapsed="false">
      <c r="B6529" s="53"/>
      <c r="I6529" s="53"/>
      <c r="U6529" s="31" t="n">
        <f aca="false">IF($B6529&lt;&gt;'設定（最初に1回）'!$C$4,N(U6528),IF(COUNTIFS(①今日の在庫を貼る!$B$6:$B$10005,$B6529,①今日の在庫を貼る!$I$6:$I$10005,$I6529)&gt;0,N(U6528),N(U6528)+1))</f>
        <v>2</v>
      </c>
    </row>
    <row r="6530" customFormat="false" ht="15" hidden="false" customHeight="false" outlineLevel="0" collapsed="false">
      <c r="B6530" s="53"/>
      <c r="I6530" s="53"/>
      <c r="U6530" s="31" t="n">
        <f aca="false">IF($B6530&lt;&gt;'設定（最初に1回）'!$C$4,N(U6529),IF(COUNTIFS(①今日の在庫を貼る!$B$6:$B$10005,$B6530,①今日の在庫を貼る!$I$6:$I$10005,$I6530)&gt;0,N(U6529),N(U6529)+1))</f>
        <v>2</v>
      </c>
    </row>
    <row r="6531" customFormat="false" ht="15" hidden="false" customHeight="false" outlineLevel="0" collapsed="false">
      <c r="B6531" s="53"/>
      <c r="I6531" s="53"/>
      <c r="U6531" s="31" t="n">
        <f aca="false">IF($B6531&lt;&gt;'設定（最初に1回）'!$C$4,N(U6530),IF(COUNTIFS(①今日の在庫を貼る!$B$6:$B$10005,$B6531,①今日の在庫を貼る!$I$6:$I$10005,$I6531)&gt;0,N(U6530),N(U6530)+1))</f>
        <v>2</v>
      </c>
    </row>
    <row r="6532" customFormat="false" ht="15" hidden="false" customHeight="false" outlineLevel="0" collapsed="false">
      <c r="B6532" s="53"/>
      <c r="I6532" s="53"/>
      <c r="U6532" s="31" t="n">
        <f aca="false">IF($B6532&lt;&gt;'設定（最初に1回）'!$C$4,N(U6531),IF(COUNTIFS(①今日の在庫を貼る!$B$6:$B$10005,$B6532,①今日の在庫を貼る!$I$6:$I$10005,$I6532)&gt;0,N(U6531),N(U6531)+1))</f>
        <v>2</v>
      </c>
    </row>
    <row r="6533" customFormat="false" ht="15" hidden="false" customHeight="false" outlineLevel="0" collapsed="false">
      <c r="B6533" s="53"/>
      <c r="I6533" s="53"/>
      <c r="U6533" s="31" t="n">
        <f aca="false">IF($B6533&lt;&gt;'設定（最初に1回）'!$C$4,N(U6532),IF(COUNTIFS(①今日の在庫を貼る!$B$6:$B$10005,$B6533,①今日の在庫を貼る!$I$6:$I$10005,$I6533)&gt;0,N(U6532),N(U6532)+1))</f>
        <v>2</v>
      </c>
    </row>
    <row r="6534" customFormat="false" ht="15" hidden="false" customHeight="false" outlineLevel="0" collapsed="false">
      <c r="B6534" s="53"/>
      <c r="I6534" s="53"/>
      <c r="U6534" s="31" t="n">
        <f aca="false">IF($B6534&lt;&gt;'設定（最初に1回）'!$C$4,N(U6533),IF(COUNTIFS(①今日の在庫を貼る!$B$6:$B$10005,$B6534,①今日の在庫を貼る!$I$6:$I$10005,$I6534)&gt;0,N(U6533),N(U6533)+1))</f>
        <v>2</v>
      </c>
    </row>
    <row r="6535" customFormat="false" ht="15" hidden="false" customHeight="false" outlineLevel="0" collapsed="false">
      <c r="B6535" s="53"/>
      <c r="I6535" s="53"/>
      <c r="U6535" s="31" t="n">
        <f aca="false">IF($B6535&lt;&gt;'設定（最初に1回）'!$C$4,N(U6534),IF(COUNTIFS(①今日の在庫を貼る!$B$6:$B$10005,$B6535,①今日の在庫を貼る!$I$6:$I$10005,$I6535)&gt;0,N(U6534),N(U6534)+1))</f>
        <v>2</v>
      </c>
    </row>
    <row r="6536" customFormat="false" ht="15" hidden="false" customHeight="false" outlineLevel="0" collapsed="false">
      <c r="B6536" s="53"/>
      <c r="I6536" s="53"/>
      <c r="U6536" s="31" t="n">
        <f aca="false">IF($B6536&lt;&gt;'設定（最初に1回）'!$C$4,N(U6535),IF(COUNTIFS(①今日の在庫を貼る!$B$6:$B$10005,$B6536,①今日の在庫を貼る!$I$6:$I$10005,$I6536)&gt;0,N(U6535),N(U6535)+1))</f>
        <v>2</v>
      </c>
    </row>
    <row r="6537" customFormat="false" ht="15" hidden="false" customHeight="false" outlineLevel="0" collapsed="false">
      <c r="B6537" s="53"/>
      <c r="I6537" s="53"/>
      <c r="U6537" s="31" t="n">
        <f aca="false">IF($B6537&lt;&gt;'設定（最初に1回）'!$C$4,N(U6536),IF(COUNTIFS(①今日の在庫を貼る!$B$6:$B$10005,$B6537,①今日の在庫を貼る!$I$6:$I$10005,$I6537)&gt;0,N(U6536),N(U6536)+1))</f>
        <v>2</v>
      </c>
    </row>
    <row r="6538" customFormat="false" ht="15" hidden="false" customHeight="false" outlineLevel="0" collapsed="false">
      <c r="B6538" s="53"/>
      <c r="I6538" s="53"/>
      <c r="U6538" s="31" t="n">
        <f aca="false">IF($B6538&lt;&gt;'設定（最初に1回）'!$C$4,N(U6537),IF(COUNTIFS(①今日の在庫を貼る!$B$6:$B$10005,$B6538,①今日の在庫を貼る!$I$6:$I$10005,$I6538)&gt;0,N(U6537),N(U6537)+1))</f>
        <v>2</v>
      </c>
    </row>
    <row r="6539" customFormat="false" ht="15" hidden="false" customHeight="false" outlineLevel="0" collapsed="false">
      <c r="B6539" s="53"/>
      <c r="I6539" s="53"/>
      <c r="U6539" s="31" t="n">
        <f aca="false">IF($B6539&lt;&gt;'設定（最初に1回）'!$C$4,N(U6538),IF(COUNTIFS(①今日の在庫を貼る!$B$6:$B$10005,$B6539,①今日の在庫を貼る!$I$6:$I$10005,$I6539)&gt;0,N(U6538),N(U6538)+1))</f>
        <v>2</v>
      </c>
    </row>
    <row r="6540" customFormat="false" ht="15" hidden="false" customHeight="false" outlineLevel="0" collapsed="false">
      <c r="B6540" s="53"/>
      <c r="I6540" s="53"/>
      <c r="U6540" s="31" t="n">
        <f aca="false">IF($B6540&lt;&gt;'設定（最初に1回）'!$C$4,N(U6539),IF(COUNTIFS(①今日の在庫を貼る!$B$6:$B$10005,$B6540,①今日の在庫を貼る!$I$6:$I$10005,$I6540)&gt;0,N(U6539),N(U6539)+1))</f>
        <v>2</v>
      </c>
    </row>
    <row r="6541" customFormat="false" ht="15" hidden="false" customHeight="false" outlineLevel="0" collapsed="false">
      <c r="B6541" s="53"/>
      <c r="I6541" s="53"/>
      <c r="U6541" s="31" t="n">
        <f aca="false">IF($B6541&lt;&gt;'設定（最初に1回）'!$C$4,N(U6540),IF(COUNTIFS(①今日の在庫を貼る!$B$6:$B$10005,$B6541,①今日の在庫を貼る!$I$6:$I$10005,$I6541)&gt;0,N(U6540),N(U6540)+1))</f>
        <v>2</v>
      </c>
    </row>
    <row r="6542" customFormat="false" ht="15" hidden="false" customHeight="false" outlineLevel="0" collapsed="false">
      <c r="B6542" s="53"/>
      <c r="I6542" s="53"/>
      <c r="U6542" s="31" t="n">
        <f aca="false">IF($B6542&lt;&gt;'設定（最初に1回）'!$C$4,N(U6541),IF(COUNTIFS(①今日の在庫を貼る!$B$6:$B$10005,$B6542,①今日の在庫を貼る!$I$6:$I$10005,$I6542)&gt;0,N(U6541),N(U6541)+1))</f>
        <v>2</v>
      </c>
    </row>
    <row r="6543" customFormat="false" ht="15" hidden="false" customHeight="false" outlineLevel="0" collapsed="false">
      <c r="B6543" s="53"/>
      <c r="I6543" s="53"/>
      <c r="U6543" s="31" t="n">
        <f aca="false">IF($B6543&lt;&gt;'設定（最初に1回）'!$C$4,N(U6542),IF(COUNTIFS(①今日の在庫を貼る!$B$6:$B$10005,$B6543,①今日の在庫を貼る!$I$6:$I$10005,$I6543)&gt;0,N(U6542),N(U6542)+1))</f>
        <v>2</v>
      </c>
    </row>
    <row r="6544" customFormat="false" ht="15" hidden="false" customHeight="false" outlineLevel="0" collapsed="false">
      <c r="B6544" s="53"/>
      <c r="I6544" s="53"/>
      <c r="U6544" s="31" t="n">
        <f aca="false">IF($B6544&lt;&gt;'設定（最初に1回）'!$C$4,N(U6543),IF(COUNTIFS(①今日の在庫を貼る!$B$6:$B$10005,$B6544,①今日の在庫を貼る!$I$6:$I$10005,$I6544)&gt;0,N(U6543),N(U6543)+1))</f>
        <v>2</v>
      </c>
    </row>
    <row r="6545" customFormat="false" ht="15" hidden="false" customHeight="false" outlineLevel="0" collapsed="false">
      <c r="B6545" s="53"/>
      <c r="I6545" s="53"/>
      <c r="U6545" s="31" t="n">
        <f aca="false">IF($B6545&lt;&gt;'設定（最初に1回）'!$C$4,N(U6544),IF(COUNTIFS(①今日の在庫を貼る!$B$6:$B$10005,$B6545,①今日の在庫を貼る!$I$6:$I$10005,$I6545)&gt;0,N(U6544),N(U6544)+1))</f>
        <v>2</v>
      </c>
    </row>
    <row r="6546" customFormat="false" ht="15" hidden="false" customHeight="false" outlineLevel="0" collapsed="false">
      <c r="B6546" s="53"/>
      <c r="I6546" s="53"/>
      <c r="U6546" s="31" t="n">
        <f aca="false">IF($B6546&lt;&gt;'設定（最初に1回）'!$C$4,N(U6545),IF(COUNTIFS(①今日の在庫を貼る!$B$6:$B$10005,$B6546,①今日の在庫を貼る!$I$6:$I$10005,$I6546)&gt;0,N(U6545),N(U6545)+1))</f>
        <v>2</v>
      </c>
    </row>
    <row r="6547" customFormat="false" ht="15" hidden="false" customHeight="false" outlineLevel="0" collapsed="false">
      <c r="B6547" s="53"/>
      <c r="I6547" s="53"/>
      <c r="U6547" s="31" t="n">
        <f aca="false">IF($B6547&lt;&gt;'設定（最初に1回）'!$C$4,N(U6546),IF(COUNTIFS(①今日の在庫を貼る!$B$6:$B$10005,$B6547,①今日の在庫を貼る!$I$6:$I$10005,$I6547)&gt;0,N(U6546),N(U6546)+1))</f>
        <v>2</v>
      </c>
    </row>
    <row r="6548" customFormat="false" ht="15" hidden="false" customHeight="false" outlineLevel="0" collapsed="false">
      <c r="B6548" s="53"/>
      <c r="I6548" s="53"/>
      <c r="U6548" s="31" t="n">
        <f aca="false">IF($B6548&lt;&gt;'設定（最初に1回）'!$C$4,N(U6547),IF(COUNTIFS(①今日の在庫を貼る!$B$6:$B$10005,$B6548,①今日の在庫を貼る!$I$6:$I$10005,$I6548)&gt;0,N(U6547),N(U6547)+1))</f>
        <v>2</v>
      </c>
    </row>
    <row r="6549" customFormat="false" ht="15" hidden="false" customHeight="false" outlineLevel="0" collapsed="false">
      <c r="B6549" s="53"/>
      <c r="I6549" s="53"/>
      <c r="U6549" s="31" t="n">
        <f aca="false">IF($B6549&lt;&gt;'設定（最初に1回）'!$C$4,N(U6548),IF(COUNTIFS(①今日の在庫を貼る!$B$6:$B$10005,$B6549,①今日の在庫を貼る!$I$6:$I$10005,$I6549)&gt;0,N(U6548),N(U6548)+1))</f>
        <v>2</v>
      </c>
    </row>
    <row r="6550" customFormat="false" ht="15" hidden="false" customHeight="false" outlineLevel="0" collapsed="false">
      <c r="B6550" s="53"/>
      <c r="I6550" s="53"/>
      <c r="U6550" s="31" t="n">
        <f aca="false">IF($B6550&lt;&gt;'設定（最初に1回）'!$C$4,N(U6549),IF(COUNTIFS(①今日の在庫を貼る!$B$6:$B$10005,$B6550,①今日の在庫を貼る!$I$6:$I$10005,$I6550)&gt;0,N(U6549),N(U6549)+1))</f>
        <v>2</v>
      </c>
    </row>
    <row r="6551" customFormat="false" ht="15" hidden="false" customHeight="false" outlineLevel="0" collapsed="false">
      <c r="B6551" s="53"/>
      <c r="I6551" s="53"/>
      <c r="U6551" s="31" t="n">
        <f aca="false">IF($B6551&lt;&gt;'設定（最初に1回）'!$C$4,N(U6550),IF(COUNTIFS(①今日の在庫を貼る!$B$6:$B$10005,$B6551,①今日の在庫を貼る!$I$6:$I$10005,$I6551)&gt;0,N(U6550),N(U6550)+1))</f>
        <v>2</v>
      </c>
    </row>
    <row r="6552" customFormat="false" ht="15" hidden="false" customHeight="false" outlineLevel="0" collapsed="false">
      <c r="B6552" s="53"/>
      <c r="I6552" s="53"/>
      <c r="U6552" s="31" t="n">
        <f aca="false">IF($B6552&lt;&gt;'設定（最初に1回）'!$C$4,N(U6551),IF(COUNTIFS(①今日の在庫を貼る!$B$6:$B$10005,$B6552,①今日の在庫を貼る!$I$6:$I$10005,$I6552)&gt;0,N(U6551),N(U6551)+1))</f>
        <v>2</v>
      </c>
    </row>
    <row r="6553" customFormat="false" ht="15" hidden="false" customHeight="false" outlineLevel="0" collapsed="false">
      <c r="B6553" s="53"/>
      <c r="I6553" s="53"/>
      <c r="U6553" s="31" t="n">
        <f aca="false">IF($B6553&lt;&gt;'設定（最初に1回）'!$C$4,N(U6552),IF(COUNTIFS(①今日の在庫を貼る!$B$6:$B$10005,$B6553,①今日の在庫を貼る!$I$6:$I$10005,$I6553)&gt;0,N(U6552),N(U6552)+1))</f>
        <v>2</v>
      </c>
    </row>
    <row r="6554" customFormat="false" ht="15" hidden="false" customHeight="false" outlineLevel="0" collapsed="false">
      <c r="B6554" s="53"/>
      <c r="I6554" s="53"/>
      <c r="U6554" s="31" t="n">
        <f aca="false">IF($B6554&lt;&gt;'設定（最初に1回）'!$C$4,N(U6553),IF(COUNTIFS(①今日の在庫を貼る!$B$6:$B$10005,$B6554,①今日の在庫を貼る!$I$6:$I$10005,$I6554)&gt;0,N(U6553),N(U6553)+1))</f>
        <v>2</v>
      </c>
    </row>
    <row r="6555" customFormat="false" ht="15" hidden="false" customHeight="false" outlineLevel="0" collapsed="false">
      <c r="B6555" s="53"/>
      <c r="I6555" s="53"/>
      <c r="U6555" s="31" t="n">
        <f aca="false">IF($B6555&lt;&gt;'設定（最初に1回）'!$C$4,N(U6554),IF(COUNTIFS(①今日の在庫を貼る!$B$6:$B$10005,$B6555,①今日の在庫を貼る!$I$6:$I$10005,$I6555)&gt;0,N(U6554),N(U6554)+1))</f>
        <v>2</v>
      </c>
    </row>
    <row r="6556" customFormat="false" ht="15" hidden="false" customHeight="false" outlineLevel="0" collapsed="false">
      <c r="B6556" s="53"/>
      <c r="I6556" s="53"/>
      <c r="U6556" s="31" t="n">
        <f aca="false">IF($B6556&lt;&gt;'設定（最初に1回）'!$C$4,N(U6555),IF(COUNTIFS(①今日の在庫を貼る!$B$6:$B$10005,$B6556,①今日の在庫を貼る!$I$6:$I$10005,$I6556)&gt;0,N(U6555),N(U6555)+1))</f>
        <v>2</v>
      </c>
    </row>
    <row r="6557" customFormat="false" ht="15" hidden="false" customHeight="false" outlineLevel="0" collapsed="false">
      <c r="B6557" s="53"/>
      <c r="I6557" s="53"/>
      <c r="U6557" s="31" t="n">
        <f aca="false">IF($B6557&lt;&gt;'設定（最初に1回）'!$C$4,N(U6556),IF(COUNTIFS(①今日の在庫を貼る!$B$6:$B$10005,$B6557,①今日の在庫を貼る!$I$6:$I$10005,$I6557)&gt;0,N(U6556),N(U6556)+1))</f>
        <v>2</v>
      </c>
    </row>
    <row r="6558" customFormat="false" ht="15" hidden="false" customHeight="false" outlineLevel="0" collapsed="false">
      <c r="B6558" s="53"/>
      <c r="I6558" s="53"/>
      <c r="U6558" s="31" t="n">
        <f aca="false">IF($B6558&lt;&gt;'設定（最初に1回）'!$C$4,N(U6557),IF(COUNTIFS(①今日の在庫を貼る!$B$6:$B$10005,$B6558,①今日の在庫を貼る!$I$6:$I$10005,$I6558)&gt;0,N(U6557),N(U6557)+1))</f>
        <v>2</v>
      </c>
    </row>
    <row r="6559" customFormat="false" ht="15" hidden="false" customHeight="false" outlineLevel="0" collapsed="false">
      <c r="B6559" s="53"/>
      <c r="I6559" s="53"/>
      <c r="U6559" s="31" t="n">
        <f aca="false">IF($B6559&lt;&gt;'設定（最初に1回）'!$C$4,N(U6558),IF(COUNTIFS(①今日の在庫を貼る!$B$6:$B$10005,$B6559,①今日の在庫を貼る!$I$6:$I$10005,$I6559)&gt;0,N(U6558),N(U6558)+1))</f>
        <v>2</v>
      </c>
    </row>
    <row r="6560" customFormat="false" ht="15" hidden="false" customHeight="false" outlineLevel="0" collapsed="false">
      <c r="B6560" s="53"/>
      <c r="I6560" s="53"/>
      <c r="U6560" s="31" t="n">
        <f aca="false">IF($B6560&lt;&gt;'設定（最初に1回）'!$C$4,N(U6559),IF(COUNTIFS(①今日の在庫を貼る!$B$6:$B$10005,$B6560,①今日の在庫を貼る!$I$6:$I$10005,$I6560)&gt;0,N(U6559),N(U6559)+1))</f>
        <v>2</v>
      </c>
    </row>
    <row r="6561" customFormat="false" ht="15" hidden="false" customHeight="false" outlineLevel="0" collapsed="false">
      <c r="B6561" s="53"/>
      <c r="I6561" s="53"/>
      <c r="U6561" s="31" t="n">
        <f aca="false">IF($B6561&lt;&gt;'設定（最初に1回）'!$C$4,N(U6560),IF(COUNTIFS(①今日の在庫を貼る!$B$6:$B$10005,$B6561,①今日の在庫を貼る!$I$6:$I$10005,$I6561)&gt;0,N(U6560),N(U6560)+1))</f>
        <v>2</v>
      </c>
    </row>
    <row r="6562" customFormat="false" ht="15" hidden="false" customHeight="false" outlineLevel="0" collapsed="false">
      <c r="B6562" s="53"/>
      <c r="I6562" s="53"/>
      <c r="U6562" s="31" t="n">
        <f aca="false">IF($B6562&lt;&gt;'設定（最初に1回）'!$C$4,N(U6561),IF(COUNTIFS(①今日の在庫を貼る!$B$6:$B$10005,$B6562,①今日の在庫を貼る!$I$6:$I$10005,$I6562)&gt;0,N(U6561),N(U6561)+1))</f>
        <v>2</v>
      </c>
    </row>
    <row r="6563" customFormat="false" ht="15" hidden="false" customHeight="false" outlineLevel="0" collapsed="false">
      <c r="B6563" s="53"/>
      <c r="I6563" s="53"/>
      <c r="U6563" s="31" t="n">
        <f aca="false">IF($B6563&lt;&gt;'設定（最初に1回）'!$C$4,N(U6562),IF(COUNTIFS(①今日の在庫を貼る!$B$6:$B$10005,$B6563,①今日の在庫を貼る!$I$6:$I$10005,$I6563)&gt;0,N(U6562),N(U6562)+1))</f>
        <v>2</v>
      </c>
    </row>
    <row r="6564" customFormat="false" ht="15" hidden="false" customHeight="false" outlineLevel="0" collapsed="false">
      <c r="B6564" s="53"/>
      <c r="I6564" s="53"/>
      <c r="U6564" s="31" t="n">
        <f aca="false">IF($B6564&lt;&gt;'設定（最初に1回）'!$C$4,N(U6563),IF(COUNTIFS(①今日の在庫を貼る!$B$6:$B$10005,$B6564,①今日の在庫を貼る!$I$6:$I$10005,$I6564)&gt;0,N(U6563),N(U6563)+1))</f>
        <v>2</v>
      </c>
    </row>
    <row r="6565" customFormat="false" ht="15" hidden="false" customHeight="false" outlineLevel="0" collapsed="false">
      <c r="B6565" s="53"/>
      <c r="I6565" s="53"/>
      <c r="U6565" s="31" t="n">
        <f aca="false">IF($B6565&lt;&gt;'設定（最初に1回）'!$C$4,N(U6564),IF(COUNTIFS(①今日の在庫を貼る!$B$6:$B$10005,$B6565,①今日の在庫を貼る!$I$6:$I$10005,$I6565)&gt;0,N(U6564),N(U6564)+1))</f>
        <v>2</v>
      </c>
    </row>
    <row r="6566" customFormat="false" ht="15" hidden="false" customHeight="false" outlineLevel="0" collapsed="false">
      <c r="B6566" s="53"/>
      <c r="I6566" s="53"/>
      <c r="U6566" s="31" t="n">
        <f aca="false">IF($B6566&lt;&gt;'設定（最初に1回）'!$C$4,N(U6565),IF(COUNTIFS(①今日の在庫を貼る!$B$6:$B$10005,$B6566,①今日の在庫を貼る!$I$6:$I$10005,$I6566)&gt;0,N(U6565),N(U6565)+1))</f>
        <v>2</v>
      </c>
    </row>
    <row r="6567" customFormat="false" ht="15" hidden="false" customHeight="false" outlineLevel="0" collapsed="false">
      <c r="B6567" s="53"/>
      <c r="I6567" s="53"/>
      <c r="U6567" s="31" t="n">
        <f aca="false">IF($B6567&lt;&gt;'設定（最初に1回）'!$C$4,N(U6566),IF(COUNTIFS(①今日の在庫を貼る!$B$6:$B$10005,$B6567,①今日の在庫を貼る!$I$6:$I$10005,$I6567)&gt;0,N(U6566),N(U6566)+1))</f>
        <v>2</v>
      </c>
    </row>
    <row r="6568" customFormat="false" ht="15" hidden="false" customHeight="false" outlineLevel="0" collapsed="false">
      <c r="B6568" s="53"/>
      <c r="I6568" s="53"/>
      <c r="U6568" s="31" t="n">
        <f aca="false">IF($B6568&lt;&gt;'設定（最初に1回）'!$C$4,N(U6567),IF(COUNTIFS(①今日の在庫を貼る!$B$6:$B$10005,$B6568,①今日の在庫を貼る!$I$6:$I$10005,$I6568)&gt;0,N(U6567),N(U6567)+1))</f>
        <v>2</v>
      </c>
    </row>
    <row r="6569" customFormat="false" ht="15" hidden="false" customHeight="false" outlineLevel="0" collapsed="false">
      <c r="B6569" s="53"/>
      <c r="I6569" s="53"/>
      <c r="U6569" s="31" t="n">
        <f aca="false">IF($B6569&lt;&gt;'設定（最初に1回）'!$C$4,N(U6568),IF(COUNTIFS(①今日の在庫を貼る!$B$6:$B$10005,$B6569,①今日の在庫を貼る!$I$6:$I$10005,$I6569)&gt;0,N(U6568),N(U6568)+1))</f>
        <v>2</v>
      </c>
    </row>
    <row r="6570" customFormat="false" ht="15" hidden="false" customHeight="false" outlineLevel="0" collapsed="false">
      <c r="B6570" s="53"/>
      <c r="I6570" s="53"/>
      <c r="U6570" s="31" t="n">
        <f aca="false">IF($B6570&lt;&gt;'設定（最初に1回）'!$C$4,N(U6569),IF(COUNTIFS(①今日の在庫を貼る!$B$6:$B$10005,$B6570,①今日の在庫を貼る!$I$6:$I$10005,$I6570)&gt;0,N(U6569),N(U6569)+1))</f>
        <v>2</v>
      </c>
    </row>
    <row r="6571" customFormat="false" ht="15" hidden="false" customHeight="false" outlineLevel="0" collapsed="false">
      <c r="B6571" s="53"/>
      <c r="I6571" s="53"/>
      <c r="U6571" s="31" t="n">
        <f aca="false">IF($B6571&lt;&gt;'設定（最初に1回）'!$C$4,N(U6570),IF(COUNTIFS(①今日の在庫を貼る!$B$6:$B$10005,$B6571,①今日の在庫を貼る!$I$6:$I$10005,$I6571)&gt;0,N(U6570),N(U6570)+1))</f>
        <v>2</v>
      </c>
    </row>
    <row r="6572" customFormat="false" ht="15" hidden="false" customHeight="false" outlineLevel="0" collapsed="false">
      <c r="B6572" s="53"/>
      <c r="I6572" s="53"/>
      <c r="U6572" s="31" t="n">
        <f aca="false">IF($B6572&lt;&gt;'設定（最初に1回）'!$C$4,N(U6571),IF(COUNTIFS(①今日の在庫を貼る!$B$6:$B$10005,$B6572,①今日の在庫を貼る!$I$6:$I$10005,$I6572)&gt;0,N(U6571),N(U6571)+1))</f>
        <v>2</v>
      </c>
    </row>
    <row r="6573" customFormat="false" ht="15" hidden="false" customHeight="false" outlineLevel="0" collapsed="false">
      <c r="B6573" s="53"/>
      <c r="I6573" s="53"/>
      <c r="U6573" s="31" t="n">
        <f aca="false">IF($B6573&lt;&gt;'設定（最初に1回）'!$C$4,N(U6572),IF(COUNTIFS(①今日の在庫を貼る!$B$6:$B$10005,$B6573,①今日の在庫を貼る!$I$6:$I$10005,$I6573)&gt;0,N(U6572),N(U6572)+1))</f>
        <v>2</v>
      </c>
    </row>
    <row r="6574" customFormat="false" ht="15" hidden="false" customHeight="false" outlineLevel="0" collapsed="false">
      <c r="B6574" s="53"/>
      <c r="I6574" s="53"/>
      <c r="U6574" s="31" t="n">
        <f aca="false">IF($B6574&lt;&gt;'設定（最初に1回）'!$C$4,N(U6573),IF(COUNTIFS(①今日の在庫を貼る!$B$6:$B$10005,$B6574,①今日の在庫を貼る!$I$6:$I$10005,$I6574)&gt;0,N(U6573),N(U6573)+1))</f>
        <v>2</v>
      </c>
    </row>
    <row r="6575" customFormat="false" ht="15" hidden="false" customHeight="false" outlineLevel="0" collapsed="false">
      <c r="B6575" s="53"/>
      <c r="I6575" s="53"/>
      <c r="U6575" s="31" t="n">
        <f aca="false">IF($B6575&lt;&gt;'設定（最初に1回）'!$C$4,N(U6574),IF(COUNTIFS(①今日の在庫を貼る!$B$6:$B$10005,$B6575,①今日の在庫を貼る!$I$6:$I$10005,$I6575)&gt;0,N(U6574),N(U6574)+1))</f>
        <v>2</v>
      </c>
    </row>
    <row r="6576" customFormat="false" ht="15" hidden="false" customHeight="false" outlineLevel="0" collapsed="false">
      <c r="B6576" s="53"/>
      <c r="I6576" s="53"/>
      <c r="U6576" s="31" t="n">
        <f aca="false">IF($B6576&lt;&gt;'設定（最初に1回）'!$C$4,N(U6575),IF(COUNTIFS(①今日の在庫を貼る!$B$6:$B$10005,$B6576,①今日の在庫を貼る!$I$6:$I$10005,$I6576)&gt;0,N(U6575),N(U6575)+1))</f>
        <v>2</v>
      </c>
    </row>
    <row r="6577" customFormat="false" ht="15" hidden="false" customHeight="false" outlineLevel="0" collapsed="false">
      <c r="B6577" s="53"/>
      <c r="I6577" s="53"/>
      <c r="U6577" s="31" t="n">
        <f aca="false">IF($B6577&lt;&gt;'設定（最初に1回）'!$C$4,N(U6576),IF(COUNTIFS(①今日の在庫を貼る!$B$6:$B$10005,$B6577,①今日の在庫を貼る!$I$6:$I$10005,$I6577)&gt;0,N(U6576),N(U6576)+1))</f>
        <v>2</v>
      </c>
    </row>
    <row r="6578" customFormat="false" ht="15" hidden="false" customHeight="false" outlineLevel="0" collapsed="false">
      <c r="B6578" s="53"/>
      <c r="I6578" s="53"/>
      <c r="U6578" s="31" t="n">
        <f aca="false">IF($B6578&lt;&gt;'設定（最初に1回）'!$C$4,N(U6577),IF(COUNTIFS(①今日の在庫を貼る!$B$6:$B$10005,$B6578,①今日の在庫を貼る!$I$6:$I$10005,$I6578)&gt;0,N(U6577),N(U6577)+1))</f>
        <v>2</v>
      </c>
    </row>
    <row r="6579" customFormat="false" ht="15" hidden="false" customHeight="false" outlineLevel="0" collapsed="false">
      <c r="B6579" s="53"/>
      <c r="I6579" s="53"/>
      <c r="U6579" s="31" t="n">
        <f aca="false">IF($B6579&lt;&gt;'設定（最初に1回）'!$C$4,N(U6578),IF(COUNTIFS(①今日の在庫を貼る!$B$6:$B$10005,$B6579,①今日の在庫を貼る!$I$6:$I$10005,$I6579)&gt;0,N(U6578),N(U6578)+1))</f>
        <v>2</v>
      </c>
    </row>
    <row r="6580" customFormat="false" ht="15" hidden="false" customHeight="false" outlineLevel="0" collapsed="false">
      <c r="B6580" s="53"/>
      <c r="I6580" s="53"/>
      <c r="U6580" s="31" t="n">
        <f aca="false">IF($B6580&lt;&gt;'設定（最初に1回）'!$C$4,N(U6579),IF(COUNTIFS(①今日の在庫を貼る!$B$6:$B$10005,$B6580,①今日の在庫を貼る!$I$6:$I$10005,$I6580)&gt;0,N(U6579),N(U6579)+1))</f>
        <v>2</v>
      </c>
    </row>
    <row r="6581" customFormat="false" ht="15" hidden="false" customHeight="false" outlineLevel="0" collapsed="false">
      <c r="B6581" s="53"/>
      <c r="I6581" s="53"/>
      <c r="U6581" s="31" t="n">
        <f aca="false">IF($B6581&lt;&gt;'設定（最初に1回）'!$C$4,N(U6580),IF(COUNTIFS(①今日の在庫を貼る!$B$6:$B$10005,$B6581,①今日の在庫を貼る!$I$6:$I$10005,$I6581)&gt;0,N(U6580),N(U6580)+1))</f>
        <v>2</v>
      </c>
    </row>
    <row r="6582" customFormat="false" ht="15" hidden="false" customHeight="false" outlineLevel="0" collapsed="false">
      <c r="B6582" s="53"/>
      <c r="I6582" s="53"/>
      <c r="U6582" s="31" t="n">
        <f aca="false">IF($B6582&lt;&gt;'設定（最初に1回）'!$C$4,N(U6581),IF(COUNTIFS(①今日の在庫を貼る!$B$6:$B$10005,$B6582,①今日の在庫を貼る!$I$6:$I$10005,$I6582)&gt;0,N(U6581),N(U6581)+1))</f>
        <v>2</v>
      </c>
    </row>
    <row r="6583" customFormat="false" ht="15" hidden="false" customHeight="false" outlineLevel="0" collapsed="false">
      <c r="B6583" s="53"/>
      <c r="I6583" s="53"/>
      <c r="U6583" s="31" t="n">
        <f aca="false">IF($B6583&lt;&gt;'設定（最初に1回）'!$C$4,N(U6582),IF(COUNTIFS(①今日の在庫を貼る!$B$6:$B$10005,$B6583,①今日の在庫を貼る!$I$6:$I$10005,$I6583)&gt;0,N(U6582),N(U6582)+1))</f>
        <v>2</v>
      </c>
    </row>
    <row r="6584" customFormat="false" ht="15" hidden="false" customHeight="false" outlineLevel="0" collapsed="false">
      <c r="B6584" s="53"/>
      <c r="I6584" s="53"/>
      <c r="U6584" s="31" t="n">
        <f aca="false">IF($B6584&lt;&gt;'設定（最初に1回）'!$C$4,N(U6583),IF(COUNTIFS(①今日の在庫を貼る!$B$6:$B$10005,$B6584,①今日の在庫を貼る!$I$6:$I$10005,$I6584)&gt;0,N(U6583),N(U6583)+1))</f>
        <v>2</v>
      </c>
    </row>
    <row r="6585" customFormat="false" ht="15" hidden="false" customHeight="false" outlineLevel="0" collapsed="false">
      <c r="B6585" s="53"/>
      <c r="I6585" s="53"/>
      <c r="U6585" s="31" t="n">
        <f aca="false">IF($B6585&lt;&gt;'設定（最初に1回）'!$C$4,N(U6584),IF(COUNTIFS(①今日の在庫を貼る!$B$6:$B$10005,$B6585,①今日の在庫を貼る!$I$6:$I$10005,$I6585)&gt;0,N(U6584),N(U6584)+1))</f>
        <v>2</v>
      </c>
    </row>
    <row r="6586" customFormat="false" ht="15" hidden="false" customHeight="false" outlineLevel="0" collapsed="false">
      <c r="B6586" s="53"/>
      <c r="I6586" s="53"/>
      <c r="U6586" s="31" t="n">
        <f aca="false">IF($B6586&lt;&gt;'設定（最初に1回）'!$C$4,N(U6585),IF(COUNTIFS(①今日の在庫を貼る!$B$6:$B$10005,$B6586,①今日の在庫を貼る!$I$6:$I$10005,$I6586)&gt;0,N(U6585),N(U6585)+1))</f>
        <v>2</v>
      </c>
    </row>
    <row r="6587" customFormat="false" ht="15" hidden="false" customHeight="false" outlineLevel="0" collapsed="false">
      <c r="B6587" s="53"/>
      <c r="I6587" s="53"/>
      <c r="U6587" s="31" t="n">
        <f aca="false">IF($B6587&lt;&gt;'設定（最初に1回）'!$C$4,N(U6586),IF(COUNTIFS(①今日の在庫を貼る!$B$6:$B$10005,$B6587,①今日の在庫を貼る!$I$6:$I$10005,$I6587)&gt;0,N(U6586),N(U6586)+1))</f>
        <v>2</v>
      </c>
    </row>
    <row r="6588" customFormat="false" ht="15" hidden="false" customHeight="false" outlineLevel="0" collapsed="false">
      <c r="B6588" s="53"/>
      <c r="I6588" s="53"/>
      <c r="U6588" s="31" t="n">
        <f aca="false">IF($B6588&lt;&gt;'設定（最初に1回）'!$C$4,N(U6587),IF(COUNTIFS(①今日の在庫を貼る!$B$6:$B$10005,$B6588,①今日の在庫を貼る!$I$6:$I$10005,$I6588)&gt;0,N(U6587),N(U6587)+1))</f>
        <v>2</v>
      </c>
    </row>
    <row r="6589" customFormat="false" ht="15" hidden="false" customHeight="false" outlineLevel="0" collapsed="false">
      <c r="B6589" s="53"/>
      <c r="I6589" s="53"/>
      <c r="U6589" s="31" t="n">
        <f aca="false">IF($B6589&lt;&gt;'設定（最初に1回）'!$C$4,N(U6588),IF(COUNTIFS(①今日の在庫を貼る!$B$6:$B$10005,$B6589,①今日の在庫を貼る!$I$6:$I$10005,$I6589)&gt;0,N(U6588),N(U6588)+1))</f>
        <v>2</v>
      </c>
    </row>
    <row r="6590" customFormat="false" ht="15" hidden="false" customHeight="false" outlineLevel="0" collapsed="false">
      <c r="B6590" s="53"/>
      <c r="I6590" s="53"/>
      <c r="U6590" s="31" t="n">
        <f aca="false">IF($B6590&lt;&gt;'設定（最初に1回）'!$C$4,N(U6589),IF(COUNTIFS(①今日の在庫を貼る!$B$6:$B$10005,$B6590,①今日の在庫を貼る!$I$6:$I$10005,$I6590)&gt;0,N(U6589),N(U6589)+1))</f>
        <v>2</v>
      </c>
    </row>
    <row r="6591" customFormat="false" ht="15" hidden="false" customHeight="false" outlineLevel="0" collapsed="false">
      <c r="B6591" s="53"/>
      <c r="I6591" s="53"/>
      <c r="U6591" s="31" t="n">
        <f aca="false">IF($B6591&lt;&gt;'設定（最初に1回）'!$C$4,N(U6590),IF(COUNTIFS(①今日の在庫を貼る!$B$6:$B$10005,$B6591,①今日の在庫を貼る!$I$6:$I$10005,$I6591)&gt;0,N(U6590),N(U6590)+1))</f>
        <v>2</v>
      </c>
    </row>
    <row r="6592" customFormat="false" ht="15" hidden="false" customHeight="false" outlineLevel="0" collapsed="false">
      <c r="B6592" s="53"/>
      <c r="I6592" s="53"/>
      <c r="U6592" s="31" t="n">
        <f aca="false">IF($B6592&lt;&gt;'設定（最初に1回）'!$C$4,N(U6591),IF(COUNTIFS(①今日の在庫を貼る!$B$6:$B$10005,$B6592,①今日の在庫を貼る!$I$6:$I$10005,$I6592)&gt;0,N(U6591),N(U6591)+1))</f>
        <v>2</v>
      </c>
    </row>
    <row r="6593" customFormat="false" ht="15" hidden="false" customHeight="false" outlineLevel="0" collapsed="false">
      <c r="B6593" s="53"/>
      <c r="I6593" s="53"/>
      <c r="U6593" s="31" t="n">
        <f aca="false">IF($B6593&lt;&gt;'設定（最初に1回）'!$C$4,N(U6592),IF(COUNTIFS(①今日の在庫を貼る!$B$6:$B$10005,$B6593,①今日の在庫を貼る!$I$6:$I$10005,$I6593)&gt;0,N(U6592),N(U6592)+1))</f>
        <v>2</v>
      </c>
    </row>
    <row r="6594" customFormat="false" ht="15" hidden="false" customHeight="false" outlineLevel="0" collapsed="false">
      <c r="B6594" s="53"/>
      <c r="I6594" s="53"/>
      <c r="U6594" s="31" t="n">
        <f aca="false">IF($B6594&lt;&gt;'設定（最初に1回）'!$C$4,N(U6593),IF(COUNTIFS(①今日の在庫を貼る!$B$6:$B$10005,$B6594,①今日の在庫を貼る!$I$6:$I$10005,$I6594)&gt;0,N(U6593),N(U6593)+1))</f>
        <v>2</v>
      </c>
    </row>
    <row r="6595" customFormat="false" ht="15" hidden="false" customHeight="false" outlineLevel="0" collapsed="false">
      <c r="B6595" s="53"/>
      <c r="I6595" s="53"/>
      <c r="U6595" s="31" t="n">
        <f aca="false">IF($B6595&lt;&gt;'設定（最初に1回）'!$C$4,N(U6594),IF(COUNTIFS(①今日の在庫を貼る!$B$6:$B$10005,$B6595,①今日の在庫を貼る!$I$6:$I$10005,$I6595)&gt;0,N(U6594),N(U6594)+1))</f>
        <v>2</v>
      </c>
    </row>
    <row r="6596" customFormat="false" ht="15" hidden="false" customHeight="false" outlineLevel="0" collapsed="false">
      <c r="B6596" s="53"/>
      <c r="I6596" s="53"/>
      <c r="U6596" s="31" t="n">
        <f aca="false">IF($B6596&lt;&gt;'設定（最初に1回）'!$C$4,N(U6595),IF(COUNTIFS(①今日の在庫を貼る!$B$6:$B$10005,$B6596,①今日の在庫を貼る!$I$6:$I$10005,$I6596)&gt;0,N(U6595),N(U6595)+1))</f>
        <v>2</v>
      </c>
    </row>
    <row r="6597" customFormat="false" ht="15" hidden="false" customHeight="false" outlineLevel="0" collapsed="false">
      <c r="B6597" s="53"/>
      <c r="I6597" s="53"/>
      <c r="U6597" s="31" t="n">
        <f aca="false">IF($B6597&lt;&gt;'設定（最初に1回）'!$C$4,N(U6596),IF(COUNTIFS(①今日の在庫を貼る!$B$6:$B$10005,$B6597,①今日の在庫を貼る!$I$6:$I$10005,$I6597)&gt;0,N(U6596),N(U6596)+1))</f>
        <v>2</v>
      </c>
    </row>
    <row r="6598" customFormat="false" ht="15" hidden="false" customHeight="false" outlineLevel="0" collapsed="false">
      <c r="B6598" s="53"/>
      <c r="I6598" s="53"/>
      <c r="U6598" s="31" t="n">
        <f aca="false">IF($B6598&lt;&gt;'設定（最初に1回）'!$C$4,N(U6597),IF(COUNTIFS(①今日の在庫を貼る!$B$6:$B$10005,$B6598,①今日の在庫を貼る!$I$6:$I$10005,$I6598)&gt;0,N(U6597),N(U6597)+1))</f>
        <v>2</v>
      </c>
    </row>
    <row r="6599" customFormat="false" ht="15" hidden="false" customHeight="false" outlineLevel="0" collapsed="false">
      <c r="B6599" s="53"/>
      <c r="I6599" s="53"/>
      <c r="U6599" s="31" t="n">
        <f aca="false">IF($B6599&lt;&gt;'設定（最初に1回）'!$C$4,N(U6598),IF(COUNTIFS(①今日の在庫を貼る!$B$6:$B$10005,$B6599,①今日の在庫を貼る!$I$6:$I$10005,$I6599)&gt;0,N(U6598),N(U6598)+1))</f>
        <v>2</v>
      </c>
    </row>
    <row r="6600" customFormat="false" ht="15" hidden="false" customHeight="false" outlineLevel="0" collapsed="false">
      <c r="B6600" s="53"/>
      <c r="I6600" s="53"/>
      <c r="U6600" s="31" t="n">
        <f aca="false">IF($B6600&lt;&gt;'設定（最初に1回）'!$C$4,N(U6599),IF(COUNTIFS(①今日の在庫を貼る!$B$6:$B$10005,$B6600,①今日の在庫を貼る!$I$6:$I$10005,$I6600)&gt;0,N(U6599),N(U6599)+1))</f>
        <v>2</v>
      </c>
    </row>
    <row r="6601" customFormat="false" ht="15" hidden="false" customHeight="false" outlineLevel="0" collapsed="false">
      <c r="B6601" s="53"/>
      <c r="I6601" s="53"/>
      <c r="U6601" s="31" t="n">
        <f aca="false">IF($B6601&lt;&gt;'設定（最初に1回）'!$C$4,N(U6600),IF(COUNTIFS(①今日の在庫を貼る!$B$6:$B$10005,$B6601,①今日の在庫を貼る!$I$6:$I$10005,$I6601)&gt;0,N(U6600),N(U6600)+1))</f>
        <v>2</v>
      </c>
    </row>
    <row r="6602" customFormat="false" ht="15" hidden="false" customHeight="false" outlineLevel="0" collapsed="false">
      <c r="B6602" s="53"/>
      <c r="I6602" s="53"/>
      <c r="U6602" s="31" t="n">
        <f aca="false">IF($B6602&lt;&gt;'設定（最初に1回）'!$C$4,N(U6601),IF(COUNTIFS(①今日の在庫を貼る!$B$6:$B$10005,$B6602,①今日の在庫を貼る!$I$6:$I$10005,$I6602)&gt;0,N(U6601),N(U6601)+1))</f>
        <v>2</v>
      </c>
    </row>
    <row r="6603" customFormat="false" ht="15" hidden="false" customHeight="false" outlineLevel="0" collapsed="false">
      <c r="B6603" s="53"/>
      <c r="I6603" s="53"/>
      <c r="U6603" s="31" t="n">
        <f aca="false">IF($B6603&lt;&gt;'設定（最初に1回）'!$C$4,N(U6602),IF(COUNTIFS(①今日の在庫を貼る!$B$6:$B$10005,$B6603,①今日の在庫を貼る!$I$6:$I$10005,$I6603)&gt;0,N(U6602),N(U6602)+1))</f>
        <v>2</v>
      </c>
    </row>
    <row r="6604" customFormat="false" ht="15" hidden="false" customHeight="false" outlineLevel="0" collapsed="false">
      <c r="B6604" s="53"/>
      <c r="I6604" s="53"/>
      <c r="U6604" s="31" t="n">
        <f aca="false">IF($B6604&lt;&gt;'設定（最初に1回）'!$C$4,N(U6603),IF(COUNTIFS(①今日の在庫を貼る!$B$6:$B$10005,$B6604,①今日の在庫を貼る!$I$6:$I$10005,$I6604)&gt;0,N(U6603),N(U6603)+1))</f>
        <v>2</v>
      </c>
    </row>
    <row r="6605" customFormat="false" ht="15" hidden="false" customHeight="false" outlineLevel="0" collapsed="false">
      <c r="B6605" s="53"/>
      <c r="I6605" s="53"/>
      <c r="U6605" s="31" t="n">
        <f aca="false">IF($B6605&lt;&gt;'設定（最初に1回）'!$C$4,N(U6604),IF(COUNTIFS(①今日の在庫を貼る!$B$6:$B$10005,$B6605,①今日の在庫を貼る!$I$6:$I$10005,$I6605)&gt;0,N(U6604),N(U6604)+1))</f>
        <v>2</v>
      </c>
    </row>
    <row r="6606" customFormat="false" ht="15" hidden="false" customHeight="false" outlineLevel="0" collapsed="false">
      <c r="B6606" s="53"/>
      <c r="I6606" s="53"/>
      <c r="U6606" s="31" t="n">
        <f aca="false">IF($B6606&lt;&gt;'設定（最初に1回）'!$C$4,N(U6605),IF(COUNTIFS(①今日の在庫を貼る!$B$6:$B$10005,$B6606,①今日の在庫を貼る!$I$6:$I$10005,$I6606)&gt;0,N(U6605),N(U6605)+1))</f>
        <v>2</v>
      </c>
    </row>
    <row r="6607" customFormat="false" ht="15" hidden="false" customHeight="false" outlineLevel="0" collapsed="false">
      <c r="B6607" s="53"/>
      <c r="I6607" s="53"/>
      <c r="U6607" s="31" t="n">
        <f aca="false">IF($B6607&lt;&gt;'設定（最初に1回）'!$C$4,N(U6606),IF(COUNTIFS(①今日の在庫を貼る!$B$6:$B$10005,$B6607,①今日の在庫を貼る!$I$6:$I$10005,$I6607)&gt;0,N(U6606),N(U6606)+1))</f>
        <v>2</v>
      </c>
    </row>
    <row r="6608" customFormat="false" ht="15" hidden="false" customHeight="false" outlineLevel="0" collapsed="false">
      <c r="B6608" s="53"/>
      <c r="I6608" s="53"/>
      <c r="U6608" s="31" t="n">
        <f aca="false">IF($B6608&lt;&gt;'設定（最初に1回）'!$C$4,N(U6607),IF(COUNTIFS(①今日の在庫を貼る!$B$6:$B$10005,$B6608,①今日の在庫を貼る!$I$6:$I$10005,$I6608)&gt;0,N(U6607),N(U6607)+1))</f>
        <v>2</v>
      </c>
    </row>
    <row r="6609" customFormat="false" ht="15" hidden="false" customHeight="false" outlineLevel="0" collapsed="false">
      <c r="B6609" s="53"/>
      <c r="I6609" s="53"/>
      <c r="U6609" s="31" t="n">
        <f aca="false">IF($B6609&lt;&gt;'設定（最初に1回）'!$C$4,N(U6608),IF(COUNTIFS(①今日の在庫を貼る!$B$6:$B$10005,$B6609,①今日の在庫を貼る!$I$6:$I$10005,$I6609)&gt;0,N(U6608),N(U6608)+1))</f>
        <v>2</v>
      </c>
    </row>
    <row r="6610" customFormat="false" ht="15" hidden="false" customHeight="false" outlineLevel="0" collapsed="false">
      <c r="B6610" s="53"/>
      <c r="I6610" s="53"/>
      <c r="U6610" s="31" t="n">
        <f aca="false">IF($B6610&lt;&gt;'設定（最初に1回）'!$C$4,N(U6609),IF(COUNTIFS(①今日の在庫を貼る!$B$6:$B$10005,$B6610,①今日の在庫を貼る!$I$6:$I$10005,$I6610)&gt;0,N(U6609),N(U6609)+1))</f>
        <v>2</v>
      </c>
    </row>
    <row r="6611" customFormat="false" ht="15" hidden="false" customHeight="false" outlineLevel="0" collapsed="false">
      <c r="B6611" s="53"/>
      <c r="I6611" s="53"/>
      <c r="U6611" s="31" t="n">
        <f aca="false">IF($B6611&lt;&gt;'設定（最初に1回）'!$C$4,N(U6610),IF(COUNTIFS(①今日の在庫を貼る!$B$6:$B$10005,$B6611,①今日の在庫を貼る!$I$6:$I$10005,$I6611)&gt;0,N(U6610),N(U6610)+1))</f>
        <v>2</v>
      </c>
    </row>
    <row r="6612" customFormat="false" ht="15" hidden="false" customHeight="false" outlineLevel="0" collapsed="false">
      <c r="B6612" s="53"/>
      <c r="I6612" s="53"/>
      <c r="U6612" s="31" t="n">
        <f aca="false">IF($B6612&lt;&gt;'設定（最初に1回）'!$C$4,N(U6611),IF(COUNTIFS(①今日の在庫を貼る!$B$6:$B$10005,$B6612,①今日の在庫を貼る!$I$6:$I$10005,$I6612)&gt;0,N(U6611),N(U6611)+1))</f>
        <v>2</v>
      </c>
    </row>
    <row r="6613" customFormat="false" ht="15" hidden="false" customHeight="false" outlineLevel="0" collapsed="false">
      <c r="B6613" s="53"/>
      <c r="I6613" s="53"/>
      <c r="U6613" s="31" t="n">
        <f aca="false">IF($B6613&lt;&gt;'設定（最初に1回）'!$C$4,N(U6612),IF(COUNTIFS(①今日の在庫を貼る!$B$6:$B$10005,$B6613,①今日の在庫を貼る!$I$6:$I$10005,$I6613)&gt;0,N(U6612),N(U6612)+1))</f>
        <v>2</v>
      </c>
    </row>
    <row r="6614" customFormat="false" ht="15" hidden="false" customHeight="false" outlineLevel="0" collapsed="false">
      <c r="B6614" s="53"/>
      <c r="I6614" s="53"/>
      <c r="U6614" s="31" t="n">
        <f aca="false">IF($B6614&lt;&gt;'設定（最初に1回）'!$C$4,N(U6613),IF(COUNTIFS(①今日の在庫を貼る!$B$6:$B$10005,$B6614,①今日の在庫を貼る!$I$6:$I$10005,$I6614)&gt;0,N(U6613),N(U6613)+1))</f>
        <v>2</v>
      </c>
    </row>
    <row r="6615" customFormat="false" ht="15" hidden="false" customHeight="false" outlineLevel="0" collapsed="false">
      <c r="B6615" s="53"/>
      <c r="I6615" s="53"/>
      <c r="U6615" s="31" t="n">
        <f aca="false">IF($B6615&lt;&gt;'設定（最初に1回）'!$C$4,N(U6614),IF(COUNTIFS(①今日の在庫を貼る!$B$6:$B$10005,$B6615,①今日の在庫を貼る!$I$6:$I$10005,$I6615)&gt;0,N(U6614),N(U6614)+1))</f>
        <v>2</v>
      </c>
    </row>
    <row r="6616" customFormat="false" ht="15" hidden="false" customHeight="false" outlineLevel="0" collapsed="false">
      <c r="B6616" s="53"/>
      <c r="I6616" s="53"/>
      <c r="U6616" s="31" t="n">
        <f aca="false">IF($B6616&lt;&gt;'設定（最初に1回）'!$C$4,N(U6615),IF(COUNTIFS(①今日の在庫を貼る!$B$6:$B$10005,$B6616,①今日の在庫を貼る!$I$6:$I$10005,$I6616)&gt;0,N(U6615),N(U6615)+1))</f>
        <v>2</v>
      </c>
    </row>
    <row r="6617" customFormat="false" ht="15" hidden="false" customHeight="false" outlineLevel="0" collapsed="false">
      <c r="B6617" s="53"/>
      <c r="I6617" s="53"/>
      <c r="U6617" s="31" t="n">
        <f aca="false">IF($B6617&lt;&gt;'設定（最初に1回）'!$C$4,N(U6616),IF(COUNTIFS(①今日の在庫を貼る!$B$6:$B$10005,$B6617,①今日の在庫を貼る!$I$6:$I$10005,$I6617)&gt;0,N(U6616),N(U6616)+1))</f>
        <v>2</v>
      </c>
    </row>
    <row r="6618" customFormat="false" ht="15" hidden="false" customHeight="false" outlineLevel="0" collapsed="false">
      <c r="B6618" s="53"/>
      <c r="I6618" s="53"/>
      <c r="U6618" s="31" t="n">
        <f aca="false">IF($B6618&lt;&gt;'設定（最初に1回）'!$C$4,N(U6617),IF(COUNTIFS(①今日の在庫を貼る!$B$6:$B$10005,$B6618,①今日の在庫を貼る!$I$6:$I$10005,$I6618)&gt;0,N(U6617),N(U6617)+1))</f>
        <v>2</v>
      </c>
    </row>
    <row r="6619" customFormat="false" ht="15" hidden="false" customHeight="false" outlineLevel="0" collapsed="false">
      <c r="B6619" s="53"/>
      <c r="I6619" s="53"/>
      <c r="U6619" s="31" t="n">
        <f aca="false">IF($B6619&lt;&gt;'設定（最初に1回）'!$C$4,N(U6618),IF(COUNTIFS(①今日の在庫を貼る!$B$6:$B$10005,$B6619,①今日の在庫を貼る!$I$6:$I$10005,$I6619)&gt;0,N(U6618),N(U6618)+1))</f>
        <v>2</v>
      </c>
    </row>
    <row r="6620" customFormat="false" ht="15" hidden="false" customHeight="false" outlineLevel="0" collapsed="false">
      <c r="B6620" s="53"/>
      <c r="I6620" s="53"/>
      <c r="U6620" s="31" t="n">
        <f aca="false">IF($B6620&lt;&gt;'設定（最初に1回）'!$C$4,N(U6619),IF(COUNTIFS(①今日の在庫を貼る!$B$6:$B$10005,$B6620,①今日の在庫を貼る!$I$6:$I$10005,$I6620)&gt;0,N(U6619),N(U6619)+1))</f>
        <v>2</v>
      </c>
    </row>
    <row r="6621" customFormat="false" ht="15" hidden="false" customHeight="false" outlineLevel="0" collapsed="false">
      <c r="B6621" s="53"/>
      <c r="I6621" s="53"/>
      <c r="U6621" s="31" t="n">
        <f aca="false">IF($B6621&lt;&gt;'設定（最初に1回）'!$C$4,N(U6620),IF(COUNTIFS(①今日の在庫を貼る!$B$6:$B$10005,$B6621,①今日の在庫を貼る!$I$6:$I$10005,$I6621)&gt;0,N(U6620),N(U6620)+1))</f>
        <v>2</v>
      </c>
    </row>
    <row r="6622" customFormat="false" ht="15" hidden="false" customHeight="false" outlineLevel="0" collapsed="false">
      <c r="B6622" s="53"/>
      <c r="I6622" s="53"/>
      <c r="U6622" s="31" t="n">
        <f aca="false">IF($B6622&lt;&gt;'設定（最初に1回）'!$C$4,N(U6621),IF(COUNTIFS(①今日の在庫を貼る!$B$6:$B$10005,$B6622,①今日の在庫を貼る!$I$6:$I$10005,$I6622)&gt;0,N(U6621),N(U6621)+1))</f>
        <v>2</v>
      </c>
    </row>
    <row r="6623" customFormat="false" ht="15" hidden="false" customHeight="false" outlineLevel="0" collapsed="false">
      <c r="B6623" s="53"/>
      <c r="I6623" s="53"/>
      <c r="U6623" s="31" t="n">
        <f aca="false">IF($B6623&lt;&gt;'設定（最初に1回）'!$C$4,N(U6622),IF(COUNTIFS(①今日の在庫を貼る!$B$6:$B$10005,$B6623,①今日の在庫を貼る!$I$6:$I$10005,$I6623)&gt;0,N(U6622),N(U6622)+1))</f>
        <v>2</v>
      </c>
    </row>
    <row r="6624" customFormat="false" ht="15" hidden="false" customHeight="false" outlineLevel="0" collapsed="false">
      <c r="B6624" s="53"/>
      <c r="I6624" s="53"/>
      <c r="U6624" s="31" t="n">
        <f aca="false">IF($B6624&lt;&gt;'設定（最初に1回）'!$C$4,N(U6623),IF(COUNTIFS(①今日の在庫を貼る!$B$6:$B$10005,$B6624,①今日の在庫を貼る!$I$6:$I$10005,$I6624)&gt;0,N(U6623),N(U6623)+1))</f>
        <v>2</v>
      </c>
    </row>
    <row r="6625" customFormat="false" ht="15" hidden="false" customHeight="false" outlineLevel="0" collapsed="false">
      <c r="B6625" s="53"/>
      <c r="I6625" s="53"/>
      <c r="U6625" s="31" t="n">
        <f aca="false">IF($B6625&lt;&gt;'設定（最初に1回）'!$C$4,N(U6624),IF(COUNTIFS(①今日の在庫を貼る!$B$6:$B$10005,$B6625,①今日の在庫を貼る!$I$6:$I$10005,$I6625)&gt;0,N(U6624),N(U6624)+1))</f>
        <v>2</v>
      </c>
    </row>
    <row r="6626" customFormat="false" ht="15" hidden="false" customHeight="false" outlineLevel="0" collapsed="false">
      <c r="B6626" s="53"/>
      <c r="I6626" s="53"/>
      <c r="U6626" s="31" t="n">
        <f aca="false">IF($B6626&lt;&gt;'設定（最初に1回）'!$C$4,N(U6625),IF(COUNTIFS(①今日の在庫を貼る!$B$6:$B$10005,$B6626,①今日の在庫を貼る!$I$6:$I$10005,$I6626)&gt;0,N(U6625),N(U6625)+1))</f>
        <v>2</v>
      </c>
    </row>
    <row r="6627" customFormat="false" ht="15" hidden="false" customHeight="false" outlineLevel="0" collapsed="false">
      <c r="B6627" s="53"/>
      <c r="I6627" s="53"/>
      <c r="U6627" s="31" t="n">
        <f aca="false">IF($B6627&lt;&gt;'設定（最初に1回）'!$C$4,N(U6626),IF(COUNTIFS(①今日の在庫を貼る!$B$6:$B$10005,$B6627,①今日の在庫を貼る!$I$6:$I$10005,$I6627)&gt;0,N(U6626),N(U6626)+1))</f>
        <v>2</v>
      </c>
    </row>
    <row r="6628" customFormat="false" ht="15" hidden="false" customHeight="false" outlineLevel="0" collapsed="false">
      <c r="B6628" s="53"/>
      <c r="I6628" s="53"/>
      <c r="U6628" s="31" t="n">
        <f aca="false">IF($B6628&lt;&gt;'設定（最初に1回）'!$C$4,N(U6627),IF(COUNTIFS(①今日の在庫を貼る!$B$6:$B$10005,$B6628,①今日の在庫を貼る!$I$6:$I$10005,$I6628)&gt;0,N(U6627),N(U6627)+1))</f>
        <v>2</v>
      </c>
    </row>
    <row r="6629" customFormat="false" ht="15" hidden="false" customHeight="false" outlineLevel="0" collapsed="false">
      <c r="B6629" s="53"/>
      <c r="I6629" s="53"/>
      <c r="U6629" s="31" t="n">
        <f aca="false">IF($B6629&lt;&gt;'設定（最初に1回）'!$C$4,N(U6628),IF(COUNTIFS(①今日の在庫を貼る!$B$6:$B$10005,$B6629,①今日の在庫を貼る!$I$6:$I$10005,$I6629)&gt;0,N(U6628),N(U6628)+1))</f>
        <v>2</v>
      </c>
    </row>
    <row r="6630" customFormat="false" ht="15" hidden="false" customHeight="false" outlineLevel="0" collapsed="false">
      <c r="B6630" s="53"/>
      <c r="I6630" s="53"/>
      <c r="U6630" s="31" t="n">
        <f aca="false">IF($B6630&lt;&gt;'設定（最初に1回）'!$C$4,N(U6629),IF(COUNTIFS(①今日の在庫を貼る!$B$6:$B$10005,$B6630,①今日の在庫を貼る!$I$6:$I$10005,$I6630)&gt;0,N(U6629),N(U6629)+1))</f>
        <v>2</v>
      </c>
    </row>
    <row r="6631" customFormat="false" ht="15" hidden="false" customHeight="false" outlineLevel="0" collapsed="false">
      <c r="B6631" s="53"/>
      <c r="I6631" s="53"/>
      <c r="U6631" s="31" t="n">
        <f aca="false">IF($B6631&lt;&gt;'設定（最初に1回）'!$C$4,N(U6630),IF(COUNTIFS(①今日の在庫を貼る!$B$6:$B$10005,$B6631,①今日の在庫を貼る!$I$6:$I$10005,$I6631)&gt;0,N(U6630),N(U6630)+1))</f>
        <v>2</v>
      </c>
    </row>
    <row r="6632" customFormat="false" ht="15" hidden="false" customHeight="false" outlineLevel="0" collapsed="false">
      <c r="B6632" s="53"/>
      <c r="I6632" s="53"/>
      <c r="U6632" s="31" t="n">
        <f aca="false">IF($B6632&lt;&gt;'設定（最初に1回）'!$C$4,N(U6631),IF(COUNTIFS(①今日の在庫を貼る!$B$6:$B$10005,$B6632,①今日の在庫を貼る!$I$6:$I$10005,$I6632)&gt;0,N(U6631),N(U6631)+1))</f>
        <v>2</v>
      </c>
    </row>
    <row r="6633" customFormat="false" ht="15" hidden="false" customHeight="false" outlineLevel="0" collapsed="false">
      <c r="B6633" s="53"/>
      <c r="I6633" s="53"/>
      <c r="U6633" s="31" t="n">
        <f aca="false">IF($B6633&lt;&gt;'設定（最初に1回）'!$C$4,N(U6632),IF(COUNTIFS(①今日の在庫を貼る!$B$6:$B$10005,$B6633,①今日の在庫を貼る!$I$6:$I$10005,$I6633)&gt;0,N(U6632),N(U6632)+1))</f>
        <v>2</v>
      </c>
    </row>
    <row r="6634" customFormat="false" ht="15" hidden="false" customHeight="false" outlineLevel="0" collapsed="false">
      <c r="B6634" s="53"/>
      <c r="I6634" s="53"/>
      <c r="U6634" s="31" t="n">
        <f aca="false">IF($B6634&lt;&gt;'設定（最初に1回）'!$C$4,N(U6633),IF(COUNTIFS(①今日の在庫を貼る!$B$6:$B$10005,$B6634,①今日の在庫を貼る!$I$6:$I$10005,$I6634)&gt;0,N(U6633),N(U6633)+1))</f>
        <v>2</v>
      </c>
    </row>
    <row r="6635" customFormat="false" ht="15" hidden="false" customHeight="false" outlineLevel="0" collapsed="false">
      <c r="B6635" s="53"/>
      <c r="I6635" s="53"/>
      <c r="U6635" s="31" t="n">
        <f aca="false">IF($B6635&lt;&gt;'設定（最初に1回）'!$C$4,N(U6634),IF(COUNTIFS(①今日の在庫を貼る!$B$6:$B$10005,$B6635,①今日の在庫を貼る!$I$6:$I$10005,$I6635)&gt;0,N(U6634),N(U6634)+1))</f>
        <v>2</v>
      </c>
    </row>
    <row r="6636" customFormat="false" ht="15" hidden="false" customHeight="false" outlineLevel="0" collapsed="false">
      <c r="B6636" s="53"/>
      <c r="I6636" s="53"/>
      <c r="U6636" s="31" t="n">
        <f aca="false">IF($B6636&lt;&gt;'設定（最初に1回）'!$C$4,N(U6635),IF(COUNTIFS(①今日の在庫を貼る!$B$6:$B$10005,$B6636,①今日の在庫を貼る!$I$6:$I$10005,$I6636)&gt;0,N(U6635),N(U6635)+1))</f>
        <v>2</v>
      </c>
    </row>
    <row r="6637" customFormat="false" ht="15" hidden="false" customHeight="false" outlineLevel="0" collapsed="false">
      <c r="B6637" s="53"/>
      <c r="I6637" s="53"/>
      <c r="U6637" s="31" t="n">
        <f aca="false">IF($B6637&lt;&gt;'設定（最初に1回）'!$C$4,N(U6636),IF(COUNTIFS(①今日の在庫を貼る!$B$6:$B$10005,$B6637,①今日の在庫を貼る!$I$6:$I$10005,$I6637)&gt;0,N(U6636),N(U6636)+1))</f>
        <v>2</v>
      </c>
    </row>
    <row r="6638" customFormat="false" ht="15" hidden="false" customHeight="false" outlineLevel="0" collapsed="false">
      <c r="B6638" s="53"/>
      <c r="I6638" s="53"/>
      <c r="U6638" s="31" t="n">
        <f aca="false">IF($B6638&lt;&gt;'設定（最初に1回）'!$C$4,N(U6637),IF(COUNTIFS(①今日の在庫を貼る!$B$6:$B$10005,$B6638,①今日の在庫を貼る!$I$6:$I$10005,$I6638)&gt;0,N(U6637),N(U6637)+1))</f>
        <v>2</v>
      </c>
    </row>
    <row r="6639" customFormat="false" ht="15" hidden="false" customHeight="false" outlineLevel="0" collapsed="false">
      <c r="B6639" s="53"/>
      <c r="I6639" s="53"/>
      <c r="U6639" s="31" t="n">
        <f aca="false">IF($B6639&lt;&gt;'設定（最初に1回）'!$C$4,N(U6638),IF(COUNTIFS(①今日の在庫を貼る!$B$6:$B$10005,$B6639,①今日の在庫を貼る!$I$6:$I$10005,$I6639)&gt;0,N(U6638),N(U6638)+1))</f>
        <v>2</v>
      </c>
    </row>
    <row r="6640" customFormat="false" ht="15" hidden="false" customHeight="false" outlineLevel="0" collapsed="false">
      <c r="B6640" s="53"/>
      <c r="I6640" s="53"/>
      <c r="U6640" s="31" t="n">
        <f aca="false">IF($B6640&lt;&gt;'設定（最初に1回）'!$C$4,N(U6639),IF(COUNTIFS(①今日の在庫を貼る!$B$6:$B$10005,$B6640,①今日の在庫を貼る!$I$6:$I$10005,$I6640)&gt;0,N(U6639),N(U6639)+1))</f>
        <v>2</v>
      </c>
    </row>
    <row r="6641" customFormat="false" ht="15" hidden="false" customHeight="false" outlineLevel="0" collapsed="false">
      <c r="B6641" s="53"/>
      <c r="I6641" s="53"/>
      <c r="U6641" s="31" t="n">
        <f aca="false">IF($B6641&lt;&gt;'設定（最初に1回）'!$C$4,N(U6640),IF(COUNTIFS(①今日の在庫を貼る!$B$6:$B$10005,$B6641,①今日の在庫を貼る!$I$6:$I$10005,$I6641)&gt;0,N(U6640),N(U6640)+1))</f>
        <v>2</v>
      </c>
    </row>
    <row r="6642" customFormat="false" ht="15" hidden="false" customHeight="false" outlineLevel="0" collapsed="false">
      <c r="B6642" s="53"/>
      <c r="I6642" s="53"/>
      <c r="U6642" s="31" t="n">
        <f aca="false">IF($B6642&lt;&gt;'設定（最初に1回）'!$C$4,N(U6641),IF(COUNTIFS(①今日の在庫を貼る!$B$6:$B$10005,$B6642,①今日の在庫を貼る!$I$6:$I$10005,$I6642)&gt;0,N(U6641),N(U6641)+1))</f>
        <v>2</v>
      </c>
    </row>
    <row r="6643" customFormat="false" ht="15" hidden="false" customHeight="false" outlineLevel="0" collapsed="false">
      <c r="B6643" s="53"/>
      <c r="I6643" s="53"/>
      <c r="U6643" s="31" t="n">
        <f aca="false">IF($B6643&lt;&gt;'設定（最初に1回）'!$C$4,N(U6642),IF(COUNTIFS(①今日の在庫を貼る!$B$6:$B$10005,$B6643,①今日の在庫を貼る!$I$6:$I$10005,$I6643)&gt;0,N(U6642),N(U6642)+1))</f>
        <v>2</v>
      </c>
    </row>
    <row r="6644" customFormat="false" ht="15" hidden="false" customHeight="false" outlineLevel="0" collapsed="false">
      <c r="B6644" s="53"/>
      <c r="I6644" s="53"/>
      <c r="U6644" s="31" t="n">
        <f aca="false">IF($B6644&lt;&gt;'設定（最初に1回）'!$C$4,N(U6643),IF(COUNTIFS(①今日の在庫を貼る!$B$6:$B$10005,$B6644,①今日の在庫を貼る!$I$6:$I$10005,$I6644)&gt;0,N(U6643),N(U6643)+1))</f>
        <v>2</v>
      </c>
    </row>
    <row r="6645" customFormat="false" ht="15" hidden="false" customHeight="false" outlineLevel="0" collapsed="false">
      <c r="B6645" s="53"/>
      <c r="I6645" s="53"/>
      <c r="U6645" s="31" t="n">
        <f aca="false">IF($B6645&lt;&gt;'設定（最初に1回）'!$C$4,N(U6644),IF(COUNTIFS(①今日の在庫を貼る!$B$6:$B$10005,$B6645,①今日の在庫を貼る!$I$6:$I$10005,$I6645)&gt;0,N(U6644),N(U6644)+1))</f>
        <v>2</v>
      </c>
    </row>
    <row r="6646" customFormat="false" ht="15" hidden="false" customHeight="false" outlineLevel="0" collapsed="false">
      <c r="B6646" s="53"/>
      <c r="I6646" s="53"/>
      <c r="U6646" s="31" t="n">
        <f aca="false">IF($B6646&lt;&gt;'設定（最初に1回）'!$C$4,N(U6645),IF(COUNTIFS(①今日の在庫を貼る!$B$6:$B$10005,$B6646,①今日の在庫を貼る!$I$6:$I$10005,$I6646)&gt;0,N(U6645),N(U6645)+1))</f>
        <v>2</v>
      </c>
    </row>
    <row r="6647" customFormat="false" ht="15" hidden="false" customHeight="false" outlineLevel="0" collapsed="false">
      <c r="B6647" s="53"/>
      <c r="I6647" s="53"/>
      <c r="U6647" s="31" t="n">
        <f aca="false">IF($B6647&lt;&gt;'設定（最初に1回）'!$C$4,N(U6646),IF(COUNTIFS(①今日の在庫を貼る!$B$6:$B$10005,$B6647,①今日の在庫を貼る!$I$6:$I$10005,$I6647)&gt;0,N(U6646),N(U6646)+1))</f>
        <v>2</v>
      </c>
    </row>
    <row r="6648" customFormat="false" ht="15" hidden="false" customHeight="false" outlineLevel="0" collapsed="false">
      <c r="B6648" s="53"/>
      <c r="I6648" s="53"/>
      <c r="U6648" s="31" t="n">
        <f aca="false">IF($B6648&lt;&gt;'設定（最初に1回）'!$C$4,N(U6647),IF(COUNTIFS(①今日の在庫を貼る!$B$6:$B$10005,$B6648,①今日の在庫を貼る!$I$6:$I$10005,$I6648)&gt;0,N(U6647),N(U6647)+1))</f>
        <v>2</v>
      </c>
    </row>
    <row r="6649" customFormat="false" ht="15" hidden="false" customHeight="false" outlineLevel="0" collapsed="false">
      <c r="B6649" s="53"/>
      <c r="I6649" s="53"/>
      <c r="U6649" s="31" t="n">
        <f aca="false">IF($B6649&lt;&gt;'設定（最初に1回）'!$C$4,N(U6648),IF(COUNTIFS(①今日の在庫を貼る!$B$6:$B$10005,$B6649,①今日の在庫を貼る!$I$6:$I$10005,$I6649)&gt;0,N(U6648),N(U6648)+1))</f>
        <v>2</v>
      </c>
    </row>
    <row r="6650" customFormat="false" ht="15" hidden="false" customHeight="false" outlineLevel="0" collapsed="false">
      <c r="B6650" s="53"/>
      <c r="I6650" s="53"/>
      <c r="U6650" s="31" t="n">
        <f aca="false">IF($B6650&lt;&gt;'設定（最初に1回）'!$C$4,N(U6649),IF(COUNTIFS(①今日の在庫を貼る!$B$6:$B$10005,$B6650,①今日の在庫を貼る!$I$6:$I$10005,$I6650)&gt;0,N(U6649),N(U6649)+1))</f>
        <v>2</v>
      </c>
    </row>
    <row r="6651" customFormat="false" ht="15" hidden="false" customHeight="false" outlineLevel="0" collapsed="false">
      <c r="B6651" s="53"/>
      <c r="I6651" s="53"/>
      <c r="U6651" s="31" t="n">
        <f aca="false">IF($B6651&lt;&gt;'設定（最初に1回）'!$C$4,N(U6650),IF(COUNTIFS(①今日の在庫を貼る!$B$6:$B$10005,$B6651,①今日の在庫を貼る!$I$6:$I$10005,$I6651)&gt;0,N(U6650),N(U6650)+1))</f>
        <v>2</v>
      </c>
    </row>
    <row r="6652" customFormat="false" ht="15" hidden="false" customHeight="false" outlineLevel="0" collapsed="false">
      <c r="B6652" s="53"/>
      <c r="I6652" s="53"/>
      <c r="U6652" s="31" t="n">
        <f aca="false">IF($B6652&lt;&gt;'設定（最初に1回）'!$C$4,N(U6651),IF(COUNTIFS(①今日の在庫を貼る!$B$6:$B$10005,$B6652,①今日の在庫を貼る!$I$6:$I$10005,$I6652)&gt;0,N(U6651),N(U6651)+1))</f>
        <v>2</v>
      </c>
    </row>
    <row r="6653" customFormat="false" ht="15" hidden="false" customHeight="false" outlineLevel="0" collapsed="false">
      <c r="B6653" s="53"/>
      <c r="I6653" s="53"/>
      <c r="U6653" s="31" t="n">
        <f aca="false">IF($B6653&lt;&gt;'設定（最初に1回）'!$C$4,N(U6652),IF(COUNTIFS(①今日の在庫を貼る!$B$6:$B$10005,$B6653,①今日の在庫を貼る!$I$6:$I$10005,$I6653)&gt;0,N(U6652),N(U6652)+1))</f>
        <v>2</v>
      </c>
    </row>
    <row r="6654" customFormat="false" ht="15" hidden="false" customHeight="false" outlineLevel="0" collapsed="false">
      <c r="B6654" s="53"/>
      <c r="I6654" s="53"/>
      <c r="U6654" s="31" t="n">
        <f aca="false">IF($B6654&lt;&gt;'設定（最初に1回）'!$C$4,N(U6653),IF(COUNTIFS(①今日の在庫を貼る!$B$6:$B$10005,$B6654,①今日の在庫を貼る!$I$6:$I$10005,$I6654)&gt;0,N(U6653),N(U6653)+1))</f>
        <v>2</v>
      </c>
    </row>
    <row r="6655" customFormat="false" ht="15" hidden="false" customHeight="false" outlineLevel="0" collapsed="false">
      <c r="B6655" s="53"/>
      <c r="I6655" s="53"/>
      <c r="U6655" s="31" t="n">
        <f aca="false">IF($B6655&lt;&gt;'設定（最初に1回）'!$C$4,N(U6654),IF(COUNTIFS(①今日の在庫を貼る!$B$6:$B$10005,$B6655,①今日の在庫を貼る!$I$6:$I$10005,$I6655)&gt;0,N(U6654),N(U6654)+1))</f>
        <v>2</v>
      </c>
    </row>
    <row r="6656" customFormat="false" ht="15" hidden="false" customHeight="false" outlineLevel="0" collapsed="false">
      <c r="B6656" s="53"/>
      <c r="I6656" s="53"/>
      <c r="U6656" s="31" t="n">
        <f aca="false">IF($B6656&lt;&gt;'設定（最初に1回）'!$C$4,N(U6655),IF(COUNTIFS(①今日の在庫を貼る!$B$6:$B$10005,$B6656,①今日の在庫を貼る!$I$6:$I$10005,$I6656)&gt;0,N(U6655),N(U6655)+1))</f>
        <v>2</v>
      </c>
    </row>
    <row r="6657" customFormat="false" ht="15" hidden="false" customHeight="false" outlineLevel="0" collapsed="false">
      <c r="B6657" s="53"/>
      <c r="I6657" s="53"/>
      <c r="U6657" s="31" t="n">
        <f aca="false">IF($B6657&lt;&gt;'設定（最初に1回）'!$C$4,N(U6656),IF(COUNTIFS(①今日の在庫を貼る!$B$6:$B$10005,$B6657,①今日の在庫を貼る!$I$6:$I$10005,$I6657)&gt;0,N(U6656),N(U6656)+1))</f>
        <v>2</v>
      </c>
    </row>
    <row r="6658" customFormat="false" ht="15" hidden="false" customHeight="false" outlineLevel="0" collapsed="false">
      <c r="B6658" s="53"/>
      <c r="I6658" s="53"/>
      <c r="U6658" s="31" t="n">
        <f aca="false">IF($B6658&lt;&gt;'設定（最初に1回）'!$C$4,N(U6657),IF(COUNTIFS(①今日の在庫を貼る!$B$6:$B$10005,$B6658,①今日の在庫を貼る!$I$6:$I$10005,$I6658)&gt;0,N(U6657),N(U6657)+1))</f>
        <v>2</v>
      </c>
    </row>
    <row r="6659" customFormat="false" ht="15" hidden="false" customHeight="false" outlineLevel="0" collapsed="false">
      <c r="B6659" s="53"/>
      <c r="I6659" s="53"/>
      <c r="U6659" s="31" t="n">
        <f aca="false">IF($B6659&lt;&gt;'設定（最初に1回）'!$C$4,N(U6658),IF(COUNTIFS(①今日の在庫を貼る!$B$6:$B$10005,$B6659,①今日の在庫を貼る!$I$6:$I$10005,$I6659)&gt;0,N(U6658),N(U6658)+1))</f>
        <v>2</v>
      </c>
    </row>
    <row r="6660" customFormat="false" ht="15" hidden="false" customHeight="false" outlineLevel="0" collapsed="false">
      <c r="B6660" s="53"/>
      <c r="I6660" s="53"/>
      <c r="U6660" s="31" t="n">
        <f aca="false">IF($B6660&lt;&gt;'設定（最初に1回）'!$C$4,N(U6659),IF(COUNTIFS(①今日の在庫を貼る!$B$6:$B$10005,$B6660,①今日の在庫を貼る!$I$6:$I$10005,$I6660)&gt;0,N(U6659),N(U6659)+1))</f>
        <v>2</v>
      </c>
    </row>
    <row r="6661" customFormat="false" ht="15" hidden="false" customHeight="false" outlineLevel="0" collapsed="false">
      <c r="B6661" s="53"/>
      <c r="I6661" s="53"/>
      <c r="U6661" s="31" t="n">
        <f aca="false">IF($B6661&lt;&gt;'設定（最初に1回）'!$C$4,N(U6660),IF(COUNTIFS(①今日の在庫を貼る!$B$6:$B$10005,$B6661,①今日の在庫を貼る!$I$6:$I$10005,$I6661)&gt;0,N(U6660),N(U6660)+1))</f>
        <v>2</v>
      </c>
    </row>
    <row r="6662" customFormat="false" ht="15" hidden="false" customHeight="false" outlineLevel="0" collapsed="false">
      <c r="B6662" s="53"/>
      <c r="I6662" s="53"/>
      <c r="U6662" s="31" t="n">
        <f aca="false">IF($B6662&lt;&gt;'設定（最初に1回）'!$C$4,N(U6661),IF(COUNTIFS(①今日の在庫を貼る!$B$6:$B$10005,$B6662,①今日の在庫を貼る!$I$6:$I$10005,$I6662)&gt;0,N(U6661),N(U6661)+1))</f>
        <v>2</v>
      </c>
    </row>
    <row r="6663" customFormat="false" ht="15" hidden="false" customHeight="false" outlineLevel="0" collapsed="false">
      <c r="B6663" s="53"/>
      <c r="I6663" s="53"/>
      <c r="U6663" s="31" t="n">
        <f aca="false">IF($B6663&lt;&gt;'設定（最初に1回）'!$C$4,N(U6662),IF(COUNTIFS(①今日の在庫を貼る!$B$6:$B$10005,$B6663,①今日の在庫を貼る!$I$6:$I$10005,$I6663)&gt;0,N(U6662),N(U6662)+1))</f>
        <v>2</v>
      </c>
    </row>
    <row r="6664" customFormat="false" ht="15" hidden="false" customHeight="false" outlineLevel="0" collapsed="false">
      <c r="B6664" s="53"/>
      <c r="I6664" s="53"/>
      <c r="U6664" s="31" t="n">
        <f aca="false">IF($B6664&lt;&gt;'設定（最初に1回）'!$C$4,N(U6663),IF(COUNTIFS(①今日の在庫を貼る!$B$6:$B$10005,$B6664,①今日の在庫を貼る!$I$6:$I$10005,$I6664)&gt;0,N(U6663),N(U6663)+1))</f>
        <v>2</v>
      </c>
    </row>
    <row r="6665" customFormat="false" ht="15" hidden="false" customHeight="false" outlineLevel="0" collapsed="false">
      <c r="B6665" s="53"/>
      <c r="I6665" s="53"/>
      <c r="U6665" s="31" t="n">
        <f aca="false">IF($B6665&lt;&gt;'設定（最初に1回）'!$C$4,N(U6664),IF(COUNTIFS(①今日の在庫を貼る!$B$6:$B$10005,$B6665,①今日の在庫を貼る!$I$6:$I$10005,$I6665)&gt;0,N(U6664),N(U6664)+1))</f>
        <v>2</v>
      </c>
    </row>
    <row r="6666" customFormat="false" ht="15" hidden="false" customHeight="false" outlineLevel="0" collapsed="false">
      <c r="B6666" s="53"/>
      <c r="I6666" s="53"/>
      <c r="U6666" s="31" t="n">
        <f aca="false">IF($B6666&lt;&gt;'設定（最初に1回）'!$C$4,N(U6665),IF(COUNTIFS(①今日の在庫を貼る!$B$6:$B$10005,$B6666,①今日の在庫を貼る!$I$6:$I$10005,$I6666)&gt;0,N(U6665),N(U6665)+1))</f>
        <v>2</v>
      </c>
    </row>
    <row r="6667" customFormat="false" ht="15" hidden="false" customHeight="false" outlineLevel="0" collapsed="false">
      <c r="B6667" s="53"/>
      <c r="I6667" s="53"/>
      <c r="U6667" s="31" t="n">
        <f aca="false">IF($B6667&lt;&gt;'設定（最初に1回）'!$C$4,N(U6666),IF(COUNTIFS(①今日の在庫を貼る!$B$6:$B$10005,$B6667,①今日の在庫を貼る!$I$6:$I$10005,$I6667)&gt;0,N(U6666),N(U6666)+1))</f>
        <v>2</v>
      </c>
    </row>
    <row r="6668" customFormat="false" ht="15" hidden="false" customHeight="false" outlineLevel="0" collapsed="false">
      <c r="B6668" s="53"/>
      <c r="I6668" s="53"/>
      <c r="U6668" s="31" t="n">
        <f aca="false">IF($B6668&lt;&gt;'設定（最初に1回）'!$C$4,N(U6667),IF(COUNTIFS(①今日の在庫を貼る!$B$6:$B$10005,$B6668,①今日の在庫を貼る!$I$6:$I$10005,$I6668)&gt;0,N(U6667),N(U6667)+1))</f>
        <v>2</v>
      </c>
    </row>
    <row r="6669" customFormat="false" ht="15" hidden="false" customHeight="false" outlineLevel="0" collapsed="false">
      <c r="B6669" s="53"/>
      <c r="I6669" s="53"/>
      <c r="U6669" s="31" t="n">
        <f aca="false">IF($B6669&lt;&gt;'設定（最初に1回）'!$C$4,N(U6668),IF(COUNTIFS(①今日の在庫を貼る!$B$6:$B$10005,$B6669,①今日の在庫を貼る!$I$6:$I$10005,$I6669)&gt;0,N(U6668),N(U6668)+1))</f>
        <v>2</v>
      </c>
    </row>
    <row r="6670" customFormat="false" ht="15" hidden="false" customHeight="false" outlineLevel="0" collapsed="false">
      <c r="B6670" s="53"/>
      <c r="I6670" s="53"/>
      <c r="U6670" s="31" t="n">
        <f aca="false">IF($B6670&lt;&gt;'設定（最初に1回）'!$C$4,N(U6669),IF(COUNTIFS(①今日の在庫を貼る!$B$6:$B$10005,$B6670,①今日の在庫を貼る!$I$6:$I$10005,$I6670)&gt;0,N(U6669),N(U6669)+1))</f>
        <v>2</v>
      </c>
    </row>
    <row r="6671" customFormat="false" ht="15" hidden="false" customHeight="false" outlineLevel="0" collapsed="false">
      <c r="B6671" s="53"/>
      <c r="I6671" s="53"/>
      <c r="U6671" s="31" t="n">
        <f aca="false">IF($B6671&lt;&gt;'設定（最初に1回）'!$C$4,N(U6670),IF(COUNTIFS(①今日の在庫を貼る!$B$6:$B$10005,$B6671,①今日の在庫を貼る!$I$6:$I$10005,$I6671)&gt;0,N(U6670),N(U6670)+1))</f>
        <v>2</v>
      </c>
    </row>
    <row r="6672" customFormat="false" ht="15" hidden="false" customHeight="false" outlineLevel="0" collapsed="false">
      <c r="B6672" s="53"/>
      <c r="I6672" s="53"/>
      <c r="U6672" s="31" t="n">
        <f aca="false">IF($B6672&lt;&gt;'設定（最初に1回）'!$C$4,N(U6671),IF(COUNTIFS(①今日の在庫を貼る!$B$6:$B$10005,$B6672,①今日の在庫を貼る!$I$6:$I$10005,$I6672)&gt;0,N(U6671),N(U6671)+1))</f>
        <v>2</v>
      </c>
    </row>
    <row r="6673" customFormat="false" ht="15" hidden="false" customHeight="false" outlineLevel="0" collapsed="false">
      <c r="B6673" s="53"/>
      <c r="I6673" s="53"/>
      <c r="U6673" s="31" t="n">
        <f aca="false">IF($B6673&lt;&gt;'設定（最初に1回）'!$C$4,N(U6672),IF(COUNTIFS(①今日の在庫を貼る!$B$6:$B$10005,$B6673,①今日の在庫を貼る!$I$6:$I$10005,$I6673)&gt;0,N(U6672),N(U6672)+1))</f>
        <v>2</v>
      </c>
    </row>
    <row r="6674" customFormat="false" ht="15" hidden="false" customHeight="false" outlineLevel="0" collapsed="false">
      <c r="B6674" s="53"/>
      <c r="I6674" s="53"/>
      <c r="U6674" s="31" t="n">
        <f aca="false">IF($B6674&lt;&gt;'設定（最初に1回）'!$C$4,N(U6673),IF(COUNTIFS(①今日の在庫を貼る!$B$6:$B$10005,$B6674,①今日の在庫を貼る!$I$6:$I$10005,$I6674)&gt;0,N(U6673),N(U6673)+1))</f>
        <v>2</v>
      </c>
    </row>
    <row r="6675" customFormat="false" ht="15" hidden="false" customHeight="false" outlineLevel="0" collapsed="false">
      <c r="B6675" s="53"/>
      <c r="I6675" s="53"/>
      <c r="U6675" s="31" t="n">
        <f aca="false">IF($B6675&lt;&gt;'設定（最初に1回）'!$C$4,N(U6674),IF(COUNTIFS(①今日の在庫を貼る!$B$6:$B$10005,$B6675,①今日の在庫を貼る!$I$6:$I$10005,$I6675)&gt;0,N(U6674),N(U6674)+1))</f>
        <v>2</v>
      </c>
    </row>
    <row r="6676" customFormat="false" ht="15" hidden="false" customHeight="false" outlineLevel="0" collapsed="false">
      <c r="B6676" s="53"/>
      <c r="I6676" s="53"/>
      <c r="U6676" s="31" t="n">
        <f aca="false">IF($B6676&lt;&gt;'設定（最初に1回）'!$C$4,N(U6675),IF(COUNTIFS(①今日の在庫を貼る!$B$6:$B$10005,$B6676,①今日の在庫を貼る!$I$6:$I$10005,$I6676)&gt;0,N(U6675),N(U6675)+1))</f>
        <v>2</v>
      </c>
    </row>
    <row r="6677" customFormat="false" ht="15" hidden="false" customHeight="false" outlineLevel="0" collapsed="false">
      <c r="B6677" s="53"/>
      <c r="I6677" s="53"/>
      <c r="U6677" s="31" t="n">
        <f aca="false">IF($B6677&lt;&gt;'設定（最初に1回）'!$C$4,N(U6676),IF(COUNTIFS(①今日の在庫を貼る!$B$6:$B$10005,$B6677,①今日の在庫を貼る!$I$6:$I$10005,$I6677)&gt;0,N(U6676),N(U6676)+1))</f>
        <v>2</v>
      </c>
    </row>
    <row r="6678" customFormat="false" ht="15" hidden="false" customHeight="false" outlineLevel="0" collapsed="false">
      <c r="B6678" s="53"/>
      <c r="I6678" s="53"/>
      <c r="U6678" s="31" t="n">
        <f aca="false">IF($B6678&lt;&gt;'設定（最初に1回）'!$C$4,N(U6677),IF(COUNTIFS(①今日の在庫を貼る!$B$6:$B$10005,$B6678,①今日の在庫を貼る!$I$6:$I$10005,$I6678)&gt;0,N(U6677),N(U6677)+1))</f>
        <v>2</v>
      </c>
    </row>
    <row r="6679" customFormat="false" ht="15" hidden="false" customHeight="false" outlineLevel="0" collapsed="false">
      <c r="B6679" s="53"/>
      <c r="I6679" s="53"/>
      <c r="U6679" s="31" t="n">
        <f aca="false">IF($B6679&lt;&gt;'設定（最初に1回）'!$C$4,N(U6678),IF(COUNTIFS(①今日の在庫を貼る!$B$6:$B$10005,$B6679,①今日の在庫を貼る!$I$6:$I$10005,$I6679)&gt;0,N(U6678),N(U6678)+1))</f>
        <v>2</v>
      </c>
    </row>
    <row r="6680" customFormat="false" ht="15" hidden="false" customHeight="false" outlineLevel="0" collapsed="false">
      <c r="B6680" s="53"/>
      <c r="I6680" s="53"/>
      <c r="U6680" s="31" t="n">
        <f aca="false">IF($B6680&lt;&gt;'設定（最初に1回）'!$C$4,N(U6679),IF(COUNTIFS(①今日の在庫を貼る!$B$6:$B$10005,$B6680,①今日の在庫を貼る!$I$6:$I$10005,$I6680)&gt;0,N(U6679),N(U6679)+1))</f>
        <v>2</v>
      </c>
    </row>
    <row r="6681" customFormat="false" ht="15" hidden="false" customHeight="false" outlineLevel="0" collapsed="false">
      <c r="B6681" s="53"/>
      <c r="I6681" s="53"/>
      <c r="U6681" s="31" t="n">
        <f aca="false">IF($B6681&lt;&gt;'設定（最初に1回）'!$C$4,N(U6680),IF(COUNTIFS(①今日の在庫を貼る!$B$6:$B$10005,$B6681,①今日の在庫を貼る!$I$6:$I$10005,$I6681)&gt;0,N(U6680),N(U6680)+1))</f>
        <v>2</v>
      </c>
    </row>
    <row r="6682" customFormat="false" ht="15" hidden="false" customHeight="false" outlineLevel="0" collapsed="false">
      <c r="B6682" s="53"/>
      <c r="I6682" s="53"/>
      <c r="U6682" s="31" t="n">
        <f aca="false">IF($B6682&lt;&gt;'設定（最初に1回）'!$C$4,N(U6681),IF(COUNTIFS(①今日の在庫を貼る!$B$6:$B$10005,$B6682,①今日の在庫を貼る!$I$6:$I$10005,$I6682)&gt;0,N(U6681),N(U6681)+1))</f>
        <v>2</v>
      </c>
    </row>
    <row r="6683" customFormat="false" ht="15" hidden="false" customHeight="false" outlineLevel="0" collapsed="false">
      <c r="B6683" s="53"/>
      <c r="I6683" s="53"/>
      <c r="U6683" s="31" t="n">
        <f aca="false">IF($B6683&lt;&gt;'設定（最初に1回）'!$C$4,N(U6682),IF(COUNTIFS(①今日の在庫を貼る!$B$6:$B$10005,$B6683,①今日の在庫を貼る!$I$6:$I$10005,$I6683)&gt;0,N(U6682),N(U6682)+1))</f>
        <v>2</v>
      </c>
    </row>
    <row r="6684" customFormat="false" ht="15" hidden="false" customHeight="false" outlineLevel="0" collapsed="false">
      <c r="B6684" s="53"/>
      <c r="I6684" s="53"/>
      <c r="U6684" s="31" t="n">
        <f aca="false">IF($B6684&lt;&gt;'設定（最初に1回）'!$C$4,N(U6683),IF(COUNTIFS(①今日の在庫を貼る!$B$6:$B$10005,$B6684,①今日の在庫を貼る!$I$6:$I$10005,$I6684)&gt;0,N(U6683),N(U6683)+1))</f>
        <v>2</v>
      </c>
    </row>
    <row r="6685" customFormat="false" ht="15" hidden="false" customHeight="false" outlineLevel="0" collapsed="false">
      <c r="B6685" s="53"/>
      <c r="I6685" s="53"/>
      <c r="U6685" s="31" t="n">
        <f aca="false">IF($B6685&lt;&gt;'設定（最初に1回）'!$C$4,N(U6684),IF(COUNTIFS(①今日の在庫を貼る!$B$6:$B$10005,$B6685,①今日の在庫を貼る!$I$6:$I$10005,$I6685)&gt;0,N(U6684),N(U6684)+1))</f>
        <v>2</v>
      </c>
    </row>
    <row r="6686" customFormat="false" ht="15" hidden="false" customHeight="false" outlineLevel="0" collapsed="false">
      <c r="B6686" s="53"/>
      <c r="I6686" s="53"/>
      <c r="U6686" s="31" t="n">
        <f aca="false">IF($B6686&lt;&gt;'設定（最初に1回）'!$C$4,N(U6685),IF(COUNTIFS(①今日の在庫を貼る!$B$6:$B$10005,$B6686,①今日の在庫を貼る!$I$6:$I$10005,$I6686)&gt;0,N(U6685),N(U6685)+1))</f>
        <v>2</v>
      </c>
    </row>
    <row r="6687" customFormat="false" ht="15" hidden="false" customHeight="false" outlineLevel="0" collapsed="false">
      <c r="B6687" s="53"/>
      <c r="I6687" s="53"/>
      <c r="U6687" s="31" t="n">
        <f aca="false">IF($B6687&lt;&gt;'設定（最初に1回）'!$C$4,N(U6686),IF(COUNTIFS(①今日の在庫を貼る!$B$6:$B$10005,$B6687,①今日の在庫を貼る!$I$6:$I$10005,$I6687)&gt;0,N(U6686),N(U6686)+1))</f>
        <v>2</v>
      </c>
    </row>
    <row r="6688" customFormat="false" ht="15" hidden="false" customHeight="false" outlineLevel="0" collapsed="false">
      <c r="B6688" s="53"/>
      <c r="I6688" s="53"/>
      <c r="U6688" s="31" t="n">
        <f aca="false">IF($B6688&lt;&gt;'設定（最初に1回）'!$C$4,N(U6687),IF(COUNTIFS(①今日の在庫を貼る!$B$6:$B$10005,$B6688,①今日の在庫を貼る!$I$6:$I$10005,$I6688)&gt;0,N(U6687),N(U6687)+1))</f>
        <v>2</v>
      </c>
    </row>
    <row r="6689" customFormat="false" ht="15" hidden="false" customHeight="false" outlineLevel="0" collapsed="false">
      <c r="B6689" s="53"/>
      <c r="I6689" s="53"/>
      <c r="U6689" s="31" t="n">
        <f aca="false">IF($B6689&lt;&gt;'設定（最初に1回）'!$C$4,N(U6688),IF(COUNTIFS(①今日の在庫を貼る!$B$6:$B$10005,$B6689,①今日の在庫を貼る!$I$6:$I$10005,$I6689)&gt;0,N(U6688),N(U6688)+1))</f>
        <v>2</v>
      </c>
    </row>
    <row r="6690" customFormat="false" ht="15" hidden="false" customHeight="false" outlineLevel="0" collapsed="false">
      <c r="B6690" s="53"/>
      <c r="I6690" s="53"/>
      <c r="U6690" s="31" t="n">
        <f aca="false">IF($B6690&lt;&gt;'設定（最初に1回）'!$C$4,N(U6689),IF(COUNTIFS(①今日の在庫を貼る!$B$6:$B$10005,$B6690,①今日の在庫を貼る!$I$6:$I$10005,$I6690)&gt;0,N(U6689),N(U6689)+1))</f>
        <v>2</v>
      </c>
    </row>
    <row r="6691" customFormat="false" ht="15" hidden="false" customHeight="false" outlineLevel="0" collapsed="false">
      <c r="B6691" s="53"/>
      <c r="I6691" s="53"/>
      <c r="U6691" s="31" t="n">
        <f aca="false">IF($B6691&lt;&gt;'設定（最初に1回）'!$C$4,N(U6690),IF(COUNTIFS(①今日の在庫を貼る!$B$6:$B$10005,$B6691,①今日の在庫を貼る!$I$6:$I$10005,$I6691)&gt;0,N(U6690),N(U6690)+1))</f>
        <v>2</v>
      </c>
    </row>
    <row r="6692" customFormat="false" ht="15" hidden="false" customHeight="false" outlineLevel="0" collapsed="false">
      <c r="B6692" s="53"/>
      <c r="I6692" s="53"/>
      <c r="U6692" s="31" t="n">
        <f aca="false">IF($B6692&lt;&gt;'設定（最初に1回）'!$C$4,N(U6691),IF(COUNTIFS(①今日の在庫を貼る!$B$6:$B$10005,$B6692,①今日の在庫を貼る!$I$6:$I$10005,$I6692)&gt;0,N(U6691),N(U6691)+1))</f>
        <v>2</v>
      </c>
    </row>
    <row r="6693" customFormat="false" ht="15" hidden="false" customHeight="false" outlineLevel="0" collapsed="false">
      <c r="B6693" s="53"/>
      <c r="I6693" s="53"/>
      <c r="U6693" s="31" t="n">
        <f aca="false">IF($B6693&lt;&gt;'設定（最初に1回）'!$C$4,N(U6692),IF(COUNTIFS(①今日の在庫を貼る!$B$6:$B$10005,$B6693,①今日の在庫を貼る!$I$6:$I$10005,$I6693)&gt;0,N(U6692),N(U6692)+1))</f>
        <v>2</v>
      </c>
    </row>
    <row r="6694" customFormat="false" ht="15" hidden="false" customHeight="false" outlineLevel="0" collapsed="false">
      <c r="B6694" s="53"/>
      <c r="I6694" s="53"/>
      <c r="U6694" s="31" t="n">
        <f aca="false">IF($B6694&lt;&gt;'設定（最初に1回）'!$C$4,N(U6693),IF(COUNTIFS(①今日の在庫を貼る!$B$6:$B$10005,$B6694,①今日の在庫を貼る!$I$6:$I$10005,$I6694)&gt;0,N(U6693),N(U6693)+1))</f>
        <v>2</v>
      </c>
    </row>
    <row r="6695" customFormat="false" ht="15" hidden="false" customHeight="false" outlineLevel="0" collapsed="false">
      <c r="B6695" s="53"/>
      <c r="I6695" s="53"/>
      <c r="U6695" s="31" t="n">
        <f aca="false">IF($B6695&lt;&gt;'設定（最初に1回）'!$C$4,N(U6694),IF(COUNTIFS(①今日の在庫を貼る!$B$6:$B$10005,$B6695,①今日の在庫を貼る!$I$6:$I$10005,$I6695)&gt;0,N(U6694),N(U6694)+1))</f>
        <v>2</v>
      </c>
    </row>
    <row r="6696" customFormat="false" ht="15" hidden="false" customHeight="false" outlineLevel="0" collapsed="false">
      <c r="B6696" s="53"/>
      <c r="I6696" s="53"/>
      <c r="U6696" s="31" t="n">
        <f aca="false">IF($B6696&lt;&gt;'設定（最初に1回）'!$C$4,N(U6695),IF(COUNTIFS(①今日の在庫を貼る!$B$6:$B$10005,$B6696,①今日の在庫を貼る!$I$6:$I$10005,$I6696)&gt;0,N(U6695),N(U6695)+1))</f>
        <v>2</v>
      </c>
    </row>
    <row r="6697" customFormat="false" ht="15" hidden="false" customHeight="false" outlineLevel="0" collapsed="false">
      <c r="B6697" s="53"/>
      <c r="I6697" s="53"/>
      <c r="U6697" s="31" t="n">
        <f aca="false">IF($B6697&lt;&gt;'設定（最初に1回）'!$C$4,N(U6696),IF(COUNTIFS(①今日の在庫を貼る!$B$6:$B$10005,$B6697,①今日の在庫を貼る!$I$6:$I$10005,$I6697)&gt;0,N(U6696),N(U6696)+1))</f>
        <v>2</v>
      </c>
    </row>
    <row r="6698" customFormat="false" ht="15" hidden="false" customHeight="false" outlineLevel="0" collapsed="false">
      <c r="B6698" s="53"/>
      <c r="I6698" s="53"/>
      <c r="U6698" s="31" t="n">
        <f aca="false">IF($B6698&lt;&gt;'設定（最初に1回）'!$C$4,N(U6697),IF(COUNTIFS(①今日の在庫を貼る!$B$6:$B$10005,$B6698,①今日の在庫を貼る!$I$6:$I$10005,$I6698)&gt;0,N(U6697),N(U6697)+1))</f>
        <v>2</v>
      </c>
    </row>
    <row r="6699" customFormat="false" ht="15" hidden="false" customHeight="false" outlineLevel="0" collapsed="false">
      <c r="B6699" s="53"/>
      <c r="I6699" s="53"/>
      <c r="U6699" s="31" t="n">
        <f aca="false">IF($B6699&lt;&gt;'設定（最初に1回）'!$C$4,N(U6698),IF(COUNTIFS(①今日の在庫を貼る!$B$6:$B$10005,$B6699,①今日の在庫を貼る!$I$6:$I$10005,$I6699)&gt;0,N(U6698),N(U6698)+1))</f>
        <v>2</v>
      </c>
    </row>
    <row r="6700" customFormat="false" ht="15" hidden="false" customHeight="false" outlineLevel="0" collapsed="false">
      <c r="B6700" s="53"/>
      <c r="I6700" s="53"/>
      <c r="U6700" s="31" t="n">
        <f aca="false">IF($B6700&lt;&gt;'設定（最初に1回）'!$C$4,N(U6699),IF(COUNTIFS(①今日の在庫を貼る!$B$6:$B$10005,$B6700,①今日の在庫を貼る!$I$6:$I$10005,$I6700)&gt;0,N(U6699),N(U6699)+1))</f>
        <v>2</v>
      </c>
    </row>
    <row r="6701" customFormat="false" ht="15" hidden="false" customHeight="false" outlineLevel="0" collapsed="false">
      <c r="B6701" s="53"/>
      <c r="I6701" s="53"/>
      <c r="U6701" s="31" t="n">
        <f aca="false">IF($B6701&lt;&gt;'設定（最初に1回）'!$C$4,N(U6700),IF(COUNTIFS(①今日の在庫を貼る!$B$6:$B$10005,$B6701,①今日の在庫を貼る!$I$6:$I$10005,$I6701)&gt;0,N(U6700),N(U6700)+1))</f>
        <v>2</v>
      </c>
    </row>
    <row r="6702" customFormat="false" ht="15" hidden="false" customHeight="false" outlineLevel="0" collapsed="false">
      <c r="B6702" s="53"/>
      <c r="I6702" s="53"/>
      <c r="U6702" s="31" t="n">
        <f aca="false">IF($B6702&lt;&gt;'設定（最初に1回）'!$C$4,N(U6701),IF(COUNTIFS(①今日の在庫を貼る!$B$6:$B$10005,$B6702,①今日の在庫を貼る!$I$6:$I$10005,$I6702)&gt;0,N(U6701),N(U6701)+1))</f>
        <v>2</v>
      </c>
    </row>
    <row r="6703" customFormat="false" ht="15" hidden="false" customHeight="false" outlineLevel="0" collapsed="false">
      <c r="B6703" s="53"/>
      <c r="I6703" s="53"/>
      <c r="U6703" s="31" t="n">
        <f aca="false">IF($B6703&lt;&gt;'設定（最初に1回）'!$C$4,N(U6702),IF(COUNTIFS(①今日の在庫を貼る!$B$6:$B$10005,$B6703,①今日の在庫を貼る!$I$6:$I$10005,$I6703)&gt;0,N(U6702),N(U6702)+1))</f>
        <v>2</v>
      </c>
    </row>
    <row r="6704" customFormat="false" ht="15" hidden="false" customHeight="false" outlineLevel="0" collapsed="false">
      <c r="B6704" s="53"/>
      <c r="I6704" s="53"/>
      <c r="U6704" s="31" t="n">
        <f aca="false">IF($B6704&lt;&gt;'設定（最初に1回）'!$C$4,N(U6703),IF(COUNTIFS(①今日の在庫を貼る!$B$6:$B$10005,$B6704,①今日の在庫を貼る!$I$6:$I$10005,$I6704)&gt;0,N(U6703),N(U6703)+1))</f>
        <v>2</v>
      </c>
    </row>
    <row r="6705" customFormat="false" ht="15" hidden="false" customHeight="false" outlineLevel="0" collapsed="false">
      <c r="B6705" s="53"/>
      <c r="I6705" s="53"/>
      <c r="U6705" s="31" t="n">
        <f aca="false">IF($B6705&lt;&gt;'設定（最初に1回）'!$C$4,N(U6704),IF(COUNTIFS(①今日の在庫を貼る!$B$6:$B$10005,$B6705,①今日の在庫を貼る!$I$6:$I$10005,$I6705)&gt;0,N(U6704),N(U6704)+1))</f>
        <v>2</v>
      </c>
    </row>
    <row r="6706" customFormat="false" ht="15" hidden="false" customHeight="false" outlineLevel="0" collapsed="false">
      <c r="B6706" s="53"/>
      <c r="I6706" s="53"/>
      <c r="U6706" s="31" t="n">
        <f aca="false">IF($B6706&lt;&gt;'設定（最初に1回）'!$C$4,N(U6705),IF(COUNTIFS(①今日の在庫を貼る!$B$6:$B$10005,$B6706,①今日の在庫を貼る!$I$6:$I$10005,$I6706)&gt;0,N(U6705),N(U6705)+1))</f>
        <v>2</v>
      </c>
    </row>
    <row r="6707" customFormat="false" ht="15" hidden="false" customHeight="false" outlineLevel="0" collapsed="false">
      <c r="B6707" s="53"/>
      <c r="I6707" s="53"/>
      <c r="U6707" s="31" t="n">
        <f aca="false">IF($B6707&lt;&gt;'設定（最初に1回）'!$C$4,N(U6706),IF(COUNTIFS(①今日の在庫を貼る!$B$6:$B$10005,$B6707,①今日の在庫を貼る!$I$6:$I$10005,$I6707)&gt;0,N(U6706),N(U6706)+1))</f>
        <v>2</v>
      </c>
    </row>
    <row r="6708" customFormat="false" ht="15" hidden="false" customHeight="false" outlineLevel="0" collapsed="false">
      <c r="B6708" s="53"/>
      <c r="I6708" s="53"/>
      <c r="U6708" s="31" t="n">
        <f aca="false">IF($B6708&lt;&gt;'設定（最初に1回）'!$C$4,N(U6707),IF(COUNTIFS(①今日の在庫を貼る!$B$6:$B$10005,$B6708,①今日の在庫を貼る!$I$6:$I$10005,$I6708)&gt;0,N(U6707),N(U6707)+1))</f>
        <v>2</v>
      </c>
    </row>
    <row r="6709" customFormat="false" ht="15" hidden="false" customHeight="false" outlineLevel="0" collapsed="false">
      <c r="B6709" s="53"/>
      <c r="I6709" s="53"/>
      <c r="U6709" s="31" t="n">
        <f aca="false">IF($B6709&lt;&gt;'設定（最初に1回）'!$C$4,N(U6708),IF(COUNTIFS(①今日の在庫を貼る!$B$6:$B$10005,$B6709,①今日の在庫を貼る!$I$6:$I$10005,$I6709)&gt;0,N(U6708),N(U6708)+1))</f>
        <v>2</v>
      </c>
    </row>
    <row r="6710" customFormat="false" ht="15" hidden="false" customHeight="false" outlineLevel="0" collapsed="false">
      <c r="B6710" s="53"/>
      <c r="I6710" s="53"/>
      <c r="U6710" s="31" t="n">
        <f aca="false">IF($B6710&lt;&gt;'設定（最初に1回）'!$C$4,N(U6709),IF(COUNTIFS(①今日の在庫を貼る!$B$6:$B$10005,$B6710,①今日の在庫を貼る!$I$6:$I$10005,$I6710)&gt;0,N(U6709),N(U6709)+1))</f>
        <v>2</v>
      </c>
    </row>
    <row r="6711" customFormat="false" ht="15" hidden="false" customHeight="false" outlineLevel="0" collapsed="false">
      <c r="B6711" s="53"/>
      <c r="I6711" s="53"/>
      <c r="U6711" s="31" t="n">
        <f aca="false">IF($B6711&lt;&gt;'設定（最初に1回）'!$C$4,N(U6710),IF(COUNTIFS(①今日の在庫を貼る!$B$6:$B$10005,$B6711,①今日の在庫を貼る!$I$6:$I$10005,$I6711)&gt;0,N(U6710),N(U6710)+1))</f>
        <v>2</v>
      </c>
    </row>
    <row r="6712" customFormat="false" ht="15" hidden="false" customHeight="false" outlineLevel="0" collapsed="false">
      <c r="B6712" s="53"/>
      <c r="I6712" s="53"/>
      <c r="U6712" s="31" t="n">
        <f aca="false">IF($B6712&lt;&gt;'設定（最初に1回）'!$C$4,N(U6711),IF(COUNTIFS(①今日の在庫を貼る!$B$6:$B$10005,$B6712,①今日の在庫を貼る!$I$6:$I$10005,$I6712)&gt;0,N(U6711),N(U6711)+1))</f>
        <v>2</v>
      </c>
    </row>
    <row r="6713" customFormat="false" ht="15" hidden="false" customHeight="false" outlineLevel="0" collapsed="false">
      <c r="B6713" s="53"/>
      <c r="I6713" s="53"/>
      <c r="U6713" s="31" t="n">
        <f aca="false">IF($B6713&lt;&gt;'設定（最初に1回）'!$C$4,N(U6712),IF(COUNTIFS(①今日の在庫を貼る!$B$6:$B$10005,$B6713,①今日の在庫を貼る!$I$6:$I$10005,$I6713)&gt;0,N(U6712),N(U6712)+1))</f>
        <v>2</v>
      </c>
    </row>
    <row r="6714" customFormat="false" ht="15" hidden="false" customHeight="false" outlineLevel="0" collapsed="false">
      <c r="B6714" s="53"/>
      <c r="I6714" s="53"/>
      <c r="U6714" s="31" t="n">
        <f aca="false">IF($B6714&lt;&gt;'設定（最初に1回）'!$C$4,N(U6713),IF(COUNTIFS(①今日の在庫を貼る!$B$6:$B$10005,$B6714,①今日の在庫を貼る!$I$6:$I$10005,$I6714)&gt;0,N(U6713),N(U6713)+1))</f>
        <v>2</v>
      </c>
    </row>
    <row r="6715" customFormat="false" ht="15" hidden="false" customHeight="false" outlineLevel="0" collapsed="false">
      <c r="B6715" s="53"/>
      <c r="I6715" s="53"/>
      <c r="U6715" s="31" t="n">
        <f aca="false">IF($B6715&lt;&gt;'設定（最初に1回）'!$C$4,N(U6714),IF(COUNTIFS(①今日の在庫を貼る!$B$6:$B$10005,$B6715,①今日の在庫を貼る!$I$6:$I$10005,$I6715)&gt;0,N(U6714),N(U6714)+1))</f>
        <v>2</v>
      </c>
    </row>
    <row r="6716" customFormat="false" ht="15" hidden="false" customHeight="false" outlineLevel="0" collapsed="false">
      <c r="B6716" s="53"/>
      <c r="I6716" s="53"/>
      <c r="U6716" s="31" t="n">
        <f aca="false">IF($B6716&lt;&gt;'設定（最初に1回）'!$C$4,N(U6715),IF(COUNTIFS(①今日の在庫を貼る!$B$6:$B$10005,$B6716,①今日の在庫を貼る!$I$6:$I$10005,$I6716)&gt;0,N(U6715),N(U6715)+1))</f>
        <v>2</v>
      </c>
    </row>
    <row r="6717" customFormat="false" ht="15" hidden="false" customHeight="false" outlineLevel="0" collapsed="false">
      <c r="B6717" s="53"/>
      <c r="I6717" s="53"/>
      <c r="U6717" s="31" t="n">
        <f aca="false">IF($B6717&lt;&gt;'設定（最初に1回）'!$C$4,N(U6716),IF(COUNTIFS(①今日の在庫を貼る!$B$6:$B$10005,$B6717,①今日の在庫を貼る!$I$6:$I$10005,$I6717)&gt;0,N(U6716),N(U6716)+1))</f>
        <v>2</v>
      </c>
    </row>
    <row r="6718" customFormat="false" ht="15" hidden="false" customHeight="false" outlineLevel="0" collapsed="false">
      <c r="B6718" s="53"/>
      <c r="I6718" s="53"/>
      <c r="U6718" s="31" t="n">
        <f aca="false">IF($B6718&lt;&gt;'設定（最初に1回）'!$C$4,N(U6717),IF(COUNTIFS(①今日の在庫を貼る!$B$6:$B$10005,$B6718,①今日の在庫を貼る!$I$6:$I$10005,$I6718)&gt;0,N(U6717),N(U6717)+1))</f>
        <v>2</v>
      </c>
    </row>
    <row r="6719" customFormat="false" ht="15" hidden="false" customHeight="false" outlineLevel="0" collapsed="false">
      <c r="B6719" s="53"/>
      <c r="I6719" s="53"/>
      <c r="U6719" s="31" t="n">
        <f aca="false">IF($B6719&lt;&gt;'設定（最初に1回）'!$C$4,N(U6718),IF(COUNTIFS(①今日の在庫を貼る!$B$6:$B$10005,$B6719,①今日の在庫を貼る!$I$6:$I$10005,$I6719)&gt;0,N(U6718),N(U6718)+1))</f>
        <v>2</v>
      </c>
    </row>
    <row r="6720" customFormat="false" ht="15" hidden="false" customHeight="false" outlineLevel="0" collapsed="false">
      <c r="B6720" s="53"/>
      <c r="I6720" s="53"/>
      <c r="U6720" s="31" t="n">
        <f aca="false">IF($B6720&lt;&gt;'設定（最初に1回）'!$C$4,N(U6719),IF(COUNTIFS(①今日の在庫を貼る!$B$6:$B$10005,$B6720,①今日の在庫を貼る!$I$6:$I$10005,$I6720)&gt;0,N(U6719),N(U6719)+1))</f>
        <v>2</v>
      </c>
    </row>
    <row r="6721" customFormat="false" ht="15" hidden="false" customHeight="false" outlineLevel="0" collapsed="false">
      <c r="B6721" s="53"/>
      <c r="I6721" s="53"/>
      <c r="U6721" s="31" t="n">
        <f aca="false">IF($B6721&lt;&gt;'設定（最初に1回）'!$C$4,N(U6720),IF(COUNTIFS(①今日の在庫を貼る!$B$6:$B$10005,$B6721,①今日の在庫を貼る!$I$6:$I$10005,$I6721)&gt;0,N(U6720),N(U6720)+1))</f>
        <v>2</v>
      </c>
    </row>
    <row r="6722" customFormat="false" ht="15" hidden="false" customHeight="false" outlineLevel="0" collapsed="false">
      <c r="B6722" s="53"/>
      <c r="I6722" s="53"/>
      <c r="U6722" s="31" t="n">
        <f aca="false">IF($B6722&lt;&gt;'設定（最初に1回）'!$C$4,N(U6721),IF(COUNTIFS(①今日の在庫を貼る!$B$6:$B$10005,$B6722,①今日の在庫を貼る!$I$6:$I$10005,$I6722)&gt;0,N(U6721),N(U6721)+1))</f>
        <v>2</v>
      </c>
    </row>
    <row r="6723" customFormat="false" ht="15" hidden="false" customHeight="false" outlineLevel="0" collapsed="false">
      <c r="B6723" s="53"/>
      <c r="I6723" s="53"/>
      <c r="U6723" s="31" t="n">
        <f aca="false">IF($B6723&lt;&gt;'設定（最初に1回）'!$C$4,N(U6722),IF(COUNTIFS(①今日の在庫を貼る!$B$6:$B$10005,$B6723,①今日の在庫を貼る!$I$6:$I$10005,$I6723)&gt;0,N(U6722),N(U6722)+1))</f>
        <v>2</v>
      </c>
    </row>
    <row r="6724" customFormat="false" ht="15" hidden="false" customHeight="false" outlineLevel="0" collapsed="false">
      <c r="B6724" s="53"/>
      <c r="I6724" s="53"/>
      <c r="U6724" s="31" t="n">
        <f aca="false">IF($B6724&lt;&gt;'設定（最初に1回）'!$C$4,N(U6723),IF(COUNTIFS(①今日の在庫を貼る!$B$6:$B$10005,$B6724,①今日の在庫を貼る!$I$6:$I$10005,$I6724)&gt;0,N(U6723),N(U6723)+1))</f>
        <v>2</v>
      </c>
    </row>
    <row r="6725" customFormat="false" ht="15" hidden="false" customHeight="false" outlineLevel="0" collapsed="false">
      <c r="B6725" s="53"/>
      <c r="I6725" s="53"/>
      <c r="U6725" s="31" t="n">
        <f aca="false">IF($B6725&lt;&gt;'設定（最初に1回）'!$C$4,N(U6724),IF(COUNTIFS(①今日の在庫を貼る!$B$6:$B$10005,$B6725,①今日の在庫を貼る!$I$6:$I$10005,$I6725)&gt;0,N(U6724),N(U6724)+1))</f>
        <v>2</v>
      </c>
    </row>
    <row r="6726" customFormat="false" ht="15" hidden="false" customHeight="false" outlineLevel="0" collapsed="false">
      <c r="B6726" s="53"/>
      <c r="I6726" s="53"/>
      <c r="U6726" s="31" t="n">
        <f aca="false">IF($B6726&lt;&gt;'設定（最初に1回）'!$C$4,N(U6725),IF(COUNTIFS(①今日の在庫を貼る!$B$6:$B$10005,$B6726,①今日の在庫を貼る!$I$6:$I$10005,$I6726)&gt;0,N(U6725),N(U6725)+1))</f>
        <v>2</v>
      </c>
    </row>
    <row r="6727" customFormat="false" ht="15" hidden="false" customHeight="false" outlineLevel="0" collapsed="false">
      <c r="B6727" s="53"/>
      <c r="I6727" s="53"/>
      <c r="U6727" s="31" t="n">
        <f aca="false">IF($B6727&lt;&gt;'設定（最初に1回）'!$C$4,N(U6726),IF(COUNTIFS(①今日の在庫を貼る!$B$6:$B$10005,$B6727,①今日の在庫を貼る!$I$6:$I$10005,$I6727)&gt;0,N(U6726),N(U6726)+1))</f>
        <v>2</v>
      </c>
    </row>
    <row r="6728" customFormat="false" ht="15" hidden="false" customHeight="false" outlineLevel="0" collapsed="false">
      <c r="B6728" s="53"/>
      <c r="I6728" s="53"/>
      <c r="U6728" s="31" t="n">
        <f aca="false">IF($B6728&lt;&gt;'設定（最初に1回）'!$C$4,N(U6727),IF(COUNTIFS(①今日の在庫を貼る!$B$6:$B$10005,$B6728,①今日の在庫を貼る!$I$6:$I$10005,$I6728)&gt;0,N(U6727),N(U6727)+1))</f>
        <v>2</v>
      </c>
    </row>
    <row r="6729" customFormat="false" ht="15" hidden="false" customHeight="false" outlineLevel="0" collapsed="false">
      <c r="B6729" s="53"/>
      <c r="I6729" s="53"/>
      <c r="U6729" s="31" t="n">
        <f aca="false">IF($B6729&lt;&gt;'設定（最初に1回）'!$C$4,N(U6728),IF(COUNTIFS(①今日の在庫を貼る!$B$6:$B$10005,$B6729,①今日の在庫を貼る!$I$6:$I$10005,$I6729)&gt;0,N(U6728),N(U6728)+1))</f>
        <v>2</v>
      </c>
    </row>
    <row r="6730" customFormat="false" ht="15" hidden="false" customHeight="false" outlineLevel="0" collapsed="false">
      <c r="B6730" s="53"/>
      <c r="I6730" s="53"/>
      <c r="U6730" s="31" t="n">
        <f aca="false">IF($B6730&lt;&gt;'設定（最初に1回）'!$C$4,N(U6729),IF(COUNTIFS(①今日の在庫を貼る!$B$6:$B$10005,$B6730,①今日の在庫を貼る!$I$6:$I$10005,$I6730)&gt;0,N(U6729),N(U6729)+1))</f>
        <v>2</v>
      </c>
    </row>
    <row r="6731" customFormat="false" ht="15" hidden="false" customHeight="false" outlineLevel="0" collapsed="false">
      <c r="B6731" s="53"/>
      <c r="I6731" s="53"/>
      <c r="U6731" s="31" t="n">
        <f aca="false">IF($B6731&lt;&gt;'設定（最初に1回）'!$C$4,N(U6730),IF(COUNTIFS(①今日の在庫を貼る!$B$6:$B$10005,$B6731,①今日の在庫を貼る!$I$6:$I$10005,$I6731)&gt;0,N(U6730),N(U6730)+1))</f>
        <v>2</v>
      </c>
    </row>
    <row r="6732" customFormat="false" ht="15" hidden="false" customHeight="false" outlineLevel="0" collapsed="false">
      <c r="B6732" s="53"/>
      <c r="I6732" s="53"/>
      <c r="U6732" s="31" t="n">
        <f aca="false">IF($B6732&lt;&gt;'設定（最初に1回）'!$C$4,N(U6731),IF(COUNTIFS(①今日の在庫を貼る!$B$6:$B$10005,$B6732,①今日の在庫を貼る!$I$6:$I$10005,$I6732)&gt;0,N(U6731),N(U6731)+1))</f>
        <v>2</v>
      </c>
    </row>
    <row r="6733" customFormat="false" ht="15" hidden="false" customHeight="false" outlineLevel="0" collapsed="false">
      <c r="B6733" s="53"/>
      <c r="I6733" s="53"/>
      <c r="U6733" s="31" t="n">
        <f aca="false">IF($B6733&lt;&gt;'設定（最初に1回）'!$C$4,N(U6732),IF(COUNTIFS(①今日の在庫を貼る!$B$6:$B$10005,$B6733,①今日の在庫を貼る!$I$6:$I$10005,$I6733)&gt;0,N(U6732),N(U6732)+1))</f>
        <v>2</v>
      </c>
    </row>
    <row r="6734" customFormat="false" ht="15" hidden="false" customHeight="false" outlineLevel="0" collapsed="false">
      <c r="B6734" s="53"/>
      <c r="I6734" s="53"/>
      <c r="U6734" s="31" t="n">
        <f aca="false">IF($B6734&lt;&gt;'設定（最初に1回）'!$C$4,N(U6733),IF(COUNTIFS(①今日の在庫を貼る!$B$6:$B$10005,$B6734,①今日の在庫を貼る!$I$6:$I$10005,$I6734)&gt;0,N(U6733),N(U6733)+1))</f>
        <v>2</v>
      </c>
    </row>
    <row r="6735" customFormat="false" ht="15" hidden="false" customHeight="false" outlineLevel="0" collapsed="false">
      <c r="B6735" s="53"/>
      <c r="I6735" s="53"/>
      <c r="U6735" s="31" t="n">
        <f aca="false">IF($B6735&lt;&gt;'設定（最初に1回）'!$C$4,N(U6734),IF(COUNTIFS(①今日の在庫を貼る!$B$6:$B$10005,$B6735,①今日の在庫を貼る!$I$6:$I$10005,$I6735)&gt;0,N(U6734),N(U6734)+1))</f>
        <v>2</v>
      </c>
    </row>
    <row r="6736" customFormat="false" ht="15" hidden="false" customHeight="false" outlineLevel="0" collapsed="false">
      <c r="B6736" s="53"/>
      <c r="I6736" s="53"/>
      <c r="U6736" s="31" t="n">
        <f aca="false">IF($B6736&lt;&gt;'設定（最初に1回）'!$C$4,N(U6735),IF(COUNTIFS(①今日の在庫を貼る!$B$6:$B$10005,$B6736,①今日の在庫を貼る!$I$6:$I$10005,$I6736)&gt;0,N(U6735),N(U6735)+1))</f>
        <v>2</v>
      </c>
    </row>
    <row r="6737" customFormat="false" ht="15" hidden="false" customHeight="false" outlineLevel="0" collapsed="false">
      <c r="B6737" s="53"/>
      <c r="I6737" s="53"/>
      <c r="U6737" s="31" t="n">
        <f aca="false">IF($B6737&lt;&gt;'設定（最初に1回）'!$C$4,N(U6736),IF(COUNTIFS(①今日の在庫を貼る!$B$6:$B$10005,$B6737,①今日の在庫を貼る!$I$6:$I$10005,$I6737)&gt;0,N(U6736),N(U6736)+1))</f>
        <v>2</v>
      </c>
    </row>
    <row r="6738" customFormat="false" ht="15" hidden="false" customHeight="false" outlineLevel="0" collapsed="false">
      <c r="B6738" s="53"/>
      <c r="I6738" s="53"/>
      <c r="U6738" s="31" t="n">
        <f aca="false">IF($B6738&lt;&gt;'設定（最初に1回）'!$C$4,N(U6737),IF(COUNTIFS(①今日の在庫を貼る!$B$6:$B$10005,$B6738,①今日の在庫を貼る!$I$6:$I$10005,$I6738)&gt;0,N(U6737),N(U6737)+1))</f>
        <v>2</v>
      </c>
    </row>
    <row r="6739" customFormat="false" ht="15" hidden="false" customHeight="false" outlineLevel="0" collapsed="false">
      <c r="B6739" s="53"/>
      <c r="I6739" s="53"/>
      <c r="U6739" s="31" t="n">
        <f aca="false">IF($B6739&lt;&gt;'設定（最初に1回）'!$C$4,N(U6738),IF(COUNTIFS(①今日の在庫を貼る!$B$6:$B$10005,$B6739,①今日の在庫を貼る!$I$6:$I$10005,$I6739)&gt;0,N(U6738),N(U6738)+1))</f>
        <v>2</v>
      </c>
    </row>
    <row r="6740" customFormat="false" ht="15" hidden="false" customHeight="false" outlineLevel="0" collapsed="false">
      <c r="B6740" s="53"/>
      <c r="I6740" s="53"/>
      <c r="U6740" s="31" t="n">
        <f aca="false">IF($B6740&lt;&gt;'設定（最初に1回）'!$C$4,N(U6739),IF(COUNTIFS(①今日の在庫を貼る!$B$6:$B$10005,$B6740,①今日の在庫を貼る!$I$6:$I$10005,$I6740)&gt;0,N(U6739),N(U6739)+1))</f>
        <v>2</v>
      </c>
    </row>
    <row r="6741" customFormat="false" ht="15" hidden="false" customHeight="false" outlineLevel="0" collapsed="false">
      <c r="B6741" s="53"/>
      <c r="I6741" s="53"/>
      <c r="U6741" s="31" t="n">
        <f aca="false">IF($B6741&lt;&gt;'設定（最初に1回）'!$C$4,N(U6740),IF(COUNTIFS(①今日の在庫を貼る!$B$6:$B$10005,$B6741,①今日の在庫を貼る!$I$6:$I$10005,$I6741)&gt;0,N(U6740),N(U6740)+1))</f>
        <v>2</v>
      </c>
    </row>
    <row r="6742" customFormat="false" ht="15" hidden="false" customHeight="false" outlineLevel="0" collapsed="false">
      <c r="B6742" s="53"/>
      <c r="I6742" s="53"/>
      <c r="U6742" s="31" t="n">
        <f aca="false">IF($B6742&lt;&gt;'設定（最初に1回）'!$C$4,N(U6741),IF(COUNTIFS(①今日の在庫を貼る!$B$6:$B$10005,$B6742,①今日の在庫を貼る!$I$6:$I$10005,$I6742)&gt;0,N(U6741),N(U6741)+1))</f>
        <v>2</v>
      </c>
    </row>
    <row r="6743" customFormat="false" ht="15" hidden="false" customHeight="false" outlineLevel="0" collapsed="false">
      <c r="B6743" s="53"/>
      <c r="I6743" s="53"/>
      <c r="U6743" s="31" t="n">
        <f aca="false">IF($B6743&lt;&gt;'設定（最初に1回）'!$C$4,N(U6742),IF(COUNTIFS(①今日の在庫を貼る!$B$6:$B$10005,$B6743,①今日の在庫を貼る!$I$6:$I$10005,$I6743)&gt;0,N(U6742),N(U6742)+1))</f>
        <v>2</v>
      </c>
    </row>
    <row r="6744" customFormat="false" ht="15" hidden="false" customHeight="false" outlineLevel="0" collapsed="false">
      <c r="B6744" s="53"/>
      <c r="I6744" s="53"/>
      <c r="U6744" s="31" t="n">
        <f aca="false">IF($B6744&lt;&gt;'設定（最初に1回）'!$C$4,N(U6743),IF(COUNTIFS(①今日の在庫を貼る!$B$6:$B$10005,$B6744,①今日の在庫を貼る!$I$6:$I$10005,$I6744)&gt;0,N(U6743),N(U6743)+1))</f>
        <v>2</v>
      </c>
    </row>
    <row r="6745" customFormat="false" ht="15" hidden="false" customHeight="false" outlineLevel="0" collapsed="false">
      <c r="B6745" s="53"/>
      <c r="I6745" s="53"/>
      <c r="U6745" s="31" t="n">
        <f aca="false">IF($B6745&lt;&gt;'設定（最初に1回）'!$C$4,N(U6744),IF(COUNTIFS(①今日の在庫を貼る!$B$6:$B$10005,$B6745,①今日の在庫を貼る!$I$6:$I$10005,$I6745)&gt;0,N(U6744),N(U6744)+1))</f>
        <v>2</v>
      </c>
    </row>
    <row r="6746" customFormat="false" ht="15" hidden="false" customHeight="false" outlineLevel="0" collapsed="false">
      <c r="B6746" s="53"/>
      <c r="I6746" s="53"/>
      <c r="U6746" s="31" t="n">
        <f aca="false">IF($B6746&lt;&gt;'設定（最初に1回）'!$C$4,N(U6745),IF(COUNTIFS(①今日の在庫を貼る!$B$6:$B$10005,$B6746,①今日の在庫を貼る!$I$6:$I$10005,$I6746)&gt;0,N(U6745),N(U6745)+1))</f>
        <v>2</v>
      </c>
    </row>
    <row r="6747" customFormat="false" ht="15" hidden="false" customHeight="false" outlineLevel="0" collapsed="false">
      <c r="B6747" s="53"/>
      <c r="I6747" s="53"/>
      <c r="U6747" s="31" t="n">
        <f aca="false">IF($B6747&lt;&gt;'設定（最初に1回）'!$C$4,N(U6746),IF(COUNTIFS(①今日の在庫を貼る!$B$6:$B$10005,$B6747,①今日の在庫を貼る!$I$6:$I$10005,$I6747)&gt;0,N(U6746),N(U6746)+1))</f>
        <v>2</v>
      </c>
    </row>
    <row r="6748" customFormat="false" ht="15" hidden="false" customHeight="false" outlineLevel="0" collapsed="false">
      <c r="B6748" s="53"/>
      <c r="I6748" s="53"/>
      <c r="U6748" s="31" t="n">
        <f aca="false">IF($B6748&lt;&gt;'設定（最初に1回）'!$C$4,N(U6747),IF(COUNTIFS(①今日の在庫を貼る!$B$6:$B$10005,$B6748,①今日の在庫を貼る!$I$6:$I$10005,$I6748)&gt;0,N(U6747),N(U6747)+1))</f>
        <v>2</v>
      </c>
    </row>
    <row r="6749" customFormat="false" ht="15" hidden="false" customHeight="false" outlineLevel="0" collapsed="false">
      <c r="B6749" s="53"/>
      <c r="I6749" s="53"/>
      <c r="U6749" s="31" t="n">
        <f aca="false">IF($B6749&lt;&gt;'設定（最初に1回）'!$C$4,N(U6748),IF(COUNTIFS(①今日の在庫を貼る!$B$6:$B$10005,$B6749,①今日の在庫を貼る!$I$6:$I$10005,$I6749)&gt;0,N(U6748),N(U6748)+1))</f>
        <v>2</v>
      </c>
    </row>
    <row r="6750" customFormat="false" ht="15" hidden="false" customHeight="false" outlineLevel="0" collapsed="false">
      <c r="B6750" s="53"/>
      <c r="I6750" s="53"/>
      <c r="U6750" s="31" t="n">
        <f aca="false">IF($B6750&lt;&gt;'設定（最初に1回）'!$C$4,N(U6749),IF(COUNTIFS(①今日の在庫を貼る!$B$6:$B$10005,$B6750,①今日の在庫を貼る!$I$6:$I$10005,$I6750)&gt;0,N(U6749),N(U6749)+1))</f>
        <v>2</v>
      </c>
    </row>
    <row r="6751" customFormat="false" ht="15" hidden="false" customHeight="false" outlineLevel="0" collapsed="false">
      <c r="B6751" s="53"/>
      <c r="I6751" s="53"/>
      <c r="U6751" s="31" t="n">
        <f aca="false">IF($B6751&lt;&gt;'設定（最初に1回）'!$C$4,N(U6750),IF(COUNTIFS(①今日の在庫を貼る!$B$6:$B$10005,$B6751,①今日の在庫を貼る!$I$6:$I$10005,$I6751)&gt;0,N(U6750),N(U6750)+1))</f>
        <v>2</v>
      </c>
    </row>
    <row r="6752" customFormat="false" ht="15" hidden="false" customHeight="false" outlineLevel="0" collapsed="false">
      <c r="B6752" s="53"/>
      <c r="I6752" s="53"/>
      <c r="U6752" s="31" t="n">
        <f aca="false">IF($B6752&lt;&gt;'設定（最初に1回）'!$C$4,N(U6751),IF(COUNTIFS(①今日の在庫を貼る!$B$6:$B$10005,$B6752,①今日の在庫を貼る!$I$6:$I$10005,$I6752)&gt;0,N(U6751),N(U6751)+1))</f>
        <v>2</v>
      </c>
    </row>
    <row r="6753" customFormat="false" ht="15" hidden="false" customHeight="false" outlineLevel="0" collapsed="false">
      <c r="B6753" s="53"/>
      <c r="I6753" s="53"/>
      <c r="U6753" s="31" t="n">
        <f aca="false">IF($B6753&lt;&gt;'設定（最初に1回）'!$C$4,N(U6752),IF(COUNTIFS(①今日の在庫を貼る!$B$6:$B$10005,$B6753,①今日の在庫を貼る!$I$6:$I$10005,$I6753)&gt;0,N(U6752),N(U6752)+1))</f>
        <v>2</v>
      </c>
    </row>
    <row r="6754" customFormat="false" ht="15" hidden="false" customHeight="false" outlineLevel="0" collapsed="false">
      <c r="B6754" s="53"/>
      <c r="I6754" s="53"/>
      <c r="U6754" s="31" t="n">
        <f aca="false">IF($B6754&lt;&gt;'設定（最初に1回）'!$C$4,N(U6753),IF(COUNTIFS(①今日の在庫を貼る!$B$6:$B$10005,$B6754,①今日の在庫を貼る!$I$6:$I$10005,$I6754)&gt;0,N(U6753),N(U6753)+1))</f>
        <v>2</v>
      </c>
    </row>
    <row r="6755" customFormat="false" ht="15" hidden="false" customHeight="false" outlineLevel="0" collapsed="false">
      <c r="B6755" s="53"/>
      <c r="I6755" s="53"/>
      <c r="U6755" s="31" t="n">
        <f aca="false">IF($B6755&lt;&gt;'設定（最初に1回）'!$C$4,N(U6754),IF(COUNTIFS(①今日の在庫を貼る!$B$6:$B$10005,$B6755,①今日の在庫を貼る!$I$6:$I$10005,$I6755)&gt;0,N(U6754),N(U6754)+1))</f>
        <v>2</v>
      </c>
    </row>
    <row r="6756" customFormat="false" ht="15" hidden="false" customHeight="false" outlineLevel="0" collapsed="false">
      <c r="B6756" s="53"/>
      <c r="I6756" s="53"/>
      <c r="U6756" s="31" t="n">
        <f aca="false">IF($B6756&lt;&gt;'設定（最初に1回）'!$C$4,N(U6755),IF(COUNTIFS(①今日の在庫を貼る!$B$6:$B$10005,$B6756,①今日の在庫を貼る!$I$6:$I$10005,$I6756)&gt;0,N(U6755),N(U6755)+1))</f>
        <v>2</v>
      </c>
    </row>
    <row r="6757" customFormat="false" ht="15" hidden="false" customHeight="false" outlineLevel="0" collapsed="false">
      <c r="B6757" s="53"/>
      <c r="I6757" s="53"/>
      <c r="U6757" s="31" t="n">
        <f aca="false">IF($B6757&lt;&gt;'設定（最初に1回）'!$C$4,N(U6756),IF(COUNTIFS(①今日の在庫を貼る!$B$6:$B$10005,$B6757,①今日の在庫を貼る!$I$6:$I$10005,$I6757)&gt;0,N(U6756),N(U6756)+1))</f>
        <v>2</v>
      </c>
    </row>
    <row r="6758" customFormat="false" ht="15" hidden="false" customHeight="false" outlineLevel="0" collapsed="false">
      <c r="B6758" s="53"/>
      <c r="I6758" s="53"/>
      <c r="U6758" s="31" t="n">
        <f aca="false">IF($B6758&lt;&gt;'設定（最初に1回）'!$C$4,N(U6757),IF(COUNTIFS(①今日の在庫を貼る!$B$6:$B$10005,$B6758,①今日の在庫を貼る!$I$6:$I$10005,$I6758)&gt;0,N(U6757),N(U6757)+1))</f>
        <v>2</v>
      </c>
    </row>
    <row r="6759" customFormat="false" ht="15" hidden="false" customHeight="false" outlineLevel="0" collapsed="false">
      <c r="B6759" s="53"/>
      <c r="I6759" s="53"/>
      <c r="U6759" s="31" t="n">
        <f aca="false">IF($B6759&lt;&gt;'設定（最初に1回）'!$C$4,N(U6758),IF(COUNTIFS(①今日の在庫を貼る!$B$6:$B$10005,$B6759,①今日の在庫を貼る!$I$6:$I$10005,$I6759)&gt;0,N(U6758),N(U6758)+1))</f>
        <v>2</v>
      </c>
    </row>
    <row r="6760" customFormat="false" ht="15" hidden="false" customHeight="false" outlineLevel="0" collapsed="false">
      <c r="B6760" s="53"/>
      <c r="I6760" s="53"/>
      <c r="U6760" s="31" t="n">
        <f aca="false">IF($B6760&lt;&gt;'設定（最初に1回）'!$C$4,N(U6759),IF(COUNTIFS(①今日の在庫を貼る!$B$6:$B$10005,$B6760,①今日の在庫を貼る!$I$6:$I$10005,$I6760)&gt;0,N(U6759),N(U6759)+1))</f>
        <v>2</v>
      </c>
    </row>
    <row r="6761" customFormat="false" ht="15" hidden="false" customHeight="false" outlineLevel="0" collapsed="false">
      <c r="B6761" s="53"/>
      <c r="I6761" s="53"/>
      <c r="U6761" s="31" t="n">
        <f aca="false">IF($B6761&lt;&gt;'設定（最初に1回）'!$C$4,N(U6760),IF(COUNTIFS(①今日の在庫を貼る!$B$6:$B$10005,$B6761,①今日の在庫を貼る!$I$6:$I$10005,$I6761)&gt;0,N(U6760),N(U6760)+1))</f>
        <v>2</v>
      </c>
    </row>
    <row r="6762" customFormat="false" ht="15" hidden="false" customHeight="false" outlineLevel="0" collapsed="false">
      <c r="B6762" s="53"/>
      <c r="I6762" s="53"/>
      <c r="U6762" s="31" t="n">
        <f aca="false">IF($B6762&lt;&gt;'設定（最初に1回）'!$C$4,N(U6761),IF(COUNTIFS(①今日の在庫を貼る!$B$6:$B$10005,$B6762,①今日の在庫を貼る!$I$6:$I$10005,$I6762)&gt;0,N(U6761),N(U6761)+1))</f>
        <v>2</v>
      </c>
    </row>
    <row r="6763" customFormat="false" ht="15" hidden="false" customHeight="false" outlineLevel="0" collapsed="false">
      <c r="B6763" s="53"/>
      <c r="I6763" s="53"/>
      <c r="U6763" s="31" t="n">
        <f aca="false">IF($B6763&lt;&gt;'設定（最初に1回）'!$C$4,N(U6762),IF(COUNTIFS(①今日の在庫を貼る!$B$6:$B$10005,$B6763,①今日の在庫を貼る!$I$6:$I$10005,$I6763)&gt;0,N(U6762),N(U6762)+1))</f>
        <v>2</v>
      </c>
    </row>
    <row r="6764" customFormat="false" ht="15" hidden="false" customHeight="false" outlineLevel="0" collapsed="false">
      <c r="B6764" s="53"/>
      <c r="I6764" s="53"/>
      <c r="U6764" s="31" t="n">
        <f aca="false">IF($B6764&lt;&gt;'設定（最初に1回）'!$C$4,N(U6763),IF(COUNTIFS(①今日の在庫を貼る!$B$6:$B$10005,$B6764,①今日の在庫を貼る!$I$6:$I$10005,$I6764)&gt;0,N(U6763),N(U6763)+1))</f>
        <v>2</v>
      </c>
    </row>
    <row r="6765" customFormat="false" ht="15" hidden="false" customHeight="false" outlineLevel="0" collapsed="false">
      <c r="B6765" s="53"/>
      <c r="I6765" s="53"/>
      <c r="U6765" s="31" t="n">
        <f aca="false">IF($B6765&lt;&gt;'設定（最初に1回）'!$C$4,N(U6764),IF(COUNTIFS(①今日の在庫を貼る!$B$6:$B$10005,$B6765,①今日の在庫を貼る!$I$6:$I$10005,$I6765)&gt;0,N(U6764),N(U6764)+1))</f>
        <v>2</v>
      </c>
    </row>
    <row r="6766" customFormat="false" ht="15" hidden="false" customHeight="false" outlineLevel="0" collapsed="false">
      <c r="B6766" s="53"/>
      <c r="I6766" s="53"/>
      <c r="U6766" s="31" t="n">
        <f aca="false">IF($B6766&lt;&gt;'設定（最初に1回）'!$C$4,N(U6765),IF(COUNTIFS(①今日の在庫を貼る!$B$6:$B$10005,$B6766,①今日の在庫を貼る!$I$6:$I$10005,$I6766)&gt;0,N(U6765),N(U6765)+1))</f>
        <v>2</v>
      </c>
    </row>
    <row r="6767" customFormat="false" ht="15" hidden="false" customHeight="false" outlineLevel="0" collapsed="false">
      <c r="B6767" s="53"/>
      <c r="I6767" s="53"/>
      <c r="U6767" s="31" t="n">
        <f aca="false">IF($B6767&lt;&gt;'設定（最初に1回）'!$C$4,N(U6766),IF(COUNTIFS(①今日の在庫を貼る!$B$6:$B$10005,$B6767,①今日の在庫を貼る!$I$6:$I$10005,$I6767)&gt;0,N(U6766),N(U6766)+1))</f>
        <v>2</v>
      </c>
    </row>
    <row r="6768" customFormat="false" ht="15" hidden="false" customHeight="false" outlineLevel="0" collapsed="false">
      <c r="B6768" s="53"/>
      <c r="I6768" s="53"/>
      <c r="U6768" s="31" t="n">
        <f aca="false">IF($B6768&lt;&gt;'設定（最初に1回）'!$C$4,N(U6767),IF(COUNTIFS(①今日の在庫を貼る!$B$6:$B$10005,$B6768,①今日の在庫を貼る!$I$6:$I$10005,$I6768)&gt;0,N(U6767),N(U6767)+1))</f>
        <v>2</v>
      </c>
    </row>
    <row r="6769" customFormat="false" ht="15" hidden="false" customHeight="false" outlineLevel="0" collapsed="false">
      <c r="B6769" s="53"/>
      <c r="I6769" s="53"/>
      <c r="U6769" s="31" t="n">
        <f aca="false">IF($B6769&lt;&gt;'設定（最初に1回）'!$C$4,N(U6768),IF(COUNTIFS(①今日の在庫を貼る!$B$6:$B$10005,$B6769,①今日の在庫を貼る!$I$6:$I$10005,$I6769)&gt;0,N(U6768),N(U6768)+1))</f>
        <v>2</v>
      </c>
    </row>
    <row r="6770" customFormat="false" ht="15" hidden="false" customHeight="false" outlineLevel="0" collapsed="false">
      <c r="B6770" s="53"/>
      <c r="I6770" s="53"/>
      <c r="U6770" s="31" t="n">
        <f aca="false">IF($B6770&lt;&gt;'設定（最初に1回）'!$C$4,N(U6769),IF(COUNTIFS(①今日の在庫を貼る!$B$6:$B$10005,$B6770,①今日の在庫を貼る!$I$6:$I$10005,$I6770)&gt;0,N(U6769),N(U6769)+1))</f>
        <v>2</v>
      </c>
    </row>
    <row r="6771" customFormat="false" ht="15" hidden="false" customHeight="false" outlineLevel="0" collapsed="false">
      <c r="B6771" s="53"/>
      <c r="I6771" s="53"/>
      <c r="U6771" s="31" t="n">
        <f aca="false">IF($B6771&lt;&gt;'設定（最初に1回）'!$C$4,N(U6770),IF(COUNTIFS(①今日の在庫を貼る!$B$6:$B$10005,$B6771,①今日の在庫を貼る!$I$6:$I$10005,$I6771)&gt;0,N(U6770),N(U6770)+1))</f>
        <v>2</v>
      </c>
    </row>
    <row r="6772" customFormat="false" ht="15" hidden="false" customHeight="false" outlineLevel="0" collapsed="false">
      <c r="B6772" s="53"/>
      <c r="I6772" s="53"/>
      <c r="U6772" s="31" t="n">
        <f aca="false">IF($B6772&lt;&gt;'設定（最初に1回）'!$C$4,N(U6771),IF(COUNTIFS(①今日の在庫を貼る!$B$6:$B$10005,$B6772,①今日の在庫を貼る!$I$6:$I$10005,$I6772)&gt;0,N(U6771),N(U6771)+1))</f>
        <v>2</v>
      </c>
    </row>
    <row r="6773" customFormat="false" ht="15" hidden="false" customHeight="false" outlineLevel="0" collapsed="false">
      <c r="B6773" s="53"/>
      <c r="I6773" s="53"/>
      <c r="U6773" s="31" t="n">
        <f aca="false">IF($B6773&lt;&gt;'設定（最初に1回）'!$C$4,N(U6772),IF(COUNTIFS(①今日の在庫を貼る!$B$6:$B$10005,$B6773,①今日の在庫を貼る!$I$6:$I$10005,$I6773)&gt;0,N(U6772),N(U6772)+1))</f>
        <v>2</v>
      </c>
    </row>
    <row r="6774" customFormat="false" ht="15" hidden="false" customHeight="false" outlineLevel="0" collapsed="false">
      <c r="B6774" s="53"/>
      <c r="I6774" s="53"/>
      <c r="U6774" s="31" t="n">
        <f aca="false">IF($B6774&lt;&gt;'設定（最初に1回）'!$C$4,N(U6773),IF(COUNTIFS(①今日の在庫を貼る!$B$6:$B$10005,$B6774,①今日の在庫を貼る!$I$6:$I$10005,$I6774)&gt;0,N(U6773),N(U6773)+1))</f>
        <v>2</v>
      </c>
    </row>
    <row r="6775" customFormat="false" ht="15" hidden="false" customHeight="false" outlineLevel="0" collapsed="false">
      <c r="B6775" s="53"/>
      <c r="I6775" s="53"/>
      <c r="U6775" s="31" t="n">
        <f aca="false">IF($B6775&lt;&gt;'設定（最初に1回）'!$C$4,N(U6774),IF(COUNTIFS(①今日の在庫を貼る!$B$6:$B$10005,$B6775,①今日の在庫を貼る!$I$6:$I$10005,$I6775)&gt;0,N(U6774),N(U6774)+1))</f>
        <v>2</v>
      </c>
    </row>
    <row r="6776" customFormat="false" ht="15" hidden="false" customHeight="false" outlineLevel="0" collapsed="false">
      <c r="B6776" s="53"/>
      <c r="I6776" s="53"/>
      <c r="U6776" s="31" t="n">
        <f aca="false">IF($B6776&lt;&gt;'設定（最初に1回）'!$C$4,N(U6775),IF(COUNTIFS(①今日の在庫を貼る!$B$6:$B$10005,$B6776,①今日の在庫を貼る!$I$6:$I$10005,$I6776)&gt;0,N(U6775),N(U6775)+1))</f>
        <v>2</v>
      </c>
    </row>
    <row r="6777" customFormat="false" ht="15" hidden="false" customHeight="false" outlineLevel="0" collapsed="false">
      <c r="B6777" s="53"/>
      <c r="I6777" s="53"/>
      <c r="U6777" s="31" t="n">
        <f aca="false">IF($B6777&lt;&gt;'設定（最初に1回）'!$C$4,N(U6776),IF(COUNTIFS(①今日の在庫を貼る!$B$6:$B$10005,$B6777,①今日の在庫を貼る!$I$6:$I$10005,$I6777)&gt;0,N(U6776),N(U6776)+1))</f>
        <v>2</v>
      </c>
    </row>
    <row r="6778" customFormat="false" ht="15" hidden="false" customHeight="false" outlineLevel="0" collapsed="false">
      <c r="B6778" s="53"/>
      <c r="I6778" s="53"/>
      <c r="U6778" s="31" t="n">
        <f aca="false">IF($B6778&lt;&gt;'設定（最初に1回）'!$C$4,N(U6777),IF(COUNTIFS(①今日の在庫を貼る!$B$6:$B$10005,$B6778,①今日の在庫を貼る!$I$6:$I$10005,$I6778)&gt;0,N(U6777),N(U6777)+1))</f>
        <v>2</v>
      </c>
    </row>
    <row r="6779" customFormat="false" ht="15" hidden="false" customHeight="false" outlineLevel="0" collapsed="false">
      <c r="B6779" s="53"/>
      <c r="I6779" s="53"/>
      <c r="U6779" s="31" t="n">
        <f aca="false">IF($B6779&lt;&gt;'設定（最初に1回）'!$C$4,N(U6778),IF(COUNTIFS(①今日の在庫を貼る!$B$6:$B$10005,$B6779,①今日の在庫を貼る!$I$6:$I$10005,$I6779)&gt;0,N(U6778),N(U6778)+1))</f>
        <v>2</v>
      </c>
    </row>
    <row r="6780" customFormat="false" ht="15" hidden="false" customHeight="false" outlineLevel="0" collapsed="false">
      <c r="B6780" s="53"/>
      <c r="I6780" s="53"/>
      <c r="U6780" s="31" t="n">
        <f aca="false">IF($B6780&lt;&gt;'設定（最初に1回）'!$C$4,N(U6779),IF(COUNTIFS(①今日の在庫を貼る!$B$6:$B$10005,$B6780,①今日の在庫を貼る!$I$6:$I$10005,$I6780)&gt;0,N(U6779),N(U6779)+1))</f>
        <v>2</v>
      </c>
    </row>
    <row r="6781" customFormat="false" ht="15" hidden="false" customHeight="false" outlineLevel="0" collapsed="false">
      <c r="B6781" s="53"/>
      <c r="I6781" s="53"/>
      <c r="U6781" s="31" t="n">
        <f aca="false">IF($B6781&lt;&gt;'設定（最初に1回）'!$C$4,N(U6780),IF(COUNTIFS(①今日の在庫を貼る!$B$6:$B$10005,$B6781,①今日の在庫を貼る!$I$6:$I$10005,$I6781)&gt;0,N(U6780),N(U6780)+1))</f>
        <v>2</v>
      </c>
    </row>
    <row r="6782" customFormat="false" ht="15" hidden="false" customHeight="false" outlineLevel="0" collapsed="false">
      <c r="B6782" s="53"/>
      <c r="I6782" s="53"/>
      <c r="U6782" s="31" t="n">
        <f aca="false">IF($B6782&lt;&gt;'設定（最初に1回）'!$C$4,N(U6781),IF(COUNTIFS(①今日の在庫を貼る!$B$6:$B$10005,$B6782,①今日の在庫を貼る!$I$6:$I$10005,$I6782)&gt;0,N(U6781),N(U6781)+1))</f>
        <v>2</v>
      </c>
    </row>
    <row r="6783" customFormat="false" ht="15" hidden="false" customHeight="false" outlineLevel="0" collapsed="false">
      <c r="B6783" s="53"/>
      <c r="I6783" s="53"/>
      <c r="U6783" s="31" t="n">
        <f aca="false">IF($B6783&lt;&gt;'設定（最初に1回）'!$C$4,N(U6782),IF(COUNTIFS(①今日の在庫を貼る!$B$6:$B$10005,$B6783,①今日の在庫を貼る!$I$6:$I$10005,$I6783)&gt;0,N(U6782),N(U6782)+1))</f>
        <v>2</v>
      </c>
    </row>
    <row r="6784" customFormat="false" ht="15" hidden="false" customHeight="false" outlineLevel="0" collapsed="false">
      <c r="B6784" s="53"/>
      <c r="I6784" s="53"/>
      <c r="U6784" s="31" t="n">
        <f aca="false">IF($B6784&lt;&gt;'設定（最初に1回）'!$C$4,N(U6783),IF(COUNTIFS(①今日の在庫を貼る!$B$6:$B$10005,$B6784,①今日の在庫を貼る!$I$6:$I$10005,$I6784)&gt;0,N(U6783),N(U6783)+1))</f>
        <v>2</v>
      </c>
    </row>
    <row r="6785" customFormat="false" ht="15" hidden="false" customHeight="false" outlineLevel="0" collapsed="false">
      <c r="B6785" s="53"/>
      <c r="I6785" s="53"/>
      <c r="U6785" s="31" t="n">
        <f aca="false">IF($B6785&lt;&gt;'設定（最初に1回）'!$C$4,N(U6784),IF(COUNTIFS(①今日の在庫を貼る!$B$6:$B$10005,$B6785,①今日の在庫を貼る!$I$6:$I$10005,$I6785)&gt;0,N(U6784),N(U6784)+1))</f>
        <v>2</v>
      </c>
    </row>
    <row r="6786" customFormat="false" ht="15" hidden="false" customHeight="false" outlineLevel="0" collapsed="false">
      <c r="B6786" s="53"/>
      <c r="I6786" s="53"/>
      <c r="U6786" s="31" t="n">
        <f aca="false">IF($B6786&lt;&gt;'設定（最初に1回）'!$C$4,N(U6785),IF(COUNTIFS(①今日の在庫を貼る!$B$6:$B$10005,$B6786,①今日の在庫を貼る!$I$6:$I$10005,$I6786)&gt;0,N(U6785),N(U6785)+1))</f>
        <v>2</v>
      </c>
    </row>
    <row r="6787" customFormat="false" ht="15" hidden="false" customHeight="false" outlineLevel="0" collapsed="false">
      <c r="B6787" s="53"/>
      <c r="I6787" s="53"/>
      <c r="U6787" s="31" t="n">
        <f aca="false">IF($B6787&lt;&gt;'設定（最初に1回）'!$C$4,N(U6786),IF(COUNTIFS(①今日の在庫を貼る!$B$6:$B$10005,$B6787,①今日の在庫を貼る!$I$6:$I$10005,$I6787)&gt;0,N(U6786),N(U6786)+1))</f>
        <v>2</v>
      </c>
    </row>
    <row r="6788" customFormat="false" ht="15" hidden="false" customHeight="false" outlineLevel="0" collapsed="false">
      <c r="B6788" s="53"/>
      <c r="I6788" s="53"/>
      <c r="U6788" s="31" t="n">
        <f aca="false">IF($B6788&lt;&gt;'設定（最初に1回）'!$C$4,N(U6787),IF(COUNTIFS(①今日の在庫を貼る!$B$6:$B$10005,$B6788,①今日の在庫を貼る!$I$6:$I$10005,$I6788)&gt;0,N(U6787),N(U6787)+1))</f>
        <v>2</v>
      </c>
    </row>
    <row r="6789" customFormat="false" ht="15" hidden="false" customHeight="false" outlineLevel="0" collapsed="false">
      <c r="B6789" s="53"/>
      <c r="I6789" s="53"/>
      <c r="U6789" s="31" t="n">
        <f aca="false">IF($B6789&lt;&gt;'設定（最初に1回）'!$C$4,N(U6788),IF(COUNTIFS(①今日の在庫を貼る!$B$6:$B$10005,$B6789,①今日の在庫を貼る!$I$6:$I$10005,$I6789)&gt;0,N(U6788),N(U6788)+1))</f>
        <v>2</v>
      </c>
    </row>
    <row r="6790" customFormat="false" ht="15" hidden="false" customHeight="false" outlineLevel="0" collapsed="false">
      <c r="B6790" s="53"/>
      <c r="I6790" s="53"/>
      <c r="U6790" s="31" t="n">
        <f aca="false">IF($B6790&lt;&gt;'設定（最初に1回）'!$C$4,N(U6789),IF(COUNTIFS(①今日の在庫を貼る!$B$6:$B$10005,$B6790,①今日の在庫を貼る!$I$6:$I$10005,$I6790)&gt;0,N(U6789),N(U6789)+1))</f>
        <v>2</v>
      </c>
    </row>
    <row r="6791" customFormat="false" ht="15" hidden="false" customHeight="false" outlineLevel="0" collapsed="false">
      <c r="B6791" s="53"/>
      <c r="I6791" s="53"/>
      <c r="U6791" s="31" t="n">
        <f aca="false">IF($B6791&lt;&gt;'設定（最初に1回）'!$C$4,N(U6790),IF(COUNTIFS(①今日の在庫を貼る!$B$6:$B$10005,$B6791,①今日の在庫を貼る!$I$6:$I$10005,$I6791)&gt;0,N(U6790),N(U6790)+1))</f>
        <v>2</v>
      </c>
    </row>
    <row r="6792" customFormat="false" ht="15" hidden="false" customHeight="false" outlineLevel="0" collapsed="false">
      <c r="B6792" s="53"/>
      <c r="I6792" s="53"/>
      <c r="U6792" s="31" t="n">
        <f aca="false">IF($B6792&lt;&gt;'設定（最初に1回）'!$C$4,N(U6791),IF(COUNTIFS(①今日の在庫を貼る!$B$6:$B$10005,$B6792,①今日の在庫を貼る!$I$6:$I$10005,$I6792)&gt;0,N(U6791),N(U6791)+1))</f>
        <v>2</v>
      </c>
    </row>
    <row r="6793" customFormat="false" ht="15" hidden="false" customHeight="false" outlineLevel="0" collapsed="false">
      <c r="B6793" s="53"/>
      <c r="I6793" s="53"/>
      <c r="U6793" s="31" t="n">
        <f aca="false">IF($B6793&lt;&gt;'設定（最初に1回）'!$C$4,N(U6792),IF(COUNTIFS(①今日の在庫を貼る!$B$6:$B$10005,$B6793,①今日の在庫を貼る!$I$6:$I$10005,$I6793)&gt;0,N(U6792),N(U6792)+1))</f>
        <v>2</v>
      </c>
    </row>
    <row r="6794" customFormat="false" ht="15" hidden="false" customHeight="false" outlineLevel="0" collapsed="false">
      <c r="B6794" s="53"/>
      <c r="I6794" s="53"/>
      <c r="U6794" s="31" t="n">
        <f aca="false">IF($B6794&lt;&gt;'設定（最初に1回）'!$C$4,N(U6793),IF(COUNTIFS(①今日の在庫を貼る!$B$6:$B$10005,$B6794,①今日の在庫を貼る!$I$6:$I$10005,$I6794)&gt;0,N(U6793),N(U6793)+1))</f>
        <v>2</v>
      </c>
    </row>
    <row r="6795" customFormat="false" ht="15" hidden="false" customHeight="false" outlineLevel="0" collapsed="false">
      <c r="B6795" s="53"/>
      <c r="I6795" s="53"/>
      <c r="U6795" s="31" t="n">
        <f aca="false">IF($B6795&lt;&gt;'設定（最初に1回）'!$C$4,N(U6794),IF(COUNTIFS(①今日の在庫を貼る!$B$6:$B$10005,$B6795,①今日の在庫を貼る!$I$6:$I$10005,$I6795)&gt;0,N(U6794),N(U6794)+1))</f>
        <v>2</v>
      </c>
    </row>
    <row r="6796" customFormat="false" ht="15" hidden="false" customHeight="false" outlineLevel="0" collapsed="false">
      <c r="B6796" s="53"/>
      <c r="I6796" s="53"/>
      <c r="U6796" s="31" t="n">
        <f aca="false">IF($B6796&lt;&gt;'設定（最初に1回）'!$C$4,N(U6795),IF(COUNTIFS(①今日の在庫を貼る!$B$6:$B$10005,$B6796,①今日の在庫を貼る!$I$6:$I$10005,$I6796)&gt;0,N(U6795),N(U6795)+1))</f>
        <v>2</v>
      </c>
    </row>
    <row r="6797" customFormat="false" ht="15" hidden="false" customHeight="false" outlineLevel="0" collapsed="false">
      <c r="B6797" s="53"/>
      <c r="I6797" s="53"/>
      <c r="U6797" s="31" t="n">
        <f aca="false">IF($B6797&lt;&gt;'設定（最初に1回）'!$C$4,N(U6796),IF(COUNTIFS(①今日の在庫を貼る!$B$6:$B$10005,$B6797,①今日の在庫を貼る!$I$6:$I$10005,$I6797)&gt;0,N(U6796),N(U6796)+1))</f>
        <v>2</v>
      </c>
    </row>
    <row r="6798" customFormat="false" ht="15" hidden="false" customHeight="false" outlineLevel="0" collapsed="false">
      <c r="B6798" s="53"/>
      <c r="I6798" s="53"/>
      <c r="U6798" s="31" t="n">
        <f aca="false">IF($B6798&lt;&gt;'設定（最初に1回）'!$C$4,N(U6797),IF(COUNTIFS(①今日の在庫を貼る!$B$6:$B$10005,$B6798,①今日の在庫を貼る!$I$6:$I$10005,$I6798)&gt;0,N(U6797),N(U6797)+1))</f>
        <v>2</v>
      </c>
    </row>
    <row r="6799" customFormat="false" ht="15" hidden="false" customHeight="false" outlineLevel="0" collapsed="false">
      <c r="B6799" s="53"/>
      <c r="I6799" s="53"/>
      <c r="U6799" s="31" t="n">
        <f aca="false">IF($B6799&lt;&gt;'設定（最初に1回）'!$C$4,N(U6798),IF(COUNTIFS(①今日の在庫を貼る!$B$6:$B$10005,$B6799,①今日の在庫を貼る!$I$6:$I$10005,$I6799)&gt;0,N(U6798),N(U6798)+1))</f>
        <v>2</v>
      </c>
    </row>
    <row r="6800" customFormat="false" ht="15" hidden="false" customHeight="false" outlineLevel="0" collapsed="false">
      <c r="B6800" s="53"/>
      <c r="I6800" s="53"/>
      <c r="U6800" s="31" t="n">
        <f aca="false">IF($B6800&lt;&gt;'設定（最初に1回）'!$C$4,N(U6799),IF(COUNTIFS(①今日の在庫を貼る!$B$6:$B$10005,$B6800,①今日の在庫を貼る!$I$6:$I$10005,$I6800)&gt;0,N(U6799),N(U6799)+1))</f>
        <v>2</v>
      </c>
    </row>
    <row r="6801" customFormat="false" ht="15" hidden="false" customHeight="false" outlineLevel="0" collapsed="false">
      <c r="B6801" s="53"/>
      <c r="I6801" s="53"/>
      <c r="U6801" s="31" t="n">
        <f aca="false">IF($B6801&lt;&gt;'設定（最初に1回）'!$C$4,N(U6800),IF(COUNTIFS(①今日の在庫を貼る!$B$6:$B$10005,$B6801,①今日の在庫を貼る!$I$6:$I$10005,$I6801)&gt;0,N(U6800),N(U6800)+1))</f>
        <v>2</v>
      </c>
    </row>
    <row r="6802" customFormat="false" ht="15" hidden="false" customHeight="false" outlineLevel="0" collapsed="false">
      <c r="B6802" s="53"/>
      <c r="I6802" s="53"/>
      <c r="U6802" s="31" t="n">
        <f aca="false">IF($B6802&lt;&gt;'設定（最初に1回）'!$C$4,N(U6801),IF(COUNTIFS(①今日の在庫を貼る!$B$6:$B$10005,$B6802,①今日の在庫を貼る!$I$6:$I$10005,$I6802)&gt;0,N(U6801),N(U6801)+1))</f>
        <v>2</v>
      </c>
    </row>
    <row r="6803" customFormat="false" ht="15" hidden="false" customHeight="false" outlineLevel="0" collapsed="false">
      <c r="B6803" s="53"/>
      <c r="I6803" s="53"/>
      <c r="U6803" s="31" t="n">
        <f aca="false">IF($B6803&lt;&gt;'設定（最初に1回）'!$C$4,N(U6802),IF(COUNTIFS(①今日の在庫を貼る!$B$6:$B$10005,$B6803,①今日の在庫を貼る!$I$6:$I$10005,$I6803)&gt;0,N(U6802),N(U6802)+1))</f>
        <v>2</v>
      </c>
    </row>
    <row r="6804" customFormat="false" ht="15" hidden="false" customHeight="false" outlineLevel="0" collapsed="false">
      <c r="B6804" s="53"/>
      <c r="I6804" s="53"/>
      <c r="U6804" s="31" t="n">
        <f aca="false">IF($B6804&lt;&gt;'設定（最初に1回）'!$C$4,N(U6803),IF(COUNTIFS(①今日の在庫を貼る!$B$6:$B$10005,$B6804,①今日の在庫を貼る!$I$6:$I$10005,$I6804)&gt;0,N(U6803),N(U6803)+1))</f>
        <v>2</v>
      </c>
    </row>
    <row r="6805" customFormat="false" ht="15" hidden="false" customHeight="false" outlineLevel="0" collapsed="false">
      <c r="B6805" s="53"/>
      <c r="I6805" s="53"/>
      <c r="U6805" s="31" t="n">
        <f aca="false">IF($B6805&lt;&gt;'設定（最初に1回）'!$C$4,N(U6804),IF(COUNTIFS(①今日の在庫を貼る!$B$6:$B$10005,$B6805,①今日の在庫を貼る!$I$6:$I$10005,$I6805)&gt;0,N(U6804),N(U6804)+1))</f>
        <v>2</v>
      </c>
    </row>
    <row r="6806" customFormat="false" ht="15" hidden="false" customHeight="false" outlineLevel="0" collapsed="false">
      <c r="B6806" s="53"/>
      <c r="I6806" s="53"/>
      <c r="U6806" s="31" t="n">
        <f aca="false">IF($B6806&lt;&gt;'設定（最初に1回）'!$C$4,N(U6805),IF(COUNTIFS(①今日の在庫を貼る!$B$6:$B$10005,$B6806,①今日の在庫を貼る!$I$6:$I$10005,$I6806)&gt;0,N(U6805),N(U6805)+1))</f>
        <v>2</v>
      </c>
    </row>
    <row r="6807" customFormat="false" ht="15" hidden="false" customHeight="false" outlineLevel="0" collapsed="false">
      <c r="B6807" s="53"/>
      <c r="I6807" s="53"/>
      <c r="U6807" s="31" t="n">
        <f aca="false">IF($B6807&lt;&gt;'設定（最初に1回）'!$C$4,N(U6806),IF(COUNTIFS(①今日の在庫を貼る!$B$6:$B$10005,$B6807,①今日の在庫を貼る!$I$6:$I$10005,$I6807)&gt;0,N(U6806),N(U6806)+1))</f>
        <v>2</v>
      </c>
    </row>
    <row r="6808" customFormat="false" ht="15" hidden="false" customHeight="false" outlineLevel="0" collapsed="false">
      <c r="B6808" s="53"/>
      <c r="I6808" s="53"/>
      <c r="U6808" s="31" t="n">
        <f aca="false">IF($B6808&lt;&gt;'設定（最初に1回）'!$C$4,N(U6807),IF(COUNTIFS(①今日の在庫を貼る!$B$6:$B$10005,$B6808,①今日の在庫を貼る!$I$6:$I$10005,$I6808)&gt;0,N(U6807),N(U6807)+1))</f>
        <v>2</v>
      </c>
    </row>
    <row r="6809" customFormat="false" ht="15" hidden="false" customHeight="false" outlineLevel="0" collapsed="false">
      <c r="B6809" s="53"/>
      <c r="I6809" s="53"/>
      <c r="U6809" s="31" t="n">
        <f aca="false">IF($B6809&lt;&gt;'設定（最初に1回）'!$C$4,N(U6808),IF(COUNTIFS(①今日の在庫を貼る!$B$6:$B$10005,$B6809,①今日の在庫を貼る!$I$6:$I$10005,$I6809)&gt;0,N(U6808),N(U6808)+1))</f>
        <v>2</v>
      </c>
    </row>
    <row r="6810" customFormat="false" ht="15" hidden="false" customHeight="false" outlineLevel="0" collapsed="false">
      <c r="B6810" s="53"/>
      <c r="I6810" s="53"/>
      <c r="U6810" s="31" t="n">
        <f aca="false">IF($B6810&lt;&gt;'設定（最初に1回）'!$C$4,N(U6809),IF(COUNTIFS(①今日の在庫を貼る!$B$6:$B$10005,$B6810,①今日の在庫を貼る!$I$6:$I$10005,$I6810)&gt;0,N(U6809),N(U6809)+1))</f>
        <v>2</v>
      </c>
    </row>
    <row r="6811" customFormat="false" ht="15" hidden="false" customHeight="false" outlineLevel="0" collapsed="false">
      <c r="B6811" s="53"/>
      <c r="I6811" s="53"/>
      <c r="U6811" s="31" t="n">
        <f aca="false">IF($B6811&lt;&gt;'設定（最初に1回）'!$C$4,N(U6810),IF(COUNTIFS(①今日の在庫を貼る!$B$6:$B$10005,$B6811,①今日の在庫を貼る!$I$6:$I$10005,$I6811)&gt;0,N(U6810),N(U6810)+1))</f>
        <v>2</v>
      </c>
    </row>
    <row r="6812" customFormat="false" ht="15" hidden="false" customHeight="false" outlineLevel="0" collapsed="false">
      <c r="B6812" s="53"/>
      <c r="I6812" s="53"/>
      <c r="U6812" s="31" t="n">
        <f aca="false">IF($B6812&lt;&gt;'設定（最初に1回）'!$C$4,N(U6811),IF(COUNTIFS(①今日の在庫を貼る!$B$6:$B$10005,$B6812,①今日の在庫を貼る!$I$6:$I$10005,$I6812)&gt;0,N(U6811),N(U6811)+1))</f>
        <v>2</v>
      </c>
    </row>
    <row r="6813" customFormat="false" ht="15" hidden="false" customHeight="false" outlineLevel="0" collapsed="false">
      <c r="B6813" s="53"/>
      <c r="I6813" s="53"/>
      <c r="U6813" s="31" t="n">
        <f aca="false">IF($B6813&lt;&gt;'設定（最初に1回）'!$C$4,N(U6812),IF(COUNTIFS(①今日の在庫を貼る!$B$6:$B$10005,$B6813,①今日の在庫を貼る!$I$6:$I$10005,$I6813)&gt;0,N(U6812),N(U6812)+1))</f>
        <v>2</v>
      </c>
    </row>
    <row r="6814" customFormat="false" ht="15" hidden="false" customHeight="false" outlineLevel="0" collapsed="false">
      <c r="B6814" s="53"/>
      <c r="I6814" s="53"/>
      <c r="U6814" s="31" t="n">
        <f aca="false">IF($B6814&lt;&gt;'設定（最初に1回）'!$C$4,N(U6813),IF(COUNTIFS(①今日の在庫を貼る!$B$6:$B$10005,$B6814,①今日の在庫を貼る!$I$6:$I$10005,$I6814)&gt;0,N(U6813),N(U6813)+1))</f>
        <v>2</v>
      </c>
    </row>
    <row r="6815" customFormat="false" ht="15" hidden="false" customHeight="false" outlineLevel="0" collapsed="false">
      <c r="B6815" s="53"/>
      <c r="I6815" s="53"/>
      <c r="U6815" s="31" t="n">
        <f aca="false">IF($B6815&lt;&gt;'設定（最初に1回）'!$C$4,N(U6814),IF(COUNTIFS(①今日の在庫を貼る!$B$6:$B$10005,$B6815,①今日の在庫を貼る!$I$6:$I$10005,$I6815)&gt;0,N(U6814),N(U6814)+1))</f>
        <v>2</v>
      </c>
    </row>
    <row r="6816" customFormat="false" ht="15" hidden="false" customHeight="false" outlineLevel="0" collapsed="false">
      <c r="B6816" s="53"/>
      <c r="I6816" s="53"/>
      <c r="U6816" s="31" t="n">
        <f aca="false">IF($B6816&lt;&gt;'設定（最初に1回）'!$C$4,N(U6815),IF(COUNTIFS(①今日の在庫を貼る!$B$6:$B$10005,$B6816,①今日の在庫を貼る!$I$6:$I$10005,$I6816)&gt;0,N(U6815),N(U6815)+1))</f>
        <v>2</v>
      </c>
    </row>
    <row r="6817" customFormat="false" ht="15" hidden="false" customHeight="false" outlineLevel="0" collapsed="false">
      <c r="B6817" s="53"/>
      <c r="I6817" s="53"/>
      <c r="U6817" s="31" t="n">
        <f aca="false">IF($B6817&lt;&gt;'設定（最初に1回）'!$C$4,N(U6816),IF(COUNTIFS(①今日の在庫を貼る!$B$6:$B$10005,$B6817,①今日の在庫を貼る!$I$6:$I$10005,$I6817)&gt;0,N(U6816),N(U6816)+1))</f>
        <v>2</v>
      </c>
    </row>
    <row r="6818" customFormat="false" ht="15" hidden="false" customHeight="false" outlineLevel="0" collapsed="false">
      <c r="B6818" s="53"/>
      <c r="I6818" s="53"/>
      <c r="U6818" s="31" t="n">
        <f aca="false">IF($B6818&lt;&gt;'設定（最初に1回）'!$C$4,N(U6817),IF(COUNTIFS(①今日の在庫を貼る!$B$6:$B$10005,$B6818,①今日の在庫を貼る!$I$6:$I$10005,$I6818)&gt;0,N(U6817),N(U6817)+1))</f>
        <v>2</v>
      </c>
    </row>
    <row r="6819" customFormat="false" ht="15" hidden="false" customHeight="false" outlineLevel="0" collapsed="false">
      <c r="B6819" s="53"/>
      <c r="I6819" s="53"/>
      <c r="U6819" s="31" t="n">
        <f aca="false">IF($B6819&lt;&gt;'設定（最初に1回）'!$C$4,N(U6818),IF(COUNTIFS(①今日の在庫を貼る!$B$6:$B$10005,$B6819,①今日の在庫を貼る!$I$6:$I$10005,$I6819)&gt;0,N(U6818),N(U6818)+1))</f>
        <v>2</v>
      </c>
    </row>
    <row r="6820" customFormat="false" ht="15" hidden="false" customHeight="false" outlineLevel="0" collapsed="false">
      <c r="B6820" s="53"/>
      <c r="I6820" s="53"/>
      <c r="U6820" s="31" t="n">
        <f aca="false">IF($B6820&lt;&gt;'設定（最初に1回）'!$C$4,N(U6819),IF(COUNTIFS(①今日の在庫を貼る!$B$6:$B$10005,$B6820,①今日の在庫を貼る!$I$6:$I$10005,$I6820)&gt;0,N(U6819),N(U6819)+1))</f>
        <v>2</v>
      </c>
    </row>
    <row r="6821" customFormat="false" ht="15" hidden="false" customHeight="false" outlineLevel="0" collapsed="false">
      <c r="B6821" s="53"/>
      <c r="I6821" s="53"/>
      <c r="U6821" s="31" t="n">
        <f aca="false">IF($B6821&lt;&gt;'設定（最初に1回）'!$C$4,N(U6820),IF(COUNTIFS(①今日の在庫を貼る!$B$6:$B$10005,$B6821,①今日の在庫を貼る!$I$6:$I$10005,$I6821)&gt;0,N(U6820),N(U6820)+1))</f>
        <v>2</v>
      </c>
    </row>
    <row r="6822" customFormat="false" ht="15" hidden="false" customHeight="false" outlineLevel="0" collapsed="false">
      <c r="B6822" s="53"/>
      <c r="I6822" s="53"/>
      <c r="U6822" s="31" t="n">
        <f aca="false">IF($B6822&lt;&gt;'設定（最初に1回）'!$C$4,N(U6821),IF(COUNTIFS(①今日の在庫を貼る!$B$6:$B$10005,$B6822,①今日の在庫を貼る!$I$6:$I$10005,$I6822)&gt;0,N(U6821),N(U6821)+1))</f>
        <v>2</v>
      </c>
    </row>
    <row r="6823" customFormat="false" ht="15" hidden="false" customHeight="false" outlineLevel="0" collapsed="false">
      <c r="B6823" s="53"/>
      <c r="I6823" s="53"/>
      <c r="U6823" s="31" t="n">
        <f aca="false">IF($B6823&lt;&gt;'設定（最初に1回）'!$C$4,N(U6822),IF(COUNTIFS(①今日の在庫を貼る!$B$6:$B$10005,$B6823,①今日の在庫を貼る!$I$6:$I$10005,$I6823)&gt;0,N(U6822),N(U6822)+1))</f>
        <v>2</v>
      </c>
    </row>
    <row r="6824" customFormat="false" ht="15" hidden="false" customHeight="false" outlineLevel="0" collapsed="false">
      <c r="B6824" s="53"/>
      <c r="I6824" s="53"/>
      <c r="U6824" s="31" t="n">
        <f aca="false">IF($B6824&lt;&gt;'設定（最初に1回）'!$C$4,N(U6823),IF(COUNTIFS(①今日の在庫を貼る!$B$6:$B$10005,$B6824,①今日の在庫を貼る!$I$6:$I$10005,$I6824)&gt;0,N(U6823),N(U6823)+1))</f>
        <v>2</v>
      </c>
    </row>
    <row r="6825" customFormat="false" ht="15" hidden="false" customHeight="false" outlineLevel="0" collapsed="false">
      <c r="B6825" s="53"/>
      <c r="I6825" s="53"/>
      <c r="U6825" s="31" t="n">
        <f aca="false">IF($B6825&lt;&gt;'設定（最初に1回）'!$C$4,N(U6824),IF(COUNTIFS(①今日の在庫を貼る!$B$6:$B$10005,$B6825,①今日の在庫を貼る!$I$6:$I$10005,$I6825)&gt;0,N(U6824),N(U6824)+1))</f>
        <v>2</v>
      </c>
    </row>
    <row r="6826" customFormat="false" ht="15" hidden="false" customHeight="false" outlineLevel="0" collapsed="false">
      <c r="B6826" s="53"/>
      <c r="I6826" s="53"/>
      <c r="U6826" s="31" t="n">
        <f aca="false">IF($B6826&lt;&gt;'設定（最初に1回）'!$C$4,N(U6825),IF(COUNTIFS(①今日の在庫を貼る!$B$6:$B$10005,$B6826,①今日の在庫を貼る!$I$6:$I$10005,$I6826)&gt;0,N(U6825),N(U6825)+1))</f>
        <v>2</v>
      </c>
    </row>
    <row r="6827" customFormat="false" ht="15" hidden="false" customHeight="false" outlineLevel="0" collapsed="false">
      <c r="B6827" s="53"/>
      <c r="I6827" s="53"/>
      <c r="U6827" s="31" t="n">
        <f aca="false">IF($B6827&lt;&gt;'設定（最初に1回）'!$C$4,N(U6826),IF(COUNTIFS(①今日の在庫を貼る!$B$6:$B$10005,$B6827,①今日の在庫を貼る!$I$6:$I$10005,$I6827)&gt;0,N(U6826),N(U6826)+1))</f>
        <v>2</v>
      </c>
    </row>
    <row r="6828" customFormat="false" ht="15" hidden="false" customHeight="false" outlineLevel="0" collapsed="false">
      <c r="B6828" s="53"/>
      <c r="I6828" s="53"/>
      <c r="U6828" s="31" t="n">
        <f aca="false">IF($B6828&lt;&gt;'設定（最初に1回）'!$C$4,N(U6827),IF(COUNTIFS(①今日の在庫を貼る!$B$6:$B$10005,$B6828,①今日の在庫を貼る!$I$6:$I$10005,$I6828)&gt;0,N(U6827),N(U6827)+1))</f>
        <v>2</v>
      </c>
    </row>
    <row r="6829" customFormat="false" ht="15" hidden="false" customHeight="false" outlineLevel="0" collapsed="false">
      <c r="B6829" s="53"/>
      <c r="I6829" s="53"/>
      <c r="U6829" s="31" t="n">
        <f aca="false">IF($B6829&lt;&gt;'設定（最初に1回）'!$C$4,N(U6828),IF(COUNTIFS(①今日の在庫を貼る!$B$6:$B$10005,$B6829,①今日の在庫を貼る!$I$6:$I$10005,$I6829)&gt;0,N(U6828),N(U6828)+1))</f>
        <v>2</v>
      </c>
    </row>
    <row r="6830" customFormat="false" ht="15" hidden="false" customHeight="false" outlineLevel="0" collapsed="false">
      <c r="B6830" s="53"/>
      <c r="I6830" s="53"/>
      <c r="U6830" s="31" t="n">
        <f aca="false">IF($B6830&lt;&gt;'設定（最初に1回）'!$C$4,N(U6829),IF(COUNTIFS(①今日の在庫を貼る!$B$6:$B$10005,$B6830,①今日の在庫を貼る!$I$6:$I$10005,$I6830)&gt;0,N(U6829),N(U6829)+1))</f>
        <v>2</v>
      </c>
    </row>
    <row r="6831" customFormat="false" ht="15" hidden="false" customHeight="false" outlineLevel="0" collapsed="false">
      <c r="B6831" s="53"/>
      <c r="I6831" s="53"/>
      <c r="U6831" s="31" t="n">
        <f aca="false">IF($B6831&lt;&gt;'設定（最初に1回）'!$C$4,N(U6830),IF(COUNTIFS(①今日の在庫を貼る!$B$6:$B$10005,$B6831,①今日の在庫を貼る!$I$6:$I$10005,$I6831)&gt;0,N(U6830),N(U6830)+1))</f>
        <v>2</v>
      </c>
    </row>
    <row r="6832" customFormat="false" ht="15" hidden="false" customHeight="false" outlineLevel="0" collapsed="false">
      <c r="B6832" s="53"/>
      <c r="I6832" s="53"/>
      <c r="U6832" s="31" t="n">
        <f aca="false">IF($B6832&lt;&gt;'設定（最初に1回）'!$C$4,N(U6831),IF(COUNTIFS(①今日の在庫を貼る!$B$6:$B$10005,$B6832,①今日の在庫を貼る!$I$6:$I$10005,$I6832)&gt;0,N(U6831),N(U6831)+1))</f>
        <v>2</v>
      </c>
    </row>
    <row r="6833" customFormat="false" ht="15" hidden="false" customHeight="false" outlineLevel="0" collapsed="false">
      <c r="B6833" s="53"/>
      <c r="I6833" s="53"/>
      <c r="U6833" s="31" t="n">
        <f aca="false">IF($B6833&lt;&gt;'設定（最初に1回）'!$C$4,N(U6832),IF(COUNTIFS(①今日の在庫を貼る!$B$6:$B$10005,$B6833,①今日の在庫を貼る!$I$6:$I$10005,$I6833)&gt;0,N(U6832),N(U6832)+1))</f>
        <v>2</v>
      </c>
    </row>
    <row r="6834" customFormat="false" ht="15" hidden="false" customHeight="false" outlineLevel="0" collapsed="false">
      <c r="B6834" s="53"/>
      <c r="I6834" s="53"/>
      <c r="U6834" s="31" t="n">
        <f aca="false">IF($B6834&lt;&gt;'設定（最初に1回）'!$C$4,N(U6833),IF(COUNTIFS(①今日の在庫を貼る!$B$6:$B$10005,$B6834,①今日の在庫を貼る!$I$6:$I$10005,$I6834)&gt;0,N(U6833),N(U6833)+1))</f>
        <v>2</v>
      </c>
    </row>
    <row r="6835" customFormat="false" ht="15" hidden="false" customHeight="false" outlineLevel="0" collapsed="false">
      <c r="B6835" s="53"/>
      <c r="I6835" s="53"/>
      <c r="U6835" s="31" t="n">
        <f aca="false">IF($B6835&lt;&gt;'設定（最初に1回）'!$C$4,N(U6834),IF(COUNTIFS(①今日の在庫を貼る!$B$6:$B$10005,$B6835,①今日の在庫を貼る!$I$6:$I$10005,$I6835)&gt;0,N(U6834),N(U6834)+1))</f>
        <v>2</v>
      </c>
    </row>
    <row r="6836" customFormat="false" ht="15" hidden="false" customHeight="false" outlineLevel="0" collapsed="false">
      <c r="B6836" s="53"/>
      <c r="I6836" s="53"/>
      <c r="U6836" s="31" t="n">
        <f aca="false">IF($B6836&lt;&gt;'設定（最初に1回）'!$C$4,N(U6835),IF(COUNTIFS(①今日の在庫を貼る!$B$6:$B$10005,$B6836,①今日の在庫を貼る!$I$6:$I$10005,$I6836)&gt;0,N(U6835),N(U6835)+1))</f>
        <v>2</v>
      </c>
    </row>
    <row r="6837" customFormat="false" ht="15" hidden="false" customHeight="false" outlineLevel="0" collapsed="false">
      <c r="B6837" s="53"/>
      <c r="I6837" s="53"/>
      <c r="U6837" s="31" t="n">
        <f aca="false">IF($B6837&lt;&gt;'設定（最初に1回）'!$C$4,N(U6836),IF(COUNTIFS(①今日の在庫を貼る!$B$6:$B$10005,$B6837,①今日の在庫を貼る!$I$6:$I$10005,$I6837)&gt;0,N(U6836),N(U6836)+1))</f>
        <v>2</v>
      </c>
    </row>
    <row r="6838" customFormat="false" ht="15" hidden="false" customHeight="false" outlineLevel="0" collapsed="false">
      <c r="B6838" s="53"/>
      <c r="I6838" s="53"/>
      <c r="U6838" s="31" t="n">
        <f aca="false">IF($B6838&lt;&gt;'設定（最初に1回）'!$C$4,N(U6837),IF(COUNTIFS(①今日の在庫を貼る!$B$6:$B$10005,$B6838,①今日の在庫を貼る!$I$6:$I$10005,$I6838)&gt;0,N(U6837),N(U6837)+1))</f>
        <v>2</v>
      </c>
    </row>
    <row r="6839" customFormat="false" ht="15" hidden="false" customHeight="false" outlineLevel="0" collapsed="false">
      <c r="B6839" s="53"/>
      <c r="I6839" s="53"/>
      <c r="U6839" s="31" t="n">
        <f aca="false">IF($B6839&lt;&gt;'設定（最初に1回）'!$C$4,N(U6838),IF(COUNTIFS(①今日の在庫を貼る!$B$6:$B$10005,$B6839,①今日の在庫を貼る!$I$6:$I$10005,$I6839)&gt;0,N(U6838),N(U6838)+1))</f>
        <v>2</v>
      </c>
    </row>
    <row r="6840" customFormat="false" ht="15" hidden="false" customHeight="false" outlineLevel="0" collapsed="false">
      <c r="B6840" s="53"/>
      <c r="I6840" s="53"/>
      <c r="U6840" s="31" t="n">
        <f aca="false">IF($B6840&lt;&gt;'設定（最初に1回）'!$C$4,N(U6839),IF(COUNTIFS(①今日の在庫を貼る!$B$6:$B$10005,$B6840,①今日の在庫を貼る!$I$6:$I$10005,$I6840)&gt;0,N(U6839),N(U6839)+1))</f>
        <v>2</v>
      </c>
    </row>
    <row r="6841" customFormat="false" ht="15" hidden="false" customHeight="false" outlineLevel="0" collapsed="false">
      <c r="B6841" s="53"/>
      <c r="I6841" s="53"/>
      <c r="U6841" s="31" t="n">
        <f aca="false">IF($B6841&lt;&gt;'設定（最初に1回）'!$C$4,N(U6840),IF(COUNTIFS(①今日の在庫を貼る!$B$6:$B$10005,$B6841,①今日の在庫を貼る!$I$6:$I$10005,$I6841)&gt;0,N(U6840),N(U6840)+1))</f>
        <v>2</v>
      </c>
    </row>
    <row r="6842" customFormat="false" ht="15" hidden="false" customHeight="false" outlineLevel="0" collapsed="false">
      <c r="B6842" s="53"/>
      <c r="I6842" s="53"/>
      <c r="U6842" s="31" t="n">
        <f aca="false">IF($B6842&lt;&gt;'設定（最初に1回）'!$C$4,N(U6841),IF(COUNTIFS(①今日の在庫を貼る!$B$6:$B$10005,$B6842,①今日の在庫を貼る!$I$6:$I$10005,$I6842)&gt;0,N(U6841),N(U6841)+1))</f>
        <v>2</v>
      </c>
    </row>
    <row r="6843" customFormat="false" ht="15" hidden="false" customHeight="false" outlineLevel="0" collapsed="false">
      <c r="B6843" s="53"/>
      <c r="I6843" s="53"/>
      <c r="U6843" s="31" t="n">
        <f aca="false">IF($B6843&lt;&gt;'設定（最初に1回）'!$C$4,N(U6842),IF(COUNTIFS(①今日の在庫を貼る!$B$6:$B$10005,$B6843,①今日の在庫を貼る!$I$6:$I$10005,$I6843)&gt;0,N(U6842),N(U6842)+1))</f>
        <v>2</v>
      </c>
    </row>
    <row r="6844" customFormat="false" ht="15" hidden="false" customHeight="false" outlineLevel="0" collapsed="false">
      <c r="B6844" s="53"/>
      <c r="I6844" s="53"/>
      <c r="U6844" s="31" t="n">
        <f aca="false">IF($B6844&lt;&gt;'設定（最初に1回）'!$C$4,N(U6843),IF(COUNTIFS(①今日の在庫を貼る!$B$6:$B$10005,$B6844,①今日の在庫を貼る!$I$6:$I$10005,$I6844)&gt;0,N(U6843),N(U6843)+1))</f>
        <v>2</v>
      </c>
    </row>
    <row r="6845" customFormat="false" ht="15" hidden="false" customHeight="false" outlineLevel="0" collapsed="false">
      <c r="B6845" s="53"/>
      <c r="I6845" s="53"/>
      <c r="U6845" s="31" t="n">
        <f aca="false">IF($B6845&lt;&gt;'設定（最初に1回）'!$C$4,N(U6844),IF(COUNTIFS(①今日の在庫を貼る!$B$6:$B$10005,$B6845,①今日の在庫を貼る!$I$6:$I$10005,$I6845)&gt;0,N(U6844),N(U6844)+1))</f>
        <v>2</v>
      </c>
    </row>
    <row r="6846" customFormat="false" ht="15" hidden="false" customHeight="false" outlineLevel="0" collapsed="false">
      <c r="B6846" s="53"/>
      <c r="I6846" s="53"/>
      <c r="U6846" s="31" t="n">
        <f aca="false">IF($B6846&lt;&gt;'設定（最初に1回）'!$C$4,N(U6845),IF(COUNTIFS(①今日の在庫を貼る!$B$6:$B$10005,$B6846,①今日の在庫を貼る!$I$6:$I$10005,$I6846)&gt;0,N(U6845),N(U6845)+1))</f>
        <v>2</v>
      </c>
    </row>
    <row r="6847" customFormat="false" ht="15" hidden="false" customHeight="false" outlineLevel="0" collapsed="false">
      <c r="B6847" s="53"/>
      <c r="I6847" s="53"/>
      <c r="U6847" s="31" t="n">
        <f aca="false">IF($B6847&lt;&gt;'設定（最初に1回）'!$C$4,N(U6846),IF(COUNTIFS(①今日の在庫を貼る!$B$6:$B$10005,$B6847,①今日の在庫を貼る!$I$6:$I$10005,$I6847)&gt;0,N(U6846),N(U6846)+1))</f>
        <v>2</v>
      </c>
    </row>
    <row r="6848" customFormat="false" ht="15" hidden="false" customHeight="false" outlineLevel="0" collapsed="false">
      <c r="B6848" s="53"/>
      <c r="I6848" s="53"/>
      <c r="U6848" s="31" t="n">
        <f aca="false">IF($B6848&lt;&gt;'設定（最初に1回）'!$C$4,N(U6847),IF(COUNTIFS(①今日の在庫を貼る!$B$6:$B$10005,$B6848,①今日の在庫を貼る!$I$6:$I$10005,$I6848)&gt;0,N(U6847),N(U6847)+1))</f>
        <v>2</v>
      </c>
    </row>
    <row r="6849" customFormat="false" ht="15" hidden="false" customHeight="false" outlineLevel="0" collapsed="false">
      <c r="B6849" s="53"/>
      <c r="I6849" s="53"/>
      <c r="U6849" s="31" t="n">
        <f aca="false">IF($B6849&lt;&gt;'設定（最初に1回）'!$C$4,N(U6848),IF(COUNTIFS(①今日の在庫を貼る!$B$6:$B$10005,$B6849,①今日の在庫を貼る!$I$6:$I$10005,$I6849)&gt;0,N(U6848),N(U6848)+1))</f>
        <v>2</v>
      </c>
    </row>
    <row r="6850" customFormat="false" ht="15" hidden="false" customHeight="false" outlineLevel="0" collapsed="false">
      <c r="B6850" s="53"/>
      <c r="I6850" s="53"/>
      <c r="U6850" s="31" t="n">
        <f aca="false">IF($B6850&lt;&gt;'設定（最初に1回）'!$C$4,N(U6849),IF(COUNTIFS(①今日の在庫を貼る!$B$6:$B$10005,$B6850,①今日の在庫を貼る!$I$6:$I$10005,$I6850)&gt;0,N(U6849),N(U6849)+1))</f>
        <v>2</v>
      </c>
    </row>
    <row r="6851" customFormat="false" ht="15" hidden="false" customHeight="false" outlineLevel="0" collapsed="false">
      <c r="B6851" s="53"/>
      <c r="I6851" s="53"/>
      <c r="U6851" s="31" t="n">
        <f aca="false">IF($B6851&lt;&gt;'設定（最初に1回）'!$C$4,N(U6850),IF(COUNTIFS(①今日の在庫を貼る!$B$6:$B$10005,$B6851,①今日の在庫を貼る!$I$6:$I$10005,$I6851)&gt;0,N(U6850),N(U6850)+1))</f>
        <v>2</v>
      </c>
    </row>
    <row r="6852" customFormat="false" ht="15" hidden="false" customHeight="false" outlineLevel="0" collapsed="false">
      <c r="B6852" s="53"/>
      <c r="I6852" s="53"/>
      <c r="U6852" s="31" t="n">
        <f aca="false">IF($B6852&lt;&gt;'設定（最初に1回）'!$C$4,N(U6851),IF(COUNTIFS(①今日の在庫を貼る!$B$6:$B$10005,$B6852,①今日の在庫を貼る!$I$6:$I$10005,$I6852)&gt;0,N(U6851),N(U6851)+1))</f>
        <v>2</v>
      </c>
    </row>
    <row r="6853" customFormat="false" ht="15" hidden="false" customHeight="false" outlineLevel="0" collapsed="false">
      <c r="B6853" s="53"/>
      <c r="I6853" s="53"/>
      <c r="U6853" s="31" t="n">
        <f aca="false">IF($B6853&lt;&gt;'設定（最初に1回）'!$C$4,N(U6852),IF(COUNTIFS(①今日の在庫を貼る!$B$6:$B$10005,$B6853,①今日の在庫を貼る!$I$6:$I$10005,$I6853)&gt;0,N(U6852),N(U6852)+1))</f>
        <v>2</v>
      </c>
    </row>
    <row r="6854" customFormat="false" ht="15" hidden="false" customHeight="false" outlineLevel="0" collapsed="false">
      <c r="B6854" s="53"/>
      <c r="I6854" s="53"/>
      <c r="U6854" s="31" t="n">
        <f aca="false">IF($B6854&lt;&gt;'設定（最初に1回）'!$C$4,N(U6853),IF(COUNTIFS(①今日の在庫を貼る!$B$6:$B$10005,$B6854,①今日の在庫を貼る!$I$6:$I$10005,$I6854)&gt;0,N(U6853),N(U6853)+1))</f>
        <v>2</v>
      </c>
    </row>
    <row r="6855" customFormat="false" ht="15" hidden="false" customHeight="false" outlineLevel="0" collapsed="false">
      <c r="B6855" s="53"/>
      <c r="I6855" s="53"/>
      <c r="U6855" s="31" t="n">
        <f aca="false">IF($B6855&lt;&gt;'設定（最初に1回）'!$C$4,N(U6854),IF(COUNTIFS(①今日の在庫を貼る!$B$6:$B$10005,$B6855,①今日の在庫を貼る!$I$6:$I$10005,$I6855)&gt;0,N(U6854),N(U6854)+1))</f>
        <v>2</v>
      </c>
    </row>
    <row r="6856" customFormat="false" ht="15" hidden="false" customHeight="false" outlineLevel="0" collapsed="false">
      <c r="B6856" s="53"/>
      <c r="I6856" s="53"/>
      <c r="U6856" s="31" t="n">
        <f aca="false">IF($B6856&lt;&gt;'設定（最初に1回）'!$C$4,N(U6855),IF(COUNTIFS(①今日の在庫を貼る!$B$6:$B$10005,$B6856,①今日の在庫を貼る!$I$6:$I$10005,$I6856)&gt;0,N(U6855),N(U6855)+1))</f>
        <v>2</v>
      </c>
    </row>
    <row r="6857" customFormat="false" ht="15" hidden="false" customHeight="false" outlineLevel="0" collapsed="false">
      <c r="B6857" s="53"/>
      <c r="I6857" s="53"/>
      <c r="U6857" s="31" t="n">
        <f aca="false">IF($B6857&lt;&gt;'設定（最初に1回）'!$C$4,N(U6856),IF(COUNTIFS(①今日の在庫を貼る!$B$6:$B$10005,$B6857,①今日の在庫を貼る!$I$6:$I$10005,$I6857)&gt;0,N(U6856),N(U6856)+1))</f>
        <v>2</v>
      </c>
    </row>
    <row r="6858" customFormat="false" ht="15" hidden="false" customHeight="false" outlineLevel="0" collapsed="false">
      <c r="B6858" s="53"/>
      <c r="I6858" s="53"/>
      <c r="U6858" s="31" t="n">
        <f aca="false">IF($B6858&lt;&gt;'設定（最初に1回）'!$C$4,N(U6857),IF(COUNTIFS(①今日の在庫を貼る!$B$6:$B$10005,$B6858,①今日の在庫を貼る!$I$6:$I$10005,$I6858)&gt;0,N(U6857),N(U6857)+1))</f>
        <v>2</v>
      </c>
    </row>
    <row r="6859" customFormat="false" ht="15" hidden="false" customHeight="false" outlineLevel="0" collapsed="false">
      <c r="B6859" s="53"/>
      <c r="I6859" s="53"/>
      <c r="U6859" s="31" t="n">
        <f aca="false">IF($B6859&lt;&gt;'設定（最初に1回）'!$C$4,N(U6858),IF(COUNTIFS(①今日の在庫を貼る!$B$6:$B$10005,$B6859,①今日の在庫を貼る!$I$6:$I$10005,$I6859)&gt;0,N(U6858),N(U6858)+1))</f>
        <v>2</v>
      </c>
    </row>
    <row r="6860" customFormat="false" ht="15" hidden="false" customHeight="false" outlineLevel="0" collapsed="false">
      <c r="B6860" s="53"/>
      <c r="I6860" s="53"/>
      <c r="U6860" s="31" t="n">
        <f aca="false">IF($B6860&lt;&gt;'設定（最初に1回）'!$C$4,N(U6859),IF(COUNTIFS(①今日の在庫を貼る!$B$6:$B$10005,$B6860,①今日の在庫を貼る!$I$6:$I$10005,$I6860)&gt;0,N(U6859),N(U6859)+1))</f>
        <v>2</v>
      </c>
    </row>
    <row r="6861" customFormat="false" ht="15" hidden="false" customHeight="false" outlineLevel="0" collapsed="false">
      <c r="B6861" s="53"/>
      <c r="I6861" s="53"/>
      <c r="U6861" s="31" t="n">
        <f aca="false">IF($B6861&lt;&gt;'設定（最初に1回）'!$C$4,N(U6860),IF(COUNTIFS(①今日の在庫を貼る!$B$6:$B$10005,$B6861,①今日の在庫を貼る!$I$6:$I$10005,$I6861)&gt;0,N(U6860),N(U6860)+1))</f>
        <v>2</v>
      </c>
    </row>
    <row r="6862" customFormat="false" ht="15" hidden="false" customHeight="false" outlineLevel="0" collapsed="false">
      <c r="B6862" s="53"/>
      <c r="I6862" s="53"/>
      <c r="U6862" s="31" t="n">
        <f aca="false">IF($B6862&lt;&gt;'設定（最初に1回）'!$C$4,N(U6861),IF(COUNTIFS(①今日の在庫を貼る!$B$6:$B$10005,$B6862,①今日の在庫を貼る!$I$6:$I$10005,$I6862)&gt;0,N(U6861),N(U6861)+1))</f>
        <v>2</v>
      </c>
    </row>
    <row r="6863" customFormat="false" ht="15" hidden="false" customHeight="false" outlineLevel="0" collapsed="false">
      <c r="B6863" s="53"/>
      <c r="I6863" s="53"/>
      <c r="U6863" s="31" t="n">
        <f aca="false">IF($B6863&lt;&gt;'設定（最初に1回）'!$C$4,N(U6862),IF(COUNTIFS(①今日の在庫を貼る!$B$6:$B$10005,$B6863,①今日の在庫を貼る!$I$6:$I$10005,$I6863)&gt;0,N(U6862),N(U6862)+1))</f>
        <v>2</v>
      </c>
    </row>
    <row r="6864" customFormat="false" ht="15" hidden="false" customHeight="false" outlineLevel="0" collapsed="false">
      <c r="B6864" s="53"/>
      <c r="I6864" s="53"/>
      <c r="U6864" s="31" t="n">
        <f aca="false">IF($B6864&lt;&gt;'設定（最初に1回）'!$C$4,N(U6863),IF(COUNTIFS(①今日の在庫を貼る!$B$6:$B$10005,$B6864,①今日の在庫を貼る!$I$6:$I$10005,$I6864)&gt;0,N(U6863),N(U6863)+1))</f>
        <v>2</v>
      </c>
    </row>
    <row r="6865" customFormat="false" ht="15" hidden="false" customHeight="false" outlineLevel="0" collapsed="false">
      <c r="B6865" s="53"/>
      <c r="I6865" s="53"/>
      <c r="U6865" s="31" t="n">
        <f aca="false">IF($B6865&lt;&gt;'設定（最初に1回）'!$C$4,N(U6864),IF(COUNTIFS(①今日の在庫を貼る!$B$6:$B$10005,$B6865,①今日の在庫を貼る!$I$6:$I$10005,$I6865)&gt;0,N(U6864),N(U6864)+1))</f>
        <v>2</v>
      </c>
    </row>
    <row r="6866" customFormat="false" ht="15" hidden="false" customHeight="false" outlineLevel="0" collapsed="false">
      <c r="B6866" s="53"/>
      <c r="I6866" s="53"/>
      <c r="U6866" s="31" t="n">
        <f aca="false">IF($B6866&lt;&gt;'設定（最初に1回）'!$C$4,N(U6865),IF(COUNTIFS(①今日の在庫を貼る!$B$6:$B$10005,$B6866,①今日の在庫を貼る!$I$6:$I$10005,$I6866)&gt;0,N(U6865),N(U6865)+1))</f>
        <v>2</v>
      </c>
    </row>
    <row r="6867" customFormat="false" ht="15" hidden="false" customHeight="false" outlineLevel="0" collapsed="false">
      <c r="B6867" s="53"/>
      <c r="I6867" s="53"/>
      <c r="U6867" s="31" t="n">
        <f aca="false">IF($B6867&lt;&gt;'設定（最初に1回）'!$C$4,N(U6866),IF(COUNTIFS(①今日の在庫を貼る!$B$6:$B$10005,$B6867,①今日の在庫を貼る!$I$6:$I$10005,$I6867)&gt;0,N(U6866),N(U6866)+1))</f>
        <v>2</v>
      </c>
    </row>
    <row r="6868" customFormat="false" ht="15" hidden="false" customHeight="false" outlineLevel="0" collapsed="false">
      <c r="B6868" s="53"/>
      <c r="I6868" s="53"/>
      <c r="U6868" s="31" t="n">
        <f aca="false">IF($B6868&lt;&gt;'設定（最初に1回）'!$C$4,N(U6867),IF(COUNTIFS(①今日の在庫を貼る!$B$6:$B$10005,$B6868,①今日の在庫を貼る!$I$6:$I$10005,$I6868)&gt;0,N(U6867),N(U6867)+1))</f>
        <v>2</v>
      </c>
    </row>
    <row r="6869" customFormat="false" ht="15" hidden="false" customHeight="false" outlineLevel="0" collapsed="false">
      <c r="B6869" s="53"/>
      <c r="I6869" s="53"/>
      <c r="U6869" s="31" t="n">
        <f aca="false">IF($B6869&lt;&gt;'設定（最初に1回）'!$C$4,N(U6868),IF(COUNTIFS(①今日の在庫を貼る!$B$6:$B$10005,$B6869,①今日の在庫を貼る!$I$6:$I$10005,$I6869)&gt;0,N(U6868),N(U6868)+1))</f>
        <v>2</v>
      </c>
    </row>
    <row r="6870" customFormat="false" ht="15" hidden="false" customHeight="false" outlineLevel="0" collapsed="false">
      <c r="B6870" s="53"/>
      <c r="I6870" s="53"/>
      <c r="U6870" s="31" t="n">
        <f aca="false">IF($B6870&lt;&gt;'設定（最初に1回）'!$C$4,N(U6869),IF(COUNTIFS(①今日の在庫を貼る!$B$6:$B$10005,$B6870,①今日の在庫を貼る!$I$6:$I$10005,$I6870)&gt;0,N(U6869),N(U6869)+1))</f>
        <v>2</v>
      </c>
    </row>
    <row r="6871" customFormat="false" ht="15" hidden="false" customHeight="false" outlineLevel="0" collapsed="false">
      <c r="B6871" s="53"/>
      <c r="I6871" s="53"/>
      <c r="U6871" s="31" t="n">
        <f aca="false">IF($B6871&lt;&gt;'設定（最初に1回）'!$C$4,N(U6870),IF(COUNTIFS(①今日の在庫を貼る!$B$6:$B$10005,$B6871,①今日の在庫を貼る!$I$6:$I$10005,$I6871)&gt;0,N(U6870),N(U6870)+1))</f>
        <v>2</v>
      </c>
    </row>
    <row r="6872" customFormat="false" ht="15" hidden="false" customHeight="false" outlineLevel="0" collapsed="false">
      <c r="B6872" s="53"/>
      <c r="I6872" s="53"/>
      <c r="U6872" s="31" t="n">
        <f aca="false">IF($B6872&lt;&gt;'設定（最初に1回）'!$C$4,N(U6871),IF(COUNTIFS(①今日の在庫を貼る!$B$6:$B$10005,$B6872,①今日の在庫を貼る!$I$6:$I$10005,$I6872)&gt;0,N(U6871),N(U6871)+1))</f>
        <v>2</v>
      </c>
    </row>
    <row r="6873" customFormat="false" ht="15" hidden="false" customHeight="false" outlineLevel="0" collapsed="false">
      <c r="B6873" s="53"/>
      <c r="I6873" s="53"/>
      <c r="U6873" s="31" t="n">
        <f aca="false">IF($B6873&lt;&gt;'設定（最初に1回）'!$C$4,N(U6872),IF(COUNTIFS(①今日の在庫を貼る!$B$6:$B$10005,$B6873,①今日の在庫を貼る!$I$6:$I$10005,$I6873)&gt;0,N(U6872),N(U6872)+1))</f>
        <v>2</v>
      </c>
    </row>
    <row r="6874" customFormat="false" ht="15" hidden="false" customHeight="false" outlineLevel="0" collapsed="false">
      <c r="B6874" s="53"/>
      <c r="I6874" s="53"/>
      <c r="U6874" s="31" t="n">
        <f aca="false">IF($B6874&lt;&gt;'設定（最初に1回）'!$C$4,N(U6873),IF(COUNTIFS(①今日の在庫を貼る!$B$6:$B$10005,$B6874,①今日の在庫を貼る!$I$6:$I$10005,$I6874)&gt;0,N(U6873),N(U6873)+1))</f>
        <v>2</v>
      </c>
    </row>
    <row r="6875" customFormat="false" ht="15" hidden="false" customHeight="false" outlineLevel="0" collapsed="false">
      <c r="B6875" s="53"/>
      <c r="I6875" s="53"/>
      <c r="U6875" s="31" t="n">
        <f aca="false">IF($B6875&lt;&gt;'設定（最初に1回）'!$C$4,N(U6874),IF(COUNTIFS(①今日の在庫を貼る!$B$6:$B$10005,$B6875,①今日の在庫を貼る!$I$6:$I$10005,$I6875)&gt;0,N(U6874),N(U6874)+1))</f>
        <v>2</v>
      </c>
    </row>
    <row r="6876" customFormat="false" ht="15" hidden="false" customHeight="false" outlineLevel="0" collapsed="false">
      <c r="B6876" s="53"/>
      <c r="I6876" s="53"/>
      <c r="U6876" s="31" t="n">
        <f aca="false">IF($B6876&lt;&gt;'設定（最初に1回）'!$C$4,N(U6875),IF(COUNTIFS(①今日の在庫を貼る!$B$6:$B$10005,$B6876,①今日の在庫を貼る!$I$6:$I$10005,$I6876)&gt;0,N(U6875),N(U6875)+1))</f>
        <v>2</v>
      </c>
    </row>
    <row r="6877" customFormat="false" ht="15" hidden="false" customHeight="false" outlineLevel="0" collapsed="false">
      <c r="B6877" s="53"/>
      <c r="I6877" s="53"/>
      <c r="U6877" s="31" t="n">
        <f aca="false">IF($B6877&lt;&gt;'設定（最初に1回）'!$C$4,N(U6876),IF(COUNTIFS(①今日の在庫を貼る!$B$6:$B$10005,$B6877,①今日の在庫を貼る!$I$6:$I$10005,$I6877)&gt;0,N(U6876),N(U6876)+1))</f>
        <v>2</v>
      </c>
    </row>
    <row r="6878" customFormat="false" ht="15" hidden="false" customHeight="false" outlineLevel="0" collapsed="false">
      <c r="B6878" s="53"/>
      <c r="I6878" s="53"/>
      <c r="U6878" s="31" t="n">
        <f aca="false">IF($B6878&lt;&gt;'設定（最初に1回）'!$C$4,N(U6877),IF(COUNTIFS(①今日の在庫を貼る!$B$6:$B$10005,$B6878,①今日の在庫を貼る!$I$6:$I$10005,$I6878)&gt;0,N(U6877),N(U6877)+1))</f>
        <v>2</v>
      </c>
    </row>
    <row r="6879" customFormat="false" ht="15" hidden="false" customHeight="false" outlineLevel="0" collapsed="false">
      <c r="B6879" s="53"/>
      <c r="I6879" s="53"/>
      <c r="U6879" s="31" t="n">
        <f aca="false">IF($B6879&lt;&gt;'設定（最初に1回）'!$C$4,N(U6878),IF(COUNTIFS(①今日の在庫を貼る!$B$6:$B$10005,$B6879,①今日の在庫を貼る!$I$6:$I$10005,$I6879)&gt;0,N(U6878),N(U6878)+1))</f>
        <v>2</v>
      </c>
    </row>
    <row r="6880" customFormat="false" ht="15" hidden="false" customHeight="false" outlineLevel="0" collapsed="false">
      <c r="B6880" s="53"/>
      <c r="I6880" s="53"/>
      <c r="U6880" s="31" t="n">
        <f aca="false">IF($B6880&lt;&gt;'設定（最初に1回）'!$C$4,N(U6879),IF(COUNTIFS(①今日の在庫を貼る!$B$6:$B$10005,$B6880,①今日の在庫を貼る!$I$6:$I$10005,$I6880)&gt;0,N(U6879),N(U6879)+1))</f>
        <v>2</v>
      </c>
    </row>
    <row r="6881" customFormat="false" ht="15" hidden="false" customHeight="false" outlineLevel="0" collapsed="false">
      <c r="B6881" s="53"/>
      <c r="I6881" s="53"/>
      <c r="U6881" s="31" t="n">
        <f aca="false">IF($B6881&lt;&gt;'設定（最初に1回）'!$C$4,N(U6880),IF(COUNTIFS(①今日の在庫を貼る!$B$6:$B$10005,$B6881,①今日の在庫を貼る!$I$6:$I$10005,$I6881)&gt;0,N(U6880),N(U6880)+1))</f>
        <v>2</v>
      </c>
    </row>
    <row r="6882" customFormat="false" ht="15" hidden="false" customHeight="false" outlineLevel="0" collapsed="false">
      <c r="B6882" s="53"/>
      <c r="I6882" s="53"/>
      <c r="U6882" s="31" t="n">
        <f aca="false">IF($B6882&lt;&gt;'設定（最初に1回）'!$C$4,N(U6881),IF(COUNTIFS(①今日の在庫を貼る!$B$6:$B$10005,$B6882,①今日の在庫を貼る!$I$6:$I$10005,$I6882)&gt;0,N(U6881),N(U6881)+1))</f>
        <v>2</v>
      </c>
    </row>
    <row r="6883" customFormat="false" ht="15" hidden="false" customHeight="false" outlineLevel="0" collapsed="false">
      <c r="B6883" s="53"/>
      <c r="I6883" s="53"/>
      <c r="U6883" s="31" t="n">
        <f aca="false">IF($B6883&lt;&gt;'設定（最初に1回）'!$C$4,N(U6882),IF(COUNTIFS(①今日の在庫を貼る!$B$6:$B$10005,$B6883,①今日の在庫を貼る!$I$6:$I$10005,$I6883)&gt;0,N(U6882),N(U6882)+1))</f>
        <v>2</v>
      </c>
    </row>
    <row r="6884" customFormat="false" ht="15" hidden="false" customHeight="false" outlineLevel="0" collapsed="false">
      <c r="B6884" s="53"/>
      <c r="I6884" s="53"/>
      <c r="U6884" s="31" t="n">
        <f aca="false">IF($B6884&lt;&gt;'設定（最初に1回）'!$C$4,N(U6883),IF(COUNTIFS(①今日の在庫を貼る!$B$6:$B$10005,$B6884,①今日の在庫を貼る!$I$6:$I$10005,$I6884)&gt;0,N(U6883),N(U6883)+1))</f>
        <v>2</v>
      </c>
    </row>
    <row r="6885" customFormat="false" ht="15" hidden="false" customHeight="false" outlineLevel="0" collapsed="false">
      <c r="B6885" s="53"/>
      <c r="I6885" s="53"/>
      <c r="U6885" s="31" t="n">
        <f aca="false">IF($B6885&lt;&gt;'設定（最初に1回）'!$C$4,N(U6884),IF(COUNTIFS(①今日の在庫を貼る!$B$6:$B$10005,$B6885,①今日の在庫を貼る!$I$6:$I$10005,$I6885)&gt;0,N(U6884),N(U6884)+1))</f>
        <v>2</v>
      </c>
    </row>
    <row r="6886" customFormat="false" ht="15" hidden="false" customHeight="false" outlineLevel="0" collapsed="false">
      <c r="B6886" s="53"/>
      <c r="I6886" s="53"/>
      <c r="U6886" s="31" t="n">
        <f aca="false">IF($B6886&lt;&gt;'設定（最初に1回）'!$C$4,N(U6885),IF(COUNTIFS(①今日の在庫を貼る!$B$6:$B$10005,$B6886,①今日の在庫を貼る!$I$6:$I$10005,$I6886)&gt;0,N(U6885),N(U6885)+1))</f>
        <v>2</v>
      </c>
    </row>
    <row r="6887" customFormat="false" ht="15" hidden="false" customHeight="false" outlineLevel="0" collapsed="false">
      <c r="B6887" s="53"/>
      <c r="I6887" s="53"/>
      <c r="U6887" s="31" t="n">
        <f aca="false">IF($B6887&lt;&gt;'設定（最初に1回）'!$C$4,N(U6886),IF(COUNTIFS(①今日の在庫を貼る!$B$6:$B$10005,$B6887,①今日の在庫を貼る!$I$6:$I$10005,$I6887)&gt;0,N(U6886),N(U6886)+1))</f>
        <v>2</v>
      </c>
    </row>
    <row r="6888" customFormat="false" ht="15" hidden="false" customHeight="false" outlineLevel="0" collapsed="false">
      <c r="B6888" s="53"/>
      <c r="I6888" s="53"/>
      <c r="U6888" s="31" t="n">
        <f aca="false">IF($B6888&lt;&gt;'設定（最初に1回）'!$C$4,N(U6887),IF(COUNTIFS(①今日の在庫を貼る!$B$6:$B$10005,$B6888,①今日の在庫を貼る!$I$6:$I$10005,$I6888)&gt;0,N(U6887),N(U6887)+1))</f>
        <v>2</v>
      </c>
    </row>
    <row r="6889" customFormat="false" ht="15" hidden="false" customHeight="false" outlineLevel="0" collapsed="false">
      <c r="B6889" s="53"/>
      <c r="I6889" s="53"/>
      <c r="U6889" s="31" t="n">
        <f aca="false">IF($B6889&lt;&gt;'設定（最初に1回）'!$C$4,N(U6888),IF(COUNTIFS(①今日の在庫を貼る!$B$6:$B$10005,$B6889,①今日の在庫を貼る!$I$6:$I$10005,$I6889)&gt;0,N(U6888),N(U6888)+1))</f>
        <v>2</v>
      </c>
    </row>
    <row r="6890" customFormat="false" ht="15" hidden="false" customHeight="false" outlineLevel="0" collapsed="false">
      <c r="B6890" s="53"/>
      <c r="I6890" s="53"/>
      <c r="U6890" s="31" t="n">
        <f aca="false">IF($B6890&lt;&gt;'設定（最初に1回）'!$C$4,N(U6889),IF(COUNTIFS(①今日の在庫を貼る!$B$6:$B$10005,$B6890,①今日の在庫を貼る!$I$6:$I$10005,$I6890)&gt;0,N(U6889),N(U6889)+1))</f>
        <v>2</v>
      </c>
    </row>
    <row r="6891" customFormat="false" ht="15" hidden="false" customHeight="false" outlineLevel="0" collapsed="false">
      <c r="B6891" s="53"/>
      <c r="I6891" s="53"/>
      <c r="U6891" s="31" t="n">
        <f aca="false">IF($B6891&lt;&gt;'設定（最初に1回）'!$C$4,N(U6890),IF(COUNTIFS(①今日の在庫を貼る!$B$6:$B$10005,$B6891,①今日の在庫を貼る!$I$6:$I$10005,$I6891)&gt;0,N(U6890),N(U6890)+1))</f>
        <v>2</v>
      </c>
    </row>
    <row r="6892" customFormat="false" ht="15" hidden="false" customHeight="false" outlineLevel="0" collapsed="false">
      <c r="B6892" s="53"/>
      <c r="I6892" s="53"/>
      <c r="U6892" s="31" t="n">
        <f aca="false">IF($B6892&lt;&gt;'設定（最初に1回）'!$C$4,N(U6891),IF(COUNTIFS(①今日の在庫を貼る!$B$6:$B$10005,$B6892,①今日の在庫を貼る!$I$6:$I$10005,$I6892)&gt;0,N(U6891),N(U6891)+1))</f>
        <v>2</v>
      </c>
    </row>
    <row r="6893" customFormat="false" ht="15" hidden="false" customHeight="false" outlineLevel="0" collapsed="false">
      <c r="B6893" s="53"/>
      <c r="I6893" s="53"/>
      <c r="U6893" s="31" t="n">
        <f aca="false">IF($B6893&lt;&gt;'設定（最初に1回）'!$C$4,N(U6892),IF(COUNTIFS(①今日の在庫を貼る!$B$6:$B$10005,$B6893,①今日の在庫を貼る!$I$6:$I$10005,$I6893)&gt;0,N(U6892),N(U6892)+1))</f>
        <v>2</v>
      </c>
    </row>
    <row r="6894" customFormat="false" ht="15" hidden="false" customHeight="false" outlineLevel="0" collapsed="false">
      <c r="B6894" s="53"/>
      <c r="I6894" s="53"/>
      <c r="U6894" s="31" t="n">
        <f aca="false">IF($B6894&lt;&gt;'設定（最初に1回）'!$C$4,N(U6893),IF(COUNTIFS(①今日の在庫を貼る!$B$6:$B$10005,$B6894,①今日の在庫を貼る!$I$6:$I$10005,$I6894)&gt;0,N(U6893),N(U6893)+1))</f>
        <v>2</v>
      </c>
    </row>
    <row r="6895" customFormat="false" ht="15" hidden="false" customHeight="false" outlineLevel="0" collapsed="false">
      <c r="B6895" s="53"/>
      <c r="I6895" s="53"/>
      <c r="U6895" s="31" t="n">
        <f aca="false">IF($B6895&lt;&gt;'設定（最初に1回）'!$C$4,N(U6894),IF(COUNTIFS(①今日の在庫を貼る!$B$6:$B$10005,$B6895,①今日の在庫を貼る!$I$6:$I$10005,$I6895)&gt;0,N(U6894),N(U6894)+1))</f>
        <v>2</v>
      </c>
    </row>
    <row r="6896" customFormat="false" ht="15" hidden="false" customHeight="false" outlineLevel="0" collapsed="false">
      <c r="B6896" s="53"/>
      <c r="I6896" s="53"/>
      <c r="U6896" s="31" t="n">
        <f aca="false">IF($B6896&lt;&gt;'設定（最初に1回）'!$C$4,N(U6895),IF(COUNTIFS(①今日の在庫を貼る!$B$6:$B$10005,$B6896,①今日の在庫を貼る!$I$6:$I$10005,$I6896)&gt;0,N(U6895),N(U6895)+1))</f>
        <v>2</v>
      </c>
    </row>
    <row r="6897" customFormat="false" ht="15" hidden="false" customHeight="false" outlineLevel="0" collapsed="false">
      <c r="B6897" s="53"/>
      <c r="I6897" s="53"/>
      <c r="U6897" s="31" t="n">
        <f aca="false">IF($B6897&lt;&gt;'設定（最初に1回）'!$C$4,N(U6896),IF(COUNTIFS(①今日の在庫を貼る!$B$6:$B$10005,$B6897,①今日の在庫を貼る!$I$6:$I$10005,$I6897)&gt;0,N(U6896),N(U6896)+1))</f>
        <v>2</v>
      </c>
    </row>
    <row r="6898" customFormat="false" ht="15" hidden="false" customHeight="false" outlineLevel="0" collapsed="false">
      <c r="B6898" s="53"/>
      <c r="I6898" s="53"/>
      <c r="U6898" s="31" t="n">
        <f aca="false">IF($B6898&lt;&gt;'設定（最初に1回）'!$C$4,N(U6897),IF(COUNTIFS(①今日の在庫を貼る!$B$6:$B$10005,$B6898,①今日の在庫を貼る!$I$6:$I$10005,$I6898)&gt;0,N(U6897),N(U6897)+1))</f>
        <v>2</v>
      </c>
    </row>
    <row r="6899" customFormat="false" ht="15" hidden="false" customHeight="false" outlineLevel="0" collapsed="false">
      <c r="B6899" s="53"/>
      <c r="I6899" s="53"/>
      <c r="U6899" s="31" t="n">
        <f aca="false">IF($B6899&lt;&gt;'設定（最初に1回）'!$C$4,N(U6898),IF(COUNTIFS(①今日の在庫を貼る!$B$6:$B$10005,$B6899,①今日の在庫を貼る!$I$6:$I$10005,$I6899)&gt;0,N(U6898),N(U6898)+1))</f>
        <v>2</v>
      </c>
    </row>
    <row r="6900" customFormat="false" ht="15" hidden="false" customHeight="false" outlineLevel="0" collapsed="false">
      <c r="B6900" s="53"/>
      <c r="I6900" s="53"/>
      <c r="U6900" s="31" t="n">
        <f aca="false">IF($B6900&lt;&gt;'設定（最初に1回）'!$C$4,N(U6899),IF(COUNTIFS(①今日の在庫を貼る!$B$6:$B$10005,$B6900,①今日の在庫を貼る!$I$6:$I$10005,$I6900)&gt;0,N(U6899),N(U6899)+1))</f>
        <v>2</v>
      </c>
    </row>
    <row r="6901" customFormat="false" ht="15" hidden="false" customHeight="false" outlineLevel="0" collapsed="false">
      <c r="B6901" s="53"/>
      <c r="I6901" s="53"/>
      <c r="U6901" s="31" t="n">
        <f aca="false">IF($B6901&lt;&gt;'設定（最初に1回）'!$C$4,N(U6900),IF(COUNTIFS(①今日の在庫を貼る!$B$6:$B$10005,$B6901,①今日の在庫を貼る!$I$6:$I$10005,$I6901)&gt;0,N(U6900),N(U6900)+1))</f>
        <v>2</v>
      </c>
    </row>
    <row r="6902" customFormat="false" ht="15" hidden="false" customHeight="false" outlineLevel="0" collapsed="false">
      <c r="B6902" s="53"/>
      <c r="I6902" s="53"/>
      <c r="U6902" s="31" t="n">
        <f aca="false">IF($B6902&lt;&gt;'設定（最初に1回）'!$C$4,N(U6901),IF(COUNTIFS(①今日の在庫を貼る!$B$6:$B$10005,$B6902,①今日の在庫を貼る!$I$6:$I$10005,$I6902)&gt;0,N(U6901),N(U6901)+1))</f>
        <v>2</v>
      </c>
    </row>
    <row r="6903" customFormat="false" ht="15" hidden="false" customHeight="false" outlineLevel="0" collapsed="false">
      <c r="B6903" s="53"/>
      <c r="I6903" s="53"/>
      <c r="U6903" s="31" t="n">
        <f aca="false">IF($B6903&lt;&gt;'設定（最初に1回）'!$C$4,N(U6902),IF(COUNTIFS(①今日の在庫を貼る!$B$6:$B$10005,$B6903,①今日の在庫を貼る!$I$6:$I$10005,$I6903)&gt;0,N(U6902),N(U6902)+1))</f>
        <v>2</v>
      </c>
    </row>
    <row r="6904" customFormat="false" ht="15" hidden="false" customHeight="false" outlineLevel="0" collapsed="false">
      <c r="B6904" s="53"/>
      <c r="I6904" s="53"/>
      <c r="U6904" s="31" t="n">
        <f aca="false">IF($B6904&lt;&gt;'設定（最初に1回）'!$C$4,N(U6903),IF(COUNTIFS(①今日の在庫を貼る!$B$6:$B$10005,$B6904,①今日の在庫を貼る!$I$6:$I$10005,$I6904)&gt;0,N(U6903),N(U6903)+1))</f>
        <v>2</v>
      </c>
    </row>
    <row r="6905" customFormat="false" ht="15" hidden="false" customHeight="false" outlineLevel="0" collapsed="false">
      <c r="B6905" s="53"/>
      <c r="I6905" s="53"/>
      <c r="U6905" s="31" t="n">
        <f aca="false">IF($B6905&lt;&gt;'設定（最初に1回）'!$C$4,N(U6904),IF(COUNTIFS(①今日の在庫を貼る!$B$6:$B$10005,$B6905,①今日の在庫を貼る!$I$6:$I$10005,$I6905)&gt;0,N(U6904),N(U6904)+1))</f>
        <v>2</v>
      </c>
    </row>
    <row r="6906" customFormat="false" ht="15" hidden="false" customHeight="false" outlineLevel="0" collapsed="false">
      <c r="B6906" s="53"/>
      <c r="I6906" s="53"/>
      <c r="U6906" s="31" t="n">
        <f aca="false">IF($B6906&lt;&gt;'設定（最初に1回）'!$C$4,N(U6905),IF(COUNTIFS(①今日の在庫を貼る!$B$6:$B$10005,$B6906,①今日の在庫を貼る!$I$6:$I$10005,$I6906)&gt;0,N(U6905),N(U6905)+1))</f>
        <v>2</v>
      </c>
    </row>
    <row r="6907" customFormat="false" ht="15" hidden="false" customHeight="false" outlineLevel="0" collapsed="false">
      <c r="B6907" s="53"/>
      <c r="I6907" s="53"/>
      <c r="U6907" s="31" t="n">
        <f aca="false">IF($B6907&lt;&gt;'設定（最初に1回）'!$C$4,N(U6906),IF(COUNTIFS(①今日の在庫を貼る!$B$6:$B$10005,$B6907,①今日の在庫を貼る!$I$6:$I$10005,$I6907)&gt;0,N(U6906),N(U6906)+1))</f>
        <v>2</v>
      </c>
    </row>
    <row r="6908" customFormat="false" ht="15" hidden="false" customHeight="false" outlineLevel="0" collapsed="false">
      <c r="B6908" s="53"/>
      <c r="I6908" s="53"/>
      <c r="U6908" s="31" t="n">
        <f aca="false">IF($B6908&lt;&gt;'設定（最初に1回）'!$C$4,N(U6907),IF(COUNTIFS(①今日の在庫を貼る!$B$6:$B$10005,$B6908,①今日の在庫を貼る!$I$6:$I$10005,$I6908)&gt;0,N(U6907),N(U6907)+1))</f>
        <v>2</v>
      </c>
    </row>
    <row r="6909" customFormat="false" ht="15" hidden="false" customHeight="false" outlineLevel="0" collapsed="false">
      <c r="B6909" s="53"/>
      <c r="I6909" s="53"/>
      <c r="U6909" s="31" t="n">
        <f aca="false">IF($B6909&lt;&gt;'設定（最初に1回）'!$C$4,N(U6908),IF(COUNTIFS(①今日の在庫を貼る!$B$6:$B$10005,$B6909,①今日の在庫を貼る!$I$6:$I$10005,$I6909)&gt;0,N(U6908),N(U6908)+1))</f>
        <v>2</v>
      </c>
    </row>
    <row r="6910" customFormat="false" ht="15" hidden="false" customHeight="false" outlineLevel="0" collapsed="false">
      <c r="B6910" s="53"/>
      <c r="I6910" s="53"/>
      <c r="U6910" s="31" t="n">
        <f aca="false">IF($B6910&lt;&gt;'設定（最初に1回）'!$C$4,N(U6909),IF(COUNTIFS(①今日の在庫を貼る!$B$6:$B$10005,$B6910,①今日の在庫を貼る!$I$6:$I$10005,$I6910)&gt;0,N(U6909),N(U6909)+1))</f>
        <v>2</v>
      </c>
    </row>
    <row r="6911" customFormat="false" ht="15" hidden="false" customHeight="false" outlineLevel="0" collapsed="false">
      <c r="B6911" s="53"/>
      <c r="I6911" s="53"/>
      <c r="U6911" s="31" t="n">
        <f aca="false">IF($B6911&lt;&gt;'設定（最初に1回）'!$C$4,N(U6910),IF(COUNTIFS(①今日の在庫を貼る!$B$6:$B$10005,$B6911,①今日の在庫を貼る!$I$6:$I$10005,$I6911)&gt;0,N(U6910),N(U6910)+1))</f>
        <v>2</v>
      </c>
    </row>
    <row r="6912" customFormat="false" ht="15" hidden="false" customHeight="false" outlineLevel="0" collapsed="false">
      <c r="B6912" s="53"/>
      <c r="I6912" s="53"/>
      <c r="U6912" s="31" t="n">
        <f aca="false">IF($B6912&lt;&gt;'設定（最初に1回）'!$C$4,N(U6911),IF(COUNTIFS(①今日の在庫を貼る!$B$6:$B$10005,$B6912,①今日の在庫を貼る!$I$6:$I$10005,$I6912)&gt;0,N(U6911),N(U6911)+1))</f>
        <v>2</v>
      </c>
    </row>
    <row r="6913" customFormat="false" ht="15" hidden="false" customHeight="false" outlineLevel="0" collapsed="false">
      <c r="B6913" s="53"/>
      <c r="I6913" s="53"/>
      <c r="U6913" s="31" t="n">
        <f aca="false">IF($B6913&lt;&gt;'設定（最初に1回）'!$C$4,N(U6912),IF(COUNTIFS(①今日の在庫を貼る!$B$6:$B$10005,$B6913,①今日の在庫を貼る!$I$6:$I$10005,$I6913)&gt;0,N(U6912),N(U6912)+1))</f>
        <v>2</v>
      </c>
    </row>
    <row r="6914" customFormat="false" ht="15" hidden="false" customHeight="false" outlineLevel="0" collapsed="false">
      <c r="B6914" s="53"/>
      <c r="I6914" s="53"/>
      <c r="U6914" s="31" t="n">
        <f aca="false">IF($B6914&lt;&gt;'設定（最初に1回）'!$C$4,N(U6913),IF(COUNTIFS(①今日の在庫を貼る!$B$6:$B$10005,$B6914,①今日の在庫を貼る!$I$6:$I$10005,$I6914)&gt;0,N(U6913),N(U6913)+1))</f>
        <v>2</v>
      </c>
    </row>
    <row r="6915" customFormat="false" ht="15" hidden="false" customHeight="false" outlineLevel="0" collapsed="false">
      <c r="B6915" s="53"/>
      <c r="I6915" s="53"/>
      <c r="U6915" s="31" t="n">
        <f aca="false">IF($B6915&lt;&gt;'設定（最初に1回）'!$C$4,N(U6914),IF(COUNTIFS(①今日の在庫を貼る!$B$6:$B$10005,$B6915,①今日の在庫を貼る!$I$6:$I$10005,$I6915)&gt;0,N(U6914),N(U6914)+1))</f>
        <v>2</v>
      </c>
    </row>
    <row r="6916" customFormat="false" ht="15" hidden="false" customHeight="false" outlineLevel="0" collapsed="false">
      <c r="B6916" s="53"/>
      <c r="I6916" s="53"/>
      <c r="U6916" s="31" t="n">
        <f aca="false">IF($B6916&lt;&gt;'設定（最初に1回）'!$C$4,N(U6915),IF(COUNTIFS(①今日の在庫を貼る!$B$6:$B$10005,$B6916,①今日の在庫を貼る!$I$6:$I$10005,$I6916)&gt;0,N(U6915),N(U6915)+1))</f>
        <v>2</v>
      </c>
    </row>
    <row r="6917" customFormat="false" ht="15" hidden="false" customHeight="false" outlineLevel="0" collapsed="false">
      <c r="B6917" s="53"/>
      <c r="I6917" s="53"/>
      <c r="U6917" s="31" t="n">
        <f aca="false">IF($B6917&lt;&gt;'設定（最初に1回）'!$C$4,N(U6916),IF(COUNTIFS(①今日の在庫を貼る!$B$6:$B$10005,$B6917,①今日の在庫を貼る!$I$6:$I$10005,$I6917)&gt;0,N(U6916),N(U6916)+1))</f>
        <v>2</v>
      </c>
    </row>
    <row r="6918" customFormat="false" ht="15" hidden="false" customHeight="false" outlineLevel="0" collapsed="false">
      <c r="B6918" s="53"/>
      <c r="I6918" s="53"/>
      <c r="U6918" s="31" t="n">
        <f aca="false">IF($B6918&lt;&gt;'設定（最初に1回）'!$C$4,N(U6917),IF(COUNTIFS(①今日の在庫を貼る!$B$6:$B$10005,$B6918,①今日の在庫を貼る!$I$6:$I$10005,$I6918)&gt;0,N(U6917),N(U6917)+1))</f>
        <v>2</v>
      </c>
    </row>
    <row r="6919" customFormat="false" ht="15" hidden="false" customHeight="false" outlineLevel="0" collapsed="false">
      <c r="B6919" s="53"/>
      <c r="I6919" s="53"/>
      <c r="U6919" s="31" t="n">
        <f aca="false">IF($B6919&lt;&gt;'設定（最初に1回）'!$C$4,N(U6918),IF(COUNTIFS(①今日の在庫を貼る!$B$6:$B$10005,$B6919,①今日の在庫を貼る!$I$6:$I$10005,$I6919)&gt;0,N(U6918),N(U6918)+1))</f>
        <v>2</v>
      </c>
    </row>
    <row r="6920" customFormat="false" ht="15" hidden="false" customHeight="false" outlineLevel="0" collapsed="false">
      <c r="B6920" s="53"/>
      <c r="I6920" s="53"/>
      <c r="U6920" s="31" t="n">
        <f aca="false">IF($B6920&lt;&gt;'設定（最初に1回）'!$C$4,N(U6919),IF(COUNTIFS(①今日の在庫を貼る!$B$6:$B$10005,$B6920,①今日の在庫を貼る!$I$6:$I$10005,$I6920)&gt;0,N(U6919),N(U6919)+1))</f>
        <v>2</v>
      </c>
    </row>
    <row r="6921" customFormat="false" ht="15" hidden="false" customHeight="false" outlineLevel="0" collapsed="false">
      <c r="B6921" s="53"/>
      <c r="I6921" s="53"/>
      <c r="U6921" s="31" t="n">
        <f aca="false">IF($B6921&lt;&gt;'設定（最初に1回）'!$C$4,N(U6920),IF(COUNTIFS(①今日の在庫を貼る!$B$6:$B$10005,$B6921,①今日の在庫を貼る!$I$6:$I$10005,$I6921)&gt;0,N(U6920),N(U6920)+1))</f>
        <v>2</v>
      </c>
    </row>
    <row r="6922" customFormat="false" ht="15" hidden="false" customHeight="false" outlineLevel="0" collapsed="false">
      <c r="B6922" s="53"/>
      <c r="I6922" s="53"/>
      <c r="U6922" s="31" t="n">
        <f aca="false">IF($B6922&lt;&gt;'設定（最初に1回）'!$C$4,N(U6921),IF(COUNTIFS(①今日の在庫を貼る!$B$6:$B$10005,$B6922,①今日の在庫を貼る!$I$6:$I$10005,$I6922)&gt;0,N(U6921),N(U6921)+1))</f>
        <v>2</v>
      </c>
    </row>
    <row r="6923" customFormat="false" ht="15" hidden="false" customHeight="false" outlineLevel="0" collapsed="false">
      <c r="B6923" s="53"/>
      <c r="I6923" s="53"/>
      <c r="U6923" s="31" t="n">
        <f aca="false">IF($B6923&lt;&gt;'設定（最初に1回）'!$C$4,N(U6922),IF(COUNTIFS(①今日の在庫を貼る!$B$6:$B$10005,$B6923,①今日の在庫を貼る!$I$6:$I$10005,$I6923)&gt;0,N(U6922),N(U6922)+1))</f>
        <v>2</v>
      </c>
    </row>
    <row r="6924" customFormat="false" ht="15" hidden="false" customHeight="false" outlineLevel="0" collapsed="false">
      <c r="B6924" s="53"/>
      <c r="I6924" s="53"/>
      <c r="U6924" s="31" t="n">
        <f aca="false">IF($B6924&lt;&gt;'設定（最初に1回）'!$C$4,N(U6923),IF(COUNTIFS(①今日の在庫を貼る!$B$6:$B$10005,$B6924,①今日の在庫を貼る!$I$6:$I$10005,$I6924)&gt;0,N(U6923),N(U6923)+1))</f>
        <v>2</v>
      </c>
    </row>
    <row r="6925" customFormat="false" ht="15" hidden="false" customHeight="false" outlineLevel="0" collapsed="false">
      <c r="B6925" s="53"/>
      <c r="I6925" s="53"/>
      <c r="U6925" s="31" t="n">
        <f aca="false">IF($B6925&lt;&gt;'設定（最初に1回）'!$C$4,N(U6924),IF(COUNTIFS(①今日の在庫を貼る!$B$6:$B$10005,$B6925,①今日の在庫を貼る!$I$6:$I$10005,$I6925)&gt;0,N(U6924),N(U6924)+1))</f>
        <v>2</v>
      </c>
    </row>
    <row r="6926" customFormat="false" ht="15" hidden="false" customHeight="false" outlineLevel="0" collapsed="false">
      <c r="B6926" s="53"/>
      <c r="I6926" s="53"/>
      <c r="U6926" s="31" t="n">
        <f aca="false">IF($B6926&lt;&gt;'設定（最初に1回）'!$C$4,N(U6925),IF(COUNTIFS(①今日の在庫を貼る!$B$6:$B$10005,$B6926,①今日の在庫を貼る!$I$6:$I$10005,$I6926)&gt;0,N(U6925),N(U6925)+1))</f>
        <v>2</v>
      </c>
    </row>
    <row r="6927" customFormat="false" ht="15" hidden="false" customHeight="false" outlineLevel="0" collapsed="false">
      <c r="B6927" s="53"/>
      <c r="I6927" s="53"/>
      <c r="U6927" s="31" t="n">
        <f aca="false">IF($B6927&lt;&gt;'設定（最初に1回）'!$C$4,N(U6926),IF(COUNTIFS(①今日の在庫を貼る!$B$6:$B$10005,$B6927,①今日の在庫を貼る!$I$6:$I$10005,$I6927)&gt;0,N(U6926),N(U6926)+1))</f>
        <v>2</v>
      </c>
    </row>
    <row r="6928" customFormat="false" ht="15" hidden="false" customHeight="false" outlineLevel="0" collapsed="false">
      <c r="B6928" s="53"/>
      <c r="I6928" s="53"/>
      <c r="U6928" s="31" t="n">
        <f aca="false">IF($B6928&lt;&gt;'設定（最初に1回）'!$C$4,N(U6927),IF(COUNTIFS(①今日の在庫を貼る!$B$6:$B$10005,$B6928,①今日の在庫を貼る!$I$6:$I$10005,$I6928)&gt;0,N(U6927),N(U6927)+1))</f>
        <v>2</v>
      </c>
    </row>
    <row r="6929" customFormat="false" ht="15" hidden="false" customHeight="false" outlineLevel="0" collapsed="false">
      <c r="B6929" s="53"/>
      <c r="I6929" s="53"/>
      <c r="U6929" s="31" t="n">
        <f aca="false">IF($B6929&lt;&gt;'設定（最初に1回）'!$C$4,N(U6928),IF(COUNTIFS(①今日の在庫を貼る!$B$6:$B$10005,$B6929,①今日の在庫を貼る!$I$6:$I$10005,$I6929)&gt;0,N(U6928),N(U6928)+1))</f>
        <v>2</v>
      </c>
    </row>
    <row r="6930" customFormat="false" ht="15" hidden="false" customHeight="false" outlineLevel="0" collapsed="false">
      <c r="B6930" s="53"/>
      <c r="I6930" s="53"/>
      <c r="U6930" s="31" t="n">
        <f aca="false">IF($B6930&lt;&gt;'設定（最初に1回）'!$C$4,N(U6929),IF(COUNTIFS(①今日の在庫を貼る!$B$6:$B$10005,$B6930,①今日の在庫を貼る!$I$6:$I$10005,$I6930)&gt;0,N(U6929),N(U6929)+1))</f>
        <v>2</v>
      </c>
    </row>
    <row r="6931" customFormat="false" ht="15" hidden="false" customHeight="false" outlineLevel="0" collapsed="false">
      <c r="B6931" s="53"/>
      <c r="I6931" s="53"/>
      <c r="U6931" s="31" t="n">
        <f aca="false">IF($B6931&lt;&gt;'設定（最初に1回）'!$C$4,N(U6930),IF(COUNTIFS(①今日の在庫を貼る!$B$6:$B$10005,$B6931,①今日の在庫を貼る!$I$6:$I$10005,$I6931)&gt;0,N(U6930),N(U6930)+1))</f>
        <v>2</v>
      </c>
    </row>
    <row r="6932" customFormat="false" ht="15" hidden="false" customHeight="false" outlineLevel="0" collapsed="false">
      <c r="B6932" s="53"/>
      <c r="I6932" s="53"/>
      <c r="U6932" s="31" t="n">
        <f aca="false">IF($B6932&lt;&gt;'設定（最初に1回）'!$C$4,N(U6931),IF(COUNTIFS(①今日の在庫を貼る!$B$6:$B$10005,$B6932,①今日の在庫を貼る!$I$6:$I$10005,$I6932)&gt;0,N(U6931),N(U6931)+1))</f>
        <v>2</v>
      </c>
    </row>
    <row r="6933" customFormat="false" ht="15" hidden="false" customHeight="false" outlineLevel="0" collapsed="false">
      <c r="B6933" s="53"/>
      <c r="I6933" s="53"/>
      <c r="U6933" s="31" t="n">
        <f aca="false">IF($B6933&lt;&gt;'設定（最初に1回）'!$C$4,N(U6932),IF(COUNTIFS(①今日の在庫を貼る!$B$6:$B$10005,$B6933,①今日の在庫を貼る!$I$6:$I$10005,$I6933)&gt;0,N(U6932),N(U6932)+1))</f>
        <v>2</v>
      </c>
    </row>
    <row r="6934" customFormat="false" ht="15" hidden="false" customHeight="false" outlineLevel="0" collapsed="false">
      <c r="B6934" s="53"/>
      <c r="I6934" s="53"/>
      <c r="U6934" s="31" t="n">
        <f aca="false">IF($B6934&lt;&gt;'設定（最初に1回）'!$C$4,N(U6933),IF(COUNTIFS(①今日の在庫を貼る!$B$6:$B$10005,$B6934,①今日の在庫を貼る!$I$6:$I$10005,$I6934)&gt;0,N(U6933),N(U6933)+1))</f>
        <v>2</v>
      </c>
    </row>
    <row r="6935" customFormat="false" ht="15" hidden="false" customHeight="false" outlineLevel="0" collapsed="false">
      <c r="B6935" s="53"/>
      <c r="I6935" s="53"/>
      <c r="U6935" s="31" t="n">
        <f aca="false">IF($B6935&lt;&gt;'設定（最初に1回）'!$C$4,N(U6934),IF(COUNTIFS(①今日の在庫を貼る!$B$6:$B$10005,$B6935,①今日の在庫を貼る!$I$6:$I$10005,$I6935)&gt;0,N(U6934),N(U6934)+1))</f>
        <v>2</v>
      </c>
    </row>
    <row r="6936" customFormat="false" ht="15" hidden="false" customHeight="false" outlineLevel="0" collapsed="false">
      <c r="B6936" s="53"/>
      <c r="I6936" s="53"/>
      <c r="U6936" s="31" t="n">
        <f aca="false">IF($B6936&lt;&gt;'設定（最初に1回）'!$C$4,N(U6935),IF(COUNTIFS(①今日の在庫を貼る!$B$6:$B$10005,$B6936,①今日の在庫を貼る!$I$6:$I$10005,$I6936)&gt;0,N(U6935),N(U6935)+1))</f>
        <v>2</v>
      </c>
    </row>
    <row r="6937" customFormat="false" ht="15" hidden="false" customHeight="false" outlineLevel="0" collapsed="false">
      <c r="B6937" s="53"/>
      <c r="I6937" s="53"/>
      <c r="U6937" s="31" t="n">
        <f aca="false">IF($B6937&lt;&gt;'設定（最初に1回）'!$C$4,N(U6936),IF(COUNTIFS(①今日の在庫を貼る!$B$6:$B$10005,$B6937,①今日の在庫を貼る!$I$6:$I$10005,$I6937)&gt;0,N(U6936),N(U6936)+1))</f>
        <v>2</v>
      </c>
    </row>
    <row r="6938" customFormat="false" ht="15" hidden="false" customHeight="false" outlineLevel="0" collapsed="false">
      <c r="B6938" s="53"/>
      <c r="I6938" s="53"/>
      <c r="U6938" s="31" t="n">
        <f aca="false">IF($B6938&lt;&gt;'設定（最初に1回）'!$C$4,N(U6937),IF(COUNTIFS(①今日の在庫を貼る!$B$6:$B$10005,$B6938,①今日の在庫を貼る!$I$6:$I$10005,$I6938)&gt;0,N(U6937),N(U6937)+1))</f>
        <v>2</v>
      </c>
    </row>
    <row r="6939" customFormat="false" ht="15" hidden="false" customHeight="false" outlineLevel="0" collapsed="false">
      <c r="B6939" s="53"/>
      <c r="I6939" s="53"/>
      <c r="U6939" s="31" t="n">
        <f aca="false">IF($B6939&lt;&gt;'設定（最初に1回）'!$C$4,N(U6938),IF(COUNTIFS(①今日の在庫を貼る!$B$6:$B$10005,$B6939,①今日の在庫を貼る!$I$6:$I$10005,$I6939)&gt;0,N(U6938),N(U6938)+1))</f>
        <v>2</v>
      </c>
    </row>
    <row r="6940" customFormat="false" ht="15" hidden="false" customHeight="false" outlineLevel="0" collapsed="false">
      <c r="B6940" s="53"/>
      <c r="I6940" s="53"/>
      <c r="U6940" s="31" t="n">
        <f aca="false">IF($B6940&lt;&gt;'設定（最初に1回）'!$C$4,N(U6939),IF(COUNTIFS(①今日の在庫を貼る!$B$6:$B$10005,$B6940,①今日の在庫を貼る!$I$6:$I$10005,$I6940)&gt;0,N(U6939),N(U6939)+1))</f>
        <v>2</v>
      </c>
    </row>
    <row r="6941" customFormat="false" ht="15" hidden="false" customHeight="false" outlineLevel="0" collapsed="false">
      <c r="B6941" s="53"/>
      <c r="I6941" s="53"/>
      <c r="U6941" s="31" t="n">
        <f aca="false">IF($B6941&lt;&gt;'設定（最初に1回）'!$C$4,N(U6940),IF(COUNTIFS(①今日の在庫を貼る!$B$6:$B$10005,$B6941,①今日の在庫を貼る!$I$6:$I$10005,$I6941)&gt;0,N(U6940),N(U6940)+1))</f>
        <v>2</v>
      </c>
    </row>
    <row r="6942" customFormat="false" ht="15" hidden="false" customHeight="false" outlineLevel="0" collapsed="false">
      <c r="B6942" s="53"/>
      <c r="I6942" s="53"/>
      <c r="U6942" s="31" t="n">
        <f aca="false">IF($B6942&lt;&gt;'設定（最初に1回）'!$C$4,N(U6941),IF(COUNTIFS(①今日の在庫を貼る!$B$6:$B$10005,$B6942,①今日の在庫を貼る!$I$6:$I$10005,$I6942)&gt;0,N(U6941),N(U6941)+1))</f>
        <v>2</v>
      </c>
    </row>
    <row r="6943" customFormat="false" ht="15" hidden="false" customHeight="false" outlineLevel="0" collapsed="false">
      <c r="B6943" s="53"/>
      <c r="I6943" s="53"/>
      <c r="U6943" s="31" t="n">
        <f aca="false">IF($B6943&lt;&gt;'設定（最初に1回）'!$C$4,N(U6942),IF(COUNTIFS(①今日の在庫を貼る!$B$6:$B$10005,$B6943,①今日の在庫を貼る!$I$6:$I$10005,$I6943)&gt;0,N(U6942),N(U6942)+1))</f>
        <v>2</v>
      </c>
    </row>
    <row r="6944" customFormat="false" ht="15" hidden="false" customHeight="false" outlineLevel="0" collapsed="false">
      <c r="B6944" s="53"/>
      <c r="I6944" s="53"/>
      <c r="U6944" s="31" t="n">
        <f aca="false">IF($B6944&lt;&gt;'設定（最初に1回）'!$C$4,N(U6943),IF(COUNTIFS(①今日の在庫を貼る!$B$6:$B$10005,$B6944,①今日の在庫を貼る!$I$6:$I$10005,$I6944)&gt;0,N(U6943),N(U6943)+1))</f>
        <v>2</v>
      </c>
    </row>
    <row r="6945" customFormat="false" ht="15" hidden="false" customHeight="false" outlineLevel="0" collapsed="false">
      <c r="B6945" s="53"/>
      <c r="I6945" s="53"/>
      <c r="U6945" s="31" t="n">
        <f aca="false">IF($B6945&lt;&gt;'設定（最初に1回）'!$C$4,N(U6944),IF(COUNTIFS(①今日の在庫を貼る!$B$6:$B$10005,$B6945,①今日の在庫を貼る!$I$6:$I$10005,$I6945)&gt;0,N(U6944),N(U6944)+1))</f>
        <v>2</v>
      </c>
    </row>
    <row r="6946" customFormat="false" ht="15" hidden="false" customHeight="false" outlineLevel="0" collapsed="false">
      <c r="B6946" s="53"/>
      <c r="I6946" s="53"/>
      <c r="U6946" s="31" t="n">
        <f aca="false">IF($B6946&lt;&gt;'設定（最初に1回）'!$C$4,N(U6945),IF(COUNTIFS(①今日の在庫を貼る!$B$6:$B$10005,$B6946,①今日の在庫を貼る!$I$6:$I$10005,$I6946)&gt;0,N(U6945),N(U6945)+1))</f>
        <v>2</v>
      </c>
    </row>
    <row r="6947" customFormat="false" ht="15" hidden="false" customHeight="false" outlineLevel="0" collapsed="false">
      <c r="B6947" s="53"/>
      <c r="I6947" s="53"/>
      <c r="U6947" s="31" t="n">
        <f aca="false">IF($B6947&lt;&gt;'設定（最初に1回）'!$C$4,N(U6946),IF(COUNTIFS(①今日の在庫を貼る!$B$6:$B$10005,$B6947,①今日の在庫を貼る!$I$6:$I$10005,$I6947)&gt;0,N(U6946),N(U6946)+1))</f>
        <v>2</v>
      </c>
    </row>
    <row r="6948" customFormat="false" ht="15" hidden="false" customHeight="false" outlineLevel="0" collapsed="false">
      <c r="B6948" s="53"/>
      <c r="I6948" s="53"/>
      <c r="U6948" s="31" t="n">
        <f aca="false">IF($B6948&lt;&gt;'設定（最初に1回）'!$C$4,N(U6947),IF(COUNTIFS(①今日の在庫を貼る!$B$6:$B$10005,$B6948,①今日の在庫を貼る!$I$6:$I$10005,$I6948)&gt;0,N(U6947),N(U6947)+1))</f>
        <v>2</v>
      </c>
    </row>
    <row r="6949" customFormat="false" ht="15" hidden="false" customHeight="false" outlineLevel="0" collapsed="false">
      <c r="B6949" s="53"/>
      <c r="I6949" s="53"/>
      <c r="U6949" s="31" t="n">
        <f aca="false">IF($B6949&lt;&gt;'設定（最初に1回）'!$C$4,N(U6948),IF(COUNTIFS(①今日の在庫を貼る!$B$6:$B$10005,$B6949,①今日の在庫を貼る!$I$6:$I$10005,$I6949)&gt;0,N(U6948),N(U6948)+1))</f>
        <v>2</v>
      </c>
    </row>
    <row r="6950" customFormat="false" ht="15" hidden="false" customHeight="false" outlineLevel="0" collapsed="false">
      <c r="B6950" s="53"/>
      <c r="I6950" s="53"/>
      <c r="U6950" s="31" t="n">
        <f aca="false">IF($B6950&lt;&gt;'設定（最初に1回）'!$C$4,N(U6949),IF(COUNTIFS(①今日の在庫を貼る!$B$6:$B$10005,$B6950,①今日の在庫を貼る!$I$6:$I$10005,$I6950)&gt;0,N(U6949),N(U6949)+1))</f>
        <v>2</v>
      </c>
    </row>
    <row r="6951" customFormat="false" ht="15" hidden="false" customHeight="false" outlineLevel="0" collapsed="false">
      <c r="B6951" s="53"/>
      <c r="I6951" s="53"/>
      <c r="U6951" s="31" t="n">
        <f aca="false">IF($B6951&lt;&gt;'設定（最初に1回）'!$C$4,N(U6950),IF(COUNTIFS(①今日の在庫を貼る!$B$6:$B$10005,$B6951,①今日の在庫を貼る!$I$6:$I$10005,$I6951)&gt;0,N(U6950),N(U6950)+1))</f>
        <v>2</v>
      </c>
    </row>
    <row r="6952" customFormat="false" ht="15" hidden="false" customHeight="false" outlineLevel="0" collapsed="false">
      <c r="B6952" s="53"/>
      <c r="I6952" s="53"/>
      <c r="U6952" s="31" t="n">
        <f aca="false">IF($B6952&lt;&gt;'設定（最初に1回）'!$C$4,N(U6951),IF(COUNTIFS(①今日の在庫を貼る!$B$6:$B$10005,$B6952,①今日の在庫を貼る!$I$6:$I$10005,$I6952)&gt;0,N(U6951),N(U6951)+1))</f>
        <v>2</v>
      </c>
    </row>
    <row r="6953" customFormat="false" ht="15" hidden="false" customHeight="false" outlineLevel="0" collapsed="false">
      <c r="B6953" s="53"/>
      <c r="I6953" s="53"/>
      <c r="U6953" s="31" t="n">
        <f aca="false">IF($B6953&lt;&gt;'設定（最初に1回）'!$C$4,N(U6952),IF(COUNTIFS(①今日の在庫を貼る!$B$6:$B$10005,$B6953,①今日の在庫を貼る!$I$6:$I$10005,$I6953)&gt;0,N(U6952),N(U6952)+1))</f>
        <v>2</v>
      </c>
    </row>
    <row r="6954" customFormat="false" ht="15" hidden="false" customHeight="false" outlineLevel="0" collapsed="false">
      <c r="B6954" s="53"/>
      <c r="I6954" s="53"/>
      <c r="U6954" s="31" t="n">
        <f aca="false">IF($B6954&lt;&gt;'設定（最初に1回）'!$C$4,N(U6953),IF(COUNTIFS(①今日の在庫を貼る!$B$6:$B$10005,$B6954,①今日の在庫を貼る!$I$6:$I$10005,$I6954)&gt;0,N(U6953),N(U6953)+1))</f>
        <v>2</v>
      </c>
    </row>
    <row r="6955" customFormat="false" ht="15" hidden="false" customHeight="false" outlineLevel="0" collapsed="false">
      <c r="B6955" s="53"/>
      <c r="I6955" s="53"/>
      <c r="U6955" s="31" t="n">
        <f aca="false">IF($B6955&lt;&gt;'設定（最初に1回）'!$C$4,N(U6954),IF(COUNTIFS(①今日の在庫を貼る!$B$6:$B$10005,$B6955,①今日の在庫を貼る!$I$6:$I$10005,$I6955)&gt;0,N(U6954),N(U6954)+1))</f>
        <v>2</v>
      </c>
    </row>
    <row r="6956" customFormat="false" ht="15" hidden="false" customHeight="false" outlineLevel="0" collapsed="false">
      <c r="B6956" s="53"/>
      <c r="I6956" s="53"/>
      <c r="U6956" s="31" t="n">
        <f aca="false">IF($B6956&lt;&gt;'設定（最初に1回）'!$C$4,N(U6955),IF(COUNTIFS(①今日の在庫を貼る!$B$6:$B$10005,$B6956,①今日の在庫を貼る!$I$6:$I$10005,$I6956)&gt;0,N(U6955),N(U6955)+1))</f>
        <v>2</v>
      </c>
    </row>
    <row r="6957" customFormat="false" ht="15" hidden="false" customHeight="false" outlineLevel="0" collapsed="false">
      <c r="B6957" s="53"/>
      <c r="I6957" s="53"/>
      <c r="U6957" s="31" t="n">
        <f aca="false">IF($B6957&lt;&gt;'設定（最初に1回）'!$C$4,N(U6956),IF(COUNTIFS(①今日の在庫を貼る!$B$6:$B$10005,$B6957,①今日の在庫を貼る!$I$6:$I$10005,$I6957)&gt;0,N(U6956),N(U6956)+1))</f>
        <v>2</v>
      </c>
    </row>
    <row r="6958" customFormat="false" ht="15" hidden="false" customHeight="false" outlineLevel="0" collapsed="false">
      <c r="B6958" s="53"/>
      <c r="I6958" s="53"/>
      <c r="U6958" s="31" t="n">
        <f aca="false">IF($B6958&lt;&gt;'設定（最初に1回）'!$C$4,N(U6957),IF(COUNTIFS(①今日の在庫を貼る!$B$6:$B$10005,$B6958,①今日の在庫を貼る!$I$6:$I$10005,$I6958)&gt;0,N(U6957),N(U6957)+1))</f>
        <v>2</v>
      </c>
    </row>
    <row r="6959" customFormat="false" ht="15" hidden="false" customHeight="false" outlineLevel="0" collapsed="false">
      <c r="B6959" s="53"/>
      <c r="I6959" s="53"/>
      <c r="U6959" s="31" t="n">
        <f aca="false">IF($B6959&lt;&gt;'設定（最初に1回）'!$C$4,N(U6958),IF(COUNTIFS(①今日の在庫を貼る!$B$6:$B$10005,$B6959,①今日の在庫を貼る!$I$6:$I$10005,$I6959)&gt;0,N(U6958),N(U6958)+1))</f>
        <v>2</v>
      </c>
    </row>
    <row r="6960" customFormat="false" ht="15" hidden="false" customHeight="false" outlineLevel="0" collapsed="false">
      <c r="B6960" s="53"/>
      <c r="I6960" s="53"/>
      <c r="U6960" s="31" t="n">
        <f aca="false">IF($B6960&lt;&gt;'設定（最初に1回）'!$C$4,N(U6959),IF(COUNTIFS(①今日の在庫を貼る!$B$6:$B$10005,$B6960,①今日の在庫を貼る!$I$6:$I$10005,$I6960)&gt;0,N(U6959),N(U6959)+1))</f>
        <v>2</v>
      </c>
    </row>
    <row r="6961" customFormat="false" ht="15" hidden="false" customHeight="false" outlineLevel="0" collapsed="false">
      <c r="B6961" s="53"/>
      <c r="I6961" s="53"/>
      <c r="U6961" s="31" t="n">
        <f aca="false">IF($B6961&lt;&gt;'設定（最初に1回）'!$C$4,N(U6960),IF(COUNTIFS(①今日の在庫を貼る!$B$6:$B$10005,$B6961,①今日の在庫を貼る!$I$6:$I$10005,$I6961)&gt;0,N(U6960),N(U6960)+1))</f>
        <v>2</v>
      </c>
    </row>
    <row r="6962" customFormat="false" ht="15" hidden="false" customHeight="false" outlineLevel="0" collapsed="false">
      <c r="B6962" s="53"/>
      <c r="I6962" s="53"/>
      <c r="U6962" s="31" t="n">
        <f aca="false">IF($B6962&lt;&gt;'設定（最初に1回）'!$C$4,N(U6961),IF(COUNTIFS(①今日の在庫を貼る!$B$6:$B$10005,$B6962,①今日の在庫を貼る!$I$6:$I$10005,$I6962)&gt;0,N(U6961),N(U6961)+1))</f>
        <v>2</v>
      </c>
    </row>
    <row r="6963" customFormat="false" ht="15" hidden="false" customHeight="false" outlineLevel="0" collapsed="false">
      <c r="B6963" s="53"/>
      <c r="I6963" s="53"/>
      <c r="U6963" s="31" t="n">
        <f aca="false">IF($B6963&lt;&gt;'設定（最初に1回）'!$C$4,N(U6962),IF(COUNTIFS(①今日の在庫を貼る!$B$6:$B$10005,$B6963,①今日の在庫を貼る!$I$6:$I$10005,$I6963)&gt;0,N(U6962),N(U6962)+1))</f>
        <v>2</v>
      </c>
    </row>
    <row r="6964" customFormat="false" ht="15" hidden="false" customHeight="false" outlineLevel="0" collapsed="false">
      <c r="B6964" s="53"/>
      <c r="I6964" s="53"/>
      <c r="U6964" s="31" t="n">
        <f aca="false">IF($B6964&lt;&gt;'設定（最初に1回）'!$C$4,N(U6963),IF(COUNTIFS(①今日の在庫を貼る!$B$6:$B$10005,$B6964,①今日の在庫を貼る!$I$6:$I$10005,$I6964)&gt;0,N(U6963),N(U6963)+1))</f>
        <v>2</v>
      </c>
    </row>
    <row r="6965" customFormat="false" ht="15" hidden="false" customHeight="false" outlineLevel="0" collapsed="false">
      <c r="B6965" s="53"/>
      <c r="I6965" s="53"/>
      <c r="U6965" s="31" t="n">
        <f aca="false">IF($B6965&lt;&gt;'設定（最初に1回）'!$C$4,N(U6964),IF(COUNTIFS(①今日の在庫を貼る!$B$6:$B$10005,$B6965,①今日の在庫を貼る!$I$6:$I$10005,$I6965)&gt;0,N(U6964),N(U6964)+1))</f>
        <v>2</v>
      </c>
    </row>
    <row r="6966" customFormat="false" ht="15" hidden="false" customHeight="false" outlineLevel="0" collapsed="false">
      <c r="B6966" s="53"/>
      <c r="I6966" s="53"/>
      <c r="U6966" s="31" t="n">
        <f aca="false">IF($B6966&lt;&gt;'設定（最初に1回）'!$C$4,N(U6965),IF(COUNTIFS(①今日の在庫を貼る!$B$6:$B$10005,$B6966,①今日の在庫を貼る!$I$6:$I$10005,$I6966)&gt;0,N(U6965),N(U6965)+1))</f>
        <v>2</v>
      </c>
    </row>
    <row r="6967" customFormat="false" ht="15" hidden="false" customHeight="false" outlineLevel="0" collapsed="false">
      <c r="B6967" s="53"/>
      <c r="I6967" s="53"/>
      <c r="U6967" s="31" t="n">
        <f aca="false">IF($B6967&lt;&gt;'設定（最初に1回）'!$C$4,N(U6966),IF(COUNTIFS(①今日の在庫を貼る!$B$6:$B$10005,$B6967,①今日の在庫を貼る!$I$6:$I$10005,$I6967)&gt;0,N(U6966),N(U6966)+1))</f>
        <v>2</v>
      </c>
    </row>
    <row r="6968" customFormat="false" ht="15" hidden="false" customHeight="false" outlineLevel="0" collapsed="false">
      <c r="B6968" s="53"/>
      <c r="I6968" s="53"/>
      <c r="U6968" s="31" t="n">
        <f aca="false">IF($B6968&lt;&gt;'設定（最初に1回）'!$C$4,N(U6967),IF(COUNTIFS(①今日の在庫を貼る!$B$6:$B$10005,$B6968,①今日の在庫を貼る!$I$6:$I$10005,$I6968)&gt;0,N(U6967),N(U6967)+1))</f>
        <v>2</v>
      </c>
    </row>
    <row r="6969" customFormat="false" ht="15" hidden="false" customHeight="false" outlineLevel="0" collapsed="false">
      <c r="B6969" s="53"/>
      <c r="I6969" s="53"/>
      <c r="U6969" s="31" t="n">
        <f aca="false">IF($B6969&lt;&gt;'設定（最初に1回）'!$C$4,N(U6968),IF(COUNTIFS(①今日の在庫を貼る!$B$6:$B$10005,$B6969,①今日の在庫を貼る!$I$6:$I$10005,$I6969)&gt;0,N(U6968),N(U6968)+1))</f>
        <v>2</v>
      </c>
    </row>
    <row r="6970" customFormat="false" ht="15" hidden="false" customHeight="false" outlineLevel="0" collapsed="false">
      <c r="B6970" s="53"/>
      <c r="I6970" s="53"/>
      <c r="U6970" s="31" t="n">
        <f aca="false">IF($B6970&lt;&gt;'設定（最初に1回）'!$C$4,N(U6969),IF(COUNTIFS(①今日の在庫を貼る!$B$6:$B$10005,$B6970,①今日の在庫を貼る!$I$6:$I$10005,$I6970)&gt;0,N(U6969),N(U6969)+1))</f>
        <v>2</v>
      </c>
    </row>
    <row r="6971" customFormat="false" ht="15" hidden="false" customHeight="false" outlineLevel="0" collapsed="false">
      <c r="B6971" s="53"/>
      <c r="I6971" s="53"/>
      <c r="U6971" s="31" t="n">
        <f aca="false">IF($B6971&lt;&gt;'設定（最初に1回）'!$C$4,N(U6970),IF(COUNTIFS(①今日の在庫を貼る!$B$6:$B$10005,$B6971,①今日の在庫を貼る!$I$6:$I$10005,$I6971)&gt;0,N(U6970),N(U6970)+1))</f>
        <v>2</v>
      </c>
    </row>
    <row r="6972" customFormat="false" ht="15" hidden="false" customHeight="false" outlineLevel="0" collapsed="false">
      <c r="B6972" s="53"/>
      <c r="I6972" s="53"/>
      <c r="U6972" s="31" t="n">
        <f aca="false">IF($B6972&lt;&gt;'設定（最初に1回）'!$C$4,N(U6971),IF(COUNTIFS(①今日の在庫を貼る!$B$6:$B$10005,$B6972,①今日の在庫を貼る!$I$6:$I$10005,$I6972)&gt;0,N(U6971),N(U6971)+1))</f>
        <v>2</v>
      </c>
    </row>
    <row r="6973" customFormat="false" ht="15" hidden="false" customHeight="false" outlineLevel="0" collapsed="false">
      <c r="B6973" s="53"/>
      <c r="I6973" s="53"/>
      <c r="U6973" s="31" t="n">
        <f aca="false">IF($B6973&lt;&gt;'設定（最初に1回）'!$C$4,N(U6972),IF(COUNTIFS(①今日の在庫を貼る!$B$6:$B$10005,$B6973,①今日の在庫を貼る!$I$6:$I$10005,$I6973)&gt;0,N(U6972),N(U6972)+1))</f>
        <v>2</v>
      </c>
    </row>
    <row r="6974" customFormat="false" ht="15" hidden="false" customHeight="false" outlineLevel="0" collapsed="false">
      <c r="B6974" s="53"/>
      <c r="I6974" s="53"/>
      <c r="U6974" s="31" t="n">
        <f aca="false">IF($B6974&lt;&gt;'設定（最初に1回）'!$C$4,N(U6973),IF(COUNTIFS(①今日の在庫を貼る!$B$6:$B$10005,$B6974,①今日の在庫を貼る!$I$6:$I$10005,$I6974)&gt;0,N(U6973),N(U6973)+1))</f>
        <v>2</v>
      </c>
    </row>
    <row r="6975" customFormat="false" ht="15" hidden="false" customHeight="false" outlineLevel="0" collapsed="false">
      <c r="B6975" s="53"/>
      <c r="I6975" s="53"/>
      <c r="U6975" s="31" t="n">
        <f aca="false">IF($B6975&lt;&gt;'設定（最初に1回）'!$C$4,N(U6974),IF(COUNTIFS(①今日の在庫を貼る!$B$6:$B$10005,$B6975,①今日の在庫を貼る!$I$6:$I$10005,$I6975)&gt;0,N(U6974),N(U6974)+1))</f>
        <v>2</v>
      </c>
    </row>
    <row r="6976" customFormat="false" ht="15" hidden="false" customHeight="false" outlineLevel="0" collapsed="false">
      <c r="B6976" s="53"/>
      <c r="I6976" s="53"/>
      <c r="U6976" s="31" t="n">
        <f aca="false">IF($B6976&lt;&gt;'設定（最初に1回）'!$C$4,N(U6975),IF(COUNTIFS(①今日の在庫を貼る!$B$6:$B$10005,$B6976,①今日の在庫を貼る!$I$6:$I$10005,$I6976)&gt;0,N(U6975),N(U6975)+1))</f>
        <v>2</v>
      </c>
    </row>
    <row r="6977" customFormat="false" ht="15" hidden="false" customHeight="false" outlineLevel="0" collapsed="false">
      <c r="B6977" s="53"/>
      <c r="I6977" s="53"/>
      <c r="U6977" s="31" t="n">
        <f aca="false">IF($B6977&lt;&gt;'設定（最初に1回）'!$C$4,N(U6976),IF(COUNTIFS(①今日の在庫を貼る!$B$6:$B$10005,$B6977,①今日の在庫を貼る!$I$6:$I$10005,$I6977)&gt;0,N(U6976),N(U6976)+1))</f>
        <v>2</v>
      </c>
    </row>
    <row r="6978" customFormat="false" ht="15" hidden="false" customHeight="false" outlineLevel="0" collapsed="false">
      <c r="B6978" s="53"/>
      <c r="I6978" s="53"/>
      <c r="U6978" s="31" t="n">
        <f aca="false">IF($B6978&lt;&gt;'設定（最初に1回）'!$C$4,N(U6977),IF(COUNTIFS(①今日の在庫を貼る!$B$6:$B$10005,$B6978,①今日の在庫を貼る!$I$6:$I$10005,$I6978)&gt;0,N(U6977),N(U6977)+1))</f>
        <v>2</v>
      </c>
    </row>
    <row r="6979" customFormat="false" ht="15" hidden="false" customHeight="false" outlineLevel="0" collapsed="false">
      <c r="B6979" s="53"/>
      <c r="I6979" s="53"/>
      <c r="U6979" s="31" t="n">
        <f aca="false">IF($B6979&lt;&gt;'設定（最初に1回）'!$C$4,N(U6978),IF(COUNTIFS(①今日の在庫を貼る!$B$6:$B$10005,$B6979,①今日の在庫を貼る!$I$6:$I$10005,$I6979)&gt;0,N(U6978),N(U6978)+1))</f>
        <v>2</v>
      </c>
    </row>
    <row r="6980" customFormat="false" ht="15" hidden="false" customHeight="false" outlineLevel="0" collapsed="false">
      <c r="B6980" s="53"/>
      <c r="I6980" s="53"/>
      <c r="U6980" s="31" t="n">
        <f aca="false">IF($B6980&lt;&gt;'設定（最初に1回）'!$C$4,N(U6979),IF(COUNTIFS(①今日の在庫を貼る!$B$6:$B$10005,$B6980,①今日の在庫を貼る!$I$6:$I$10005,$I6980)&gt;0,N(U6979),N(U6979)+1))</f>
        <v>2</v>
      </c>
    </row>
    <row r="6981" customFormat="false" ht="15" hidden="false" customHeight="false" outlineLevel="0" collapsed="false">
      <c r="B6981" s="53"/>
      <c r="I6981" s="53"/>
      <c r="U6981" s="31" t="n">
        <f aca="false">IF($B6981&lt;&gt;'設定（最初に1回）'!$C$4,N(U6980),IF(COUNTIFS(①今日の在庫を貼る!$B$6:$B$10005,$B6981,①今日の在庫を貼る!$I$6:$I$10005,$I6981)&gt;0,N(U6980),N(U6980)+1))</f>
        <v>2</v>
      </c>
    </row>
    <row r="6982" customFormat="false" ht="15" hidden="false" customHeight="false" outlineLevel="0" collapsed="false">
      <c r="B6982" s="53"/>
      <c r="I6982" s="53"/>
      <c r="U6982" s="31" t="n">
        <f aca="false">IF($B6982&lt;&gt;'設定（最初に1回）'!$C$4,N(U6981),IF(COUNTIFS(①今日の在庫を貼る!$B$6:$B$10005,$B6982,①今日の在庫を貼る!$I$6:$I$10005,$I6982)&gt;0,N(U6981),N(U6981)+1))</f>
        <v>2</v>
      </c>
    </row>
    <row r="6983" customFormat="false" ht="15" hidden="false" customHeight="false" outlineLevel="0" collapsed="false">
      <c r="B6983" s="53"/>
      <c r="I6983" s="53"/>
      <c r="U6983" s="31" t="n">
        <f aca="false">IF($B6983&lt;&gt;'設定（最初に1回）'!$C$4,N(U6982),IF(COUNTIFS(①今日の在庫を貼る!$B$6:$B$10005,$B6983,①今日の在庫を貼る!$I$6:$I$10005,$I6983)&gt;0,N(U6982),N(U6982)+1))</f>
        <v>2</v>
      </c>
    </row>
    <row r="6984" customFormat="false" ht="15" hidden="false" customHeight="false" outlineLevel="0" collapsed="false">
      <c r="B6984" s="53"/>
      <c r="I6984" s="53"/>
      <c r="U6984" s="31" t="n">
        <f aca="false">IF($B6984&lt;&gt;'設定（最初に1回）'!$C$4,N(U6983),IF(COUNTIFS(①今日の在庫を貼る!$B$6:$B$10005,$B6984,①今日の在庫を貼る!$I$6:$I$10005,$I6984)&gt;0,N(U6983),N(U6983)+1))</f>
        <v>2</v>
      </c>
    </row>
    <row r="6985" customFormat="false" ht="15" hidden="false" customHeight="false" outlineLevel="0" collapsed="false">
      <c r="B6985" s="53"/>
      <c r="I6985" s="53"/>
      <c r="U6985" s="31" t="n">
        <f aca="false">IF($B6985&lt;&gt;'設定（最初に1回）'!$C$4,N(U6984),IF(COUNTIFS(①今日の在庫を貼る!$B$6:$B$10005,$B6985,①今日の在庫を貼る!$I$6:$I$10005,$I6985)&gt;0,N(U6984),N(U6984)+1))</f>
        <v>2</v>
      </c>
    </row>
    <row r="6986" customFormat="false" ht="15" hidden="false" customHeight="false" outlineLevel="0" collapsed="false">
      <c r="B6986" s="53"/>
      <c r="I6986" s="53"/>
      <c r="U6986" s="31" t="n">
        <f aca="false">IF($B6986&lt;&gt;'設定（最初に1回）'!$C$4,N(U6985),IF(COUNTIFS(①今日の在庫を貼る!$B$6:$B$10005,$B6986,①今日の在庫を貼る!$I$6:$I$10005,$I6986)&gt;0,N(U6985),N(U6985)+1))</f>
        <v>2</v>
      </c>
    </row>
    <row r="6987" customFormat="false" ht="15" hidden="false" customHeight="false" outlineLevel="0" collapsed="false">
      <c r="B6987" s="53"/>
      <c r="I6987" s="53"/>
      <c r="U6987" s="31" t="n">
        <f aca="false">IF($B6987&lt;&gt;'設定（最初に1回）'!$C$4,N(U6986),IF(COUNTIFS(①今日の在庫を貼る!$B$6:$B$10005,$B6987,①今日の在庫を貼る!$I$6:$I$10005,$I6987)&gt;0,N(U6986),N(U6986)+1))</f>
        <v>2</v>
      </c>
    </row>
    <row r="6988" customFormat="false" ht="15" hidden="false" customHeight="false" outlineLevel="0" collapsed="false">
      <c r="B6988" s="53"/>
      <c r="I6988" s="53"/>
      <c r="U6988" s="31" t="n">
        <f aca="false">IF($B6988&lt;&gt;'設定（最初に1回）'!$C$4,N(U6987),IF(COUNTIFS(①今日の在庫を貼る!$B$6:$B$10005,$B6988,①今日の在庫を貼る!$I$6:$I$10005,$I6988)&gt;0,N(U6987),N(U6987)+1))</f>
        <v>2</v>
      </c>
    </row>
    <row r="6989" customFormat="false" ht="15" hidden="false" customHeight="false" outlineLevel="0" collapsed="false">
      <c r="B6989" s="53"/>
      <c r="I6989" s="53"/>
      <c r="U6989" s="31" t="n">
        <f aca="false">IF($B6989&lt;&gt;'設定（最初に1回）'!$C$4,N(U6988),IF(COUNTIFS(①今日の在庫を貼る!$B$6:$B$10005,$B6989,①今日の在庫を貼る!$I$6:$I$10005,$I6989)&gt;0,N(U6988),N(U6988)+1))</f>
        <v>2</v>
      </c>
    </row>
    <row r="6990" customFormat="false" ht="15" hidden="false" customHeight="false" outlineLevel="0" collapsed="false">
      <c r="B6990" s="53"/>
      <c r="I6990" s="53"/>
      <c r="U6990" s="31" t="n">
        <f aca="false">IF($B6990&lt;&gt;'設定（最初に1回）'!$C$4,N(U6989),IF(COUNTIFS(①今日の在庫を貼る!$B$6:$B$10005,$B6990,①今日の在庫を貼る!$I$6:$I$10005,$I6990)&gt;0,N(U6989),N(U6989)+1))</f>
        <v>2</v>
      </c>
    </row>
    <row r="6991" customFormat="false" ht="15" hidden="false" customHeight="false" outlineLevel="0" collapsed="false">
      <c r="B6991" s="53"/>
      <c r="I6991" s="53"/>
      <c r="U6991" s="31" t="n">
        <f aca="false">IF($B6991&lt;&gt;'設定（最初に1回）'!$C$4,N(U6990),IF(COUNTIFS(①今日の在庫を貼る!$B$6:$B$10005,$B6991,①今日の在庫を貼る!$I$6:$I$10005,$I6991)&gt;0,N(U6990),N(U6990)+1))</f>
        <v>2</v>
      </c>
    </row>
    <row r="6992" customFormat="false" ht="15" hidden="false" customHeight="false" outlineLevel="0" collapsed="false">
      <c r="B6992" s="53"/>
      <c r="I6992" s="53"/>
      <c r="U6992" s="31" t="n">
        <f aca="false">IF($B6992&lt;&gt;'設定（最初に1回）'!$C$4,N(U6991),IF(COUNTIFS(①今日の在庫を貼る!$B$6:$B$10005,$B6992,①今日の在庫を貼る!$I$6:$I$10005,$I6992)&gt;0,N(U6991),N(U6991)+1))</f>
        <v>2</v>
      </c>
    </row>
    <row r="6993" customFormat="false" ht="15" hidden="false" customHeight="false" outlineLevel="0" collapsed="false">
      <c r="B6993" s="53"/>
      <c r="I6993" s="53"/>
      <c r="U6993" s="31" t="n">
        <f aca="false">IF($B6993&lt;&gt;'設定（最初に1回）'!$C$4,N(U6992),IF(COUNTIFS(①今日の在庫を貼る!$B$6:$B$10005,$B6993,①今日の在庫を貼る!$I$6:$I$10005,$I6993)&gt;0,N(U6992),N(U6992)+1))</f>
        <v>2</v>
      </c>
    </row>
    <row r="6994" customFormat="false" ht="15" hidden="false" customHeight="false" outlineLevel="0" collapsed="false">
      <c r="B6994" s="53"/>
      <c r="I6994" s="53"/>
      <c r="U6994" s="31" t="n">
        <f aca="false">IF($B6994&lt;&gt;'設定（最初に1回）'!$C$4,N(U6993),IF(COUNTIFS(①今日の在庫を貼る!$B$6:$B$10005,$B6994,①今日の在庫を貼る!$I$6:$I$10005,$I6994)&gt;0,N(U6993),N(U6993)+1))</f>
        <v>2</v>
      </c>
    </row>
    <row r="6995" customFormat="false" ht="15" hidden="false" customHeight="false" outlineLevel="0" collapsed="false">
      <c r="B6995" s="53"/>
      <c r="I6995" s="53"/>
      <c r="U6995" s="31" t="n">
        <f aca="false">IF($B6995&lt;&gt;'設定（最初に1回）'!$C$4,N(U6994),IF(COUNTIFS(①今日の在庫を貼る!$B$6:$B$10005,$B6995,①今日の在庫を貼る!$I$6:$I$10005,$I6995)&gt;0,N(U6994),N(U6994)+1))</f>
        <v>2</v>
      </c>
    </row>
    <row r="6996" customFormat="false" ht="15" hidden="false" customHeight="false" outlineLevel="0" collapsed="false">
      <c r="B6996" s="53"/>
      <c r="I6996" s="53"/>
      <c r="U6996" s="31" t="n">
        <f aca="false">IF($B6996&lt;&gt;'設定（最初に1回）'!$C$4,N(U6995),IF(COUNTIFS(①今日の在庫を貼る!$B$6:$B$10005,$B6996,①今日の在庫を貼る!$I$6:$I$10005,$I6996)&gt;0,N(U6995),N(U6995)+1))</f>
        <v>2</v>
      </c>
    </row>
    <row r="6997" customFormat="false" ht="15" hidden="false" customHeight="false" outlineLevel="0" collapsed="false">
      <c r="B6997" s="53"/>
      <c r="I6997" s="53"/>
      <c r="U6997" s="31" t="n">
        <f aca="false">IF($B6997&lt;&gt;'設定（最初に1回）'!$C$4,N(U6996),IF(COUNTIFS(①今日の在庫を貼る!$B$6:$B$10005,$B6997,①今日の在庫を貼る!$I$6:$I$10005,$I6997)&gt;0,N(U6996),N(U6996)+1))</f>
        <v>2</v>
      </c>
    </row>
    <row r="6998" customFormat="false" ht="15" hidden="false" customHeight="false" outlineLevel="0" collapsed="false">
      <c r="B6998" s="53"/>
      <c r="I6998" s="53"/>
      <c r="U6998" s="31" t="n">
        <f aca="false">IF($B6998&lt;&gt;'設定（最初に1回）'!$C$4,N(U6997),IF(COUNTIFS(①今日の在庫を貼る!$B$6:$B$10005,$B6998,①今日の在庫を貼る!$I$6:$I$10005,$I6998)&gt;0,N(U6997),N(U6997)+1))</f>
        <v>2</v>
      </c>
    </row>
    <row r="6999" customFormat="false" ht="15" hidden="false" customHeight="false" outlineLevel="0" collapsed="false">
      <c r="B6999" s="53"/>
      <c r="I6999" s="53"/>
      <c r="U6999" s="31" t="n">
        <f aca="false">IF($B6999&lt;&gt;'設定（最初に1回）'!$C$4,N(U6998),IF(COUNTIFS(①今日の在庫を貼る!$B$6:$B$10005,$B6999,①今日の在庫を貼る!$I$6:$I$10005,$I6999)&gt;0,N(U6998),N(U6998)+1))</f>
        <v>2</v>
      </c>
    </row>
    <row r="7000" customFormat="false" ht="15" hidden="false" customHeight="false" outlineLevel="0" collapsed="false">
      <c r="B7000" s="53"/>
      <c r="I7000" s="53"/>
      <c r="U7000" s="31" t="n">
        <f aca="false">IF($B7000&lt;&gt;'設定（最初に1回）'!$C$4,N(U6999),IF(COUNTIFS(①今日の在庫を貼る!$B$6:$B$10005,$B7000,①今日の在庫を貼る!$I$6:$I$10005,$I7000)&gt;0,N(U6999),N(U6999)+1))</f>
        <v>2</v>
      </c>
    </row>
    <row r="7001" customFormat="false" ht="15" hidden="false" customHeight="false" outlineLevel="0" collapsed="false">
      <c r="B7001" s="53"/>
      <c r="I7001" s="53"/>
      <c r="U7001" s="31" t="n">
        <f aca="false">IF($B7001&lt;&gt;'設定（最初に1回）'!$C$4,N(U7000),IF(COUNTIFS(①今日の在庫を貼る!$B$6:$B$10005,$B7001,①今日の在庫を貼る!$I$6:$I$10005,$I7001)&gt;0,N(U7000),N(U7000)+1))</f>
        <v>2</v>
      </c>
    </row>
    <row r="7002" customFormat="false" ht="15" hidden="false" customHeight="false" outlineLevel="0" collapsed="false">
      <c r="B7002" s="53"/>
      <c r="I7002" s="53"/>
      <c r="U7002" s="31" t="n">
        <f aca="false">IF($B7002&lt;&gt;'設定（最初に1回）'!$C$4,N(U7001),IF(COUNTIFS(①今日の在庫を貼る!$B$6:$B$10005,$B7002,①今日の在庫を貼る!$I$6:$I$10005,$I7002)&gt;0,N(U7001),N(U7001)+1))</f>
        <v>2</v>
      </c>
    </row>
    <row r="7003" customFormat="false" ht="15" hidden="false" customHeight="false" outlineLevel="0" collapsed="false">
      <c r="B7003" s="53"/>
      <c r="I7003" s="53"/>
      <c r="U7003" s="31" t="n">
        <f aca="false">IF($B7003&lt;&gt;'設定（最初に1回）'!$C$4,N(U7002),IF(COUNTIFS(①今日の在庫を貼る!$B$6:$B$10005,$B7003,①今日の在庫を貼る!$I$6:$I$10005,$I7003)&gt;0,N(U7002),N(U7002)+1))</f>
        <v>2</v>
      </c>
    </row>
    <row r="7004" customFormat="false" ht="15" hidden="false" customHeight="false" outlineLevel="0" collapsed="false">
      <c r="B7004" s="53"/>
      <c r="I7004" s="53"/>
      <c r="U7004" s="31" t="n">
        <f aca="false">IF($B7004&lt;&gt;'設定（最初に1回）'!$C$4,N(U7003),IF(COUNTIFS(①今日の在庫を貼る!$B$6:$B$10005,$B7004,①今日の在庫を貼る!$I$6:$I$10005,$I7004)&gt;0,N(U7003),N(U7003)+1))</f>
        <v>2</v>
      </c>
    </row>
    <row r="7005" customFormat="false" ht="15" hidden="false" customHeight="false" outlineLevel="0" collapsed="false">
      <c r="B7005" s="53"/>
      <c r="I7005" s="53"/>
      <c r="U7005" s="31" t="n">
        <f aca="false">IF($B7005&lt;&gt;'設定（最初に1回）'!$C$4,N(U7004),IF(COUNTIFS(①今日の在庫を貼る!$B$6:$B$10005,$B7005,①今日の在庫を貼る!$I$6:$I$10005,$I7005)&gt;0,N(U7004),N(U7004)+1))</f>
        <v>2</v>
      </c>
    </row>
    <row r="7006" customFormat="false" ht="15" hidden="false" customHeight="false" outlineLevel="0" collapsed="false">
      <c r="B7006" s="53"/>
      <c r="I7006" s="53"/>
      <c r="U7006" s="31" t="n">
        <f aca="false">IF($B7006&lt;&gt;'設定（最初に1回）'!$C$4,N(U7005),IF(COUNTIFS(①今日の在庫を貼る!$B$6:$B$10005,$B7006,①今日の在庫を貼る!$I$6:$I$10005,$I7006)&gt;0,N(U7005),N(U7005)+1))</f>
        <v>2</v>
      </c>
    </row>
    <row r="7007" customFormat="false" ht="15" hidden="false" customHeight="false" outlineLevel="0" collapsed="false">
      <c r="B7007" s="53"/>
      <c r="I7007" s="53"/>
      <c r="U7007" s="31" t="n">
        <f aca="false">IF($B7007&lt;&gt;'設定（最初に1回）'!$C$4,N(U7006),IF(COUNTIFS(①今日の在庫を貼る!$B$6:$B$10005,$B7007,①今日の在庫を貼る!$I$6:$I$10005,$I7007)&gt;0,N(U7006),N(U7006)+1))</f>
        <v>2</v>
      </c>
    </row>
    <row r="7008" customFormat="false" ht="15" hidden="false" customHeight="false" outlineLevel="0" collapsed="false">
      <c r="B7008" s="53"/>
      <c r="I7008" s="53"/>
      <c r="U7008" s="31" t="n">
        <f aca="false">IF($B7008&lt;&gt;'設定（最初に1回）'!$C$4,N(U7007),IF(COUNTIFS(①今日の在庫を貼る!$B$6:$B$10005,$B7008,①今日の在庫を貼る!$I$6:$I$10005,$I7008)&gt;0,N(U7007),N(U7007)+1))</f>
        <v>2</v>
      </c>
    </row>
    <row r="7009" customFormat="false" ht="15" hidden="false" customHeight="false" outlineLevel="0" collapsed="false">
      <c r="B7009" s="53"/>
      <c r="I7009" s="53"/>
      <c r="U7009" s="31" t="n">
        <f aca="false">IF($B7009&lt;&gt;'設定（最初に1回）'!$C$4,N(U7008),IF(COUNTIFS(①今日の在庫を貼る!$B$6:$B$10005,$B7009,①今日の在庫を貼る!$I$6:$I$10005,$I7009)&gt;0,N(U7008),N(U7008)+1))</f>
        <v>2</v>
      </c>
    </row>
    <row r="7010" customFormat="false" ht="15" hidden="false" customHeight="false" outlineLevel="0" collapsed="false">
      <c r="B7010" s="53"/>
      <c r="I7010" s="53"/>
      <c r="U7010" s="31" t="n">
        <f aca="false">IF($B7010&lt;&gt;'設定（最初に1回）'!$C$4,N(U7009),IF(COUNTIFS(①今日の在庫を貼る!$B$6:$B$10005,$B7010,①今日の在庫を貼る!$I$6:$I$10005,$I7010)&gt;0,N(U7009),N(U7009)+1))</f>
        <v>2</v>
      </c>
    </row>
    <row r="7011" customFormat="false" ht="15" hidden="false" customHeight="false" outlineLevel="0" collapsed="false">
      <c r="B7011" s="53"/>
      <c r="I7011" s="53"/>
      <c r="U7011" s="31" t="n">
        <f aca="false">IF($B7011&lt;&gt;'設定（最初に1回）'!$C$4,N(U7010),IF(COUNTIFS(①今日の在庫を貼る!$B$6:$B$10005,$B7011,①今日の在庫を貼る!$I$6:$I$10005,$I7011)&gt;0,N(U7010),N(U7010)+1))</f>
        <v>2</v>
      </c>
    </row>
    <row r="7012" customFormat="false" ht="15" hidden="false" customHeight="false" outlineLevel="0" collapsed="false">
      <c r="B7012" s="53"/>
      <c r="I7012" s="53"/>
      <c r="U7012" s="31" t="n">
        <f aca="false">IF($B7012&lt;&gt;'設定（最初に1回）'!$C$4,N(U7011),IF(COUNTIFS(①今日の在庫を貼る!$B$6:$B$10005,$B7012,①今日の在庫を貼る!$I$6:$I$10005,$I7012)&gt;0,N(U7011),N(U7011)+1))</f>
        <v>2</v>
      </c>
    </row>
    <row r="7013" customFormat="false" ht="15" hidden="false" customHeight="false" outlineLevel="0" collapsed="false">
      <c r="B7013" s="53"/>
      <c r="I7013" s="53"/>
      <c r="U7013" s="31" t="n">
        <f aca="false">IF($B7013&lt;&gt;'設定（最初に1回）'!$C$4,N(U7012),IF(COUNTIFS(①今日の在庫を貼る!$B$6:$B$10005,$B7013,①今日の在庫を貼る!$I$6:$I$10005,$I7013)&gt;0,N(U7012),N(U7012)+1))</f>
        <v>2</v>
      </c>
    </row>
    <row r="7014" customFormat="false" ht="15" hidden="false" customHeight="false" outlineLevel="0" collapsed="false">
      <c r="B7014" s="53"/>
      <c r="I7014" s="53"/>
      <c r="U7014" s="31" t="n">
        <f aca="false">IF($B7014&lt;&gt;'設定（最初に1回）'!$C$4,N(U7013),IF(COUNTIFS(①今日の在庫を貼る!$B$6:$B$10005,$B7014,①今日の在庫を貼る!$I$6:$I$10005,$I7014)&gt;0,N(U7013),N(U7013)+1))</f>
        <v>2</v>
      </c>
    </row>
    <row r="7015" customFormat="false" ht="15" hidden="false" customHeight="false" outlineLevel="0" collapsed="false">
      <c r="B7015" s="53"/>
      <c r="I7015" s="53"/>
      <c r="U7015" s="31" t="n">
        <f aca="false">IF($B7015&lt;&gt;'設定（最初に1回）'!$C$4,N(U7014),IF(COUNTIFS(①今日の在庫を貼る!$B$6:$B$10005,$B7015,①今日の在庫を貼る!$I$6:$I$10005,$I7015)&gt;0,N(U7014),N(U7014)+1))</f>
        <v>2</v>
      </c>
    </row>
    <row r="7016" customFormat="false" ht="15" hidden="false" customHeight="false" outlineLevel="0" collapsed="false">
      <c r="B7016" s="53"/>
      <c r="I7016" s="53"/>
      <c r="U7016" s="31" t="n">
        <f aca="false">IF($B7016&lt;&gt;'設定（最初に1回）'!$C$4,N(U7015),IF(COUNTIFS(①今日の在庫を貼る!$B$6:$B$10005,$B7016,①今日の在庫を貼る!$I$6:$I$10005,$I7016)&gt;0,N(U7015),N(U7015)+1))</f>
        <v>2</v>
      </c>
    </row>
    <row r="7017" customFormat="false" ht="15" hidden="false" customHeight="false" outlineLevel="0" collapsed="false">
      <c r="B7017" s="53"/>
      <c r="I7017" s="53"/>
      <c r="U7017" s="31" t="n">
        <f aca="false">IF($B7017&lt;&gt;'設定（最初に1回）'!$C$4,N(U7016),IF(COUNTIFS(①今日の在庫を貼る!$B$6:$B$10005,$B7017,①今日の在庫を貼る!$I$6:$I$10005,$I7017)&gt;0,N(U7016),N(U7016)+1))</f>
        <v>2</v>
      </c>
    </row>
    <row r="7018" customFormat="false" ht="15" hidden="false" customHeight="false" outlineLevel="0" collapsed="false">
      <c r="B7018" s="53"/>
      <c r="I7018" s="53"/>
      <c r="U7018" s="31" t="n">
        <f aca="false">IF($B7018&lt;&gt;'設定（最初に1回）'!$C$4,N(U7017),IF(COUNTIFS(①今日の在庫を貼る!$B$6:$B$10005,$B7018,①今日の在庫を貼る!$I$6:$I$10005,$I7018)&gt;0,N(U7017),N(U7017)+1))</f>
        <v>2</v>
      </c>
    </row>
    <row r="7019" customFormat="false" ht="15" hidden="false" customHeight="false" outlineLevel="0" collapsed="false">
      <c r="B7019" s="53"/>
      <c r="I7019" s="53"/>
      <c r="U7019" s="31" t="n">
        <f aca="false">IF($B7019&lt;&gt;'設定（最初に1回）'!$C$4,N(U7018),IF(COUNTIFS(①今日の在庫を貼る!$B$6:$B$10005,$B7019,①今日の在庫を貼る!$I$6:$I$10005,$I7019)&gt;0,N(U7018),N(U7018)+1))</f>
        <v>2</v>
      </c>
    </row>
    <row r="7020" customFormat="false" ht="15" hidden="false" customHeight="false" outlineLevel="0" collapsed="false">
      <c r="B7020" s="53"/>
      <c r="I7020" s="53"/>
      <c r="U7020" s="31" t="n">
        <f aca="false">IF($B7020&lt;&gt;'設定（最初に1回）'!$C$4,N(U7019),IF(COUNTIFS(①今日の在庫を貼る!$B$6:$B$10005,$B7020,①今日の在庫を貼る!$I$6:$I$10005,$I7020)&gt;0,N(U7019),N(U7019)+1))</f>
        <v>2</v>
      </c>
    </row>
    <row r="7021" customFormat="false" ht="15" hidden="false" customHeight="false" outlineLevel="0" collapsed="false">
      <c r="B7021" s="53"/>
      <c r="I7021" s="53"/>
      <c r="U7021" s="31" t="n">
        <f aca="false">IF($B7021&lt;&gt;'設定（最初に1回）'!$C$4,N(U7020),IF(COUNTIFS(①今日の在庫を貼る!$B$6:$B$10005,$B7021,①今日の在庫を貼る!$I$6:$I$10005,$I7021)&gt;0,N(U7020),N(U7020)+1))</f>
        <v>2</v>
      </c>
    </row>
    <row r="7022" customFormat="false" ht="15" hidden="false" customHeight="false" outlineLevel="0" collapsed="false">
      <c r="B7022" s="53"/>
      <c r="I7022" s="53"/>
      <c r="U7022" s="31" t="n">
        <f aca="false">IF($B7022&lt;&gt;'設定（最初に1回）'!$C$4,N(U7021),IF(COUNTIFS(①今日の在庫を貼る!$B$6:$B$10005,$B7022,①今日の在庫を貼る!$I$6:$I$10005,$I7022)&gt;0,N(U7021),N(U7021)+1))</f>
        <v>2</v>
      </c>
    </row>
    <row r="7023" customFormat="false" ht="15" hidden="false" customHeight="false" outlineLevel="0" collapsed="false">
      <c r="B7023" s="53"/>
      <c r="I7023" s="53"/>
      <c r="U7023" s="31" t="n">
        <f aca="false">IF($B7023&lt;&gt;'設定（最初に1回）'!$C$4,N(U7022),IF(COUNTIFS(①今日の在庫を貼る!$B$6:$B$10005,$B7023,①今日の在庫を貼る!$I$6:$I$10005,$I7023)&gt;0,N(U7022),N(U7022)+1))</f>
        <v>2</v>
      </c>
    </row>
    <row r="7024" customFormat="false" ht="15" hidden="false" customHeight="false" outlineLevel="0" collapsed="false">
      <c r="B7024" s="53"/>
      <c r="I7024" s="53"/>
      <c r="U7024" s="31" t="n">
        <f aca="false">IF($B7024&lt;&gt;'設定（最初に1回）'!$C$4,N(U7023),IF(COUNTIFS(①今日の在庫を貼る!$B$6:$B$10005,$B7024,①今日の在庫を貼る!$I$6:$I$10005,$I7024)&gt;0,N(U7023),N(U7023)+1))</f>
        <v>2</v>
      </c>
    </row>
    <row r="7025" customFormat="false" ht="15" hidden="false" customHeight="false" outlineLevel="0" collapsed="false">
      <c r="B7025" s="53"/>
      <c r="I7025" s="53"/>
      <c r="U7025" s="31" t="n">
        <f aca="false">IF($B7025&lt;&gt;'設定（最初に1回）'!$C$4,N(U7024),IF(COUNTIFS(①今日の在庫を貼る!$B$6:$B$10005,$B7025,①今日の在庫を貼る!$I$6:$I$10005,$I7025)&gt;0,N(U7024),N(U7024)+1))</f>
        <v>2</v>
      </c>
    </row>
    <row r="7026" customFormat="false" ht="15" hidden="false" customHeight="false" outlineLevel="0" collapsed="false">
      <c r="B7026" s="53"/>
      <c r="I7026" s="53"/>
      <c r="U7026" s="31" t="n">
        <f aca="false">IF($B7026&lt;&gt;'設定（最初に1回）'!$C$4,N(U7025),IF(COUNTIFS(①今日の在庫を貼る!$B$6:$B$10005,$B7026,①今日の在庫を貼る!$I$6:$I$10005,$I7026)&gt;0,N(U7025),N(U7025)+1))</f>
        <v>2</v>
      </c>
    </row>
    <row r="7027" customFormat="false" ht="15" hidden="false" customHeight="false" outlineLevel="0" collapsed="false">
      <c r="B7027" s="53"/>
      <c r="I7027" s="53"/>
      <c r="U7027" s="31" t="n">
        <f aca="false">IF($B7027&lt;&gt;'設定（最初に1回）'!$C$4,N(U7026),IF(COUNTIFS(①今日の在庫を貼る!$B$6:$B$10005,$B7027,①今日の在庫を貼る!$I$6:$I$10005,$I7027)&gt;0,N(U7026),N(U7026)+1))</f>
        <v>2</v>
      </c>
    </row>
    <row r="7028" customFormat="false" ht="15" hidden="false" customHeight="false" outlineLevel="0" collapsed="false">
      <c r="B7028" s="53"/>
      <c r="I7028" s="53"/>
      <c r="U7028" s="31" t="n">
        <f aca="false">IF($B7028&lt;&gt;'設定（最初に1回）'!$C$4,N(U7027),IF(COUNTIFS(①今日の在庫を貼る!$B$6:$B$10005,$B7028,①今日の在庫を貼る!$I$6:$I$10005,$I7028)&gt;0,N(U7027),N(U7027)+1))</f>
        <v>2</v>
      </c>
    </row>
    <row r="7029" customFormat="false" ht="15" hidden="false" customHeight="false" outlineLevel="0" collapsed="false">
      <c r="B7029" s="53"/>
      <c r="I7029" s="53"/>
      <c r="U7029" s="31" t="n">
        <f aca="false">IF($B7029&lt;&gt;'設定（最初に1回）'!$C$4,N(U7028),IF(COUNTIFS(①今日の在庫を貼る!$B$6:$B$10005,$B7029,①今日の在庫を貼る!$I$6:$I$10005,$I7029)&gt;0,N(U7028),N(U7028)+1))</f>
        <v>2</v>
      </c>
    </row>
    <row r="7030" customFormat="false" ht="15" hidden="false" customHeight="false" outlineLevel="0" collapsed="false">
      <c r="B7030" s="53"/>
      <c r="I7030" s="53"/>
      <c r="U7030" s="31" t="n">
        <f aca="false">IF($B7030&lt;&gt;'設定（最初に1回）'!$C$4,N(U7029),IF(COUNTIFS(①今日の在庫を貼る!$B$6:$B$10005,$B7030,①今日の在庫を貼る!$I$6:$I$10005,$I7030)&gt;0,N(U7029),N(U7029)+1))</f>
        <v>2</v>
      </c>
    </row>
    <row r="7031" customFormat="false" ht="15" hidden="false" customHeight="false" outlineLevel="0" collapsed="false">
      <c r="B7031" s="53"/>
      <c r="I7031" s="53"/>
      <c r="U7031" s="31" t="n">
        <f aca="false">IF($B7031&lt;&gt;'設定（最初に1回）'!$C$4,N(U7030),IF(COUNTIFS(①今日の在庫を貼る!$B$6:$B$10005,$B7031,①今日の在庫を貼る!$I$6:$I$10005,$I7031)&gt;0,N(U7030),N(U7030)+1))</f>
        <v>2</v>
      </c>
    </row>
    <row r="7032" customFormat="false" ht="15" hidden="false" customHeight="false" outlineLevel="0" collapsed="false">
      <c r="B7032" s="53"/>
      <c r="I7032" s="53"/>
      <c r="U7032" s="31" t="n">
        <f aca="false">IF($B7032&lt;&gt;'設定（最初に1回）'!$C$4,N(U7031),IF(COUNTIFS(①今日の在庫を貼る!$B$6:$B$10005,$B7032,①今日の在庫を貼る!$I$6:$I$10005,$I7032)&gt;0,N(U7031),N(U7031)+1))</f>
        <v>2</v>
      </c>
    </row>
    <row r="7033" customFormat="false" ht="15" hidden="false" customHeight="false" outlineLevel="0" collapsed="false">
      <c r="B7033" s="53"/>
      <c r="I7033" s="53"/>
      <c r="U7033" s="31" t="n">
        <f aca="false">IF($B7033&lt;&gt;'設定（最初に1回）'!$C$4,N(U7032),IF(COUNTIFS(①今日の在庫を貼る!$B$6:$B$10005,$B7033,①今日の在庫を貼る!$I$6:$I$10005,$I7033)&gt;0,N(U7032),N(U7032)+1))</f>
        <v>2</v>
      </c>
    </row>
    <row r="7034" customFormat="false" ht="15" hidden="false" customHeight="false" outlineLevel="0" collapsed="false">
      <c r="B7034" s="53"/>
      <c r="I7034" s="53"/>
      <c r="U7034" s="31" t="n">
        <f aca="false">IF($B7034&lt;&gt;'設定（最初に1回）'!$C$4,N(U7033),IF(COUNTIFS(①今日の在庫を貼る!$B$6:$B$10005,$B7034,①今日の在庫を貼る!$I$6:$I$10005,$I7034)&gt;0,N(U7033),N(U7033)+1))</f>
        <v>2</v>
      </c>
    </row>
    <row r="7035" customFormat="false" ht="15" hidden="false" customHeight="false" outlineLevel="0" collapsed="false">
      <c r="B7035" s="53"/>
      <c r="I7035" s="53"/>
      <c r="U7035" s="31" t="n">
        <f aca="false">IF($B7035&lt;&gt;'設定（最初に1回）'!$C$4,N(U7034),IF(COUNTIFS(①今日の在庫を貼る!$B$6:$B$10005,$B7035,①今日の在庫を貼る!$I$6:$I$10005,$I7035)&gt;0,N(U7034),N(U7034)+1))</f>
        <v>2</v>
      </c>
    </row>
    <row r="7036" customFormat="false" ht="15" hidden="false" customHeight="false" outlineLevel="0" collapsed="false">
      <c r="B7036" s="53"/>
      <c r="I7036" s="53"/>
      <c r="U7036" s="31" t="n">
        <f aca="false">IF($B7036&lt;&gt;'設定（最初に1回）'!$C$4,N(U7035),IF(COUNTIFS(①今日の在庫を貼る!$B$6:$B$10005,$B7036,①今日の在庫を貼る!$I$6:$I$10005,$I7036)&gt;0,N(U7035),N(U7035)+1))</f>
        <v>2</v>
      </c>
    </row>
    <row r="7037" customFormat="false" ht="15" hidden="false" customHeight="false" outlineLevel="0" collapsed="false">
      <c r="B7037" s="53"/>
      <c r="I7037" s="53"/>
      <c r="U7037" s="31" t="n">
        <f aca="false">IF($B7037&lt;&gt;'設定（最初に1回）'!$C$4,N(U7036),IF(COUNTIFS(①今日の在庫を貼る!$B$6:$B$10005,$B7037,①今日の在庫を貼る!$I$6:$I$10005,$I7037)&gt;0,N(U7036),N(U7036)+1))</f>
        <v>2</v>
      </c>
    </row>
    <row r="7038" customFormat="false" ht="15" hidden="false" customHeight="false" outlineLevel="0" collapsed="false">
      <c r="B7038" s="53"/>
      <c r="I7038" s="53"/>
      <c r="U7038" s="31" t="n">
        <f aca="false">IF($B7038&lt;&gt;'設定（最初に1回）'!$C$4,N(U7037),IF(COUNTIFS(①今日の在庫を貼る!$B$6:$B$10005,$B7038,①今日の在庫を貼る!$I$6:$I$10005,$I7038)&gt;0,N(U7037),N(U7037)+1))</f>
        <v>2</v>
      </c>
    </row>
    <row r="7039" customFormat="false" ht="15" hidden="false" customHeight="false" outlineLevel="0" collapsed="false">
      <c r="B7039" s="53"/>
      <c r="I7039" s="53"/>
      <c r="U7039" s="31" t="n">
        <f aca="false">IF($B7039&lt;&gt;'設定（最初に1回）'!$C$4,N(U7038),IF(COUNTIFS(①今日の在庫を貼る!$B$6:$B$10005,$B7039,①今日の在庫を貼る!$I$6:$I$10005,$I7039)&gt;0,N(U7038),N(U7038)+1))</f>
        <v>2</v>
      </c>
    </row>
    <row r="7040" customFormat="false" ht="15" hidden="false" customHeight="false" outlineLevel="0" collapsed="false">
      <c r="B7040" s="53"/>
      <c r="I7040" s="53"/>
      <c r="U7040" s="31" t="n">
        <f aca="false">IF($B7040&lt;&gt;'設定（最初に1回）'!$C$4,N(U7039),IF(COUNTIFS(①今日の在庫を貼る!$B$6:$B$10005,$B7040,①今日の在庫を貼る!$I$6:$I$10005,$I7040)&gt;0,N(U7039),N(U7039)+1))</f>
        <v>2</v>
      </c>
    </row>
    <row r="7041" customFormat="false" ht="15" hidden="false" customHeight="false" outlineLevel="0" collapsed="false">
      <c r="B7041" s="53"/>
      <c r="I7041" s="53"/>
      <c r="U7041" s="31" t="n">
        <f aca="false">IF($B7041&lt;&gt;'設定（最初に1回）'!$C$4,N(U7040),IF(COUNTIFS(①今日の在庫を貼る!$B$6:$B$10005,$B7041,①今日の在庫を貼る!$I$6:$I$10005,$I7041)&gt;0,N(U7040),N(U7040)+1))</f>
        <v>2</v>
      </c>
    </row>
    <row r="7042" customFormat="false" ht="15" hidden="false" customHeight="false" outlineLevel="0" collapsed="false">
      <c r="B7042" s="53"/>
      <c r="I7042" s="53"/>
      <c r="U7042" s="31" t="n">
        <f aca="false">IF($B7042&lt;&gt;'設定（最初に1回）'!$C$4,N(U7041),IF(COUNTIFS(①今日の在庫を貼る!$B$6:$B$10005,$B7042,①今日の在庫を貼る!$I$6:$I$10005,$I7042)&gt;0,N(U7041),N(U7041)+1))</f>
        <v>2</v>
      </c>
    </row>
    <row r="7043" customFormat="false" ht="15" hidden="false" customHeight="false" outlineLevel="0" collapsed="false">
      <c r="B7043" s="53"/>
      <c r="I7043" s="53"/>
      <c r="U7043" s="31" t="n">
        <f aca="false">IF($B7043&lt;&gt;'設定（最初に1回）'!$C$4,N(U7042),IF(COUNTIFS(①今日の在庫を貼る!$B$6:$B$10005,$B7043,①今日の在庫を貼る!$I$6:$I$10005,$I7043)&gt;0,N(U7042),N(U7042)+1))</f>
        <v>2</v>
      </c>
    </row>
    <row r="7044" customFormat="false" ht="15" hidden="false" customHeight="false" outlineLevel="0" collapsed="false">
      <c r="B7044" s="53"/>
      <c r="I7044" s="53"/>
      <c r="U7044" s="31" t="n">
        <f aca="false">IF($B7044&lt;&gt;'設定（最初に1回）'!$C$4,N(U7043),IF(COUNTIFS(①今日の在庫を貼る!$B$6:$B$10005,$B7044,①今日の在庫を貼る!$I$6:$I$10005,$I7044)&gt;0,N(U7043),N(U7043)+1))</f>
        <v>2</v>
      </c>
    </row>
    <row r="7045" customFormat="false" ht="15" hidden="false" customHeight="false" outlineLevel="0" collapsed="false">
      <c r="B7045" s="53"/>
      <c r="I7045" s="53"/>
      <c r="U7045" s="31" t="n">
        <f aca="false">IF($B7045&lt;&gt;'設定（最初に1回）'!$C$4,N(U7044),IF(COUNTIFS(①今日の在庫を貼る!$B$6:$B$10005,$B7045,①今日の在庫を貼る!$I$6:$I$10005,$I7045)&gt;0,N(U7044),N(U7044)+1))</f>
        <v>2</v>
      </c>
    </row>
    <row r="7046" customFormat="false" ht="15" hidden="false" customHeight="false" outlineLevel="0" collapsed="false">
      <c r="B7046" s="53"/>
      <c r="I7046" s="53"/>
      <c r="U7046" s="31" t="n">
        <f aca="false">IF($B7046&lt;&gt;'設定（最初に1回）'!$C$4,N(U7045),IF(COUNTIFS(①今日の在庫を貼る!$B$6:$B$10005,$B7046,①今日の在庫を貼る!$I$6:$I$10005,$I7046)&gt;0,N(U7045),N(U7045)+1))</f>
        <v>2</v>
      </c>
    </row>
    <row r="7047" customFormat="false" ht="15" hidden="false" customHeight="false" outlineLevel="0" collapsed="false">
      <c r="B7047" s="53"/>
      <c r="I7047" s="53"/>
      <c r="U7047" s="31" t="n">
        <f aca="false">IF($B7047&lt;&gt;'設定（最初に1回）'!$C$4,N(U7046),IF(COUNTIFS(①今日の在庫を貼る!$B$6:$B$10005,$B7047,①今日の在庫を貼る!$I$6:$I$10005,$I7047)&gt;0,N(U7046),N(U7046)+1))</f>
        <v>2</v>
      </c>
    </row>
    <row r="7048" customFormat="false" ht="15" hidden="false" customHeight="false" outlineLevel="0" collapsed="false">
      <c r="B7048" s="53"/>
      <c r="I7048" s="53"/>
      <c r="U7048" s="31" t="n">
        <f aca="false">IF($B7048&lt;&gt;'設定（最初に1回）'!$C$4,N(U7047),IF(COUNTIFS(①今日の在庫を貼る!$B$6:$B$10005,$B7048,①今日の在庫を貼る!$I$6:$I$10005,$I7048)&gt;0,N(U7047),N(U7047)+1))</f>
        <v>2</v>
      </c>
    </row>
    <row r="7049" customFormat="false" ht="15" hidden="false" customHeight="false" outlineLevel="0" collapsed="false">
      <c r="B7049" s="53"/>
      <c r="I7049" s="53"/>
      <c r="U7049" s="31" t="n">
        <f aca="false">IF($B7049&lt;&gt;'設定（最初に1回）'!$C$4,N(U7048),IF(COUNTIFS(①今日の在庫を貼る!$B$6:$B$10005,$B7049,①今日の在庫を貼る!$I$6:$I$10005,$I7049)&gt;0,N(U7048),N(U7048)+1))</f>
        <v>2</v>
      </c>
    </row>
    <row r="7050" customFormat="false" ht="15" hidden="false" customHeight="false" outlineLevel="0" collapsed="false">
      <c r="B7050" s="53"/>
      <c r="I7050" s="53"/>
      <c r="U7050" s="31" t="n">
        <f aca="false">IF($B7050&lt;&gt;'設定（最初に1回）'!$C$4,N(U7049),IF(COUNTIFS(①今日の在庫を貼る!$B$6:$B$10005,$B7050,①今日の在庫を貼る!$I$6:$I$10005,$I7050)&gt;0,N(U7049),N(U7049)+1))</f>
        <v>2</v>
      </c>
    </row>
    <row r="7051" customFormat="false" ht="15" hidden="false" customHeight="false" outlineLevel="0" collapsed="false">
      <c r="B7051" s="53"/>
      <c r="I7051" s="53"/>
      <c r="U7051" s="31" t="n">
        <f aca="false">IF($B7051&lt;&gt;'設定（最初に1回）'!$C$4,N(U7050),IF(COUNTIFS(①今日の在庫を貼る!$B$6:$B$10005,$B7051,①今日の在庫を貼る!$I$6:$I$10005,$I7051)&gt;0,N(U7050),N(U7050)+1))</f>
        <v>2</v>
      </c>
    </row>
    <row r="7052" customFormat="false" ht="15" hidden="false" customHeight="false" outlineLevel="0" collapsed="false">
      <c r="B7052" s="53"/>
      <c r="I7052" s="53"/>
      <c r="U7052" s="31" t="n">
        <f aca="false">IF($B7052&lt;&gt;'設定（最初に1回）'!$C$4,N(U7051),IF(COUNTIFS(①今日の在庫を貼る!$B$6:$B$10005,$B7052,①今日の在庫を貼る!$I$6:$I$10005,$I7052)&gt;0,N(U7051),N(U7051)+1))</f>
        <v>2</v>
      </c>
    </row>
    <row r="7053" customFormat="false" ht="15" hidden="false" customHeight="false" outlineLevel="0" collapsed="false">
      <c r="B7053" s="53"/>
      <c r="I7053" s="53"/>
      <c r="U7053" s="31" t="n">
        <f aca="false">IF($B7053&lt;&gt;'設定（最初に1回）'!$C$4,N(U7052),IF(COUNTIFS(①今日の在庫を貼る!$B$6:$B$10005,$B7053,①今日の在庫を貼る!$I$6:$I$10005,$I7053)&gt;0,N(U7052),N(U7052)+1))</f>
        <v>2</v>
      </c>
    </row>
    <row r="7054" customFormat="false" ht="15" hidden="false" customHeight="false" outlineLevel="0" collapsed="false">
      <c r="B7054" s="53"/>
      <c r="I7054" s="53"/>
      <c r="U7054" s="31" t="n">
        <f aca="false">IF($B7054&lt;&gt;'設定（最初に1回）'!$C$4,N(U7053),IF(COUNTIFS(①今日の在庫を貼る!$B$6:$B$10005,$B7054,①今日の在庫を貼る!$I$6:$I$10005,$I7054)&gt;0,N(U7053),N(U7053)+1))</f>
        <v>2</v>
      </c>
    </row>
    <row r="7055" customFormat="false" ht="15" hidden="false" customHeight="false" outlineLevel="0" collapsed="false">
      <c r="B7055" s="53"/>
      <c r="I7055" s="53"/>
      <c r="U7055" s="31" t="n">
        <f aca="false">IF($B7055&lt;&gt;'設定（最初に1回）'!$C$4,N(U7054),IF(COUNTIFS(①今日の在庫を貼る!$B$6:$B$10005,$B7055,①今日の在庫を貼る!$I$6:$I$10005,$I7055)&gt;0,N(U7054),N(U7054)+1))</f>
        <v>2</v>
      </c>
    </row>
    <row r="7056" customFormat="false" ht="15" hidden="false" customHeight="false" outlineLevel="0" collapsed="false">
      <c r="B7056" s="53"/>
      <c r="I7056" s="53"/>
      <c r="U7056" s="31" t="n">
        <f aca="false">IF($B7056&lt;&gt;'設定（最初に1回）'!$C$4,N(U7055),IF(COUNTIFS(①今日の在庫を貼る!$B$6:$B$10005,$B7056,①今日の在庫を貼る!$I$6:$I$10005,$I7056)&gt;0,N(U7055),N(U7055)+1))</f>
        <v>2</v>
      </c>
    </row>
    <row r="7057" customFormat="false" ht="15" hidden="false" customHeight="false" outlineLevel="0" collapsed="false">
      <c r="B7057" s="53"/>
      <c r="I7057" s="53"/>
      <c r="U7057" s="31" t="n">
        <f aca="false">IF($B7057&lt;&gt;'設定（最初に1回）'!$C$4,N(U7056),IF(COUNTIFS(①今日の在庫を貼る!$B$6:$B$10005,$B7057,①今日の在庫を貼る!$I$6:$I$10005,$I7057)&gt;0,N(U7056),N(U7056)+1))</f>
        <v>2</v>
      </c>
    </row>
    <row r="7058" customFormat="false" ht="15" hidden="false" customHeight="false" outlineLevel="0" collapsed="false">
      <c r="B7058" s="53"/>
      <c r="I7058" s="53"/>
      <c r="U7058" s="31" t="n">
        <f aca="false">IF($B7058&lt;&gt;'設定（最初に1回）'!$C$4,N(U7057),IF(COUNTIFS(①今日の在庫を貼る!$B$6:$B$10005,$B7058,①今日の在庫を貼る!$I$6:$I$10005,$I7058)&gt;0,N(U7057),N(U7057)+1))</f>
        <v>2</v>
      </c>
    </row>
    <row r="7059" customFormat="false" ht="15" hidden="false" customHeight="false" outlineLevel="0" collapsed="false">
      <c r="B7059" s="53"/>
      <c r="I7059" s="53"/>
      <c r="U7059" s="31" t="n">
        <f aca="false">IF($B7059&lt;&gt;'設定（最初に1回）'!$C$4,N(U7058),IF(COUNTIFS(①今日の在庫を貼る!$B$6:$B$10005,$B7059,①今日の在庫を貼る!$I$6:$I$10005,$I7059)&gt;0,N(U7058),N(U7058)+1))</f>
        <v>2</v>
      </c>
    </row>
    <row r="7060" customFormat="false" ht="15" hidden="false" customHeight="false" outlineLevel="0" collapsed="false">
      <c r="B7060" s="53"/>
      <c r="I7060" s="53"/>
      <c r="U7060" s="31" t="n">
        <f aca="false">IF($B7060&lt;&gt;'設定（最初に1回）'!$C$4,N(U7059),IF(COUNTIFS(①今日の在庫を貼る!$B$6:$B$10005,$B7060,①今日の在庫を貼る!$I$6:$I$10005,$I7060)&gt;0,N(U7059),N(U7059)+1))</f>
        <v>2</v>
      </c>
    </row>
    <row r="7061" customFormat="false" ht="15" hidden="false" customHeight="false" outlineLevel="0" collapsed="false">
      <c r="B7061" s="53"/>
      <c r="I7061" s="53"/>
      <c r="U7061" s="31" t="n">
        <f aca="false">IF($B7061&lt;&gt;'設定（最初に1回）'!$C$4,N(U7060),IF(COUNTIFS(①今日の在庫を貼る!$B$6:$B$10005,$B7061,①今日の在庫を貼る!$I$6:$I$10005,$I7061)&gt;0,N(U7060),N(U7060)+1))</f>
        <v>2</v>
      </c>
    </row>
    <row r="7062" customFormat="false" ht="15" hidden="false" customHeight="false" outlineLevel="0" collapsed="false">
      <c r="B7062" s="53"/>
      <c r="I7062" s="53"/>
      <c r="U7062" s="31" t="n">
        <f aca="false">IF($B7062&lt;&gt;'設定（最初に1回）'!$C$4,N(U7061),IF(COUNTIFS(①今日の在庫を貼る!$B$6:$B$10005,$B7062,①今日の在庫を貼る!$I$6:$I$10005,$I7062)&gt;0,N(U7061),N(U7061)+1))</f>
        <v>2</v>
      </c>
    </row>
    <row r="7063" customFormat="false" ht="15" hidden="false" customHeight="false" outlineLevel="0" collapsed="false">
      <c r="B7063" s="53"/>
      <c r="I7063" s="53"/>
      <c r="U7063" s="31" t="n">
        <f aca="false">IF($B7063&lt;&gt;'設定（最初に1回）'!$C$4,N(U7062),IF(COUNTIFS(①今日の在庫を貼る!$B$6:$B$10005,$B7063,①今日の在庫を貼る!$I$6:$I$10005,$I7063)&gt;0,N(U7062),N(U7062)+1))</f>
        <v>2</v>
      </c>
    </row>
    <row r="7064" customFormat="false" ht="15" hidden="false" customHeight="false" outlineLevel="0" collapsed="false">
      <c r="B7064" s="53"/>
      <c r="I7064" s="53"/>
      <c r="U7064" s="31" t="n">
        <f aca="false">IF($B7064&lt;&gt;'設定（最初に1回）'!$C$4,N(U7063),IF(COUNTIFS(①今日の在庫を貼る!$B$6:$B$10005,$B7064,①今日の在庫を貼る!$I$6:$I$10005,$I7064)&gt;0,N(U7063),N(U7063)+1))</f>
        <v>2</v>
      </c>
    </row>
    <row r="7065" customFormat="false" ht="15" hidden="false" customHeight="false" outlineLevel="0" collapsed="false">
      <c r="B7065" s="53"/>
      <c r="I7065" s="53"/>
      <c r="U7065" s="31" t="n">
        <f aca="false">IF($B7065&lt;&gt;'設定（最初に1回）'!$C$4,N(U7064),IF(COUNTIFS(①今日の在庫を貼る!$B$6:$B$10005,$B7065,①今日の在庫を貼る!$I$6:$I$10005,$I7065)&gt;0,N(U7064),N(U7064)+1))</f>
        <v>2</v>
      </c>
    </row>
    <row r="7066" customFormat="false" ht="15" hidden="false" customHeight="false" outlineLevel="0" collapsed="false">
      <c r="B7066" s="53"/>
      <c r="I7066" s="53"/>
      <c r="U7066" s="31" t="n">
        <f aca="false">IF($B7066&lt;&gt;'設定（最初に1回）'!$C$4,N(U7065),IF(COUNTIFS(①今日の在庫を貼る!$B$6:$B$10005,$B7066,①今日の在庫を貼る!$I$6:$I$10005,$I7066)&gt;0,N(U7065),N(U7065)+1))</f>
        <v>2</v>
      </c>
    </row>
    <row r="7067" customFormat="false" ht="15" hidden="false" customHeight="false" outlineLevel="0" collapsed="false">
      <c r="B7067" s="53"/>
      <c r="I7067" s="53"/>
      <c r="U7067" s="31" t="n">
        <f aca="false">IF($B7067&lt;&gt;'設定（最初に1回）'!$C$4,N(U7066),IF(COUNTIFS(①今日の在庫を貼る!$B$6:$B$10005,$B7067,①今日の在庫を貼る!$I$6:$I$10005,$I7067)&gt;0,N(U7066),N(U7066)+1))</f>
        <v>2</v>
      </c>
    </row>
    <row r="7068" customFormat="false" ht="15" hidden="false" customHeight="false" outlineLevel="0" collapsed="false">
      <c r="B7068" s="53"/>
      <c r="I7068" s="53"/>
      <c r="U7068" s="31" t="n">
        <f aca="false">IF($B7068&lt;&gt;'設定（最初に1回）'!$C$4,N(U7067),IF(COUNTIFS(①今日の在庫を貼る!$B$6:$B$10005,$B7068,①今日の在庫を貼る!$I$6:$I$10005,$I7068)&gt;0,N(U7067),N(U7067)+1))</f>
        <v>2</v>
      </c>
    </row>
    <row r="7069" customFormat="false" ht="15" hidden="false" customHeight="false" outlineLevel="0" collapsed="false">
      <c r="B7069" s="53"/>
      <c r="I7069" s="53"/>
      <c r="U7069" s="31" t="n">
        <f aca="false">IF($B7069&lt;&gt;'設定（最初に1回）'!$C$4,N(U7068),IF(COUNTIFS(①今日の在庫を貼る!$B$6:$B$10005,$B7069,①今日の在庫を貼る!$I$6:$I$10005,$I7069)&gt;0,N(U7068),N(U7068)+1))</f>
        <v>2</v>
      </c>
    </row>
    <row r="7070" customFormat="false" ht="15" hidden="false" customHeight="false" outlineLevel="0" collapsed="false">
      <c r="B7070" s="53"/>
      <c r="I7070" s="53"/>
      <c r="U7070" s="31" t="n">
        <f aca="false">IF($B7070&lt;&gt;'設定（最初に1回）'!$C$4,N(U7069),IF(COUNTIFS(①今日の在庫を貼る!$B$6:$B$10005,$B7070,①今日の在庫を貼る!$I$6:$I$10005,$I7070)&gt;0,N(U7069),N(U7069)+1))</f>
        <v>2</v>
      </c>
    </row>
    <row r="7071" customFormat="false" ht="15" hidden="false" customHeight="false" outlineLevel="0" collapsed="false">
      <c r="B7071" s="53"/>
      <c r="I7071" s="53"/>
      <c r="U7071" s="31" t="n">
        <f aca="false">IF($B7071&lt;&gt;'設定（最初に1回）'!$C$4,N(U7070),IF(COUNTIFS(①今日の在庫を貼る!$B$6:$B$10005,$B7071,①今日の在庫を貼る!$I$6:$I$10005,$I7071)&gt;0,N(U7070),N(U7070)+1))</f>
        <v>2</v>
      </c>
    </row>
    <row r="7072" customFormat="false" ht="15" hidden="false" customHeight="false" outlineLevel="0" collapsed="false">
      <c r="B7072" s="53"/>
      <c r="I7072" s="53"/>
      <c r="U7072" s="31" t="n">
        <f aca="false">IF($B7072&lt;&gt;'設定（最初に1回）'!$C$4,N(U7071),IF(COUNTIFS(①今日の在庫を貼る!$B$6:$B$10005,$B7072,①今日の在庫を貼る!$I$6:$I$10005,$I7072)&gt;0,N(U7071),N(U7071)+1))</f>
        <v>2</v>
      </c>
    </row>
    <row r="7073" customFormat="false" ht="15" hidden="false" customHeight="false" outlineLevel="0" collapsed="false">
      <c r="B7073" s="53"/>
      <c r="I7073" s="53"/>
      <c r="U7073" s="31" t="n">
        <f aca="false">IF($B7073&lt;&gt;'設定（最初に1回）'!$C$4,N(U7072),IF(COUNTIFS(①今日の在庫を貼る!$B$6:$B$10005,$B7073,①今日の在庫を貼る!$I$6:$I$10005,$I7073)&gt;0,N(U7072),N(U7072)+1))</f>
        <v>2</v>
      </c>
    </row>
    <row r="7074" customFormat="false" ht="15" hidden="false" customHeight="false" outlineLevel="0" collapsed="false">
      <c r="B7074" s="53"/>
      <c r="I7074" s="53"/>
      <c r="U7074" s="31" t="n">
        <f aca="false">IF($B7074&lt;&gt;'設定（最初に1回）'!$C$4,N(U7073),IF(COUNTIFS(①今日の在庫を貼る!$B$6:$B$10005,$B7074,①今日の在庫を貼る!$I$6:$I$10005,$I7074)&gt;0,N(U7073),N(U7073)+1))</f>
        <v>2</v>
      </c>
    </row>
    <row r="7075" customFormat="false" ht="15" hidden="false" customHeight="false" outlineLevel="0" collapsed="false">
      <c r="B7075" s="53"/>
      <c r="I7075" s="53"/>
      <c r="U7075" s="31" t="n">
        <f aca="false">IF($B7075&lt;&gt;'設定（最初に1回）'!$C$4,N(U7074),IF(COUNTIFS(①今日の在庫を貼る!$B$6:$B$10005,$B7075,①今日の在庫を貼る!$I$6:$I$10005,$I7075)&gt;0,N(U7074),N(U7074)+1))</f>
        <v>2</v>
      </c>
    </row>
    <row r="7076" customFormat="false" ht="15" hidden="false" customHeight="false" outlineLevel="0" collapsed="false">
      <c r="B7076" s="53"/>
      <c r="I7076" s="53"/>
      <c r="U7076" s="31" t="n">
        <f aca="false">IF($B7076&lt;&gt;'設定（最初に1回）'!$C$4,N(U7075),IF(COUNTIFS(①今日の在庫を貼る!$B$6:$B$10005,$B7076,①今日の在庫を貼る!$I$6:$I$10005,$I7076)&gt;0,N(U7075),N(U7075)+1))</f>
        <v>2</v>
      </c>
    </row>
    <row r="7077" customFormat="false" ht="15" hidden="false" customHeight="false" outlineLevel="0" collapsed="false">
      <c r="B7077" s="53"/>
      <c r="I7077" s="53"/>
      <c r="U7077" s="31" t="n">
        <f aca="false">IF($B7077&lt;&gt;'設定（最初に1回）'!$C$4,N(U7076),IF(COUNTIFS(①今日の在庫を貼る!$B$6:$B$10005,$B7077,①今日の在庫を貼る!$I$6:$I$10005,$I7077)&gt;0,N(U7076),N(U7076)+1))</f>
        <v>2</v>
      </c>
    </row>
    <row r="7078" customFormat="false" ht="15" hidden="false" customHeight="false" outlineLevel="0" collapsed="false">
      <c r="B7078" s="53"/>
      <c r="I7078" s="53"/>
      <c r="U7078" s="31" t="n">
        <f aca="false">IF($B7078&lt;&gt;'設定（最初に1回）'!$C$4,N(U7077),IF(COUNTIFS(①今日の在庫を貼る!$B$6:$B$10005,$B7078,①今日の在庫を貼る!$I$6:$I$10005,$I7078)&gt;0,N(U7077),N(U7077)+1))</f>
        <v>2</v>
      </c>
    </row>
    <row r="7079" customFormat="false" ht="15" hidden="false" customHeight="false" outlineLevel="0" collapsed="false">
      <c r="B7079" s="53"/>
      <c r="I7079" s="53"/>
      <c r="U7079" s="31" t="n">
        <f aca="false">IF($B7079&lt;&gt;'設定（最初に1回）'!$C$4,N(U7078),IF(COUNTIFS(①今日の在庫を貼る!$B$6:$B$10005,$B7079,①今日の在庫を貼る!$I$6:$I$10005,$I7079)&gt;0,N(U7078),N(U7078)+1))</f>
        <v>2</v>
      </c>
    </row>
    <row r="7080" customFormat="false" ht="15" hidden="false" customHeight="false" outlineLevel="0" collapsed="false">
      <c r="B7080" s="53"/>
      <c r="I7080" s="53"/>
      <c r="U7080" s="31" t="n">
        <f aca="false">IF($B7080&lt;&gt;'設定（最初に1回）'!$C$4,N(U7079),IF(COUNTIFS(①今日の在庫を貼る!$B$6:$B$10005,$B7080,①今日の在庫を貼る!$I$6:$I$10005,$I7080)&gt;0,N(U7079),N(U7079)+1))</f>
        <v>2</v>
      </c>
    </row>
    <row r="7081" customFormat="false" ht="15" hidden="false" customHeight="false" outlineLevel="0" collapsed="false">
      <c r="B7081" s="53"/>
      <c r="I7081" s="53"/>
      <c r="U7081" s="31" t="n">
        <f aca="false">IF($B7081&lt;&gt;'設定（最初に1回）'!$C$4,N(U7080),IF(COUNTIFS(①今日の在庫を貼る!$B$6:$B$10005,$B7081,①今日の在庫を貼る!$I$6:$I$10005,$I7081)&gt;0,N(U7080),N(U7080)+1))</f>
        <v>2</v>
      </c>
    </row>
    <row r="7082" customFormat="false" ht="15" hidden="false" customHeight="false" outlineLevel="0" collapsed="false">
      <c r="B7082" s="53"/>
      <c r="I7082" s="53"/>
      <c r="U7082" s="31" t="n">
        <f aca="false">IF($B7082&lt;&gt;'設定（最初に1回）'!$C$4,N(U7081),IF(COUNTIFS(①今日の在庫を貼る!$B$6:$B$10005,$B7082,①今日の在庫を貼る!$I$6:$I$10005,$I7082)&gt;0,N(U7081),N(U7081)+1))</f>
        <v>2</v>
      </c>
    </row>
    <row r="7083" customFormat="false" ht="15" hidden="false" customHeight="false" outlineLevel="0" collapsed="false">
      <c r="B7083" s="53"/>
      <c r="I7083" s="53"/>
      <c r="U7083" s="31" t="n">
        <f aca="false">IF($B7083&lt;&gt;'設定（最初に1回）'!$C$4,N(U7082),IF(COUNTIFS(①今日の在庫を貼る!$B$6:$B$10005,$B7083,①今日の在庫を貼る!$I$6:$I$10005,$I7083)&gt;0,N(U7082),N(U7082)+1))</f>
        <v>2</v>
      </c>
    </row>
    <row r="7084" customFormat="false" ht="15" hidden="false" customHeight="false" outlineLevel="0" collapsed="false">
      <c r="B7084" s="53"/>
      <c r="I7084" s="53"/>
      <c r="U7084" s="31" t="n">
        <f aca="false">IF($B7084&lt;&gt;'設定（最初に1回）'!$C$4,N(U7083),IF(COUNTIFS(①今日の在庫を貼る!$B$6:$B$10005,$B7084,①今日の在庫を貼る!$I$6:$I$10005,$I7084)&gt;0,N(U7083),N(U7083)+1))</f>
        <v>2</v>
      </c>
    </row>
    <row r="7085" customFormat="false" ht="15" hidden="false" customHeight="false" outlineLevel="0" collapsed="false">
      <c r="B7085" s="53"/>
      <c r="I7085" s="53"/>
      <c r="U7085" s="31" t="n">
        <f aca="false">IF($B7085&lt;&gt;'設定（最初に1回）'!$C$4,N(U7084),IF(COUNTIFS(①今日の在庫を貼る!$B$6:$B$10005,$B7085,①今日の在庫を貼る!$I$6:$I$10005,$I7085)&gt;0,N(U7084),N(U7084)+1))</f>
        <v>2</v>
      </c>
    </row>
    <row r="7086" customFormat="false" ht="15" hidden="false" customHeight="false" outlineLevel="0" collapsed="false">
      <c r="B7086" s="53"/>
      <c r="I7086" s="53"/>
      <c r="U7086" s="31" t="n">
        <f aca="false">IF($B7086&lt;&gt;'設定（最初に1回）'!$C$4,N(U7085),IF(COUNTIFS(①今日の在庫を貼る!$B$6:$B$10005,$B7086,①今日の在庫を貼る!$I$6:$I$10005,$I7086)&gt;0,N(U7085),N(U7085)+1))</f>
        <v>2</v>
      </c>
    </row>
    <row r="7087" customFormat="false" ht="15" hidden="false" customHeight="false" outlineLevel="0" collapsed="false">
      <c r="B7087" s="53"/>
      <c r="I7087" s="53"/>
      <c r="U7087" s="31" t="n">
        <f aca="false">IF($B7087&lt;&gt;'設定（最初に1回）'!$C$4,N(U7086),IF(COUNTIFS(①今日の在庫を貼る!$B$6:$B$10005,$B7087,①今日の在庫を貼る!$I$6:$I$10005,$I7087)&gt;0,N(U7086),N(U7086)+1))</f>
        <v>2</v>
      </c>
    </row>
    <row r="7088" customFormat="false" ht="15" hidden="false" customHeight="false" outlineLevel="0" collapsed="false">
      <c r="B7088" s="53"/>
      <c r="I7088" s="53"/>
      <c r="U7088" s="31" t="n">
        <f aca="false">IF($B7088&lt;&gt;'設定（最初に1回）'!$C$4,N(U7087),IF(COUNTIFS(①今日の在庫を貼る!$B$6:$B$10005,$B7088,①今日の在庫を貼る!$I$6:$I$10005,$I7088)&gt;0,N(U7087),N(U7087)+1))</f>
        <v>2</v>
      </c>
    </row>
    <row r="7089" customFormat="false" ht="15" hidden="false" customHeight="false" outlineLevel="0" collapsed="false">
      <c r="B7089" s="53"/>
      <c r="I7089" s="53"/>
      <c r="U7089" s="31" t="n">
        <f aca="false">IF($B7089&lt;&gt;'設定（最初に1回）'!$C$4,N(U7088),IF(COUNTIFS(①今日の在庫を貼る!$B$6:$B$10005,$B7089,①今日の在庫を貼る!$I$6:$I$10005,$I7089)&gt;0,N(U7088),N(U7088)+1))</f>
        <v>2</v>
      </c>
    </row>
    <row r="7090" customFormat="false" ht="15" hidden="false" customHeight="false" outlineLevel="0" collapsed="false">
      <c r="B7090" s="53"/>
      <c r="I7090" s="53"/>
      <c r="U7090" s="31" t="n">
        <f aca="false">IF($B7090&lt;&gt;'設定（最初に1回）'!$C$4,N(U7089),IF(COUNTIFS(①今日の在庫を貼る!$B$6:$B$10005,$B7090,①今日の在庫を貼る!$I$6:$I$10005,$I7090)&gt;0,N(U7089),N(U7089)+1))</f>
        <v>2</v>
      </c>
    </row>
    <row r="7091" customFormat="false" ht="15" hidden="false" customHeight="false" outlineLevel="0" collapsed="false">
      <c r="B7091" s="53"/>
      <c r="I7091" s="53"/>
      <c r="U7091" s="31" t="n">
        <f aca="false">IF($B7091&lt;&gt;'設定（最初に1回）'!$C$4,N(U7090),IF(COUNTIFS(①今日の在庫を貼る!$B$6:$B$10005,$B7091,①今日の在庫を貼る!$I$6:$I$10005,$I7091)&gt;0,N(U7090),N(U7090)+1))</f>
        <v>2</v>
      </c>
    </row>
    <row r="7092" customFormat="false" ht="15" hidden="false" customHeight="false" outlineLevel="0" collapsed="false">
      <c r="B7092" s="53"/>
      <c r="I7092" s="53"/>
      <c r="U7092" s="31" t="n">
        <f aca="false">IF($B7092&lt;&gt;'設定（最初に1回）'!$C$4,N(U7091),IF(COUNTIFS(①今日の在庫を貼る!$B$6:$B$10005,$B7092,①今日の在庫を貼る!$I$6:$I$10005,$I7092)&gt;0,N(U7091),N(U7091)+1))</f>
        <v>2</v>
      </c>
    </row>
    <row r="7093" customFormat="false" ht="15" hidden="false" customHeight="false" outlineLevel="0" collapsed="false">
      <c r="B7093" s="53"/>
      <c r="I7093" s="53"/>
      <c r="U7093" s="31" t="n">
        <f aca="false">IF($B7093&lt;&gt;'設定（最初に1回）'!$C$4,N(U7092),IF(COUNTIFS(①今日の在庫を貼る!$B$6:$B$10005,$B7093,①今日の在庫を貼る!$I$6:$I$10005,$I7093)&gt;0,N(U7092),N(U7092)+1))</f>
        <v>2</v>
      </c>
    </row>
    <row r="7094" customFormat="false" ht="15" hidden="false" customHeight="false" outlineLevel="0" collapsed="false">
      <c r="B7094" s="53"/>
      <c r="I7094" s="53"/>
      <c r="U7094" s="31" t="n">
        <f aca="false">IF($B7094&lt;&gt;'設定（最初に1回）'!$C$4,N(U7093),IF(COUNTIFS(①今日の在庫を貼る!$B$6:$B$10005,$B7094,①今日の在庫を貼る!$I$6:$I$10005,$I7094)&gt;0,N(U7093),N(U7093)+1))</f>
        <v>2</v>
      </c>
    </row>
    <row r="7095" customFormat="false" ht="15" hidden="false" customHeight="false" outlineLevel="0" collapsed="false">
      <c r="B7095" s="53"/>
      <c r="I7095" s="53"/>
      <c r="U7095" s="31" t="n">
        <f aca="false">IF($B7095&lt;&gt;'設定（最初に1回）'!$C$4,N(U7094),IF(COUNTIFS(①今日の在庫を貼る!$B$6:$B$10005,$B7095,①今日の在庫を貼る!$I$6:$I$10005,$I7095)&gt;0,N(U7094),N(U7094)+1))</f>
        <v>2</v>
      </c>
    </row>
    <row r="7096" customFormat="false" ht="15" hidden="false" customHeight="false" outlineLevel="0" collapsed="false">
      <c r="B7096" s="53"/>
      <c r="I7096" s="53"/>
      <c r="U7096" s="31" t="n">
        <f aca="false">IF($B7096&lt;&gt;'設定（最初に1回）'!$C$4,N(U7095),IF(COUNTIFS(①今日の在庫を貼る!$B$6:$B$10005,$B7096,①今日の在庫を貼る!$I$6:$I$10005,$I7096)&gt;0,N(U7095),N(U7095)+1))</f>
        <v>2</v>
      </c>
    </row>
    <row r="7097" customFormat="false" ht="15" hidden="false" customHeight="false" outlineLevel="0" collapsed="false">
      <c r="B7097" s="53"/>
      <c r="I7097" s="53"/>
      <c r="U7097" s="31" t="n">
        <f aca="false">IF($B7097&lt;&gt;'設定（最初に1回）'!$C$4,N(U7096),IF(COUNTIFS(①今日の在庫を貼る!$B$6:$B$10005,$B7097,①今日の在庫を貼る!$I$6:$I$10005,$I7097)&gt;0,N(U7096),N(U7096)+1))</f>
        <v>2</v>
      </c>
    </row>
    <row r="7098" customFormat="false" ht="15" hidden="false" customHeight="false" outlineLevel="0" collapsed="false">
      <c r="B7098" s="53"/>
      <c r="I7098" s="53"/>
      <c r="U7098" s="31" t="n">
        <f aca="false">IF($B7098&lt;&gt;'設定（最初に1回）'!$C$4,N(U7097),IF(COUNTIFS(①今日の在庫を貼る!$B$6:$B$10005,$B7098,①今日の在庫を貼る!$I$6:$I$10005,$I7098)&gt;0,N(U7097),N(U7097)+1))</f>
        <v>2</v>
      </c>
    </row>
    <row r="7099" customFormat="false" ht="15" hidden="false" customHeight="false" outlineLevel="0" collapsed="false">
      <c r="B7099" s="53"/>
      <c r="I7099" s="53"/>
      <c r="U7099" s="31" t="n">
        <f aca="false">IF($B7099&lt;&gt;'設定（最初に1回）'!$C$4,N(U7098),IF(COUNTIFS(①今日の在庫を貼る!$B$6:$B$10005,$B7099,①今日の在庫を貼る!$I$6:$I$10005,$I7099)&gt;0,N(U7098),N(U7098)+1))</f>
        <v>2</v>
      </c>
    </row>
    <row r="7100" customFormat="false" ht="15" hidden="false" customHeight="false" outlineLevel="0" collapsed="false">
      <c r="B7100" s="53"/>
      <c r="I7100" s="53"/>
      <c r="U7100" s="31" t="n">
        <f aca="false">IF($B7100&lt;&gt;'設定（最初に1回）'!$C$4,N(U7099),IF(COUNTIFS(①今日の在庫を貼る!$B$6:$B$10005,$B7100,①今日の在庫を貼る!$I$6:$I$10005,$I7100)&gt;0,N(U7099),N(U7099)+1))</f>
        <v>2</v>
      </c>
    </row>
    <row r="7101" customFormat="false" ht="15" hidden="false" customHeight="false" outlineLevel="0" collapsed="false">
      <c r="B7101" s="53"/>
      <c r="I7101" s="53"/>
      <c r="U7101" s="31" t="n">
        <f aca="false">IF($B7101&lt;&gt;'設定（最初に1回）'!$C$4,N(U7100),IF(COUNTIFS(①今日の在庫を貼る!$B$6:$B$10005,$B7101,①今日の在庫を貼る!$I$6:$I$10005,$I7101)&gt;0,N(U7100),N(U7100)+1))</f>
        <v>2</v>
      </c>
    </row>
    <row r="7102" customFormat="false" ht="15" hidden="false" customHeight="false" outlineLevel="0" collapsed="false">
      <c r="B7102" s="53"/>
      <c r="I7102" s="53"/>
      <c r="U7102" s="31" t="n">
        <f aca="false">IF($B7102&lt;&gt;'設定（最初に1回）'!$C$4,N(U7101),IF(COUNTIFS(①今日の在庫を貼る!$B$6:$B$10005,$B7102,①今日の在庫を貼る!$I$6:$I$10005,$I7102)&gt;0,N(U7101),N(U7101)+1))</f>
        <v>2</v>
      </c>
    </row>
    <row r="7103" customFormat="false" ht="15" hidden="false" customHeight="false" outlineLevel="0" collapsed="false">
      <c r="B7103" s="53"/>
      <c r="I7103" s="53"/>
      <c r="U7103" s="31" t="n">
        <f aca="false">IF($B7103&lt;&gt;'設定（最初に1回）'!$C$4,N(U7102),IF(COUNTIFS(①今日の在庫を貼る!$B$6:$B$10005,$B7103,①今日の在庫を貼る!$I$6:$I$10005,$I7103)&gt;0,N(U7102),N(U7102)+1))</f>
        <v>2</v>
      </c>
    </row>
    <row r="7104" customFormat="false" ht="15" hidden="false" customHeight="false" outlineLevel="0" collapsed="false">
      <c r="B7104" s="53"/>
      <c r="I7104" s="53"/>
      <c r="U7104" s="31" t="n">
        <f aca="false">IF($B7104&lt;&gt;'設定（最初に1回）'!$C$4,N(U7103),IF(COUNTIFS(①今日の在庫を貼る!$B$6:$B$10005,$B7104,①今日の在庫を貼る!$I$6:$I$10005,$I7104)&gt;0,N(U7103),N(U7103)+1))</f>
        <v>2</v>
      </c>
    </row>
    <row r="7105" customFormat="false" ht="15" hidden="false" customHeight="false" outlineLevel="0" collapsed="false">
      <c r="B7105" s="53"/>
      <c r="I7105" s="53"/>
      <c r="U7105" s="31" t="n">
        <f aca="false">IF($B7105&lt;&gt;'設定（最初に1回）'!$C$4,N(U7104),IF(COUNTIFS(①今日の在庫を貼る!$B$6:$B$10005,$B7105,①今日の在庫を貼る!$I$6:$I$10005,$I7105)&gt;0,N(U7104),N(U7104)+1))</f>
        <v>2</v>
      </c>
    </row>
    <row r="7106" customFormat="false" ht="15" hidden="false" customHeight="false" outlineLevel="0" collapsed="false">
      <c r="B7106" s="53"/>
      <c r="I7106" s="53"/>
      <c r="U7106" s="31" t="n">
        <f aca="false">IF($B7106&lt;&gt;'設定（最初に1回）'!$C$4,N(U7105),IF(COUNTIFS(①今日の在庫を貼る!$B$6:$B$10005,$B7106,①今日の在庫を貼る!$I$6:$I$10005,$I7106)&gt;0,N(U7105),N(U7105)+1))</f>
        <v>2</v>
      </c>
    </row>
    <row r="7107" customFormat="false" ht="15" hidden="false" customHeight="false" outlineLevel="0" collapsed="false">
      <c r="B7107" s="53"/>
      <c r="I7107" s="53"/>
      <c r="U7107" s="31" t="n">
        <f aca="false">IF($B7107&lt;&gt;'設定（最初に1回）'!$C$4,N(U7106),IF(COUNTIFS(①今日の在庫を貼る!$B$6:$B$10005,$B7107,①今日の在庫を貼る!$I$6:$I$10005,$I7107)&gt;0,N(U7106),N(U7106)+1))</f>
        <v>2</v>
      </c>
    </row>
    <row r="7108" customFormat="false" ht="15" hidden="false" customHeight="false" outlineLevel="0" collapsed="false">
      <c r="B7108" s="53"/>
      <c r="I7108" s="53"/>
      <c r="U7108" s="31" t="n">
        <f aca="false">IF($B7108&lt;&gt;'設定（最初に1回）'!$C$4,N(U7107),IF(COUNTIFS(①今日の在庫を貼る!$B$6:$B$10005,$B7108,①今日の在庫を貼る!$I$6:$I$10005,$I7108)&gt;0,N(U7107),N(U7107)+1))</f>
        <v>2</v>
      </c>
    </row>
    <row r="7109" customFormat="false" ht="15" hidden="false" customHeight="false" outlineLevel="0" collapsed="false">
      <c r="B7109" s="53"/>
      <c r="I7109" s="53"/>
      <c r="U7109" s="31" t="n">
        <f aca="false">IF($B7109&lt;&gt;'設定（最初に1回）'!$C$4,N(U7108),IF(COUNTIFS(①今日の在庫を貼る!$B$6:$B$10005,$B7109,①今日の在庫を貼る!$I$6:$I$10005,$I7109)&gt;0,N(U7108),N(U7108)+1))</f>
        <v>2</v>
      </c>
    </row>
    <row r="7110" customFormat="false" ht="15" hidden="false" customHeight="false" outlineLevel="0" collapsed="false">
      <c r="B7110" s="53"/>
      <c r="I7110" s="53"/>
      <c r="U7110" s="31" t="n">
        <f aca="false">IF($B7110&lt;&gt;'設定（最初に1回）'!$C$4,N(U7109),IF(COUNTIFS(①今日の在庫を貼る!$B$6:$B$10005,$B7110,①今日の在庫を貼る!$I$6:$I$10005,$I7110)&gt;0,N(U7109),N(U7109)+1))</f>
        <v>2</v>
      </c>
    </row>
    <row r="7111" customFormat="false" ht="15" hidden="false" customHeight="false" outlineLevel="0" collapsed="false">
      <c r="B7111" s="53"/>
      <c r="I7111" s="53"/>
      <c r="U7111" s="31" t="n">
        <f aca="false">IF($B7111&lt;&gt;'設定（最初に1回）'!$C$4,N(U7110),IF(COUNTIFS(①今日の在庫を貼る!$B$6:$B$10005,$B7111,①今日の在庫を貼る!$I$6:$I$10005,$I7111)&gt;0,N(U7110),N(U7110)+1))</f>
        <v>2</v>
      </c>
    </row>
    <row r="7112" customFormat="false" ht="15" hidden="false" customHeight="false" outlineLevel="0" collapsed="false">
      <c r="B7112" s="53"/>
      <c r="I7112" s="53"/>
      <c r="U7112" s="31" t="n">
        <f aca="false">IF($B7112&lt;&gt;'設定（最初に1回）'!$C$4,N(U7111),IF(COUNTIFS(①今日の在庫を貼る!$B$6:$B$10005,$B7112,①今日の在庫を貼る!$I$6:$I$10005,$I7112)&gt;0,N(U7111),N(U7111)+1))</f>
        <v>2</v>
      </c>
    </row>
    <row r="7113" customFormat="false" ht="15" hidden="false" customHeight="false" outlineLevel="0" collapsed="false">
      <c r="B7113" s="53"/>
      <c r="I7113" s="53"/>
      <c r="U7113" s="31" t="n">
        <f aca="false">IF($B7113&lt;&gt;'設定（最初に1回）'!$C$4,N(U7112),IF(COUNTIFS(①今日の在庫を貼る!$B$6:$B$10005,$B7113,①今日の在庫を貼る!$I$6:$I$10005,$I7113)&gt;0,N(U7112),N(U7112)+1))</f>
        <v>2</v>
      </c>
    </row>
    <row r="7114" customFormat="false" ht="15" hidden="false" customHeight="false" outlineLevel="0" collapsed="false">
      <c r="B7114" s="53"/>
      <c r="I7114" s="53"/>
      <c r="U7114" s="31" t="n">
        <f aca="false">IF($B7114&lt;&gt;'設定（最初に1回）'!$C$4,N(U7113),IF(COUNTIFS(①今日の在庫を貼る!$B$6:$B$10005,$B7114,①今日の在庫を貼る!$I$6:$I$10005,$I7114)&gt;0,N(U7113),N(U7113)+1))</f>
        <v>2</v>
      </c>
    </row>
    <row r="7115" customFormat="false" ht="15" hidden="false" customHeight="false" outlineLevel="0" collapsed="false">
      <c r="B7115" s="53"/>
      <c r="I7115" s="53"/>
      <c r="U7115" s="31" t="n">
        <f aca="false">IF($B7115&lt;&gt;'設定（最初に1回）'!$C$4,N(U7114),IF(COUNTIFS(①今日の在庫を貼る!$B$6:$B$10005,$B7115,①今日の在庫を貼る!$I$6:$I$10005,$I7115)&gt;0,N(U7114),N(U7114)+1))</f>
        <v>2</v>
      </c>
    </row>
    <row r="7116" customFormat="false" ht="15" hidden="false" customHeight="false" outlineLevel="0" collapsed="false">
      <c r="B7116" s="53"/>
      <c r="I7116" s="53"/>
      <c r="U7116" s="31" t="n">
        <f aca="false">IF($B7116&lt;&gt;'設定（最初に1回）'!$C$4,N(U7115),IF(COUNTIFS(①今日の在庫を貼る!$B$6:$B$10005,$B7116,①今日の在庫を貼る!$I$6:$I$10005,$I7116)&gt;0,N(U7115),N(U7115)+1))</f>
        <v>2</v>
      </c>
    </row>
    <row r="7117" customFormat="false" ht="15" hidden="false" customHeight="false" outlineLevel="0" collapsed="false">
      <c r="B7117" s="53"/>
      <c r="I7117" s="53"/>
      <c r="U7117" s="31" t="n">
        <f aca="false">IF($B7117&lt;&gt;'設定（最初に1回）'!$C$4,N(U7116),IF(COUNTIFS(①今日の在庫を貼る!$B$6:$B$10005,$B7117,①今日の在庫を貼る!$I$6:$I$10005,$I7117)&gt;0,N(U7116),N(U7116)+1))</f>
        <v>2</v>
      </c>
    </row>
    <row r="7118" customFormat="false" ht="15" hidden="false" customHeight="false" outlineLevel="0" collapsed="false">
      <c r="B7118" s="53"/>
      <c r="I7118" s="53"/>
      <c r="U7118" s="31" t="n">
        <f aca="false">IF($B7118&lt;&gt;'設定（最初に1回）'!$C$4,N(U7117),IF(COUNTIFS(①今日の在庫を貼る!$B$6:$B$10005,$B7118,①今日の在庫を貼る!$I$6:$I$10005,$I7118)&gt;0,N(U7117),N(U7117)+1))</f>
        <v>2</v>
      </c>
    </row>
    <row r="7119" customFormat="false" ht="15" hidden="false" customHeight="false" outlineLevel="0" collapsed="false">
      <c r="B7119" s="53"/>
      <c r="I7119" s="53"/>
      <c r="U7119" s="31" t="n">
        <f aca="false">IF($B7119&lt;&gt;'設定（最初に1回）'!$C$4,N(U7118),IF(COUNTIFS(①今日の在庫を貼る!$B$6:$B$10005,$B7119,①今日の在庫を貼る!$I$6:$I$10005,$I7119)&gt;0,N(U7118),N(U7118)+1))</f>
        <v>2</v>
      </c>
    </row>
    <row r="7120" customFormat="false" ht="15" hidden="false" customHeight="false" outlineLevel="0" collapsed="false">
      <c r="B7120" s="53"/>
      <c r="I7120" s="53"/>
      <c r="U7120" s="31" t="n">
        <f aca="false">IF($B7120&lt;&gt;'設定（最初に1回）'!$C$4,N(U7119),IF(COUNTIFS(①今日の在庫を貼る!$B$6:$B$10005,$B7120,①今日の在庫を貼る!$I$6:$I$10005,$I7120)&gt;0,N(U7119),N(U7119)+1))</f>
        <v>2</v>
      </c>
    </row>
    <row r="7121" customFormat="false" ht="15" hidden="false" customHeight="false" outlineLevel="0" collapsed="false">
      <c r="B7121" s="53"/>
      <c r="I7121" s="53"/>
      <c r="U7121" s="31" t="n">
        <f aca="false">IF($B7121&lt;&gt;'設定（最初に1回）'!$C$4,N(U7120),IF(COUNTIFS(①今日の在庫を貼る!$B$6:$B$10005,$B7121,①今日の在庫を貼る!$I$6:$I$10005,$I7121)&gt;0,N(U7120),N(U7120)+1))</f>
        <v>2</v>
      </c>
    </row>
    <row r="7122" customFormat="false" ht="15" hidden="false" customHeight="false" outlineLevel="0" collapsed="false">
      <c r="B7122" s="53"/>
      <c r="I7122" s="53"/>
      <c r="U7122" s="31" t="n">
        <f aca="false">IF($B7122&lt;&gt;'設定（最初に1回）'!$C$4,N(U7121),IF(COUNTIFS(①今日の在庫を貼る!$B$6:$B$10005,$B7122,①今日の在庫を貼る!$I$6:$I$10005,$I7122)&gt;0,N(U7121),N(U7121)+1))</f>
        <v>2</v>
      </c>
    </row>
    <row r="7123" customFormat="false" ht="15" hidden="false" customHeight="false" outlineLevel="0" collapsed="false">
      <c r="B7123" s="53"/>
      <c r="I7123" s="53"/>
      <c r="U7123" s="31" t="n">
        <f aca="false">IF($B7123&lt;&gt;'設定（最初に1回）'!$C$4,N(U7122),IF(COUNTIFS(①今日の在庫を貼る!$B$6:$B$10005,$B7123,①今日の在庫を貼る!$I$6:$I$10005,$I7123)&gt;0,N(U7122),N(U7122)+1))</f>
        <v>2</v>
      </c>
    </row>
    <row r="7124" customFormat="false" ht="15" hidden="false" customHeight="false" outlineLevel="0" collapsed="false">
      <c r="B7124" s="53"/>
      <c r="I7124" s="53"/>
      <c r="U7124" s="31" t="n">
        <f aca="false">IF($B7124&lt;&gt;'設定（最初に1回）'!$C$4,N(U7123),IF(COUNTIFS(①今日の在庫を貼る!$B$6:$B$10005,$B7124,①今日の在庫を貼る!$I$6:$I$10005,$I7124)&gt;0,N(U7123),N(U7123)+1))</f>
        <v>2</v>
      </c>
    </row>
    <row r="7125" customFormat="false" ht="15" hidden="false" customHeight="false" outlineLevel="0" collapsed="false">
      <c r="B7125" s="53"/>
      <c r="I7125" s="53"/>
      <c r="U7125" s="31" t="n">
        <f aca="false">IF($B7125&lt;&gt;'設定（最初に1回）'!$C$4,N(U7124),IF(COUNTIFS(①今日の在庫を貼る!$B$6:$B$10005,$B7125,①今日の在庫を貼る!$I$6:$I$10005,$I7125)&gt;0,N(U7124),N(U7124)+1))</f>
        <v>2</v>
      </c>
    </row>
    <row r="7126" customFormat="false" ht="15" hidden="false" customHeight="false" outlineLevel="0" collapsed="false">
      <c r="B7126" s="53"/>
      <c r="I7126" s="53"/>
      <c r="U7126" s="31" t="n">
        <f aca="false">IF($B7126&lt;&gt;'設定（最初に1回）'!$C$4,N(U7125),IF(COUNTIFS(①今日の在庫を貼る!$B$6:$B$10005,$B7126,①今日の在庫を貼る!$I$6:$I$10005,$I7126)&gt;0,N(U7125),N(U7125)+1))</f>
        <v>2</v>
      </c>
    </row>
    <row r="7127" customFormat="false" ht="15" hidden="false" customHeight="false" outlineLevel="0" collapsed="false">
      <c r="B7127" s="53"/>
      <c r="I7127" s="53"/>
      <c r="U7127" s="31" t="n">
        <f aca="false">IF($B7127&lt;&gt;'設定（最初に1回）'!$C$4,N(U7126),IF(COUNTIFS(①今日の在庫を貼る!$B$6:$B$10005,$B7127,①今日の在庫を貼る!$I$6:$I$10005,$I7127)&gt;0,N(U7126),N(U7126)+1))</f>
        <v>2</v>
      </c>
    </row>
    <row r="7128" customFormat="false" ht="15" hidden="false" customHeight="false" outlineLevel="0" collapsed="false">
      <c r="B7128" s="53"/>
      <c r="I7128" s="53"/>
      <c r="U7128" s="31" t="n">
        <f aca="false">IF($B7128&lt;&gt;'設定（最初に1回）'!$C$4,N(U7127),IF(COUNTIFS(①今日の在庫を貼る!$B$6:$B$10005,$B7128,①今日の在庫を貼る!$I$6:$I$10005,$I7128)&gt;0,N(U7127),N(U7127)+1))</f>
        <v>2</v>
      </c>
    </row>
    <row r="7129" customFormat="false" ht="15" hidden="false" customHeight="false" outlineLevel="0" collapsed="false">
      <c r="B7129" s="53"/>
      <c r="I7129" s="53"/>
      <c r="U7129" s="31" t="n">
        <f aca="false">IF($B7129&lt;&gt;'設定（最初に1回）'!$C$4,N(U7128),IF(COUNTIFS(①今日の在庫を貼る!$B$6:$B$10005,$B7129,①今日の在庫を貼る!$I$6:$I$10005,$I7129)&gt;0,N(U7128),N(U7128)+1))</f>
        <v>2</v>
      </c>
    </row>
    <row r="7130" customFormat="false" ht="15" hidden="false" customHeight="false" outlineLevel="0" collapsed="false">
      <c r="B7130" s="53"/>
      <c r="I7130" s="53"/>
      <c r="U7130" s="31" t="n">
        <f aca="false">IF($B7130&lt;&gt;'設定（最初に1回）'!$C$4,N(U7129),IF(COUNTIFS(①今日の在庫を貼る!$B$6:$B$10005,$B7130,①今日の在庫を貼る!$I$6:$I$10005,$I7130)&gt;0,N(U7129),N(U7129)+1))</f>
        <v>2</v>
      </c>
    </row>
    <row r="7131" customFormat="false" ht="15" hidden="false" customHeight="false" outlineLevel="0" collapsed="false">
      <c r="B7131" s="53"/>
      <c r="I7131" s="53"/>
      <c r="U7131" s="31" t="n">
        <f aca="false">IF($B7131&lt;&gt;'設定（最初に1回）'!$C$4,N(U7130),IF(COUNTIFS(①今日の在庫を貼る!$B$6:$B$10005,$B7131,①今日の在庫を貼る!$I$6:$I$10005,$I7131)&gt;0,N(U7130),N(U7130)+1))</f>
        <v>2</v>
      </c>
    </row>
    <row r="7132" customFormat="false" ht="15" hidden="false" customHeight="false" outlineLevel="0" collapsed="false">
      <c r="B7132" s="53"/>
      <c r="I7132" s="53"/>
      <c r="U7132" s="31" t="n">
        <f aca="false">IF($B7132&lt;&gt;'設定（最初に1回）'!$C$4,N(U7131),IF(COUNTIFS(①今日の在庫を貼る!$B$6:$B$10005,$B7132,①今日の在庫を貼る!$I$6:$I$10005,$I7132)&gt;0,N(U7131),N(U7131)+1))</f>
        <v>2</v>
      </c>
    </row>
    <row r="7133" customFormat="false" ht="15" hidden="false" customHeight="false" outlineLevel="0" collapsed="false">
      <c r="B7133" s="53"/>
      <c r="I7133" s="53"/>
      <c r="U7133" s="31" t="n">
        <f aca="false">IF($B7133&lt;&gt;'設定（最初に1回）'!$C$4,N(U7132),IF(COUNTIFS(①今日の在庫を貼る!$B$6:$B$10005,$B7133,①今日の在庫を貼る!$I$6:$I$10005,$I7133)&gt;0,N(U7132),N(U7132)+1))</f>
        <v>2</v>
      </c>
    </row>
    <row r="7134" customFormat="false" ht="15" hidden="false" customHeight="false" outlineLevel="0" collapsed="false">
      <c r="B7134" s="53"/>
      <c r="I7134" s="53"/>
      <c r="U7134" s="31" t="n">
        <f aca="false">IF($B7134&lt;&gt;'設定（最初に1回）'!$C$4,N(U7133),IF(COUNTIFS(①今日の在庫を貼る!$B$6:$B$10005,$B7134,①今日の在庫を貼る!$I$6:$I$10005,$I7134)&gt;0,N(U7133),N(U7133)+1))</f>
        <v>2</v>
      </c>
    </row>
    <row r="7135" customFormat="false" ht="15" hidden="false" customHeight="false" outlineLevel="0" collapsed="false">
      <c r="B7135" s="53"/>
      <c r="I7135" s="53"/>
      <c r="U7135" s="31" t="n">
        <f aca="false">IF($B7135&lt;&gt;'設定（最初に1回）'!$C$4,N(U7134),IF(COUNTIFS(①今日の在庫を貼る!$B$6:$B$10005,$B7135,①今日の在庫を貼る!$I$6:$I$10005,$I7135)&gt;0,N(U7134),N(U7134)+1))</f>
        <v>2</v>
      </c>
    </row>
    <row r="7136" customFormat="false" ht="15" hidden="false" customHeight="false" outlineLevel="0" collapsed="false">
      <c r="B7136" s="53"/>
      <c r="I7136" s="53"/>
      <c r="U7136" s="31" t="n">
        <f aca="false">IF($B7136&lt;&gt;'設定（最初に1回）'!$C$4,N(U7135),IF(COUNTIFS(①今日の在庫を貼る!$B$6:$B$10005,$B7136,①今日の在庫を貼る!$I$6:$I$10005,$I7136)&gt;0,N(U7135),N(U7135)+1))</f>
        <v>2</v>
      </c>
    </row>
    <row r="7137" customFormat="false" ht="15" hidden="false" customHeight="false" outlineLevel="0" collapsed="false">
      <c r="B7137" s="53"/>
      <c r="I7137" s="53"/>
      <c r="U7137" s="31" t="n">
        <f aca="false">IF($B7137&lt;&gt;'設定（最初に1回）'!$C$4,N(U7136),IF(COUNTIFS(①今日の在庫を貼る!$B$6:$B$10005,$B7137,①今日の在庫を貼る!$I$6:$I$10005,$I7137)&gt;0,N(U7136),N(U7136)+1))</f>
        <v>2</v>
      </c>
    </row>
    <row r="7138" customFormat="false" ht="15" hidden="false" customHeight="false" outlineLevel="0" collapsed="false">
      <c r="B7138" s="53"/>
      <c r="I7138" s="53"/>
      <c r="U7138" s="31" t="n">
        <f aca="false">IF($B7138&lt;&gt;'設定（最初に1回）'!$C$4,N(U7137),IF(COUNTIFS(①今日の在庫を貼る!$B$6:$B$10005,$B7138,①今日の在庫を貼る!$I$6:$I$10005,$I7138)&gt;0,N(U7137),N(U7137)+1))</f>
        <v>2</v>
      </c>
    </row>
    <row r="7139" customFormat="false" ht="15" hidden="false" customHeight="false" outlineLevel="0" collapsed="false">
      <c r="B7139" s="53"/>
      <c r="I7139" s="53"/>
      <c r="U7139" s="31" t="n">
        <f aca="false">IF($B7139&lt;&gt;'設定（最初に1回）'!$C$4,N(U7138),IF(COUNTIFS(①今日の在庫を貼る!$B$6:$B$10005,$B7139,①今日の在庫を貼る!$I$6:$I$10005,$I7139)&gt;0,N(U7138),N(U7138)+1))</f>
        <v>2</v>
      </c>
    </row>
    <row r="7140" customFormat="false" ht="15" hidden="false" customHeight="false" outlineLevel="0" collapsed="false">
      <c r="B7140" s="53"/>
      <c r="I7140" s="53"/>
      <c r="U7140" s="31" t="n">
        <f aca="false">IF($B7140&lt;&gt;'設定（最初に1回）'!$C$4,N(U7139),IF(COUNTIFS(①今日の在庫を貼る!$B$6:$B$10005,$B7140,①今日の在庫を貼る!$I$6:$I$10005,$I7140)&gt;0,N(U7139),N(U7139)+1))</f>
        <v>2</v>
      </c>
    </row>
    <row r="7141" customFormat="false" ht="15" hidden="false" customHeight="false" outlineLevel="0" collapsed="false">
      <c r="B7141" s="53"/>
      <c r="I7141" s="53"/>
      <c r="U7141" s="31" t="n">
        <f aca="false">IF($B7141&lt;&gt;'設定（最初に1回）'!$C$4,N(U7140),IF(COUNTIFS(①今日の在庫を貼る!$B$6:$B$10005,$B7141,①今日の在庫を貼る!$I$6:$I$10005,$I7141)&gt;0,N(U7140),N(U7140)+1))</f>
        <v>2</v>
      </c>
    </row>
    <row r="7142" customFormat="false" ht="15" hidden="false" customHeight="false" outlineLevel="0" collapsed="false">
      <c r="B7142" s="53"/>
      <c r="I7142" s="53"/>
      <c r="U7142" s="31" t="n">
        <f aca="false">IF($B7142&lt;&gt;'設定（最初に1回）'!$C$4,N(U7141),IF(COUNTIFS(①今日の在庫を貼る!$B$6:$B$10005,$B7142,①今日の在庫を貼る!$I$6:$I$10005,$I7142)&gt;0,N(U7141),N(U7141)+1))</f>
        <v>2</v>
      </c>
    </row>
    <row r="7143" customFormat="false" ht="15" hidden="false" customHeight="false" outlineLevel="0" collapsed="false">
      <c r="B7143" s="53"/>
      <c r="I7143" s="53"/>
      <c r="U7143" s="31" t="n">
        <f aca="false">IF($B7143&lt;&gt;'設定（最初に1回）'!$C$4,N(U7142),IF(COUNTIFS(①今日の在庫を貼る!$B$6:$B$10005,$B7143,①今日の在庫を貼る!$I$6:$I$10005,$I7143)&gt;0,N(U7142),N(U7142)+1))</f>
        <v>2</v>
      </c>
    </row>
    <row r="7144" customFormat="false" ht="15" hidden="false" customHeight="false" outlineLevel="0" collapsed="false">
      <c r="B7144" s="53"/>
      <c r="I7144" s="53"/>
      <c r="U7144" s="31" t="n">
        <f aca="false">IF($B7144&lt;&gt;'設定（最初に1回）'!$C$4,N(U7143),IF(COUNTIFS(①今日の在庫を貼る!$B$6:$B$10005,$B7144,①今日の在庫を貼る!$I$6:$I$10005,$I7144)&gt;0,N(U7143),N(U7143)+1))</f>
        <v>2</v>
      </c>
    </row>
    <row r="7145" customFormat="false" ht="15" hidden="false" customHeight="false" outlineLevel="0" collapsed="false">
      <c r="B7145" s="53"/>
      <c r="I7145" s="53"/>
      <c r="U7145" s="31" t="n">
        <f aca="false">IF($B7145&lt;&gt;'設定（最初に1回）'!$C$4,N(U7144),IF(COUNTIFS(①今日の在庫を貼る!$B$6:$B$10005,$B7145,①今日の在庫を貼る!$I$6:$I$10005,$I7145)&gt;0,N(U7144),N(U7144)+1))</f>
        <v>2</v>
      </c>
    </row>
    <row r="7146" customFormat="false" ht="15" hidden="false" customHeight="false" outlineLevel="0" collapsed="false">
      <c r="B7146" s="53"/>
      <c r="I7146" s="53"/>
      <c r="U7146" s="31" t="n">
        <f aca="false">IF($B7146&lt;&gt;'設定（最初に1回）'!$C$4,N(U7145),IF(COUNTIFS(①今日の在庫を貼る!$B$6:$B$10005,$B7146,①今日の在庫を貼る!$I$6:$I$10005,$I7146)&gt;0,N(U7145),N(U7145)+1))</f>
        <v>2</v>
      </c>
    </row>
    <row r="7147" customFormat="false" ht="15" hidden="false" customHeight="false" outlineLevel="0" collapsed="false">
      <c r="B7147" s="53"/>
      <c r="I7147" s="53"/>
      <c r="U7147" s="31" t="n">
        <f aca="false">IF($B7147&lt;&gt;'設定（最初に1回）'!$C$4,N(U7146),IF(COUNTIFS(①今日の在庫を貼る!$B$6:$B$10005,$B7147,①今日の在庫を貼る!$I$6:$I$10005,$I7147)&gt;0,N(U7146),N(U7146)+1))</f>
        <v>2</v>
      </c>
    </row>
    <row r="7148" customFormat="false" ht="15" hidden="false" customHeight="false" outlineLevel="0" collapsed="false">
      <c r="B7148" s="53"/>
      <c r="I7148" s="53"/>
      <c r="U7148" s="31" t="n">
        <f aca="false">IF($B7148&lt;&gt;'設定（最初に1回）'!$C$4,N(U7147),IF(COUNTIFS(①今日の在庫を貼る!$B$6:$B$10005,$B7148,①今日の在庫を貼る!$I$6:$I$10005,$I7148)&gt;0,N(U7147),N(U7147)+1))</f>
        <v>2</v>
      </c>
    </row>
    <row r="7149" customFormat="false" ht="15" hidden="false" customHeight="false" outlineLevel="0" collapsed="false">
      <c r="B7149" s="53"/>
      <c r="I7149" s="53"/>
      <c r="U7149" s="31" t="n">
        <f aca="false">IF($B7149&lt;&gt;'設定（最初に1回）'!$C$4,N(U7148),IF(COUNTIFS(①今日の在庫を貼る!$B$6:$B$10005,$B7149,①今日の在庫を貼る!$I$6:$I$10005,$I7149)&gt;0,N(U7148),N(U7148)+1))</f>
        <v>2</v>
      </c>
    </row>
    <row r="7150" customFormat="false" ht="15" hidden="false" customHeight="false" outlineLevel="0" collapsed="false">
      <c r="B7150" s="53"/>
      <c r="I7150" s="53"/>
      <c r="U7150" s="31" t="n">
        <f aca="false">IF($B7150&lt;&gt;'設定（最初に1回）'!$C$4,N(U7149),IF(COUNTIFS(①今日の在庫を貼る!$B$6:$B$10005,$B7150,①今日の在庫を貼る!$I$6:$I$10005,$I7150)&gt;0,N(U7149),N(U7149)+1))</f>
        <v>2</v>
      </c>
    </row>
    <row r="7151" customFormat="false" ht="15" hidden="false" customHeight="false" outlineLevel="0" collapsed="false">
      <c r="B7151" s="53"/>
      <c r="I7151" s="53"/>
      <c r="U7151" s="31" t="n">
        <f aca="false">IF($B7151&lt;&gt;'設定（最初に1回）'!$C$4,N(U7150),IF(COUNTIFS(①今日の在庫を貼る!$B$6:$B$10005,$B7151,①今日の在庫を貼る!$I$6:$I$10005,$I7151)&gt;0,N(U7150),N(U7150)+1))</f>
        <v>2</v>
      </c>
    </row>
    <row r="7152" customFormat="false" ht="15" hidden="false" customHeight="false" outlineLevel="0" collapsed="false">
      <c r="B7152" s="53"/>
      <c r="I7152" s="53"/>
      <c r="U7152" s="31" t="n">
        <f aca="false">IF($B7152&lt;&gt;'設定（最初に1回）'!$C$4,N(U7151),IF(COUNTIFS(①今日の在庫を貼る!$B$6:$B$10005,$B7152,①今日の在庫を貼る!$I$6:$I$10005,$I7152)&gt;0,N(U7151),N(U7151)+1))</f>
        <v>2</v>
      </c>
    </row>
    <row r="7153" customFormat="false" ht="15" hidden="false" customHeight="false" outlineLevel="0" collapsed="false">
      <c r="B7153" s="53"/>
      <c r="I7153" s="53"/>
      <c r="U7153" s="31" t="n">
        <f aca="false">IF($B7153&lt;&gt;'設定（最初に1回）'!$C$4,N(U7152),IF(COUNTIFS(①今日の在庫を貼る!$B$6:$B$10005,$B7153,①今日の在庫を貼る!$I$6:$I$10005,$I7153)&gt;0,N(U7152),N(U7152)+1))</f>
        <v>2</v>
      </c>
    </row>
    <row r="7154" customFormat="false" ht="15" hidden="false" customHeight="false" outlineLevel="0" collapsed="false">
      <c r="B7154" s="53"/>
      <c r="I7154" s="53"/>
      <c r="U7154" s="31" t="n">
        <f aca="false">IF($B7154&lt;&gt;'設定（最初に1回）'!$C$4,N(U7153),IF(COUNTIFS(①今日の在庫を貼る!$B$6:$B$10005,$B7154,①今日の在庫を貼る!$I$6:$I$10005,$I7154)&gt;0,N(U7153),N(U7153)+1))</f>
        <v>2</v>
      </c>
    </row>
    <row r="7155" customFormat="false" ht="15" hidden="false" customHeight="false" outlineLevel="0" collapsed="false">
      <c r="B7155" s="53"/>
      <c r="I7155" s="53"/>
      <c r="U7155" s="31" t="n">
        <f aca="false">IF($B7155&lt;&gt;'設定（最初に1回）'!$C$4,N(U7154),IF(COUNTIFS(①今日の在庫を貼る!$B$6:$B$10005,$B7155,①今日の在庫を貼る!$I$6:$I$10005,$I7155)&gt;0,N(U7154),N(U7154)+1))</f>
        <v>2</v>
      </c>
    </row>
    <row r="7156" customFormat="false" ht="15" hidden="false" customHeight="false" outlineLevel="0" collapsed="false">
      <c r="B7156" s="53"/>
      <c r="I7156" s="53"/>
      <c r="U7156" s="31" t="n">
        <f aca="false">IF($B7156&lt;&gt;'設定（最初に1回）'!$C$4,N(U7155),IF(COUNTIFS(①今日の在庫を貼る!$B$6:$B$10005,$B7156,①今日の在庫を貼る!$I$6:$I$10005,$I7156)&gt;0,N(U7155),N(U7155)+1))</f>
        <v>2</v>
      </c>
    </row>
    <row r="7157" customFormat="false" ht="15" hidden="false" customHeight="false" outlineLevel="0" collapsed="false">
      <c r="B7157" s="53"/>
      <c r="I7157" s="53"/>
      <c r="U7157" s="31" t="n">
        <f aca="false">IF($B7157&lt;&gt;'設定（最初に1回）'!$C$4,N(U7156),IF(COUNTIFS(①今日の在庫を貼る!$B$6:$B$10005,$B7157,①今日の在庫を貼る!$I$6:$I$10005,$I7157)&gt;0,N(U7156),N(U7156)+1))</f>
        <v>2</v>
      </c>
    </row>
    <row r="7158" customFormat="false" ht="15" hidden="false" customHeight="false" outlineLevel="0" collapsed="false">
      <c r="B7158" s="53"/>
      <c r="I7158" s="53"/>
      <c r="U7158" s="31" t="n">
        <f aca="false">IF($B7158&lt;&gt;'設定（最初に1回）'!$C$4,N(U7157),IF(COUNTIFS(①今日の在庫を貼る!$B$6:$B$10005,$B7158,①今日の在庫を貼る!$I$6:$I$10005,$I7158)&gt;0,N(U7157),N(U7157)+1))</f>
        <v>2</v>
      </c>
    </row>
    <row r="7159" customFormat="false" ht="15" hidden="false" customHeight="false" outlineLevel="0" collapsed="false">
      <c r="B7159" s="53"/>
      <c r="I7159" s="53"/>
      <c r="U7159" s="31" t="n">
        <f aca="false">IF($B7159&lt;&gt;'設定（最初に1回）'!$C$4,N(U7158),IF(COUNTIFS(①今日の在庫を貼る!$B$6:$B$10005,$B7159,①今日の在庫を貼る!$I$6:$I$10005,$I7159)&gt;0,N(U7158),N(U7158)+1))</f>
        <v>2</v>
      </c>
    </row>
    <row r="7160" customFormat="false" ht="15" hidden="false" customHeight="false" outlineLevel="0" collapsed="false">
      <c r="B7160" s="53"/>
      <c r="I7160" s="53"/>
      <c r="U7160" s="31" t="n">
        <f aca="false">IF($B7160&lt;&gt;'設定（最初に1回）'!$C$4,N(U7159),IF(COUNTIFS(①今日の在庫を貼る!$B$6:$B$10005,$B7160,①今日の在庫を貼る!$I$6:$I$10005,$I7160)&gt;0,N(U7159),N(U7159)+1))</f>
        <v>2</v>
      </c>
    </row>
    <row r="7161" customFormat="false" ht="15" hidden="false" customHeight="false" outlineLevel="0" collapsed="false">
      <c r="B7161" s="53"/>
      <c r="I7161" s="53"/>
      <c r="U7161" s="31" t="n">
        <f aca="false">IF($B7161&lt;&gt;'設定（最初に1回）'!$C$4,N(U7160),IF(COUNTIFS(①今日の在庫を貼る!$B$6:$B$10005,$B7161,①今日の在庫を貼る!$I$6:$I$10005,$I7161)&gt;0,N(U7160),N(U7160)+1))</f>
        <v>2</v>
      </c>
    </row>
    <row r="7162" customFormat="false" ht="15" hidden="false" customHeight="false" outlineLevel="0" collapsed="false">
      <c r="B7162" s="53"/>
      <c r="I7162" s="53"/>
      <c r="U7162" s="31" t="n">
        <f aca="false">IF($B7162&lt;&gt;'設定（最初に1回）'!$C$4,N(U7161),IF(COUNTIFS(①今日の在庫を貼る!$B$6:$B$10005,$B7162,①今日の在庫を貼る!$I$6:$I$10005,$I7162)&gt;0,N(U7161),N(U7161)+1))</f>
        <v>2</v>
      </c>
    </row>
    <row r="7163" customFormat="false" ht="15" hidden="false" customHeight="false" outlineLevel="0" collapsed="false">
      <c r="B7163" s="53"/>
      <c r="I7163" s="53"/>
      <c r="U7163" s="31" t="n">
        <f aca="false">IF($B7163&lt;&gt;'設定（最初に1回）'!$C$4,N(U7162),IF(COUNTIFS(①今日の在庫を貼る!$B$6:$B$10005,$B7163,①今日の在庫を貼る!$I$6:$I$10005,$I7163)&gt;0,N(U7162),N(U7162)+1))</f>
        <v>2</v>
      </c>
    </row>
    <row r="7164" customFormat="false" ht="15" hidden="false" customHeight="false" outlineLevel="0" collapsed="false">
      <c r="B7164" s="53"/>
      <c r="I7164" s="53"/>
      <c r="U7164" s="31" t="n">
        <f aca="false">IF($B7164&lt;&gt;'設定（最初に1回）'!$C$4,N(U7163),IF(COUNTIFS(①今日の在庫を貼る!$B$6:$B$10005,$B7164,①今日の在庫を貼る!$I$6:$I$10005,$I7164)&gt;0,N(U7163),N(U7163)+1))</f>
        <v>2</v>
      </c>
    </row>
    <row r="7165" customFormat="false" ht="15" hidden="false" customHeight="false" outlineLevel="0" collapsed="false">
      <c r="B7165" s="53"/>
      <c r="I7165" s="53"/>
      <c r="U7165" s="31" t="n">
        <f aca="false">IF($B7165&lt;&gt;'設定（最初に1回）'!$C$4,N(U7164),IF(COUNTIFS(①今日の在庫を貼る!$B$6:$B$10005,$B7165,①今日の在庫を貼る!$I$6:$I$10005,$I7165)&gt;0,N(U7164),N(U7164)+1))</f>
        <v>2</v>
      </c>
    </row>
    <row r="7166" customFormat="false" ht="15" hidden="false" customHeight="false" outlineLevel="0" collapsed="false">
      <c r="B7166" s="53"/>
      <c r="I7166" s="53"/>
      <c r="U7166" s="31" t="n">
        <f aca="false">IF($B7166&lt;&gt;'設定（最初に1回）'!$C$4,N(U7165),IF(COUNTIFS(①今日の在庫を貼る!$B$6:$B$10005,$B7166,①今日の在庫を貼る!$I$6:$I$10005,$I7166)&gt;0,N(U7165),N(U7165)+1))</f>
        <v>2</v>
      </c>
    </row>
    <row r="7167" customFormat="false" ht="15" hidden="false" customHeight="false" outlineLevel="0" collapsed="false">
      <c r="B7167" s="53"/>
      <c r="I7167" s="53"/>
      <c r="U7167" s="31" t="n">
        <f aca="false">IF($B7167&lt;&gt;'設定（最初に1回）'!$C$4,N(U7166),IF(COUNTIFS(①今日の在庫を貼る!$B$6:$B$10005,$B7167,①今日の在庫を貼る!$I$6:$I$10005,$I7167)&gt;0,N(U7166),N(U7166)+1))</f>
        <v>2</v>
      </c>
    </row>
    <row r="7168" customFormat="false" ht="15" hidden="false" customHeight="false" outlineLevel="0" collapsed="false">
      <c r="B7168" s="53"/>
      <c r="I7168" s="53"/>
      <c r="U7168" s="31" t="n">
        <f aca="false">IF($B7168&lt;&gt;'設定（最初に1回）'!$C$4,N(U7167),IF(COUNTIFS(①今日の在庫を貼る!$B$6:$B$10005,$B7168,①今日の在庫を貼る!$I$6:$I$10005,$I7168)&gt;0,N(U7167),N(U7167)+1))</f>
        <v>2</v>
      </c>
    </row>
    <row r="7169" customFormat="false" ht="15" hidden="false" customHeight="false" outlineLevel="0" collapsed="false">
      <c r="B7169" s="53"/>
      <c r="I7169" s="53"/>
      <c r="U7169" s="31" t="n">
        <f aca="false">IF($B7169&lt;&gt;'設定（最初に1回）'!$C$4,N(U7168),IF(COUNTIFS(①今日の在庫を貼る!$B$6:$B$10005,$B7169,①今日の在庫を貼る!$I$6:$I$10005,$I7169)&gt;0,N(U7168),N(U7168)+1))</f>
        <v>2</v>
      </c>
    </row>
    <row r="7170" customFormat="false" ht="15" hidden="false" customHeight="false" outlineLevel="0" collapsed="false">
      <c r="B7170" s="53"/>
      <c r="I7170" s="53"/>
      <c r="U7170" s="31" t="n">
        <f aca="false">IF($B7170&lt;&gt;'設定（最初に1回）'!$C$4,N(U7169),IF(COUNTIFS(①今日の在庫を貼る!$B$6:$B$10005,$B7170,①今日の在庫を貼る!$I$6:$I$10005,$I7170)&gt;0,N(U7169),N(U7169)+1))</f>
        <v>2</v>
      </c>
    </row>
    <row r="7171" customFormat="false" ht="15" hidden="false" customHeight="false" outlineLevel="0" collapsed="false">
      <c r="B7171" s="53"/>
      <c r="I7171" s="53"/>
      <c r="U7171" s="31" t="n">
        <f aca="false">IF($B7171&lt;&gt;'設定（最初に1回）'!$C$4,N(U7170),IF(COUNTIFS(①今日の在庫を貼る!$B$6:$B$10005,$B7171,①今日の在庫を貼る!$I$6:$I$10005,$I7171)&gt;0,N(U7170),N(U7170)+1))</f>
        <v>2</v>
      </c>
    </row>
    <row r="7172" customFormat="false" ht="15" hidden="false" customHeight="false" outlineLevel="0" collapsed="false">
      <c r="B7172" s="53"/>
      <c r="I7172" s="53"/>
      <c r="U7172" s="31" t="n">
        <f aca="false">IF($B7172&lt;&gt;'設定（最初に1回）'!$C$4,N(U7171),IF(COUNTIFS(①今日の在庫を貼る!$B$6:$B$10005,$B7172,①今日の在庫を貼る!$I$6:$I$10005,$I7172)&gt;0,N(U7171),N(U7171)+1))</f>
        <v>2</v>
      </c>
    </row>
    <row r="7173" customFormat="false" ht="15" hidden="false" customHeight="false" outlineLevel="0" collapsed="false">
      <c r="B7173" s="53"/>
      <c r="I7173" s="53"/>
      <c r="U7173" s="31" t="n">
        <f aca="false">IF($B7173&lt;&gt;'設定（最初に1回）'!$C$4,N(U7172),IF(COUNTIFS(①今日の在庫を貼る!$B$6:$B$10005,$B7173,①今日の在庫を貼る!$I$6:$I$10005,$I7173)&gt;0,N(U7172),N(U7172)+1))</f>
        <v>2</v>
      </c>
    </row>
    <row r="7174" customFormat="false" ht="15" hidden="false" customHeight="false" outlineLevel="0" collapsed="false">
      <c r="B7174" s="53"/>
      <c r="I7174" s="53"/>
      <c r="U7174" s="31" t="n">
        <f aca="false">IF($B7174&lt;&gt;'設定（最初に1回）'!$C$4,N(U7173),IF(COUNTIFS(①今日の在庫を貼る!$B$6:$B$10005,$B7174,①今日の在庫を貼る!$I$6:$I$10005,$I7174)&gt;0,N(U7173),N(U7173)+1))</f>
        <v>2</v>
      </c>
    </row>
    <row r="7175" customFormat="false" ht="15" hidden="false" customHeight="false" outlineLevel="0" collapsed="false">
      <c r="B7175" s="53"/>
      <c r="I7175" s="53"/>
      <c r="U7175" s="31" t="n">
        <f aca="false">IF($B7175&lt;&gt;'設定（最初に1回）'!$C$4,N(U7174),IF(COUNTIFS(①今日の在庫を貼る!$B$6:$B$10005,$B7175,①今日の在庫を貼る!$I$6:$I$10005,$I7175)&gt;0,N(U7174),N(U7174)+1))</f>
        <v>2</v>
      </c>
    </row>
    <row r="7176" customFormat="false" ht="15" hidden="false" customHeight="false" outlineLevel="0" collapsed="false">
      <c r="B7176" s="53"/>
      <c r="I7176" s="53"/>
      <c r="U7176" s="31" t="n">
        <f aca="false">IF($B7176&lt;&gt;'設定（最初に1回）'!$C$4,N(U7175),IF(COUNTIFS(①今日の在庫を貼る!$B$6:$B$10005,$B7176,①今日の在庫を貼る!$I$6:$I$10005,$I7176)&gt;0,N(U7175),N(U7175)+1))</f>
        <v>2</v>
      </c>
    </row>
    <row r="7177" customFormat="false" ht="15" hidden="false" customHeight="false" outlineLevel="0" collapsed="false">
      <c r="B7177" s="53"/>
      <c r="I7177" s="53"/>
      <c r="U7177" s="31" t="n">
        <f aca="false">IF($B7177&lt;&gt;'設定（最初に1回）'!$C$4,N(U7176),IF(COUNTIFS(①今日の在庫を貼る!$B$6:$B$10005,$B7177,①今日の在庫を貼る!$I$6:$I$10005,$I7177)&gt;0,N(U7176),N(U7176)+1))</f>
        <v>2</v>
      </c>
    </row>
    <row r="7178" customFormat="false" ht="15" hidden="false" customHeight="false" outlineLevel="0" collapsed="false">
      <c r="B7178" s="53"/>
      <c r="I7178" s="53"/>
      <c r="U7178" s="31" t="n">
        <f aca="false">IF($B7178&lt;&gt;'設定（最初に1回）'!$C$4,N(U7177),IF(COUNTIFS(①今日の在庫を貼る!$B$6:$B$10005,$B7178,①今日の在庫を貼る!$I$6:$I$10005,$I7178)&gt;0,N(U7177),N(U7177)+1))</f>
        <v>2</v>
      </c>
    </row>
    <row r="7179" customFormat="false" ht="15" hidden="false" customHeight="false" outlineLevel="0" collapsed="false">
      <c r="B7179" s="53"/>
      <c r="I7179" s="53"/>
      <c r="U7179" s="31" t="n">
        <f aca="false">IF($B7179&lt;&gt;'設定（最初に1回）'!$C$4,N(U7178),IF(COUNTIFS(①今日の在庫を貼る!$B$6:$B$10005,$B7179,①今日の在庫を貼る!$I$6:$I$10005,$I7179)&gt;0,N(U7178),N(U7178)+1))</f>
        <v>2</v>
      </c>
    </row>
    <row r="7180" customFormat="false" ht="15" hidden="false" customHeight="false" outlineLevel="0" collapsed="false">
      <c r="B7180" s="53"/>
      <c r="I7180" s="53"/>
      <c r="U7180" s="31" t="n">
        <f aca="false">IF($B7180&lt;&gt;'設定（最初に1回）'!$C$4,N(U7179),IF(COUNTIFS(①今日の在庫を貼る!$B$6:$B$10005,$B7180,①今日の在庫を貼る!$I$6:$I$10005,$I7180)&gt;0,N(U7179),N(U7179)+1))</f>
        <v>2</v>
      </c>
    </row>
    <row r="7181" customFormat="false" ht="15" hidden="false" customHeight="false" outlineLevel="0" collapsed="false">
      <c r="B7181" s="53"/>
      <c r="I7181" s="53"/>
      <c r="U7181" s="31" t="n">
        <f aca="false">IF($B7181&lt;&gt;'設定（最初に1回）'!$C$4,N(U7180),IF(COUNTIFS(①今日の在庫を貼る!$B$6:$B$10005,$B7181,①今日の在庫を貼る!$I$6:$I$10005,$I7181)&gt;0,N(U7180),N(U7180)+1))</f>
        <v>2</v>
      </c>
    </row>
    <row r="7182" customFormat="false" ht="15" hidden="false" customHeight="false" outlineLevel="0" collapsed="false">
      <c r="B7182" s="53"/>
      <c r="I7182" s="53"/>
      <c r="U7182" s="31" t="n">
        <f aca="false">IF($B7182&lt;&gt;'設定（最初に1回）'!$C$4,N(U7181),IF(COUNTIFS(①今日の在庫を貼る!$B$6:$B$10005,$B7182,①今日の在庫を貼る!$I$6:$I$10005,$I7182)&gt;0,N(U7181),N(U7181)+1))</f>
        <v>2</v>
      </c>
    </row>
    <row r="7183" customFormat="false" ht="15" hidden="false" customHeight="false" outlineLevel="0" collapsed="false">
      <c r="B7183" s="53"/>
      <c r="I7183" s="53"/>
      <c r="U7183" s="31" t="n">
        <f aca="false">IF($B7183&lt;&gt;'設定（最初に1回）'!$C$4,N(U7182),IF(COUNTIFS(①今日の在庫を貼る!$B$6:$B$10005,$B7183,①今日の在庫を貼る!$I$6:$I$10005,$I7183)&gt;0,N(U7182),N(U7182)+1))</f>
        <v>2</v>
      </c>
    </row>
    <row r="7184" customFormat="false" ht="15" hidden="false" customHeight="false" outlineLevel="0" collapsed="false">
      <c r="B7184" s="53"/>
      <c r="I7184" s="53"/>
      <c r="U7184" s="31" t="n">
        <f aca="false">IF($B7184&lt;&gt;'設定（最初に1回）'!$C$4,N(U7183),IF(COUNTIFS(①今日の在庫を貼る!$B$6:$B$10005,$B7184,①今日の在庫を貼る!$I$6:$I$10005,$I7184)&gt;0,N(U7183),N(U7183)+1))</f>
        <v>2</v>
      </c>
    </row>
    <row r="7185" customFormat="false" ht="15" hidden="false" customHeight="false" outlineLevel="0" collapsed="false">
      <c r="B7185" s="53"/>
      <c r="I7185" s="53"/>
      <c r="U7185" s="31" t="n">
        <f aca="false">IF($B7185&lt;&gt;'設定（最初に1回）'!$C$4,N(U7184),IF(COUNTIFS(①今日の在庫を貼る!$B$6:$B$10005,$B7185,①今日の在庫を貼る!$I$6:$I$10005,$I7185)&gt;0,N(U7184),N(U7184)+1))</f>
        <v>2</v>
      </c>
    </row>
    <row r="7186" customFormat="false" ht="15" hidden="false" customHeight="false" outlineLevel="0" collapsed="false">
      <c r="B7186" s="53"/>
      <c r="I7186" s="53"/>
      <c r="U7186" s="31" t="n">
        <f aca="false">IF($B7186&lt;&gt;'設定（最初に1回）'!$C$4,N(U7185),IF(COUNTIFS(①今日の在庫を貼る!$B$6:$B$10005,$B7186,①今日の在庫を貼る!$I$6:$I$10005,$I7186)&gt;0,N(U7185),N(U7185)+1))</f>
        <v>2</v>
      </c>
    </row>
    <row r="7187" customFormat="false" ht="15" hidden="false" customHeight="false" outlineLevel="0" collapsed="false">
      <c r="B7187" s="53"/>
      <c r="I7187" s="53"/>
      <c r="U7187" s="31" t="n">
        <f aca="false">IF($B7187&lt;&gt;'設定（最初に1回）'!$C$4,N(U7186),IF(COUNTIFS(①今日の在庫を貼る!$B$6:$B$10005,$B7187,①今日の在庫を貼る!$I$6:$I$10005,$I7187)&gt;0,N(U7186),N(U7186)+1))</f>
        <v>2</v>
      </c>
    </row>
    <row r="7188" customFormat="false" ht="15" hidden="false" customHeight="false" outlineLevel="0" collapsed="false">
      <c r="B7188" s="53"/>
      <c r="I7188" s="53"/>
      <c r="U7188" s="31" t="n">
        <f aca="false">IF($B7188&lt;&gt;'設定（最初に1回）'!$C$4,N(U7187),IF(COUNTIFS(①今日の在庫を貼る!$B$6:$B$10005,$B7188,①今日の在庫を貼る!$I$6:$I$10005,$I7188)&gt;0,N(U7187),N(U7187)+1))</f>
        <v>2</v>
      </c>
    </row>
    <row r="7189" customFormat="false" ht="15" hidden="false" customHeight="false" outlineLevel="0" collapsed="false">
      <c r="B7189" s="53"/>
      <c r="I7189" s="53"/>
      <c r="U7189" s="31" t="n">
        <f aca="false">IF($B7189&lt;&gt;'設定（最初に1回）'!$C$4,N(U7188),IF(COUNTIFS(①今日の在庫を貼る!$B$6:$B$10005,$B7189,①今日の在庫を貼る!$I$6:$I$10005,$I7189)&gt;0,N(U7188),N(U7188)+1))</f>
        <v>2</v>
      </c>
    </row>
    <row r="7190" customFormat="false" ht="15" hidden="false" customHeight="false" outlineLevel="0" collapsed="false">
      <c r="B7190" s="53"/>
      <c r="I7190" s="53"/>
      <c r="U7190" s="31" t="n">
        <f aca="false">IF($B7190&lt;&gt;'設定（最初に1回）'!$C$4,N(U7189),IF(COUNTIFS(①今日の在庫を貼る!$B$6:$B$10005,$B7190,①今日の在庫を貼る!$I$6:$I$10005,$I7190)&gt;0,N(U7189),N(U7189)+1))</f>
        <v>2</v>
      </c>
    </row>
    <row r="7191" customFormat="false" ht="15" hidden="false" customHeight="false" outlineLevel="0" collapsed="false">
      <c r="B7191" s="53"/>
      <c r="I7191" s="53"/>
      <c r="U7191" s="31" t="n">
        <f aca="false">IF($B7191&lt;&gt;'設定（最初に1回）'!$C$4,N(U7190),IF(COUNTIFS(①今日の在庫を貼る!$B$6:$B$10005,$B7191,①今日の在庫を貼る!$I$6:$I$10005,$I7191)&gt;0,N(U7190),N(U7190)+1))</f>
        <v>2</v>
      </c>
    </row>
    <row r="7192" customFormat="false" ht="15" hidden="false" customHeight="false" outlineLevel="0" collapsed="false">
      <c r="B7192" s="53"/>
      <c r="I7192" s="53"/>
      <c r="U7192" s="31" t="n">
        <f aca="false">IF($B7192&lt;&gt;'設定（最初に1回）'!$C$4,N(U7191),IF(COUNTIFS(①今日の在庫を貼る!$B$6:$B$10005,$B7192,①今日の在庫を貼る!$I$6:$I$10005,$I7192)&gt;0,N(U7191),N(U7191)+1))</f>
        <v>2</v>
      </c>
    </row>
    <row r="7193" customFormat="false" ht="15" hidden="false" customHeight="false" outlineLevel="0" collapsed="false">
      <c r="B7193" s="53"/>
      <c r="I7193" s="53"/>
      <c r="U7193" s="31" t="n">
        <f aca="false">IF($B7193&lt;&gt;'設定（最初に1回）'!$C$4,N(U7192),IF(COUNTIFS(①今日の在庫を貼る!$B$6:$B$10005,$B7193,①今日の在庫を貼る!$I$6:$I$10005,$I7193)&gt;0,N(U7192),N(U7192)+1))</f>
        <v>2</v>
      </c>
    </row>
    <row r="7194" customFormat="false" ht="15" hidden="false" customHeight="false" outlineLevel="0" collapsed="false">
      <c r="B7194" s="53"/>
      <c r="I7194" s="53"/>
      <c r="U7194" s="31" t="n">
        <f aca="false">IF($B7194&lt;&gt;'設定（最初に1回）'!$C$4,N(U7193),IF(COUNTIFS(①今日の在庫を貼る!$B$6:$B$10005,$B7194,①今日の在庫を貼る!$I$6:$I$10005,$I7194)&gt;0,N(U7193),N(U7193)+1))</f>
        <v>2</v>
      </c>
    </row>
    <row r="7195" customFormat="false" ht="15" hidden="false" customHeight="false" outlineLevel="0" collapsed="false">
      <c r="B7195" s="53"/>
      <c r="I7195" s="53"/>
      <c r="U7195" s="31" t="n">
        <f aca="false">IF($B7195&lt;&gt;'設定（最初に1回）'!$C$4,N(U7194),IF(COUNTIFS(①今日の在庫を貼る!$B$6:$B$10005,$B7195,①今日の在庫を貼る!$I$6:$I$10005,$I7195)&gt;0,N(U7194),N(U7194)+1))</f>
        <v>2</v>
      </c>
    </row>
    <row r="7196" customFormat="false" ht="15" hidden="false" customHeight="false" outlineLevel="0" collapsed="false">
      <c r="B7196" s="53"/>
      <c r="I7196" s="53"/>
      <c r="U7196" s="31" t="n">
        <f aca="false">IF($B7196&lt;&gt;'設定（最初に1回）'!$C$4,N(U7195),IF(COUNTIFS(①今日の在庫を貼る!$B$6:$B$10005,$B7196,①今日の在庫を貼る!$I$6:$I$10005,$I7196)&gt;0,N(U7195),N(U7195)+1))</f>
        <v>2</v>
      </c>
    </row>
    <row r="7197" customFormat="false" ht="15" hidden="false" customHeight="false" outlineLevel="0" collapsed="false">
      <c r="B7197" s="53"/>
      <c r="I7197" s="53"/>
      <c r="U7197" s="31" t="n">
        <f aca="false">IF($B7197&lt;&gt;'設定（最初に1回）'!$C$4,N(U7196),IF(COUNTIFS(①今日の在庫を貼る!$B$6:$B$10005,$B7197,①今日の在庫を貼る!$I$6:$I$10005,$I7197)&gt;0,N(U7196),N(U7196)+1))</f>
        <v>2</v>
      </c>
    </row>
    <row r="7198" customFormat="false" ht="15" hidden="false" customHeight="false" outlineLevel="0" collapsed="false">
      <c r="B7198" s="53"/>
      <c r="I7198" s="53"/>
      <c r="U7198" s="31" t="n">
        <f aca="false">IF($B7198&lt;&gt;'設定（最初に1回）'!$C$4,N(U7197),IF(COUNTIFS(①今日の在庫を貼る!$B$6:$B$10005,$B7198,①今日の在庫を貼る!$I$6:$I$10005,$I7198)&gt;0,N(U7197),N(U7197)+1))</f>
        <v>2</v>
      </c>
    </row>
    <row r="7199" customFormat="false" ht="15" hidden="false" customHeight="false" outlineLevel="0" collapsed="false">
      <c r="B7199" s="53"/>
      <c r="I7199" s="53"/>
      <c r="U7199" s="31" t="n">
        <f aca="false">IF($B7199&lt;&gt;'設定（最初に1回）'!$C$4,N(U7198),IF(COUNTIFS(①今日の在庫を貼る!$B$6:$B$10005,$B7199,①今日の在庫を貼る!$I$6:$I$10005,$I7199)&gt;0,N(U7198),N(U7198)+1))</f>
        <v>2</v>
      </c>
    </row>
    <row r="7200" customFormat="false" ht="15" hidden="false" customHeight="false" outlineLevel="0" collapsed="false">
      <c r="B7200" s="53"/>
      <c r="I7200" s="53"/>
      <c r="U7200" s="31" t="n">
        <f aca="false">IF($B7200&lt;&gt;'設定（最初に1回）'!$C$4,N(U7199),IF(COUNTIFS(①今日の在庫を貼る!$B$6:$B$10005,$B7200,①今日の在庫を貼る!$I$6:$I$10005,$I7200)&gt;0,N(U7199),N(U7199)+1))</f>
        <v>2</v>
      </c>
    </row>
    <row r="7201" customFormat="false" ht="15" hidden="false" customHeight="false" outlineLevel="0" collapsed="false">
      <c r="B7201" s="53"/>
      <c r="I7201" s="53"/>
      <c r="U7201" s="31" t="n">
        <f aca="false">IF($B7201&lt;&gt;'設定（最初に1回）'!$C$4,N(U7200),IF(COUNTIFS(①今日の在庫を貼る!$B$6:$B$10005,$B7201,①今日の在庫を貼る!$I$6:$I$10005,$I7201)&gt;0,N(U7200),N(U7200)+1))</f>
        <v>2</v>
      </c>
    </row>
    <row r="7202" customFormat="false" ht="15" hidden="false" customHeight="false" outlineLevel="0" collapsed="false">
      <c r="B7202" s="53"/>
      <c r="I7202" s="53"/>
      <c r="U7202" s="31" t="n">
        <f aca="false">IF($B7202&lt;&gt;'設定（最初に1回）'!$C$4,N(U7201),IF(COUNTIFS(①今日の在庫を貼る!$B$6:$B$10005,$B7202,①今日の在庫を貼る!$I$6:$I$10005,$I7202)&gt;0,N(U7201),N(U7201)+1))</f>
        <v>2</v>
      </c>
    </row>
    <row r="7203" customFormat="false" ht="15" hidden="false" customHeight="false" outlineLevel="0" collapsed="false">
      <c r="B7203" s="53"/>
      <c r="I7203" s="53"/>
      <c r="U7203" s="31" t="n">
        <f aca="false">IF($B7203&lt;&gt;'設定（最初に1回）'!$C$4,N(U7202),IF(COUNTIFS(①今日の在庫を貼る!$B$6:$B$10005,$B7203,①今日の在庫を貼る!$I$6:$I$10005,$I7203)&gt;0,N(U7202),N(U7202)+1))</f>
        <v>2</v>
      </c>
    </row>
    <row r="7204" customFormat="false" ht="15" hidden="false" customHeight="false" outlineLevel="0" collapsed="false">
      <c r="B7204" s="53"/>
      <c r="I7204" s="53"/>
      <c r="U7204" s="31" t="n">
        <f aca="false">IF($B7204&lt;&gt;'設定（最初に1回）'!$C$4,N(U7203),IF(COUNTIFS(①今日の在庫を貼る!$B$6:$B$10005,$B7204,①今日の在庫を貼る!$I$6:$I$10005,$I7204)&gt;0,N(U7203),N(U7203)+1))</f>
        <v>2</v>
      </c>
    </row>
    <row r="7205" customFormat="false" ht="15" hidden="false" customHeight="false" outlineLevel="0" collapsed="false">
      <c r="B7205" s="53"/>
      <c r="I7205" s="53"/>
      <c r="U7205" s="31" t="n">
        <f aca="false">IF($B7205&lt;&gt;'設定（最初に1回）'!$C$4,N(U7204),IF(COUNTIFS(①今日の在庫を貼る!$B$6:$B$10005,$B7205,①今日の在庫を貼る!$I$6:$I$10005,$I7205)&gt;0,N(U7204),N(U7204)+1))</f>
        <v>2</v>
      </c>
    </row>
    <row r="7206" customFormat="false" ht="15" hidden="false" customHeight="false" outlineLevel="0" collapsed="false">
      <c r="B7206" s="53"/>
      <c r="I7206" s="53"/>
      <c r="U7206" s="31" t="n">
        <f aca="false">IF($B7206&lt;&gt;'設定（最初に1回）'!$C$4,N(U7205),IF(COUNTIFS(①今日の在庫を貼る!$B$6:$B$10005,$B7206,①今日の在庫を貼る!$I$6:$I$10005,$I7206)&gt;0,N(U7205),N(U7205)+1))</f>
        <v>2</v>
      </c>
    </row>
    <row r="7207" customFormat="false" ht="15" hidden="false" customHeight="false" outlineLevel="0" collapsed="false">
      <c r="B7207" s="53"/>
      <c r="I7207" s="53"/>
      <c r="U7207" s="31" t="n">
        <f aca="false">IF($B7207&lt;&gt;'設定（最初に1回）'!$C$4,N(U7206),IF(COUNTIFS(①今日の在庫を貼る!$B$6:$B$10005,$B7207,①今日の在庫を貼る!$I$6:$I$10005,$I7207)&gt;0,N(U7206),N(U7206)+1))</f>
        <v>2</v>
      </c>
    </row>
    <row r="7208" customFormat="false" ht="15" hidden="false" customHeight="false" outlineLevel="0" collapsed="false">
      <c r="B7208" s="53"/>
      <c r="I7208" s="53"/>
      <c r="U7208" s="31" t="n">
        <f aca="false">IF($B7208&lt;&gt;'設定（最初に1回）'!$C$4,N(U7207),IF(COUNTIFS(①今日の在庫を貼る!$B$6:$B$10005,$B7208,①今日の在庫を貼る!$I$6:$I$10005,$I7208)&gt;0,N(U7207),N(U7207)+1))</f>
        <v>2</v>
      </c>
    </row>
    <row r="7209" customFormat="false" ht="15" hidden="false" customHeight="false" outlineLevel="0" collapsed="false">
      <c r="B7209" s="53"/>
      <c r="I7209" s="53"/>
      <c r="U7209" s="31" t="n">
        <f aca="false">IF($B7209&lt;&gt;'設定（最初に1回）'!$C$4,N(U7208),IF(COUNTIFS(①今日の在庫を貼る!$B$6:$B$10005,$B7209,①今日の在庫を貼る!$I$6:$I$10005,$I7209)&gt;0,N(U7208),N(U7208)+1))</f>
        <v>2</v>
      </c>
    </row>
    <row r="7210" customFormat="false" ht="15" hidden="false" customHeight="false" outlineLevel="0" collapsed="false">
      <c r="B7210" s="53"/>
      <c r="I7210" s="53"/>
      <c r="U7210" s="31" t="n">
        <f aca="false">IF($B7210&lt;&gt;'設定（最初に1回）'!$C$4,N(U7209),IF(COUNTIFS(①今日の在庫を貼る!$B$6:$B$10005,$B7210,①今日の在庫を貼る!$I$6:$I$10005,$I7210)&gt;0,N(U7209),N(U7209)+1))</f>
        <v>2</v>
      </c>
    </row>
    <row r="7211" customFormat="false" ht="15" hidden="false" customHeight="false" outlineLevel="0" collapsed="false">
      <c r="B7211" s="53"/>
      <c r="I7211" s="53"/>
      <c r="U7211" s="31" t="n">
        <f aca="false">IF($B7211&lt;&gt;'設定（最初に1回）'!$C$4,N(U7210),IF(COUNTIFS(①今日の在庫を貼る!$B$6:$B$10005,$B7211,①今日の在庫を貼る!$I$6:$I$10005,$I7211)&gt;0,N(U7210),N(U7210)+1))</f>
        <v>2</v>
      </c>
    </row>
    <row r="7212" customFormat="false" ht="15" hidden="false" customHeight="false" outlineLevel="0" collapsed="false">
      <c r="B7212" s="53"/>
      <c r="I7212" s="53"/>
      <c r="U7212" s="31" t="n">
        <f aca="false">IF($B7212&lt;&gt;'設定（最初に1回）'!$C$4,N(U7211),IF(COUNTIFS(①今日の在庫を貼る!$B$6:$B$10005,$B7212,①今日の在庫を貼る!$I$6:$I$10005,$I7212)&gt;0,N(U7211),N(U7211)+1))</f>
        <v>2</v>
      </c>
    </row>
    <row r="7213" customFormat="false" ht="15" hidden="false" customHeight="false" outlineLevel="0" collapsed="false">
      <c r="B7213" s="53"/>
      <c r="I7213" s="53"/>
      <c r="U7213" s="31" t="n">
        <f aca="false">IF($B7213&lt;&gt;'設定（最初に1回）'!$C$4,N(U7212),IF(COUNTIFS(①今日の在庫を貼る!$B$6:$B$10005,$B7213,①今日の在庫を貼る!$I$6:$I$10005,$I7213)&gt;0,N(U7212),N(U7212)+1))</f>
        <v>2</v>
      </c>
    </row>
    <row r="7214" customFormat="false" ht="15" hidden="false" customHeight="false" outlineLevel="0" collapsed="false">
      <c r="B7214" s="53"/>
      <c r="I7214" s="53"/>
      <c r="U7214" s="31" t="n">
        <f aca="false">IF($B7214&lt;&gt;'設定（最初に1回）'!$C$4,N(U7213),IF(COUNTIFS(①今日の在庫を貼る!$B$6:$B$10005,$B7214,①今日の在庫を貼る!$I$6:$I$10005,$I7214)&gt;0,N(U7213),N(U7213)+1))</f>
        <v>2</v>
      </c>
    </row>
    <row r="7215" customFormat="false" ht="15" hidden="false" customHeight="false" outlineLevel="0" collapsed="false">
      <c r="B7215" s="53"/>
      <c r="I7215" s="53"/>
      <c r="U7215" s="31" t="n">
        <f aca="false">IF($B7215&lt;&gt;'設定（最初に1回）'!$C$4,N(U7214),IF(COUNTIFS(①今日の在庫を貼る!$B$6:$B$10005,$B7215,①今日の在庫を貼る!$I$6:$I$10005,$I7215)&gt;0,N(U7214),N(U7214)+1))</f>
        <v>2</v>
      </c>
    </row>
    <row r="7216" customFormat="false" ht="15" hidden="false" customHeight="false" outlineLevel="0" collapsed="false">
      <c r="B7216" s="53"/>
      <c r="I7216" s="53"/>
      <c r="U7216" s="31" t="n">
        <f aca="false">IF($B7216&lt;&gt;'設定（最初に1回）'!$C$4,N(U7215),IF(COUNTIFS(①今日の在庫を貼る!$B$6:$B$10005,$B7216,①今日の在庫を貼る!$I$6:$I$10005,$I7216)&gt;0,N(U7215),N(U7215)+1))</f>
        <v>2</v>
      </c>
    </row>
    <row r="7217" customFormat="false" ht="15" hidden="false" customHeight="false" outlineLevel="0" collapsed="false">
      <c r="B7217" s="53"/>
      <c r="I7217" s="53"/>
      <c r="U7217" s="31" t="n">
        <f aca="false">IF($B7217&lt;&gt;'設定（最初に1回）'!$C$4,N(U7216),IF(COUNTIFS(①今日の在庫を貼る!$B$6:$B$10005,$B7217,①今日の在庫を貼る!$I$6:$I$10005,$I7217)&gt;0,N(U7216),N(U7216)+1))</f>
        <v>2</v>
      </c>
    </row>
    <row r="7218" customFormat="false" ht="15" hidden="false" customHeight="false" outlineLevel="0" collapsed="false">
      <c r="B7218" s="53"/>
      <c r="I7218" s="53"/>
      <c r="U7218" s="31" t="n">
        <f aca="false">IF($B7218&lt;&gt;'設定（最初に1回）'!$C$4,N(U7217),IF(COUNTIFS(①今日の在庫を貼る!$B$6:$B$10005,$B7218,①今日の在庫を貼る!$I$6:$I$10005,$I7218)&gt;0,N(U7217),N(U7217)+1))</f>
        <v>2</v>
      </c>
    </row>
    <row r="7219" customFormat="false" ht="15" hidden="false" customHeight="false" outlineLevel="0" collapsed="false">
      <c r="B7219" s="53"/>
      <c r="I7219" s="53"/>
      <c r="U7219" s="31" t="n">
        <f aca="false">IF($B7219&lt;&gt;'設定（最初に1回）'!$C$4,N(U7218),IF(COUNTIFS(①今日の在庫を貼る!$B$6:$B$10005,$B7219,①今日の在庫を貼る!$I$6:$I$10005,$I7219)&gt;0,N(U7218),N(U7218)+1))</f>
        <v>2</v>
      </c>
    </row>
    <row r="7220" customFormat="false" ht="15" hidden="false" customHeight="false" outlineLevel="0" collapsed="false">
      <c r="B7220" s="53"/>
      <c r="I7220" s="53"/>
      <c r="U7220" s="31" t="n">
        <f aca="false">IF($B7220&lt;&gt;'設定（最初に1回）'!$C$4,N(U7219),IF(COUNTIFS(①今日の在庫を貼る!$B$6:$B$10005,$B7220,①今日の在庫を貼る!$I$6:$I$10005,$I7220)&gt;0,N(U7219),N(U7219)+1))</f>
        <v>2</v>
      </c>
    </row>
    <row r="7221" customFormat="false" ht="15" hidden="false" customHeight="false" outlineLevel="0" collapsed="false">
      <c r="B7221" s="53"/>
      <c r="I7221" s="53"/>
      <c r="U7221" s="31" t="n">
        <f aca="false">IF($B7221&lt;&gt;'設定（最初に1回）'!$C$4,N(U7220),IF(COUNTIFS(①今日の在庫を貼る!$B$6:$B$10005,$B7221,①今日の在庫を貼る!$I$6:$I$10005,$I7221)&gt;0,N(U7220),N(U7220)+1))</f>
        <v>2</v>
      </c>
    </row>
    <row r="7222" customFormat="false" ht="15" hidden="false" customHeight="false" outlineLevel="0" collapsed="false">
      <c r="B7222" s="53"/>
      <c r="I7222" s="53"/>
      <c r="U7222" s="31" t="n">
        <f aca="false">IF($B7222&lt;&gt;'設定（最初に1回）'!$C$4,N(U7221),IF(COUNTIFS(①今日の在庫を貼る!$B$6:$B$10005,$B7222,①今日の在庫を貼る!$I$6:$I$10005,$I7222)&gt;0,N(U7221),N(U7221)+1))</f>
        <v>2</v>
      </c>
    </row>
    <row r="7223" customFormat="false" ht="15" hidden="false" customHeight="false" outlineLevel="0" collapsed="false">
      <c r="B7223" s="53"/>
      <c r="I7223" s="53"/>
      <c r="U7223" s="31" t="n">
        <f aca="false">IF($B7223&lt;&gt;'設定（最初に1回）'!$C$4,N(U7222),IF(COUNTIFS(①今日の在庫を貼る!$B$6:$B$10005,$B7223,①今日の在庫を貼る!$I$6:$I$10005,$I7223)&gt;0,N(U7222),N(U7222)+1))</f>
        <v>2</v>
      </c>
    </row>
    <row r="7224" customFormat="false" ht="15" hidden="false" customHeight="false" outlineLevel="0" collapsed="false">
      <c r="B7224" s="53"/>
      <c r="I7224" s="53"/>
      <c r="U7224" s="31" t="n">
        <f aca="false">IF($B7224&lt;&gt;'設定（最初に1回）'!$C$4,N(U7223),IF(COUNTIFS(①今日の在庫を貼る!$B$6:$B$10005,$B7224,①今日の在庫を貼る!$I$6:$I$10005,$I7224)&gt;0,N(U7223),N(U7223)+1))</f>
        <v>2</v>
      </c>
    </row>
    <row r="7225" customFormat="false" ht="15" hidden="false" customHeight="false" outlineLevel="0" collapsed="false">
      <c r="B7225" s="53"/>
      <c r="I7225" s="53"/>
      <c r="U7225" s="31" t="n">
        <f aca="false">IF($B7225&lt;&gt;'設定（最初に1回）'!$C$4,N(U7224),IF(COUNTIFS(①今日の在庫を貼る!$B$6:$B$10005,$B7225,①今日の在庫を貼る!$I$6:$I$10005,$I7225)&gt;0,N(U7224),N(U7224)+1))</f>
        <v>2</v>
      </c>
    </row>
    <row r="7226" customFormat="false" ht="15" hidden="false" customHeight="false" outlineLevel="0" collapsed="false">
      <c r="B7226" s="53"/>
      <c r="I7226" s="53"/>
      <c r="U7226" s="31" t="n">
        <f aca="false">IF($B7226&lt;&gt;'設定（最初に1回）'!$C$4,N(U7225),IF(COUNTIFS(①今日の在庫を貼る!$B$6:$B$10005,$B7226,①今日の在庫を貼る!$I$6:$I$10005,$I7226)&gt;0,N(U7225),N(U7225)+1))</f>
        <v>2</v>
      </c>
    </row>
    <row r="7227" customFormat="false" ht="15" hidden="false" customHeight="false" outlineLevel="0" collapsed="false">
      <c r="B7227" s="53"/>
      <c r="I7227" s="53"/>
      <c r="U7227" s="31" t="n">
        <f aca="false">IF($B7227&lt;&gt;'設定（最初に1回）'!$C$4,N(U7226),IF(COUNTIFS(①今日の在庫を貼る!$B$6:$B$10005,$B7227,①今日の在庫を貼る!$I$6:$I$10005,$I7227)&gt;0,N(U7226),N(U7226)+1))</f>
        <v>2</v>
      </c>
    </row>
    <row r="7228" customFormat="false" ht="15" hidden="false" customHeight="false" outlineLevel="0" collapsed="false">
      <c r="B7228" s="53"/>
      <c r="I7228" s="53"/>
      <c r="U7228" s="31" t="n">
        <f aca="false">IF($B7228&lt;&gt;'設定（最初に1回）'!$C$4,N(U7227),IF(COUNTIFS(①今日の在庫を貼る!$B$6:$B$10005,$B7228,①今日の在庫を貼る!$I$6:$I$10005,$I7228)&gt;0,N(U7227),N(U7227)+1))</f>
        <v>2</v>
      </c>
    </row>
    <row r="7229" customFormat="false" ht="15" hidden="false" customHeight="false" outlineLevel="0" collapsed="false">
      <c r="B7229" s="53"/>
      <c r="I7229" s="53"/>
      <c r="U7229" s="31" t="n">
        <f aca="false">IF($B7229&lt;&gt;'設定（最初に1回）'!$C$4,N(U7228),IF(COUNTIFS(①今日の在庫を貼る!$B$6:$B$10005,$B7229,①今日の在庫を貼る!$I$6:$I$10005,$I7229)&gt;0,N(U7228),N(U7228)+1))</f>
        <v>2</v>
      </c>
    </row>
    <row r="7230" customFormat="false" ht="15" hidden="false" customHeight="false" outlineLevel="0" collapsed="false">
      <c r="B7230" s="53"/>
      <c r="I7230" s="53"/>
      <c r="U7230" s="31" t="n">
        <f aca="false">IF($B7230&lt;&gt;'設定（最初に1回）'!$C$4,N(U7229),IF(COUNTIFS(①今日の在庫を貼る!$B$6:$B$10005,$B7230,①今日の在庫を貼る!$I$6:$I$10005,$I7230)&gt;0,N(U7229),N(U7229)+1))</f>
        <v>2</v>
      </c>
    </row>
    <row r="7231" customFormat="false" ht="15" hidden="false" customHeight="false" outlineLevel="0" collapsed="false">
      <c r="B7231" s="53"/>
      <c r="I7231" s="53"/>
      <c r="U7231" s="31" t="n">
        <f aca="false">IF($B7231&lt;&gt;'設定（最初に1回）'!$C$4,N(U7230),IF(COUNTIFS(①今日の在庫を貼る!$B$6:$B$10005,$B7231,①今日の在庫を貼る!$I$6:$I$10005,$I7231)&gt;0,N(U7230),N(U7230)+1))</f>
        <v>2</v>
      </c>
    </row>
    <row r="7232" customFormat="false" ht="15" hidden="false" customHeight="false" outlineLevel="0" collapsed="false">
      <c r="B7232" s="53"/>
      <c r="I7232" s="53"/>
      <c r="U7232" s="31" t="n">
        <f aca="false">IF($B7232&lt;&gt;'設定（最初に1回）'!$C$4,N(U7231),IF(COUNTIFS(①今日の在庫を貼る!$B$6:$B$10005,$B7232,①今日の在庫を貼る!$I$6:$I$10005,$I7232)&gt;0,N(U7231),N(U7231)+1))</f>
        <v>2</v>
      </c>
    </row>
    <row r="7233" customFormat="false" ht="15" hidden="false" customHeight="false" outlineLevel="0" collapsed="false">
      <c r="B7233" s="53"/>
      <c r="I7233" s="53"/>
      <c r="U7233" s="31" t="n">
        <f aca="false">IF($B7233&lt;&gt;'設定（最初に1回）'!$C$4,N(U7232),IF(COUNTIFS(①今日の在庫を貼る!$B$6:$B$10005,$B7233,①今日の在庫を貼る!$I$6:$I$10005,$I7233)&gt;0,N(U7232),N(U7232)+1))</f>
        <v>2</v>
      </c>
    </row>
    <row r="7234" customFormat="false" ht="15" hidden="false" customHeight="false" outlineLevel="0" collapsed="false">
      <c r="B7234" s="53"/>
      <c r="I7234" s="53"/>
      <c r="U7234" s="31" t="n">
        <f aca="false">IF($B7234&lt;&gt;'設定（最初に1回）'!$C$4,N(U7233),IF(COUNTIFS(①今日の在庫を貼る!$B$6:$B$10005,$B7234,①今日の在庫を貼る!$I$6:$I$10005,$I7234)&gt;0,N(U7233),N(U7233)+1))</f>
        <v>2</v>
      </c>
    </row>
    <row r="7235" customFormat="false" ht="15" hidden="false" customHeight="false" outlineLevel="0" collapsed="false">
      <c r="B7235" s="53"/>
      <c r="I7235" s="53"/>
      <c r="U7235" s="31" t="n">
        <f aca="false">IF($B7235&lt;&gt;'設定（最初に1回）'!$C$4,N(U7234),IF(COUNTIFS(①今日の在庫を貼る!$B$6:$B$10005,$B7235,①今日の在庫を貼る!$I$6:$I$10005,$I7235)&gt;0,N(U7234),N(U7234)+1))</f>
        <v>2</v>
      </c>
    </row>
    <row r="7236" customFormat="false" ht="15" hidden="false" customHeight="false" outlineLevel="0" collapsed="false">
      <c r="B7236" s="53"/>
      <c r="I7236" s="53"/>
      <c r="U7236" s="31" t="n">
        <f aca="false">IF($B7236&lt;&gt;'設定（最初に1回）'!$C$4,N(U7235),IF(COUNTIFS(①今日の在庫を貼る!$B$6:$B$10005,$B7236,①今日の在庫を貼る!$I$6:$I$10005,$I7236)&gt;0,N(U7235),N(U7235)+1))</f>
        <v>2</v>
      </c>
    </row>
    <row r="7237" customFormat="false" ht="15" hidden="false" customHeight="false" outlineLevel="0" collapsed="false">
      <c r="B7237" s="53"/>
      <c r="I7237" s="53"/>
      <c r="U7237" s="31" t="n">
        <f aca="false">IF($B7237&lt;&gt;'設定（最初に1回）'!$C$4,N(U7236),IF(COUNTIFS(①今日の在庫を貼る!$B$6:$B$10005,$B7237,①今日の在庫を貼る!$I$6:$I$10005,$I7237)&gt;0,N(U7236),N(U7236)+1))</f>
        <v>2</v>
      </c>
    </row>
    <row r="7238" customFormat="false" ht="15" hidden="false" customHeight="false" outlineLevel="0" collapsed="false">
      <c r="B7238" s="53"/>
      <c r="I7238" s="53"/>
      <c r="U7238" s="31" t="n">
        <f aca="false">IF($B7238&lt;&gt;'設定（最初に1回）'!$C$4,N(U7237),IF(COUNTIFS(①今日の在庫を貼る!$B$6:$B$10005,$B7238,①今日の在庫を貼る!$I$6:$I$10005,$I7238)&gt;0,N(U7237),N(U7237)+1))</f>
        <v>2</v>
      </c>
    </row>
    <row r="7239" customFormat="false" ht="15" hidden="false" customHeight="false" outlineLevel="0" collapsed="false">
      <c r="B7239" s="53"/>
      <c r="I7239" s="53"/>
      <c r="U7239" s="31" t="n">
        <f aca="false">IF($B7239&lt;&gt;'設定（最初に1回）'!$C$4,N(U7238),IF(COUNTIFS(①今日の在庫を貼る!$B$6:$B$10005,$B7239,①今日の在庫を貼る!$I$6:$I$10005,$I7239)&gt;0,N(U7238),N(U7238)+1))</f>
        <v>2</v>
      </c>
    </row>
    <row r="7240" customFormat="false" ht="15" hidden="false" customHeight="false" outlineLevel="0" collapsed="false">
      <c r="B7240" s="53"/>
      <c r="I7240" s="53"/>
      <c r="U7240" s="31" t="n">
        <f aca="false">IF($B7240&lt;&gt;'設定（最初に1回）'!$C$4,N(U7239),IF(COUNTIFS(①今日の在庫を貼る!$B$6:$B$10005,$B7240,①今日の在庫を貼る!$I$6:$I$10005,$I7240)&gt;0,N(U7239),N(U7239)+1))</f>
        <v>2</v>
      </c>
    </row>
    <row r="7241" customFormat="false" ht="15" hidden="false" customHeight="false" outlineLevel="0" collapsed="false">
      <c r="B7241" s="53"/>
      <c r="I7241" s="53"/>
      <c r="U7241" s="31" t="n">
        <f aca="false">IF($B7241&lt;&gt;'設定（最初に1回）'!$C$4,N(U7240),IF(COUNTIFS(①今日の在庫を貼る!$B$6:$B$10005,$B7241,①今日の在庫を貼る!$I$6:$I$10005,$I7241)&gt;0,N(U7240),N(U7240)+1))</f>
        <v>2</v>
      </c>
    </row>
    <row r="7242" customFormat="false" ht="15" hidden="false" customHeight="false" outlineLevel="0" collapsed="false">
      <c r="B7242" s="53"/>
      <c r="I7242" s="53"/>
      <c r="U7242" s="31" t="n">
        <f aca="false">IF($B7242&lt;&gt;'設定（最初に1回）'!$C$4,N(U7241),IF(COUNTIFS(①今日の在庫を貼る!$B$6:$B$10005,$B7242,①今日の在庫を貼る!$I$6:$I$10005,$I7242)&gt;0,N(U7241),N(U7241)+1))</f>
        <v>2</v>
      </c>
    </row>
    <row r="7243" customFormat="false" ht="15" hidden="false" customHeight="false" outlineLevel="0" collapsed="false">
      <c r="B7243" s="53"/>
      <c r="I7243" s="53"/>
      <c r="U7243" s="31" t="n">
        <f aca="false">IF($B7243&lt;&gt;'設定（最初に1回）'!$C$4,N(U7242),IF(COUNTIFS(①今日の在庫を貼る!$B$6:$B$10005,$B7243,①今日の在庫を貼る!$I$6:$I$10005,$I7243)&gt;0,N(U7242),N(U7242)+1))</f>
        <v>2</v>
      </c>
    </row>
    <row r="7244" customFormat="false" ht="15" hidden="false" customHeight="false" outlineLevel="0" collapsed="false">
      <c r="B7244" s="53"/>
      <c r="I7244" s="53"/>
      <c r="U7244" s="31" t="n">
        <f aca="false">IF($B7244&lt;&gt;'設定（最初に1回）'!$C$4,N(U7243),IF(COUNTIFS(①今日の在庫を貼る!$B$6:$B$10005,$B7244,①今日の在庫を貼る!$I$6:$I$10005,$I7244)&gt;0,N(U7243),N(U7243)+1))</f>
        <v>2</v>
      </c>
    </row>
    <row r="7245" customFormat="false" ht="15" hidden="false" customHeight="false" outlineLevel="0" collapsed="false">
      <c r="B7245" s="53"/>
      <c r="I7245" s="53"/>
      <c r="U7245" s="31" t="n">
        <f aca="false">IF($B7245&lt;&gt;'設定（最初に1回）'!$C$4,N(U7244),IF(COUNTIFS(①今日の在庫を貼る!$B$6:$B$10005,$B7245,①今日の在庫を貼る!$I$6:$I$10005,$I7245)&gt;0,N(U7244),N(U7244)+1))</f>
        <v>2</v>
      </c>
    </row>
    <row r="7246" customFormat="false" ht="15" hidden="false" customHeight="false" outlineLevel="0" collapsed="false">
      <c r="B7246" s="53"/>
      <c r="I7246" s="53"/>
      <c r="U7246" s="31" t="n">
        <f aca="false">IF($B7246&lt;&gt;'設定（最初に1回）'!$C$4,N(U7245),IF(COUNTIFS(①今日の在庫を貼る!$B$6:$B$10005,$B7246,①今日の在庫を貼る!$I$6:$I$10005,$I7246)&gt;0,N(U7245),N(U7245)+1))</f>
        <v>2</v>
      </c>
    </row>
    <row r="7247" customFormat="false" ht="15" hidden="false" customHeight="false" outlineLevel="0" collapsed="false">
      <c r="B7247" s="53"/>
      <c r="I7247" s="53"/>
      <c r="U7247" s="31" t="n">
        <f aca="false">IF($B7247&lt;&gt;'設定（最初に1回）'!$C$4,N(U7246),IF(COUNTIFS(①今日の在庫を貼る!$B$6:$B$10005,$B7247,①今日の在庫を貼る!$I$6:$I$10005,$I7247)&gt;0,N(U7246),N(U7246)+1))</f>
        <v>2</v>
      </c>
    </row>
    <row r="7248" customFormat="false" ht="15" hidden="false" customHeight="false" outlineLevel="0" collapsed="false">
      <c r="B7248" s="53"/>
      <c r="I7248" s="53"/>
      <c r="U7248" s="31" t="n">
        <f aca="false">IF($B7248&lt;&gt;'設定（最初に1回）'!$C$4,N(U7247),IF(COUNTIFS(①今日の在庫を貼る!$B$6:$B$10005,$B7248,①今日の在庫を貼る!$I$6:$I$10005,$I7248)&gt;0,N(U7247),N(U7247)+1))</f>
        <v>2</v>
      </c>
    </row>
    <row r="7249" customFormat="false" ht="15" hidden="false" customHeight="false" outlineLevel="0" collapsed="false">
      <c r="B7249" s="53"/>
      <c r="I7249" s="53"/>
      <c r="U7249" s="31" t="n">
        <f aca="false">IF($B7249&lt;&gt;'設定（最初に1回）'!$C$4,N(U7248),IF(COUNTIFS(①今日の在庫を貼る!$B$6:$B$10005,$B7249,①今日の在庫を貼る!$I$6:$I$10005,$I7249)&gt;0,N(U7248),N(U7248)+1))</f>
        <v>2</v>
      </c>
    </row>
    <row r="7250" customFormat="false" ht="15" hidden="false" customHeight="false" outlineLevel="0" collapsed="false">
      <c r="B7250" s="53"/>
      <c r="I7250" s="53"/>
      <c r="U7250" s="31" t="n">
        <f aca="false">IF($B7250&lt;&gt;'設定（最初に1回）'!$C$4,N(U7249),IF(COUNTIFS(①今日の在庫を貼る!$B$6:$B$10005,$B7250,①今日の在庫を貼る!$I$6:$I$10005,$I7250)&gt;0,N(U7249),N(U7249)+1))</f>
        <v>2</v>
      </c>
    </row>
    <row r="7251" customFormat="false" ht="15" hidden="false" customHeight="false" outlineLevel="0" collapsed="false">
      <c r="B7251" s="53"/>
      <c r="I7251" s="53"/>
      <c r="U7251" s="31" t="n">
        <f aca="false">IF($B7251&lt;&gt;'設定（最初に1回）'!$C$4,N(U7250),IF(COUNTIFS(①今日の在庫を貼る!$B$6:$B$10005,$B7251,①今日の在庫を貼る!$I$6:$I$10005,$I7251)&gt;0,N(U7250),N(U7250)+1))</f>
        <v>2</v>
      </c>
    </row>
    <row r="7252" customFormat="false" ht="15" hidden="false" customHeight="false" outlineLevel="0" collapsed="false">
      <c r="B7252" s="53"/>
      <c r="I7252" s="53"/>
      <c r="U7252" s="31" t="n">
        <f aca="false">IF($B7252&lt;&gt;'設定（最初に1回）'!$C$4,N(U7251),IF(COUNTIFS(①今日の在庫を貼る!$B$6:$B$10005,$B7252,①今日の在庫を貼る!$I$6:$I$10005,$I7252)&gt;0,N(U7251),N(U7251)+1))</f>
        <v>2</v>
      </c>
    </row>
    <row r="7253" customFormat="false" ht="15" hidden="false" customHeight="false" outlineLevel="0" collapsed="false">
      <c r="B7253" s="53"/>
      <c r="I7253" s="53"/>
      <c r="U7253" s="31" t="n">
        <f aca="false">IF($B7253&lt;&gt;'設定（最初に1回）'!$C$4,N(U7252),IF(COUNTIFS(①今日の在庫を貼る!$B$6:$B$10005,$B7253,①今日の在庫を貼る!$I$6:$I$10005,$I7253)&gt;0,N(U7252),N(U7252)+1))</f>
        <v>2</v>
      </c>
    </row>
    <row r="7254" customFormat="false" ht="15" hidden="false" customHeight="false" outlineLevel="0" collapsed="false">
      <c r="B7254" s="53"/>
      <c r="I7254" s="53"/>
      <c r="U7254" s="31" t="n">
        <f aca="false">IF($B7254&lt;&gt;'設定（最初に1回）'!$C$4,N(U7253),IF(COUNTIFS(①今日の在庫を貼る!$B$6:$B$10005,$B7254,①今日の在庫を貼る!$I$6:$I$10005,$I7254)&gt;0,N(U7253),N(U7253)+1))</f>
        <v>2</v>
      </c>
    </row>
    <row r="7255" customFormat="false" ht="15" hidden="false" customHeight="false" outlineLevel="0" collapsed="false">
      <c r="B7255" s="53"/>
      <c r="I7255" s="53"/>
      <c r="U7255" s="31" t="n">
        <f aca="false">IF($B7255&lt;&gt;'設定（最初に1回）'!$C$4,N(U7254),IF(COUNTIFS(①今日の在庫を貼る!$B$6:$B$10005,$B7255,①今日の在庫を貼る!$I$6:$I$10005,$I7255)&gt;0,N(U7254),N(U7254)+1))</f>
        <v>2</v>
      </c>
    </row>
    <row r="7256" customFormat="false" ht="15" hidden="false" customHeight="false" outlineLevel="0" collapsed="false">
      <c r="B7256" s="53"/>
      <c r="I7256" s="53"/>
      <c r="U7256" s="31" t="n">
        <f aca="false">IF($B7256&lt;&gt;'設定（最初に1回）'!$C$4,N(U7255),IF(COUNTIFS(①今日の在庫を貼る!$B$6:$B$10005,$B7256,①今日の在庫を貼る!$I$6:$I$10005,$I7256)&gt;0,N(U7255),N(U7255)+1))</f>
        <v>2</v>
      </c>
    </row>
    <row r="7257" customFormat="false" ht="15" hidden="false" customHeight="false" outlineLevel="0" collapsed="false">
      <c r="B7257" s="53"/>
      <c r="I7257" s="53"/>
      <c r="U7257" s="31" t="n">
        <f aca="false">IF($B7257&lt;&gt;'設定（最初に1回）'!$C$4,N(U7256),IF(COUNTIFS(①今日の在庫を貼る!$B$6:$B$10005,$B7257,①今日の在庫を貼る!$I$6:$I$10005,$I7257)&gt;0,N(U7256),N(U7256)+1))</f>
        <v>2</v>
      </c>
    </row>
    <row r="7258" customFormat="false" ht="15" hidden="false" customHeight="false" outlineLevel="0" collapsed="false">
      <c r="B7258" s="53"/>
      <c r="I7258" s="53"/>
      <c r="U7258" s="31" t="n">
        <f aca="false">IF($B7258&lt;&gt;'設定（最初に1回）'!$C$4,N(U7257),IF(COUNTIFS(①今日の在庫を貼る!$B$6:$B$10005,$B7258,①今日の在庫を貼る!$I$6:$I$10005,$I7258)&gt;0,N(U7257),N(U7257)+1))</f>
        <v>2</v>
      </c>
    </row>
    <row r="7259" customFormat="false" ht="15" hidden="false" customHeight="false" outlineLevel="0" collapsed="false">
      <c r="B7259" s="53"/>
      <c r="I7259" s="53"/>
      <c r="U7259" s="31" t="n">
        <f aca="false">IF($B7259&lt;&gt;'設定（最初に1回）'!$C$4,N(U7258),IF(COUNTIFS(①今日の在庫を貼る!$B$6:$B$10005,$B7259,①今日の在庫を貼る!$I$6:$I$10005,$I7259)&gt;0,N(U7258),N(U7258)+1))</f>
        <v>2</v>
      </c>
    </row>
    <row r="7260" customFormat="false" ht="15" hidden="false" customHeight="false" outlineLevel="0" collapsed="false">
      <c r="B7260" s="53"/>
      <c r="I7260" s="53"/>
      <c r="U7260" s="31" t="n">
        <f aca="false">IF($B7260&lt;&gt;'設定（最初に1回）'!$C$4,N(U7259),IF(COUNTIFS(①今日の在庫を貼る!$B$6:$B$10005,$B7260,①今日の在庫を貼る!$I$6:$I$10005,$I7260)&gt;0,N(U7259),N(U7259)+1))</f>
        <v>2</v>
      </c>
    </row>
    <row r="7261" customFormat="false" ht="15" hidden="false" customHeight="false" outlineLevel="0" collapsed="false">
      <c r="B7261" s="53"/>
      <c r="I7261" s="53"/>
      <c r="U7261" s="31" t="n">
        <f aca="false">IF($B7261&lt;&gt;'設定（最初に1回）'!$C$4,N(U7260),IF(COUNTIFS(①今日の在庫を貼る!$B$6:$B$10005,$B7261,①今日の在庫を貼る!$I$6:$I$10005,$I7261)&gt;0,N(U7260),N(U7260)+1))</f>
        <v>2</v>
      </c>
    </row>
    <row r="7262" customFormat="false" ht="15" hidden="false" customHeight="false" outlineLevel="0" collapsed="false">
      <c r="B7262" s="53"/>
      <c r="I7262" s="53"/>
      <c r="U7262" s="31" t="n">
        <f aca="false">IF($B7262&lt;&gt;'設定（最初に1回）'!$C$4,N(U7261),IF(COUNTIFS(①今日の在庫を貼る!$B$6:$B$10005,$B7262,①今日の在庫を貼る!$I$6:$I$10005,$I7262)&gt;0,N(U7261),N(U7261)+1))</f>
        <v>2</v>
      </c>
    </row>
    <row r="7263" customFormat="false" ht="15" hidden="false" customHeight="false" outlineLevel="0" collapsed="false">
      <c r="B7263" s="53"/>
      <c r="I7263" s="53"/>
      <c r="U7263" s="31" t="n">
        <f aca="false">IF($B7263&lt;&gt;'設定（最初に1回）'!$C$4,N(U7262),IF(COUNTIFS(①今日の在庫を貼る!$B$6:$B$10005,$B7263,①今日の在庫を貼る!$I$6:$I$10005,$I7263)&gt;0,N(U7262),N(U7262)+1))</f>
        <v>2</v>
      </c>
    </row>
    <row r="7264" customFormat="false" ht="15" hidden="false" customHeight="false" outlineLevel="0" collapsed="false">
      <c r="B7264" s="53"/>
      <c r="I7264" s="53"/>
      <c r="U7264" s="31" t="n">
        <f aca="false">IF($B7264&lt;&gt;'設定（最初に1回）'!$C$4,N(U7263),IF(COUNTIFS(①今日の在庫を貼る!$B$6:$B$10005,$B7264,①今日の在庫を貼る!$I$6:$I$10005,$I7264)&gt;0,N(U7263),N(U7263)+1))</f>
        <v>2</v>
      </c>
    </row>
    <row r="7265" customFormat="false" ht="15" hidden="false" customHeight="false" outlineLevel="0" collapsed="false">
      <c r="B7265" s="53"/>
      <c r="I7265" s="53"/>
      <c r="U7265" s="31" t="n">
        <f aca="false">IF($B7265&lt;&gt;'設定（最初に1回）'!$C$4,N(U7264),IF(COUNTIFS(①今日の在庫を貼る!$B$6:$B$10005,$B7265,①今日の在庫を貼る!$I$6:$I$10005,$I7265)&gt;0,N(U7264),N(U7264)+1))</f>
        <v>2</v>
      </c>
    </row>
    <row r="7266" customFormat="false" ht="15" hidden="false" customHeight="false" outlineLevel="0" collapsed="false">
      <c r="B7266" s="53"/>
      <c r="I7266" s="53"/>
      <c r="U7266" s="31" t="n">
        <f aca="false">IF($B7266&lt;&gt;'設定（最初に1回）'!$C$4,N(U7265),IF(COUNTIFS(①今日の在庫を貼る!$B$6:$B$10005,$B7266,①今日の在庫を貼る!$I$6:$I$10005,$I7266)&gt;0,N(U7265),N(U7265)+1))</f>
        <v>2</v>
      </c>
    </row>
    <row r="7267" customFormat="false" ht="15" hidden="false" customHeight="false" outlineLevel="0" collapsed="false">
      <c r="B7267" s="53"/>
      <c r="I7267" s="53"/>
      <c r="U7267" s="31" t="n">
        <f aca="false">IF($B7267&lt;&gt;'設定（最初に1回）'!$C$4,N(U7266),IF(COUNTIFS(①今日の在庫を貼る!$B$6:$B$10005,$B7267,①今日の在庫を貼る!$I$6:$I$10005,$I7267)&gt;0,N(U7266),N(U7266)+1))</f>
        <v>2</v>
      </c>
    </row>
    <row r="7268" customFormat="false" ht="15" hidden="false" customHeight="false" outlineLevel="0" collapsed="false">
      <c r="B7268" s="53"/>
      <c r="I7268" s="53"/>
      <c r="U7268" s="31" t="n">
        <f aca="false">IF($B7268&lt;&gt;'設定（最初に1回）'!$C$4,N(U7267),IF(COUNTIFS(①今日の在庫を貼る!$B$6:$B$10005,$B7268,①今日の在庫を貼る!$I$6:$I$10005,$I7268)&gt;0,N(U7267),N(U7267)+1))</f>
        <v>2</v>
      </c>
    </row>
    <row r="7269" customFormat="false" ht="15" hidden="false" customHeight="false" outlineLevel="0" collapsed="false">
      <c r="B7269" s="53"/>
      <c r="I7269" s="53"/>
      <c r="U7269" s="31" t="n">
        <f aca="false">IF($B7269&lt;&gt;'設定（最初に1回）'!$C$4,N(U7268),IF(COUNTIFS(①今日の在庫を貼る!$B$6:$B$10005,$B7269,①今日の在庫を貼る!$I$6:$I$10005,$I7269)&gt;0,N(U7268),N(U7268)+1))</f>
        <v>2</v>
      </c>
    </row>
    <row r="7270" customFormat="false" ht="15" hidden="false" customHeight="false" outlineLevel="0" collapsed="false">
      <c r="B7270" s="53"/>
      <c r="I7270" s="53"/>
      <c r="U7270" s="31" t="n">
        <f aca="false">IF($B7270&lt;&gt;'設定（最初に1回）'!$C$4,N(U7269),IF(COUNTIFS(①今日の在庫を貼る!$B$6:$B$10005,$B7270,①今日の在庫を貼る!$I$6:$I$10005,$I7270)&gt;0,N(U7269),N(U7269)+1))</f>
        <v>2</v>
      </c>
    </row>
    <row r="7271" customFormat="false" ht="15" hidden="false" customHeight="false" outlineLevel="0" collapsed="false">
      <c r="B7271" s="53"/>
      <c r="I7271" s="53"/>
      <c r="U7271" s="31" t="n">
        <f aca="false">IF($B7271&lt;&gt;'設定（最初に1回）'!$C$4,N(U7270),IF(COUNTIFS(①今日の在庫を貼る!$B$6:$B$10005,$B7271,①今日の在庫を貼る!$I$6:$I$10005,$I7271)&gt;0,N(U7270),N(U7270)+1))</f>
        <v>2</v>
      </c>
    </row>
    <row r="7272" customFormat="false" ht="15" hidden="false" customHeight="false" outlineLevel="0" collapsed="false">
      <c r="B7272" s="53"/>
      <c r="I7272" s="53"/>
      <c r="U7272" s="31" t="n">
        <f aca="false">IF($B7272&lt;&gt;'設定（最初に1回）'!$C$4,N(U7271),IF(COUNTIFS(①今日の在庫を貼る!$B$6:$B$10005,$B7272,①今日の在庫を貼る!$I$6:$I$10005,$I7272)&gt;0,N(U7271),N(U7271)+1))</f>
        <v>2</v>
      </c>
    </row>
    <row r="7273" customFormat="false" ht="15" hidden="false" customHeight="false" outlineLevel="0" collapsed="false">
      <c r="B7273" s="53"/>
      <c r="I7273" s="53"/>
      <c r="U7273" s="31" t="n">
        <f aca="false">IF($B7273&lt;&gt;'設定（最初に1回）'!$C$4,N(U7272),IF(COUNTIFS(①今日の在庫を貼る!$B$6:$B$10005,$B7273,①今日の在庫を貼る!$I$6:$I$10005,$I7273)&gt;0,N(U7272),N(U7272)+1))</f>
        <v>2</v>
      </c>
    </row>
    <row r="7274" customFormat="false" ht="15" hidden="false" customHeight="false" outlineLevel="0" collapsed="false">
      <c r="B7274" s="53"/>
      <c r="I7274" s="53"/>
      <c r="U7274" s="31" t="n">
        <f aca="false">IF($B7274&lt;&gt;'設定（最初に1回）'!$C$4,N(U7273),IF(COUNTIFS(①今日の在庫を貼る!$B$6:$B$10005,$B7274,①今日の在庫を貼る!$I$6:$I$10005,$I7274)&gt;0,N(U7273),N(U7273)+1))</f>
        <v>2</v>
      </c>
    </row>
    <row r="7275" customFormat="false" ht="15" hidden="false" customHeight="false" outlineLevel="0" collapsed="false">
      <c r="B7275" s="53"/>
      <c r="I7275" s="53"/>
      <c r="U7275" s="31" t="n">
        <f aca="false">IF($B7275&lt;&gt;'設定（最初に1回）'!$C$4,N(U7274),IF(COUNTIFS(①今日の在庫を貼る!$B$6:$B$10005,$B7275,①今日の在庫を貼る!$I$6:$I$10005,$I7275)&gt;0,N(U7274),N(U7274)+1))</f>
        <v>2</v>
      </c>
    </row>
    <row r="7276" customFormat="false" ht="15" hidden="false" customHeight="false" outlineLevel="0" collapsed="false">
      <c r="B7276" s="53"/>
      <c r="I7276" s="53"/>
      <c r="U7276" s="31" t="n">
        <f aca="false">IF($B7276&lt;&gt;'設定（最初に1回）'!$C$4,N(U7275),IF(COUNTIFS(①今日の在庫を貼る!$B$6:$B$10005,$B7276,①今日の在庫を貼る!$I$6:$I$10005,$I7276)&gt;0,N(U7275),N(U7275)+1))</f>
        <v>2</v>
      </c>
    </row>
    <row r="7277" customFormat="false" ht="15" hidden="false" customHeight="false" outlineLevel="0" collapsed="false">
      <c r="B7277" s="53"/>
      <c r="I7277" s="53"/>
      <c r="U7277" s="31" t="n">
        <f aca="false">IF($B7277&lt;&gt;'設定（最初に1回）'!$C$4,N(U7276),IF(COUNTIFS(①今日の在庫を貼る!$B$6:$B$10005,$B7277,①今日の在庫を貼る!$I$6:$I$10005,$I7277)&gt;0,N(U7276),N(U7276)+1))</f>
        <v>2</v>
      </c>
    </row>
    <row r="7278" customFormat="false" ht="15" hidden="false" customHeight="false" outlineLevel="0" collapsed="false">
      <c r="B7278" s="53"/>
      <c r="I7278" s="53"/>
      <c r="U7278" s="31" t="n">
        <f aca="false">IF($B7278&lt;&gt;'設定（最初に1回）'!$C$4,N(U7277),IF(COUNTIFS(①今日の在庫を貼る!$B$6:$B$10005,$B7278,①今日の在庫を貼る!$I$6:$I$10005,$I7278)&gt;0,N(U7277),N(U7277)+1))</f>
        <v>2</v>
      </c>
    </row>
    <row r="7279" customFormat="false" ht="15" hidden="false" customHeight="false" outlineLevel="0" collapsed="false">
      <c r="B7279" s="53"/>
      <c r="I7279" s="53"/>
      <c r="U7279" s="31" t="n">
        <f aca="false">IF($B7279&lt;&gt;'設定（最初に1回）'!$C$4,N(U7278),IF(COUNTIFS(①今日の在庫を貼る!$B$6:$B$10005,$B7279,①今日の在庫を貼る!$I$6:$I$10005,$I7279)&gt;0,N(U7278),N(U7278)+1))</f>
        <v>2</v>
      </c>
    </row>
    <row r="7280" customFormat="false" ht="15" hidden="false" customHeight="false" outlineLevel="0" collapsed="false">
      <c r="B7280" s="53"/>
      <c r="I7280" s="53"/>
      <c r="U7280" s="31" t="n">
        <f aca="false">IF($B7280&lt;&gt;'設定（最初に1回）'!$C$4,N(U7279),IF(COUNTIFS(①今日の在庫を貼る!$B$6:$B$10005,$B7280,①今日の在庫を貼る!$I$6:$I$10005,$I7280)&gt;0,N(U7279),N(U7279)+1))</f>
        <v>2</v>
      </c>
    </row>
    <row r="7281" customFormat="false" ht="15" hidden="false" customHeight="false" outlineLevel="0" collapsed="false">
      <c r="B7281" s="53"/>
      <c r="I7281" s="53"/>
      <c r="U7281" s="31" t="n">
        <f aca="false">IF($B7281&lt;&gt;'設定（最初に1回）'!$C$4,N(U7280),IF(COUNTIFS(①今日の在庫を貼る!$B$6:$B$10005,$B7281,①今日の在庫を貼る!$I$6:$I$10005,$I7281)&gt;0,N(U7280),N(U7280)+1))</f>
        <v>2</v>
      </c>
    </row>
    <row r="7282" customFormat="false" ht="15" hidden="false" customHeight="false" outlineLevel="0" collapsed="false">
      <c r="B7282" s="53"/>
      <c r="I7282" s="53"/>
      <c r="U7282" s="31" t="n">
        <f aca="false">IF($B7282&lt;&gt;'設定（最初に1回）'!$C$4,N(U7281),IF(COUNTIFS(①今日の在庫を貼る!$B$6:$B$10005,$B7282,①今日の在庫を貼る!$I$6:$I$10005,$I7282)&gt;0,N(U7281),N(U7281)+1))</f>
        <v>2</v>
      </c>
    </row>
    <row r="7283" customFormat="false" ht="15" hidden="false" customHeight="false" outlineLevel="0" collapsed="false">
      <c r="B7283" s="53"/>
      <c r="I7283" s="53"/>
      <c r="U7283" s="31" t="n">
        <f aca="false">IF($B7283&lt;&gt;'設定（最初に1回）'!$C$4,N(U7282),IF(COUNTIFS(①今日の在庫を貼る!$B$6:$B$10005,$B7283,①今日の在庫を貼る!$I$6:$I$10005,$I7283)&gt;0,N(U7282),N(U7282)+1))</f>
        <v>2</v>
      </c>
    </row>
    <row r="7284" customFormat="false" ht="15" hidden="false" customHeight="false" outlineLevel="0" collapsed="false">
      <c r="B7284" s="53"/>
      <c r="I7284" s="53"/>
      <c r="U7284" s="31" t="n">
        <f aca="false">IF($B7284&lt;&gt;'設定（最初に1回）'!$C$4,N(U7283),IF(COUNTIFS(①今日の在庫を貼る!$B$6:$B$10005,$B7284,①今日の在庫を貼る!$I$6:$I$10005,$I7284)&gt;0,N(U7283),N(U7283)+1))</f>
        <v>2</v>
      </c>
    </row>
    <row r="7285" customFormat="false" ht="15" hidden="false" customHeight="false" outlineLevel="0" collapsed="false">
      <c r="B7285" s="53"/>
      <c r="I7285" s="53"/>
      <c r="U7285" s="31" t="n">
        <f aca="false">IF($B7285&lt;&gt;'設定（最初に1回）'!$C$4,N(U7284),IF(COUNTIFS(①今日の在庫を貼る!$B$6:$B$10005,$B7285,①今日の在庫を貼る!$I$6:$I$10005,$I7285)&gt;0,N(U7284),N(U7284)+1))</f>
        <v>2</v>
      </c>
    </row>
    <row r="7286" customFormat="false" ht="15" hidden="false" customHeight="false" outlineLevel="0" collapsed="false">
      <c r="B7286" s="53"/>
      <c r="I7286" s="53"/>
      <c r="U7286" s="31" t="n">
        <f aca="false">IF($B7286&lt;&gt;'設定（最初に1回）'!$C$4,N(U7285),IF(COUNTIFS(①今日の在庫を貼る!$B$6:$B$10005,$B7286,①今日の在庫を貼る!$I$6:$I$10005,$I7286)&gt;0,N(U7285),N(U7285)+1))</f>
        <v>2</v>
      </c>
    </row>
    <row r="7287" customFormat="false" ht="15" hidden="false" customHeight="false" outlineLevel="0" collapsed="false">
      <c r="B7287" s="53"/>
      <c r="I7287" s="53"/>
      <c r="U7287" s="31" t="n">
        <f aca="false">IF($B7287&lt;&gt;'設定（最初に1回）'!$C$4,N(U7286),IF(COUNTIFS(①今日の在庫を貼る!$B$6:$B$10005,$B7287,①今日の在庫を貼る!$I$6:$I$10005,$I7287)&gt;0,N(U7286),N(U7286)+1))</f>
        <v>2</v>
      </c>
    </row>
    <row r="7288" customFormat="false" ht="15" hidden="false" customHeight="false" outlineLevel="0" collapsed="false">
      <c r="B7288" s="53"/>
      <c r="I7288" s="53"/>
      <c r="U7288" s="31" t="n">
        <f aca="false">IF($B7288&lt;&gt;'設定（最初に1回）'!$C$4,N(U7287),IF(COUNTIFS(①今日の在庫を貼る!$B$6:$B$10005,$B7288,①今日の在庫を貼る!$I$6:$I$10005,$I7288)&gt;0,N(U7287),N(U7287)+1))</f>
        <v>2</v>
      </c>
    </row>
    <row r="7289" customFormat="false" ht="15" hidden="false" customHeight="false" outlineLevel="0" collapsed="false">
      <c r="B7289" s="53"/>
      <c r="I7289" s="53"/>
      <c r="U7289" s="31" t="n">
        <f aca="false">IF($B7289&lt;&gt;'設定（最初に1回）'!$C$4,N(U7288),IF(COUNTIFS(①今日の在庫を貼る!$B$6:$B$10005,$B7289,①今日の在庫を貼る!$I$6:$I$10005,$I7289)&gt;0,N(U7288),N(U7288)+1))</f>
        <v>2</v>
      </c>
    </row>
    <row r="7290" customFormat="false" ht="15" hidden="false" customHeight="false" outlineLevel="0" collapsed="false">
      <c r="B7290" s="53"/>
      <c r="I7290" s="53"/>
      <c r="U7290" s="31" t="n">
        <f aca="false">IF($B7290&lt;&gt;'設定（最初に1回）'!$C$4,N(U7289),IF(COUNTIFS(①今日の在庫を貼る!$B$6:$B$10005,$B7290,①今日の在庫を貼る!$I$6:$I$10005,$I7290)&gt;0,N(U7289),N(U7289)+1))</f>
        <v>2</v>
      </c>
    </row>
    <row r="7291" customFormat="false" ht="15" hidden="false" customHeight="false" outlineLevel="0" collapsed="false">
      <c r="B7291" s="53"/>
      <c r="I7291" s="53"/>
      <c r="U7291" s="31" t="n">
        <f aca="false">IF($B7291&lt;&gt;'設定（最初に1回）'!$C$4,N(U7290),IF(COUNTIFS(①今日の在庫を貼る!$B$6:$B$10005,$B7291,①今日の在庫を貼る!$I$6:$I$10005,$I7291)&gt;0,N(U7290),N(U7290)+1))</f>
        <v>2</v>
      </c>
    </row>
    <row r="7292" customFormat="false" ht="15" hidden="false" customHeight="false" outlineLevel="0" collapsed="false">
      <c r="B7292" s="53"/>
      <c r="I7292" s="53"/>
      <c r="U7292" s="31" t="n">
        <f aca="false">IF($B7292&lt;&gt;'設定（最初に1回）'!$C$4,N(U7291),IF(COUNTIFS(①今日の在庫を貼る!$B$6:$B$10005,$B7292,①今日の在庫を貼る!$I$6:$I$10005,$I7292)&gt;0,N(U7291),N(U7291)+1))</f>
        <v>2</v>
      </c>
    </row>
    <row r="7293" customFormat="false" ht="15" hidden="false" customHeight="false" outlineLevel="0" collapsed="false">
      <c r="B7293" s="53"/>
      <c r="I7293" s="53"/>
      <c r="U7293" s="31" t="n">
        <f aca="false">IF($B7293&lt;&gt;'設定（最初に1回）'!$C$4,N(U7292),IF(COUNTIFS(①今日の在庫を貼る!$B$6:$B$10005,$B7293,①今日の在庫を貼る!$I$6:$I$10005,$I7293)&gt;0,N(U7292),N(U7292)+1))</f>
        <v>2</v>
      </c>
    </row>
    <row r="7294" customFormat="false" ht="15" hidden="false" customHeight="false" outlineLevel="0" collapsed="false">
      <c r="B7294" s="53"/>
      <c r="I7294" s="53"/>
      <c r="U7294" s="31" t="n">
        <f aca="false">IF($B7294&lt;&gt;'設定（最初に1回）'!$C$4,N(U7293),IF(COUNTIFS(①今日の在庫を貼る!$B$6:$B$10005,$B7294,①今日の在庫を貼る!$I$6:$I$10005,$I7294)&gt;0,N(U7293),N(U7293)+1))</f>
        <v>2</v>
      </c>
    </row>
    <row r="7295" customFormat="false" ht="15" hidden="false" customHeight="false" outlineLevel="0" collapsed="false">
      <c r="B7295" s="53"/>
      <c r="I7295" s="53"/>
      <c r="U7295" s="31" t="n">
        <f aca="false">IF($B7295&lt;&gt;'設定（最初に1回）'!$C$4,N(U7294),IF(COUNTIFS(①今日の在庫を貼る!$B$6:$B$10005,$B7295,①今日の在庫を貼る!$I$6:$I$10005,$I7295)&gt;0,N(U7294),N(U7294)+1))</f>
        <v>2</v>
      </c>
    </row>
    <row r="7296" customFormat="false" ht="15" hidden="false" customHeight="false" outlineLevel="0" collapsed="false">
      <c r="B7296" s="53"/>
      <c r="I7296" s="53"/>
      <c r="U7296" s="31" t="n">
        <f aca="false">IF($B7296&lt;&gt;'設定（最初に1回）'!$C$4,N(U7295),IF(COUNTIFS(①今日の在庫を貼る!$B$6:$B$10005,$B7296,①今日の在庫を貼る!$I$6:$I$10005,$I7296)&gt;0,N(U7295),N(U7295)+1))</f>
        <v>2</v>
      </c>
    </row>
    <row r="7297" customFormat="false" ht="15" hidden="false" customHeight="false" outlineLevel="0" collapsed="false">
      <c r="B7297" s="53"/>
      <c r="I7297" s="53"/>
      <c r="U7297" s="31" t="n">
        <f aca="false">IF($B7297&lt;&gt;'設定（最初に1回）'!$C$4,N(U7296),IF(COUNTIFS(①今日の在庫を貼る!$B$6:$B$10005,$B7297,①今日の在庫を貼る!$I$6:$I$10005,$I7297)&gt;0,N(U7296),N(U7296)+1))</f>
        <v>2</v>
      </c>
    </row>
    <row r="7298" customFormat="false" ht="15" hidden="false" customHeight="false" outlineLevel="0" collapsed="false">
      <c r="B7298" s="53"/>
      <c r="I7298" s="53"/>
      <c r="U7298" s="31" t="n">
        <f aca="false">IF($B7298&lt;&gt;'設定（最初に1回）'!$C$4,N(U7297),IF(COUNTIFS(①今日の在庫を貼る!$B$6:$B$10005,$B7298,①今日の在庫を貼る!$I$6:$I$10005,$I7298)&gt;0,N(U7297),N(U7297)+1))</f>
        <v>2</v>
      </c>
    </row>
    <row r="7299" customFormat="false" ht="15" hidden="false" customHeight="false" outlineLevel="0" collapsed="false">
      <c r="B7299" s="53"/>
      <c r="I7299" s="53"/>
      <c r="U7299" s="31" t="n">
        <f aca="false">IF($B7299&lt;&gt;'設定（最初に1回）'!$C$4,N(U7298),IF(COUNTIFS(①今日の在庫を貼る!$B$6:$B$10005,$B7299,①今日の在庫を貼る!$I$6:$I$10005,$I7299)&gt;0,N(U7298),N(U7298)+1))</f>
        <v>2</v>
      </c>
    </row>
    <row r="7300" customFormat="false" ht="15" hidden="false" customHeight="false" outlineLevel="0" collapsed="false">
      <c r="B7300" s="53"/>
      <c r="I7300" s="53"/>
      <c r="U7300" s="31" t="n">
        <f aca="false">IF($B7300&lt;&gt;'設定（最初に1回）'!$C$4,N(U7299),IF(COUNTIFS(①今日の在庫を貼る!$B$6:$B$10005,$B7300,①今日の在庫を貼る!$I$6:$I$10005,$I7300)&gt;0,N(U7299),N(U7299)+1))</f>
        <v>2</v>
      </c>
    </row>
    <row r="7301" customFormat="false" ht="15" hidden="false" customHeight="false" outlineLevel="0" collapsed="false">
      <c r="B7301" s="53"/>
      <c r="I7301" s="53"/>
      <c r="U7301" s="31" t="n">
        <f aca="false">IF($B7301&lt;&gt;'設定（最初に1回）'!$C$4,N(U7300),IF(COUNTIFS(①今日の在庫を貼る!$B$6:$B$10005,$B7301,①今日の在庫を貼る!$I$6:$I$10005,$I7301)&gt;0,N(U7300),N(U7300)+1))</f>
        <v>2</v>
      </c>
    </row>
    <row r="7302" customFormat="false" ht="15" hidden="false" customHeight="false" outlineLevel="0" collapsed="false">
      <c r="B7302" s="53"/>
      <c r="I7302" s="53"/>
      <c r="U7302" s="31" t="n">
        <f aca="false">IF($B7302&lt;&gt;'設定（最初に1回）'!$C$4,N(U7301),IF(COUNTIFS(①今日の在庫を貼る!$B$6:$B$10005,$B7302,①今日の在庫を貼る!$I$6:$I$10005,$I7302)&gt;0,N(U7301),N(U7301)+1))</f>
        <v>2</v>
      </c>
    </row>
    <row r="7303" customFormat="false" ht="15" hidden="false" customHeight="false" outlineLevel="0" collapsed="false">
      <c r="B7303" s="53"/>
      <c r="I7303" s="53"/>
      <c r="U7303" s="31" t="n">
        <f aca="false">IF($B7303&lt;&gt;'設定（最初に1回）'!$C$4,N(U7302),IF(COUNTIFS(①今日の在庫を貼る!$B$6:$B$10005,$B7303,①今日の在庫を貼る!$I$6:$I$10005,$I7303)&gt;0,N(U7302),N(U7302)+1))</f>
        <v>2</v>
      </c>
    </row>
    <row r="7304" customFormat="false" ht="15" hidden="false" customHeight="false" outlineLevel="0" collapsed="false">
      <c r="B7304" s="53"/>
      <c r="I7304" s="53"/>
      <c r="U7304" s="31" t="n">
        <f aca="false">IF($B7304&lt;&gt;'設定（最初に1回）'!$C$4,N(U7303),IF(COUNTIFS(①今日の在庫を貼る!$B$6:$B$10005,$B7304,①今日の在庫を貼る!$I$6:$I$10005,$I7304)&gt;0,N(U7303),N(U7303)+1))</f>
        <v>2</v>
      </c>
    </row>
    <row r="7305" customFormat="false" ht="15" hidden="false" customHeight="false" outlineLevel="0" collapsed="false">
      <c r="B7305" s="53"/>
      <c r="I7305" s="53"/>
      <c r="U7305" s="31" t="n">
        <f aca="false">IF($B7305&lt;&gt;'設定（最初に1回）'!$C$4,N(U7304),IF(COUNTIFS(①今日の在庫を貼る!$B$6:$B$10005,$B7305,①今日の在庫を貼る!$I$6:$I$10005,$I7305)&gt;0,N(U7304),N(U7304)+1))</f>
        <v>2</v>
      </c>
    </row>
    <row r="7306" customFormat="false" ht="15" hidden="false" customHeight="false" outlineLevel="0" collapsed="false">
      <c r="B7306" s="53"/>
      <c r="I7306" s="53"/>
      <c r="U7306" s="31" t="n">
        <f aca="false">IF($B7306&lt;&gt;'設定（最初に1回）'!$C$4,N(U7305),IF(COUNTIFS(①今日の在庫を貼る!$B$6:$B$10005,$B7306,①今日の在庫を貼る!$I$6:$I$10005,$I7306)&gt;0,N(U7305),N(U7305)+1))</f>
        <v>2</v>
      </c>
    </row>
    <row r="7307" customFormat="false" ht="15" hidden="false" customHeight="false" outlineLevel="0" collapsed="false">
      <c r="B7307" s="53"/>
      <c r="I7307" s="53"/>
      <c r="U7307" s="31" t="n">
        <f aca="false">IF($B7307&lt;&gt;'設定（最初に1回）'!$C$4,N(U7306),IF(COUNTIFS(①今日の在庫を貼る!$B$6:$B$10005,$B7307,①今日の在庫を貼る!$I$6:$I$10005,$I7307)&gt;0,N(U7306),N(U7306)+1))</f>
        <v>2</v>
      </c>
    </row>
    <row r="7308" customFormat="false" ht="15" hidden="false" customHeight="false" outlineLevel="0" collapsed="false">
      <c r="B7308" s="53"/>
      <c r="I7308" s="53"/>
      <c r="U7308" s="31" t="n">
        <f aca="false">IF($B7308&lt;&gt;'設定（最初に1回）'!$C$4,N(U7307),IF(COUNTIFS(①今日の在庫を貼る!$B$6:$B$10005,$B7308,①今日の在庫を貼る!$I$6:$I$10005,$I7308)&gt;0,N(U7307),N(U7307)+1))</f>
        <v>2</v>
      </c>
    </row>
    <row r="7309" customFormat="false" ht="15" hidden="false" customHeight="false" outlineLevel="0" collapsed="false">
      <c r="B7309" s="53"/>
      <c r="I7309" s="53"/>
      <c r="U7309" s="31" t="n">
        <f aca="false">IF($B7309&lt;&gt;'設定（最初に1回）'!$C$4,N(U7308),IF(COUNTIFS(①今日の在庫を貼る!$B$6:$B$10005,$B7309,①今日の在庫を貼る!$I$6:$I$10005,$I7309)&gt;0,N(U7308),N(U7308)+1))</f>
        <v>2</v>
      </c>
    </row>
    <row r="7310" customFormat="false" ht="15" hidden="false" customHeight="false" outlineLevel="0" collapsed="false">
      <c r="B7310" s="53"/>
      <c r="I7310" s="53"/>
      <c r="U7310" s="31" t="n">
        <f aca="false">IF($B7310&lt;&gt;'設定（最初に1回）'!$C$4,N(U7309),IF(COUNTIFS(①今日の在庫を貼る!$B$6:$B$10005,$B7310,①今日の在庫を貼る!$I$6:$I$10005,$I7310)&gt;0,N(U7309),N(U7309)+1))</f>
        <v>2</v>
      </c>
    </row>
    <row r="7311" customFormat="false" ht="15" hidden="false" customHeight="false" outlineLevel="0" collapsed="false">
      <c r="B7311" s="53"/>
      <c r="I7311" s="53"/>
      <c r="U7311" s="31" t="n">
        <f aca="false">IF($B7311&lt;&gt;'設定（最初に1回）'!$C$4,N(U7310),IF(COUNTIFS(①今日の在庫を貼る!$B$6:$B$10005,$B7311,①今日の在庫を貼る!$I$6:$I$10005,$I7311)&gt;0,N(U7310),N(U7310)+1))</f>
        <v>2</v>
      </c>
    </row>
    <row r="7312" customFormat="false" ht="15" hidden="false" customHeight="false" outlineLevel="0" collapsed="false">
      <c r="B7312" s="53"/>
      <c r="I7312" s="53"/>
      <c r="U7312" s="31" t="n">
        <f aca="false">IF($B7312&lt;&gt;'設定（最初に1回）'!$C$4,N(U7311),IF(COUNTIFS(①今日の在庫を貼る!$B$6:$B$10005,$B7312,①今日の在庫を貼る!$I$6:$I$10005,$I7312)&gt;0,N(U7311),N(U7311)+1))</f>
        <v>2</v>
      </c>
    </row>
    <row r="7313" customFormat="false" ht="15" hidden="false" customHeight="false" outlineLevel="0" collapsed="false">
      <c r="B7313" s="53"/>
      <c r="I7313" s="53"/>
      <c r="U7313" s="31" t="n">
        <f aca="false">IF($B7313&lt;&gt;'設定（最初に1回）'!$C$4,N(U7312),IF(COUNTIFS(①今日の在庫を貼る!$B$6:$B$10005,$B7313,①今日の在庫を貼る!$I$6:$I$10005,$I7313)&gt;0,N(U7312),N(U7312)+1))</f>
        <v>2</v>
      </c>
    </row>
    <row r="7314" customFormat="false" ht="15" hidden="false" customHeight="false" outlineLevel="0" collapsed="false">
      <c r="B7314" s="53"/>
      <c r="I7314" s="53"/>
      <c r="U7314" s="31" t="n">
        <f aca="false">IF($B7314&lt;&gt;'設定（最初に1回）'!$C$4,N(U7313),IF(COUNTIFS(①今日の在庫を貼る!$B$6:$B$10005,$B7314,①今日の在庫を貼る!$I$6:$I$10005,$I7314)&gt;0,N(U7313),N(U7313)+1))</f>
        <v>2</v>
      </c>
    </row>
    <row r="7315" customFormat="false" ht="15" hidden="false" customHeight="false" outlineLevel="0" collapsed="false">
      <c r="B7315" s="53"/>
      <c r="I7315" s="53"/>
      <c r="U7315" s="31" t="n">
        <f aca="false">IF($B7315&lt;&gt;'設定（最初に1回）'!$C$4,N(U7314),IF(COUNTIFS(①今日の在庫を貼る!$B$6:$B$10005,$B7315,①今日の在庫を貼る!$I$6:$I$10005,$I7315)&gt;0,N(U7314),N(U7314)+1))</f>
        <v>2</v>
      </c>
    </row>
    <row r="7316" customFormat="false" ht="15" hidden="false" customHeight="false" outlineLevel="0" collapsed="false">
      <c r="B7316" s="53"/>
      <c r="I7316" s="53"/>
      <c r="U7316" s="31" t="n">
        <f aca="false">IF($B7316&lt;&gt;'設定（最初に1回）'!$C$4,N(U7315),IF(COUNTIFS(①今日の在庫を貼る!$B$6:$B$10005,$B7316,①今日の在庫を貼る!$I$6:$I$10005,$I7316)&gt;0,N(U7315),N(U7315)+1))</f>
        <v>2</v>
      </c>
    </row>
    <row r="7317" customFormat="false" ht="15" hidden="false" customHeight="false" outlineLevel="0" collapsed="false">
      <c r="B7317" s="53"/>
      <c r="I7317" s="53"/>
      <c r="U7317" s="31" t="n">
        <f aca="false">IF($B7317&lt;&gt;'設定（最初に1回）'!$C$4,N(U7316),IF(COUNTIFS(①今日の在庫を貼る!$B$6:$B$10005,$B7317,①今日の在庫を貼る!$I$6:$I$10005,$I7317)&gt;0,N(U7316),N(U7316)+1))</f>
        <v>2</v>
      </c>
    </row>
    <row r="7318" customFormat="false" ht="15" hidden="false" customHeight="false" outlineLevel="0" collapsed="false">
      <c r="B7318" s="53"/>
      <c r="I7318" s="53"/>
      <c r="U7318" s="31" t="n">
        <f aca="false">IF($B7318&lt;&gt;'設定（最初に1回）'!$C$4,N(U7317),IF(COUNTIFS(①今日の在庫を貼る!$B$6:$B$10005,$B7318,①今日の在庫を貼る!$I$6:$I$10005,$I7318)&gt;0,N(U7317),N(U7317)+1))</f>
        <v>2</v>
      </c>
    </row>
    <row r="7319" customFormat="false" ht="15" hidden="false" customHeight="false" outlineLevel="0" collapsed="false">
      <c r="B7319" s="53"/>
      <c r="I7319" s="53"/>
      <c r="U7319" s="31" t="n">
        <f aca="false">IF($B7319&lt;&gt;'設定（最初に1回）'!$C$4,N(U7318),IF(COUNTIFS(①今日の在庫を貼る!$B$6:$B$10005,$B7319,①今日の在庫を貼る!$I$6:$I$10005,$I7319)&gt;0,N(U7318),N(U7318)+1))</f>
        <v>2</v>
      </c>
    </row>
    <row r="7320" customFormat="false" ht="15" hidden="false" customHeight="false" outlineLevel="0" collapsed="false">
      <c r="B7320" s="53"/>
      <c r="I7320" s="53"/>
      <c r="U7320" s="31" t="n">
        <f aca="false">IF($B7320&lt;&gt;'設定（最初に1回）'!$C$4,N(U7319),IF(COUNTIFS(①今日の在庫を貼る!$B$6:$B$10005,$B7320,①今日の在庫を貼る!$I$6:$I$10005,$I7320)&gt;0,N(U7319),N(U7319)+1))</f>
        <v>2</v>
      </c>
    </row>
    <row r="7321" customFormat="false" ht="15" hidden="false" customHeight="false" outlineLevel="0" collapsed="false">
      <c r="B7321" s="53"/>
      <c r="I7321" s="53"/>
      <c r="U7321" s="31" t="n">
        <f aca="false">IF($B7321&lt;&gt;'設定（最初に1回）'!$C$4,N(U7320),IF(COUNTIFS(①今日の在庫を貼る!$B$6:$B$10005,$B7321,①今日の在庫を貼る!$I$6:$I$10005,$I7321)&gt;0,N(U7320),N(U7320)+1))</f>
        <v>2</v>
      </c>
    </row>
    <row r="7322" customFormat="false" ht="15" hidden="false" customHeight="false" outlineLevel="0" collapsed="false">
      <c r="B7322" s="53"/>
      <c r="I7322" s="53"/>
      <c r="U7322" s="31" t="n">
        <f aca="false">IF($B7322&lt;&gt;'設定（最初に1回）'!$C$4,N(U7321),IF(COUNTIFS(①今日の在庫を貼る!$B$6:$B$10005,$B7322,①今日の在庫を貼る!$I$6:$I$10005,$I7322)&gt;0,N(U7321),N(U7321)+1))</f>
        <v>2</v>
      </c>
    </row>
    <row r="7323" customFormat="false" ht="15" hidden="false" customHeight="false" outlineLevel="0" collapsed="false">
      <c r="B7323" s="53"/>
      <c r="I7323" s="53"/>
      <c r="U7323" s="31" t="n">
        <f aca="false">IF($B7323&lt;&gt;'設定（最初に1回）'!$C$4,N(U7322),IF(COUNTIFS(①今日の在庫を貼る!$B$6:$B$10005,$B7323,①今日の在庫を貼る!$I$6:$I$10005,$I7323)&gt;0,N(U7322),N(U7322)+1))</f>
        <v>2</v>
      </c>
    </row>
    <row r="7324" customFormat="false" ht="15" hidden="false" customHeight="false" outlineLevel="0" collapsed="false">
      <c r="B7324" s="53"/>
      <c r="I7324" s="53"/>
      <c r="U7324" s="31" t="n">
        <f aca="false">IF($B7324&lt;&gt;'設定（最初に1回）'!$C$4,N(U7323),IF(COUNTIFS(①今日の在庫を貼る!$B$6:$B$10005,$B7324,①今日の在庫を貼る!$I$6:$I$10005,$I7324)&gt;0,N(U7323),N(U7323)+1))</f>
        <v>2</v>
      </c>
    </row>
    <row r="7325" customFormat="false" ht="15" hidden="false" customHeight="false" outlineLevel="0" collapsed="false">
      <c r="B7325" s="53"/>
      <c r="I7325" s="53"/>
      <c r="U7325" s="31" t="n">
        <f aca="false">IF($B7325&lt;&gt;'設定（最初に1回）'!$C$4,N(U7324),IF(COUNTIFS(①今日の在庫を貼る!$B$6:$B$10005,$B7325,①今日の在庫を貼る!$I$6:$I$10005,$I7325)&gt;0,N(U7324),N(U7324)+1))</f>
        <v>2</v>
      </c>
    </row>
    <row r="7326" customFormat="false" ht="15" hidden="false" customHeight="false" outlineLevel="0" collapsed="false">
      <c r="B7326" s="53"/>
      <c r="I7326" s="53"/>
      <c r="U7326" s="31" t="n">
        <f aca="false">IF($B7326&lt;&gt;'設定（最初に1回）'!$C$4,N(U7325),IF(COUNTIFS(①今日の在庫を貼る!$B$6:$B$10005,$B7326,①今日の在庫を貼る!$I$6:$I$10005,$I7326)&gt;0,N(U7325),N(U7325)+1))</f>
        <v>2</v>
      </c>
    </row>
    <row r="7327" customFormat="false" ht="15" hidden="false" customHeight="false" outlineLevel="0" collapsed="false">
      <c r="B7327" s="53"/>
      <c r="I7327" s="53"/>
      <c r="U7327" s="31" t="n">
        <f aca="false">IF($B7327&lt;&gt;'設定（最初に1回）'!$C$4,N(U7326),IF(COUNTIFS(①今日の在庫を貼る!$B$6:$B$10005,$B7327,①今日の在庫を貼る!$I$6:$I$10005,$I7327)&gt;0,N(U7326),N(U7326)+1))</f>
        <v>2</v>
      </c>
    </row>
    <row r="7328" customFormat="false" ht="15" hidden="false" customHeight="false" outlineLevel="0" collapsed="false">
      <c r="B7328" s="53"/>
      <c r="I7328" s="53"/>
      <c r="U7328" s="31" t="n">
        <f aca="false">IF($B7328&lt;&gt;'設定（最初に1回）'!$C$4,N(U7327),IF(COUNTIFS(①今日の在庫を貼る!$B$6:$B$10005,$B7328,①今日の在庫を貼る!$I$6:$I$10005,$I7328)&gt;0,N(U7327),N(U7327)+1))</f>
        <v>2</v>
      </c>
    </row>
    <row r="7329" customFormat="false" ht="15" hidden="false" customHeight="false" outlineLevel="0" collapsed="false">
      <c r="B7329" s="53"/>
      <c r="I7329" s="53"/>
      <c r="U7329" s="31" t="n">
        <f aca="false">IF($B7329&lt;&gt;'設定（最初に1回）'!$C$4,N(U7328),IF(COUNTIFS(①今日の在庫を貼る!$B$6:$B$10005,$B7329,①今日の在庫を貼る!$I$6:$I$10005,$I7329)&gt;0,N(U7328),N(U7328)+1))</f>
        <v>2</v>
      </c>
    </row>
    <row r="7330" customFormat="false" ht="15" hidden="false" customHeight="false" outlineLevel="0" collapsed="false">
      <c r="B7330" s="53"/>
      <c r="I7330" s="53"/>
      <c r="U7330" s="31" t="n">
        <f aca="false">IF($B7330&lt;&gt;'設定（最初に1回）'!$C$4,N(U7329),IF(COUNTIFS(①今日の在庫を貼る!$B$6:$B$10005,$B7330,①今日の在庫を貼る!$I$6:$I$10005,$I7330)&gt;0,N(U7329),N(U7329)+1))</f>
        <v>2</v>
      </c>
    </row>
    <row r="7331" customFormat="false" ht="15" hidden="false" customHeight="false" outlineLevel="0" collapsed="false">
      <c r="B7331" s="53"/>
      <c r="I7331" s="53"/>
      <c r="U7331" s="31" t="n">
        <f aca="false">IF($B7331&lt;&gt;'設定（最初に1回）'!$C$4,N(U7330),IF(COUNTIFS(①今日の在庫を貼る!$B$6:$B$10005,$B7331,①今日の在庫を貼る!$I$6:$I$10005,$I7331)&gt;0,N(U7330),N(U7330)+1))</f>
        <v>2</v>
      </c>
    </row>
    <row r="7332" customFormat="false" ht="15" hidden="false" customHeight="false" outlineLevel="0" collapsed="false">
      <c r="B7332" s="53"/>
      <c r="I7332" s="53"/>
      <c r="U7332" s="31" t="n">
        <f aca="false">IF($B7332&lt;&gt;'設定（最初に1回）'!$C$4,N(U7331),IF(COUNTIFS(①今日の在庫を貼る!$B$6:$B$10005,$B7332,①今日の在庫を貼る!$I$6:$I$10005,$I7332)&gt;0,N(U7331),N(U7331)+1))</f>
        <v>2</v>
      </c>
    </row>
    <row r="7333" customFormat="false" ht="15" hidden="false" customHeight="false" outlineLevel="0" collapsed="false">
      <c r="B7333" s="53"/>
      <c r="I7333" s="53"/>
      <c r="U7333" s="31" t="n">
        <f aca="false">IF($B7333&lt;&gt;'設定（最初に1回）'!$C$4,N(U7332),IF(COUNTIFS(①今日の在庫を貼る!$B$6:$B$10005,$B7333,①今日の在庫を貼る!$I$6:$I$10005,$I7333)&gt;0,N(U7332),N(U7332)+1))</f>
        <v>2</v>
      </c>
    </row>
    <row r="7334" customFormat="false" ht="15" hidden="false" customHeight="false" outlineLevel="0" collapsed="false">
      <c r="B7334" s="53"/>
      <c r="I7334" s="53"/>
      <c r="U7334" s="31" t="n">
        <f aca="false">IF($B7334&lt;&gt;'設定（最初に1回）'!$C$4,N(U7333),IF(COUNTIFS(①今日の在庫を貼る!$B$6:$B$10005,$B7334,①今日の在庫を貼る!$I$6:$I$10005,$I7334)&gt;0,N(U7333),N(U7333)+1))</f>
        <v>2</v>
      </c>
    </row>
    <row r="7335" customFormat="false" ht="15" hidden="false" customHeight="false" outlineLevel="0" collapsed="false">
      <c r="B7335" s="53"/>
      <c r="I7335" s="53"/>
      <c r="U7335" s="31" t="n">
        <f aca="false">IF($B7335&lt;&gt;'設定（最初に1回）'!$C$4,N(U7334),IF(COUNTIFS(①今日の在庫を貼る!$B$6:$B$10005,$B7335,①今日の在庫を貼る!$I$6:$I$10005,$I7335)&gt;0,N(U7334),N(U7334)+1))</f>
        <v>2</v>
      </c>
    </row>
    <row r="7336" customFormat="false" ht="15" hidden="false" customHeight="false" outlineLevel="0" collapsed="false">
      <c r="B7336" s="53"/>
      <c r="I7336" s="53"/>
      <c r="U7336" s="31" t="n">
        <f aca="false">IF($B7336&lt;&gt;'設定（最初に1回）'!$C$4,N(U7335),IF(COUNTIFS(①今日の在庫を貼る!$B$6:$B$10005,$B7336,①今日の在庫を貼る!$I$6:$I$10005,$I7336)&gt;0,N(U7335),N(U7335)+1))</f>
        <v>2</v>
      </c>
    </row>
    <row r="7337" customFormat="false" ht="15" hidden="false" customHeight="false" outlineLevel="0" collapsed="false">
      <c r="B7337" s="53"/>
      <c r="I7337" s="53"/>
      <c r="U7337" s="31" t="n">
        <f aca="false">IF($B7337&lt;&gt;'設定（最初に1回）'!$C$4,N(U7336),IF(COUNTIFS(①今日の在庫を貼る!$B$6:$B$10005,$B7337,①今日の在庫を貼る!$I$6:$I$10005,$I7337)&gt;0,N(U7336),N(U7336)+1))</f>
        <v>2</v>
      </c>
    </row>
    <row r="7338" customFormat="false" ht="15" hidden="false" customHeight="false" outlineLevel="0" collapsed="false">
      <c r="B7338" s="53"/>
      <c r="I7338" s="53"/>
      <c r="U7338" s="31" t="n">
        <f aca="false">IF($B7338&lt;&gt;'設定（最初に1回）'!$C$4,N(U7337),IF(COUNTIFS(①今日の在庫を貼る!$B$6:$B$10005,$B7338,①今日の在庫を貼る!$I$6:$I$10005,$I7338)&gt;0,N(U7337),N(U7337)+1))</f>
        <v>2</v>
      </c>
    </row>
    <row r="7339" customFormat="false" ht="15" hidden="false" customHeight="false" outlineLevel="0" collapsed="false">
      <c r="B7339" s="53"/>
      <c r="I7339" s="53"/>
      <c r="U7339" s="31" t="n">
        <f aca="false">IF($B7339&lt;&gt;'設定（最初に1回）'!$C$4,N(U7338),IF(COUNTIFS(①今日の在庫を貼る!$B$6:$B$10005,$B7339,①今日の在庫を貼る!$I$6:$I$10005,$I7339)&gt;0,N(U7338),N(U7338)+1))</f>
        <v>2</v>
      </c>
    </row>
    <row r="7340" customFormat="false" ht="15" hidden="false" customHeight="false" outlineLevel="0" collapsed="false">
      <c r="B7340" s="53"/>
      <c r="I7340" s="53"/>
      <c r="U7340" s="31" t="n">
        <f aca="false">IF($B7340&lt;&gt;'設定（最初に1回）'!$C$4,N(U7339),IF(COUNTIFS(①今日の在庫を貼る!$B$6:$B$10005,$B7340,①今日の在庫を貼る!$I$6:$I$10005,$I7340)&gt;0,N(U7339),N(U7339)+1))</f>
        <v>2</v>
      </c>
    </row>
    <row r="7341" customFormat="false" ht="15" hidden="false" customHeight="false" outlineLevel="0" collapsed="false">
      <c r="B7341" s="53"/>
      <c r="I7341" s="53"/>
      <c r="U7341" s="31" t="n">
        <f aca="false">IF($B7341&lt;&gt;'設定（最初に1回）'!$C$4,N(U7340),IF(COUNTIFS(①今日の在庫を貼る!$B$6:$B$10005,$B7341,①今日の在庫を貼る!$I$6:$I$10005,$I7341)&gt;0,N(U7340),N(U7340)+1))</f>
        <v>2</v>
      </c>
    </row>
    <row r="7342" customFormat="false" ht="15" hidden="false" customHeight="false" outlineLevel="0" collapsed="false">
      <c r="B7342" s="53"/>
      <c r="I7342" s="53"/>
      <c r="U7342" s="31" t="n">
        <f aca="false">IF($B7342&lt;&gt;'設定（最初に1回）'!$C$4,N(U7341),IF(COUNTIFS(①今日の在庫を貼る!$B$6:$B$10005,$B7342,①今日の在庫を貼る!$I$6:$I$10005,$I7342)&gt;0,N(U7341),N(U7341)+1))</f>
        <v>2</v>
      </c>
    </row>
    <row r="7343" customFormat="false" ht="15" hidden="false" customHeight="false" outlineLevel="0" collapsed="false">
      <c r="B7343" s="53"/>
      <c r="I7343" s="53"/>
      <c r="U7343" s="31" t="n">
        <f aca="false">IF($B7343&lt;&gt;'設定（最初に1回）'!$C$4,N(U7342),IF(COUNTIFS(①今日の在庫を貼る!$B$6:$B$10005,$B7343,①今日の在庫を貼る!$I$6:$I$10005,$I7343)&gt;0,N(U7342),N(U7342)+1))</f>
        <v>2</v>
      </c>
    </row>
    <row r="7344" customFormat="false" ht="15" hidden="false" customHeight="false" outlineLevel="0" collapsed="false">
      <c r="B7344" s="53"/>
      <c r="I7344" s="53"/>
      <c r="U7344" s="31" t="n">
        <f aca="false">IF($B7344&lt;&gt;'設定（最初に1回）'!$C$4,N(U7343),IF(COUNTIFS(①今日の在庫を貼る!$B$6:$B$10005,$B7344,①今日の在庫を貼る!$I$6:$I$10005,$I7344)&gt;0,N(U7343),N(U7343)+1))</f>
        <v>2</v>
      </c>
    </row>
    <row r="7345" customFormat="false" ht="15" hidden="false" customHeight="false" outlineLevel="0" collapsed="false">
      <c r="B7345" s="53"/>
      <c r="I7345" s="53"/>
      <c r="U7345" s="31" t="n">
        <f aca="false">IF($B7345&lt;&gt;'設定（最初に1回）'!$C$4,N(U7344),IF(COUNTIFS(①今日の在庫を貼る!$B$6:$B$10005,$B7345,①今日の在庫を貼る!$I$6:$I$10005,$I7345)&gt;0,N(U7344),N(U7344)+1))</f>
        <v>2</v>
      </c>
    </row>
    <row r="7346" customFormat="false" ht="15" hidden="false" customHeight="false" outlineLevel="0" collapsed="false">
      <c r="B7346" s="53"/>
      <c r="I7346" s="53"/>
      <c r="U7346" s="31" t="n">
        <f aca="false">IF($B7346&lt;&gt;'設定（最初に1回）'!$C$4,N(U7345),IF(COUNTIFS(①今日の在庫を貼る!$B$6:$B$10005,$B7346,①今日の在庫を貼る!$I$6:$I$10005,$I7346)&gt;0,N(U7345),N(U7345)+1))</f>
        <v>2</v>
      </c>
    </row>
    <row r="7347" customFormat="false" ht="15" hidden="false" customHeight="false" outlineLevel="0" collapsed="false">
      <c r="B7347" s="53"/>
      <c r="I7347" s="53"/>
      <c r="U7347" s="31" t="n">
        <f aca="false">IF($B7347&lt;&gt;'設定（最初に1回）'!$C$4,N(U7346),IF(COUNTIFS(①今日の在庫を貼る!$B$6:$B$10005,$B7347,①今日の在庫を貼る!$I$6:$I$10005,$I7347)&gt;0,N(U7346),N(U7346)+1))</f>
        <v>2</v>
      </c>
    </row>
    <row r="7348" customFormat="false" ht="15" hidden="false" customHeight="false" outlineLevel="0" collapsed="false">
      <c r="B7348" s="53"/>
      <c r="I7348" s="53"/>
      <c r="U7348" s="31" t="n">
        <f aca="false">IF($B7348&lt;&gt;'設定（最初に1回）'!$C$4,N(U7347),IF(COUNTIFS(①今日の在庫を貼る!$B$6:$B$10005,$B7348,①今日の在庫を貼る!$I$6:$I$10005,$I7348)&gt;0,N(U7347),N(U7347)+1))</f>
        <v>2</v>
      </c>
    </row>
    <row r="7349" customFormat="false" ht="15" hidden="false" customHeight="false" outlineLevel="0" collapsed="false">
      <c r="B7349" s="53"/>
      <c r="I7349" s="53"/>
      <c r="U7349" s="31" t="n">
        <f aca="false">IF($B7349&lt;&gt;'設定（最初に1回）'!$C$4,N(U7348),IF(COUNTIFS(①今日の在庫を貼る!$B$6:$B$10005,$B7349,①今日の在庫を貼る!$I$6:$I$10005,$I7349)&gt;0,N(U7348),N(U7348)+1))</f>
        <v>2</v>
      </c>
    </row>
    <row r="7350" customFormat="false" ht="15" hidden="false" customHeight="false" outlineLevel="0" collapsed="false">
      <c r="B7350" s="53"/>
      <c r="I7350" s="53"/>
      <c r="U7350" s="31" t="n">
        <f aca="false">IF($B7350&lt;&gt;'設定（最初に1回）'!$C$4,N(U7349),IF(COUNTIFS(①今日の在庫を貼る!$B$6:$B$10005,$B7350,①今日の在庫を貼る!$I$6:$I$10005,$I7350)&gt;0,N(U7349),N(U7349)+1))</f>
        <v>2</v>
      </c>
    </row>
    <row r="7351" customFormat="false" ht="15" hidden="false" customHeight="false" outlineLevel="0" collapsed="false">
      <c r="B7351" s="53"/>
      <c r="I7351" s="53"/>
      <c r="U7351" s="31" t="n">
        <f aca="false">IF($B7351&lt;&gt;'設定（最初に1回）'!$C$4,N(U7350),IF(COUNTIFS(①今日の在庫を貼る!$B$6:$B$10005,$B7351,①今日の在庫を貼る!$I$6:$I$10005,$I7351)&gt;0,N(U7350),N(U7350)+1))</f>
        <v>2</v>
      </c>
    </row>
    <row r="7352" customFormat="false" ht="15" hidden="false" customHeight="false" outlineLevel="0" collapsed="false">
      <c r="B7352" s="53"/>
      <c r="I7352" s="53"/>
      <c r="U7352" s="31" t="n">
        <f aca="false">IF($B7352&lt;&gt;'設定（最初に1回）'!$C$4,N(U7351),IF(COUNTIFS(①今日の在庫を貼る!$B$6:$B$10005,$B7352,①今日の在庫を貼る!$I$6:$I$10005,$I7352)&gt;0,N(U7351),N(U7351)+1))</f>
        <v>2</v>
      </c>
    </row>
    <row r="7353" customFormat="false" ht="15" hidden="false" customHeight="false" outlineLevel="0" collapsed="false">
      <c r="B7353" s="53"/>
      <c r="I7353" s="53"/>
      <c r="U7353" s="31" t="n">
        <f aca="false">IF($B7353&lt;&gt;'設定（最初に1回）'!$C$4,N(U7352),IF(COUNTIFS(①今日の在庫を貼る!$B$6:$B$10005,$B7353,①今日の在庫を貼る!$I$6:$I$10005,$I7353)&gt;0,N(U7352),N(U7352)+1))</f>
        <v>2</v>
      </c>
    </row>
    <row r="7354" customFormat="false" ht="15" hidden="false" customHeight="false" outlineLevel="0" collapsed="false">
      <c r="B7354" s="53"/>
      <c r="I7354" s="53"/>
      <c r="U7354" s="31" t="n">
        <f aca="false">IF($B7354&lt;&gt;'設定（最初に1回）'!$C$4,N(U7353),IF(COUNTIFS(①今日の在庫を貼る!$B$6:$B$10005,$B7354,①今日の在庫を貼る!$I$6:$I$10005,$I7354)&gt;0,N(U7353),N(U7353)+1))</f>
        <v>2</v>
      </c>
    </row>
    <row r="7355" customFormat="false" ht="15" hidden="false" customHeight="false" outlineLevel="0" collapsed="false">
      <c r="B7355" s="53"/>
      <c r="I7355" s="53"/>
      <c r="U7355" s="31" t="n">
        <f aca="false">IF($B7355&lt;&gt;'設定（最初に1回）'!$C$4,N(U7354),IF(COUNTIFS(①今日の在庫を貼る!$B$6:$B$10005,$B7355,①今日の在庫を貼る!$I$6:$I$10005,$I7355)&gt;0,N(U7354),N(U7354)+1))</f>
        <v>2</v>
      </c>
    </row>
    <row r="7356" customFormat="false" ht="15" hidden="false" customHeight="false" outlineLevel="0" collapsed="false">
      <c r="B7356" s="53"/>
      <c r="I7356" s="53"/>
      <c r="U7356" s="31" t="n">
        <f aca="false">IF($B7356&lt;&gt;'設定（最初に1回）'!$C$4,N(U7355),IF(COUNTIFS(①今日の在庫を貼る!$B$6:$B$10005,$B7356,①今日の在庫を貼る!$I$6:$I$10005,$I7356)&gt;0,N(U7355),N(U7355)+1))</f>
        <v>2</v>
      </c>
    </row>
    <row r="7357" customFormat="false" ht="15" hidden="false" customHeight="false" outlineLevel="0" collapsed="false">
      <c r="B7357" s="53"/>
      <c r="I7357" s="53"/>
      <c r="U7357" s="31" t="n">
        <f aca="false">IF($B7357&lt;&gt;'設定（最初に1回）'!$C$4,N(U7356),IF(COUNTIFS(①今日の在庫を貼る!$B$6:$B$10005,$B7357,①今日の在庫を貼る!$I$6:$I$10005,$I7357)&gt;0,N(U7356),N(U7356)+1))</f>
        <v>2</v>
      </c>
    </row>
    <row r="7358" customFormat="false" ht="15" hidden="false" customHeight="false" outlineLevel="0" collapsed="false">
      <c r="B7358" s="53"/>
      <c r="I7358" s="53"/>
      <c r="U7358" s="31" t="n">
        <f aca="false">IF($B7358&lt;&gt;'設定（最初に1回）'!$C$4,N(U7357),IF(COUNTIFS(①今日の在庫を貼る!$B$6:$B$10005,$B7358,①今日の在庫を貼る!$I$6:$I$10005,$I7358)&gt;0,N(U7357),N(U7357)+1))</f>
        <v>2</v>
      </c>
    </row>
    <row r="7359" customFormat="false" ht="15" hidden="false" customHeight="false" outlineLevel="0" collapsed="false">
      <c r="B7359" s="53"/>
      <c r="I7359" s="53"/>
      <c r="U7359" s="31" t="n">
        <f aca="false">IF($B7359&lt;&gt;'設定（最初に1回）'!$C$4,N(U7358),IF(COUNTIFS(①今日の在庫を貼る!$B$6:$B$10005,$B7359,①今日の在庫を貼る!$I$6:$I$10005,$I7359)&gt;0,N(U7358),N(U7358)+1))</f>
        <v>2</v>
      </c>
    </row>
    <row r="7360" customFormat="false" ht="15" hidden="false" customHeight="false" outlineLevel="0" collapsed="false">
      <c r="B7360" s="53"/>
      <c r="I7360" s="53"/>
      <c r="U7360" s="31" t="n">
        <f aca="false">IF($B7360&lt;&gt;'設定（最初に1回）'!$C$4,N(U7359),IF(COUNTIFS(①今日の在庫を貼る!$B$6:$B$10005,$B7360,①今日の在庫を貼る!$I$6:$I$10005,$I7360)&gt;0,N(U7359),N(U7359)+1))</f>
        <v>2</v>
      </c>
    </row>
    <row r="7361" customFormat="false" ht="15" hidden="false" customHeight="false" outlineLevel="0" collapsed="false">
      <c r="B7361" s="53"/>
      <c r="I7361" s="53"/>
      <c r="U7361" s="31" t="n">
        <f aca="false">IF($B7361&lt;&gt;'設定（最初に1回）'!$C$4,N(U7360),IF(COUNTIFS(①今日の在庫を貼る!$B$6:$B$10005,$B7361,①今日の在庫を貼る!$I$6:$I$10005,$I7361)&gt;0,N(U7360),N(U7360)+1))</f>
        <v>2</v>
      </c>
    </row>
    <row r="7362" customFormat="false" ht="15" hidden="false" customHeight="false" outlineLevel="0" collapsed="false">
      <c r="B7362" s="53"/>
      <c r="I7362" s="53"/>
      <c r="U7362" s="31" t="n">
        <f aca="false">IF($B7362&lt;&gt;'設定（最初に1回）'!$C$4,N(U7361),IF(COUNTIFS(①今日の在庫を貼る!$B$6:$B$10005,$B7362,①今日の在庫を貼る!$I$6:$I$10005,$I7362)&gt;0,N(U7361),N(U7361)+1))</f>
        <v>2</v>
      </c>
    </row>
    <row r="7363" customFormat="false" ht="15" hidden="false" customHeight="false" outlineLevel="0" collapsed="false">
      <c r="B7363" s="53"/>
      <c r="I7363" s="53"/>
      <c r="U7363" s="31" t="n">
        <f aca="false">IF($B7363&lt;&gt;'設定（最初に1回）'!$C$4,N(U7362),IF(COUNTIFS(①今日の在庫を貼る!$B$6:$B$10005,$B7363,①今日の在庫を貼る!$I$6:$I$10005,$I7363)&gt;0,N(U7362),N(U7362)+1))</f>
        <v>2</v>
      </c>
    </row>
    <row r="7364" customFormat="false" ht="15" hidden="false" customHeight="false" outlineLevel="0" collapsed="false">
      <c r="B7364" s="53"/>
      <c r="I7364" s="53"/>
      <c r="U7364" s="31" t="n">
        <f aca="false">IF($B7364&lt;&gt;'設定（最初に1回）'!$C$4,N(U7363),IF(COUNTIFS(①今日の在庫を貼る!$B$6:$B$10005,$B7364,①今日の在庫を貼る!$I$6:$I$10005,$I7364)&gt;0,N(U7363),N(U7363)+1))</f>
        <v>2</v>
      </c>
    </row>
    <row r="7365" customFormat="false" ht="15" hidden="false" customHeight="false" outlineLevel="0" collapsed="false">
      <c r="B7365" s="53"/>
      <c r="I7365" s="53"/>
      <c r="U7365" s="31" t="n">
        <f aca="false">IF($B7365&lt;&gt;'設定（最初に1回）'!$C$4,N(U7364),IF(COUNTIFS(①今日の在庫を貼る!$B$6:$B$10005,$B7365,①今日の在庫を貼る!$I$6:$I$10005,$I7365)&gt;0,N(U7364),N(U7364)+1))</f>
        <v>2</v>
      </c>
    </row>
    <row r="7366" customFormat="false" ht="15" hidden="false" customHeight="false" outlineLevel="0" collapsed="false">
      <c r="B7366" s="53"/>
      <c r="I7366" s="53"/>
      <c r="U7366" s="31" t="n">
        <f aca="false">IF($B7366&lt;&gt;'設定（最初に1回）'!$C$4,N(U7365),IF(COUNTIFS(①今日の在庫を貼る!$B$6:$B$10005,$B7366,①今日の在庫を貼る!$I$6:$I$10005,$I7366)&gt;0,N(U7365),N(U7365)+1))</f>
        <v>2</v>
      </c>
    </row>
    <row r="7367" customFormat="false" ht="15" hidden="false" customHeight="false" outlineLevel="0" collapsed="false">
      <c r="B7367" s="53"/>
      <c r="I7367" s="53"/>
      <c r="U7367" s="31" t="n">
        <f aca="false">IF($B7367&lt;&gt;'設定（最初に1回）'!$C$4,N(U7366),IF(COUNTIFS(①今日の在庫を貼る!$B$6:$B$10005,$B7367,①今日の在庫を貼る!$I$6:$I$10005,$I7367)&gt;0,N(U7366),N(U7366)+1))</f>
        <v>2</v>
      </c>
    </row>
    <row r="7368" customFormat="false" ht="15" hidden="false" customHeight="false" outlineLevel="0" collapsed="false">
      <c r="B7368" s="53"/>
      <c r="I7368" s="53"/>
      <c r="U7368" s="31" t="n">
        <f aca="false">IF($B7368&lt;&gt;'設定（最初に1回）'!$C$4,N(U7367),IF(COUNTIFS(①今日の在庫を貼る!$B$6:$B$10005,$B7368,①今日の在庫を貼る!$I$6:$I$10005,$I7368)&gt;0,N(U7367),N(U7367)+1))</f>
        <v>2</v>
      </c>
    </row>
    <row r="7369" customFormat="false" ht="15" hidden="false" customHeight="false" outlineLevel="0" collapsed="false">
      <c r="B7369" s="53"/>
      <c r="I7369" s="53"/>
      <c r="U7369" s="31" t="n">
        <f aca="false">IF($B7369&lt;&gt;'設定（最初に1回）'!$C$4,N(U7368),IF(COUNTIFS(①今日の在庫を貼る!$B$6:$B$10005,$B7369,①今日の在庫を貼る!$I$6:$I$10005,$I7369)&gt;0,N(U7368),N(U7368)+1))</f>
        <v>2</v>
      </c>
    </row>
    <row r="7370" customFormat="false" ht="15" hidden="false" customHeight="false" outlineLevel="0" collapsed="false">
      <c r="B7370" s="53"/>
      <c r="I7370" s="53"/>
      <c r="U7370" s="31" t="n">
        <f aca="false">IF($B7370&lt;&gt;'設定（最初に1回）'!$C$4,N(U7369),IF(COUNTIFS(①今日の在庫を貼る!$B$6:$B$10005,$B7370,①今日の在庫を貼る!$I$6:$I$10005,$I7370)&gt;0,N(U7369),N(U7369)+1))</f>
        <v>2</v>
      </c>
    </row>
    <row r="7371" customFormat="false" ht="15" hidden="false" customHeight="false" outlineLevel="0" collapsed="false">
      <c r="B7371" s="53"/>
      <c r="I7371" s="53"/>
      <c r="U7371" s="31" t="n">
        <f aca="false">IF($B7371&lt;&gt;'設定（最初に1回）'!$C$4,N(U7370),IF(COUNTIFS(①今日の在庫を貼る!$B$6:$B$10005,$B7371,①今日の在庫を貼る!$I$6:$I$10005,$I7371)&gt;0,N(U7370),N(U7370)+1))</f>
        <v>2</v>
      </c>
    </row>
    <row r="7372" customFormat="false" ht="15" hidden="false" customHeight="false" outlineLevel="0" collapsed="false">
      <c r="B7372" s="53"/>
      <c r="I7372" s="53"/>
      <c r="U7372" s="31" t="n">
        <f aca="false">IF($B7372&lt;&gt;'設定（最初に1回）'!$C$4,N(U7371),IF(COUNTIFS(①今日の在庫を貼る!$B$6:$B$10005,$B7372,①今日の在庫を貼る!$I$6:$I$10005,$I7372)&gt;0,N(U7371),N(U7371)+1))</f>
        <v>2</v>
      </c>
    </row>
    <row r="7373" customFormat="false" ht="15" hidden="false" customHeight="false" outlineLevel="0" collapsed="false">
      <c r="B7373" s="53"/>
      <c r="I7373" s="53"/>
      <c r="U7373" s="31" t="n">
        <f aca="false">IF($B7373&lt;&gt;'設定（最初に1回）'!$C$4,N(U7372),IF(COUNTIFS(①今日の在庫を貼る!$B$6:$B$10005,$B7373,①今日の在庫を貼る!$I$6:$I$10005,$I7373)&gt;0,N(U7372),N(U7372)+1))</f>
        <v>2</v>
      </c>
    </row>
    <row r="7374" customFormat="false" ht="15" hidden="false" customHeight="false" outlineLevel="0" collapsed="false">
      <c r="B7374" s="53"/>
      <c r="I7374" s="53"/>
      <c r="U7374" s="31" t="n">
        <f aca="false">IF($B7374&lt;&gt;'設定（最初に1回）'!$C$4,N(U7373),IF(COUNTIFS(①今日の在庫を貼る!$B$6:$B$10005,$B7374,①今日の在庫を貼る!$I$6:$I$10005,$I7374)&gt;0,N(U7373),N(U7373)+1))</f>
        <v>2</v>
      </c>
    </row>
    <row r="7375" customFormat="false" ht="15" hidden="false" customHeight="false" outlineLevel="0" collapsed="false">
      <c r="B7375" s="53"/>
      <c r="I7375" s="53"/>
      <c r="U7375" s="31" t="n">
        <f aca="false">IF($B7375&lt;&gt;'設定（最初に1回）'!$C$4,N(U7374),IF(COUNTIFS(①今日の在庫を貼る!$B$6:$B$10005,$B7375,①今日の在庫を貼る!$I$6:$I$10005,$I7375)&gt;0,N(U7374),N(U7374)+1))</f>
        <v>2</v>
      </c>
    </row>
    <row r="7376" customFormat="false" ht="15" hidden="false" customHeight="false" outlineLevel="0" collapsed="false">
      <c r="B7376" s="53"/>
      <c r="I7376" s="53"/>
      <c r="U7376" s="31" t="n">
        <f aca="false">IF($B7376&lt;&gt;'設定（最初に1回）'!$C$4,N(U7375),IF(COUNTIFS(①今日の在庫を貼る!$B$6:$B$10005,$B7376,①今日の在庫を貼る!$I$6:$I$10005,$I7376)&gt;0,N(U7375),N(U7375)+1))</f>
        <v>2</v>
      </c>
    </row>
    <row r="7377" customFormat="false" ht="15" hidden="false" customHeight="false" outlineLevel="0" collapsed="false">
      <c r="B7377" s="53"/>
      <c r="I7377" s="53"/>
      <c r="U7377" s="31" t="n">
        <f aca="false">IF($B7377&lt;&gt;'設定（最初に1回）'!$C$4,N(U7376),IF(COUNTIFS(①今日の在庫を貼る!$B$6:$B$10005,$B7377,①今日の在庫を貼る!$I$6:$I$10005,$I7377)&gt;0,N(U7376),N(U7376)+1))</f>
        <v>2</v>
      </c>
    </row>
    <row r="7378" customFormat="false" ht="15" hidden="false" customHeight="false" outlineLevel="0" collapsed="false">
      <c r="B7378" s="53"/>
      <c r="I7378" s="53"/>
      <c r="U7378" s="31" t="n">
        <f aca="false">IF($B7378&lt;&gt;'設定（最初に1回）'!$C$4,N(U7377),IF(COUNTIFS(①今日の在庫を貼る!$B$6:$B$10005,$B7378,①今日の在庫を貼る!$I$6:$I$10005,$I7378)&gt;0,N(U7377),N(U7377)+1))</f>
        <v>2</v>
      </c>
    </row>
    <row r="7379" customFormat="false" ht="15" hidden="false" customHeight="false" outlineLevel="0" collapsed="false">
      <c r="B7379" s="53"/>
      <c r="I7379" s="53"/>
      <c r="U7379" s="31" t="n">
        <f aca="false">IF($B7379&lt;&gt;'設定（最初に1回）'!$C$4,N(U7378),IF(COUNTIFS(①今日の在庫を貼る!$B$6:$B$10005,$B7379,①今日の在庫を貼る!$I$6:$I$10005,$I7379)&gt;0,N(U7378),N(U7378)+1))</f>
        <v>2</v>
      </c>
    </row>
    <row r="7380" customFormat="false" ht="15" hidden="false" customHeight="false" outlineLevel="0" collapsed="false">
      <c r="B7380" s="53"/>
      <c r="I7380" s="53"/>
      <c r="U7380" s="31" t="n">
        <f aca="false">IF($B7380&lt;&gt;'設定（最初に1回）'!$C$4,N(U7379),IF(COUNTIFS(①今日の在庫を貼る!$B$6:$B$10005,$B7380,①今日の在庫を貼る!$I$6:$I$10005,$I7380)&gt;0,N(U7379),N(U7379)+1))</f>
        <v>2</v>
      </c>
    </row>
    <row r="7381" customFormat="false" ht="15" hidden="false" customHeight="false" outlineLevel="0" collapsed="false">
      <c r="B7381" s="53"/>
      <c r="I7381" s="53"/>
      <c r="U7381" s="31" t="n">
        <f aca="false">IF($B7381&lt;&gt;'設定（最初に1回）'!$C$4,N(U7380),IF(COUNTIFS(①今日の在庫を貼る!$B$6:$B$10005,$B7381,①今日の在庫を貼る!$I$6:$I$10005,$I7381)&gt;0,N(U7380),N(U7380)+1))</f>
        <v>2</v>
      </c>
    </row>
    <row r="7382" customFormat="false" ht="15" hidden="false" customHeight="false" outlineLevel="0" collapsed="false">
      <c r="B7382" s="53"/>
      <c r="I7382" s="53"/>
      <c r="U7382" s="31" t="n">
        <f aca="false">IF($B7382&lt;&gt;'設定（最初に1回）'!$C$4,N(U7381),IF(COUNTIFS(①今日の在庫を貼る!$B$6:$B$10005,$B7382,①今日の在庫を貼る!$I$6:$I$10005,$I7382)&gt;0,N(U7381),N(U7381)+1))</f>
        <v>2</v>
      </c>
    </row>
    <row r="7383" customFormat="false" ht="15" hidden="false" customHeight="false" outlineLevel="0" collapsed="false">
      <c r="B7383" s="53"/>
      <c r="I7383" s="53"/>
      <c r="U7383" s="31" t="n">
        <f aca="false">IF($B7383&lt;&gt;'設定（最初に1回）'!$C$4,N(U7382),IF(COUNTIFS(①今日の在庫を貼る!$B$6:$B$10005,$B7383,①今日の在庫を貼る!$I$6:$I$10005,$I7383)&gt;0,N(U7382),N(U7382)+1))</f>
        <v>2</v>
      </c>
    </row>
    <row r="7384" customFormat="false" ht="15" hidden="false" customHeight="false" outlineLevel="0" collapsed="false">
      <c r="B7384" s="53"/>
      <c r="I7384" s="53"/>
      <c r="U7384" s="31" t="n">
        <f aca="false">IF($B7384&lt;&gt;'設定（最初に1回）'!$C$4,N(U7383),IF(COUNTIFS(①今日の在庫を貼る!$B$6:$B$10005,$B7384,①今日の在庫を貼る!$I$6:$I$10005,$I7384)&gt;0,N(U7383),N(U7383)+1))</f>
        <v>2</v>
      </c>
    </row>
    <row r="7385" customFormat="false" ht="15" hidden="false" customHeight="false" outlineLevel="0" collapsed="false">
      <c r="B7385" s="53"/>
      <c r="I7385" s="53"/>
      <c r="U7385" s="31" t="n">
        <f aca="false">IF($B7385&lt;&gt;'設定（最初に1回）'!$C$4,N(U7384),IF(COUNTIFS(①今日の在庫を貼る!$B$6:$B$10005,$B7385,①今日の在庫を貼る!$I$6:$I$10005,$I7385)&gt;0,N(U7384),N(U7384)+1))</f>
        <v>2</v>
      </c>
    </row>
    <row r="7386" customFormat="false" ht="15" hidden="false" customHeight="false" outlineLevel="0" collapsed="false">
      <c r="B7386" s="53"/>
      <c r="I7386" s="53"/>
      <c r="U7386" s="31" t="n">
        <f aca="false">IF($B7386&lt;&gt;'設定（最初に1回）'!$C$4,N(U7385),IF(COUNTIFS(①今日の在庫を貼る!$B$6:$B$10005,$B7386,①今日の在庫を貼る!$I$6:$I$10005,$I7386)&gt;0,N(U7385),N(U7385)+1))</f>
        <v>2</v>
      </c>
    </row>
    <row r="7387" customFormat="false" ht="15" hidden="false" customHeight="false" outlineLevel="0" collapsed="false">
      <c r="B7387" s="53"/>
      <c r="I7387" s="53"/>
      <c r="U7387" s="31" t="n">
        <f aca="false">IF($B7387&lt;&gt;'設定（最初に1回）'!$C$4,N(U7386),IF(COUNTIFS(①今日の在庫を貼る!$B$6:$B$10005,$B7387,①今日の在庫を貼る!$I$6:$I$10005,$I7387)&gt;0,N(U7386),N(U7386)+1))</f>
        <v>2</v>
      </c>
    </row>
    <row r="7388" customFormat="false" ht="15" hidden="false" customHeight="false" outlineLevel="0" collapsed="false">
      <c r="B7388" s="53"/>
      <c r="I7388" s="53"/>
      <c r="U7388" s="31" t="n">
        <f aca="false">IF($B7388&lt;&gt;'設定（最初に1回）'!$C$4,N(U7387),IF(COUNTIFS(①今日の在庫を貼る!$B$6:$B$10005,$B7388,①今日の在庫を貼る!$I$6:$I$10005,$I7388)&gt;0,N(U7387),N(U7387)+1))</f>
        <v>2</v>
      </c>
    </row>
    <row r="7389" customFormat="false" ht="15" hidden="false" customHeight="false" outlineLevel="0" collapsed="false">
      <c r="B7389" s="53"/>
      <c r="I7389" s="53"/>
      <c r="U7389" s="31" t="n">
        <f aca="false">IF($B7389&lt;&gt;'設定（最初に1回）'!$C$4,N(U7388),IF(COUNTIFS(①今日の在庫を貼る!$B$6:$B$10005,$B7389,①今日の在庫を貼る!$I$6:$I$10005,$I7389)&gt;0,N(U7388),N(U7388)+1))</f>
        <v>2</v>
      </c>
    </row>
    <row r="7390" customFormat="false" ht="15" hidden="false" customHeight="false" outlineLevel="0" collapsed="false">
      <c r="B7390" s="53"/>
      <c r="I7390" s="53"/>
      <c r="U7390" s="31" t="n">
        <f aca="false">IF($B7390&lt;&gt;'設定（最初に1回）'!$C$4,N(U7389),IF(COUNTIFS(①今日の在庫を貼る!$B$6:$B$10005,$B7390,①今日の在庫を貼る!$I$6:$I$10005,$I7390)&gt;0,N(U7389),N(U7389)+1))</f>
        <v>2</v>
      </c>
    </row>
    <row r="7391" customFormat="false" ht="15" hidden="false" customHeight="false" outlineLevel="0" collapsed="false">
      <c r="B7391" s="53"/>
      <c r="I7391" s="53"/>
      <c r="U7391" s="31" t="n">
        <f aca="false">IF($B7391&lt;&gt;'設定（最初に1回）'!$C$4,N(U7390),IF(COUNTIFS(①今日の在庫を貼る!$B$6:$B$10005,$B7391,①今日の在庫を貼る!$I$6:$I$10005,$I7391)&gt;0,N(U7390),N(U7390)+1))</f>
        <v>2</v>
      </c>
    </row>
    <row r="7392" customFormat="false" ht="15" hidden="false" customHeight="false" outlineLevel="0" collapsed="false">
      <c r="B7392" s="53"/>
      <c r="I7392" s="53"/>
      <c r="U7392" s="31" t="n">
        <f aca="false">IF($B7392&lt;&gt;'設定（最初に1回）'!$C$4,N(U7391),IF(COUNTIFS(①今日の在庫を貼る!$B$6:$B$10005,$B7392,①今日の在庫を貼る!$I$6:$I$10005,$I7392)&gt;0,N(U7391),N(U7391)+1))</f>
        <v>2</v>
      </c>
    </row>
    <row r="7393" customFormat="false" ht="15" hidden="false" customHeight="false" outlineLevel="0" collapsed="false">
      <c r="B7393" s="53"/>
      <c r="I7393" s="53"/>
      <c r="U7393" s="31" t="n">
        <f aca="false">IF($B7393&lt;&gt;'設定（最初に1回）'!$C$4,N(U7392),IF(COUNTIFS(①今日の在庫を貼る!$B$6:$B$10005,$B7393,①今日の在庫を貼る!$I$6:$I$10005,$I7393)&gt;0,N(U7392),N(U7392)+1))</f>
        <v>2</v>
      </c>
    </row>
    <row r="7394" customFormat="false" ht="15" hidden="false" customHeight="false" outlineLevel="0" collapsed="false">
      <c r="B7394" s="53"/>
      <c r="I7394" s="53"/>
      <c r="U7394" s="31" t="n">
        <f aca="false">IF($B7394&lt;&gt;'設定（最初に1回）'!$C$4,N(U7393),IF(COUNTIFS(①今日の在庫を貼る!$B$6:$B$10005,$B7394,①今日の在庫を貼る!$I$6:$I$10005,$I7394)&gt;0,N(U7393),N(U7393)+1))</f>
        <v>2</v>
      </c>
    </row>
    <row r="7395" customFormat="false" ht="15" hidden="false" customHeight="false" outlineLevel="0" collapsed="false">
      <c r="B7395" s="53"/>
      <c r="I7395" s="53"/>
      <c r="U7395" s="31" t="n">
        <f aca="false">IF($B7395&lt;&gt;'設定（最初に1回）'!$C$4,N(U7394),IF(COUNTIFS(①今日の在庫を貼る!$B$6:$B$10005,$B7395,①今日の在庫を貼る!$I$6:$I$10005,$I7395)&gt;0,N(U7394),N(U7394)+1))</f>
        <v>2</v>
      </c>
    </row>
    <row r="7396" customFormat="false" ht="15" hidden="false" customHeight="false" outlineLevel="0" collapsed="false">
      <c r="B7396" s="53"/>
      <c r="I7396" s="53"/>
      <c r="U7396" s="31" t="n">
        <f aca="false">IF($B7396&lt;&gt;'設定（最初に1回）'!$C$4,N(U7395),IF(COUNTIFS(①今日の在庫を貼る!$B$6:$B$10005,$B7396,①今日の在庫を貼る!$I$6:$I$10005,$I7396)&gt;0,N(U7395),N(U7395)+1))</f>
        <v>2</v>
      </c>
    </row>
    <row r="7397" customFormat="false" ht="15" hidden="false" customHeight="false" outlineLevel="0" collapsed="false">
      <c r="B7397" s="53"/>
      <c r="I7397" s="53"/>
      <c r="U7397" s="31" t="n">
        <f aca="false">IF($B7397&lt;&gt;'設定（最初に1回）'!$C$4,N(U7396),IF(COUNTIFS(①今日の在庫を貼る!$B$6:$B$10005,$B7397,①今日の在庫を貼る!$I$6:$I$10005,$I7397)&gt;0,N(U7396),N(U7396)+1))</f>
        <v>2</v>
      </c>
    </row>
    <row r="7398" customFormat="false" ht="15" hidden="false" customHeight="false" outlineLevel="0" collapsed="false">
      <c r="B7398" s="53"/>
      <c r="I7398" s="53"/>
      <c r="U7398" s="31" t="n">
        <f aca="false">IF($B7398&lt;&gt;'設定（最初に1回）'!$C$4,N(U7397),IF(COUNTIFS(①今日の在庫を貼る!$B$6:$B$10005,$B7398,①今日の在庫を貼る!$I$6:$I$10005,$I7398)&gt;0,N(U7397),N(U7397)+1))</f>
        <v>2</v>
      </c>
    </row>
    <row r="7399" customFormat="false" ht="15" hidden="false" customHeight="false" outlineLevel="0" collapsed="false">
      <c r="B7399" s="53"/>
      <c r="I7399" s="53"/>
      <c r="U7399" s="31" t="n">
        <f aca="false">IF($B7399&lt;&gt;'設定（最初に1回）'!$C$4,N(U7398),IF(COUNTIFS(①今日の在庫を貼る!$B$6:$B$10005,$B7399,①今日の在庫を貼る!$I$6:$I$10005,$I7399)&gt;0,N(U7398),N(U7398)+1))</f>
        <v>2</v>
      </c>
    </row>
    <row r="7400" customFormat="false" ht="15" hidden="false" customHeight="false" outlineLevel="0" collapsed="false">
      <c r="B7400" s="53"/>
      <c r="I7400" s="53"/>
      <c r="U7400" s="31" t="n">
        <f aca="false">IF($B7400&lt;&gt;'設定（最初に1回）'!$C$4,N(U7399),IF(COUNTIFS(①今日の在庫を貼る!$B$6:$B$10005,$B7400,①今日の在庫を貼る!$I$6:$I$10005,$I7400)&gt;0,N(U7399),N(U7399)+1))</f>
        <v>2</v>
      </c>
    </row>
    <row r="7401" customFormat="false" ht="15" hidden="false" customHeight="false" outlineLevel="0" collapsed="false">
      <c r="B7401" s="53"/>
      <c r="I7401" s="53"/>
      <c r="U7401" s="31" t="n">
        <f aca="false">IF($B7401&lt;&gt;'設定（最初に1回）'!$C$4,N(U7400),IF(COUNTIFS(①今日の在庫を貼る!$B$6:$B$10005,$B7401,①今日の在庫を貼る!$I$6:$I$10005,$I7401)&gt;0,N(U7400),N(U7400)+1))</f>
        <v>2</v>
      </c>
    </row>
    <row r="7402" customFormat="false" ht="15" hidden="false" customHeight="false" outlineLevel="0" collapsed="false">
      <c r="B7402" s="53"/>
      <c r="I7402" s="53"/>
      <c r="U7402" s="31" t="n">
        <f aca="false">IF($B7402&lt;&gt;'設定（最初に1回）'!$C$4,N(U7401),IF(COUNTIFS(①今日の在庫を貼る!$B$6:$B$10005,$B7402,①今日の在庫を貼る!$I$6:$I$10005,$I7402)&gt;0,N(U7401),N(U7401)+1))</f>
        <v>2</v>
      </c>
    </row>
    <row r="7403" customFormat="false" ht="15" hidden="false" customHeight="false" outlineLevel="0" collapsed="false">
      <c r="B7403" s="53"/>
      <c r="I7403" s="53"/>
      <c r="U7403" s="31" t="n">
        <f aca="false">IF($B7403&lt;&gt;'設定（最初に1回）'!$C$4,N(U7402),IF(COUNTIFS(①今日の在庫を貼る!$B$6:$B$10005,$B7403,①今日の在庫を貼る!$I$6:$I$10005,$I7403)&gt;0,N(U7402),N(U7402)+1))</f>
        <v>2</v>
      </c>
    </row>
    <row r="7404" customFormat="false" ht="15" hidden="false" customHeight="false" outlineLevel="0" collapsed="false">
      <c r="B7404" s="53"/>
      <c r="I7404" s="53"/>
      <c r="U7404" s="31" t="n">
        <f aca="false">IF($B7404&lt;&gt;'設定（最初に1回）'!$C$4,N(U7403),IF(COUNTIFS(①今日の在庫を貼る!$B$6:$B$10005,$B7404,①今日の在庫を貼る!$I$6:$I$10005,$I7404)&gt;0,N(U7403),N(U7403)+1))</f>
        <v>2</v>
      </c>
    </row>
    <row r="7405" customFormat="false" ht="15" hidden="false" customHeight="false" outlineLevel="0" collapsed="false">
      <c r="B7405" s="53"/>
      <c r="I7405" s="53"/>
      <c r="U7405" s="31" t="n">
        <f aca="false">IF($B7405&lt;&gt;'設定（最初に1回）'!$C$4,N(U7404),IF(COUNTIFS(①今日の在庫を貼る!$B$6:$B$10005,$B7405,①今日の在庫を貼る!$I$6:$I$10005,$I7405)&gt;0,N(U7404),N(U7404)+1))</f>
        <v>2</v>
      </c>
    </row>
    <row r="7406" customFormat="false" ht="15" hidden="false" customHeight="false" outlineLevel="0" collapsed="false">
      <c r="B7406" s="53"/>
      <c r="I7406" s="53"/>
      <c r="U7406" s="31" t="n">
        <f aca="false">IF($B7406&lt;&gt;'設定（最初に1回）'!$C$4,N(U7405),IF(COUNTIFS(①今日の在庫を貼る!$B$6:$B$10005,$B7406,①今日の在庫を貼る!$I$6:$I$10005,$I7406)&gt;0,N(U7405),N(U7405)+1))</f>
        <v>2</v>
      </c>
    </row>
    <row r="7407" customFormat="false" ht="15" hidden="false" customHeight="false" outlineLevel="0" collapsed="false">
      <c r="B7407" s="53"/>
      <c r="I7407" s="53"/>
      <c r="U7407" s="31" t="n">
        <f aca="false">IF($B7407&lt;&gt;'設定（最初に1回）'!$C$4,N(U7406),IF(COUNTIFS(①今日の在庫を貼る!$B$6:$B$10005,$B7407,①今日の在庫を貼る!$I$6:$I$10005,$I7407)&gt;0,N(U7406),N(U7406)+1))</f>
        <v>2</v>
      </c>
    </row>
    <row r="7408" customFormat="false" ht="15" hidden="false" customHeight="false" outlineLevel="0" collapsed="false">
      <c r="B7408" s="53"/>
      <c r="I7408" s="53"/>
      <c r="U7408" s="31" t="n">
        <f aca="false">IF($B7408&lt;&gt;'設定（最初に1回）'!$C$4,N(U7407),IF(COUNTIFS(①今日の在庫を貼る!$B$6:$B$10005,$B7408,①今日の在庫を貼る!$I$6:$I$10005,$I7408)&gt;0,N(U7407),N(U7407)+1))</f>
        <v>2</v>
      </c>
    </row>
    <row r="7409" customFormat="false" ht="15" hidden="false" customHeight="false" outlineLevel="0" collapsed="false">
      <c r="B7409" s="53"/>
      <c r="I7409" s="53"/>
      <c r="U7409" s="31" t="n">
        <f aca="false">IF($B7409&lt;&gt;'設定（最初に1回）'!$C$4,N(U7408),IF(COUNTIFS(①今日の在庫を貼る!$B$6:$B$10005,$B7409,①今日の在庫を貼る!$I$6:$I$10005,$I7409)&gt;0,N(U7408),N(U7408)+1))</f>
        <v>2</v>
      </c>
    </row>
    <row r="7410" customFormat="false" ht="15" hidden="false" customHeight="false" outlineLevel="0" collapsed="false">
      <c r="B7410" s="53"/>
      <c r="I7410" s="53"/>
      <c r="U7410" s="31" t="n">
        <f aca="false">IF($B7410&lt;&gt;'設定（最初に1回）'!$C$4,N(U7409),IF(COUNTIFS(①今日の在庫を貼る!$B$6:$B$10005,$B7410,①今日の在庫を貼る!$I$6:$I$10005,$I7410)&gt;0,N(U7409),N(U7409)+1))</f>
        <v>2</v>
      </c>
    </row>
    <row r="7411" customFormat="false" ht="15" hidden="false" customHeight="false" outlineLevel="0" collapsed="false">
      <c r="B7411" s="53"/>
      <c r="I7411" s="53"/>
      <c r="U7411" s="31" t="n">
        <f aca="false">IF($B7411&lt;&gt;'設定（最初に1回）'!$C$4,N(U7410),IF(COUNTIFS(①今日の在庫を貼る!$B$6:$B$10005,$B7411,①今日の在庫を貼る!$I$6:$I$10005,$I7411)&gt;0,N(U7410),N(U7410)+1))</f>
        <v>2</v>
      </c>
    </row>
    <row r="7412" customFormat="false" ht="15" hidden="false" customHeight="false" outlineLevel="0" collapsed="false">
      <c r="B7412" s="53"/>
      <c r="I7412" s="53"/>
      <c r="U7412" s="31" t="n">
        <f aca="false">IF($B7412&lt;&gt;'設定（最初に1回）'!$C$4,N(U7411),IF(COUNTIFS(①今日の在庫を貼る!$B$6:$B$10005,$B7412,①今日の在庫を貼る!$I$6:$I$10005,$I7412)&gt;0,N(U7411),N(U7411)+1))</f>
        <v>2</v>
      </c>
    </row>
    <row r="7413" customFormat="false" ht="15" hidden="false" customHeight="false" outlineLevel="0" collapsed="false">
      <c r="B7413" s="53"/>
      <c r="I7413" s="53"/>
      <c r="U7413" s="31" t="n">
        <f aca="false">IF($B7413&lt;&gt;'設定（最初に1回）'!$C$4,N(U7412),IF(COUNTIFS(①今日の在庫を貼る!$B$6:$B$10005,$B7413,①今日の在庫を貼る!$I$6:$I$10005,$I7413)&gt;0,N(U7412),N(U7412)+1))</f>
        <v>2</v>
      </c>
    </row>
    <row r="7414" customFormat="false" ht="15" hidden="false" customHeight="false" outlineLevel="0" collapsed="false">
      <c r="B7414" s="53"/>
      <c r="I7414" s="53"/>
      <c r="U7414" s="31" t="n">
        <f aca="false">IF($B7414&lt;&gt;'設定（最初に1回）'!$C$4,N(U7413),IF(COUNTIFS(①今日の在庫を貼る!$B$6:$B$10005,$B7414,①今日の在庫を貼る!$I$6:$I$10005,$I7414)&gt;0,N(U7413),N(U7413)+1))</f>
        <v>2</v>
      </c>
    </row>
    <row r="7415" customFormat="false" ht="15" hidden="false" customHeight="false" outlineLevel="0" collapsed="false">
      <c r="B7415" s="53"/>
      <c r="I7415" s="53"/>
      <c r="U7415" s="31" t="n">
        <f aca="false">IF($B7415&lt;&gt;'設定（最初に1回）'!$C$4,N(U7414),IF(COUNTIFS(①今日の在庫を貼る!$B$6:$B$10005,$B7415,①今日の在庫を貼る!$I$6:$I$10005,$I7415)&gt;0,N(U7414),N(U7414)+1))</f>
        <v>2</v>
      </c>
    </row>
    <row r="7416" customFormat="false" ht="15" hidden="false" customHeight="false" outlineLevel="0" collapsed="false">
      <c r="B7416" s="53"/>
      <c r="I7416" s="53"/>
      <c r="U7416" s="31" t="n">
        <f aca="false">IF($B7416&lt;&gt;'設定（最初に1回）'!$C$4,N(U7415),IF(COUNTIFS(①今日の在庫を貼る!$B$6:$B$10005,$B7416,①今日の在庫を貼る!$I$6:$I$10005,$I7416)&gt;0,N(U7415),N(U7415)+1))</f>
        <v>2</v>
      </c>
    </row>
    <row r="7417" customFormat="false" ht="15" hidden="false" customHeight="false" outlineLevel="0" collapsed="false">
      <c r="B7417" s="53"/>
      <c r="I7417" s="53"/>
      <c r="U7417" s="31" t="n">
        <f aca="false">IF($B7417&lt;&gt;'設定（最初に1回）'!$C$4,N(U7416),IF(COUNTIFS(①今日の在庫を貼る!$B$6:$B$10005,$B7417,①今日の在庫を貼る!$I$6:$I$10005,$I7417)&gt;0,N(U7416),N(U7416)+1))</f>
        <v>2</v>
      </c>
    </row>
    <row r="7418" customFormat="false" ht="15" hidden="false" customHeight="false" outlineLevel="0" collapsed="false">
      <c r="B7418" s="53"/>
      <c r="I7418" s="53"/>
      <c r="U7418" s="31" t="n">
        <f aca="false">IF($B7418&lt;&gt;'設定（最初に1回）'!$C$4,N(U7417),IF(COUNTIFS(①今日の在庫を貼る!$B$6:$B$10005,$B7418,①今日の在庫を貼る!$I$6:$I$10005,$I7418)&gt;0,N(U7417),N(U7417)+1))</f>
        <v>2</v>
      </c>
    </row>
    <row r="7419" customFormat="false" ht="15" hidden="false" customHeight="false" outlineLevel="0" collapsed="false">
      <c r="B7419" s="53"/>
      <c r="I7419" s="53"/>
      <c r="U7419" s="31" t="n">
        <f aca="false">IF($B7419&lt;&gt;'設定（最初に1回）'!$C$4,N(U7418),IF(COUNTIFS(①今日の在庫を貼る!$B$6:$B$10005,$B7419,①今日の在庫を貼る!$I$6:$I$10005,$I7419)&gt;0,N(U7418),N(U7418)+1))</f>
        <v>2</v>
      </c>
    </row>
    <row r="7420" customFormat="false" ht="15" hidden="false" customHeight="false" outlineLevel="0" collapsed="false">
      <c r="B7420" s="53"/>
      <c r="I7420" s="53"/>
      <c r="U7420" s="31" t="n">
        <f aca="false">IF($B7420&lt;&gt;'設定（最初に1回）'!$C$4,N(U7419),IF(COUNTIFS(①今日の在庫を貼る!$B$6:$B$10005,$B7420,①今日の在庫を貼る!$I$6:$I$10005,$I7420)&gt;0,N(U7419),N(U7419)+1))</f>
        <v>2</v>
      </c>
    </row>
    <row r="7421" customFormat="false" ht="15" hidden="false" customHeight="false" outlineLevel="0" collapsed="false">
      <c r="B7421" s="53"/>
      <c r="I7421" s="53"/>
      <c r="U7421" s="31" t="n">
        <f aca="false">IF($B7421&lt;&gt;'設定（最初に1回）'!$C$4,N(U7420),IF(COUNTIFS(①今日の在庫を貼る!$B$6:$B$10005,$B7421,①今日の在庫を貼る!$I$6:$I$10005,$I7421)&gt;0,N(U7420),N(U7420)+1))</f>
        <v>2</v>
      </c>
    </row>
    <row r="7422" customFormat="false" ht="15" hidden="false" customHeight="false" outlineLevel="0" collapsed="false">
      <c r="B7422" s="53"/>
      <c r="I7422" s="53"/>
      <c r="U7422" s="31" t="n">
        <f aca="false">IF($B7422&lt;&gt;'設定（最初に1回）'!$C$4,N(U7421),IF(COUNTIFS(①今日の在庫を貼る!$B$6:$B$10005,$B7422,①今日の在庫を貼る!$I$6:$I$10005,$I7422)&gt;0,N(U7421),N(U7421)+1))</f>
        <v>2</v>
      </c>
    </row>
    <row r="7423" customFormat="false" ht="15" hidden="false" customHeight="false" outlineLevel="0" collapsed="false">
      <c r="B7423" s="53"/>
      <c r="I7423" s="53"/>
      <c r="U7423" s="31" t="n">
        <f aca="false">IF($B7423&lt;&gt;'設定（最初に1回）'!$C$4,N(U7422),IF(COUNTIFS(①今日の在庫を貼る!$B$6:$B$10005,$B7423,①今日の在庫を貼る!$I$6:$I$10005,$I7423)&gt;0,N(U7422),N(U7422)+1))</f>
        <v>2</v>
      </c>
    </row>
    <row r="7424" customFormat="false" ht="15" hidden="false" customHeight="false" outlineLevel="0" collapsed="false">
      <c r="B7424" s="53"/>
      <c r="I7424" s="53"/>
      <c r="U7424" s="31" t="n">
        <f aca="false">IF($B7424&lt;&gt;'設定（最初に1回）'!$C$4,N(U7423),IF(COUNTIFS(①今日の在庫を貼る!$B$6:$B$10005,$B7424,①今日の在庫を貼る!$I$6:$I$10005,$I7424)&gt;0,N(U7423),N(U7423)+1))</f>
        <v>2</v>
      </c>
    </row>
    <row r="7425" customFormat="false" ht="15" hidden="false" customHeight="false" outlineLevel="0" collapsed="false">
      <c r="B7425" s="53"/>
      <c r="I7425" s="53"/>
      <c r="U7425" s="31" t="n">
        <f aca="false">IF($B7425&lt;&gt;'設定（最初に1回）'!$C$4,N(U7424),IF(COUNTIFS(①今日の在庫を貼る!$B$6:$B$10005,$B7425,①今日の在庫を貼る!$I$6:$I$10005,$I7425)&gt;0,N(U7424),N(U7424)+1))</f>
        <v>2</v>
      </c>
    </row>
    <row r="7426" customFormat="false" ht="15" hidden="false" customHeight="false" outlineLevel="0" collapsed="false">
      <c r="B7426" s="53"/>
      <c r="I7426" s="53"/>
      <c r="U7426" s="31" t="n">
        <f aca="false">IF($B7426&lt;&gt;'設定（最初に1回）'!$C$4,N(U7425),IF(COUNTIFS(①今日の在庫を貼る!$B$6:$B$10005,$B7426,①今日の在庫を貼る!$I$6:$I$10005,$I7426)&gt;0,N(U7425),N(U7425)+1))</f>
        <v>2</v>
      </c>
    </row>
    <row r="7427" customFormat="false" ht="15" hidden="false" customHeight="false" outlineLevel="0" collapsed="false">
      <c r="B7427" s="53"/>
      <c r="I7427" s="53"/>
      <c r="U7427" s="31" t="n">
        <f aca="false">IF($B7427&lt;&gt;'設定（最初に1回）'!$C$4,N(U7426),IF(COUNTIFS(①今日の在庫を貼る!$B$6:$B$10005,$B7427,①今日の在庫を貼る!$I$6:$I$10005,$I7427)&gt;0,N(U7426),N(U7426)+1))</f>
        <v>2</v>
      </c>
    </row>
    <row r="7428" customFormat="false" ht="15" hidden="false" customHeight="false" outlineLevel="0" collapsed="false">
      <c r="B7428" s="53"/>
      <c r="I7428" s="53"/>
      <c r="U7428" s="31" t="n">
        <f aca="false">IF($B7428&lt;&gt;'設定（最初に1回）'!$C$4,N(U7427),IF(COUNTIFS(①今日の在庫を貼る!$B$6:$B$10005,$B7428,①今日の在庫を貼る!$I$6:$I$10005,$I7428)&gt;0,N(U7427),N(U7427)+1))</f>
        <v>2</v>
      </c>
    </row>
    <row r="7429" customFormat="false" ht="15" hidden="false" customHeight="false" outlineLevel="0" collapsed="false">
      <c r="B7429" s="53"/>
      <c r="I7429" s="53"/>
      <c r="U7429" s="31" t="n">
        <f aca="false">IF($B7429&lt;&gt;'設定（最初に1回）'!$C$4,N(U7428),IF(COUNTIFS(①今日の在庫を貼る!$B$6:$B$10005,$B7429,①今日の在庫を貼る!$I$6:$I$10005,$I7429)&gt;0,N(U7428),N(U7428)+1))</f>
        <v>2</v>
      </c>
    </row>
    <row r="7430" customFormat="false" ht="15" hidden="false" customHeight="false" outlineLevel="0" collapsed="false">
      <c r="B7430" s="53"/>
      <c r="I7430" s="53"/>
      <c r="U7430" s="31" t="n">
        <f aca="false">IF($B7430&lt;&gt;'設定（最初に1回）'!$C$4,N(U7429),IF(COUNTIFS(①今日の在庫を貼る!$B$6:$B$10005,$B7430,①今日の在庫を貼る!$I$6:$I$10005,$I7430)&gt;0,N(U7429),N(U7429)+1))</f>
        <v>2</v>
      </c>
    </row>
    <row r="7431" customFormat="false" ht="15" hidden="false" customHeight="false" outlineLevel="0" collapsed="false">
      <c r="B7431" s="53"/>
      <c r="I7431" s="53"/>
      <c r="U7431" s="31" t="n">
        <f aca="false">IF($B7431&lt;&gt;'設定（最初に1回）'!$C$4,N(U7430),IF(COUNTIFS(①今日の在庫を貼る!$B$6:$B$10005,$B7431,①今日の在庫を貼る!$I$6:$I$10005,$I7431)&gt;0,N(U7430),N(U7430)+1))</f>
        <v>2</v>
      </c>
    </row>
    <row r="7432" customFormat="false" ht="15" hidden="false" customHeight="false" outlineLevel="0" collapsed="false">
      <c r="B7432" s="53"/>
      <c r="I7432" s="53"/>
      <c r="U7432" s="31" t="n">
        <f aca="false">IF($B7432&lt;&gt;'設定（最初に1回）'!$C$4,N(U7431),IF(COUNTIFS(①今日の在庫を貼る!$B$6:$B$10005,$B7432,①今日の在庫を貼る!$I$6:$I$10005,$I7432)&gt;0,N(U7431),N(U7431)+1))</f>
        <v>2</v>
      </c>
    </row>
    <row r="7433" customFormat="false" ht="15" hidden="false" customHeight="false" outlineLevel="0" collapsed="false">
      <c r="B7433" s="53"/>
      <c r="I7433" s="53"/>
      <c r="U7433" s="31" t="n">
        <f aca="false">IF($B7433&lt;&gt;'設定（最初に1回）'!$C$4,N(U7432),IF(COUNTIFS(①今日の在庫を貼る!$B$6:$B$10005,$B7433,①今日の在庫を貼る!$I$6:$I$10005,$I7433)&gt;0,N(U7432),N(U7432)+1))</f>
        <v>2</v>
      </c>
    </row>
    <row r="7434" customFormat="false" ht="15" hidden="false" customHeight="false" outlineLevel="0" collapsed="false">
      <c r="B7434" s="53"/>
      <c r="I7434" s="53"/>
      <c r="U7434" s="31" t="n">
        <f aca="false">IF($B7434&lt;&gt;'設定（最初に1回）'!$C$4,N(U7433),IF(COUNTIFS(①今日の在庫を貼る!$B$6:$B$10005,$B7434,①今日の在庫を貼る!$I$6:$I$10005,$I7434)&gt;0,N(U7433),N(U7433)+1))</f>
        <v>2</v>
      </c>
    </row>
    <row r="7435" customFormat="false" ht="15" hidden="false" customHeight="false" outlineLevel="0" collapsed="false">
      <c r="B7435" s="53"/>
      <c r="I7435" s="53"/>
      <c r="U7435" s="31" t="n">
        <f aca="false">IF($B7435&lt;&gt;'設定（最初に1回）'!$C$4,N(U7434),IF(COUNTIFS(①今日の在庫を貼る!$B$6:$B$10005,$B7435,①今日の在庫を貼る!$I$6:$I$10005,$I7435)&gt;0,N(U7434),N(U7434)+1))</f>
        <v>2</v>
      </c>
    </row>
    <row r="7436" customFormat="false" ht="15" hidden="false" customHeight="false" outlineLevel="0" collapsed="false">
      <c r="B7436" s="53"/>
      <c r="I7436" s="53"/>
      <c r="U7436" s="31" t="n">
        <f aca="false">IF($B7436&lt;&gt;'設定（最初に1回）'!$C$4,N(U7435),IF(COUNTIFS(①今日の在庫を貼る!$B$6:$B$10005,$B7436,①今日の在庫を貼る!$I$6:$I$10005,$I7436)&gt;0,N(U7435),N(U7435)+1))</f>
        <v>2</v>
      </c>
    </row>
    <row r="7437" customFormat="false" ht="15" hidden="false" customHeight="false" outlineLevel="0" collapsed="false">
      <c r="B7437" s="53"/>
      <c r="I7437" s="53"/>
      <c r="U7437" s="31" t="n">
        <f aca="false">IF($B7437&lt;&gt;'設定（最初に1回）'!$C$4,N(U7436),IF(COUNTIFS(①今日の在庫を貼る!$B$6:$B$10005,$B7437,①今日の在庫を貼る!$I$6:$I$10005,$I7437)&gt;0,N(U7436),N(U7436)+1))</f>
        <v>2</v>
      </c>
    </row>
    <row r="7438" customFormat="false" ht="15" hidden="false" customHeight="false" outlineLevel="0" collapsed="false">
      <c r="B7438" s="53"/>
      <c r="I7438" s="53"/>
      <c r="U7438" s="31" t="n">
        <f aca="false">IF($B7438&lt;&gt;'設定（最初に1回）'!$C$4,N(U7437),IF(COUNTIFS(①今日の在庫を貼る!$B$6:$B$10005,$B7438,①今日の在庫を貼る!$I$6:$I$10005,$I7438)&gt;0,N(U7437),N(U7437)+1))</f>
        <v>2</v>
      </c>
    </row>
    <row r="7439" customFormat="false" ht="15" hidden="false" customHeight="false" outlineLevel="0" collapsed="false">
      <c r="B7439" s="53"/>
      <c r="I7439" s="53"/>
      <c r="U7439" s="31" t="n">
        <f aca="false">IF($B7439&lt;&gt;'設定（最初に1回）'!$C$4,N(U7438),IF(COUNTIFS(①今日の在庫を貼る!$B$6:$B$10005,$B7439,①今日の在庫を貼る!$I$6:$I$10005,$I7439)&gt;0,N(U7438),N(U7438)+1))</f>
        <v>2</v>
      </c>
    </row>
    <row r="7440" customFormat="false" ht="15" hidden="false" customHeight="false" outlineLevel="0" collapsed="false">
      <c r="B7440" s="53"/>
      <c r="I7440" s="53"/>
      <c r="U7440" s="31" t="n">
        <f aca="false">IF($B7440&lt;&gt;'設定（最初に1回）'!$C$4,N(U7439),IF(COUNTIFS(①今日の在庫を貼る!$B$6:$B$10005,$B7440,①今日の在庫を貼る!$I$6:$I$10005,$I7440)&gt;0,N(U7439),N(U7439)+1))</f>
        <v>2</v>
      </c>
    </row>
    <row r="7441" customFormat="false" ht="15" hidden="false" customHeight="false" outlineLevel="0" collapsed="false">
      <c r="B7441" s="53"/>
      <c r="I7441" s="53"/>
      <c r="U7441" s="31" t="n">
        <f aca="false">IF($B7441&lt;&gt;'設定（最初に1回）'!$C$4,N(U7440),IF(COUNTIFS(①今日の在庫を貼る!$B$6:$B$10005,$B7441,①今日の在庫を貼る!$I$6:$I$10005,$I7441)&gt;0,N(U7440),N(U7440)+1))</f>
        <v>2</v>
      </c>
    </row>
    <row r="7442" customFormat="false" ht="15" hidden="false" customHeight="false" outlineLevel="0" collapsed="false">
      <c r="B7442" s="53"/>
      <c r="I7442" s="53"/>
      <c r="U7442" s="31" t="n">
        <f aca="false">IF($B7442&lt;&gt;'設定（最初に1回）'!$C$4,N(U7441),IF(COUNTIFS(①今日の在庫を貼る!$B$6:$B$10005,$B7442,①今日の在庫を貼る!$I$6:$I$10005,$I7442)&gt;0,N(U7441),N(U7441)+1))</f>
        <v>2</v>
      </c>
    </row>
    <row r="7443" customFormat="false" ht="15" hidden="false" customHeight="false" outlineLevel="0" collapsed="false">
      <c r="B7443" s="53"/>
      <c r="I7443" s="53"/>
      <c r="U7443" s="31" t="n">
        <f aca="false">IF($B7443&lt;&gt;'設定（最初に1回）'!$C$4,N(U7442),IF(COUNTIFS(①今日の在庫を貼る!$B$6:$B$10005,$B7443,①今日の在庫を貼る!$I$6:$I$10005,$I7443)&gt;0,N(U7442),N(U7442)+1))</f>
        <v>2</v>
      </c>
    </row>
    <row r="7444" customFormat="false" ht="15" hidden="false" customHeight="false" outlineLevel="0" collapsed="false">
      <c r="B7444" s="53"/>
      <c r="I7444" s="53"/>
      <c r="U7444" s="31" t="n">
        <f aca="false">IF($B7444&lt;&gt;'設定（最初に1回）'!$C$4,N(U7443),IF(COUNTIFS(①今日の在庫を貼る!$B$6:$B$10005,$B7444,①今日の在庫を貼る!$I$6:$I$10005,$I7444)&gt;0,N(U7443),N(U7443)+1))</f>
        <v>2</v>
      </c>
    </row>
    <row r="7445" customFormat="false" ht="15" hidden="false" customHeight="false" outlineLevel="0" collapsed="false">
      <c r="B7445" s="53"/>
      <c r="I7445" s="53"/>
      <c r="U7445" s="31" t="n">
        <f aca="false">IF($B7445&lt;&gt;'設定（最初に1回）'!$C$4,N(U7444),IF(COUNTIFS(①今日の在庫を貼る!$B$6:$B$10005,$B7445,①今日の在庫を貼る!$I$6:$I$10005,$I7445)&gt;0,N(U7444),N(U7444)+1))</f>
        <v>2</v>
      </c>
    </row>
    <row r="7446" customFormat="false" ht="15" hidden="false" customHeight="false" outlineLevel="0" collapsed="false">
      <c r="B7446" s="53"/>
      <c r="I7446" s="53"/>
      <c r="U7446" s="31" t="n">
        <f aca="false">IF($B7446&lt;&gt;'設定（最初に1回）'!$C$4,N(U7445),IF(COUNTIFS(①今日の在庫を貼る!$B$6:$B$10005,$B7446,①今日の在庫を貼る!$I$6:$I$10005,$I7446)&gt;0,N(U7445),N(U7445)+1))</f>
        <v>2</v>
      </c>
    </row>
    <row r="7447" customFormat="false" ht="15" hidden="false" customHeight="false" outlineLevel="0" collapsed="false">
      <c r="B7447" s="53"/>
      <c r="I7447" s="53"/>
      <c r="U7447" s="31" t="n">
        <f aca="false">IF($B7447&lt;&gt;'設定（最初に1回）'!$C$4,N(U7446),IF(COUNTIFS(①今日の在庫を貼る!$B$6:$B$10005,$B7447,①今日の在庫を貼る!$I$6:$I$10005,$I7447)&gt;0,N(U7446),N(U7446)+1))</f>
        <v>2</v>
      </c>
    </row>
    <row r="7448" customFormat="false" ht="15" hidden="false" customHeight="false" outlineLevel="0" collapsed="false">
      <c r="B7448" s="53"/>
      <c r="I7448" s="53"/>
      <c r="U7448" s="31" t="n">
        <f aca="false">IF($B7448&lt;&gt;'設定（最初に1回）'!$C$4,N(U7447),IF(COUNTIFS(①今日の在庫を貼る!$B$6:$B$10005,$B7448,①今日の在庫を貼る!$I$6:$I$10005,$I7448)&gt;0,N(U7447),N(U7447)+1))</f>
        <v>2</v>
      </c>
    </row>
    <row r="7449" customFormat="false" ht="15" hidden="false" customHeight="false" outlineLevel="0" collapsed="false">
      <c r="B7449" s="53"/>
      <c r="I7449" s="53"/>
      <c r="U7449" s="31" t="n">
        <f aca="false">IF($B7449&lt;&gt;'設定（最初に1回）'!$C$4,N(U7448),IF(COUNTIFS(①今日の在庫を貼る!$B$6:$B$10005,$B7449,①今日の在庫を貼る!$I$6:$I$10005,$I7449)&gt;0,N(U7448),N(U7448)+1))</f>
        <v>2</v>
      </c>
    </row>
    <row r="7450" customFormat="false" ht="15" hidden="false" customHeight="false" outlineLevel="0" collapsed="false">
      <c r="B7450" s="53"/>
      <c r="I7450" s="53"/>
      <c r="U7450" s="31" t="n">
        <f aca="false">IF($B7450&lt;&gt;'設定（最初に1回）'!$C$4,N(U7449),IF(COUNTIFS(①今日の在庫を貼る!$B$6:$B$10005,$B7450,①今日の在庫を貼る!$I$6:$I$10005,$I7450)&gt;0,N(U7449),N(U7449)+1))</f>
        <v>2</v>
      </c>
    </row>
    <row r="7451" customFormat="false" ht="15" hidden="false" customHeight="false" outlineLevel="0" collapsed="false">
      <c r="B7451" s="53"/>
      <c r="I7451" s="53"/>
      <c r="U7451" s="31" t="n">
        <f aca="false">IF($B7451&lt;&gt;'設定（最初に1回）'!$C$4,N(U7450),IF(COUNTIFS(①今日の在庫を貼る!$B$6:$B$10005,$B7451,①今日の在庫を貼る!$I$6:$I$10005,$I7451)&gt;0,N(U7450),N(U7450)+1))</f>
        <v>2</v>
      </c>
    </row>
    <row r="7452" customFormat="false" ht="15" hidden="false" customHeight="false" outlineLevel="0" collapsed="false">
      <c r="B7452" s="53"/>
      <c r="I7452" s="53"/>
      <c r="U7452" s="31" t="n">
        <f aca="false">IF($B7452&lt;&gt;'設定（最初に1回）'!$C$4,N(U7451),IF(COUNTIFS(①今日の在庫を貼る!$B$6:$B$10005,$B7452,①今日の在庫を貼る!$I$6:$I$10005,$I7452)&gt;0,N(U7451),N(U7451)+1))</f>
        <v>2</v>
      </c>
    </row>
    <row r="7453" customFormat="false" ht="15" hidden="false" customHeight="false" outlineLevel="0" collapsed="false">
      <c r="B7453" s="53"/>
      <c r="I7453" s="53"/>
      <c r="U7453" s="31" t="n">
        <f aca="false">IF($B7453&lt;&gt;'設定（最初に1回）'!$C$4,N(U7452),IF(COUNTIFS(①今日の在庫を貼る!$B$6:$B$10005,$B7453,①今日の在庫を貼る!$I$6:$I$10005,$I7453)&gt;0,N(U7452),N(U7452)+1))</f>
        <v>2</v>
      </c>
    </row>
    <row r="7454" customFormat="false" ht="15" hidden="false" customHeight="false" outlineLevel="0" collapsed="false">
      <c r="B7454" s="53"/>
      <c r="I7454" s="53"/>
      <c r="U7454" s="31" t="n">
        <f aca="false">IF($B7454&lt;&gt;'設定（最初に1回）'!$C$4,N(U7453),IF(COUNTIFS(①今日の在庫を貼る!$B$6:$B$10005,$B7454,①今日の在庫を貼る!$I$6:$I$10005,$I7454)&gt;0,N(U7453),N(U7453)+1))</f>
        <v>2</v>
      </c>
    </row>
    <row r="7455" customFormat="false" ht="15" hidden="false" customHeight="false" outlineLevel="0" collapsed="false">
      <c r="B7455" s="53"/>
      <c r="I7455" s="53"/>
      <c r="U7455" s="31" t="n">
        <f aca="false">IF($B7455&lt;&gt;'設定（最初に1回）'!$C$4,N(U7454),IF(COUNTIFS(①今日の在庫を貼る!$B$6:$B$10005,$B7455,①今日の在庫を貼る!$I$6:$I$10005,$I7455)&gt;0,N(U7454),N(U7454)+1))</f>
        <v>2</v>
      </c>
    </row>
    <row r="7456" customFormat="false" ht="15" hidden="false" customHeight="false" outlineLevel="0" collapsed="false">
      <c r="B7456" s="53"/>
      <c r="I7456" s="53"/>
      <c r="U7456" s="31" t="n">
        <f aca="false">IF($B7456&lt;&gt;'設定（最初に1回）'!$C$4,N(U7455),IF(COUNTIFS(①今日の在庫を貼る!$B$6:$B$10005,$B7456,①今日の在庫を貼る!$I$6:$I$10005,$I7456)&gt;0,N(U7455),N(U7455)+1))</f>
        <v>2</v>
      </c>
    </row>
    <row r="7457" customFormat="false" ht="15" hidden="false" customHeight="false" outlineLevel="0" collapsed="false">
      <c r="B7457" s="53"/>
      <c r="I7457" s="53"/>
      <c r="U7457" s="31" t="n">
        <f aca="false">IF($B7457&lt;&gt;'設定（最初に1回）'!$C$4,N(U7456),IF(COUNTIFS(①今日の在庫を貼る!$B$6:$B$10005,$B7457,①今日の在庫を貼る!$I$6:$I$10005,$I7457)&gt;0,N(U7456),N(U7456)+1))</f>
        <v>2</v>
      </c>
    </row>
    <row r="7458" customFormat="false" ht="15" hidden="false" customHeight="false" outlineLevel="0" collapsed="false">
      <c r="B7458" s="53"/>
      <c r="I7458" s="53"/>
      <c r="U7458" s="31" t="n">
        <f aca="false">IF($B7458&lt;&gt;'設定（最初に1回）'!$C$4,N(U7457),IF(COUNTIFS(①今日の在庫を貼る!$B$6:$B$10005,$B7458,①今日の在庫を貼る!$I$6:$I$10005,$I7458)&gt;0,N(U7457),N(U7457)+1))</f>
        <v>2</v>
      </c>
    </row>
    <row r="7459" customFormat="false" ht="15" hidden="false" customHeight="false" outlineLevel="0" collapsed="false">
      <c r="B7459" s="53"/>
      <c r="I7459" s="53"/>
      <c r="U7459" s="31" t="n">
        <f aca="false">IF($B7459&lt;&gt;'設定（最初に1回）'!$C$4,N(U7458),IF(COUNTIFS(①今日の在庫を貼る!$B$6:$B$10005,$B7459,①今日の在庫を貼る!$I$6:$I$10005,$I7459)&gt;0,N(U7458),N(U7458)+1))</f>
        <v>2</v>
      </c>
    </row>
    <row r="7460" customFormat="false" ht="15" hidden="false" customHeight="false" outlineLevel="0" collapsed="false">
      <c r="B7460" s="53"/>
      <c r="I7460" s="53"/>
      <c r="U7460" s="31" t="n">
        <f aca="false">IF($B7460&lt;&gt;'設定（最初に1回）'!$C$4,N(U7459),IF(COUNTIFS(①今日の在庫を貼る!$B$6:$B$10005,$B7460,①今日の在庫を貼る!$I$6:$I$10005,$I7460)&gt;0,N(U7459),N(U7459)+1))</f>
        <v>2</v>
      </c>
    </row>
    <row r="7461" customFormat="false" ht="15" hidden="false" customHeight="false" outlineLevel="0" collapsed="false">
      <c r="B7461" s="53"/>
      <c r="I7461" s="53"/>
      <c r="U7461" s="31" t="n">
        <f aca="false">IF($B7461&lt;&gt;'設定（最初に1回）'!$C$4,N(U7460),IF(COUNTIFS(①今日の在庫を貼る!$B$6:$B$10005,$B7461,①今日の在庫を貼る!$I$6:$I$10005,$I7461)&gt;0,N(U7460),N(U7460)+1))</f>
        <v>2</v>
      </c>
    </row>
    <row r="7462" customFormat="false" ht="15" hidden="false" customHeight="false" outlineLevel="0" collapsed="false">
      <c r="B7462" s="53"/>
      <c r="I7462" s="53"/>
      <c r="U7462" s="31" t="n">
        <f aca="false">IF($B7462&lt;&gt;'設定（最初に1回）'!$C$4,N(U7461),IF(COUNTIFS(①今日の在庫を貼る!$B$6:$B$10005,$B7462,①今日の在庫を貼る!$I$6:$I$10005,$I7462)&gt;0,N(U7461),N(U7461)+1))</f>
        <v>2</v>
      </c>
    </row>
    <row r="7463" customFormat="false" ht="15" hidden="false" customHeight="false" outlineLevel="0" collapsed="false">
      <c r="B7463" s="53"/>
      <c r="I7463" s="53"/>
      <c r="U7463" s="31" t="n">
        <f aca="false">IF($B7463&lt;&gt;'設定（最初に1回）'!$C$4,N(U7462),IF(COUNTIFS(①今日の在庫を貼る!$B$6:$B$10005,$B7463,①今日の在庫を貼る!$I$6:$I$10005,$I7463)&gt;0,N(U7462),N(U7462)+1))</f>
        <v>2</v>
      </c>
    </row>
    <row r="7464" customFormat="false" ht="15" hidden="false" customHeight="false" outlineLevel="0" collapsed="false">
      <c r="B7464" s="53"/>
      <c r="I7464" s="53"/>
      <c r="U7464" s="31" t="n">
        <f aca="false">IF($B7464&lt;&gt;'設定（最初に1回）'!$C$4,N(U7463),IF(COUNTIFS(①今日の在庫を貼る!$B$6:$B$10005,$B7464,①今日の在庫を貼る!$I$6:$I$10005,$I7464)&gt;0,N(U7463),N(U7463)+1))</f>
        <v>2</v>
      </c>
    </row>
    <row r="7465" customFormat="false" ht="15" hidden="false" customHeight="false" outlineLevel="0" collapsed="false">
      <c r="B7465" s="53"/>
      <c r="I7465" s="53"/>
      <c r="U7465" s="31" t="n">
        <f aca="false">IF($B7465&lt;&gt;'設定（最初に1回）'!$C$4,N(U7464),IF(COUNTIFS(①今日の在庫を貼る!$B$6:$B$10005,$B7465,①今日の在庫を貼る!$I$6:$I$10005,$I7465)&gt;0,N(U7464),N(U7464)+1))</f>
        <v>2</v>
      </c>
    </row>
    <row r="7466" customFormat="false" ht="15" hidden="false" customHeight="false" outlineLevel="0" collapsed="false">
      <c r="B7466" s="53"/>
      <c r="I7466" s="53"/>
      <c r="U7466" s="31" t="n">
        <f aca="false">IF($B7466&lt;&gt;'設定（最初に1回）'!$C$4,N(U7465),IF(COUNTIFS(①今日の在庫を貼る!$B$6:$B$10005,$B7466,①今日の在庫を貼る!$I$6:$I$10005,$I7466)&gt;0,N(U7465),N(U7465)+1))</f>
        <v>2</v>
      </c>
    </row>
    <row r="7467" customFormat="false" ht="15" hidden="false" customHeight="false" outlineLevel="0" collapsed="false">
      <c r="B7467" s="53"/>
      <c r="I7467" s="53"/>
      <c r="U7467" s="31" t="n">
        <f aca="false">IF($B7467&lt;&gt;'設定（最初に1回）'!$C$4,N(U7466),IF(COUNTIFS(①今日の在庫を貼る!$B$6:$B$10005,$B7467,①今日の在庫を貼る!$I$6:$I$10005,$I7467)&gt;0,N(U7466),N(U7466)+1))</f>
        <v>2</v>
      </c>
    </row>
    <row r="7468" customFormat="false" ht="15" hidden="false" customHeight="false" outlineLevel="0" collapsed="false">
      <c r="B7468" s="53"/>
      <c r="I7468" s="53"/>
      <c r="U7468" s="31" t="n">
        <f aca="false">IF($B7468&lt;&gt;'設定（最初に1回）'!$C$4,N(U7467),IF(COUNTIFS(①今日の在庫を貼る!$B$6:$B$10005,$B7468,①今日の在庫を貼る!$I$6:$I$10005,$I7468)&gt;0,N(U7467),N(U7467)+1))</f>
        <v>2</v>
      </c>
    </row>
    <row r="7469" customFormat="false" ht="15" hidden="false" customHeight="false" outlineLevel="0" collapsed="false">
      <c r="B7469" s="53"/>
      <c r="I7469" s="53"/>
      <c r="U7469" s="31" t="n">
        <f aca="false">IF($B7469&lt;&gt;'設定（最初に1回）'!$C$4,N(U7468),IF(COUNTIFS(①今日の在庫を貼る!$B$6:$B$10005,$B7469,①今日の在庫を貼る!$I$6:$I$10005,$I7469)&gt;0,N(U7468),N(U7468)+1))</f>
        <v>2</v>
      </c>
    </row>
    <row r="7470" customFormat="false" ht="15" hidden="false" customHeight="false" outlineLevel="0" collapsed="false">
      <c r="B7470" s="53"/>
      <c r="I7470" s="53"/>
      <c r="U7470" s="31" t="n">
        <f aca="false">IF($B7470&lt;&gt;'設定（最初に1回）'!$C$4,N(U7469),IF(COUNTIFS(①今日の在庫を貼る!$B$6:$B$10005,$B7470,①今日の在庫を貼る!$I$6:$I$10005,$I7470)&gt;0,N(U7469),N(U7469)+1))</f>
        <v>2</v>
      </c>
    </row>
    <row r="7471" customFormat="false" ht="15" hidden="false" customHeight="false" outlineLevel="0" collapsed="false">
      <c r="B7471" s="53"/>
      <c r="I7471" s="53"/>
      <c r="U7471" s="31" t="n">
        <f aca="false">IF($B7471&lt;&gt;'設定（最初に1回）'!$C$4,N(U7470),IF(COUNTIFS(①今日の在庫を貼る!$B$6:$B$10005,$B7471,①今日の在庫を貼る!$I$6:$I$10005,$I7471)&gt;0,N(U7470),N(U7470)+1))</f>
        <v>2</v>
      </c>
    </row>
    <row r="7472" customFormat="false" ht="15" hidden="false" customHeight="false" outlineLevel="0" collapsed="false">
      <c r="B7472" s="53"/>
      <c r="I7472" s="53"/>
      <c r="U7472" s="31" t="n">
        <f aca="false">IF($B7472&lt;&gt;'設定（最初に1回）'!$C$4,N(U7471),IF(COUNTIFS(①今日の在庫を貼る!$B$6:$B$10005,$B7472,①今日の在庫を貼る!$I$6:$I$10005,$I7472)&gt;0,N(U7471),N(U7471)+1))</f>
        <v>2</v>
      </c>
    </row>
    <row r="7473" customFormat="false" ht="15" hidden="false" customHeight="false" outlineLevel="0" collapsed="false">
      <c r="B7473" s="53"/>
      <c r="I7473" s="53"/>
      <c r="U7473" s="31" t="n">
        <f aca="false">IF($B7473&lt;&gt;'設定（最初に1回）'!$C$4,N(U7472),IF(COUNTIFS(①今日の在庫を貼る!$B$6:$B$10005,$B7473,①今日の在庫を貼る!$I$6:$I$10005,$I7473)&gt;0,N(U7472),N(U7472)+1))</f>
        <v>2</v>
      </c>
    </row>
    <row r="7474" customFormat="false" ht="15" hidden="false" customHeight="false" outlineLevel="0" collapsed="false">
      <c r="B7474" s="53"/>
      <c r="I7474" s="53"/>
      <c r="U7474" s="31" t="n">
        <f aca="false">IF($B7474&lt;&gt;'設定（最初に1回）'!$C$4,N(U7473),IF(COUNTIFS(①今日の在庫を貼る!$B$6:$B$10005,$B7474,①今日の在庫を貼る!$I$6:$I$10005,$I7474)&gt;0,N(U7473),N(U7473)+1))</f>
        <v>2</v>
      </c>
    </row>
    <row r="7475" customFormat="false" ht="15" hidden="false" customHeight="false" outlineLevel="0" collapsed="false">
      <c r="B7475" s="53"/>
      <c r="I7475" s="53"/>
      <c r="U7475" s="31" t="n">
        <f aca="false">IF($B7475&lt;&gt;'設定（最初に1回）'!$C$4,N(U7474),IF(COUNTIFS(①今日の在庫を貼る!$B$6:$B$10005,$B7475,①今日の在庫を貼る!$I$6:$I$10005,$I7475)&gt;0,N(U7474),N(U7474)+1))</f>
        <v>2</v>
      </c>
    </row>
    <row r="7476" customFormat="false" ht="15" hidden="false" customHeight="false" outlineLevel="0" collapsed="false">
      <c r="B7476" s="53"/>
      <c r="I7476" s="53"/>
      <c r="U7476" s="31" t="n">
        <f aca="false">IF($B7476&lt;&gt;'設定（最初に1回）'!$C$4,N(U7475),IF(COUNTIFS(①今日の在庫を貼る!$B$6:$B$10005,$B7476,①今日の在庫を貼る!$I$6:$I$10005,$I7476)&gt;0,N(U7475),N(U7475)+1))</f>
        <v>2</v>
      </c>
    </row>
    <row r="7477" customFormat="false" ht="15" hidden="false" customHeight="false" outlineLevel="0" collapsed="false">
      <c r="B7477" s="53"/>
      <c r="I7477" s="53"/>
      <c r="U7477" s="31" t="n">
        <f aca="false">IF($B7477&lt;&gt;'設定（最初に1回）'!$C$4,N(U7476),IF(COUNTIFS(①今日の在庫を貼る!$B$6:$B$10005,$B7477,①今日の在庫を貼る!$I$6:$I$10005,$I7477)&gt;0,N(U7476),N(U7476)+1))</f>
        <v>2</v>
      </c>
    </row>
    <row r="7478" customFormat="false" ht="15" hidden="false" customHeight="false" outlineLevel="0" collapsed="false">
      <c r="B7478" s="53"/>
      <c r="I7478" s="53"/>
      <c r="U7478" s="31" t="n">
        <f aca="false">IF($B7478&lt;&gt;'設定（最初に1回）'!$C$4,N(U7477),IF(COUNTIFS(①今日の在庫を貼る!$B$6:$B$10005,$B7478,①今日の在庫を貼る!$I$6:$I$10005,$I7478)&gt;0,N(U7477),N(U7477)+1))</f>
        <v>2</v>
      </c>
    </row>
    <row r="7479" customFormat="false" ht="15" hidden="false" customHeight="false" outlineLevel="0" collapsed="false">
      <c r="B7479" s="53"/>
      <c r="I7479" s="53"/>
      <c r="U7479" s="31" t="n">
        <f aca="false">IF($B7479&lt;&gt;'設定（最初に1回）'!$C$4,N(U7478),IF(COUNTIFS(①今日の在庫を貼る!$B$6:$B$10005,$B7479,①今日の在庫を貼る!$I$6:$I$10005,$I7479)&gt;0,N(U7478),N(U7478)+1))</f>
        <v>2</v>
      </c>
    </row>
    <row r="7480" customFormat="false" ht="15" hidden="false" customHeight="false" outlineLevel="0" collapsed="false">
      <c r="B7480" s="53"/>
      <c r="I7480" s="53"/>
      <c r="U7480" s="31" t="n">
        <f aca="false">IF($B7480&lt;&gt;'設定（最初に1回）'!$C$4,N(U7479),IF(COUNTIFS(①今日の在庫を貼る!$B$6:$B$10005,$B7480,①今日の在庫を貼る!$I$6:$I$10005,$I7480)&gt;0,N(U7479),N(U7479)+1))</f>
        <v>2</v>
      </c>
    </row>
    <row r="7481" customFormat="false" ht="15" hidden="false" customHeight="false" outlineLevel="0" collapsed="false">
      <c r="B7481" s="53"/>
      <c r="I7481" s="53"/>
      <c r="U7481" s="31" t="n">
        <f aca="false">IF($B7481&lt;&gt;'設定（最初に1回）'!$C$4,N(U7480),IF(COUNTIFS(①今日の在庫を貼る!$B$6:$B$10005,$B7481,①今日の在庫を貼る!$I$6:$I$10005,$I7481)&gt;0,N(U7480),N(U7480)+1))</f>
        <v>2</v>
      </c>
    </row>
    <row r="7482" customFormat="false" ht="15" hidden="false" customHeight="false" outlineLevel="0" collapsed="false">
      <c r="B7482" s="53"/>
      <c r="I7482" s="53"/>
      <c r="U7482" s="31" t="n">
        <f aca="false">IF($B7482&lt;&gt;'設定（最初に1回）'!$C$4,N(U7481),IF(COUNTIFS(①今日の在庫を貼る!$B$6:$B$10005,$B7482,①今日の在庫を貼る!$I$6:$I$10005,$I7482)&gt;0,N(U7481),N(U7481)+1))</f>
        <v>2</v>
      </c>
    </row>
    <row r="7483" customFormat="false" ht="15" hidden="false" customHeight="false" outlineLevel="0" collapsed="false">
      <c r="B7483" s="53"/>
      <c r="I7483" s="53"/>
      <c r="U7483" s="31" t="n">
        <f aca="false">IF($B7483&lt;&gt;'設定（最初に1回）'!$C$4,N(U7482),IF(COUNTIFS(①今日の在庫を貼る!$B$6:$B$10005,$B7483,①今日の在庫を貼る!$I$6:$I$10005,$I7483)&gt;0,N(U7482),N(U7482)+1))</f>
        <v>2</v>
      </c>
    </row>
    <row r="7484" customFormat="false" ht="15" hidden="false" customHeight="false" outlineLevel="0" collapsed="false">
      <c r="B7484" s="53"/>
      <c r="I7484" s="53"/>
      <c r="U7484" s="31" t="n">
        <f aca="false">IF($B7484&lt;&gt;'設定（最初に1回）'!$C$4,N(U7483),IF(COUNTIFS(①今日の在庫を貼る!$B$6:$B$10005,$B7484,①今日の在庫を貼る!$I$6:$I$10005,$I7484)&gt;0,N(U7483),N(U7483)+1))</f>
        <v>2</v>
      </c>
    </row>
    <row r="7485" customFormat="false" ht="15" hidden="false" customHeight="false" outlineLevel="0" collapsed="false">
      <c r="B7485" s="53"/>
      <c r="I7485" s="53"/>
      <c r="U7485" s="31" t="n">
        <f aca="false">IF($B7485&lt;&gt;'設定（最初に1回）'!$C$4,N(U7484),IF(COUNTIFS(①今日の在庫を貼る!$B$6:$B$10005,$B7485,①今日の在庫を貼る!$I$6:$I$10005,$I7485)&gt;0,N(U7484),N(U7484)+1))</f>
        <v>2</v>
      </c>
    </row>
    <row r="7486" customFormat="false" ht="15" hidden="false" customHeight="false" outlineLevel="0" collapsed="false">
      <c r="B7486" s="53"/>
      <c r="I7486" s="53"/>
      <c r="U7486" s="31" t="n">
        <f aca="false">IF($B7486&lt;&gt;'設定（最初に1回）'!$C$4,N(U7485),IF(COUNTIFS(①今日の在庫を貼る!$B$6:$B$10005,$B7486,①今日の在庫を貼る!$I$6:$I$10005,$I7486)&gt;0,N(U7485),N(U7485)+1))</f>
        <v>2</v>
      </c>
    </row>
    <row r="7487" customFormat="false" ht="15" hidden="false" customHeight="false" outlineLevel="0" collapsed="false">
      <c r="B7487" s="53"/>
      <c r="I7487" s="53"/>
      <c r="U7487" s="31" t="n">
        <f aca="false">IF($B7487&lt;&gt;'設定（最初に1回）'!$C$4,N(U7486),IF(COUNTIFS(①今日の在庫を貼る!$B$6:$B$10005,$B7487,①今日の在庫を貼る!$I$6:$I$10005,$I7487)&gt;0,N(U7486),N(U7486)+1))</f>
        <v>2</v>
      </c>
    </row>
    <row r="7488" customFormat="false" ht="15" hidden="false" customHeight="false" outlineLevel="0" collapsed="false">
      <c r="B7488" s="53"/>
      <c r="I7488" s="53"/>
      <c r="U7488" s="31" t="n">
        <f aca="false">IF($B7488&lt;&gt;'設定（最初に1回）'!$C$4,N(U7487),IF(COUNTIFS(①今日の在庫を貼る!$B$6:$B$10005,$B7488,①今日の在庫を貼る!$I$6:$I$10005,$I7488)&gt;0,N(U7487),N(U7487)+1))</f>
        <v>2</v>
      </c>
    </row>
    <row r="7489" customFormat="false" ht="15" hidden="false" customHeight="false" outlineLevel="0" collapsed="false">
      <c r="B7489" s="53"/>
      <c r="I7489" s="53"/>
      <c r="U7489" s="31" t="n">
        <f aca="false">IF($B7489&lt;&gt;'設定（最初に1回）'!$C$4,N(U7488),IF(COUNTIFS(①今日の在庫を貼る!$B$6:$B$10005,$B7489,①今日の在庫を貼る!$I$6:$I$10005,$I7489)&gt;0,N(U7488),N(U7488)+1))</f>
        <v>2</v>
      </c>
    </row>
    <row r="7490" customFormat="false" ht="15" hidden="false" customHeight="false" outlineLevel="0" collapsed="false">
      <c r="B7490" s="53"/>
      <c r="I7490" s="53"/>
      <c r="U7490" s="31" t="n">
        <f aca="false">IF($B7490&lt;&gt;'設定（最初に1回）'!$C$4,N(U7489),IF(COUNTIFS(①今日の在庫を貼る!$B$6:$B$10005,$B7490,①今日の在庫を貼る!$I$6:$I$10005,$I7490)&gt;0,N(U7489),N(U7489)+1))</f>
        <v>2</v>
      </c>
    </row>
    <row r="7491" customFormat="false" ht="15" hidden="false" customHeight="false" outlineLevel="0" collapsed="false">
      <c r="B7491" s="53"/>
      <c r="I7491" s="53"/>
      <c r="U7491" s="31" t="n">
        <f aca="false">IF($B7491&lt;&gt;'設定（最初に1回）'!$C$4,N(U7490),IF(COUNTIFS(①今日の在庫を貼る!$B$6:$B$10005,$B7491,①今日の在庫を貼る!$I$6:$I$10005,$I7491)&gt;0,N(U7490),N(U7490)+1))</f>
        <v>2</v>
      </c>
    </row>
    <row r="7492" customFormat="false" ht="15" hidden="false" customHeight="false" outlineLevel="0" collapsed="false">
      <c r="B7492" s="53"/>
      <c r="I7492" s="53"/>
      <c r="U7492" s="31" t="n">
        <f aca="false">IF($B7492&lt;&gt;'設定（最初に1回）'!$C$4,N(U7491),IF(COUNTIFS(①今日の在庫を貼る!$B$6:$B$10005,$B7492,①今日の在庫を貼る!$I$6:$I$10005,$I7492)&gt;0,N(U7491),N(U7491)+1))</f>
        <v>2</v>
      </c>
    </row>
    <row r="7493" customFormat="false" ht="15" hidden="false" customHeight="false" outlineLevel="0" collapsed="false">
      <c r="B7493" s="53"/>
      <c r="I7493" s="53"/>
      <c r="U7493" s="31" t="n">
        <f aca="false">IF($B7493&lt;&gt;'設定（最初に1回）'!$C$4,N(U7492),IF(COUNTIFS(①今日の在庫を貼る!$B$6:$B$10005,$B7493,①今日の在庫を貼る!$I$6:$I$10005,$I7493)&gt;0,N(U7492),N(U7492)+1))</f>
        <v>2</v>
      </c>
    </row>
    <row r="7494" customFormat="false" ht="15" hidden="false" customHeight="false" outlineLevel="0" collapsed="false">
      <c r="B7494" s="53"/>
      <c r="I7494" s="53"/>
      <c r="U7494" s="31" t="n">
        <f aca="false">IF($B7494&lt;&gt;'設定（最初に1回）'!$C$4,N(U7493),IF(COUNTIFS(①今日の在庫を貼る!$B$6:$B$10005,$B7494,①今日の在庫を貼る!$I$6:$I$10005,$I7494)&gt;0,N(U7493),N(U7493)+1))</f>
        <v>2</v>
      </c>
    </row>
    <row r="7495" customFormat="false" ht="15" hidden="false" customHeight="false" outlineLevel="0" collapsed="false">
      <c r="B7495" s="53"/>
      <c r="I7495" s="53"/>
      <c r="U7495" s="31" t="n">
        <f aca="false">IF($B7495&lt;&gt;'設定（最初に1回）'!$C$4,N(U7494),IF(COUNTIFS(①今日の在庫を貼る!$B$6:$B$10005,$B7495,①今日の在庫を貼る!$I$6:$I$10005,$I7495)&gt;0,N(U7494),N(U7494)+1))</f>
        <v>2</v>
      </c>
    </row>
    <row r="7496" customFormat="false" ht="15" hidden="false" customHeight="false" outlineLevel="0" collapsed="false">
      <c r="B7496" s="53"/>
      <c r="I7496" s="53"/>
      <c r="U7496" s="31" t="n">
        <f aca="false">IF($B7496&lt;&gt;'設定（最初に1回）'!$C$4,N(U7495),IF(COUNTIFS(①今日の在庫を貼る!$B$6:$B$10005,$B7496,①今日の在庫を貼る!$I$6:$I$10005,$I7496)&gt;0,N(U7495),N(U7495)+1))</f>
        <v>2</v>
      </c>
    </row>
    <row r="7497" customFormat="false" ht="15" hidden="false" customHeight="false" outlineLevel="0" collapsed="false">
      <c r="B7497" s="53"/>
      <c r="I7497" s="53"/>
      <c r="U7497" s="31" t="n">
        <f aca="false">IF($B7497&lt;&gt;'設定（最初に1回）'!$C$4,N(U7496),IF(COUNTIFS(①今日の在庫を貼る!$B$6:$B$10005,$B7497,①今日の在庫を貼る!$I$6:$I$10005,$I7497)&gt;0,N(U7496),N(U7496)+1))</f>
        <v>2</v>
      </c>
    </row>
    <row r="7498" customFormat="false" ht="15" hidden="false" customHeight="false" outlineLevel="0" collapsed="false">
      <c r="B7498" s="53"/>
      <c r="I7498" s="53"/>
      <c r="U7498" s="31" t="n">
        <f aca="false">IF($B7498&lt;&gt;'設定（最初に1回）'!$C$4,N(U7497),IF(COUNTIFS(①今日の在庫を貼る!$B$6:$B$10005,$B7498,①今日の在庫を貼る!$I$6:$I$10005,$I7498)&gt;0,N(U7497),N(U7497)+1))</f>
        <v>2</v>
      </c>
    </row>
    <row r="7499" customFormat="false" ht="15" hidden="false" customHeight="false" outlineLevel="0" collapsed="false">
      <c r="B7499" s="53"/>
      <c r="I7499" s="53"/>
      <c r="U7499" s="31" t="n">
        <f aca="false">IF($B7499&lt;&gt;'設定（最初に1回）'!$C$4,N(U7498),IF(COUNTIFS(①今日の在庫を貼る!$B$6:$B$10005,$B7499,①今日の在庫を貼る!$I$6:$I$10005,$I7499)&gt;0,N(U7498),N(U7498)+1))</f>
        <v>2</v>
      </c>
    </row>
    <row r="7500" customFormat="false" ht="15" hidden="false" customHeight="false" outlineLevel="0" collapsed="false">
      <c r="B7500" s="53"/>
      <c r="I7500" s="53"/>
      <c r="U7500" s="31" t="n">
        <f aca="false">IF($B7500&lt;&gt;'設定（最初に1回）'!$C$4,N(U7499),IF(COUNTIFS(①今日の在庫を貼る!$B$6:$B$10005,$B7500,①今日の在庫を貼る!$I$6:$I$10005,$I7500)&gt;0,N(U7499),N(U7499)+1))</f>
        <v>2</v>
      </c>
    </row>
    <row r="7501" customFormat="false" ht="15" hidden="false" customHeight="false" outlineLevel="0" collapsed="false">
      <c r="B7501" s="53"/>
      <c r="I7501" s="53"/>
      <c r="U7501" s="31" t="n">
        <f aca="false">IF($B7501&lt;&gt;'設定（最初に1回）'!$C$4,N(U7500),IF(COUNTIFS(①今日の在庫を貼る!$B$6:$B$10005,$B7501,①今日の在庫を貼る!$I$6:$I$10005,$I7501)&gt;0,N(U7500),N(U7500)+1))</f>
        <v>2</v>
      </c>
    </row>
    <row r="7502" customFormat="false" ht="15" hidden="false" customHeight="false" outlineLevel="0" collapsed="false">
      <c r="B7502" s="53"/>
      <c r="I7502" s="53"/>
      <c r="U7502" s="31" t="n">
        <f aca="false">IF($B7502&lt;&gt;'設定（最初に1回）'!$C$4,N(U7501),IF(COUNTIFS(①今日の在庫を貼る!$B$6:$B$10005,$B7502,①今日の在庫を貼る!$I$6:$I$10005,$I7502)&gt;0,N(U7501),N(U7501)+1))</f>
        <v>2</v>
      </c>
    </row>
    <row r="7503" customFormat="false" ht="15" hidden="false" customHeight="false" outlineLevel="0" collapsed="false">
      <c r="B7503" s="53"/>
      <c r="I7503" s="53"/>
      <c r="U7503" s="31" t="n">
        <f aca="false">IF($B7503&lt;&gt;'設定（最初に1回）'!$C$4,N(U7502),IF(COUNTIFS(①今日の在庫を貼る!$B$6:$B$10005,$B7503,①今日の在庫を貼る!$I$6:$I$10005,$I7503)&gt;0,N(U7502),N(U7502)+1))</f>
        <v>2</v>
      </c>
    </row>
    <row r="7504" customFormat="false" ht="15" hidden="false" customHeight="false" outlineLevel="0" collapsed="false">
      <c r="B7504" s="53"/>
      <c r="I7504" s="53"/>
      <c r="U7504" s="31" t="n">
        <f aca="false">IF($B7504&lt;&gt;'設定（最初に1回）'!$C$4,N(U7503),IF(COUNTIFS(①今日の在庫を貼る!$B$6:$B$10005,$B7504,①今日の在庫を貼る!$I$6:$I$10005,$I7504)&gt;0,N(U7503),N(U7503)+1))</f>
        <v>2</v>
      </c>
    </row>
    <row r="7505" customFormat="false" ht="15" hidden="false" customHeight="false" outlineLevel="0" collapsed="false">
      <c r="B7505" s="53"/>
      <c r="I7505" s="53"/>
      <c r="U7505" s="31" t="n">
        <f aca="false">IF($B7505&lt;&gt;'設定（最初に1回）'!$C$4,N(U7504),IF(COUNTIFS(①今日の在庫を貼る!$B$6:$B$10005,$B7505,①今日の在庫を貼る!$I$6:$I$10005,$I7505)&gt;0,N(U7504),N(U7504)+1))</f>
        <v>2</v>
      </c>
    </row>
    <row r="7506" customFormat="false" ht="15" hidden="false" customHeight="false" outlineLevel="0" collapsed="false">
      <c r="B7506" s="53"/>
      <c r="I7506" s="53"/>
      <c r="U7506" s="31" t="n">
        <f aca="false">IF($B7506&lt;&gt;'設定（最初に1回）'!$C$4,N(U7505),IF(COUNTIFS(①今日の在庫を貼る!$B$6:$B$10005,$B7506,①今日の在庫を貼る!$I$6:$I$10005,$I7506)&gt;0,N(U7505),N(U7505)+1))</f>
        <v>2</v>
      </c>
    </row>
    <row r="7507" customFormat="false" ht="15" hidden="false" customHeight="false" outlineLevel="0" collapsed="false">
      <c r="B7507" s="53"/>
      <c r="I7507" s="53"/>
      <c r="U7507" s="31" t="n">
        <f aca="false">IF($B7507&lt;&gt;'設定（最初に1回）'!$C$4,N(U7506),IF(COUNTIFS(①今日の在庫を貼る!$B$6:$B$10005,$B7507,①今日の在庫を貼る!$I$6:$I$10005,$I7507)&gt;0,N(U7506),N(U7506)+1))</f>
        <v>2</v>
      </c>
    </row>
    <row r="7508" customFormat="false" ht="15" hidden="false" customHeight="false" outlineLevel="0" collapsed="false">
      <c r="B7508" s="53"/>
      <c r="I7508" s="53"/>
      <c r="U7508" s="31" t="n">
        <f aca="false">IF($B7508&lt;&gt;'設定（最初に1回）'!$C$4,N(U7507),IF(COUNTIFS(①今日の在庫を貼る!$B$6:$B$10005,$B7508,①今日の在庫を貼る!$I$6:$I$10005,$I7508)&gt;0,N(U7507),N(U7507)+1))</f>
        <v>2</v>
      </c>
    </row>
    <row r="7509" customFormat="false" ht="15" hidden="false" customHeight="false" outlineLevel="0" collapsed="false">
      <c r="B7509" s="53"/>
      <c r="I7509" s="53"/>
      <c r="U7509" s="31" t="n">
        <f aca="false">IF($B7509&lt;&gt;'設定（最初に1回）'!$C$4,N(U7508),IF(COUNTIFS(①今日の在庫を貼る!$B$6:$B$10005,$B7509,①今日の在庫を貼る!$I$6:$I$10005,$I7509)&gt;0,N(U7508),N(U7508)+1))</f>
        <v>2</v>
      </c>
    </row>
    <row r="7510" customFormat="false" ht="15" hidden="false" customHeight="false" outlineLevel="0" collapsed="false">
      <c r="B7510" s="53"/>
      <c r="I7510" s="53"/>
      <c r="U7510" s="31" t="n">
        <f aca="false">IF($B7510&lt;&gt;'設定（最初に1回）'!$C$4,N(U7509),IF(COUNTIFS(①今日の在庫を貼る!$B$6:$B$10005,$B7510,①今日の在庫を貼る!$I$6:$I$10005,$I7510)&gt;0,N(U7509),N(U7509)+1))</f>
        <v>2</v>
      </c>
    </row>
    <row r="7511" customFormat="false" ht="15" hidden="false" customHeight="false" outlineLevel="0" collapsed="false">
      <c r="B7511" s="53"/>
      <c r="I7511" s="53"/>
      <c r="U7511" s="31" t="n">
        <f aca="false">IF($B7511&lt;&gt;'設定（最初に1回）'!$C$4,N(U7510),IF(COUNTIFS(①今日の在庫を貼る!$B$6:$B$10005,$B7511,①今日の在庫を貼る!$I$6:$I$10005,$I7511)&gt;0,N(U7510),N(U7510)+1))</f>
        <v>2</v>
      </c>
    </row>
    <row r="7512" customFormat="false" ht="15" hidden="false" customHeight="false" outlineLevel="0" collapsed="false">
      <c r="B7512" s="53"/>
      <c r="I7512" s="53"/>
      <c r="U7512" s="31" t="n">
        <f aca="false">IF($B7512&lt;&gt;'設定（最初に1回）'!$C$4,N(U7511),IF(COUNTIFS(①今日の在庫を貼る!$B$6:$B$10005,$B7512,①今日の在庫を貼る!$I$6:$I$10005,$I7512)&gt;0,N(U7511),N(U7511)+1))</f>
        <v>2</v>
      </c>
    </row>
    <row r="7513" customFormat="false" ht="15" hidden="false" customHeight="false" outlineLevel="0" collapsed="false">
      <c r="B7513" s="53"/>
      <c r="I7513" s="53"/>
      <c r="U7513" s="31" t="n">
        <f aca="false">IF($B7513&lt;&gt;'設定（最初に1回）'!$C$4,N(U7512),IF(COUNTIFS(①今日の在庫を貼る!$B$6:$B$10005,$B7513,①今日の在庫を貼る!$I$6:$I$10005,$I7513)&gt;0,N(U7512),N(U7512)+1))</f>
        <v>2</v>
      </c>
    </row>
    <row r="7514" customFormat="false" ht="15" hidden="false" customHeight="false" outlineLevel="0" collapsed="false">
      <c r="B7514" s="53"/>
      <c r="I7514" s="53"/>
      <c r="U7514" s="31" t="n">
        <f aca="false">IF($B7514&lt;&gt;'設定（最初に1回）'!$C$4,N(U7513),IF(COUNTIFS(①今日の在庫を貼る!$B$6:$B$10005,$B7514,①今日の在庫を貼る!$I$6:$I$10005,$I7514)&gt;0,N(U7513),N(U7513)+1))</f>
        <v>2</v>
      </c>
    </row>
    <row r="7515" customFormat="false" ht="15" hidden="false" customHeight="false" outlineLevel="0" collapsed="false">
      <c r="B7515" s="53"/>
      <c r="I7515" s="53"/>
      <c r="U7515" s="31" t="n">
        <f aca="false">IF($B7515&lt;&gt;'設定（最初に1回）'!$C$4,N(U7514),IF(COUNTIFS(①今日の在庫を貼る!$B$6:$B$10005,$B7515,①今日の在庫を貼る!$I$6:$I$10005,$I7515)&gt;0,N(U7514),N(U7514)+1))</f>
        <v>2</v>
      </c>
    </row>
    <row r="7516" customFormat="false" ht="15" hidden="false" customHeight="false" outlineLevel="0" collapsed="false">
      <c r="B7516" s="53"/>
      <c r="I7516" s="53"/>
      <c r="U7516" s="31" t="n">
        <f aca="false">IF($B7516&lt;&gt;'設定（最初に1回）'!$C$4,N(U7515),IF(COUNTIFS(①今日の在庫を貼る!$B$6:$B$10005,$B7516,①今日の在庫を貼る!$I$6:$I$10005,$I7516)&gt;0,N(U7515),N(U7515)+1))</f>
        <v>2</v>
      </c>
    </row>
    <row r="7517" customFormat="false" ht="15" hidden="false" customHeight="false" outlineLevel="0" collapsed="false">
      <c r="B7517" s="53"/>
      <c r="I7517" s="53"/>
      <c r="U7517" s="31" t="n">
        <f aca="false">IF($B7517&lt;&gt;'設定（最初に1回）'!$C$4,N(U7516),IF(COUNTIFS(①今日の在庫を貼る!$B$6:$B$10005,$B7517,①今日の在庫を貼る!$I$6:$I$10005,$I7517)&gt;0,N(U7516),N(U7516)+1))</f>
        <v>2</v>
      </c>
    </row>
    <row r="7518" customFormat="false" ht="15" hidden="false" customHeight="false" outlineLevel="0" collapsed="false">
      <c r="B7518" s="53"/>
      <c r="I7518" s="53"/>
      <c r="U7518" s="31" t="n">
        <f aca="false">IF($B7518&lt;&gt;'設定（最初に1回）'!$C$4,N(U7517),IF(COUNTIFS(①今日の在庫を貼る!$B$6:$B$10005,$B7518,①今日の在庫を貼る!$I$6:$I$10005,$I7518)&gt;0,N(U7517),N(U7517)+1))</f>
        <v>2</v>
      </c>
    </row>
    <row r="7519" customFormat="false" ht="15" hidden="false" customHeight="false" outlineLevel="0" collapsed="false">
      <c r="B7519" s="53"/>
      <c r="I7519" s="53"/>
      <c r="U7519" s="31" t="n">
        <f aca="false">IF($B7519&lt;&gt;'設定（最初に1回）'!$C$4,N(U7518),IF(COUNTIFS(①今日の在庫を貼る!$B$6:$B$10005,$B7519,①今日の在庫を貼る!$I$6:$I$10005,$I7519)&gt;0,N(U7518),N(U7518)+1))</f>
        <v>2</v>
      </c>
    </row>
    <row r="7520" customFormat="false" ht="15" hidden="false" customHeight="false" outlineLevel="0" collapsed="false">
      <c r="B7520" s="53"/>
      <c r="I7520" s="53"/>
      <c r="U7520" s="31" t="n">
        <f aca="false">IF($B7520&lt;&gt;'設定（最初に1回）'!$C$4,N(U7519),IF(COUNTIFS(①今日の在庫を貼る!$B$6:$B$10005,$B7520,①今日の在庫を貼る!$I$6:$I$10005,$I7520)&gt;0,N(U7519),N(U7519)+1))</f>
        <v>2</v>
      </c>
    </row>
    <row r="7521" customFormat="false" ht="15" hidden="false" customHeight="false" outlineLevel="0" collapsed="false">
      <c r="B7521" s="53"/>
      <c r="I7521" s="53"/>
      <c r="U7521" s="31" t="n">
        <f aca="false">IF($B7521&lt;&gt;'設定（最初に1回）'!$C$4,N(U7520),IF(COUNTIFS(①今日の在庫を貼る!$B$6:$B$10005,$B7521,①今日の在庫を貼る!$I$6:$I$10005,$I7521)&gt;0,N(U7520),N(U7520)+1))</f>
        <v>2</v>
      </c>
    </row>
    <row r="7522" customFormat="false" ht="15" hidden="false" customHeight="false" outlineLevel="0" collapsed="false">
      <c r="B7522" s="53"/>
      <c r="I7522" s="53"/>
      <c r="U7522" s="31" t="n">
        <f aca="false">IF($B7522&lt;&gt;'設定（最初に1回）'!$C$4,N(U7521),IF(COUNTIFS(①今日の在庫を貼る!$B$6:$B$10005,$B7522,①今日の在庫を貼る!$I$6:$I$10005,$I7522)&gt;0,N(U7521),N(U7521)+1))</f>
        <v>2</v>
      </c>
    </row>
    <row r="7523" customFormat="false" ht="15" hidden="false" customHeight="false" outlineLevel="0" collapsed="false">
      <c r="B7523" s="53"/>
      <c r="I7523" s="53"/>
      <c r="U7523" s="31" t="n">
        <f aca="false">IF($B7523&lt;&gt;'設定（最初に1回）'!$C$4,N(U7522),IF(COUNTIFS(①今日の在庫を貼る!$B$6:$B$10005,$B7523,①今日の在庫を貼る!$I$6:$I$10005,$I7523)&gt;0,N(U7522),N(U7522)+1))</f>
        <v>2</v>
      </c>
    </row>
    <row r="7524" customFormat="false" ht="15" hidden="false" customHeight="false" outlineLevel="0" collapsed="false">
      <c r="B7524" s="53"/>
      <c r="I7524" s="53"/>
      <c r="U7524" s="31" t="n">
        <f aca="false">IF($B7524&lt;&gt;'設定（最初に1回）'!$C$4,N(U7523),IF(COUNTIFS(①今日の在庫を貼る!$B$6:$B$10005,$B7524,①今日の在庫を貼る!$I$6:$I$10005,$I7524)&gt;0,N(U7523),N(U7523)+1))</f>
        <v>2</v>
      </c>
    </row>
    <row r="7525" customFormat="false" ht="15" hidden="false" customHeight="false" outlineLevel="0" collapsed="false">
      <c r="B7525" s="53"/>
      <c r="I7525" s="53"/>
      <c r="U7525" s="31" t="n">
        <f aca="false">IF($B7525&lt;&gt;'設定（最初に1回）'!$C$4,N(U7524),IF(COUNTIFS(①今日の在庫を貼る!$B$6:$B$10005,$B7525,①今日の在庫を貼る!$I$6:$I$10005,$I7525)&gt;0,N(U7524),N(U7524)+1))</f>
        <v>2</v>
      </c>
    </row>
    <row r="7526" customFormat="false" ht="15" hidden="false" customHeight="false" outlineLevel="0" collapsed="false">
      <c r="B7526" s="53"/>
      <c r="I7526" s="53"/>
      <c r="U7526" s="31" t="n">
        <f aca="false">IF($B7526&lt;&gt;'設定（最初に1回）'!$C$4,N(U7525),IF(COUNTIFS(①今日の在庫を貼る!$B$6:$B$10005,$B7526,①今日の在庫を貼る!$I$6:$I$10005,$I7526)&gt;0,N(U7525),N(U7525)+1))</f>
        <v>2</v>
      </c>
    </row>
    <row r="7527" customFormat="false" ht="15" hidden="false" customHeight="false" outlineLevel="0" collapsed="false">
      <c r="B7527" s="53"/>
      <c r="I7527" s="53"/>
      <c r="U7527" s="31" t="n">
        <f aca="false">IF($B7527&lt;&gt;'設定（最初に1回）'!$C$4,N(U7526),IF(COUNTIFS(①今日の在庫を貼る!$B$6:$B$10005,$B7527,①今日の在庫を貼る!$I$6:$I$10005,$I7527)&gt;0,N(U7526),N(U7526)+1))</f>
        <v>2</v>
      </c>
    </row>
    <row r="7528" customFormat="false" ht="15" hidden="false" customHeight="false" outlineLevel="0" collapsed="false">
      <c r="B7528" s="53"/>
      <c r="I7528" s="53"/>
      <c r="U7528" s="31" t="n">
        <f aca="false">IF($B7528&lt;&gt;'設定（最初に1回）'!$C$4,N(U7527),IF(COUNTIFS(①今日の在庫を貼る!$B$6:$B$10005,$B7528,①今日の在庫を貼る!$I$6:$I$10005,$I7528)&gt;0,N(U7527),N(U7527)+1))</f>
        <v>2</v>
      </c>
    </row>
    <row r="7529" customFormat="false" ht="15" hidden="false" customHeight="false" outlineLevel="0" collapsed="false">
      <c r="B7529" s="53"/>
      <c r="I7529" s="53"/>
      <c r="U7529" s="31" t="n">
        <f aca="false">IF($B7529&lt;&gt;'設定（最初に1回）'!$C$4,N(U7528),IF(COUNTIFS(①今日の在庫を貼る!$B$6:$B$10005,$B7529,①今日の在庫を貼る!$I$6:$I$10005,$I7529)&gt;0,N(U7528),N(U7528)+1))</f>
        <v>2</v>
      </c>
    </row>
    <row r="7530" customFormat="false" ht="15" hidden="false" customHeight="false" outlineLevel="0" collapsed="false">
      <c r="B7530" s="53"/>
      <c r="I7530" s="53"/>
      <c r="U7530" s="31" t="n">
        <f aca="false">IF($B7530&lt;&gt;'設定（最初に1回）'!$C$4,N(U7529),IF(COUNTIFS(①今日の在庫を貼る!$B$6:$B$10005,$B7530,①今日の在庫を貼る!$I$6:$I$10005,$I7530)&gt;0,N(U7529),N(U7529)+1))</f>
        <v>2</v>
      </c>
    </row>
    <row r="7531" customFormat="false" ht="15" hidden="false" customHeight="false" outlineLevel="0" collapsed="false">
      <c r="B7531" s="53"/>
      <c r="I7531" s="53"/>
      <c r="U7531" s="31" t="n">
        <f aca="false">IF($B7531&lt;&gt;'設定（最初に1回）'!$C$4,N(U7530),IF(COUNTIFS(①今日の在庫を貼る!$B$6:$B$10005,$B7531,①今日の在庫を貼る!$I$6:$I$10005,$I7531)&gt;0,N(U7530),N(U7530)+1))</f>
        <v>2</v>
      </c>
    </row>
    <row r="7532" customFormat="false" ht="15" hidden="false" customHeight="false" outlineLevel="0" collapsed="false">
      <c r="B7532" s="53"/>
      <c r="I7532" s="53"/>
      <c r="U7532" s="31" t="n">
        <f aca="false">IF($B7532&lt;&gt;'設定（最初に1回）'!$C$4,N(U7531),IF(COUNTIFS(①今日の在庫を貼る!$B$6:$B$10005,$B7532,①今日の在庫を貼る!$I$6:$I$10005,$I7532)&gt;0,N(U7531),N(U7531)+1))</f>
        <v>2</v>
      </c>
    </row>
    <row r="7533" customFormat="false" ht="15" hidden="false" customHeight="false" outlineLevel="0" collapsed="false">
      <c r="B7533" s="53"/>
      <c r="I7533" s="53"/>
      <c r="U7533" s="31" t="n">
        <f aca="false">IF($B7533&lt;&gt;'設定（最初に1回）'!$C$4,N(U7532),IF(COUNTIFS(①今日の在庫を貼る!$B$6:$B$10005,$B7533,①今日の在庫を貼る!$I$6:$I$10005,$I7533)&gt;0,N(U7532),N(U7532)+1))</f>
        <v>2</v>
      </c>
    </row>
    <row r="7534" customFormat="false" ht="15" hidden="false" customHeight="false" outlineLevel="0" collapsed="false">
      <c r="B7534" s="53"/>
      <c r="I7534" s="53"/>
      <c r="U7534" s="31" t="n">
        <f aca="false">IF($B7534&lt;&gt;'設定（最初に1回）'!$C$4,N(U7533),IF(COUNTIFS(①今日の在庫を貼る!$B$6:$B$10005,$B7534,①今日の在庫を貼る!$I$6:$I$10005,$I7534)&gt;0,N(U7533),N(U7533)+1))</f>
        <v>2</v>
      </c>
    </row>
    <row r="7535" customFormat="false" ht="15" hidden="false" customHeight="false" outlineLevel="0" collapsed="false">
      <c r="B7535" s="53"/>
      <c r="I7535" s="53"/>
      <c r="U7535" s="31" t="n">
        <f aca="false">IF($B7535&lt;&gt;'設定（最初に1回）'!$C$4,N(U7534),IF(COUNTIFS(①今日の在庫を貼る!$B$6:$B$10005,$B7535,①今日の在庫を貼る!$I$6:$I$10005,$I7535)&gt;0,N(U7534),N(U7534)+1))</f>
        <v>2</v>
      </c>
    </row>
    <row r="7536" customFormat="false" ht="15" hidden="false" customHeight="false" outlineLevel="0" collapsed="false">
      <c r="B7536" s="53"/>
      <c r="I7536" s="53"/>
      <c r="U7536" s="31" t="n">
        <f aca="false">IF($B7536&lt;&gt;'設定（最初に1回）'!$C$4,N(U7535),IF(COUNTIFS(①今日の在庫を貼る!$B$6:$B$10005,$B7536,①今日の在庫を貼る!$I$6:$I$10005,$I7536)&gt;0,N(U7535),N(U7535)+1))</f>
        <v>2</v>
      </c>
    </row>
    <row r="7537" customFormat="false" ht="15" hidden="false" customHeight="false" outlineLevel="0" collapsed="false">
      <c r="B7537" s="53"/>
      <c r="I7537" s="53"/>
      <c r="U7537" s="31" t="n">
        <f aca="false">IF($B7537&lt;&gt;'設定（最初に1回）'!$C$4,N(U7536),IF(COUNTIFS(①今日の在庫を貼る!$B$6:$B$10005,$B7537,①今日の在庫を貼る!$I$6:$I$10005,$I7537)&gt;0,N(U7536),N(U7536)+1))</f>
        <v>2</v>
      </c>
    </row>
    <row r="7538" customFormat="false" ht="15" hidden="false" customHeight="false" outlineLevel="0" collapsed="false">
      <c r="B7538" s="53"/>
      <c r="I7538" s="53"/>
      <c r="U7538" s="31" t="n">
        <f aca="false">IF($B7538&lt;&gt;'設定（最初に1回）'!$C$4,N(U7537),IF(COUNTIFS(①今日の在庫を貼る!$B$6:$B$10005,$B7538,①今日の在庫を貼る!$I$6:$I$10005,$I7538)&gt;0,N(U7537),N(U7537)+1))</f>
        <v>2</v>
      </c>
    </row>
    <row r="7539" customFormat="false" ht="15" hidden="false" customHeight="false" outlineLevel="0" collapsed="false">
      <c r="B7539" s="53"/>
      <c r="I7539" s="53"/>
      <c r="U7539" s="31" t="n">
        <f aca="false">IF($B7539&lt;&gt;'設定（最初に1回）'!$C$4,N(U7538),IF(COUNTIFS(①今日の在庫を貼る!$B$6:$B$10005,$B7539,①今日の在庫を貼る!$I$6:$I$10005,$I7539)&gt;0,N(U7538),N(U7538)+1))</f>
        <v>2</v>
      </c>
    </row>
    <row r="7540" customFormat="false" ht="15" hidden="false" customHeight="false" outlineLevel="0" collapsed="false">
      <c r="B7540" s="53"/>
      <c r="I7540" s="53"/>
      <c r="U7540" s="31" t="n">
        <f aca="false">IF($B7540&lt;&gt;'設定（最初に1回）'!$C$4,N(U7539),IF(COUNTIFS(①今日の在庫を貼る!$B$6:$B$10005,$B7540,①今日の在庫を貼る!$I$6:$I$10005,$I7540)&gt;0,N(U7539),N(U7539)+1))</f>
        <v>2</v>
      </c>
    </row>
    <row r="7541" customFormat="false" ht="15" hidden="false" customHeight="false" outlineLevel="0" collapsed="false">
      <c r="B7541" s="53"/>
      <c r="I7541" s="53"/>
      <c r="U7541" s="31" t="n">
        <f aca="false">IF($B7541&lt;&gt;'設定（最初に1回）'!$C$4,N(U7540),IF(COUNTIFS(①今日の在庫を貼る!$B$6:$B$10005,$B7541,①今日の在庫を貼る!$I$6:$I$10005,$I7541)&gt;0,N(U7540),N(U7540)+1))</f>
        <v>2</v>
      </c>
    </row>
    <row r="7542" customFormat="false" ht="15" hidden="false" customHeight="false" outlineLevel="0" collapsed="false">
      <c r="B7542" s="53"/>
      <c r="I7542" s="53"/>
      <c r="U7542" s="31" t="n">
        <f aca="false">IF($B7542&lt;&gt;'設定（最初に1回）'!$C$4,N(U7541),IF(COUNTIFS(①今日の在庫を貼る!$B$6:$B$10005,$B7542,①今日の在庫を貼る!$I$6:$I$10005,$I7542)&gt;0,N(U7541),N(U7541)+1))</f>
        <v>2</v>
      </c>
    </row>
    <row r="7543" customFormat="false" ht="15" hidden="false" customHeight="false" outlineLevel="0" collapsed="false">
      <c r="B7543" s="53"/>
      <c r="I7543" s="53"/>
      <c r="U7543" s="31" t="n">
        <f aca="false">IF($B7543&lt;&gt;'設定（最初に1回）'!$C$4,N(U7542),IF(COUNTIFS(①今日の在庫を貼る!$B$6:$B$10005,$B7543,①今日の在庫を貼る!$I$6:$I$10005,$I7543)&gt;0,N(U7542),N(U7542)+1))</f>
        <v>2</v>
      </c>
    </row>
    <row r="7544" customFormat="false" ht="15" hidden="false" customHeight="false" outlineLevel="0" collapsed="false">
      <c r="B7544" s="53"/>
      <c r="I7544" s="53"/>
      <c r="U7544" s="31" t="n">
        <f aca="false">IF($B7544&lt;&gt;'設定（最初に1回）'!$C$4,N(U7543),IF(COUNTIFS(①今日の在庫を貼る!$B$6:$B$10005,$B7544,①今日の在庫を貼る!$I$6:$I$10005,$I7544)&gt;0,N(U7543),N(U7543)+1))</f>
        <v>2</v>
      </c>
    </row>
    <row r="7545" customFormat="false" ht="15" hidden="false" customHeight="false" outlineLevel="0" collapsed="false">
      <c r="B7545" s="53"/>
      <c r="I7545" s="53"/>
      <c r="U7545" s="31" t="n">
        <f aca="false">IF($B7545&lt;&gt;'設定（最初に1回）'!$C$4,N(U7544),IF(COUNTIFS(①今日の在庫を貼る!$B$6:$B$10005,$B7545,①今日の在庫を貼る!$I$6:$I$10005,$I7545)&gt;0,N(U7544),N(U7544)+1))</f>
        <v>2</v>
      </c>
    </row>
    <row r="7546" customFormat="false" ht="15" hidden="false" customHeight="false" outlineLevel="0" collapsed="false">
      <c r="B7546" s="53"/>
      <c r="I7546" s="53"/>
      <c r="U7546" s="31" t="n">
        <f aca="false">IF($B7546&lt;&gt;'設定（最初に1回）'!$C$4,N(U7545),IF(COUNTIFS(①今日の在庫を貼る!$B$6:$B$10005,$B7546,①今日の在庫を貼る!$I$6:$I$10005,$I7546)&gt;0,N(U7545),N(U7545)+1))</f>
        <v>2</v>
      </c>
    </row>
    <row r="7547" customFormat="false" ht="15" hidden="false" customHeight="false" outlineLevel="0" collapsed="false">
      <c r="B7547" s="53"/>
      <c r="I7547" s="53"/>
      <c r="U7547" s="31" t="n">
        <f aca="false">IF($B7547&lt;&gt;'設定（最初に1回）'!$C$4,N(U7546),IF(COUNTIFS(①今日の在庫を貼る!$B$6:$B$10005,$B7547,①今日の在庫を貼る!$I$6:$I$10005,$I7547)&gt;0,N(U7546),N(U7546)+1))</f>
        <v>2</v>
      </c>
    </row>
    <row r="7548" customFormat="false" ht="15" hidden="false" customHeight="false" outlineLevel="0" collapsed="false">
      <c r="B7548" s="53"/>
      <c r="I7548" s="53"/>
      <c r="U7548" s="31" t="n">
        <f aca="false">IF($B7548&lt;&gt;'設定（最初に1回）'!$C$4,N(U7547),IF(COUNTIFS(①今日の在庫を貼る!$B$6:$B$10005,$B7548,①今日の在庫を貼る!$I$6:$I$10005,$I7548)&gt;0,N(U7547),N(U7547)+1))</f>
        <v>2</v>
      </c>
    </row>
    <row r="7549" customFormat="false" ht="15" hidden="false" customHeight="false" outlineLevel="0" collapsed="false">
      <c r="B7549" s="53"/>
      <c r="I7549" s="53"/>
      <c r="U7549" s="31" t="n">
        <f aca="false">IF($B7549&lt;&gt;'設定（最初に1回）'!$C$4,N(U7548),IF(COUNTIFS(①今日の在庫を貼る!$B$6:$B$10005,$B7549,①今日の在庫を貼る!$I$6:$I$10005,$I7549)&gt;0,N(U7548),N(U7548)+1))</f>
        <v>2</v>
      </c>
    </row>
    <row r="7550" customFormat="false" ht="15" hidden="false" customHeight="false" outlineLevel="0" collapsed="false">
      <c r="B7550" s="53"/>
      <c r="I7550" s="53"/>
      <c r="U7550" s="31" t="n">
        <f aca="false">IF($B7550&lt;&gt;'設定（最初に1回）'!$C$4,N(U7549),IF(COUNTIFS(①今日の在庫を貼る!$B$6:$B$10005,$B7550,①今日の在庫を貼る!$I$6:$I$10005,$I7550)&gt;0,N(U7549),N(U7549)+1))</f>
        <v>2</v>
      </c>
    </row>
    <row r="7551" customFormat="false" ht="15" hidden="false" customHeight="false" outlineLevel="0" collapsed="false">
      <c r="B7551" s="53"/>
      <c r="I7551" s="53"/>
      <c r="U7551" s="31" t="n">
        <f aca="false">IF($B7551&lt;&gt;'設定（最初に1回）'!$C$4,N(U7550),IF(COUNTIFS(①今日の在庫を貼る!$B$6:$B$10005,$B7551,①今日の在庫を貼る!$I$6:$I$10005,$I7551)&gt;0,N(U7550),N(U7550)+1))</f>
        <v>2</v>
      </c>
    </row>
    <row r="7552" customFormat="false" ht="15" hidden="false" customHeight="false" outlineLevel="0" collapsed="false">
      <c r="B7552" s="53"/>
      <c r="I7552" s="53"/>
      <c r="U7552" s="31" t="n">
        <f aca="false">IF($B7552&lt;&gt;'設定（最初に1回）'!$C$4,N(U7551),IF(COUNTIFS(①今日の在庫を貼る!$B$6:$B$10005,$B7552,①今日の在庫を貼る!$I$6:$I$10005,$I7552)&gt;0,N(U7551),N(U7551)+1))</f>
        <v>2</v>
      </c>
    </row>
    <row r="7553" customFormat="false" ht="15" hidden="false" customHeight="false" outlineLevel="0" collapsed="false">
      <c r="B7553" s="53"/>
      <c r="I7553" s="53"/>
      <c r="U7553" s="31" t="n">
        <f aca="false">IF($B7553&lt;&gt;'設定（最初に1回）'!$C$4,N(U7552),IF(COUNTIFS(①今日の在庫を貼る!$B$6:$B$10005,$B7553,①今日の在庫を貼る!$I$6:$I$10005,$I7553)&gt;0,N(U7552),N(U7552)+1))</f>
        <v>2</v>
      </c>
    </row>
    <row r="7554" customFormat="false" ht="15" hidden="false" customHeight="false" outlineLevel="0" collapsed="false">
      <c r="B7554" s="53"/>
      <c r="I7554" s="53"/>
      <c r="U7554" s="31" t="n">
        <f aca="false">IF($B7554&lt;&gt;'設定（最初に1回）'!$C$4,N(U7553),IF(COUNTIFS(①今日の在庫を貼る!$B$6:$B$10005,$B7554,①今日の在庫を貼る!$I$6:$I$10005,$I7554)&gt;0,N(U7553),N(U7553)+1))</f>
        <v>2</v>
      </c>
    </row>
    <row r="7555" customFormat="false" ht="15" hidden="false" customHeight="false" outlineLevel="0" collapsed="false">
      <c r="B7555" s="53"/>
      <c r="I7555" s="53"/>
      <c r="U7555" s="31" t="n">
        <f aca="false">IF($B7555&lt;&gt;'設定（最初に1回）'!$C$4,N(U7554),IF(COUNTIFS(①今日の在庫を貼る!$B$6:$B$10005,$B7555,①今日の在庫を貼る!$I$6:$I$10005,$I7555)&gt;0,N(U7554),N(U7554)+1))</f>
        <v>2</v>
      </c>
    </row>
    <row r="7556" customFormat="false" ht="15" hidden="false" customHeight="false" outlineLevel="0" collapsed="false">
      <c r="B7556" s="53"/>
      <c r="I7556" s="53"/>
      <c r="U7556" s="31" t="n">
        <f aca="false">IF($B7556&lt;&gt;'設定（最初に1回）'!$C$4,N(U7555),IF(COUNTIFS(①今日の在庫を貼る!$B$6:$B$10005,$B7556,①今日の在庫を貼る!$I$6:$I$10005,$I7556)&gt;0,N(U7555),N(U7555)+1))</f>
        <v>2</v>
      </c>
    </row>
    <row r="7557" customFormat="false" ht="15" hidden="false" customHeight="false" outlineLevel="0" collapsed="false">
      <c r="B7557" s="53"/>
      <c r="I7557" s="53"/>
      <c r="U7557" s="31" t="n">
        <f aca="false">IF($B7557&lt;&gt;'設定（最初に1回）'!$C$4,N(U7556),IF(COUNTIFS(①今日の在庫を貼る!$B$6:$B$10005,$B7557,①今日の在庫を貼る!$I$6:$I$10005,$I7557)&gt;0,N(U7556),N(U7556)+1))</f>
        <v>2</v>
      </c>
    </row>
    <row r="7558" customFormat="false" ht="15" hidden="false" customHeight="false" outlineLevel="0" collapsed="false">
      <c r="B7558" s="53"/>
      <c r="I7558" s="53"/>
      <c r="U7558" s="31" t="n">
        <f aca="false">IF($B7558&lt;&gt;'設定（最初に1回）'!$C$4,N(U7557),IF(COUNTIFS(①今日の在庫を貼る!$B$6:$B$10005,$B7558,①今日の在庫を貼る!$I$6:$I$10005,$I7558)&gt;0,N(U7557),N(U7557)+1))</f>
        <v>2</v>
      </c>
    </row>
    <row r="7559" customFormat="false" ht="15" hidden="false" customHeight="false" outlineLevel="0" collapsed="false">
      <c r="B7559" s="53"/>
      <c r="I7559" s="53"/>
      <c r="U7559" s="31" t="n">
        <f aca="false">IF($B7559&lt;&gt;'設定（最初に1回）'!$C$4,N(U7558),IF(COUNTIFS(①今日の在庫を貼る!$B$6:$B$10005,$B7559,①今日の在庫を貼る!$I$6:$I$10005,$I7559)&gt;0,N(U7558),N(U7558)+1))</f>
        <v>2</v>
      </c>
    </row>
    <row r="7560" customFormat="false" ht="15" hidden="false" customHeight="false" outlineLevel="0" collapsed="false">
      <c r="B7560" s="53"/>
      <c r="I7560" s="53"/>
      <c r="U7560" s="31" t="n">
        <f aca="false">IF($B7560&lt;&gt;'設定（最初に1回）'!$C$4,N(U7559),IF(COUNTIFS(①今日の在庫を貼る!$B$6:$B$10005,$B7560,①今日の在庫を貼る!$I$6:$I$10005,$I7560)&gt;0,N(U7559),N(U7559)+1))</f>
        <v>2</v>
      </c>
    </row>
    <row r="7561" customFormat="false" ht="15" hidden="false" customHeight="false" outlineLevel="0" collapsed="false">
      <c r="B7561" s="53"/>
      <c r="I7561" s="53"/>
      <c r="U7561" s="31" t="n">
        <f aca="false">IF($B7561&lt;&gt;'設定（最初に1回）'!$C$4,N(U7560),IF(COUNTIFS(①今日の在庫を貼る!$B$6:$B$10005,$B7561,①今日の在庫を貼る!$I$6:$I$10005,$I7561)&gt;0,N(U7560),N(U7560)+1))</f>
        <v>2</v>
      </c>
    </row>
    <row r="7562" customFormat="false" ht="15" hidden="false" customHeight="false" outlineLevel="0" collapsed="false">
      <c r="B7562" s="53"/>
      <c r="I7562" s="53"/>
      <c r="U7562" s="31" t="n">
        <f aca="false">IF($B7562&lt;&gt;'設定（最初に1回）'!$C$4,N(U7561),IF(COUNTIFS(①今日の在庫を貼る!$B$6:$B$10005,$B7562,①今日の在庫を貼る!$I$6:$I$10005,$I7562)&gt;0,N(U7561),N(U7561)+1))</f>
        <v>2</v>
      </c>
    </row>
    <row r="7563" customFormat="false" ht="15" hidden="false" customHeight="false" outlineLevel="0" collapsed="false">
      <c r="B7563" s="53"/>
      <c r="I7563" s="53"/>
      <c r="U7563" s="31" t="n">
        <f aca="false">IF($B7563&lt;&gt;'設定（最初に1回）'!$C$4,N(U7562),IF(COUNTIFS(①今日の在庫を貼る!$B$6:$B$10005,$B7563,①今日の在庫を貼る!$I$6:$I$10005,$I7563)&gt;0,N(U7562),N(U7562)+1))</f>
        <v>2</v>
      </c>
    </row>
    <row r="7564" customFormat="false" ht="15" hidden="false" customHeight="false" outlineLevel="0" collapsed="false">
      <c r="B7564" s="53"/>
      <c r="I7564" s="53"/>
      <c r="U7564" s="31" t="n">
        <f aca="false">IF($B7564&lt;&gt;'設定（最初に1回）'!$C$4,N(U7563),IF(COUNTIFS(①今日の在庫を貼る!$B$6:$B$10005,$B7564,①今日の在庫を貼る!$I$6:$I$10005,$I7564)&gt;0,N(U7563),N(U7563)+1))</f>
        <v>2</v>
      </c>
    </row>
    <row r="7565" customFormat="false" ht="15" hidden="false" customHeight="false" outlineLevel="0" collapsed="false">
      <c r="B7565" s="53"/>
      <c r="I7565" s="53"/>
      <c r="U7565" s="31" t="n">
        <f aca="false">IF($B7565&lt;&gt;'設定（最初に1回）'!$C$4,N(U7564),IF(COUNTIFS(①今日の在庫を貼る!$B$6:$B$10005,$B7565,①今日の在庫を貼る!$I$6:$I$10005,$I7565)&gt;0,N(U7564),N(U7564)+1))</f>
        <v>2</v>
      </c>
    </row>
    <row r="7566" customFormat="false" ht="15" hidden="false" customHeight="false" outlineLevel="0" collapsed="false">
      <c r="B7566" s="53"/>
      <c r="I7566" s="53"/>
      <c r="U7566" s="31" t="n">
        <f aca="false">IF($B7566&lt;&gt;'設定（最初に1回）'!$C$4,N(U7565),IF(COUNTIFS(①今日の在庫を貼る!$B$6:$B$10005,$B7566,①今日の在庫を貼る!$I$6:$I$10005,$I7566)&gt;0,N(U7565),N(U7565)+1))</f>
        <v>2</v>
      </c>
    </row>
    <row r="7567" customFormat="false" ht="15" hidden="false" customHeight="false" outlineLevel="0" collapsed="false">
      <c r="B7567" s="53"/>
      <c r="I7567" s="53"/>
      <c r="U7567" s="31" t="n">
        <f aca="false">IF($B7567&lt;&gt;'設定（最初に1回）'!$C$4,N(U7566),IF(COUNTIFS(①今日の在庫を貼る!$B$6:$B$10005,$B7567,①今日の在庫を貼る!$I$6:$I$10005,$I7567)&gt;0,N(U7566),N(U7566)+1))</f>
        <v>2</v>
      </c>
    </row>
    <row r="7568" customFormat="false" ht="15" hidden="false" customHeight="false" outlineLevel="0" collapsed="false">
      <c r="B7568" s="53"/>
      <c r="I7568" s="53"/>
      <c r="U7568" s="31" t="n">
        <f aca="false">IF($B7568&lt;&gt;'設定（最初に1回）'!$C$4,N(U7567),IF(COUNTIFS(①今日の在庫を貼る!$B$6:$B$10005,$B7568,①今日の在庫を貼る!$I$6:$I$10005,$I7568)&gt;0,N(U7567),N(U7567)+1))</f>
        <v>2</v>
      </c>
    </row>
    <row r="7569" customFormat="false" ht="15" hidden="false" customHeight="false" outlineLevel="0" collapsed="false">
      <c r="B7569" s="53"/>
      <c r="I7569" s="53"/>
      <c r="U7569" s="31" t="n">
        <f aca="false">IF($B7569&lt;&gt;'設定（最初に1回）'!$C$4,N(U7568),IF(COUNTIFS(①今日の在庫を貼る!$B$6:$B$10005,$B7569,①今日の在庫を貼る!$I$6:$I$10005,$I7569)&gt;0,N(U7568),N(U7568)+1))</f>
        <v>2</v>
      </c>
    </row>
    <row r="7570" customFormat="false" ht="15" hidden="false" customHeight="false" outlineLevel="0" collapsed="false">
      <c r="B7570" s="53"/>
      <c r="I7570" s="53"/>
      <c r="U7570" s="31" t="n">
        <f aca="false">IF($B7570&lt;&gt;'設定（最初に1回）'!$C$4,N(U7569),IF(COUNTIFS(①今日の在庫を貼る!$B$6:$B$10005,$B7570,①今日の在庫を貼る!$I$6:$I$10005,$I7570)&gt;0,N(U7569),N(U7569)+1))</f>
        <v>2</v>
      </c>
    </row>
    <row r="7571" customFormat="false" ht="15" hidden="false" customHeight="false" outlineLevel="0" collapsed="false">
      <c r="B7571" s="53"/>
      <c r="I7571" s="53"/>
      <c r="U7571" s="31" t="n">
        <f aca="false">IF($B7571&lt;&gt;'設定（最初に1回）'!$C$4,N(U7570),IF(COUNTIFS(①今日の在庫を貼る!$B$6:$B$10005,$B7571,①今日の在庫を貼る!$I$6:$I$10005,$I7571)&gt;0,N(U7570),N(U7570)+1))</f>
        <v>2</v>
      </c>
    </row>
    <row r="7572" customFormat="false" ht="15" hidden="false" customHeight="false" outlineLevel="0" collapsed="false">
      <c r="B7572" s="53"/>
      <c r="I7572" s="53"/>
      <c r="U7572" s="31" t="n">
        <f aca="false">IF($B7572&lt;&gt;'設定（最初に1回）'!$C$4,N(U7571),IF(COUNTIFS(①今日の在庫を貼る!$B$6:$B$10005,$B7572,①今日の在庫を貼る!$I$6:$I$10005,$I7572)&gt;0,N(U7571),N(U7571)+1))</f>
        <v>2</v>
      </c>
    </row>
    <row r="7573" customFormat="false" ht="15" hidden="false" customHeight="false" outlineLevel="0" collapsed="false">
      <c r="B7573" s="53"/>
      <c r="I7573" s="53"/>
      <c r="U7573" s="31" t="n">
        <f aca="false">IF($B7573&lt;&gt;'設定（最初に1回）'!$C$4,N(U7572),IF(COUNTIFS(①今日の在庫を貼る!$B$6:$B$10005,$B7573,①今日の在庫を貼る!$I$6:$I$10005,$I7573)&gt;0,N(U7572),N(U7572)+1))</f>
        <v>2</v>
      </c>
    </row>
    <row r="7574" customFormat="false" ht="15" hidden="false" customHeight="false" outlineLevel="0" collapsed="false">
      <c r="B7574" s="53"/>
      <c r="I7574" s="53"/>
      <c r="U7574" s="31" t="n">
        <f aca="false">IF($B7574&lt;&gt;'設定（最初に1回）'!$C$4,N(U7573),IF(COUNTIFS(①今日の在庫を貼る!$B$6:$B$10005,$B7574,①今日の在庫を貼る!$I$6:$I$10005,$I7574)&gt;0,N(U7573),N(U7573)+1))</f>
        <v>2</v>
      </c>
    </row>
    <row r="7575" customFormat="false" ht="15" hidden="false" customHeight="false" outlineLevel="0" collapsed="false">
      <c r="B7575" s="53"/>
      <c r="I7575" s="53"/>
      <c r="U7575" s="31" t="n">
        <f aca="false">IF($B7575&lt;&gt;'設定（最初に1回）'!$C$4,N(U7574),IF(COUNTIFS(①今日の在庫を貼る!$B$6:$B$10005,$B7575,①今日の在庫を貼る!$I$6:$I$10005,$I7575)&gt;0,N(U7574),N(U7574)+1))</f>
        <v>2</v>
      </c>
    </row>
    <row r="7576" customFormat="false" ht="15" hidden="false" customHeight="false" outlineLevel="0" collapsed="false">
      <c r="B7576" s="53"/>
      <c r="I7576" s="53"/>
      <c r="U7576" s="31" t="n">
        <f aca="false">IF($B7576&lt;&gt;'設定（最初に1回）'!$C$4,N(U7575),IF(COUNTIFS(①今日の在庫を貼る!$B$6:$B$10005,$B7576,①今日の在庫を貼る!$I$6:$I$10005,$I7576)&gt;0,N(U7575),N(U7575)+1))</f>
        <v>2</v>
      </c>
    </row>
    <row r="7577" customFormat="false" ht="15" hidden="false" customHeight="false" outlineLevel="0" collapsed="false">
      <c r="B7577" s="53"/>
      <c r="I7577" s="53"/>
      <c r="U7577" s="31" t="n">
        <f aca="false">IF($B7577&lt;&gt;'設定（最初に1回）'!$C$4,N(U7576),IF(COUNTIFS(①今日の在庫を貼る!$B$6:$B$10005,$B7577,①今日の在庫を貼る!$I$6:$I$10005,$I7577)&gt;0,N(U7576),N(U7576)+1))</f>
        <v>2</v>
      </c>
    </row>
    <row r="7578" customFormat="false" ht="15" hidden="false" customHeight="false" outlineLevel="0" collapsed="false">
      <c r="B7578" s="53"/>
      <c r="I7578" s="53"/>
      <c r="U7578" s="31" t="n">
        <f aca="false">IF($B7578&lt;&gt;'設定（最初に1回）'!$C$4,N(U7577),IF(COUNTIFS(①今日の在庫を貼る!$B$6:$B$10005,$B7578,①今日の在庫を貼る!$I$6:$I$10005,$I7578)&gt;0,N(U7577),N(U7577)+1))</f>
        <v>2</v>
      </c>
    </row>
    <row r="7579" customFormat="false" ht="15" hidden="false" customHeight="false" outlineLevel="0" collapsed="false">
      <c r="B7579" s="53"/>
      <c r="I7579" s="53"/>
      <c r="U7579" s="31" t="n">
        <f aca="false">IF($B7579&lt;&gt;'設定（最初に1回）'!$C$4,N(U7578),IF(COUNTIFS(①今日の在庫を貼る!$B$6:$B$10005,$B7579,①今日の在庫を貼る!$I$6:$I$10005,$I7579)&gt;0,N(U7578),N(U7578)+1))</f>
        <v>2</v>
      </c>
    </row>
    <row r="7580" customFormat="false" ht="15" hidden="false" customHeight="false" outlineLevel="0" collapsed="false">
      <c r="B7580" s="53"/>
      <c r="I7580" s="53"/>
      <c r="U7580" s="31" t="n">
        <f aca="false">IF($B7580&lt;&gt;'設定（最初に1回）'!$C$4,N(U7579),IF(COUNTIFS(①今日の在庫を貼る!$B$6:$B$10005,$B7580,①今日の在庫を貼る!$I$6:$I$10005,$I7580)&gt;0,N(U7579),N(U7579)+1))</f>
        <v>2</v>
      </c>
    </row>
    <row r="7581" customFormat="false" ht="15" hidden="false" customHeight="false" outlineLevel="0" collapsed="false">
      <c r="B7581" s="53"/>
      <c r="I7581" s="53"/>
      <c r="U7581" s="31" t="n">
        <f aca="false">IF($B7581&lt;&gt;'設定（最初に1回）'!$C$4,N(U7580),IF(COUNTIFS(①今日の在庫を貼る!$B$6:$B$10005,$B7581,①今日の在庫を貼る!$I$6:$I$10005,$I7581)&gt;0,N(U7580),N(U7580)+1))</f>
        <v>2</v>
      </c>
    </row>
    <row r="7582" customFormat="false" ht="15" hidden="false" customHeight="false" outlineLevel="0" collapsed="false">
      <c r="B7582" s="53"/>
      <c r="I7582" s="53"/>
      <c r="U7582" s="31" t="n">
        <f aca="false">IF($B7582&lt;&gt;'設定（最初に1回）'!$C$4,N(U7581),IF(COUNTIFS(①今日の在庫を貼る!$B$6:$B$10005,$B7582,①今日の在庫を貼る!$I$6:$I$10005,$I7582)&gt;0,N(U7581),N(U7581)+1))</f>
        <v>2</v>
      </c>
    </row>
    <row r="7583" customFormat="false" ht="15" hidden="false" customHeight="false" outlineLevel="0" collapsed="false">
      <c r="B7583" s="53"/>
      <c r="I7583" s="53"/>
      <c r="U7583" s="31" t="n">
        <f aca="false">IF($B7583&lt;&gt;'設定（最初に1回）'!$C$4,N(U7582),IF(COUNTIFS(①今日の在庫を貼る!$B$6:$B$10005,$B7583,①今日の在庫を貼る!$I$6:$I$10005,$I7583)&gt;0,N(U7582),N(U7582)+1))</f>
        <v>2</v>
      </c>
    </row>
    <row r="7584" customFormat="false" ht="15" hidden="false" customHeight="false" outlineLevel="0" collapsed="false">
      <c r="B7584" s="53"/>
      <c r="I7584" s="53"/>
      <c r="U7584" s="31" t="n">
        <f aca="false">IF($B7584&lt;&gt;'設定（最初に1回）'!$C$4,N(U7583),IF(COUNTIFS(①今日の在庫を貼る!$B$6:$B$10005,$B7584,①今日の在庫を貼る!$I$6:$I$10005,$I7584)&gt;0,N(U7583),N(U7583)+1))</f>
        <v>2</v>
      </c>
    </row>
    <row r="7585" customFormat="false" ht="15" hidden="false" customHeight="false" outlineLevel="0" collapsed="false">
      <c r="B7585" s="53"/>
      <c r="I7585" s="53"/>
      <c r="U7585" s="31" t="n">
        <f aca="false">IF($B7585&lt;&gt;'設定（最初に1回）'!$C$4,N(U7584),IF(COUNTIFS(①今日の在庫を貼る!$B$6:$B$10005,$B7585,①今日の在庫を貼る!$I$6:$I$10005,$I7585)&gt;0,N(U7584),N(U7584)+1))</f>
        <v>2</v>
      </c>
    </row>
    <row r="7586" customFormat="false" ht="15" hidden="false" customHeight="false" outlineLevel="0" collapsed="false">
      <c r="B7586" s="53"/>
      <c r="I7586" s="53"/>
      <c r="U7586" s="31" t="n">
        <f aca="false">IF($B7586&lt;&gt;'設定（最初に1回）'!$C$4,N(U7585),IF(COUNTIFS(①今日の在庫を貼る!$B$6:$B$10005,$B7586,①今日の在庫を貼る!$I$6:$I$10005,$I7586)&gt;0,N(U7585),N(U7585)+1))</f>
        <v>2</v>
      </c>
    </row>
    <row r="7587" customFormat="false" ht="15" hidden="false" customHeight="false" outlineLevel="0" collapsed="false">
      <c r="B7587" s="53"/>
      <c r="I7587" s="53"/>
      <c r="U7587" s="31" t="n">
        <f aca="false">IF($B7587&lt;&gt;'設定（最初に1回）'!$C$4,N(U7586),IF(COUNTIFS(①今日の在庫を貼る!$B$6:$B$10005,$B7587,①今日の在庫を貼る!$I$6:$I$10005,$I7587)&gt;0,N(U7586),N(U7586)+1))</f>
        <v>2</v>
      </c>
    </row>
    <row r="7588" customFormat="false" ht="15" hidden="false" customHeight="false" outlineLevel="0" collapsed="false">
      <c r="B7588" s="53"/>
      <c r="I7588" s="53"/>
      <c r="U7588" s="31" t="n">
        <f aca="false">IF($B7588&lt;&gt;'設定（最初に1回）'!$C$4,N(U7587),IF(COUNTIFS(①今日の在庫を貼る!$B$6:$B$10005,$B7588,①今日の在庫を貼る!$I$6:$I$10005,$I7588)&gt;0,N(U7587),N(U7587)+1))</f>
        <v>2</v>
      </c>
    </row>
    <row r="7589" customFormat="false" ht="15" hidden="false" customHeight="false" outlineLevel="0" collapsed="false">
      <c r="B7589" s="53"/>
      <c r="I7589" s="53"/>
      <c r="U7589" s="31" t="n">
        <f aca="false">IF($B7589&lt;&gt;'設定（最初に1回）'!$C$4,N(U7588),IF(COUNTIFS(①今日の在庫を貼る!$B$6:$B$10005,$B7589,①今日の在庫を貼る!$I$6:$I$10005,$I7589)&gt;0,N(U7588),N(U7588)+1))</f>
        <v>2</v>
      </c>
    </row>
    <row r="7590" customFormat="false" ht="15" hidden="false" customHeight="false" outlineLevel="0" collapsed="false">
      <c r="B7590" s="53"/>
      <c r="I7590" s="53"/>
      <c r="U7590" s="31" t="n">
        <f aca="false">IF($B7590&lt;&gt;'設定（最初に1回）'!$C$4,N(U7589),IF(COUNTIFS(①今日の在庫を貼る!$B$6:$B$10005,$B7590,①今日の在庫を貼る!$I$6:$I$10005,$I7590)&gt;0,N(U7589),N(U7589)+1))</f>
        <v>2</v>
      </c>
    </row>
    <row r="7591" customFormat="false" ht="15" hidden="false" customHeight="false" outlineLevel="0" collapsed="false">
      <c r="B7591" s="53"/>
      <c r="I7591" s="53"/>
      <c r="U7591" s="31" t="n">
        <f aca="false">IF($B7591&lt;&gt;'設定（最初に1回）'!$C$4,N(U7590),IF(COUNTIFS(①今日の在庫を貼る!$B$6:$B$10005,$B7591,①今日の在庫を貼る!$I$6:$I$10005,$I7591)&gt;0,N(U7590),N(U7590)+1))</f>
        <v>2</v>
      </c>
    </row>
    <row r="7592" customFormat="false" ht="15" hidden="false" customHeight="false" outlineLevel="0" collapsed="false">
      <c r="B7592" s="53"/>
      <c r="I7592" s="53"/>
      <c r="U7592" s="31" t="n">
        <f aca="false">IF($B7592&lt;&gt;'設定（最初に1回）'!$C$4,N(U7591),IF(COUNTIFS(①今日の在庫を貼る!$B$6:$B$10005,$B7592,①今日の在庫を貼る!$I$6:$I$10005,$I7592)&gt;0,N(U7591),N(U7591)+1))</f>
        <v>2</v>
      </c>
    </row>
    <row r="7593" customFormat="false" ht="15" hidden="false" customHeight="false" outlineLevel="0" collapsed="false">
      <c r="B7593" s="53"/>
      <c r="I7593" s="53"/>
      <c r="U7593" s="31" t="n">
        <f aca="false">IF($B7593&lt;&gt;'設定（最初に1回）'!$C$4,N(U7592),IF(COUNTIFS(①今日の在庫を貼る!$B$6:$B$10005,$B7593,①今日の在庫を貼る!$I$6:$I$10005,$I7593)&gt;0,N(U7592),N(U7592)+1))</f>
        <v>2</v>
      </c>
    </row>
    <row r="7594" customFormat="false" ht="15" hidden="false" customHeight="false" outlineLevel="0" collapsed="false">
      <c r="B7594" s="53"/>
      <c r="I7594" s="53"/>
      <c r="U7594" s="31" t="n">
        <f aca="false">IF($B7594&lt;&gt;'設定（最初に1回）'!$C$4,N(U7593),IF(COUNTIFS(①今日の在庫を貼る!$B$6:$B$10005,$B7594,①今日の在庫を貼る!$I$6:$I$10005,$I7594)&gt;0,N(U7593),N(U7593)+1))</f>
        <v>2</v>
      </c>
    </row>
    <row r="7595" customFormat="false" ht="15" hidden="false" customHeight="false" outlineLevel="0" collapsed="false">
      <c r="B7595" s="53"/>
      <c r="I7595" s="53"/>
      <c r="U7595" s="31" t="n">
        <f aca="false">IF($B7595&lt;&gt;'設定（最初に1回）'!$C$4,N(U7594),IF(COUNTIFS(①今日の在庫を貼る!$B$6:$B$10005,$B7595,①今日の在庫を貼る!$I$6:$I$10005,$I7595)&gt;0,N(U7594),N(U7594)+1))</f>
        <v>2</v>
      </c>
    </row>
    <row r="7596" customFormat="false" ht="15" hidden="false" customHeight="false" outlineLevel="0" collapsed="false">
      <c r="B7596" s="53"/>
      <c r="I7596" s="53"/>
      <c r="U7596" s="31" t="n">
        <f aca="false">IF($B7596&lt;&gt;'設定（最初に1回）'!$C$4,N(U7595),IF(COUNTIFS(①今日の在庫を貼る!$B$6:$B$10005,$B7596,①今日の在庫を貼る!$I$6:$I$10005,$I7596)&gt;0,N(U7595),N(U7595)+1))</f>
        <v>2</v>
      </c>
    </row>
    <row r="7597" customFormat="false" ht="15" hidden="false" customHeight="false" outlineLevel="0" collapsed="false">
      <c r="B7597" s="53"/>
      <c r="I7597" s="53"/>
      <c r="U7597" s="31" t="n">
        <f aca="false">IF($B7597&lt;&gt;'設定（最初に1回）'!$C$4,N(U7596),IF(COUNTIFS(①今日の在庫を貼る!$B$6:$B$10005,$B7597,①今日の在庫を貼る!$I$6:$I$10005,$I7597)&gt;0,N(U7596),N(U7596)+1))</f>
        <v>2</v>
      </c>
    </row>
    <row r="7598" customFormat="false" ht="15" hidden="false" customHeight="false" outlineLevel="0" collapsed="false">
      <c r="B7598" s="53"/>
      <c r="I7598" s="53"/>
      <c r="U7598" s="31" t="n">
        <f aca="false">IF($B7598&lt;&gt;'設定（最初に1回）'!$C$4,N(U7597),IF(COUNTIFS(①今日の在庫を貼る!$B$6:$B$10005,$B7598,①今日の在庫を貼る!$I$6:$I$10005,$I7598)&gt;0,N(U7597),N(U7597)+1))</f>
        <v>2</v>
      </c>
    </row>
    <row r="7599" customFormat="false" ht="15" hidden="false" customHeight="false" outlineLevel="0" collapsed="false">
      <c r="B7599" s="53"/>
      <c r="I7599" s="53"/>
      <c r="U7599" s="31" t="n">
        <f aca="false">IF($B7599&lt;&gt;'設定（最初に1回）'!$C$4,N(U7598),IF(COUNTIFS(①今日の在庫を貼る!$B$6:$B$10005,$B7599,①今日の在庫を貼る!$I$6:$I$10005,$I7599)&gt;0,N(U7598),N(U7598)+1))</f>
        <v>2</v>
      </c>
    </row>
    <row r="7600" customFormat="false" ht="15" hidden="false" customHeight="false" outlineLevel="0" collapsed="false">
      <c r="B7600" s="53"/>
      <c r="I7600" s="53"/>
      <c r="U7600" s="31" t="n">
        <f aca="false">IF($B7600&lt;&gt;'設定（最初に1回）'!$C$4,N(U7599),IF(COUNTIFS(①今日の在庫を貼る!$B$6:$B$10005,$B7600,①今日の在庫を貼る!$I$6:$I$10005,$I7600)&gt;0,N(U7599),N(U7599)+1))</f>
        <v>2</v>
      </c>
    </row>
    <row r="7601" customFormat="false" ht="15" hidden="false" customHeight="false" outlineLevel="0" collapsed="false">
      <c r="B7601" s="53"/>
      <c r="I7601" s="53"/>
      <c r="U7601" s="31" t="n">
        <f aca="false">IF($B7601&lt;&gt;'設定（最初に1回）'!$C$4,N(U7600),IF(COUNTIFS(①今日の在庫を貼る!$B$6:$B$10005,$B7601,①今日の在庫を貼る!$I$6:$I$10005,$I7601)&gt;0,N(U7600),N(U7600)+1))</f>
        <v>2</v>
      </c>
    </row>
    <row r="7602" customFormat="false" ht="15" hidden="false" customHeight="false" outlineLevel="0" collapsed="false">
      <c r="B7602" s="53"/>
      <c r="I7602" s="53"/>
      <c r="U7602" s="31" t="n">
        <f aca="false">IF($B7602&lt;&gt;'設定（最初に1回）'!$C$4,N(U7601),IF(COUNTIFS(①今日の在庫を貼る!$B$6:$B$10005,$B7602,①今日の在庫を貼る!$I$6:$I$10005,$I7602)&gt;0,N(U7601),N(U7601)+1))</f>
        <v>2</v>
      </c>
    </row>
    <row r="7603" customFormat="false" ht="15" hidden="false" customHeight="false" outlineLevel="0" collapsed="false">
      <c r="B7603" s="53"/>
      <c r="I7603" s="53"/>
      <c r="U7603" s="31" t="n">
        <f aca="false">IF($B7603&lt;&gt;'設定（最初に1回）'!$C$4,N(U7602),IF(COUNTIFS(①今日の在庫を貼る!$B$6:$B$10005,$B7603,①今日の在庫を貼る!$I$6:$I$10005,$I7603)&gt;0,N(U7602),N(U7602)+1))</f>
        <v>2</v>
      </c>
    </row>
    <row r="7604" customFormat="false" ht="15" hidden="false" customHeight="false" outlineLevel="0" collapsed="false">
      <c r="B7604" s="53"/>
      <c r="I7604" s="53"/>
      <c r="U7604" s="31" t="n">
        <f aca="false">IF($B7604&lt;&gt;'設定（最初に1回）'!$C$4,N(U7603),IF(COUNTIFS(①今日の在庫を貼る!$B$6:$B$10005,$B7604,①今日の在庫を貼る!$I$6:$I$10005,$I7604)&gt;0,N(U7603),N(U7603)+1))</f>
        <v>2</v>
      </c>
    </row>
    <row r="7605" customFormat="false" ht="15" hidden="false" customHeight="false" outlineLevel="0" collapsed="false">
      <c r="B7605" s="53"/>
      <c r="I7605" s="53"/>
      <c r="U7605" s="31" t="n">
        <f aca="false">IF($B7605&lt;&gt;'設定（最初に1回）'!$C$4,N(U7604),IF(COUNTIFS(①今日の在庫を貼る!$B$6:$B$10005,$B7605,①今日の在庫を貼る!$I$6:$I$10005,$I7605)&gt;0,N(U7604),N(U7604)+1))</f>
        <v>2</v>
      </c>
    </row>
    <row r="7606" customFormat="false" ht="15" hidden="false" customHeight="false" outlineLevel="0" collapsed="false">
      <c r="B7606" s="53"/>
      <c r="I7606" s="53"/>
      <c r="U7606" s="31" t="n">
        <f aca="false">IF($B7606&lt;&gt;'設定（最初に1回）'!$C$4,N(U7605),IF(COUNTIFS(①今日の在庫を貼る!$B$6:$B$10005,$B7606,①今日の在庫を貼る!$I$6:$I$10005,$I7606)&gt;0,N(U7605),N(U7605)+1))</f>
        <v>2</v>
      </c>
    </row>
    <row r="7607" customFormat="false" ht="15" hidden="false" customHeight="false" outlineLevel="0" collapsed="false">
      <c r="B7607" s="53"/>
      <c r="I7607" s="53"/>
      <c r="U7607" s="31" t="n">
        <f aca="false">IF($B7607&lt;&gt;'設定（最初に1回）'!$C$4,N(U7606),IF(COUNTIFS(①今日の在庫を貼る!$B$6:$B$10005,$B7607,①今日の在庫を貼る!$I$6:$I$10005,$I7607)&gt;0,N(U7606),N(U7606)+1))</f>
        <v>2</v>
      </c>
    </row>
    <row r="7608" customFormat="false" ht="15" hidden="false" customHeight="false" outlineLevel="0" collapsed="false">
      <c r="B7608" s="53"/>
      <c r="I7608" s="53"/>
      <c r="U7608" s="31" t="n">
        <f aca="false">IF($B7608&lt;&gt;'設定（最初に1回）'!$C$4,N(U7607),IF(COUNTIFS(①今日の在庫を貼る!$B$6:$B$10005,$B7608,①今日の在庫を貼る!$I$6:$I$10005,$I7608)&gt;0,N(U7607),N(U7607)+1))</f>
        <v>2</v>
      </c>
    </row>
    <row r="7609" customFormat="false" ht="15" hidden="false" customHeight="false" outlineLevel="0" collapsed="false">
      <c r="B7609" s="53"/>
      <c r="I7609" s="53"/>
      <c r="U7609" s="31" t="n">
        <f aca="false">IF($B7609&lt;&gt;'設定（最初に1回）'!$C$4,N(U7608),IF(COUNTIFS(①今日の在庫を貼る!$B$6:$B$10005,$B7609,①今日の在庫を貼る!$I$6:$I$10005,$I7609)&gt;0,N(U7608),N(U7608)+1))</f>
        <v>2</v>
      </c>
    </row>
    <row r="7610" customFormat="false" ht="15" hidden="false" customHeight="false" outlineLevel="0" collapsed="false">
      <c r="B7610" s="53"/>
      <c r="I7610" s="53"/>
      <c r="U7610" s="31" t="n">
        <f aca="false">IF($B7610&lt;&gt;'設定（最初に1回）'!$C$4,N(U7609),IF(COUNTIFS(①今日の在庫を貼る!$B$6:$B$10005,$B7610,①今日の在庫を貼る!$I$6:$I$10005,$I7610)&gt;0,N(U7609),N(U7609)+1))</f>
        <v>2</v>
      </c>
    </row>
    <row r="7611" customFormat="false" ht="15" hidden="false" customHeight="false" outlineLevel="0" collapsed="false">
      <c r="B7611" s="53"/>
      <c r="I7611" s="53"/>
      <c r="U7611" s="31" t="n">
        <f aca="false">IF($B7611&lt;&gt;'設定（最初に1回）'!$C$4,N(U7610),IF(COUNTIFS(①今日の在庫を貼る!$B$6:$B$10005,$B7611,①今日の在庫を貼る!$I$6:$I$10005,$I7611)&gt;0,N(U7610),N(U7610)+1))</f>
        <v>2</v>
      </c>
    </row>
    <row r="7612" customFormat="false" ht="15" hidden="false" customHeight="false" outlineLevel="0" collapsed="false">
      <c r="B7612" s="53"/>
      <c r="I7612" s="53"/>
      <c r="U7612" s="31" t="n">
        <f aca="false">IF($B7612&lt;&gt;'設定（最初に1回）'!$C$4,N(U7611),IF(COUNTIFS(①今日の在庫を貼る!$B$6:$B$10005,$B7612,①今日の在庫を貼る!$I$6:$I$10005,$I7612)&gt;0,N(U7611),N(U7611)+1))</f>
        <v>2</v>
      </c>
    </row>
    <row r="7613" customFormat="false" ht="15" hidden="false" customHeight="false" outlineLevel="0" collapsed="false">
      <c r="B7613" s="53"/>
      <c r="I7613" s="53"/>
      <c r="U7613" s="31" t="n">
        <f aca="false">IF($B7613&lt;&gt;'設定（最初に1回）'!$C$4,N(U7612),IF(COUNTIFS(①今日の在庫を貼る!$B$6:$B$10005,$B7613,①今日の在庫を貼る!$I$6:$I$10005,$I7613)&gt;0,N(U7612),N(U7612)+1))</f>
        <v>2</v>
      </c>
    </row>
    <row r="7614" customFormat="false" ht="15" hidden="false" customHeight="false" outlineLevel="0" collapsed="false">
      <c r="B7614" s="53"/>
      <c r="I7614" s="53"/>
      <c r="U7614" s="31" t="n">
        <f aca="false">IF($B7614&lt;&gt;'設定（最初に1回）'!$C$4,N(U7613),IF(COUNTIFS(①今日の在庫を貼る!$B$6:$B$10005,$B7614,①今日の在庫を貼る!$I$6:$I$10005,$I7614)&gt;0,N(U7613),N(U7613)+1))</f>
        <v>2</v>
      </c>
    </row>
    <row r="7615" customFormat="false" ht="15" hidden="false" customHeight="false" outlineLevel="0" collapsed="false">
      <c r="B7615" s="53"/>
      <c r="I7615" s="53"/>
      <c r="U7615" s="31" t="n">
        <f aca="false">IF($B7615&lt;&gt;'設定（最初に1回）'!$C$4,N(U7614),IF(COUNTIFS(①今日の在庫を貼る!$B$6:$B$10005,$B7615,①今日の在庫を貼る!$I$6:$I$10005,$I7615)&gt;0,N(U7614),N(U7614)+1))</f>
        <v>2</v>
      </c>
    </row>
    <row r="7616" customFormat="false" ht="15" hidden="false" customHeight="false" outlineLevel="0" collapsed="false">
      <c r="B7616" s="53"/>
      <c r="I7616" s="53"/>
      <c r="U7616" s="31" t="n">
        <f aca="false">IF($B7616&lt;&gt;'設定（最初に1回）'!$C$4,N(U7615),IF(COUNTIFS(①今日の在庫を貼る!$B$6:$B$10005,$B7616,①今日の在庫を貼る!$I$6:$I$10005,$I7616)&gt;0,N(U7615),N(U7615)+1))</f>
        <v>2</v>
      </c>
    </row>
    <row r="7617" customFormat="false" ht="15" hidden="false" customHeight="false" outlineLevel="0" collapsed="false">
      <c r="B7617" s="53"/>
      <c r="I7617" s="53"/>
      <c r="U7617" s="31" t="n">
        <f aca="false">IF($B7617&lt;&gt;'設定（最初に1回）'!$C$4,N(U7616),IF(COUNTIFS(①今日の在庫を貼る!$B$6:$B$10005,$B7617,①今日の在庫を貼る!$I$6:$I$10005,$I7617)&gt;0,N(U7616),N(U7616)+1))</f>
        <v>2</v>
      </c>
    </row>
    <row r="7618" customFormat="false" ht="15" hidden="false" customHeight="false" outlineLevel="0" collapsed="false">
      <c r="B7618" s="53"/>
      <c r="I7618" s="53"/>
      <c r="U7618" s="31" t="n">
        <f aca="false">IF($B7618&lt;&gt;'設定（最初に1回）'!$C$4,N(U7617),IF(COUNTIFS(①今日の在庫を貼る!$B$6:$B$10005,$B7618,①今日の在庫を貼る!$I$6:$I$10005,$I7618)&gt;0,N(U7617),N(U7617)+1))</f>
        <v>2</v>
      </c>
    </row>
    <row r="7619" customFormat="false" ht="15" hidden="false" customHeight="false" outlineLevel="0" collapsed="false">
      <c r="B7619" s="53"/>
      <c r="I7619" s="53"/>
      <c r="U7619" s="31" t="n">
        <f aca="false">IF($B7619&lt;&gt;'設定（最初に1回）'!$C$4,N(U7618),IF(COUNTIFS(①今日の在庫を貼る!$B$6:$B$10005,$B7619,①今日の在庫を貼る!$I$6:$I$10005,$I7619)&gt;0,N(U7618),N(U7618)+1))</f>
        <v>2</v>
      </c>
    </row>
    <row r="7620" customFormat="false" ht="15" hidden="false" customHeight="false" outlineLevel="0" collapsed="false">
      <c r="B7620" s="53"/>
      <c r="I7620" s="53"/>
      <c r="U7620" s="31" t="n">
        <f aca="false">IF($B7620&lt;&gt;'設定（最初に1回）'!$C$4,N(U7619),IF(COUNTIFS(①今日の在庫を貼る!$B$6:$B$10005,$B7620,①今日の在庫を貼る!$I$6:$I$10005,$I7620)&gt;0,N(U7619),N(U7619)+1))</f>
        <v>2</v>
      </c>
    </row>
    <row r="7621" customFormat="false" ht="15" hidden="false" customHeight="false" outlineLevel="0" collapsed="false">
      <c r="B7621" s="53"/>
      <c r="I7621" s="53"/>
      <c r="U7621" s="31" t="n">
        <f aca="false">IF($B7621&lt;&gt;'設定（最初に1回）'!$C$4,N(U7620),IF(COUNTIFS(①今日の在庫を貼る!$B$6:$B$10005,$B7621,①今日の在庫を貼る!$I$6:$I$10005,$I7621)&gt;0,N(U7620),N(U7620)+1))</f>
        <v>2</v>
      </c>
    </row>
    <row r="7622" customFormat="false" ht="15" hidden="false" customHeight="false" outlineLevel="0" collapsed="false">
      <c r="B7622" s="53"/>
      <c r="I7622" s="53"/>
      <c r="U7622" s="31" t="n">
        <f aca="false">IF($B7622&lt;&gt;'設定（最初に1回）'!$C$4,N(U7621),IF(COUNTIFS(①今日の在庫を貼る!$B$6:$B$10005,$B7622,①今日の在庫を貼る!$I$6:$I$10005,$I7622)&gt;0,N(U7621),N(U7621)+1))</f>
        <v>2</v>
      </c>
    </row>
    <row r="7623" customFormat="false" ht="15" hidden="false" customHeight="false" outlineLevel="0" collapsed="false">
      <c r="B7623" s="53"/>
      <c r="I7623" s="53"/>
      <c r="U7623" s="31" t="n">
        <f aca="false">IF($B7623&lt;&gt;'設定（最初に1回）'!$C$4,N(U7622),IF(COUNTIFS(①今日の在庫を貼る!$B$6:$B$10005,$B7623,①今日の在庫を貼る!$I$6:$I$10005,$I7623)&gt;0,N(U7622),N(U7622)+1))</f>
        <v>2</v>
      </c>
    </row>
    <row r="7624" customFormat="false" ht="15" hidden="false" customHeight="false" outlineLevel="0" collapsed="false">
      <c r="B7624" s="53"/>
      <c r="I7624" s="53"/>
      <c r="U7624" s="31" t="n">
        <f aca="false">IF($B7624&lt;&gt;'設定（最初に1回）'!$C$4,N(U7623),IF(COUNTIFS(①今日の在庫を貼る!$B$6:$B$10005,$B7624,①今日の在庫を貼る!$I$6:$I$10005,$I7624)&gt;0,N(U7623),N(U7623)+1))</f>
        <v>2</v>
      </c>
    </row>
    <row r="7625" customFormat="false" ht="15" hidden="false" customHeight="false" outlineLevel="0" collapsed="false">
      <c r="B7625" s="53"/>
      <c r="I7625" s="53"/>
      <c r="U7625" s="31" t="n">
        <f aca="false">IF($B7625&lt;&gt;'設定（最初に1回）'!$C$4,N(U7624),IF(COUNTIFS(①今日の在庫を貼る!$B$6:$B$10005,$B7625,①今日の在庫を貼る!$I$6:$I$10005,$I7625)&gt;0,N(U7624),N(U7624)+1))</f>
        <v>2</v>
      </c>
    </row>
    <row r="7626" customFormat="false" ht="15" hidden="false" customHeight="false" outlineLevel="0" collapsed="false">
      <c r="B7626" s="53"/>
      <c r="I7626" s="53"/>
      <c r="U7626" s="31" t="n">
        <f aca="false">IF($B7626&lt;&gt;'設定（最初に1回）'!$C$4,N(U7625),IF(COUNTIFS(①今日の在庫を貼る!$B$6:$B$10005,$B7626,①今日の在庫を貼る!$I$6:$I$10005,$I7626)&gt;0,N(U7625),N(U7625)+1))</f>
        <v>2</v>
      </c>
    </row>
    <row r="7627" customFormat="false" ht="15" hidden="false" customHeight="false" outlineLevel="0" collapsed="false">
      <c r="B7627" s="53"/>
      <c r="I7627" s="53"/>
      <c r="U7627" s="31" t="n">
        <f aca="false">IF($B7627&lt;&gt;'設定（最初に1回）'!$C$4,N(U7626),IF(COUNTIFS(①今日の在庫を貼る!$B$6:$B$10005,$B7627,①今日の在庫を貼る!$I$6:$I$10005,$I7627)&gt;0,N(U7626),N(U7626)+1))</f>
        <v>2</v>
      </c>
    </row>
    <row r="7628" customFormat="false" ht="15" hidden="false" customHeight="false" outlineLevel="0" collapsed="false">
      <c r="B7628" s="53"/>
      <c r="I7628" s="53"/>
      <c r="U7628" s="31" t="n">
        <f aca="false">IF($B7628&lt;&gt;'設定（最初に1回）'!$C$4,N(U7627),IF(COUNTIFS(①今日の在庫を貼る!$B$6:$B$10005,$B7628,①今日の在庫を貼る!$I$6:$I$10005,$I7628)&gt;0,N(U7627),N(U7627)+1))</f>
        <v>2</v>
      </c>
    </row>
    <row r="7629" customFormat="false" ht="15" hidden="false" customHeight="false" outlineLevel="0" collapsed="false">
      <c r="B7629" s="53"/>
      <c r="I7629" s="53"/>
      <c r="U7629" s="31" t="n">
        <f aca="false">IF($B7629&lt;&gt;'設定（最初に1回）'!$C$4,N(U7628),IF(COUNTIFS(①今日の在庫を貼る!$B$6:$B$10005,$B7629,①今日の在庫を貼る!$I$6:$I$10005,$I7629)&gt;0,N(U7628),N(U7628)+1))</f>
        <v>2</v>
      </c>
    </row>
    <row r="7630" customFormat="false" ht="15" hidden="false" customHeight="false" outlineLevel="0" collapsed="false">
      <c r="B7630" s="53"/>
      <c r="I7630" s="53"/>
      <c r="U7630" s="31" t="n">
        <f aca="false">IF($B7630&lt;&gt;'設定（最初に1回）'!$C$4,N(U7629),IF(COUNTIFS(①今日の在庫を貼る!$B$6:$B$10005,$B7630,①今日の在庫を貼る!$I$6:$I$10005,$I7630)&gt;0,N(U7629),N(U7629)+1))</f>
        <v>2</v>
      </c>
    </row>
    <row r="7631" customFormat="false" ht="15" hidden="false" customHeight="false" outlineLevel="0" collapsed="false">
      <c r="B7631" s="53"/>
      <c r="I7631" s="53"/>
      <c r="U7631" s="31" t="n">
        <f aca="false">IF($B7631&lt;&gt;'設定（最初に1回）'!$C$4,N(U7630),IF(COUNTIFS(①今日の在庫を貼る!$B$6:$B$10005,$B7631,①今日の在庫を貼る!$I$6:$I$10005,$I7631)&gt;0,N(U7630),N(U7630)+1))</f>
        <v>2</v>
      </c>
    </row>
    <row r="7632" customFormat="false" ht="15" hidden="false" customHeight="false" outlineLevel="0" collapsed="false">
      <c r="B7632" s="53"/>
      <c r="I7632" s="53"/>
      <c r="U7632" s="31" t="n">
        <f aca="false">IF($B7632&lt;&gt;'設定（最初に1回）'!$C$4,N(U7631),IF(COUNTIFS(①今日の在庫を貼る!$B$6:$B$10005,$B7632,①今日の在庫を貼る!$I$6:$I$10005,$I7632)&gt;0,N(U7631),N(U7631)+1))</f>
        <v>2</v>
      </c>
    </row>
    <row r="7633" customFormat="false" ht="15" hidden="false" customHeight="false" outlineLevel="0" collapsed="false">
      <c r="B7633" s="53"/>
      <c r="I7633" s="53"/>
      <c r="U7633" s="31" t="n">
        <f aca="false">IF($B7633&lt;&gt;'設定（最初に1回）'!$C$4,N(U7632),IF(COUNTIFS(①今日の在庫を貼る!$B$6:$B$10005,$B7633,①今日の在庫を貼る!$I$6:$I$10005,$I7633)&gt;0,N(U7632),N(U7632)+1))</f>
        <v>2</v>
      </c>
    </row>
    <row r="7634" customFormat="false" ht="15" hidden="false" customHeight="false" outlineLevel="0" collapsed="false">
      <c r="B7634" s="53"/>
      <c r="I7634" s="53"/>
      <c r="U7634" s="31" t="n">
        <f aca="false">IF($B7634&lt;&gt;'設定（最初に1回）'!$C$4,N(U7633),IF(COUNTIFS(①今日の在庫を貼る!$B$6:$B$10005,$B7634,①今日の在庫を貼る!$I$6:$I$10005,$I7634)&gt;0,N(U7633),N(U7633)+1))</f>
        <v>2</v>
      </c>
    </row>
    <row r="7635" customFormat="false" ht="15" hidden="false" customHeight="false" outlineLevel="0" collapsed="false">
      <c r="B7635" s="53"/>
      <c r="I7635" s="53"/>
      <c r="U7635" s="31" t="n">
        <f aca="false">IF($B7635&lt;&gt;'設定（最初に1回）'!$C$4,N(U7634),IF(COUNTIFS(①今日の在庫を貼る!$B$6:$B$10005,$B7635,①今日の在庫を貼る!$I$6:$I$10005,$I7635)&gt;0,N(U7634),N(U7634)+1))</f>
        <v>2</v>
      </c>
    </row>
    <row r="7636" customFormat="false" ht="15" hidden="false" customHeight="false" outlineLevel="0" collapsed="false">
      <c r="B7636" s="53"/>
      <c r="I7636" s="53"/>
      <c r="U7636" s="31" t="n">
        <f aca="false">IF($B7636&lt;&gt;'設定（最初に1回）'!$C$4,N(U7635),IF(COUNTIFS(①今日の在庫を貼る!$B$6:$B$10005,$B7636,①今日の在庫を貼る!$I$6:$I$10005,$I7636)&gt;0,N(U7635),N(U7635)+1))</f>
        <v>2</v>
      </c>
    </row>
    <row r="7637" customFormat="false" ht="15" hidden="false" customHeight="false" outlineLevel="0" collapsed="false">
      <c r="B7637" s="53"/>
      <c r="I7637" s="53"/>
      <c r="U7637" s="31" t="n">
        <f aca="false">IF($B7637&lt;&gt;'設定（最初に1回）'!$C$4,N(U7636),IF(COUNTIFS(①今日の在庫を貼る!$B$6:$B$10005,$B7637,①今日の在庫を貼る!$I$6:$I$10005,$I7637)&gt;0,N(U7636),N(U7636)+1))</f>
        <v>2</v>
      </c>
    </row>
    <row r="7638" customFormat="false" ht="15" hidden="false" customHeight="false" outlineLevel="0" collapsed="false">
      <c r="B7638" s="53"/>
      <c r="I7638" s="53"/>
      <c r="U7638" s="31" t="n">
        <f aca="false">IF($B7638&lt;&gt;'設定（最初に1回）'!$C$4,N(U7637),IF(COUNTIFS(①今日の在庫を貼る!$B$6:$B$10005,$B7638,①今日の在庫を貼る!$I$6:$I$10005,$I7638)&gt;0,N(U7637),N(U7637)+1))</f>
        <v>2</v>
      </c>
    </row>
    <row r="7639" customFormat="false" ht="15" hidden="false" customHeight="false" outlineLevel="0" collapsed="false">
      <c r="B7639" s="53"/>
      <c r="I7639" s="53"/>
      <c r="U7639" s="31" t="n">
        <f aca="false">IF($B7639&lt;&gt;'設定（最初に1回）'!$C$4,N(U7638),IF(COUNTIFS(①今日の在庫を貼る!$B$6:$B$10005,$B7639,①今日の在庫を貼る!$I$6:$I$10005,$I7639)&gt;0,N(U7638),N(U7638)+1))</f>
        <v>2</v>
      </c>
    </row>
    <row r="7640" customFormat="false" ht="15" hidden="false" customHeight="false" outlineLevel="0" collapsed="false">
      <c r="B7640" s="53"/>
      <c r="I7640" s="53"/>
      <c r="U7640" s="31" t="n">
        <f aca="false">IF($B7640&lt;&gt;'設定（最初に1回）'!$C$4,N(U7639),IF(COUNTIFS(①今日の在庫を貼る!$B$6:$B$10005,$B7640,①今日の在庫を貼る!$I$6:$I$10005,$I7640)&gt;0,N(U7639),N(U7639)+1))</f>
        <v>2</v>
      </c>
    </row>
    <row r="7641" customFormat="false" ht="15" hidden="false" customHeight="false" outlineLevel="0" collapsed="false">
      <c r="B7641" s="53"/>
      <c r="I7641" s="53"/>
      <c r="U7641" s="31" t="n">
        <f aca="false">IF($B7641&lt;&gt;'設定（最初に1回）'!$C$4,N(U7640),IF(COUNTIFS(①今日の在庫を貼る!$B$6:$B$10005,$B7641,①今日の在庫を貼る!$I$6:$I$10005,$I7641)&gt;0,N(U7640),N(U7640)+1))</f>
        <v>2</v>
      </c>
    </row>
    <row r="7642" customFormat="false" ht="15" hidden="false" customHeight="false" outlineLevel="0" collapsed="false">
      <c r="B7642" s="53"/>
      <c r="I7642" s="53"/>
      <c r="U7642" s="31" t="n">
        <f aca="false">IF($B7642&lt;&gt;'設定（最初に1回）'!$C$4,N(U7641),IF(COUNTIFS(①今日の在庫を貼る!$B$6:$B$10005,$B7642,①今日の在庫を貼る!$I$6:$I$10005,$I7642)&gt;0,N(U7641),N(U7641)+1))</f>
        <v>2</v>
      </c>
    </row>
    <row r="7643" customFormat="false" ht="15" hidden="false" customHeight="false" outlineLevel="0" collapsed="false">
      <c r="B7643" s="53"/>
      <c r="I7643" s="53"/>
      <c r="U7643" s="31" t="n">
        <f aca="false">IF($B7643&lt;&gt;'設定（最初に1回）'!$C$4,N(U7642),IF(COUNTIFS(①今日の在庫を貼る!$B$6:$B$10005,$B7643,①今日の在庫を貼る!$I$6:$I$10005,$I7643)&gt;0,N(U7642),N(U7642)+1))</f>
        <v>2</v>
      </c>
    </row>
    <row r="7644" customFormat="false" ht="15" hidden="false" customHeight="false" outlineLevel="0" collapsed="false">
      <c r="B7644" s="53"/>
      <c r="I7644" s="53"/>
      <c r="U7644" s="31" t="n">
        <f aca="false">IF($B7644&lt;&gt;'設定（最初に1回）'!$C$4,N(U7643),IF(COUNTIFS(①今日の在庫を貼る!$B$6:$B$10005,$B7644,①今日の在庫を貼る!$I$6:$I$10005,$I7644)&gt;0,N(U7643),N(U7643)+1))</f>
        <v>2</v>
      </c>
    </row>
    <row r="7645" customFormat="false" ht="15" hidden="false" customHeight="false" outlineLevel="0" collapsed="false">
      <c r="B7645" s="53"/>
      <c r="I7645" s="53"/>
      <c r="U7645" s="31" t="n">
        <f aca="false">IF($B7645&lt;&gt;'設定（最初に1回）'!$C$4,N(U7644),IF(COUNTIFS(①今日の在庫を貼る!$B$6:$B$10005,$B7645,①今日の在庫を貼る!$I$6:$I$10005,$I7645)&gt;0,N(U7644),N(U7644)+1))</f>
        <v>2</v>
      </c>
    </row>
    <row r="7646" customFormat="false" ht="15" hidden="false" customHeight="false" outlineLevel="0" collapsed="false">
      <c r="B7646" s="53"/>
      <c r="I7646" s="53"/>
      <c r="U7646" s="31" t="n">
        <f aca="false">IF($B7646&lt;&gt;'設定（最初に1回）'!$C$4,N(U7645),IF(COUNTIFS(①今日の在庫を貼る!$B$6:$B$10005,$B7646,①今日の在庫を貼る!$I$6:$I$10005,$I7646)&gt;0,N(U7645),N(U7645)+1))</f>
        <v>2</v>
      </c>
    </row>
    <row r="7647" customFormat="false" ht="15" hidden="false" customHeight="false" outlineLevel="0" collapsed="false">
      <c r="B7647" s="53"/>
      <c r="I7647" s="53"/>
      <c r="U7647" s="31" t="n">
        <f aca="false">IF($B7647&lt;&gt;'設定（最初に1回）'!$C$4,N(U7646),IF(COUNTIFS(①今日の在庫を貼る!$B$6:$B$10005,$B7647,①今日の在庫を貼る!$I$6:$I$10005,$I7647)&gt;0,N(U7646),N(U7646)+1))</f>
        <v>2</v>
      </c>
    </row>
    <row r="7648" customFormat="false" ht="15" hidden="false" customHeight="false" outlineLevel="0" collapsed="false">
      <c r="B7648" s="53"/>
      <c r="I7648" s="53"/>
      <c r="U7648" s="31" t="n">
        <f aca="false">IF($B7648&lt;&gt;'設定（最初に1回）'!$C$4,N(U7647),IF(COUNTIFS(①今日の在庫を貼る!$B$6:$B$10005,$B7648,①今日の在庫を貼る!$I$6:$I$10005,$I7648)&gt;0,N(U7647),N(U7647)+1))</f>
        <v>2</v>
      </c>
    </row>
    <row r="7649" customFormat="false" ht="15" hidden="false" customHeight="false" outlineLevel="0" collapsed="false">
      <c r="B7649" s="53"/>
      <c r="I7649" s="53"/>
      <c r="U7649" s="31" t="n">
        <f aca="false">IF($B7649&lt;&gt;'設定（最初に1回）'!$C$4,N(U7648),IF(COUNTIFS(①今日の在庫を貼る!$B$6:$B$10005,$B7649,①今日の在庫を貼る!$I$6:$I$10005,$I7649)&gt;0,N(U7648),N(U7648)+1))</f>
        <v>2</v>
      </c>
    </row>
    <row r="7650" customFormat="false" ht="15" hidden="false" customHeight="false" outlineLevel="0" collapsed="false">
      <c r="B7650" s="53"/>
      <c r="I7650" s="53"/>
      <c r="U7650" s="31" t="n">
        <f aca="false">IF($B7650&lt;&gt;'設定（最初に1回）'!$C$4,N(U7649),IF(COUNTIFS(①今日の在庫を貼る!$B$6:$B$10005,$B7650,①今日の在庫を貼る!$I$6:$I$10005,$I7650)&gt;0,N(U7649),N(U7649)+1))</f>
        <v>2</v>
      </c>
    </row>
    <row r="7651" customFormat="false" ht="15" hidden="false" customHeight="false" outlineLevel="0" collapsed="false">
      <c r="B7651" s="53"/>
      <c r="I7651" s="53"/>
      <c r="U7651" s="31" t="n">
        <f aca="false">IF($B7651&lt;&gt;'設定（最初に1回）'!$C$4,N(U7650),IF(COUNTIFS(①今日の在庫を貼る!$B$6:$B$10005,$B7651,①今日の在庫を貼る!$I$6:$I$10005,$I7651)&gt;0,N(U7650),N(U7650)+1))</f>
        <v>2</v>
      </c>
    </row>
    <row r="7652" customFormat="false" ht="15" hidden="false" customHeight="false" outlineLevel="0" collapsed="false">
      <c r="B7652" s="53"/>
      <c r="I7652" s="53"/>
      <c r="U7652" s="31" t="n">
        <f aca="false">IF($B7652&lt;&gt;'設定（最初に1回）'!$C$4,N(U7651),IF(COUNTIFS(①今日の在庫を貼る!$B$6:$B$10005,$B7652,①今日の在庫を貼る!$I$6:$I$10005,$I7652)&gt;0,N(U7651),N(U7651)+1))</f>
        <v>2</v>
      </c>
    </row>
    <row r="7653" customFormat="false" ht="15" hidden="false" customHeight="false" outlineLevel="0" collapsed="false">
      <c r="B7653" s="53"/>
      <c r="I7653" s="53"/>
      <c r="U7653" s="31" t="n">
        <f aca="false">IF($B7653&lt;&gt;'設定（最初に1回）'!$C$4,N(U7652),IF(COUNTIFS(①今日の在庫を貼る!$B$6:$B$10005,$B7653,①今日の在庫を貼る!$I$6:$I$10005,$I7653)&gt;0,N(U7652),N(U7652)+1))</f>
        <v>2</v>
      </c>
    </row>
    <row r="7654" customFormat="false" ht="15" hidden="false" customHeight="false" outlineLevel="0" collapsed="false">
      <c r="B7654" s="53"/>
      <c r="I7654" s="53"/>
      <c r="U7654" s="31" t="n">
        <f aca="false">IF($B7654&lt;&gt;'設定（最初に1回）'!$C$4,N(U7653),IF(COUNTIFS(①今日の在庫を貼る!$B$6:$B$10005,$B7654,①今日の在庫を貼る!$I$6:$I$10005,$I7654)&gt;0,N(U7653),N(U7653)+1))</f>
        <v>2</v>
      </c>
    </row>
    <row r="7655" customFormat="false" ht="15" hidden="false" customHeight="false" outlineLevel="0" collapsed="false">
      <c r="B7655" s="53"/>
      <c r="I7655" s="53"/>
      <c r="U7655" s="31" t="n">
        <f aca="false">IF($B7655&lt;&gt;'設定（最初に1回）'!$C$4,N(U7654),IF(COUNTIFS(①今日の在庫を貼る!$B$6:$B$10005,$B7655,①今日の在庫を貼る!$I$6:$I$10005,$I7655)&gt;0,N(U7654),N(U7654)+1))</f>
        <v>2</v>
      </c>
    </row>
    <row r="7656" customFormat="false" ht="15" hidden="false" customHeight="false" outlineLevel="0" collapsed="false">
      <c r="B7656" s="53"/>
      <c r="I7656" s="53"/>
      <c r="U7656" s="31" t="n">
        <f aca="false">IF($B7656&lt;&gt;'設定（最初に1回）'!$C$4,N(U7655),IF(COUNTIFS(①今日の在庫を貼る!$B$6:$B$10005,$B7656,①今日の在庫を貼る!$I$6:$I$10005,$I7656)&gt;0,N(U7655),N(U7655)+1))</f>
        <v>2</v>
      </c>
    </row>
    <row r="7657" customFormat="false" ht="15" hidden="false" customHeight="false" outlineLevel="0" collapsed="false">
      <c r="B7657" s="53"/>
      <c r="I7657" s="53"/>
      <c r="U7657" s="31" t="n">
        <f aca="false">IF($B7657&lt;&gt;'設定（最初に1回）'!$C$4,N(U7656),IF(COUNTIFS(①今日の在庫を貼る!$B$6:$B$10005,$B7657,①今日の在庫を貼る!$I$6:$I$10005,$I7657)&gt;0,N(U7656),N(U7656)+1))</f>
        <v>2</v>
      </c>
    </row>
    <row r="7658" customFormat="false" ht="15" hidden="false" customHeight="false" outlineLevel="0" collapsed="false">
      <c r="B7658" s="53"/>
      <c r="I7658" s="53"/>
      <c r="U7658" s="31" t="n">
        <f aca="false">IF($B7658&lt;&gt;'設定（最初に1回）'!$C$4,N(U7657),IF(COUNTIFS(①今日の在庫を貼る!$B$6:$B$10005,$B7658,①今日の在庫を貼る!$I$6:$I$10005,$I7658)&gt;0,N(U7657),N(U7657)+1))</f>
        <v>2</v>
      </c>
    </row>
    <row r="7659" customFormat="false" ht="15" hidden="false" customHeight="false" outlineLevel="0" collapsed="false">
      <c r="B7659" s="53"/>
      <c r="I7659" s="53"/>
      <c r="U7659" s="31" t="n">
        <f aca="false">IF($B7659&lt;&gt;'設定（最初に1回）'!$C$4,N(U7658),IF(COUNTIFS(①今日の在庫を貼る!$B$6:$B$10005,$B7659,①今日の在庫を貼る!$I$6:$I$10005,$I7659)&gt;0,N(U7658),N(U7658)+1))</f>
        <v>2</v>
      </c>
    </row>
    <row r="7660" customFormat="false" ht="15" hidden="false" customHeight="false" outlineLevel="0" collapsed="false">
      <c r="B7660" s="53"/>
      <c r="I7660" s="53"/>
      <c r="U7660" s="31" t="n">
        <f aca="false">IF($B7660&lt;&gt;'設定（最初に1回）'!$C$4,N(U7659),IF(COUNTIFS(①今日の在庫を貼る!$B$6:$B$10005,$B7660,①今日の在庫を貼る!$I$6:$I$10005,$I7660)&gt;0,N(U7659),N(U7659)+1))</f>
        <v>2</v>
      </c>
    </row>
    <row r="7661" customFormat="false" ht="15" hidden="false" customHeight="false" outlineLevel="0" collapsed="false">
      <c r="B7661" s="53"/>
      <c r="I7661" s="53"/>
      <c r="U7661" s="31" t="n">
        <f aca="false">IF($B7661&lt;&gt;'設定（最初に1回）'!$C$4,N(U7660),IF(COUNTIFS(①今日の在庫を貼る!$B$6:$B$10005,$B7661,①今日の在庫を貼る!$I$6:$I$10005,$I7661)&gt;0,N(U7660),N(U7660)+1))</f>
        <v>2</v>
      </c>
    </row>
    <row r="7662" customFormat="false" ht="15" hidden="false" customHeight="false" outlineLevel="0" collapsed="false">
      <c r="B7662" s="53"/>
      <c r="I7662" s="53"/>
      <c r="U7662" s="31" t="n">
        <f aca="false">IF($B7662&lt;&gt;'設定（最初に1回）'!$C$4,N(U7661),IF(COUNTIFS(①今日の在庫を貼る!$B$6:$B$10005,$B7662,①今日の在庫を貼る!$I$6:$I$10005,$I7662)&gt;0,N(U7661),N(U7661)+1))</f>
        <v>2</v>
      </c>
    </row>
    <row r="7663" customFormat="false" ht="15" hidden="false" customHeight="false" outlineLevel="0" collapsed="false">
      <c r="B7663" s="53"/>
      <c r="I7663" s="53"/>
      <c r="U7663" s="31" t="n">
        <f aca="false">IF($B7663&lt;&gt;'設定（最初に1回）'!$C$4,N(U7662),IF(COUNTIFS(①今日の在庫を貼る!$B$6:$B$10005,$B7663,①今日の在庫を貼る!$I$6:$I$10005,$I7663)&gt;0,N(U7662),N(U7662)+1))</f>
        <v>2</v>
      </c>
    </row>
    <row r="7664" customFormat="false" ht="15" hidden="false" customHeight="false" outlineLevel="0" collapsed="false">
      <c r="B7664" s="53"/>
      <c r="I7664" s="53"/>
      <c r="U7664" s="31" t="n">
        <f aca="false">IF($B7664&lt;&gt;'設定（最初に1回）'!$C$4,N(U7663),IF(COUNTIFS(①今日の在庫を貼る!$B$6:$B$10005,$B7664,①今日の在庫を貼る!$I$6:$I$10005,$I7664)&gt;0,N(U7663),N(U7663)+1))</f>
        <v>2</v>
      </c>
    </row>
    <row r="7665" customFormat="false" ht="15" hidden="false" customHeight="false" outlineLevel="0" collapsed="false">
      <c r="B7665" s="53"/>
      <c r="I7665" s="53"/>
      <c r="U7665" s="31" t="n">
        <f aca="false">IF($B7665&lt;&gt;'設定（最初に1回）'!$C$4,N(U7664),IF(COUNTIFS(①今日の在庫を貼る!$B$6:$B$10005,$B7665,①今日の在庫を貼る!$I$6:$I$10005,$I7665)&gt;0,N(U7664),N(U7664)+1))</f>
        <v>2</v>
      </c>
    </row>
    <row r="7666" customFormat="false" ht="15" hidden="false" customHeight="false" outlineLevel="0" collapsed="false">
      <c r="B7666" s="53"/>
      <c r="I7666" s="53"/>
      <c r="U7666" s="31" t="n">
        <f aca="false">IF($B7666&lt;&gt;'設定（最初に1回）'!$C$4,N(U7665),IF(COUNTIFS(①今日の在庫を貼る!$B$6:$B$10005,$B7666,①今日の在庫を貼る!$I$6:$I$10005,$I7666)&gt;0,N(U7665),N(U7665)+1))</f>
        <v>2</v>
      </c>
    </row>
    <row r="7667" customFormat="false" ht="15" hidden="false" customHeight="false" outlineLevel="0" collapsed="false">
      <c r="B7667" s="53"/>
      <c r="I7667" s="53"/>
      <c r="U7667" s="31" t="n">
        <f aca="false">IF($B7667&lt;&gt;'設定（最初に1回）'!$C$4,N(U7666),IF(COUNTIFS(①今日の在庫を貼る!$B$6:$B$10005,$B7667,①今日の在庫を貼る!$I$6:$I$10005,$I7667)&gt;0,N(U7666),N(U7666)+1))</f>
        <v>2</v>
      </c>
    </row>
    <row r="7668" customFormat="false" ht="15" hidden="false" customHeight="false" outlineLevel="0" collapsed="false">
      <c r="B7668" s="53"/>
      <c r="I7668" s="53"/>
      <c r="U7668" s="31" t="n">
        <f aca="false">IF($B7668&lt;&gt;'設定（最初に1回）'!$C$4,N(U7667),IF(COUNTIFS(①今日の在庫を貼る!$B$6:$B$10005,$B7668,①今日の在庫を貼る!$I$6:$I$10005,$I7668)&gt;0,N(U7667),N(U7667)+1))</f>
        <v>2</v>
      </c>
    </row>
    <row r="7669" customFormat="false" ht="15" hidden="false" customHeight="false" outlineLevel="0" collapsed="false">
      <c r="B7669" s="53"/>
      <c r="I7669" s="53"/>
      <c r="U7669" s="31" t="n">
        <f aca="false">IF($B7669&lt;&gt;'設定（最初に1回）'!$C$4,N(U7668),IF(COUNTIFS(①今日の在庫を貼る!$B$6:$B$10005,$B7669,①今日の在庫を貼る!$I$6:$I$10005,$I7669)&gt;0,N(U7668),N(U7668)+1))</f>
        <v>2</v>
      </c>
    </row>
    <row r="7670" customFormat="false" ht="15" hidden="false" customHeight="false" outlineLevel="0" collapsed="false">
      <c r="B7670" s="53"/>
      <c r="I7670" s="53"/>
      <c r="U7670" s="31" t="n">
        <f aca="false">IF($B7670&lt;&gt;'設定（最初に1回）'!$C$4,N(U7669),IF(COUNTIFS(①今日の在庫を貼る!$B$6:$B$10005,$B7670,①今日の在庫を貼る!$I$6:$I$10005,$I7670)&gt;0,N(U7669),N(U7669)+1))</f>
        <v>2</v>
      </c>
    </row>
    <row r="7671" customFormat="false" ht="15" hidden="false" customHeight="false" outlineLevel="0" collapsed="false">
      <c r="B7671" s="53"/>
      <c r="I7671" s="53"/>
      <c r="U7671" s="31" t="n">
        <f aca="false">IF($B7671&lt;&gt;'設定（最初に1回）'!$C$4,N(U7670),IF(COUNTIFS(①今日の在庫を貼る!$B$6:$B$10005,$B7671,①今日の在庫を貼る!$I$6:$I$10005,$I7671)&gt;0,N(U7670),N(U7670)+1))</f>
        <v>2</v>
      </c>
    </row>
    <row r="7672" customFormat="false" ht="15" hidden="false" customHeight="false" outlineLevel="0" collapsed="false">
      <c r="B7672" s="53"/>
      <c r="I7672" s="53"/>
      <c r="U7672" s="31" t="n">
        <f aca="false">IF($B7672&lt;&gt;'設定（最初に1回）'!$C$4,N(U7671),IF(COUNTIFS(①今日の在庫を貼る!$B$6:$B$10005,$B7672,①今日の在庫を貼る!$I$6:$I$10005,$I7672)&gt;0,N(U7671),N(U7671)+1))</f>
        <v>2</v>
      </c>
    </row>
    <row r="7673" customFormat="false" ht="15" hidden="false" customHeight="false" outlineLevel="0" collapsed="false">
      <c r="B7673" s="53"/>
      <c r="I7673" s="53"/>
      <c r="U7673" s="31" t="n">
        <f aca="false">IF($B7673&lt;&gt;'設定（最初に1回）'!$C$4,N(U7672),IF(COUNTIFS(①今日の在庫を貼る!$B$6:$B$10005,$B7673,①今日の在庫を貼る!$I$6:$I$10005,$I7673)&gt;0,N(U7672),N(U7672)+1))</f>
        <v>2</v>
      </c>
    </row>
    <row r="7674" customFormat="false" ht="15" hidden="false" customHeight="false" outlineLevel="0" collapsed="false">
      <c r="B7674" s="53"/>
      <c r="I7674" s="53"/>
      <c r="U7674" s="31" t="n">
        <f aca="false">IF($B7674&lt;&gt;'設定（最初に1回）'!$C$4,N(U7673),IF(COUNTIFS(①今日の在庫を貼る!$B$6:$B$10005,$B7674,①今日の在庫を貼る!$I$6:$I$10005,$I7674)&gt;0,N(U7673),N(U7673)+1))</f>
        <v>2</v>
      </c>
    </row>
    <row r="7675" customFormat="false" ht="15" hidden="false" customHeight="false" outlineLevel="0" collapsed="false">
      <c r="B7675" s="53"/>
      <c r="I7675" s="53"/>
      <c r="U7675" s="31" t="n">
        <f aca="false">IF($B7675&lt;&gt;'設定（最初に1回）'!$C$4,N(U7674),IF(COUNTIFS(①今日の在庫を貼る!$B$6:$B$10005,$B7675,①今日の在庫を貼る!$I$6:$I$10005,$I7675)&gt;0,N(U7674),N(U7674)+1))</f>
        <v>2</v>
      </c>
    </row>
    <row r="7676" customFormat="false" ht="15" hidden="false" customHeight="false" outlineLevel="0" collapsed="false">
      <c r="B7676" s="53"/>
      <c r="I7676" s="53"/>
      <c r="U7676" s="31" t="n">
        <f aca="false">IF($B7676&lt;&gt;'設定（最初に1回）'!$C$4,N(U7675),IF(COUNTIFS(①今日の在庫を貼る!$B$6:$B$10005,$B7676,①今日の在庫を貼る!$I$6:$I$10005,$I7676)&gt;0,N(U7675),N(U7675)+1))</f>
        <v>2</v>
      </c>
    </row>
    <row r="7677" customFormat="false" ht="15" hidden="false" customHeight="false" outlineLevel="0" collapsed="false">
      <c r="B7677" s="53"/>
      <c r="I7677" s="53"/>
      <c r="U7677" s="31" t="n">
        <f aca="false">IF($B7677&lt;&gt;'設定（最初に1回）'!$C$4,N(U7676),IF(COUNTIFS(①今日の在庫を貼る!$B$6:$B$10005,$B7677,①今日の在庫を貼る!$I$6:$I$10005,$I7677)&gt;0,N(U7676),N(U7676)+1))</f>
        <v>2</v>
      </c>
    </row>
    <row r="7678" customFormat="false" ht="15" hidden="false" customHeight="false" outlineLevel="0" collapsed="false">
      <c r="B7678" s="53"/>
      <c r="I7678" s="53"/>
      <c r="U7678" s="31" t="n">
        <f aca="false">IF($B7678&lt;&gt;'設定（最初に1回）'!$C$4,N(U7677),IF(COUNTIFS(①今日の在庫を貼る!$B$6:$B$10005,$B7678,①今日の在庫を貼る!$I$6:$I$10005,$I7678)&gt;0,N(U7677),N(U7677)+1))</f>
        <v>2</v>
      </c>
    </row>
    <row r="7679" customFormat="false" ht="15" hidden="false" customHeight="false" outlineLevel="0" collapsed="false">
      <c r="B7679" s="53"/>
      <c r="I7679" s="53"/>
      <c r="U7679" s="31" t="n">
        <f aca="false">IF($B7679&lt;&gt;'設定（最初に1回）'!$C$4,N(U7678),IF(COUNTIFS(①今日の在庫を貼る!$B$6:$B$10005,$B7679,①今日の在庫を貼る!$I$6:$I$10005,$I7679)&gt;0,N(U7678),N(U7678)+1))</f>
        <v>2</v>
      </c>
    </row>
    <row r="7680" customFormat="false" ht="15" hidden="false" customHeight="false" outlineLevel="0" collapsed="false">
      <c r="B7680" s="53"/>
      <c r="I7680" s="53"/>
      <c r="U7680" s="31" t="n">
        <f aca="false">IF($B7680&lt;&gt;'設定（最初に1回）'!$C$4,N(U7679),IF(COUNTIFS(①今日の在庫を貼る!$B$6:$B$10005,$B7680,①今日の在庫を貼る!$I$6:$I$10005,$I7680)&gt;0,N(U7679),N(U7679)+1))</f>
        <v>2</v>
      </c>
    </row>
    <row r="7681" customFormat="false" ht="15" hidden="false" customHeight="false" outlineLevel="0" collapsed="false">
      <c r="B7681" s="53"/>
      <c r="I7681" s="53"/>
      <c r="U7681" s="31" t="n">
        <f aca="false">IF($B7681&lt;&gt;'設定（最初に1回）'!$C$4,N(U7680),IF(COUNTIFS(①今日の在庫を貼る!$B$6:$B$10005,$B7681,①今日の在庫を貼る!$I$6:$I$10005,$I7681)&gt;0,N(U7680),N(U7680)+1))</f>
        <v>2</v>
      </c>
    </row>
    <row r="7682" customFormat="false" ht="15" hidden="false" customHeight="false" outlineLevel="0" collapsed="false">
      <c r="B7682" s="53"/>
      <c r="I7682" s="53"/>
      <c r="U7682" s="31" t="n">
        <f aca="false">IF($B7682&lt;&gt;'設定（最初に1回）'!$C$4,N(U7681),IF(COUNTIFS(①今日の在庫を貼る!$B$6:$B$10005,$B7682,①今日の在庫を貼る!$I$6:$I$10005,$I7682)&gt;0,N(U7681),N(U7681)+1))</f>
        <v>2</v>
      </c>
    </row>
    <row r="7683" customFormat="false" ht="15" hidden="false" customHeight="false" outlineLevel="0" collapsed="false">
      <c r="B7683" s="53"/>
      <c r="I7683" s="53"/>
      <c r="U7683" s="31" t="n">
        <f aca="false">IF($B7683&lt;&gt;'設定（最初に1回）'!$C$4,N(U7682),IF(COUNTIFS(①今日の在庫を貼る!$B$6:$B$10005,$B7683,①今日の在庫を貼る!$I$6:$I$10005,$I7683)&gt;0,N(U7682),N(U7682)+1))</f>
        <v>2</v>
      </c>
    </row>
    <row r="7684" customFormat="false" ht="15" hidden="false" customHeight="false" outlineLevel="0" collapsed="false">
      <c r="B7684" s="53"/>
      <c r="I7684" s="53"/>
      <c r="U7684" s="31" t="n">
        <f aca="false">IF($B7684&lt;&gt;'設定（最初に1回）'!$C$4,N(U7683),IF(COUNTIFS(①今日の在庫を貼る!$B$6:$B$10005,$B7684,①今日の在庫を貼る!$I$6:$I$10005,$I7684)&gt;0,N(U7683),N(U7683)+1))</f>
        <v>2</v>
      </c>
    </row>
    <row r="7685" customFormat="false" ht="15" hidden="false" customHeight="false" outlineLevel="0" collapsed="false">
      <c r="B7685" s="53"/>
      <c r="I7685" s="53"/>
      <c r="U7685" s="31" t="n">
        <f aca="false">IF($B7685&lt;&gt;'設定（最初に1回）'!$C$4,N(U7684),IF(COUNTIFS(①今日の在庫を貼る!$B$6:$B$10005,$B7685,①今日の在庫を貼る!$I$6:$I$10005,$I7685)&gt;0,N(U7684),N(U7684)+1))</f>
        <v>2</v>
      </c>
    </row>
    <row r="7686" customFormat="false" ht="15" hidden="false" customHeight="false" outlineLevel="0" collapsed="false">
      <c r="B7686" s="53"/>
      <c r="I7686" s="53"/>
      <c r="U7686" s="31" t="n">
        <f aca="false">IF($B7686&lt;&gt;'設定（最初に1回）'!$C$4,N(U7685),IF(COUNTIFS(①今日の在庫を貼る!$B$6:$B$10005,$B7686,①今日の在庫を貼る!$I$6:$I$10005,$I7686)&gt;0,N(U7685),N(U7685)+1))</f>
        <v>2</v>
      </c>
    </row>
    <row r="7687" customFormat="false" ht="15" hidden="false" customHeight="false" outlineLevel="0" collapsed="false">
      <c r="B7687" s="53"/>
      <c r="I7687" s="53"/>
      <c r="U7687" s="31" t="n">
        <f aca="false">IF($B7687&lt;&gt;'設定（最初に1回）'!$C$4,N(U7686),IF(COUNTIFS(①今日の在庫を貼る!$B$6:$B$10005,$B7687,①今日の在庫を貼る!$I$6:$I$10005,$I7687)&gt;0,N(U7686),N(U7686)+1))</f>
        <v>2</v>
      </c>
    </row>
    <row r="7688" customFormat="false" ht="15" hidden="false" customHeight="false" outlineLevel="0" collapsed="false">
      <c r="B7688" s="53"/>
      <c r="I7688" s="53"/>
      <c r="U7688" s="31" t="n">
        <f aca="false">IF($B7688&lt;&gt;'設定（最初に1回）'!$C$4,N(U7687),IF(COUNTIFS(①今日の在庫を貼る!$B$6:$B$10005,$B7688,①今日の在庫を貼る!$I$6:$I$10005,$I7688)&gt;0,N(U7687),N(U7687)+1))</f>
        <v>2</v>
      </c>
    </row>
    <row r="7689" customFormat="false" ht="15" hidden="false" customHeight="false" outlineLevel="0" collapsed="false">
      <c r="B7689" s="53"/>
      <c r="I7689" s="53"/>
      <c r="U7689" s="31" t="n">
        <f aca="false">IF($B7689&lt;&gt;'設定（最初に1回）'!$C$4,N(U7688),IF(COUNTIFS(①今日の在庫を貼る!$B$6:$B$10005,$B7689,①今日の在庫を貼る!$I$6:$I$10005,$I7689)&gt;0,N(U7688),N(U7688)+1))</f>
        <v>2</v>
      </c>
    </row>
    <row r="7690" customFormat="false" ht="15" hidden="false" customHeight="false" outlineLevel="0" collapsed="false">
      <c r="B7690" s="53"/>
      <c r="I7690" s="53"/>
      <c r="U7690" s="31" t="n">
        <f aca="false">IF($B7690&lt;&gt;'設定（最初に1回）'!$C$4,N(U7689),IF(COUNTIFS(①今日の在庫を貼る!$B$6:$B$10005,$B7690,①今日の在庫を貼る!$I$6:$I$10005,$I7690)&gt;0,N(U7689),N(U7689)+1))</f>
        <v>2</v>
      </c>
    </row>
    <row r="7691" customFormat="false" ht="15" hidden="false" customHeight="false" outlineLevel="0" collapsed="false">
      <c r="B7691" s="53"/>
      <c r="I7691" s="53"/>
      <c r="U7691" s="31" t="n">
        <f aca="false">IF($B7691&lt;&gt;'設定（最初に1回）'!$C$4,N(U7690),IF(COUNTIFS(①今日の在庫を貼る!$B$6:$B$10005,$B7691,①今日の在庫を貼る!$I$6:$I$10005,$I7691)&gt;0,N(U7690),N(U7690)+1))</f>
        <v>2</v>
      </c>
    </row>
    <row r="7692" customFormat="false" ht="15" hidden="false" customHeight="false" outlineLevel="0" collapsed="false">
      <c r="B7692" s="53"/>
      <c r="I7692" s="53"/>
      <c r="U7692" s="31" t="n">
        <f aca="false">IF($B7692&lt;&gt;'設定（最初に1回）'!$C$4,N(U7691),IF(COUNTIFS(①今日の在庫を貼る!$B$6:$B$10005,$B7692,①今日の在庫を貼る!$I$6:$I$10005,$I7692)&gt;0,N(U7691),N(U7691)+1))</f>
        <v>2</v>
      </c>
    </row>
    <row r="7693" customFormat="false" ht="15" hidden="false" customHeight="false" outlineLevel="0" collapsed="false">
      <c r="B7693" s="53"/>
      <c r="I7693" s="53"/>
      <c r="U7693" s="31" t="n">
        <f aca="false">IF($B7693&lt;&gt;'設定（最初に1回）'!$C$4,N(U7692),IF(COUNTIFS(①今日の在庫を貼る!$B$6:$B$10005,$B7693,①今日の在庫を貼る!$I$6:$I$10005,$I7693)&gt;0,N(U7692),N(U7692)+1))</f>
        <v>2</v>
      </c>
    </row>
    <row r="7694" customFormat="false" ht="15" hidden="false" customHeight="false" outlineLevel="0" collapsed="false">
      <c r="B7694" s="53"/>
      <c r="I7694" s="53"/>
      <c r="U7694" s="31" t="n">
        <f aca="false">IF($B7694&lt;&gt;'設定（最初に1回）'!$C$4,N(U7693),IF(COUNTIFS(①今日の在庫を貼る!$B$6:$B$10005,$B7694,①今日の在庫を貼る!$I$6:$I$10005,$I7694)&gt;0,N(U7693),N(U7693)+1))</f>
        <v>2</v>
      </c>
    </row>
    <row r="7695" customFormat="false" ht="15" hidden="false" customHeight="false" outlineLevel="0" collapsed="false">
      <c r="B7695" s="53"/>
      <c r="I7695" s="53"/>
      <c r="U7695" s="31" t="n">
        <f aca="false">IF($B7695&lt;&gt;'設定（最初に1回）'!$C$4,N(U7694),IF(COUNTIFS(①今日の在庫を貼る!$B$6:$B$10005,$B7695,①今日の在庫を貼る!$I$6:$I$10005,$I7695)&gt;0,N(U7694),N(U7694)+1))</f>
        <v>2</v>
      </c>
    </row>
    <row r="7696" customFormat="false" ht="15" hidden="false" customHeight="false" outlineLevel="0" collapsed="false">
      <c r="B7696" s="53"/>
      <c r="I7696" s="53"/>
      <c r="U7696" s="31" t="n">
        <f aca="false">IF($B7696&lt;&gt;'設定（最初に1回）'!$C$4,N(U7695),IF(COUNTIFS(①今日の在庫を貼る!$B$6:$B$10005,$B7696,①今日の在庫を貼る!$I$6:$I$10005,$I7696)&gt;0,N(U7695),N(U7695)+1))</f>
        <v>2</v>
      </c>
    </row>
    <row r="7697" customFormat="false" ht="15" hidden="false" customHeight="false" outlineLevel="0" collapsed="false">
      <c r="B7697" s="53"/>
      <c r="I7697" s="53"/>
      <c r="U7697" s="31" t="n">
        <f aca="false">IF($B7697&lt;&gt;'設定（最初に1回）'!$C$4,N(U7696),IF(COUNTIFS(①今日の在庫を貼る!$B$6:$B$10005,$B7697,①今日の在庫を貼る!$I$6:$I$10005,$I7697)&gt;0,N(U7696),N(U7696)+1))</f>
        <v>2</v>
      </c>
    </row>
    <row r="7698" customFormat="false" ht="15" hidden="false" customHeight="false" outlineLevel="0" collapsed="false">
      <c r="B7698" s="53"/>
      <c r="I7698" s="53"/>
      <c r="U7698" s="31" t="n">
        <f aca="false">IF($B7698&lt;&gt;'設定（最初に1回）'!$C$4,N(U7697),IF(COUNTIFS(①今日の在庫を貼る!$B$6:$B$10005,$B7698,①今日の在庫を貼る!$I$6:$I$10005,$I7698)&gt;0,N(U7697),N(U7697)+1))</f>
        <v>2</v>
      </c>
    </row>
    <row r="7699" customFormat="false" ht="15" hidden="false" customHeight="false" outlineLevel="0" collapsed="false">
      <c r="B7699" s="53"/>
      <c r="I7699" s="53"/>
      <c r="U7699" s="31" t="n">
        <f aca="false">IF($B7699&lt;&gt;'設定（最初に1回）'!$C$4,N(U7698),IF(COUNTIFS(①今日の在庫を貼る!$B$6:$B$10005,$B7699,①今日の在庫を貼る!$I$6:$I$10005,$I7699)&gt;0,N(U7698),N(U7698)+1))</f>
        <v>2</v>
      </c>
    </row>
    <row r="7700" customFormat="false" ht="15" hidden="false" customHeight="false" outlineLevel="0" collapsed="false">
      <c r="B7700" s="53"/>
      <c r="I7700" s="53"/>
      <c r="U7700" s="31" t="n">
        <f aca="false">IF($B7700&lt;&gt;'設定（最初に1回）'!$C$4,N(U7699),IF(COUNTIFS(①今日の在庫を貼る!$B$6:$B$10005,$B7700,①今日の在庫を貼る!$I$6:$I$10005,$I7700)&gt;0,N(U7699),N(U7699)+1))</f>
        <v>2</v>
      </c>
    </row>
    <row r="7701" customFormat="false" ht="15" hidden="false" customHeight="false" outlineLevel="0" collapsed="false">
      <c r="B7701" s="53"/>
      <c r="I7701" s="53"/>
      <c r="U7701" s="31" t="n">
        <f aca="false">IF($B7701&lt;&gt;'設定（最初に1回）'!$C$4,N(U7700),IF(COUNTIFS(①今日の在庫を貼る!$B$6:$B$10005,$B7701,①今日の在庫を貼る!$I$6:$I$10005,$I7701)&gt;0,N(U7700),N(U7700)+1))</f>
        <v>2</v>
      </c>
    </row>
    <row r="7702" customFormat="false" ht="15" hidden="false" customHeight="false" outlineLevel="0" collapsed="false">
      <c r="B7702" s="53"/>
      <c r="I7702" s="53"/>
      <c r="U7702" s="31" t="n">
        <f aca="false">IF($B7702&lt;&gt;'設定（最初に1回）'!$C$4,N(U7701),IF(COUNTIFS(①今日の在庫を貼る!$B$6:$B$10005,$B7702,①今日の在庫を貼る!$I$6:$I$10005,$I7702)&gt;0,N(U7701),N(U7701)+1))</f>
        <v>2</v>
      </c>
    </row>
    <row r="7703" customFormat="false" ht="15" hidden="false" customHeight="false" outlineLevel="0" collapsed="false">
      <c r="B7703" s="53"/>
      <c r="I7703" s="53"/>
      <c r="U7703" s="31" t="n">
        <f aca="false">IF($B7703&lt;&gt;'設定（最初に1回）'!$C$4,N(U7702),IF(COUNTIFS(①今日の在庫を貼る!$B$6:$B$10005,$B7703,①今日の在庫を貼る!$I$6:$I$10005,$I7703)&gt;0,N(U7702),N(U7702)+1))</f>
        <v>2</v>
      </c>
    </row>
    <row r="7704" customFormat="false" ht="15" hidden="false" customHeight="false" outlineLevel="0" collapsed="false">
      <c r="B7704" s="53"/>
      <c r="I7704" s="53"/>
      <c r="U7704" s="31" t="n">
        <f aca="false">IF($B7704&lt;&gt;'設定（最初に1回）'!$C$4,N(U7703),IF(COUNTIFS(①今日の在庫を貼る!$B$6:$B$10005,$B7704,①今日の在庫を貼る!$I$6:$I$10005,$I7704)&gt;0,N(U7703),N(U7703)+1))</f>
        <v>2</v>
      </c>
    </row>
    <row r="7705" customFormat="false" ht="15" hidden="false" customHeight="false" outlineLevel="0" collapsed="false">
      <c r="B7705" s="53"/>
      <c r="I7705" s="53"/>
      <c r="U7705" s="31" t="n">
        <f aca="false">IF($B7705&lt;&gt;'設定（最初に1回）'!$C$4,N(U7704),IF(COUNTIFS(①今日の在庫を貼る!$B$6:$B$10005,$B7705,①今日の在庫を貼る!$I$6:$I$10005,$I7705)&gt;0,N(U7704),N(U7704)+1))</f>
        <v>2</v>
      </c>
    </row>
    <row r="7706" customFormat="false" ht="15" hidden="false" customHeight="false" outlineLevel="0" collapsed="false">
      <c r="B7706" s="53"/>
      <c r="I7706" s="53"/>
      <c r="U7706" s="31" t="n">
        <f aca="false">IF($B7706&lt;&gt;'設定（最初に1回）'!$C$4,N(U7705),IF(COUNTIFS(①今日の在庫を貼る!$B$6:$B$10005,$B7706,①今日の在庫を貼る!$I$6:$I$10005,$I7706)&gt;0,N(U7705),N(U7705)+1))</f>
        <v>2</v>
      </c>
    </row>
    <row r="7707" customFormat="false" ht="15" hidden="false" customHeight="false" outlineLevel="0" collapsed="false">
      <c r="B7707" s="53"/>
      <c r="I7707" s="53"/>
      <c r="U7707" s="31" t="n">
        <f aca="false">IF($B7707&lt;&gt;'設定（最初に1回）'!$C$4,N(U7706),IF(COUNTIFS(①今日の在庫を貼る!$B$6:$B$10005,$B7707,①今日の在庫を貼る!$I$6:$I$10005,$I7707)&gt;0,N(U7706),N(U7706)+1))</f>
        <v>2</v>
      </c>
    </row>
    <row r="7708" customFormat="false" ht="15" hidden="false" customHeight="false" outlineLevel="0" collapsed="false">
      <c r="B7708" s="53"/>
      <c r="I7708" s="53"/>
      <c r="U7708" s="31" t="n">
        <f aca="false">IF($B7708&lt;&gt;'設定（最初に1回）'!$C$4,N(U7707),IF(COUNTIFS(①今日の在庫を貼る!$B$6:$B$10005,$B7708,①今日の在庫を貼る!$I$6:$I$10005,$I7708)&gt;0,N(U7707),N(U7707)+1))</f>
        <v>2</v>
      </c>
    </row>
    <row r="7709" customFormat="false" ht="15" hidden="false" customHeight="false" outlineLevel="0" collapsed="false">
      <c r="B7709" s="53"/>
      <c r="I7709" s="53"/>
      <c r="U7709" s="31" t="n">
        <f aca="false">IF($B7709&lt;&gt;'設定（最初に1回）'!$C$4,N(U7708),IF(COUNTIFS(①今日の在庫を貼る!$B$6:$B$10005,$B7709,①今日の在庫を貼る!$I$6:$I$10005,$I7709)&gt;0,N(U7708),N(U7708)+1))</f>
        <v>2</v>
      </c>
    </row>
    <row r="7710" customFormat="false" ht="15" hidden="false" customHeight="false" outlineLevel="0" collapsed="false">
      <c r="B7710" s="53"/>
      <c r="I7710" s="53"/>
      <c r="U7710" s="31" t="n">
        <f aca="false">IF($B7710&lt;&gt;'設定（最初に1回）'!$C$4,N(U7709),IF(COUNTIFS(①今日の在庫を貼る!$B$6:$B$10005,$B7710,①今日の在庫を貼る!$I$6:$I$10005,$I7710)&gt;0,N(U7709),N(U7709)+1))</f>
        <v>2</v>
      </c>
    </row>
    <row r="7711" customFormat="false" ht="15" hidden="false" customHeight="false" outlineLevel="0" collapsed="false">
      <c r="B7711" s="53"/>
      <c r="I7711" s="53"/>
      <c r="U7711" s="31" t="n">
        <f aca="false">IF($B7711&lt;&gt;'設定（最初に1回）'!$C$4,N(U7710),IF(COUNTIFS(①今日の在庫を貼る!$B$6:$B$10005,$B7711,①今日の在庫を貼る!$I$6:$I$10005,$I7711)&gt;0,N(U7710),N(U7710)+1))</f>
        <v>2</v>
      </c>
    </row>
    <row r="7712" customFormat="false" ht="15" hidden="false" customHeight="false" outlineLevel="0" collapsed="false">
      <c r="B7712" s="53"/>
      <c r="I7712" s="53"/>
      <c r="U7712" s="31" t="n">
        <f aca="false">IF($B7712&lt;&gt;'設定（最初に1回）'!$C$4,N(U7711),IF(COUNTIFS(①今日の在庫を貼る!$B$6:$B$10005,$B7712,①今日の在庫を貼る!$I$6:$I$10005,$I7712)&gt;0,N(U7711),N(U7711)+1))</f>
        <v>2</v>
      </c>
    </row>
    <row r="7713" customFormat="false" ht="15" hidden="false" customHeight="false" outlineLevel="0" collapsed="false">
      <c r="B7713" s="53"/>
      <c r="I7713" s="53"/>
      <c r="U7713" s="31" t="n">
        <f aca="false">IF($B7713&lt;&gt;'設定（最初に1回）'!$C$4,N(U7712),IF(COUNTIFS(①今日の在庫を貼る!$B$6:$B$10005,$B7713,①今日の在庫を貼る!$I$6:$I$10005,$I7713)&gt;0,N(U7712),N(U7712)+1))</f>
        <v>2</v>
      </c>
    </row>
    <row r="7714" customFormat="false" ht="15" hidden="false" customHeight="false" outlineLevel="0" collapsed="false">
      <c r="B7714" s="53"/>
      <c r="I7714" s="53"/>
      <c r="U7714" s="31" t="n">
        <f aca="false">IF($B7714&lt;&gt;'設定（最初に1回）'!$C$4,N(U7713),IF(COUNTIFS(①今日の在庫を貼る!$B$6:$B$10005,$B7714,①今日の在庫を貼る!$I$6:$I$10005,$I7714)&gt;0,N(U7713),N(U7713)+1))</f>
        <v>2</v>
      </c>
    </row>
    <row r="7715" customFormat="false" ht="15" hidden="false" customHeight="false" outlineLevel="0" collapsed="false">
      <c r="B7715" s="53"/>
      <c r="I7715" s="53"/>
      <c r="U7715" s="31" t="n">
        <f aca="false">IF($B7715&lt;&gt;'設定（最初に1回）'!$C$4,N(U7714),IF(COUNTIFS(①今日の在庫を貼る!$B$6:$B$10005,$B7715,①今日の在庫を貼る!$I$6:$I$10005,$I7715)&gt;0,N(U7714),N(U7714)+1))</f>
        <v>2</v>
      </c>
    </row>
    <row r="7716" customFormat="false" ht="15" hidden="false" customHeight="false" outlineLevel="0" collapsed="false">
      <c r="B7716" s="53"/>
      <c r="I7716" s="53"/>
      <c r="U7716" s="31" t="n">
        <f aca="false">IF($B7716&lt;&gt;'設定（最初に1回）'!$C$4,N(U7715),IF(COUNTIFS(①今日の在庫を貼る!$B$6:$B$10005,$B7716,①今日の在庫を貼る!$I$6:$I$10005,$I7716)&gt;0,N(U7715),N(U7715)+1))</f>
        <v>2</v>
      </c>
    </row>
    <row r="7717" customFormat="false" ht="15" hidden="false" customHeight="false" outlineLevel="0" collapsed="false">
      <c r="B7717" s="53"/>
      <c r="I7717" s="53"/>
      <c r="U7717" s="31" t="n">
        <f aca="false">IF($B7717&lt;&gt;'設定（最初に1回）'!$C$4,N(U7716),IF(COUNTIFS(①今日の在庫を貼る!$B$6:$B$10005,$B7717,①今日の在庫を貼る!$I$6:$I$10005,$I7717)&gt;0,N(U7716),N(U7716)+1))</f>
        <v>2</v>
      </c>
    </row>
    <row r="7718" customFormat="false" ht="15" hidden="false" customHeight="false" outlineLevel="0" collapsed="false">
      <c r="B7718" s="53"/>
      <c r="I7718" s="53"/>
      <c r="U7718" s="31" t="n">
        <f aca="false">IF($B7718&lt;&gt;'設定（最初に1回）'!$C$4,N(U7717),IF(COUNTIFS(①今日の在庫を貼る!$B$6:$B$10005,$B7718,①今日の在庫を貼る!$I$6:$I$10005,$I7718)&gt;0,N(U7717),N(U7717)+1))</f>
        <v>2</v>
      </c>
    </row>
    <row r="7719" customFormat="false" ht="15" hidden="false" customHeight="false" outlineLevel="0" collapsed="false">
      <c r="B7719" s="53"/>
      <c r="I7719" s="53"/>
      <c r="U7719" s="31" t="n">
        <f aca="false">IF($B7719&lt;&gt;'設定（最初に1回）'!$C$4,N(U7718),IF(COUNTIFS(①今日の在庫を貼る!$B$6:$B$10005,$B7719,①今日の在庫を貼る!$I$6:$I$10005,$I7719)&gt;0,N(U7718),N(U7718)+1))</f>
        <v>2</v>
      </c>
    </row>
    <row r="7720" customFormat="false" ht="15" hidden="false" customHeight="false" outlineLevel="0" collapsed="false">
      <c r="B7720" s="53"/>
      <c r="I7720" s="53"/>
      <c r="U7720" s="31" t="n">
        <f aca="false">IF($B7720&lt;&gt;'設定（最初に1回）'!$C$4,N(U7719),IF(COUNTIFS(①今日の在庫を貼る!$B$6:$B$10005,$B7720,①今日の在庫を貼る!$I$6:$I$10005,$I7720)&gt;0,N(U7719),N(U7719)+1))</f>
        <v>2</v>
      </c>
    </row>
    <row r="7721" customFormat="false" ht="15" hidden="false" customHeight="false" outlineLevel="0" collapsed="false">
      <c r="B7721" s="53"/>
      <c r="I7721" s="53"/>
      <c r="U7721" s="31" t="n">
        <f aca="false">IF($B7721&lt;&gt;'設定（最初に1回）'!$C$4,N(U7720),IF(COUNTIFS(①今日の在庫を貼る!$B$6:$B$10005,$B7721,①今日の在庫を貼る!$I$6:$I$10005,$I7721)&gt;0,N(U7720),N(U7720)+1))</f>
        <v>2</v>
      </c>
    </row>
    <row r="7722" customFormat="false" ht="15" hidden="false" customHeight="false" outlineLevel="0" collapsed="false">
      <c r="B7722" s="53"/>
      <c r="I7722" s="53"/>
      <c r="U7722" s="31" t="n">
        <f aca="false">IF($B7722&lt;&gt;'設定（最初に1回）'!$C$4,N(U7721),IF(COUNTIFS(①今日の在庫を貼る!$B$6:$B$10005,$B7722,①今日の在庫を貼る!$I$6:$I$10005,$I7722)&gt;0,N(U7721),N(U7721)+1))</f>
        <v>2</v>
      </c>
    </row>
    <row r="7723" customFormat="false" ht="15" hidden="false" customHeight="false" outlineLevel="0" collapsed="false">
      <c r="B7723" s="53"/>
      <c r="I7723" s="53"/>
      <c r="U7723" s="31" t="n">
        <f aca="false">IF($B7723&lt;&gt;'設定（最初に1回）'!$C$4,N(U7722),IF(COUNTIFS(①今日の在庫を貼る!$B$6:$B$10005,$B7723,①今日の在庫を貼る!$I$6:$I$10005,$I7723)&gt;0,N(U7722),N(U7722)+1))</f>
        <v>2</v>
      </c>
    </row>
    <row r="7724" customFormat="false" ht="15" hidden="false" customHeight="false" outlineLevel="0" collapsed="false">
      <c r="B7724" s="53"/>
      <c r="I7724" s="53"/>
      <c r="U7724" s="31" t="n">
        <f aca="false">IF($B7724&lt;&gt;'設定（最初に1回）'!$C$4,N(U7723),IF(COUNTIFS(①今日の在庫を貼る!$B$6:$B$10005,$B7724,①今日の在庫を貼る!$I$6:$I$10005,$I7724)&gt;0,N(U7723),N(U7723)+1))</f>
        <v>2</v>
      </c>
    </row>
    <row r="7725" customFormat="false" ht="15" hidden="false" customHeight="false" outlineLevel="0" collapsed="false">
      <c r="B7725" s="53"/>
      <c r="I7725" s="53"/>
      <c r="U7725" s="31" t="n">
        <f aca="false">IF($B7725&lt;&gt;'設定（最初に1回）'!$C$4,N(U7724),IF(COUNTIFS(①今日の在庫を貼る!$B$6:$B$10005,$B7725,①今日の在庫を貼る!$I$6:$I$10005,$I7725)&gt;0,N(U7724),N(U7724)+1))</f>
        <v>2</v>
      </c>
    </row>
    <row r="7726" customFormat="false" ht="15" hidden="false" customHeight="false" outlineLevel="0" collapsed="false">
      <c r="B7726" s="53"/>
      <c r="I7726" s="53"/>
      <c r="U7726" s="31" t="n">
        <f aca="false">IF($B7726&lt;&gt;'設定（最初に1回）'!$C$4,N(U7725),IF(COUNTIFS(①今日の在庫を貼る!$B$6:$B$10005,$B7726,①今日の在庫を貼る!$I$6:$I$10005,$I7726)&gt;0,N(U7725),N(U7725)+1))</f>
        <v>2</v>
      </c>
    </row>
    <row r="7727" customFormat="false" ht="15" hidden="false" customHeight="false" outlineLevel="0" collapsed="false">
      <c r="B7727" s="53"/>
      <c r="I7727" s="53"/>
      <c r="U7727" s="31" t="n">
        <f aca="false">IF($B7727&lt;&gt;'設定（最初に1回）'!$C$4,N(U7726),IF(COUNTIFS(①今日の在庫を貼る!$B$6:$B$10005,$B7727,①今日の在庫を貼る!$I$6:$I$10005,$I7727)&gt;0,N(U7726),N(U7726)+1))</f>
        <v>2</v>
      </c>
    </row>
    <row r="7728" customFormat="false" ht="15" hidden="false" customHeight="false" outlineLevel="0" collapsed="false">
      <c r="B7728" s="53"/>
      <c r="I7728" s="53"/>
      <c r="U7728" s="31" t="n">
        <f aca="false">IF($B7728&lt;&gt;'設定（最初に1回）'!$C$4,N(U7727),IF(COUNTIFS(①今日の在庫を貼る!$B$6:$B$10005,$B7728,①今日の在庫を貼る!$I$6:$I$10005,$I7728)&gt;0,N(U7727),N(U7727)+1))</f>
        <v>2</v>
      </c>
    </row>
    <row r="7729" customFormat="false" ht="15" hidden="false" customHeight="false" outlineLevel="0" collapsed="false">
      <c r="B7729" s="53"/>
      <c r="I7729" s="53"/>
      <c r="U7729" s="31" t="n">
        <f aca="false">IF($B7729&lt;&gt;'設定（最初に1回）'!$C$4,N(U7728),IF(COUNTIFS(①今日の在庫を貼る!$B$6:$B$10005,$B7729,①今日の在庫を貼る!$I$6:$I$10005,$I7729)&gt;0,N(U7728),N(U7728)+1))</f>
        <v>2</v>
      </c>
    </row>
    <row r="7730" customFormat="false" ht="15" hidden="false" customHeight="false" outlineLevel="0" collapsed="false">
      <c r="B7730" s="53"/>
      <c r="I7730" s="53"/>
      <c r="U7730" s="31" t="n">
        <f aca="false">IF($B7730&lt;&gt;'設定（最初に1回）'!$C$4,N(U7729),IF(COUNTIFS(①今日の在庫を貼る!$B$6:$B$10005,$B7730,①今日の在庫を貼る!$I$6:$I$10005,$I7730)&gt;0,N(U7729),N(U7729)+1))</f>
        <v>2</v>
      </c>
    </row>
    <row r="7731" customFormat="false" ht="15" hidden="false" customHeight="false" outlineLevel="0" collapsed="false">
      <c r="B7731" s="53"/>
      <c r="I7731" s="53"/>
      <c r="U7731" s="31" t="n">
        <f aca="false">IF($B7731&lt;&gt;'設定（最初に1回）'!$C$4,N(U7730),IF(COUNTIFS(①今日の在庫を貼る!$B$6:$B$10005,$B7731,①今日の在庫を貼る!$I$6:$I$10005,$I7731)&gt;0,N(U7730),N(U7730)+1))</f>
        <v>2</v>
      </c>
    </row>
    <row r="7732" customFormat="false" ht="15" hidden="false" customHeight="false" outlineLevel="0" collapsed="false">
      <c r="B7732" s="53"/>
      <c r="I7732" s="53"/>
      <c r="U7732" s="31" t="n">
        <f aca="false">IF($B7732&lt;&gt;'設定（最初に1回）'!$C$4,N(U7731),IF(COUNTIFS(①今日の在庫を貼る!$B$6:$B$10005,$B7732,①今日の在庫を貼る!$I$6:$I$10005,$I7732)&gt;0,N(U7731),N(U7731)+1))</f>
        <v>2</v>
      </c>
    </row>
    <row r="7733" customFormat="false" ht="15" hidden="false" customHeight="false" outlineLevel="0" collapsed="false">
      <c r="B7733" s="53"/>
      <c r="I7733" s="53"/>
      <c r="U7733" s="31" t="n">
        <f aca="false">IF($B7733&lt;&gt;'設定（最初に1回）'!$C$4,N(U7732),IF(COUNTIFS(①今日の在庫を貼る!$B$6:$B$10005,$B7733,①今日の在庫を貼る!$I$6:$I$10005,$I7733)&gt;0,N(U7732),N(U7732)+1))</f>
        <v>2</v>
      </c>
    </row>
    <row r="7734" customFormat="false" ht="15" hidden="false" customHeight="false" outlineLevel="0" collapsed="false">
      <c r="B7734" s="53"/>
      <c r="I7734" s="53"/>
      <c r="U7734" s="31" t="n">
        <f aca="false">IF($B7734&lt;&gt;'設定（最初に1回）'!$C$4,N(U7733),IF(COUNTIFS(①今日の在庫を貼る!$B$6:$B$10005,$B7734,①今日の在庫を貼る!$I$6:$I$10005,$I7734)&gt;0,N(U7733),N(U7733)+1))</f>
        <v>2</v>
      </c>
    </row>
    <row r="7735" customFormat="false" ht="15" hidden="false" customHeight="false" outlineLevel="0" collapsed="false">
      <c r="B7735" s="53"/>
      <c r="I7735" s="53"/>
      <c r="U7735" s="31" t="n">
        <f aca="false">IF($B7735&lt;&gt;'設定（最初に1回）'!$C$4,N(U7734),IF(COUNTIFS(①今日の在庫を貼る!$B$6:$B$10005,$B7735,①今日の在庫を貼る!$I$6:$I$10005,$I7735)&gt;0,N(U7734),N(U7734)+1))</f>
        <v>2</v>
      </c>
    </row>
    <row r="7736" customFormat="false" ht="15" hidden="false" customHeight="false" outlineLevel="0" collapsed="false">
      <c r="B7736" s="53"/>
      <c r="I7736" s="53"/>
      <c r="U7736" s="31" t="n">
        <f aca="false">IF($B7736&lt;&gt;'設定（最初に1回）'!$C$4,N(U7735),IF(COUNTIFS(①今日の在庫を貼る!$B$6:$B$10005,$B7736,①今日の在庫を貼る!$I$6:$I$10005,$I7736)&gt;0,N(U7735),N(U7735)+1))</f>
        <v>2</v>
      </c>
    </row>
    <row r="7737" customFormat="false" ht="15" hidden="false" customHeight="false" outlineLevel="0" collapsed="false">
      <c r="B7737" s="53"/>
      <c r="I7737" s="53"/>
      <c r="U7737" s="31" t="n">
        <f aca="false">IF($B7737&lt;&gt;'設定（最初に1回）'!$C$4,N(U7736),IF(COUNTIFS(①今日の在庫を貼る!$B$6:$B$10005,$B7737,①今日の在庫を貼る!$I$6:$I$10005,$I7737)&gt;0,N(U7736),N(U7736)+1))</f>
        <v>2</v>
      </c>
    </row>
    <row r="7738" customFormat="false" ht="15" hidden="false" customHeight="false" outlineLevel="0" collapsed="false">
      <c r="B7738" s="53"/>
      <c r="I7738" s="53"/>
      <c r="U7738" s="31" t="n">
        <f aca="false">IF($B7738&lt;&gt;'設定（最初に1回）'!$C$4,N(U7737),IF(COUNTIFS(①今日の在庫を貼る!$B$6:$B$10005,$B7738,①今日の在庫を貼る!$I$6:$I$10005,$I7738)&gt;0,N(U7737),N(U7737)+1))</f>
        <v>2</v>
      </c>
    </row>
    <row r="7739" customFormat="false" ht="15" hidden="false" customHeight="false" outlineLevel="0" collapsed="false">
      <c r="B7739" s="53"/>
      <c r="I7739" s="53"/>
      <c r="U7739" s="31" t="n">
        <f aca="false">IF($B7739&lt;&gt;'設定（最初に1回）'!$C$4,N(U7738),IF(COUNTIFS(①今日の在庫を貼る!$B$6:$B$10005,$B7739,①今日の在庫を貼る!$I$6:$I$10005,$I7739)&gt;0,N(U7738),N(U7738)+1))</f>
        <v>2</v>
      </c>
    </row>
    <row r="7740" customFormat="false" ht="15" hidden="false" customHeight="false" outlineLevel="0" collapsed="false">
      <c r="B7740" s="53"/>
      <c r="I7740" s="53"/>
      <c r="U7740" s="31" t="n">
        <f aca="false">IF($B7740&lt;&gt;'設定（最初に1回）'!$C$4,N(U7739),IF(COUNTIFS(①今日の在庫を貼る!$B$6:$B$10005,$B7740,①今日の在庫を貼る!$I$6:$I$10005,$I7740)&gt;0,N(U7739),N(U7739)+1))</f>
        <v>2</v>
      </c>
    </row>
    <row r="7741" customFormat="false" ht="15" hidden="false" customHeight="false" outlineLevel="0" collapsed="false">
      <c r="B7741" s="53"/>
      <c r="I7741" s="53"/>
      <c r="U7741" s="31" t="n">
        <f aca="false">IF($B7741&lt;&gt;'設定（最初に1回）'!$C$4,N(U7740),IF(COUNTIFS(①今日の在庫を貼る!$B$6:$B$10005,$B7741,①今日の在庫を貼る!$I$6:$I$10005,$I7741)&gt;0,N(U7740),N(U7740)+1))</f>
        <v>2</v>
      </c>
    </row>
    <row r="7742" customFormat="false" ht="15" hidden="false" customHeight="false" outlineLevel="0" collapsed="false">
      <c r="B7742" s="53"/>
      <c r="I7742" s="53"/>
      <c r="U7742" s="31" t="n">
        <f aca="false">IF($B7742&lt;&gt;'設定（最初に1回）'!$C$4,N(U7741),IF(COUNTIFS(①今日の在庫を貼る!$B$6:$B$10005,$B7742,①今日の在庫を貼る!$I$6:$I$10005,$I7742)&gt;0,N(U7741),N(U7741)+1))</f>
        <v>2</v>
      </c>
    </row>
    <row r="7743" customFormat="false" ht="15" hidden="false" customHeight="false" outlineLevel="0" collapsed="false">
      <c r="B7743" s="53"/>
      <c r="I7743" s="53"/>
      <c r="U7743" s="31" t="n">
        <f aca="false">IF($B7743&lt;&gt;'設定（最初に1回）'!$C$4,N(U7742),IF(COUNTIFS(①今日の在庫を貼る!$B$6:$B$10005,$B7743,①今日の在庫を貼る!$I$6:$I$10005,$I7743)&gt;0,N(U7742),N(U7742)+1))</f>
        <v>2</v>
      </c>
    </row>
    <row r="7744" customFormat="false" ht="15" hidden="false" customHeight="false" outlineLevel="0" collapsed="false">
      <c r="B7744" s="53"/>
      <c r="I7744" s="53"/>
      <c r="U7744" s="31" t="n">
        <f aca="false">IF($B7744&lt;&gt;'設定（最初に1回）'!$C$4,N(U7743),IF(COUNTIFS(①今日の在庫を貼る!$B$6:$B$10005,$B7744,①今日の在庫を貼る!$I$6:$I$10005,$I7744)&gt;0,N(U7743),N(U7743)+1))</f>
        <v>2</v>
      </c>
    </row>
    <row r="7745" customFormat="false" ht="15" hidden="false" customHeight="false" outlineLevel="0" collapsed="false">
      <c r="B7745" s="53"/>
      <c r="I7745" s="53"/>
      <c r="U7745" s="31" t="n">
        <f aca="false">IF($B7745&lt;&gt;'設定（最初に1回）'!$C$4,N(U7744),IF(COUNTIFS(①今日の在庫を貼る!$B$6:$B$10005,$B7745,①今日の在庫を貼る!$I$6:$I$10005,$I7745)&gt;0,N(U7744),N(U7744)+1))</f>
        <v>2</v>
      </c>
    </row>
    <row r="7746" customFormat="false" ht="15" hidden="false" customHeight="false" outlineLevel="0" collapsed="false">
      <c r="B7746" s="53"/>
      <c r="I7746" s="53"/>
      <c r="U7746" s="31" t="n">
        <f aca="false">IF($B7746&lt;&gt;'設定（最初に1回）'!$C$4,N(U7745),IF(COUNTIFS(①今日の在庫を貼る!$B$6:$B$10005,$B7746,①今日の在庫を貼る!$I$6:$I$10005,$I7746)&gt;0,N(U7745),N(U7745)+1))</f>
        <v>2</v>
      </c>
    </row>
    <row r="7747" customFormat="false" ht="15" hidden="false" customHeight="false" outlineLevel="0" collapsed="false">
      <c r="B7747" s="53"/>
      <c r="I7747" s="53"/>
      <c r="U7747" s="31" t="n">
        <f aca="false">IF($B7747&lt;&gt;'設定（最初に1回）'!$C$4,N(U7746),IF(COUNTIFS(①今日の在庫を貼る!$B$6:$B$10005,$B7747,①今日の在庫を貼る!$I$6:$I$10005,$I7747)&gt;0,N(U7746),N(U7746)+1))</f>
        <v>2</v>
      </c>
    </row>
    <row r="7748" customFormat="false" ht="15" hidden="false" customHeight="false" outlineLevel="0" collapsed="false">
      <c r="B7748" s="53"/>
      <c r="I7748" s="53"/>
      <c r="U7748" s="31" t="n">
        <f aca="false">IF($B7748&lt;&gt;'設定（最初に1回）'!$C$4,N(U7747),IF(COUNTIFS(①今日の在庫を貼る!$B$6:$B$10005,$B7748,①今日の在庫を貼る!$I$6:$I$10005,$I7748)&gt;0,N(U7747),N(U7747)+1))</f>
        <v>2</v>
      </c>
    </row>
    <row r="7749" customFormat="false" ht="15" hidden="false" customHeight="false" outlineLevel="0" collapsed="false">
      <c r="B7749" s="53"/>
      <c r="I7749" s="53"/>
      <c r="U7749" s="31" t="n">
        <f aca="false">IF($B7749&lt;&gt;'設定（最初に1回）'!$C$4,N(U7748),IF(COUNTIFS(①今日の在庫を貼る!$B$6:$B$10005,$B7749,①今日の在庫を貼る!$I$6:$I$10005,$I7749)&gt;0,N(U7748),N(U7748)+1))</f>
        <v>2</v>
      </c>
    </row>
    <row r="7750" customFormat="false" ht="15" hidden="false" customHeight="false" outlineLevel="0" collapsed="false">
      <c r="B7750" s="53"/>
      <c r="I7750" s="53"/>
      <c r="U7750" s="31" t="n">
        <f aca="false">IF($B7750&lt;&gt;'設定（最初に1回）'!$C$4,N(U7749),IF(COUNTIFS(①今日の在庫を貼る!$B$6:$B$10005,$B7750,①今日の在庫を貼る!$I$6:$I$10005,$I7750)&gt;0,N(U7749),N(U7749)+1))</f>
        <v>2</v>
      </c>
    </row>
    <row r="7751" customFormat="false" ht="15" hidden="false" customHeight="false" outlineLevel="0" collapsed="false">
      <c r="B7751" s="53"/>
      <c r="I7751" s="53"/>
      <c r="U7751" s="31" t="n">
        <f aca="false">IF($B7751&lt;&gt;'設定（最初に1回）'!$C$4,N(U7750),IF(COUNTIFS(①今日の在庫を貼る!$B$6:$B$10005,$B7751,①今日の在庫を貼る!$I$6:$I$10005,$I7751)&gt;0,N(U7750),N(U7750)+1))</f>
        <v>2</v>
      </c>
    </row>
    <row r="7752" customFormat="false" ht="15" hidden="false" customHeight="false" outlineLevel="0" collapsed="false">
      <c r="B7752" s="53"/>
      <c r="I7752" s="53"/>
      <c r="U7752" s="31" t="n">
        <f aca="false">IF($B7752&lt;&gt;'設定（最初に1回）'!$C$4,N(U7751),IF(COUNTIFS(①今日の在庫を貼る!$B$6:$B$10005,$B7752,①今日の在庫を貼る!$I$6:$I$10005,$I7752)&gt;0,N(U7751),N(U7751)+1))</f>
        <v>2</v>
      </c>
    </row>
    <row r="7753" customFormat="false" ht="15" hidden="false" customHeight="false" outlineLevel="0" collapsed="false">
      <c r="B7753" s="53"/>
      <c r="I7753" s="53"/>
      <c r="U7753" s="31" t="n">
        <f aca="false">IF($B7753&lt;&gt;'設定（最初に1回）'!$C$4,N(U7752),IF(COUNTIFS(①今日の在庫を貼る!$B$6:$B$10005,$B7753,①今日の在庫を貼る!$I$6:$I$10005,$I7753)&gt;0,N(U7752),N(U7752)+1))</f>
        <v>2</v>
      </c>
    </row>
    <row r="7754" customFormat="false" ht="15" hidden="false" customHeight="false" outlineLevel="0" collapsed="false">
      <c r="B7754" s="53"/>
      <c r="I7754" s="53"/>
      <c r="U7754" s="31" t="n">
        <f aca="false">IF($B7754&lt;&gt;'設定（最初に1回）'!$C$4,N(U7753),IF(COUNTIFS(①今日の在庫を貼る!$B$6:$B$10005,$B7754,①今日の在庫を貼る!$I$6:$I$10005,$I7754)&gt;0,N(U7753),N(U7753)+1))</f>
        <v>2</v>
      </c>
    </row>
    <row r="7755" customFormat="false" ht="15" hidden="false" customHeight="false" outlineLevel="0" collapsed="false">
      <c r="B7755" s="53"/>
      <c r="I7755" s="53"/>
      <c r="U7755" s="31" t="n">
        <f aca="false">IF($B7755&lt;&gt;'設定（最初に1回）'!$C$4,N(U7754),IF(COUNTIFS(①今日の在庫を貼る!$B$6:$B$10005,$B7755,①今日の在庫を貼る!$I$6:$I$10005,$I7755)&gt;0,N(U7754),N(U7754)+1))</f>
        <v>2</v>
      </c>
    </row>
    <row r="7756" customFormat="false" ht="15" hidden="false" customHeight="false" outlineLevel="0" collapsed="false">
      <c r="B7756" s="53"/>
      <c r="I7756" s="53"/>
      <c r="U7756" s="31" t="n">
        <f aca="false">IF($B7756&lt;&gt;'設定（最初に1回）'!$C$4,N(U7755),IF(COUNTIFS(①今日の在庫を貼る!$B$6:$B$10005,$B7756,①今日の在庫を貼る!$I$6:$I$10005,$I7756)&gt;0,N(U7755),N(U7755)+1))</f>
        <v>2</v>
      </c>
    </row>
    <row r="7757" customFormat="false" ht="15" hidden="false" customHeight="false" outlineLevel="0" collapsed="false">
      <c r="B7757" s="53"/>
      <c r="I7757" s="53"/>
      <c r="U7757" s="31" t="n">
        <f aca="false">IF($B7757&lt;&gt;'設定（最初に1回）'!$C$4,N(U7756),IF(COUNTIFS(①今日の在庫を貼る!$B$6:$B$10005,$B7757,①今日の在庫を貼る!$I$6:$I$10005,$I7757)&gt;0,N(U7756),N(U7756)+1))</f>
        <v>2</v>
      </c>
    </row>
    <row r="7758" customFormat="false" ht="15" hidden="false" customHeight="false" outlineLevel="0" collapsed="false">
      <c r="B7758" s="53"/>
      <c r="I7758" s="53"/>
      <c r="U7758" s="31" t="n">
        <f aca="false">IF($B7758&lt;&gt;'設定（最初に1回）'!$C$4,N(U7757),IF(COUNTIFS(①今日の在庫を貼る!$B$6:$B$10005,$B7758,①今日の在庫を貼る!$I$6:$I$10005,$I7758)&gt;0,N(U7757),N(U7757)+1))</f>
        <v>2</v>
      </c>
    </row>
    <row r="7759" customFormat="false" ht="15" hidden="false" customHeight="false" outlineLevel="0" collapsed="false">
      <c r="B7759" s="53"/>
      <c r="I7759" s="53"/>
      <c r="U7759" s="31" t="n">
        <f aca="false">IF($B7759&lt;&gt;'設定（最初に1回）'!$C$4,N(U7758),IF(COUNTIFS(①今日の在庫を貼る!$B$6:$B$10005,$B7759,①今日の在庫を貼る!$I$6:$I$10005,$I7759)&gt;0,N(U7758),N(U7758)+1))</f>
        <v>2</v>
      </c>
    </row>
    <row r="7760" customFormat="false" ht="15" hidden="false" customHeight="false" outlineLevel="0" collapsed="false">
      <c r="B7760" s="53"/>
      <c r="I7760" s="53"/>
      <c r="U7760" s="31" t="n">
        <f aca="false">IF($B7760&lt;&gt;'設定（最初に1回）'!$C$4,N(U7759),IF(COUNTIFS(①今日の在庫を貼る!$B$6:$B$10005,$B7760,①今日の在庫を貼る!$I$6:$I$10005,$I7760)&gt;0,N(U7759),N(U7759)+1))</f>
        <v>2</v>
      </c>
    </row>
    <row r="7761" customFormat="false" ht="15" hidden="false" customHeight="false" outlineLevel="0" collapsed="false">
      <c r="B7761" s="53"/>
      <c r="I7761" s="53"/>
      <c r="U7761" s="31" t="n">
        <f aca="false">IF($B7761&lt;&gt;'設定（最初に1回）'!$C$4,N(U7760),IF(COUNTIFS(①今日の在庫を貼る!$B$6:$B$10005,$B7761,①今日の在庫を貼る!$I$6:$I$10005,$I7761)&gt;0,N(U7760),N(U7760)+1))</f>
        <v>2</v>
      </c>
    </row>
    <row r="7762" customFormat="false" ht="15" hidden="false" customHeight="false" outlineLevel="0" collapsed="false">
      <c r="B7762" s="53"/>
      <c r="I7762" s="53"/>
      <c r="U7762" s="31" t="n">
        <f aca="false">IF($B7762&lt;&gt;'設定（最初に1回）'!$C$4,N(U7761),IF(COUNTIFS(①今日の在庫を貼る!$B$6:$B$10005,$B7762,①今日の在庫を貼る!$I$6:$I$10005,$I7762)&gt;0,N(U7761),N(U7761)+1))</f>
        <v>2</v>
      </c>
    </row>
    <row r="7763" customFormat="false" ht="15" hidden="false" customHeight="false" outlineLevel="0" collapsed="false">
      <c r="B7763" s="53"/>
      <c r="I7763" s="53"/>
      <c r="U7763" s="31" t="n">
        <f aca="false">IF($B7763&lt;&gt;'設定（最初に1回）'!$C$4,N(U7762),IF(COUNTIFS(①今日の在庫を貼る!$B$6:$B$10005,$B7763,①今日の在庫を貼る!$I$6:$I$10005,$I7763)&gt;0,N(U7762),N(U7762)+1))</f>
        <v>2</v>
      </c>
    </row>
    <row r="7764" customFormat="false" ht="15" hidden="false" customHeight="false" outlineLevel="0" collapsed="false">
      <c r="B7764" s="53"/>
      <c r="I7764" s="53"/>
      <c r="U7764" s="31" t="n">
        <f aca="false">IF($B7764&lt;&gt;'設定（最初に1回）'!$C$4,N(U7763),IF(COUNTIFS(①今日の在庫を貼る!$B$6:$B$10005,$B7764,①今日の在庫を貼る!$I$6:$I$10005,$I7764)&gt;0,N(U7763),N(U7763)+1))</f>
        <v>2</v>
      </c>
    </row>
    <row r="7765" customFormat="false" ht="15" hidden="false" customHeight="false" outlineLevel="0" collapsed="false">
      <c r="B7765" s="53"/>
      <c r="I7765" s="53"/>
      <c r="U7765" s="31" t="n">
        <f aca="false">IF($B7765&lt;&gt;'設定（最初に1回）'!$C$4,N(U7764),IF(COUNTIFS(①今日の在庫を貼る!$B$6:$B$10005,$B7765,①今日の在庫を貼る!$I$6:$I$10005,$I7765)&gt;0,N(U7764),N(U7764)+1))</f>
        <v>2</v>
      </c>
    </row>
    <row r="7766" customFormat="false" ht="15" hidden="false" customHeight="false" outlineLevel="0" collapsed="false">
      <c r="B7766" s="53"/>
      <c r="I7766" s="53"/>
      <c r="U7766" s="31" t="n">
        <f aca="false">IF($B7766&lt;&gt;'設定（最初に1回）'!$C$4,N(U7765),IF(COUNTIFS(①今日の在庫を貼る!$B$6:$B$10005,$B7766,①今日の在庫を貼る!$I$6:$I$10005,$I7766)&gt;0,N(U7765),N(U7765)+1))</f>
        <v>2</v>
      </c>
    </row>
    <row r="7767" customFormat="false" ht="15" hidden="false" customHeight="false" outlineLevel="0" collapsed="false">
      <c r="B7767" s="53"/>
      <c r="I7767" s="53"/>
      <c r="U7767" s="31" t="n">
        <f aca="false">IF($B7767&lt;&gt;'設定（最初に1回）'!$C$4,N(U7766),IF(COUNTIFS(①今日の在庫を貼る!$B$6:$B$10005,$B7767,①今日の在庫を貼る!$I$6:$I$10005,$I7767)&gt;0,N(U7766),N(U7766)+1))</f>
        <v>2</v>
      </c>
    </row>
    <row r="7768" customFormat="false" ht="15" hidden="false" customHeight="false" outlineLevel="0" collapsed="false">
      <c r="B7768" s="53"/>
      <c r="I7768" s="53"/>
      <c r="U7768" s="31" t="n">
        <f aca="false">IF($B7768&lt;&gt;'設定（最初に1回）'!$C$4,N(U7767),IF(COUNTIFS(①今日の在庫を貼る!$B$6:$B$10005,$B7768,①今日の在庫を貼る!$I$6:$I$10005,$I7768)&gt;0,N(U7767),N(U7767)+1))</f>
        <v>2</v>
      </c>
    </row>
    <row r="7769" customFormat="false" ht="15" hidden="false" customHeight="false" outlineLevel="0" collapsed="false">
      <c r="B7769" s="53"/>
      <c r="I7769" s="53"/>
      <c r="U7769" s="31" t="n">
        <f aca="false">IF($B7769&lt;&gt;'設定（最初に1回）'!$C$4,N(U7768),IF(COUNTIFS(①今日の在庫を貼る!$B$6:$B$10005,$B7769,①今日の在庫を貼る!$I$6:$I$10005,$I7769)&gt;0,N(U7768),N(U7768)+1))</f>
        <v>2</v>
      </c>
    </row>
    <row r="7770" customFormat="false" ht="15" hidden="false" customHeight="false" outlineLevel="0" collapsed="false">
      <c r="B7770" s="53"/>
      <c r="I7770" s="53"/>
      <c r="U7770" s="31" t="n">
        <f aca="false">IF($B7770&lt;&gt;'設定（最初に1回）'!$C$4,N(U7769),IF(COUNTIFS(①今日の在庫を貼る!$B$6:$B$10005,$B7770,①今日の在庫を貼る!$I$6:$I$10005,$I7770)&gt;0,N(U7769),N(U7769)+1))</f>
        <v>2</v>
      </c>
    </row>
    <row r="7771" customFormat="false" ht="15" hidden="false" customHeight="false" outlineLevel="0" collapsed="false">
      <c r="B7771" s="53"/>
      <c r="I7771" s="53"/>
      <c r="U7771" s="31" t="n">
        <f aca="false">IF($B7771&lt;&gt;'設定（最初に1回）'!$C$4,N(U7770),IF(COUNTIFS(①今日の在庫を貼る!$B$6:$B$10005,$B7771,①今日の在庫を貼る!$I$6:$I$10005,$I7771)&gt;0,N(U7770),N(U7770)+1))</f>
        <v>2</v>
      </c>
    </row>
    <row r="7772" customFormat="false" ht="15" hidden="false" customHeight="false" outlineLevel="0" collapsed="false">
      <c r="B7772" s="53"/>
      <c r="I7772" s="53"/>
      <c r="U7772" s="31" t="n">
        <f aca="false">IF($B7772&lt;&gt;'設定（最初に1回）'!$C$4,N(U7771),IF(COUNTIFS(①今日の在庫を貼る!$B$6:$B$10005,$B7772,①今日の在庫を貼る!$I$6:$I$10005,$I7772)&gt;0,N(U7771),N(U7771)+1))</f>
        <v>2</v>
      </c>
    </row>
    <row r="7773" customFormat="false" ht="15" hidden="false" customHeight="false" outlineLevel="0" collapsed="false">
      <c r="B7773" s="53"/>
      <c r="I7773" s="53"/>
      <c r="U7773" s="31" t="n">
        <f aca="false">IF($B7773&lt;&gt;'設定（最初に1回）'!$C$4,N(U7772),IF(COUNTIFS(①今日の在庫を貼る!$B$6:$B$10005,$B7773,①今日の在庫を貼る!$I$6:$I$10005,$I7773)&gt;0,N(U7772),N(U7772)+1))</f>
        <v>2</v>
      </c>
    </row>
    <row r="7774" customFormat="false" ht="15" hidden="false" customHeight="false" outlineLevel="0" collapsed="false">
      <c r="B7774" s="53"/>
      <c r="I7774" s="53"/>
      <c r="U7774" s="31" t="n">
        <f aca="false">IF($B7774&lt;&gt;'設定（最初に1回）'!$C$4,N(U7773),IF(COUNTIFS(①今日の在庫を貼る!$B$6:$B$10005,$B7774,①今日の在庫を貼る!$I$6:$I$10005,$I7774)&gt;0,N(U7773),N(U7773)+1))</f>
        <v>2</v>
      </c>
    </row>
    <row r="7775" customFormat="false" ht="15" hidden="false" customHeight="false" outlineLevel="0" collapsed="false">
      <c r="B7775" s="53"/>
      <c r="I7775" s="53"/>
      <c r="U7775" s="31" t="n">
        <f aca="false">IF($B7775&lt;&gt;'設定（最初に1回）'!$C$4,N(U7774),IF(COUNTIFS(①今日の在庫を貼る!$B$6:$B$10005,$B7775,①今日の在庫を貼る!$I$6:$I$10005,$I7775)&gt;0,N(U7774),N(U7774)+1))</f>
        <v>2</v>
      </c>
    </row>
    <row r="7776" customFormat="false" ht="15" hidden="false" customHeight="false" outlineLevel="0" collapsed="false">
      <c r="B7776" s="53"/>
      <c r="I7776" s="53"/>
      <c r="U7776" s="31" t="n">
        <f aca="false">IF($B7776&lt;&gt;'設定（最初に1回）'!$C$4,N(U7775),IF(COUNTIFS(①今日の在庫を貼る!$B$6:$B$10005,$B7776,①今日の在庫を貼る!$I$6:$I$10005,$I7776)&gt;0,N(U7775),N(U7775)+1))</f>
        <v>2</v>
      </c>
    </row>
    <row r="7777" customFormat="false" ht="15" hidden="false" customHeight="false" outlineLevel="0" collapsed="false">
      <c r="B7777" s="53"/>
      <c r="I7777" s="53"/>
      <c r="U7777" s="31" t="n">
        <f aca="false">IF($B7777&lt;&gt;'設定（最初に1回）'!$C$4,N(U7776),IF(COUNTIFS(①今日の在庫を貼る!$B$6:$B$10005,$B7777,①今日の在庫を貼る!$I$6:$I$10005,$I7777)&gt;0,N(U7776),N(U7776)+1))</f>
        <v>2</v>
      </c>
    </row>
    <row r="7778" customFormat="false" ht="15" hidden="false" customHeight="false" outlineLevel="0" collapsed="false">
      <c r="B7778" s="53"/>
      <c r="I7778" s="53"/>
      <c r="U7778" s="31" t="n">
        <f aca="false">IF($B7778&lt;&gt;'設定（最初に1回）'!$C$4,N(U7777),IF(COUNTIFS(①今日の在庫を貼る!$B$6:$B$10005,$B7778,①今日の在庫を貼る!$I$6:$I$10005,$I7778)&gt;0,N(U7777),N(U7777)+1))</f>
        <v>2</v>
      </c>
    </row>
    <row r="7779" customFormat="false" ht="15" hidden="false" customHeight="false" outlineLevel="0" collapsed="false">
      <c r="B7779" s="53"/>
      <c r="I7779" s="53"/>
      <c r="U7779" s="31" t="n">
        <f aca="false">IF($B7779&lt;&gt;'設定（最初に1回）'!$C$4,N(U7778),IF(COUNTIFS(①今日の在庫を貼る!$B$6:$B$10005,$B7779,①今日の在庫を貼る!$I$6:$I$10005,$I7779)&gt;0,N(U7778),N(U7778)+1))</f>
        <v>2</v>
      </c>
    </row>
    <row r="7780" customFormat="false" ht="15" hidden="false" customHeight="false" outlineLevel="0" collapsed="false">
      <c r="B7780" s="53"/>
      <c r="I7780" s="53"/>
      <c r="U7780" s="31" t="n">
        <f aca="false">IF($B7780&lt;&gt;'設定（最初に1回）'!$C$4,N(U7779),IF(COUNTIFS(①今日の在庫を貼る!$B$6:$B$10005,$B7780,①今日の在庫を貼る!$I$6:$I$10005,$I7780)&gt;0,N(U7779),N(U7779)+1))</f>
        <v>2</v>
      </c>
    </row>
    <row r="7781" customFormat="false" ht="15" hidden="false" customHeight="false" outlineLevel="0" collapsed="false">
      <c r="B7781" s="53"/>
      <c r="I7781" s="53"/>
      <c r="U7781" s="31" t="n">
        <f aca="false">IF($B7781&lt;&gt;'設定（最初に1回）'!$C$4,N(U7780),IF(COUNTIFS(①今日の在庫を貼る!$B$6:$B$10005,$B7781,①今日の在庫を貼る!$I$6:$I$10005,$I7781)&gt;0,N(U7780),N(U7780)+1))</f>
        <v>2</v>
      </c>
    </row>
    <row r="7782" customFormat="false" ht="15" hidden="false" customHeight="false" outlineLevel="0" collapsed="false">
      <c r="B7782" s="53"/>
      <c r="I7782" s="53"/>
      <c r="U7782" s="31" t="n">
        <f aca="false">IF($B7782&lt;&gt;'設定（最初に1回）'!$C$4,N(U7781),IF(COUNTIFS(①今日の在庫を貼る!$B$6:$B$10005,$B7782,①今日の在庫を貼る!$I$6:$I$10005,$I7782)&gt;0,N(U7781),N(U7781)+1))</f>
        <v>2</v>
      </c>
    </row>
    <row r="7783" customFormat="false" ht="15" hidden="false" customHeight="false" outlineLevel="0" collapsed="false">
      <c r="B7783" s="53"/>
      <c r="I7783" s="53"/>
      <c r="U7783" s="31" t="n">
        <f aca="false">IF($B7783&lt;&gt;'設定（最初に1回）'!$C$4,N(U7782),IF(COUNTIFS(①今日の在庫を貼る!$B$6:$B$10005,$B7783,①今日の在庫を貼る!$I$6:$I$10005,$I7783)&gt;0,N(U7782),N(U7782)+1))</f>
        <v>2</v>
      </c>
    </row>
    <row r="7784" customFormat="false" ht="15" hidden="false" customHeight="false" outlineLevel="0" collapsed="false">
      <c r="B7784" s="53"/>
      <c r="I7784" s="53"/>
      <c r="U7784" s="31" t="n">
        <f aca="false">IF($B7784&lt;&gt;'設定（最初に1回）'!$C$4,N(U7783),IF(COUNTIFS(①今日の在庫を貼る!$B$6:$B$10005,$B7784,①今日の在庫を貼る!$I$6:$I$10005,$I7784)&gt;0,N(U7783),N(U7783)+1))</f>
        <v>2</v>
      </c>
    </row>
    <row r="7785" customFormat="false" ht="15" hidden="false" customHeight="false" outlineLevel="0" collapsed="false">
      <c r="B7785" s="53"/>
      <c r="I7785" s="53"/>
      <c r="U7785" s="31" t="n">
        <f aca="false">IF($B7785&lt;&gt;'設定（最初に1回）'!$C$4,N(U7784),IF(COUNTIFS(①今日の在庫を貼る!$B$6:$B$10005,$B7785,①今日の在庫を貼る!$I$6:$I$10005,$I7785)&gt;0,N(U7784),N(U7784)+1))</f>
        <v>2</v>
      </c>
    </row>
    <row r="7786" customFormat="false" ht="15" hidden="false" customHeight="false" outlineLevel="0" collapsed="false">
      <c r="B7786" s="53"/>
      <c r="I7786" s="53"/>
      <c r="U7786" s="31" t="n">
        <f aca="false">IF($B7786&lt;&gt;'設定（最初に1回）'!$C$4,N(U7785),IF(COUNTIFS(①今日の在庫を貼る!$B$6:$B$10005,$B7786,①今日の在庫を貼る!$I$6:$I$10005,$I7786)&gt;0,N(U7785),N(U7785)+1))</f>
        <v>2</v>
      </c>
    </row>
    <row r="7787" customFormat="false" ht="15" hidden="false" customHeight="false" outlineLevel="0" collapsed="false">
      <c r="B7787" s="53"/>
      <c r="I7787" s="53"/>
      <c r="U7787" s="31" t="n">
        <f aca="false">IF($B7787&lt;&gt;'設定（最初に1回）'!$C$4,N(U7786),IF(COUNTIFS(①今日の在庫を貼る!$B$6:$B$10005,$B7787,①今日の在庫を貼る!$I$6:$I$10005,$I7787)&gt;0,N(U7786),N(U7786)+1))</f>
        <v>2</v>
      </c>
    </row>
    <row r="7788" customFormat="false" ht="15" hidden="false" customHeight="false" outlineLevel="0" collapsed="false">
      <c r="B7788" s="53"/>
      <c r="I7788" s="53"/>
      <c r="U7788" s="31" t="n">
        <f aca="false">IF($B7788&lt;&gt;'設定（最初に1回）'!$C$4,N(U7787),IF(COUNTIFS(①今日の在庫を貼る!$B$6:$B$10005,$B7788,①今日の在庫を貼る!$I$6:$I$10005,$I7788)&gt;0,N(U7787),N(U7787)+1))</f>
        <v>2</v>
      </c>
    </row>
    <row r="7789" customFormat="false" ht="15" hidden="false" customHeight="false" outlineLevel="0" collapsed="false">
      <c r="B7789" s="53"/>
      <c r="I7789" s="53"/>
      <c r="U7789" s="31" t="n">
        <f aca="false">IF($B7789&lt;&gt;'設定（最初に1回）'!$C$4,N(U7788),IF(COUNTIFS(①今日の在庫を貼る!$B$6:$B$10005,$B7789,①今日の在庫を貼る!$I$6:$I$10005,$I7789)&gt;0,N(U7788),N(U7788)+1))</f>
        <v>2</v>
      </c>
    </row>
    <row r="7790" customFormat="false" ht="15" hidden="false" customHeight="false" outlineLevel="0" collapsed="false">
      <c r="B7790" s="53"/>
      <c r="I7790" s="53"/>
      <c r="U7790" s="31" t="n">
        <f aca="false">IF($B7790&lt;&gt;'設定（最初に1回）'!$C$4,N(U7789),IF(COUNTIFS(①今日の在庫を貼る!$B$6:$B$10005,$B7790,①今日の在庫を貼る!$I$6:$I$10005,$I7790)&gt;0,N(U7789),N(U7789)+1))</f>
        <v>2</v>
      </c>
    </row>
    <row r="7791" customFormat="false" ht="15" hidden="false" customHeight="false" outlineLevel="0" collapsed="false">
      <c r="B7791" s="53"/>
      <c r="I7791" s="53"/>
      <c r="U7791" s="31" t="n">
        <f aca="false">IF($B7791&lt;&gt;'設定（最初に1回）'!$C$4,N(U7790),IF(COUNTIFS(①今日の在庫を貼る!$B$6:$B$10005,$B7791,①今日の在庫を貼る!$I$6:$I$10005,$I7791)&gt;0,N(U7790),N(U7790)+1))</f>
        <v>2</v>
      </c>
    </row>
    <row r="7792" customFormat="false" ht="15" hidden="false" customHeight="false" outlineLevel="0" collapsed="false">
      <c r="B7792" s="53"/>
      <c r="I7792" s="53"/>
      <c r="U7792" s="31" t="n">
        <f aca="false">IF($B7792&lt;&gt;'設定（最初に1回）'!$C$4,N(U7791),IF(COUNTIFS(①今日の在庫を貼る!$B$6:$B$10005,$B7792,①今日の在庫を貼る!$I$6:$I$10005,$I7792)&gt;0,N(U7791),N(U7791)+1))</f>
        <v>2</v>
      </c>
    </row>
    <row r="7793" customFormat="false" ht="15" hidden="false" customHeight="false" outlineLevel="0" collapsed="false">
      <c r="B7793" s="53"/>
      <c r="I7793" s="53"/>
      <c r="U7793" s="31" t="n">
        <f aca="false">IF($B7793&lt;&gt;'設定（最初に1回）'!$C$4,N(U7792),IF(COUNTIFS(①今日の在庫を貼る!$B$6:$B$10005,$B7793,①今日の在庫を貼る!$I$6:$I$10005,$I7793)&gt;0,N(U7792),N(U7792)+1))</f>
        <v>2</v>
      </c>
    </row>
    <row r="7794" customFormat="false" ht="15" hidden="false" customHeight="false" outlineLevel="0" collapsed="false">
      <c r="B7794" s="53"/>
      <c r="I7794" s="53"/>
      <c r="U7794" s="31" t="n">
        <f aca="false">IF($B7794&lt;&gt;'設定（最初に1回）'!$C$4,N(U7793),IF(COUNTIFS(①今日の在庫を貼る!$B$6:$B$10005,$B7794,①今日の在庫を貼る!$I$6:$I$10005,$I7794)&gt;0,N(U7793),N(U7793)+1))</f>
        <v>2</v>
      </c>
    </row>
    <row r="7795" customFormat="false" ht="15" hidden="false" customHeight="false" outlineLevel="0" collapsed="false">
      <c r="B7795" s="53"/>
      <c r="I7795" s="53"/>
      <c r="U7795" s="31" t="n">
        <f aca="false">IF($B7795&lt;&gt;'設定（最初に1回）'!$C$4,N(U7794),IF(COUNTIFS(①今日の在庫を貼る!$B$6:$B$10005,$B7795,①今日の在庫を貼る!$I$6:$I$10005,$I7795)&gt;0,N(U7794),N(U7794)+1))</f>
        <v>2</v>
      </c>
    </row>
    <row r="7796" customFormat="false" ht="15" hidden="false" customHeight="false" outlineLevel="0" collapsed="false">
      <c r="B7796" s="53"/>
      <c r="I7796" s="53"/>
      <c r="U7796" s="31" t="n">
        <f aca="false">IF($B7796&lt;&gt;'設定（最初に1回）'!$C$4,N(U7795),IF(COUNTIFS(①今日の在庫を貼る!$B$6:$B$10005,$B7796,①今日の在庫を貼る!$I$6:$I$10005,$I7796)&gt;0,N(U7795),N(U7795)+1))</f>
        <v>2</v>
      </c>
    </row>
    <row r="7797" customFormat="false" ht="15" hidden="false" customHeight="false" outlineLevel="0" collapsed="false">
      <c r="B7797" s="53"/>
      <c r="I7797" s="53"/>
      <c r="U7797" s="31" t="n">
        <f aca="false">IF($B7797&lt;&gt;'設定（最初に1回）'!$C$4,N(U7796),IF(COUNTIFS(①今日の在庫を貼る!$B$6:$B$10005,$B7797,①今日の在庫を貼る!$I$6:$I$10005,$I7797)&gt;0,N(U7796),N(U7796)+1))</f>
        <v>2</v>
      </c>
    </row>
    <row r="7798" customFormat="false" ht="15" hidden="false" customHeight="false" outlineLevel="0" collapsed="false">
      <c r="B7798" s="53"/>
      <c r="I7798" s="53"/>
      <c r="U7798" s="31" t="n">
        <f aca="false">IF($B7798&lt;&gt;'設定（最初に1回）'!$C$4,N(U7797),IF(COUNTIFS(①今日の在庫を貼る!$B$6:$B$10005,$B7798,①今日の在庫を貼る!$I$6:$I$10005,$I7798)&gt;0,N(U7797),N(U7797)+1))</f>
        <v>2</v>
      </c>
    </row>
    <row r="7799" customFormat="false" ht="15" hidden="false" customHeight="false" outlineLevel="0" collapsed="false">
      <c r="B7799" s="53"/>
      <c r="I7799" s="53"/>
      <c r="U7799" s="31" t="n">
        <f aca="false">IF($B7799&lt;&gt;'設定（最初に1回）'!$C$4,N(U7798),IF(COUNTIFS(①今日の在庫を貼る!$B$6:$B$10005,$B7799,①今日の在庫を貼る!$I$6:$I$10005,$I7799)&gt;0,N(U7798),N(U7798)+1))</f>
        <v>2</v>
      </c>
    </row>
    <row r="7800" customFormat="false" ht="15" hidden="false" customHeight="false" outlineLevel="0" collapsed="false">
      <c r="B7800" s="53"/>
      <c r="I7800" s="53"/>
      <c r="U7800" s="31" t="n">
        <f aca="false">IF($B7800&lt;&gt;'設定（最初に1回）'!$C$4,N(U7799),IF(COUNTIFS(①今日の在庫を貼る!$B$6:$B$10005,$B7800,①今日の在庫を貼る!$I$6:$I$10005,$I7800)&gt;0,N(U7799),N(U7799)+1))</f>
        <v>2</v>
      </c>
    </row>
    <row r="7801" customFormat="false" ht="15" hidden="false" customHeight="false" outlineLevel="0" collapsed="false">
      <c r="B7801" s="53"/>
      <c r="I7801" s="53"/>
      <c r="U7801" s="31" t="n">
        <f aca="false">IF($B7801&lt;&gt;'設定（最初に1回）'!$C$4,N(U7800),IF(COUNTIFS(①今日の在庫を貼る!$B$6:$B$10005,$B7801,①今日の在庫を貼る!$I$6:$I$10005,$I7801)&gt;0,N(U7800),N(U7800)+1))</f>
        <v>2</v>
      </c>
    </row>
    <row r="7802" customFormat="false" ht="15" hidden="false" customHeight="false" outlineLevel="0" collapsed="false">
      <c r="B7802" s="53"/>
      <c r="I7802" s="53"/>
      <c r="U7802" s="31" t="n">
        <f aca="false">IF($B7802&lt;&gt;'設定（最初に1回）'!$C$4,N(U7801),IF(COUNTIFS(①今日の在庫を貼る!$B$6:$B$10005,$B7802,①今日の在庫を貼る!$I$6:$I$10005,$I7802)&gt;0,N(U7801),N(U7801)+1))</f>
        <v>2</v>
      </c>
    </row>
    <row r="7803" customFormat="false" ht="15" hidden="false" customHeight="false" outlineLevel="0" collapsed="false">
      <c r="B7803" s="53"/>
      <c r="I7803" s="53"/>
      <c r="U7803" s="31" t="n">
        <f aca="false">IF($B7803&lt;&gt;'設定（最初に1回）'!$C$4,N(U7802),IF(COUNTIFS(①今日の在庫を貼る!$B$6:$B$10005,$B7803,①今日の在庫を貼る!$I$6:$I$10005,$I7803)&gt;0,N(U7802),N(U7802)+1))</f>
        <v>2</v>
      </c>
    </row>
    <row r="7804" customFormat="false" ht="15" hidden="false" customHeight="false" outlineLevel="0" collapsed="false">
      <c r="B7804" s="53"/>
      <c r="I7804" s="53"/>
      <c r="U7804" s="31" t="n">
        <f aca="false">IF($B7804&lt;&gt;'設定（最初に1回）'!$C$4,N(U7803),IF(COUNTIFS(①今日の在庫を貼る!$B$6:$B$10005,$B7804,①今日の在庫を貼る!$I$6:$I$10005,$I7804)&gt;0,N(U7803),N(U7803)+1))</f>
        <v>2</v>
      </c>
    </row>
    <row r="7805" customFormat="false" ht="15" hidden="false" customHeight="false" outlineLevel="0" collapsed="false">
      <c r="B7805" s="53"/>
      <c r="I7805" s="53"/>
      <c r="U7805" s="31" t="n">
        <f aca="false">IF($B7805&lt;&gt;'設定（最初に1回）'!$C$4,N(U7804),IF(COUNTIFS(①今日の在庫を貼る!$B$6:$B$10005,$B7805,①今日の在庫を貼る!$I$6:$I$10005,$I7805)&gt;0,N(U7804),N(U7804)+1))</f>
        <v>2</v>
      </c>
    </row>
    <row r="7806" customFormat="false" ht="15" hidden="false" customHeight="false" outlineLevel="0" collapsed="false">
      <c r="B7806" s="53"/>
      <c r="I7806" s="53"/>
      <c r="U7806" s="31" t="n">
        <f aca="false">IF($B7806&lt;&gt;'設定（最初に1回）'!$C$4,N(U7805),IF(COUNTIFS(①今日の在庫を貼る!$B$6:$B$10005,$B7806,①今日の在庫を貼る!$I$6:$I$10005,$I7806)&gt;0,N(U7805),N(U7805)+1))</f>
        <v>2</v>
      </c>
    </row>
    <row r="7807" customFormat="false" ht="15" hidden="false" customHeight="false" outlineLevel="0" collapsed="false">
      <c r="B7807" s="53"/>
      <c r="I7807" s="53"/>
      <c r="U7807" s="31" t="n">
        <f aca="false">IF($B7807&lt;&gt;'設定（最初に1回）'!$C$4,N(U7806),IF(COUNTIFS(①今日の在庫を貼る!$B$6:$B$10005,$B7807,①今日の在庫を貼る!$I$6:$I$10005,$I7807)&gt;0,N(U7806),N(U7806)+1))</f>
        <v>2</v>
      </c>
    </row>
    <row r="7808" customFormat="false" ht="15" hidden="false" customHeight="false" outlineLevel="0" collapsed="false">
      <c r="B7808" s="53"/>
      <c r="I7808" s="53"/>
      <c r="U7808" s="31" t="n">
        <f aca="false">IF($B7808&lt;&gt;'設定（最初に1回）'!$C$4,N(U7807),IF(COUNTIFS(①今日の在庫を貼る!$B$6:$B$10005,$B7808,①今日の在庫を貼る!$I$6:$I$10005,$I7808)&gt;0,N(U7807),N(U7807)+1))</f>
        <v>2</v>
      </c>
    </row>
    <row r="7809" customFormat="false" ht="15" hidden="false" customHeight="false" outlineLevel="0" collapsed="false">
      <c r="B7809" s="53"/>
      <c r="I7809" s="53"/>
      <c r="U7809" s="31" t="n">
        <f aca="false">IF($B7809&lt;&gt;'設定（最初に1回）'!$C$4,N(U7808),IF(COUNTIFS(①今日の在庫を貼る!$B$6:$B$10005,$B7809,①今日の在庫を貼る!$I$6:$I$10005,$I7809)&gt;0,N(U7808),N(U7808)+1))</f>
        <v>2</v>
      </c>
    </row>
    <row r="7810" customFormat="false" ht="15" hidden="false" customHeight="false" outlineLevel="0" collapsed="false">
      <c r="B7810" s="53"/>
      <c r="I7810" s="53"/>
      <c r="U7810" s="31" t="n">
        <f aca="false">IF($B7810&lt;&gt;'設定（最初に1回）'!$C$4,N(U7809),IF(COUNTIFS(①今日の在庫を貼る!$B$6:$B$10005,$B7810,①今日の在庫を貼る!$I$6:$I$10005,$I7810)&gt;0,N(U7809),N(U7809)+1))</f>
        <v>2</v>
      </c>
    </row>
    <row r="7811" customFormat="false" ht="15" hidden="false" customHeight="false" outlineLevel="0" collapsed="false">
      <c r="B7811" s="53"/>
      <c r="I7811" s="53"/>
      <c r="U7811" s="31" t="n">
        <f aca="false">IF($B7811&lt;&gt;'設定（最初に1回）'!$C$4,N(U7810),IF(COUNTIFS(①今日の在庫を貼る!$B$6:$B$10005,$B7811,①今日の在庫を貼る!$I$6:$I$10005,$I7811)&gt;0,N(U7810),N(U7810)+1))</f>
        <v>2</v>
      </c>
    </row>
    <row r="7812" customFormat="false" ht="15" hidden="false" customHeight="false" outlineLevel="0" collapsed="false">
      <c r="B7812" s="53"/>
      <c r="I7812" s="53"/>
      <c r="U7812" s="31" t="n">
        <f aca="false">IF($B7812&lt;&gt;'設定（最初に1回）'!$C$4,N(U7811),IF(COUNTIFS(①今日の在庫を貼る!$B$6:$B$10005,$B7812,①今日の在庫を貼る!$I$6:$I$10005,$I7812)&gt;0,N(U7811),N(U7811)+1))</f>
        <v>2</v>
      </c>
    </row>
    <row r="7813" customFormat="false" ht="15" hidden="false" customHeight="false" outlineLevel="0" collapsed="false">
      <c r="B7813" s="53"/>
      <c r="I7813" s="53"/>
      <c r="U7813" s="31" t="n">
        <f aca="false">IF($B7813&lt;&gt;'設定（最初に1回）'!$C$4,N(U7812),IF(COUNTIFS(①今日の在庫を貼る!$B$6:$B$10005,$B7813,①今日の在庫を貼る!$I$6:$I$10005,$I7813)&gt;0,N(U7812),N(U7812)+1))</f>
        <v>2</v>
      </c>
    </row>
    <row r="7814" customFormat="false" ht="15" hidden="false" customHeight="false" outlineLevel="0" collapsed="false">
      <c r="B7814" s="53"/>
      <c r="I7814" s="53"/>
      <c r="U7814" s="31" t="n">
        <f aca="false">IF($B7814&lt;&gt;'設定（最初に1回）'!$C$4,N(U7813),IF(COUNTIFS(①今日の在庫を貼る!$B$6:$B$10005,$B7814,①今日の在庫を貼る!$I$6:$I$10005,$I7814)&gt;0,N(U7813),N(U7813)+1))</f>
        <v>2</v>
      </c>
    </row>
    <row r="7815" customFormat="false" ht="15" hidden="false" customHeight="false" outlineLevel="0" collapsed="false">
      <c r="B7815" s="53"/>
      <c r="I7815" s="53"/>
      <c r="U7815" s="31" t="n">
        <f aca="false">IF($B7815&lt;&gt;'設定（最初に1回）'!$C$4,N(U7814),IF(COUNTIFS(①今日の在庫を貼る!$B$6:$B$10005,$B7815,①今日の在庫を貼る!$I$6:$I$10005,$I7815)&gt;0,N(U7814),N(U7814)+1))</f>
        <v>2</v>
      </c>
    </row>
    <row r="7816" customFormat="false" ht="15" hidden="false" customHeight="false" outlineLevel="0" collapsed="false">
      <c r="B7816" s="53"/>
      <c r="I7816" s="53"/>
      <c r="U7816" s="31" t="n">
        <f aca="false">IF($B7816&lt;&gt;'設定（最初に1回）'!$C$4,N(U7815),IF(COUNTIFS(①今日の在庫を貼る!$B$6:$B$10005,$B7816,①今日の在庫を貼る!$I$6:$I$10005,$I7816)&gt;0,N(U7815),N(U7815)+1))</f>
        <v>2</v>
      </c>
    </row>
    <row r="7817" customFormat="false" ht="15" hidden="false" customHeight="false" outlineLevel="0" collapsed="false">
      <c r="B7817" s="53"/>
      <c r="I7817" s="53"/>
      <c r="U7817" s="31" t="n">
        <f aca="false">IF($B7817&lt;&gt;'設定（最初に1回）'!$C$4,N(U7816),IF(COUNTIFS(①今日の在庫を貼る!$B$6:$B$10005,$B7817,①今日の在庫を貼る!$I$6:$I$10005,$I7817)&gt;0,N(U7816),N(U7816)+1))</f>
        <v>2</v>
      </c>
    </row>
    <row r="7818" customFormat="false" ht="15" hidden="false" customHeight="false" outlineLevel="0" collapsed="false">
      <c r="B7818" s="53"/>
      <c r="I7818" s="53"/>
      <c r="U7818" s="31" t="n">
        <f aca="false">IF($B7818&lt;&gt;'設定（最初に1回）'!$C$4,N(U7817),IF(COUNTIFS(①今日の在庫を貼る!$B$6:$B$10005,$B7818,①今日の在庫を貼る!$I$6:$I$10005,$I7818)&gt;0,N(U7817),N(U7817)+1))</f>
        <v>2</v>
      </c>
    </row>
    <row r="7819" customFormat="false" ht="15" hidden="false" customHeight="false" outlineLevel="0" collapsed="false">
      <c r="B7819" s="53"/>
      <c r="I7819" s="53"/>
      <c r="U7819" s="31" t="n">
        <f aca="false">IF($B7819&lt;&gt;'設定（最初に1回）'!$C$4,N(U7818),IF(COUNTIFS(①今日の在庫を貼る!$B$6:$B$10005,$B7819,①今日の在庫を貼る!$I$6:$I$10005,$I7819)&gt;0,N(U7818),N(U7818)+1))</f>
        <v>2</v>
      </c>
    </row>
    <row r="7820" customFormat="false" ht="15" hidden="false" customHeight="false" outlineLevel="0" collapsed="false">
      <c r="B7820" s="53"/>
      <c r="I7820" s="53"/>
      <c r="U7820" s="31" t="n">
        <f aca="false">IF($B7820&lt;&gt;'設定（最初に1回）'!$C$4,N(U7819),IF(COUNTIFS(①今日の在庫を貼る!$B$6:$B$10005,$B7820,①今日の在庫を貼る!$I$6:$I$10005,$I7820)&gt;0,N(U7819),N(U7819)+1))</f>
        <v>2</v>
      </c>
    </row>
    <row r="7821" customFormat="false" ht="15" hidden="false" customHeight="false" outlineLevel="0" collapsed="false">
      <c r="B7821" s="53"/>
      <c r="I7821" s="53"/>
      <c r="U7821" s="31" t="n">
        <f aca="false">IF($B7821&lt;&gt;'設定（最初に1回）'!$C$4,N(U7820),IF(COUNTIFS(①今日の在庫を貼る!$B$6:$B$10005,$B7821,①今日の在庫を貼る!$I$6:$I$10005,$I7821)&gt;0,N(U7820),N(U7820)+1))</f>
        <v>2</v>
      </c>
    </row>
    <row r="7822" customFormat="false" ht="15" hidden="false" customHeight="false" outlineLevel="0" collapsed="false">
      <c r="B7822" s="53"/>
      <c r="I7822" s="53"/>
      <c r="U7822" s="31" t="n">
        <f aca="false">IF($B7822&lt;&gt;'設定（最初に1回）'!$C$4,N(U7821),IF(COUNTIFS(①今日の在庫を貼る!$B$6:$B$10005,$B7822,①今日の在庫を貼る!$I$6:$I$10005,$I7822)&gt;0,N(U7821),N(U7821)+1))</f>
        <v>2</v>
      </c>
    </row>
    <row r="7823" customFormat="false" ht="15" hidden="false" customHeight="false" outlineLevel="0" collapsed="false">
      <c r="B7823" s="53"/>
      <c r="I7823" s="53"/>
      <c r="U7823" s="31" t="n">
        <f aca="false">IF($B7823&lt;&gt;'設定（最初に1回）'!$C$4,N(U7822),IF(COUNTIFS(①今日の在庫を貼る!$B$6:$B$10005,$B7823,①今日の在庫を貼る!$I$6:$I$10005,$I7823)&gt;0,N(U7822),N(U7822)+1))</f>
        <v>2</v>
      </c>
    </row>
    <row r="7824" customFormat="false" ht="15" hidden="false" customHeight="false" outlineLevel="0" collapsed="false">
      <c r="B7824" s="53"/>
      <c r="I7824" s="53"/>
      <c r="U7824" s="31" t="n">
        <f aca="false">IF($B7824&lt;&gt;'設定（最初に1回）'!$C$4,N(U7823),IF(COUNTIFS(①今日の在庫を貼る!$B$6:$B$10005,$B7824,①今日の在庫を貼る!$I$6:$I$10005,$I7824)&gt;0,N(U7823),N(U7823)+1))</f>
        <v>2</v>
      </c>
    </row>
    <row r="7825" customFormat="false" ht="15" hidden="false" customHeight="false" outlineLevel="0" collapsed="false">
      <c r="B7825" s="53"/>
      <c r="I7825" s="53"/>
      <c r="U7825" s="31" t="n">
        <f aca="false">IF($B7825&lt;&gt;'設定（最初に1回）'!$C$4,N(U7824),IF(COUNTIFS(①今日の在庫を貼る!$B$6:$B$10005,$B7825,①今日の在庫を貼る!$I$6:$I$10005,$I7825)&gt;0,N(U7824),N(U7824)+1))</f>
        <v>2</v>
      </c>
    </row>
    <row r="7826" customFormat="false" ht="15" hidden="false" customHeight="false" outlineLevel="0" collapsed="false">
      <c r="B7826" s="53"/>
      <c r="I7826" s="53"/>
      <c r="U7826" s="31" t="n">
        <f aca="false">IF($B7826&lt;&gt;'設定（最初に1回）'!$C$4,N(U7825),IF(COUNTIFS(①今日の在庫を貼る!$B$6:$B$10005,$B7826,①今日の在庫を貼る!$I$6:$I$10005,$I7826)&gt;0,N(U7825),N(U7825)+1))</f>
        <v>2</v>
      </c>
    </row>
    <row r="7827" customFormat="false" ht="15" hidden="false" customHeight="false" outlineLevel="0" collapsed="false">
      <c r="B7827" s="53"/>
      <c r="I7827" s="53"/>
      <c r="U7827" s="31" t="n">
        <f aca="false">IF($B7827&lt;&gt;'設定（最初に1回）'!$C$4,N(U7826),IF(COUNTIFS(①今日の在庫を貼る!$B$6:$B$10005,$B7827,①今日の在庫を貼る!$I$6:$I$10005,$I7827)&gt;0,N(U7826),N(U7826)+1))</f>
        <v>2</v>
      </c>
    </row>
    <row r="7828" customFormat="false" ht="15" hidden="false" customHeight="false" outlineLevel="0" collapsed="false">
      <c r="B7828" s="53"/>
      <c r="I7828" s="53"/>
      <c r="U7828" s="31" t="n">
        <f aca="false">IF($B7828&lt;&gt;'設定（最初に1回）'!$C$4,N(U7827),IF(COUNTIFS(①今日の在庫を貼る!$B$6:$B$10005,$B7828,①今日の在庫を貼る!$I$6:$I$10005,$I7828)&gt;0,N(U7827),N(U7827)+1))</f>
        <v>2</v>
      </c>
    </row>
    <row r="7829" customFormat="false" ht="15" hidden="false" customHeight="false" outlineLevel="0" collapsed="false">
      <c r="B7829" s="53"/>
      <c r="I7829" s="53"/>
      <c r="U7829" s="31" t="n">
        <f aca="false">IF($B7829&lt;&gt;'設定（最初に1回）'!$C$4,N(U7828),IF(COUNTIFS(①今日の在庫を貼る!$B$6:$B$10005,$B7829,①今日の在庫を貼る!$I$6:$I$10005,$I7829)&gt;0,N(U7828),N(U7828)+1))</f>
        <v>2</v>
      </c>
    </row>
    <row r="7830" customFormat="false" ht="15" hidden="false" customHeight="false" outlineLevel="0" collapsed="false">
      <c r="B7830" s="53"/>
      <c r="I7830" s="53"/>
      <c r="U7830" s="31" t="n">
        <f aca="false">IF($B7830&lt;&gt;'設定（最初に1回）'!$C$4,N(U7829),IF(COUNTIFS(①今日の在庫を貼る!$B$6:$B$10005,$B7830,①今日の在庫を貼る!$I$6:$I$10005,$I7830)&gt;0,N(U7829),N(U7829)+1))</f>
        <v>2</v>
      </c>
    </row>
    <row r="7831" customFormat="false" ht="15" hidden="false" customHeight="false" outlineLevel="0" collapsed="false">
      <c r="B7831" s="53"/>
      <c r="I7831" s="53"/>
      <c r="U7831" s="31" t="n">
        <f aca="false">IF($B7831&lt;&gt;'設定（最初に1回）'!$C$4,N(U7830),IF(COUNTIFS(①今日の在庫を貼る!$B$6:$B$10005,$B7831,①今日の在庫を貼る!$I$6:$I$10005,$I7831)&gt;0,N(U7830),N(U7830)+1))</f>
        <v>2</v>
      </c>
    </row>
    <row r="7832" customFormat="false" ht="15" hidden="false" customHeight="false" outlineLevel="0" collapsed="false">
      <c r="B7832" s="53"/>
      <c r="I7832" s="53"/>
      <c r="U7832" s="31" t="n">
        <f aca="false">IF($B7832&lt;&gt;'設定（最初に1回）'!$C$4,N(U7831),IF(COUNTIFS(①今日の在庫を貼る!$B$6:$B$10005,$B7832,①今日の在庫を貼る!$I$6:$I$10005,$I7832)&gt;0,N(U7831),N(U7831)+1))</f>
        <v>2</v>
      </c>
    </row>
    <row r="7833" customFormat="false" ht="15" hidden="false" customHeight="false" outlineLevel="0" collapsed="false">
      <c r="B7833" s="53"/>
      <c r="I7833" s="53"/>
      <c r="U7833" s="31" t="n">
        <f aca="false">IF($B7833&lt;&gt;'設定（最初に1回）'!$C$4,N(U7832),IF(COUNTIFS(①今日の在庫を貼る!$B$6:$B$10005,$B7833,①今日の在庫を貼る!$I$6:$I$10005,$I7833)&gt;0,N(U7832),N(U7832)+1))</f>
        <v>2</v>
      </c>
    </row>
    <row r="7834" customFormat="false" ht="15" hidden="false" customHeight="false" outlineLevel="0" collapsed="false">
      <c r="B7834" s="53"/>
      <c r="I7834" s="53"/>
      <c r="U7834" s="31" t="n">
        <f aca="false">IF($B7834&lt;&gt;'設定（最初に1回）'!$C$4,N(U7833),IF(COUNTIFS(①今日の在庫を貼る!$B$6:$B$10005,$B7834,①今日の在庫を貼る!$I$6:$I$10005,$I7834)&gt;0,N(U7833),N(U7833)+1))</f>
        <v>2</v>
      </c>
    </row>
    <row r="7835" customFormat="false" ht="15" hidden="false" customHeight="false" outlineLevel="0" collapsed="false">
      <c r="B7835" s="53"/>
      <c r="I7835" s="53"/>
      <c r="U7835" s="31" t="n">
        <f aca="false">IF($B7835&lt;&gt;'設定（最初に1回）'!$C$4,N(U7834),IF(COUNTIFS(①今日の在庫を貼る!$B$6:$B$10005,$B7835,①今日の在庫を貼る!$I$6:$I$10005,$I7835)&gt;0,N(U7834),N(U7834)+1))</f>
        <v>2</v>
      </c>
    </row>
    <row r="7836" customFormat="false" ht="15" hidden="false" customHeight="false" outlineLevel="0" collapsed="false">
      <c r="B7836" s="53"/>
      <c r="I7836" s="53"/>
      <c r="U7836" s="31" t="n">
        <f aca="false">IF($B7836&lt;&gt;'設定（最初に1回）'!$C$4,N(U7835),IF(COUNTIFS(①今日の在庫を貼る!$B$6:$B$10005,$B7836,①今日の在庫を貼る!$I$6:$I$10005,$I7836)&gt;0,N(U7835),N(U7835)+1))</f>
        <v>2</v>
      </c>
    </row>
    <row r="7837" customFormat="false" ht="15" hidden="false" customHeight="false" outlineLevel="0" collapsed="false">
      <c r="B7837" s="53"/>
      <c r="I7837" s="53"/>
      <c r="U7837" s="31" t="n">
        <f aca="false">IF($B7837&lt;&gt;'設定（最初に1回）'!$C$4,N(U7836),IF(COUNTIFS(①今日の在庫を貼る!$B$6:$B$10005,$B7837,①今日の在庫を貼る!$I$6:$I$10005,$I7837)&gt;0,N(U7836),N(U7836)+1))</f>
        <v>2</v>
      </c>
    </row>
    <row r="7838" customFormat="false" ht="15" hidden="false" customHeight="false" outlineLevel="0" collapsed="false">
      <c r="B7838" s="53"/>
      <c r="I7838" s="53"/>
      <c r="U7838" s="31" t="n">
        <f aca="false">IF($B7838&lt;&gt;'設定（最初に1回）'!$C$4,N(U7837),IF(COUNTIFS(①今日の在庫を貼る!$B$6:$B$10005,$B7838,①今日の在庫を貼る!$I$6:$I$10005,$I7838)&gt;0,N(U7837),N(U7837)+1))</f>
        <v>2</v>
      </c>
    </row>
    <row r="7839" customFormat="false" ht="15" hidden="false" customHeight="false" outlineLevel="0" collapsed="false">
      <c r="B7839" s="53"/>
      <c r="I7839" s="53"/>
      <c r="U7839" s="31" t="n">
        <f aca="false">IF($B7839&lt;&gt;'設定（最初に1回）'!$C$4,N(U7838),IF(COUNTIFS(①今日の在庫を貼る!$B$6:$B$10005,$B7839,①今日の在庫を貼る!$I$6:$I$10005,$I7839)&gt;0,N(U7838),N(U7838)+1))</f>
        <v>2</v>
      </c>
    </row>
    <row r="7840" customFormat="false" ht="15" hidden="false" customHeight="false" outlineLevel="0" collapsed="false">
      <c r="B7840" s="53"/>
      <c r="I7840" s="53"/>
      <c r="U7840" s="31" t="n">
        <f aca="false">IF($B7840&lt;&gt;'設定（最初に1回）'!$C$4,N(U7839),IF(COUNTIFS(①今日の在庫を貼る!$B$6:$B$10005,$B7840,①今日の在庫を貼る!$I$6:$I$10005,$I7840)&gt;0,N(U7839),N(U7839)+1))</f>
        <v>2</v>
      </c>
    </row>
    <row r="7841" customFormat="false" ht="15" hidden="false" customHeight="false" outlineLevel="0" collapsed="false">
      <c r="B7841" s="53"/>
      <c r="I7841" s="53"/>
      <c r="U7841" s="31" t="n">
        <f aca="false">IF($B7841&lt;&gt;'設定（最初に1回）'!$C$4,N(U7840),IF(COUNTIFS(①今日の在庫を貼る!$B$6:$B$10005,$B7841,①今日の在庫を貼る!$I$6:$I$10005,$I7841)&gt;0,N(U7840),N(U7840)+1))</f>
        <v>2</v>
      </c>
    </row>
    <row r="7842" customFormat="false" ht="15" hidden="false" customHeight="false" outlineLevel="0" collapsed="false">
      <c r="B7842" s="53"/>
      <c r="I7842" s="53"/>
      <c r="U7842" s="31" t="n">
        <f aca="false">IF($B7842&lt;&gt;'設定（最初に1回）'!$C$4,N(U7841),IF(COUNTIFS(①今日の在庫を貼る!$B$6:$B$10005,$B7842,①今日の在庫を貼る!$I$6:$I$10005,$I7842)&gt;0,N(U7841),N(U7841)+1))</f>
        <v>2</v>
      </c>
    </row>
    <row r="7843" customFormat="false" ht="15" hidden="false" customHeight="false" outlineLevel="0" collapsed="false">
      <c r="B7843" s="53"/>
      <c r="I7843" s="53"/>
      <c r="U7843" s="31" t="n">
        <f aca="false">IF($B7843&lt;&gt;'設定（最初に1回）'!$C$4,N(U7842),IF(COUNTIFS(①今日の在庫を貼る!$B$6:$B$10005,$B7843,①今日の在庫を貼る!$I$6:$I$10005,$I7843)&gt;0,N(U7842),N(U7842)+1))</f>
        <v>2</v>
      </c>
    </row>
    <row r="7844" customFormat="false" ht="15" hidden="false" customHeight="false" outlineLevel="0" collapsed="false">
      <c r="B7844" s="53"/>
      <c r="I7844" s="53"/>
      <c r="U7844" s="31" t="n">
        <f aca="false">IF($B7844&lt;&gt;'設定（最初に1回）'!$C$4,N(U7843),IF(COUNTIFS(①今日の在庫を貼る!$B$6:$B$10005,$B7844,①今日の在庫を貼る!$I$6:$I$10005,$I7844)&gt;0,N(U7843),N(U7843)+1))</f>
        <v>2</v>
      </c>
    </row>
    <row r="7845" customFormat="false" ht="15" hidden="false" customHeight="false" outlineLevel="0" collapsed="false">
      <c r="B7845" s="53"/>
      <c r="I7845" s="53"/>
      <c r="U7845" s="31" t="n">
        <f aca="false">IF($B7845&lt;&gt;'設定（最初に1回）'!$C$4,N(U7844),IF(COUNTIFS(①今日の在庫を貼る!$B$6:$B$10005,$B7845,①今日の在庫を貼る!$I$6:$I$10005,$I7845)&gt;0,N(U7844),N(U7844)+1))</f>
        <v>2</v>
      </c>
    </row>
    <row r="7846" customFormat="false" ht="15" hidden="false" customHeight="false" outlineLevel="0" collapsed="false">
      <c r="B7846" s="53"/>
      <c r="I7846" s="53"/>
      <c r="U7846" s="31" t="n">
        <f aca="false">IF($B7846&lt;&gt;'設定（最初に1回）'!$C$4,N(U7845),IF(COUNTIFS(①今日の在庫を貼る!$B$6:$B$10005,$B7846,①今日の在庫を貼る!$I$6:$I$10005,$I7846)&gt;0,N(U7845),N(U7845)+1))</f>
        <v>2</v>
      </c>
    </row>
    <row r="7847" customFormat="false" ht="15" hidden="false" customHeight="false" outlineLevel="0" collapsed="false">
      <c r="B7847" s="53"/>
      <c r="I7847" s="53"/>
      <c r="U7847" s="31" t="n">
        <f aca="false">IF($B7847&lt;&gt;'設定（最初に1回）'!$C$4,N(U7846),IF(COUNTIFS(①今日の在庫を貼る!$B$6:$B$10005,$B7847,①今日の在庫を貼る!$I$6:$I$10005,$I7847)&gt;0,N(U7846),N(U7846)+1))</f>
        <v>2</v>
      </c>
    </row>
    <row r="7848" customFormat="false" ht="15" hidden="false" customHeight="false" outlineLevel="0" collapsed="false">
      <c r="B7848" s="53"/>
      <c r="I7848" s="53"/>
      <c r="U7848" s="31" t="n">
        <f aca="false">IF($B7848&lt;&gt;'設定（最初に1回）'!$C$4,N(U7847),IF(COUNTIFS(①今日の在庫を貼る!$B$6:$B$10005,$B7848,①今日の在庫を貼る!$I$6:$I$10005,$I7848)&gt;0,N(U7847),N(U7847)+1))</f>
        <v>2</v>
      </c>
    </row>
    <row r="7849" customFormat="false" ht="15" hidden="false" customHeight="false" outlineLevel="0" collapsed="false">
      <c r="B7849" s="53"/>
      <c r="I7849" s="53"/>
      <c r="U7849" s="31" t="n">
        <f aca="false">IF($B7849&lt;&gt;'設定（最初に1回）'!$C$4,N(U7848),IF(COUNTIFS(①今日の在庫を貼る!$B$6:$B$10005,$B7849,①今日の在庫を貼る!$I$6:$I$10005,$I7849)&gt;0,N(U7848),N(U7848)+1))</f>
        <v>2</v>
      </c>
    </row>
    <row r="7850" customFormat="false" ht="15" hidden="false" customHeight="false" outlineLevel="0" collapsed="false">
      <c r="B7850" s="53"/>
      <c r="I7850" s="53"/>
      <c r="U7850" s="31" t="n">
        <f aca="false">IF($B7850&lt;&gt;'設定（最初に1回）'!$C$4,N(U7849),IF(COUNTIFS(①今日の在庫を貼る!$B$6:$B$10005,$B7850,①今日の在庫を貼る!$I$6:$I$10005,$I7850)&gt;0,N(U7849),N(U7849)+1))</f>
        <v>2</v>
      </c>
    </row>
    <row r="7851" customFormat="false" ht="15" hidden="false" customHeight="false" outlineLevel="0" collapsed="false">
      <c r="B7851" s="53"/>
      <c r="I7851" s="53"/>
      <c r="U7851" s="31" t="n">
        <f aca="false">IF($B7851&lt;&gt;'設定（最初に1回）'!$C$4,N(U7850),IF(COUNTIFS(①今日の在庫を貼る!$B$6:$B$10005,$B7851,①今日の在庫を貼る!$I$6:$I$10005,$I7851)&gt;0,N(U7850),N(U7850)+1))</f>
        <v>2</v>
      </c>
    </row>
    <row r="7852" customFormat="false" ht="15" hidden="false" customHeight="false" outlineLevel="0" collapsed="false">
      <c r="B7852" s="53"/>
      <c r="I7852" s="53"/>
      <c r="U7852" s="31" t="n">
        <f aca="false">IF($B7852&lt;&gt;'設定（最初に1回）'!$C$4,N(U7851),IF(COUNTIFS(①今日の在庫を貼る!$B$6:$B$10005,$B7852,①今日の在庫を貼る!$I$6:$I$10005,$I7852)&gt;0,N(U7851),N(U7851)+1))</f>
        <v>2</v>
      </c>
    </row>
    <row r="7853" customFormat="false" ht="15" hidden="false" customHeight="false" outlineLevel="0" collapsed="false">
      <c r="B7853" s="53"/>
      <c r="I7853" s="53"/>
      <c r="U7853" s="31" t="n">
        <f aca="false">IF($B7853&lt;&gt;'設定（最初に1回）'!$C$4,N(U7852),IF(COUNTIFS(①今日の在庫を貼る!$B$6:$B$10005,$B7853,①今日の在庫を貼る!$I$6:$I$10005,$I7853)&gt;0,N(U7852),N(U7852)+1))</f>
        <v>2</v>
      </c>
    </row>
    <row r="7854" customFormat="false" ht="15" hidden="false" customHeight="false" outlineLevel="0" collapsed="false">
      <c r="B7854" s="53"/>
      <c r="I7854" s="53"/>
      <c r="U7854" s="31" t="n">
        <f aca="false">IF($B7854&lt;&gt;'設定（最初に1回）'!$C$4,N(U7853),IF(COUNTIFS(①今日の在庫を貼る!$B$6:$B$10005,$B7854,①今日の在庫を貼る!$I$6:$I$10005,$I7854)&gt;0,N(U7853),N(U7853)+1))</f>
        <v>2</v>
      </c>
    </row>
    <row r="7855" customFormat="false" ht="15" hidden="false" customHeight="false" outlineLevel="0" collapsed="false">
      <c r="B7855" s="53"/>
      <c r="I7855" s="53"/>
      <c r="U7855" s="31" t="n">
        <f aca="false">IF($B7855&lt;&gt;'設定（最初に1回）'!$C$4,N(U7854),IF(COUNTIFS(①今日の在庫を貼る!$B$6:$B$10005,$B7855,①今日の在庫を貼る!$I$6:$I$10005,$I7855)&gt;0,N(U7854),N(U7854)+1))</f>
        <v>2</v>
      </c>
    </row>
    <row r="7856" customFormat="false" ht="15" hidden="false" customHeight="false" outlineLevel="0" collapsed="false">
      <c r="B7856" s="53"/>
      <c r="I7856" s="53"/>
      <c r="U7856" s="31" t="n">
        <f aca="false">IF($B7856&lt;&gt;'設定（最初に1回）'!$C$4,N(U7855),IF(COUNTIFS(①今日の在庫を貼る!$B$6:$B$10005,$B7856,①今日の在庫を貼る!$I$6:$I$10005,$I7856)&gt;0,N(U7855),N(U7855)+1))</f>
        <v>2</v>
      </c>
    </row>
    <row r="7857" customFormat="false" ht="15" hidden="false" customHeight="false" outlineLevel="0" collapsed="false">
      <c r="B7857" s="53"/>
      <c r="I7857" s="53"/>
      <c r="U7857" s="31" t="n">
        <f aca="false">IF($B7857&lt;&gt;'設定（最初に1回）'!$C$4,N(U7856),IF(COUNTIFS(①今日の在庫を貼る!$B$6:$B$10005,$B7857,①今日の在庫を貼る!$I$6:$I$10005,$I7857)&gt;0,N(U7856),N(U7856)+1))</f>
        <v>2</v>
      </c>
    </row>
    <row r="7858" customFormat="false" ht="15" hidden="false" customHeight="false" outlineLevel="0" collapsed="false">
      <c r="B7858" s="53"/>
      <c r="I7858" s="53"/>
      <c r="U7858" s="31" t="n">
        <f aca="false">IF($B7858&lt;&gt;'設定（最初に1回）'!$C$4,N(U7857),IF(COUNTIFS(①今日の在庫を貼る!$B$6:$B$10005,$B7858,①今日の在庫を貼る!$I$6:$I$10005,$I7858)&gt;0,N(U7857),N(U7857)+1))</f>
        <v>2</v>
      </c>
    </row>
    <row r="7859" customFormat="false" ht="15" hidden="false" customHeight="false" outlineLevel="0" collapsed="false">
      <c r="B7859" s="53"/>
      <c r="I7859" s="53"/>
      <c r="U7859" s="31" t="n">
        <f aca="false">IF($B7859&lt;&gt;'設定（最初に1回）'!$C$4,N(U7858),IF(COUNTIFS(①今日の在庫を貼る!$B$6:$B$10005,$B7859,①今日の在庫を貼る!$I$6:$I$10005,$I7859)&gt;0,N(U7858),N(U7858)+1))</f>
        <v>2</v>
      </c>
    </row>
    <row r="7860" customFormat="false" ht="15" hidden="false" customHeight="false" outlineLevel="0" collapsed="false">
      <c r="B7860" s="53"/>
      <c r="I7860" s="53"/>
      <c r="U7860" s="31" t="n">
        <f aca="false">IF($B7860&lt;&gt;'設定（最初に1回）'!$C$4,N(U7859),IF(COUNTIFS(①今日の在庫を貼る!$B$6:$B$10005,$B7860,①今日の在庫を貼る!$I$6:$I$10005,$I7860)&gt;0,N(U7859),N(U7859)+1))</f>
        <v>2</v>
      </c>
    </row>
    <row r="7861" customFormat="false" ht="15" hidden="false" customHeight="false" outlineLevel="0" collapsed="false">
      <c r="B7861" s="53"/>
      <c r="I7861" s="53"/>
      <c r="U7861" s="31" t="n">
        <f aca="false">IF($B7861&lt;&gt;'設定（最初に1回）'!$C$4,N(U7860),IF(COUNTIFS(①今日の在庫を貼る!$B$6:$B$10005,$B7861,①今日の在庫を貼る!$I$6:$I$10005,$I7861)&gt;0,N(U7860),N(U7860)+1))</f>
        <v>2</v>
      </c>
    </row>
    <row r="7862" customFormat="false" ht="15" hidden="false" customHeight="false" outlineLevel="0" collapsed="false">
      <c r="B7862" s="53"/>
      <c r="I7862" s="53"/>
      <c r="U7862" s="31" t="n">
        <f aca="false">IF($B7862&lt;&gt;'設定（最初に1回）'!$C$4,N(U7861),IF(COUNTIFS(①今日の在庫を貼る!$B$6:$B$10005,$B7862,①今日の在庫を貼る!$I$6:$I$10005,$I7862)&gt;0,N(U7861),N(U7861)+1))</f>
        <v>2</v>
      </c>
    </row>
    <row r="7863" customFormat="false" ht="15" hidden="false" customHeight="false" outlineLevel="0" collapsed="false">
      <c r="B7863" s="53"/>
      <c r="I7863" s="53"/>
      <c r="U7863" s="31" t="n">
        <f aca="false">IF($B7863&lt;&gt;'設定（最初に1回）'!$C$4,N(U7862),IF(COUNTIFS(①今日の在庫を貼る!$B$6:$B$10005,$B7863,①今日の在庫を貼る!$I$6:$I$10005,$I7863)&gt;0,N(U7862),N(U7862)+1))</f>
        <v>2</v>
      </c>
    </row>
    <row r="7864" customFormat="false" ht="15" hidden="false" customHeight="false" outlineLevel="0" collapsed="false">
      <c r="B7864" s="53"/>
      <c r="I7864" s="53"/>
      <c r="U7864" s="31" t="n">
        <f aca="false">IF($B7864&lt;&gt;'設定（最初に1回）'!$C$4,N(U7863),IF(COUNTIFS(①今日の在庫を貼る!$B$6:$B$10005,$B7864,①今日の在庫を貼る!$I$6:$I$10005,$I7864)&gt;0,N(U7863),N(U7863)+1))</f>
        <v>2</v>
      </c>
    </row>
    <row r="7865" customFormat="false" ht="15" hidden="false" customHeight="false" outlineLevel="0" collapsed="false">
      <c r="B7865" s="53"/>
      <c r="I7865" s="53"/>
      <c r="U7865" s="31" t="n">
        <f aca="false">IF($B7865&lt;&gt;'設定（最初に1回）'!$C$4,N(U7864),IF(COUNTIFS(①今日の在庫を貼る!$B$6:$B$10005,$B7865,①今日の在庫を貼る!$I$6:$I$10005,$I7865)&gt;0,N(U7864),N(U7864)+1))</f>
        <v>2</v>
      </c>
    </row>
    <row r="7866" customFormat="false" ht="15" hidden="false" customHeight="false" outlineLevel="0" collapsed="false">
      <c r="B7866" s="53"/>
      <c r="I7866" s="53"/>
      <c r="U7866" s="31" t="n">
        <f aca="false">IF($B7866&lt;&gt;'設定（最初に1回）'!$C$4,N(U7865),IF(COUNTIFS(①今日の在庫を貼る!$B$6:$B$10005,$B7866,①今日の在庫を貼る!$I$6:$I$10005,$I7866)&gt;0,N(U7865),N(U7865)+1))</f>
        <v>2</v>
      </c>
    </row>
    <row r="7867" customFormat="false" ht="15" hidden="false" customHeight="false" outlineLevel="0" collapsed="false">
      <c r="B7867" s="53"/>
      <c r="I7867" s="53"/>
      <c r="U7867" s="31" t="n">
        <f aca="false">IF($B7867&lt;&gt;'設定（最初に1回）'!$C$4,N(U7866),IF(COUNTIFS(①今日の在庫を貼る!$B$6:$B$10005,$B7867,①今日の在庫を貼る!$I$6:$I$10005,$I7867)&gt;0,N(U7866),N(U7866)+1))</f>
        <v>2</v>
      </c>
    </row>
    <row r="7868" customFormat="false" ht="15" hidden="false" customHeight="false" outlineLevel="0" collapsed="false">
      <c r="B7868" s="53"/>
      <c r="I7868" s="53"/>
      <c r="U7868" s="31" t="n">
        <f aca="false">IF($B7868&lt;&gt;'設定（最初に1回）'!$C$4,N(U7867),IF(COUNTIFS(①今日の在庫を貼る!$B$6:$B$10005,$B7868,①今日の在庫を貼る!$I$6:$I$10005,$I7868)&gt;0,N(U7867),N(U7867)+1))</f>
        <v>2</v>
      </c>
    </row>
    <row r="7869" customFormat="false" ht="15" hidden="false" customHeight="false" outlineLevel="0" collapsed="false">
      <c r="B7869" s="53"/>
      <c r="I7869" s="53"/>
      <c r="U7869" s="31" t="n">
        <f aca="false">IF($B7869&lt;&gt;'設定（最初に1回）'!$C$4,N(U7868),IF(COUNTIFS(①今日の在庫を貼る!$B$6:$B$10005,$B7869,①今日の在庫を貼る!$I$6:$I$10005,$I7869)&gt;0,N(U7868),N(U7868)+1))</f>
        <v>2</v>
      </c>
    </row>
    <row r="7870" customFormat="false" ht="15" hidden="false" customHeight="false" outlineLevel="0" collapsed="false">
      <c r="B7870" s="53"/>
      <c r="I7870" s="53"/>
      <c r="U7870" s="31" t="n">
        <f aca="false">IF($B7870&lt;&gt;'設定（最初に1回）'!$C$4,N(U7869),IF(COUNTIFS(①今日の在庫を貼る!$B$6:$B$10005,$B7870,①今日の在庫を貼る!$I$6:$I$10005,$I7870)&gt;0,N(U7869),N(U7869)+1))</f>
        <v>2</v>
      </c>
    </row>
    <row r="7871" customFormat="false" ht="15" hidden="false" customHeight="false" outlineLevel="0" collapsed="false">
      <c r="B7871" s="53"/>
      <c r="I7871" s="53"/>
      <c r="U7871" s="31" t="n">
        <f aca="false">IF($B7871&lt;&gt;'設定（最初に1回）'!$C$4,N(U7870),IF(COUNTIFS(①今日の在庫を貼る!$B$6:$B$10005,$B7871,①今日の在庫を貼る!$I$6:$I$10005,$I7871)&gt;0,N(U7870),N(U7870)+1))</f>
        <v>2</v>
      </c>
    </row>
    <row r="7872" customFormat="false" ht="15" hidden="false" customHeight="false" outlineLevel="0" collapsed="false">
      <c r="B7872" s="53"/>
      <c r="I7872" s="53"/>
      <c r="U7872" s="31" t="n">
        <f aca="false">IF($B7872&lt;&gt;'設定（最初に1回）'!$C$4,N(U7871),IF(COUNTIFS(①今日の在庫を貼る!$B$6:$B$10005,$B7872,①今日の在庫を貼る!$I$6:$I$10005,$I7872)&gt;0,N(U7871),N(U7871)+1))</f>
        <v>2</v>
      </c>
    </row>
    <row r="7873" customFormat="false" ht="15" hidden="false" customHeight="false" outlineLevel="0" collapsed="false">
      <c r="B7873" s="53"/>
      <c r="I7873" s="53"/>
      <c r="U7873" s="31" t="n">
        <f aca="false">IF($B7873&lt;&gt;'設定（最初に1回）'!$C$4,N(U7872),IF(COUNTIFS(①今日の在庫を貼る!$B$6:$B$10005,$B7873,①今日の在庫を貼る!$I$6:$I$10005,$I7873)&gt;0,N(U7872),N(U7872)+1))</f>
        <v>2</v>
      </c>
    </row>
    <row r="7874" customFormat="false" ht="15" hidden="false" customHeight="false" outlineLevel="0" collapsed="false">
      <c r="B7874" s="53"/>
      <c r="I7874" s="53"/>
      <c r="U7874" s="31" t="n">
        <f aca="false">IF($B7874&lt;&gt;'設定（最初に1回）'!$C$4,N(U7873),IF(COUNTIFS(①今日の在庫を貼る!$B$6:$B$10005,$B7874,①今日の在庫を貼る!$I$6:$I$10005,$I7874)&gt;0,N(U7873),N(U7873)+1))</f>
        <v>2</v>
      </c>
    </row>
    <row r="7875" customFormat="false" ht="15" hidden="false" customHeight="false" outlineLevel="0" collapsed="false">
      <c r="B7875" s="53"/>
      <c r="I7875" s="53"/>
      <c r="U7875" s="31" t="n">
        <f aca="false">IF($B7875&lt;&gt;'設定（最初に1回）'!$C$4,N(U7874),IF(COUNTIFS(①今日の在庫を貼る!$B$6:$B$10005,$B7875,①今日の在庫を貼る!$I$6:$I$10005,$I7875)&gt;0,N(U7874),N(U7874)+1))</f>
        <v>2</v>
      </c>
    </row>
    <row r="7876" customFormat="false" ht="15" hidden="false" customHeight="false" outlineLevel="0" collapsed="false">
      <c r="B7876" s="53"/>
      <c r="I7876" s="53"/>
      <c r="U7876" s="31" t="n">
        <f aca="false">IF($B7876&lt;&gt;'設定（最初に1回）'!$C$4,N(U7875),IF(COUNTIFS(①今日の在庫を貼る!$B$6:$B$10005,$B7876,①今日の在庫を貼る!$I$6:$I$10005,$I7876)&gt;0,N(U7875),N(U7875)+1))</f>
        <v>2</v>
      </c>
    </row>
    <row r="7877" customFormat="false" ht="15" hidden="false" customHeight="false" outlineLevel="0" collapsed="false">
      <c r="B7877" s="53"/>
      <c r="I7877" s="53"/>
      <c r="U7877" s="31" t="n">
        <f aca="false">IF($B7877&lt;&gt;'設定（最初に1回）'!$C$4,N(U7876),IF(COUNTIFS(①今日の在庫を貼る!$B$6:$B$10005,$B7877,①今日の在庫を貼る!$I$6:$I$10005,$I7877)&gt;0,N(U7876),N(U7876)+1))</f>
        <v>2</v>
      </c>
    </row>
    <row r="7878" customFormat="false" ht="15" hidden="false" customHeight="false" outlineLevel="0" collapsed="false">
      <c r="B7878" s="53"/>
      <c r="I7878" s="53"/>
      <c r="U7878" s="31" t="n">
        <f aca="false">IF($B7878&lt;&gt;'設定（最初に1回）'!$C$4,N(U7877),IF(COUNTIFS(①今日の在庫を貼る!$B$6:$B$10005,$B7878,①今日の在庫を貼る!$I$6:$I$10005,$I7878)&gt;0,N(U7877),N(U7877)+1))</f>
        <v>2</v>
      </c>
    </row>
    <row r="7879" customFormat="false" ht="15" hidden="false" customHeight="false" outlineLevel="0" collapsed="false">
      <c r="B7879" s="53"/>
      <c r="I7879" s="53"/>
      <c r="U7879" s="31" t="n">
        <f aca="false">IF($B7879&lt;&gt;'設定（最初に1回）'!$C$4,N(U7878),IF(COUNTIFS(①今日の在庫を貼る!$B$6:$B$10005,$B7879,①今日の在庫を貼る!$I$6:$I$10005,$I7879)&gt;0,N(U7878),N(U7878)+1))</f>
        <v>2</v>
      </c>
    </row>
    <row r="7880" customFormat="false" ht="15" hidden="false" customHeight="false" outlineLevel="0" collapsed="false">
      <c r="B7880" s="53"/>
      <c r="I7880" s="53"/>
      <c r="U7880" s="31" t="n">
        <f aca="false">IF($B7880&lt;&gt;'設定（最初に1回）'!$C$4,N(U7879),IF(COUNTIFS(①今日の在庫を貼る!$B$6:$B$10005,$B7880,①今日の在庫を貼る!$I$6:$I$10005,$I7880)&gt;0,N(U7879),N(U7879)+1))</f>
        <v>2</v>
      </c>
    </row>
    <row r="7881" customFormat="false" ht="15" hidden="false" customHeight="false" outlineLevel="0" collapsed="false">
      <c r="B7881" s="53"/>
      <c r="I7881" s="53"/>
      <c r="U7881" s="31" t="n">
        <f aca="false">IF($B7881&lt;&gt;'設定（最初に1回）'!$C$4,N(U7880),IF(COUNTIFS(①今日の在庫を貼る!$B$6:$B$10005,$B7881,①今日の在庫を貼る!$I$6:$I$10005,$I7881)&gt;0,N(U7880),N(U7880)+1))</f>
        <v>2</v>
      </c>
    </row>
    <row r="7882" customFormat="false" ht="15" hidden="false" customHeight="false" outlineLevel="0" collapsed="false">
      <c r="B7882" s="53"/>
      <c r="I7882" s="53"/>
      <c r="U7882" s="31" t="n">
        <f aca="false">IF($B7882&lt;&gt;'設定（最初に1回）'!$C$4,N(U7881),IF(COUNTIFS(①今日の在庫を貼る!$B$6:$B$10005,$B7882,①今日の在庫を貼る!$I$6:$I$10005,$I7882)&gt;0,N(U7881),N(U7881)+1))</f>
        <v>2</v>
      </c>
    </row>
    <row r="7883" customFormat="false" ht="15" hidden="false" customHeight="false" outlineLevel="0" collapsed="false">
      <c r="B7883" s="53"/>
      <c r="I7883" s="53"/>
      <c r="U7883" s="31" t="n">
        <f aca="false">IF($B7883&lt;&gt;'設定（最初に1回）'!$C$4,N(U7882),IF(COUNTIFS(①今日の在庫を貼る!$B$6:$B$10005,$B7883,①今日の在庫を貼る!$I$6:$I$10005,$I7883)&gt;0,N(U7882),N(U7882)+1))</f>
        <v>2</v>
      </c>
    </row>
    <row r="7884" customFormat="false" ht="15" hidden="false" customHeight="false" outlineLevel="0" collapsed="false">
      <c r="B7884" s="53"/>
      <c r="I7884" s="53"/>
      <c r="U7884" s="31" t="n">
        <f aca="false">IF($B7884&lt;&gt;'設定（最初に1回）'!$C$4,N(U7883),IF(COUNTIFS(①今日の在庫を貼る!$B$6:$B$10005,$B7884,①今日の在庫を貼る!$I$6:$I$10005,$I7884)&gt;0,N(U7883),N(U7883)+1))</f>
        <v>2</v>
      </c>
    </row>
    <row r="7885" customFormat="false" ht="15" hidden="false" customHeight="false" outlineLevel="0" collapsed="false">
      <c r="B7885" s="53"/>
      <c r="I7885" s="53"/>
      <c r="U7885" s="31" t="n">
        <f aca="false">IF($B7885&lt;&gt;'設定（最初に1回）'!$C$4,N(U7884),IF(COUNTIFS(①今日の在庫を貼る!$B$6:$B$10005,$B7885,①今日の在庫を貼る!$I$6:$I$10005,$I7885)&gt;0,N(U7884),N(U7884)+1))</f>
        <v>2</v>
      </c>
    </row>
    <row r="7886" customFormat="false" ht="15" hidden="false" customHeight="false" outlineLevel="0" collapsed="false">
      <c r="B7886" s="53"/>
      <c r="I7886" s="53"/>
      <c r="U7886" s="31" t="n">
        <f aca="false">IF($B7886&lt;&gt;'設定（最初に1回）'!$C$4,N(U7885),IF(COUNTIFS(①今日の在庫を貼る!$B$6:$B$10005,$B7886,①今日の在庫を貼る!$I$6:$I$10005,$I7886)&gt;0,N(U7885),N(U7885)+1))</f>
        <v>2</v>
      </c>
    </row>
    <row r="7887" customFormat="false" ht="15" hidden="false" customHeight="false" outlineLevel="0" collapsed="false">
      <c r="B7887" s="53"/>
      <c r="I7887" s="53"/>
      <c r="U7887" s="31" t="n">
        <f aca="false">IF($B7887&lt;&gt;'設定（最初に1回）'!$C$4,N(U7886),IF(COUNTIFS(①今日の在庫を貼る!$B$6:$B$10005,$B7887,①今日の在庫を貼る!$I$6:$I$10005,$I7887)&gt;0,N(U7886),N(U7886)+1))</f>
        <v>2</v>
      </c>
    </row>
    <row r="7888" customFormat="false" ht="15" hidden="false" customHeight="false" outlineLevel="0" collapsed="false">
      <c r="B7888" s="53"/>
      <c r="I7888" s="53"/>
      <c r="U7888" s="31" t="n">
        <f aca="false">IF($B7888&lt;&gt;'設定（最初に1回）'!$C$4,N(U7887),IF(COUNTIFS(①今日の在庫を貼る!$B$6:$B$10005,$B7888,①今日の在庫を貼る!$I$6:$I$10005,$I7888)&gt;0,N(U7887),N(U7887)+1))</f>
        <v>2</v>
      </c>
    </row>
    <row r="7889" customFormat="false" ht="15" hidden="false" customHeight="false" outlineLevel="0" collapsed="false">
      <c r="B7889" s="53"/>
      <c r="I7889" s="53"/>
      <c r="U7889" s="31" t="n">
        <f aca="false">IF($B7889&lt;&gt;'設定（最初に1回）'!$C$4,N(U7888),IF(COUNTIFS(①今日の在庫を貼る!$B$6:$B$10005,$B7889,①今日の在庫を貼る!$I$6:$I$10005,$I7889)&gt;0,N(U7888),N(U7888)+1))</f>
        <v>2</v>
      </c>
    </row>
    <row r="7890" customFormat="false" ht="15" hidden="false" customHeight="false" outlineLevel="0" collapsed="false">
      <c r="B7890" s="53"/>
      <c r="I7890" s="53"/>
      <c r="U7890" s="31" t="n">
        <f aca="false">IF($B7890&lt;&gt;'設定（最初に1回）'!$C$4,N(U7889),IF(COUNTIFS(①今日の在庫を貼る!$B$6:$B$10005,$B7890,①今日の在庫を貼る!$I$6:$I$10005,$I7890)&gt;0,N(U7889),N(U7889)+1))</f>
        <v>2</v>
      </c>
    </row>
    <row r="7891" customFormat="false" ht="15" hidden="false" customHeight="false" outlineLevel="0" collapsed="false">
      <c r="B7891" s="53"/>
      <c r="I7891" s="53"/>
      <c r="U7891" s="31" t="n">
        <f aca="false">IF($B7891&lt;&gt;'設定（最初に1回）'!$C$4,N(U7890),IF(COUNTIFS(①今日の在庫を貼る!$B$6:$B$10005,$B7891,①今日の在庫を貼る!$I$6:$I$10005,$I7891)&gt;0,N(U7890),N(U7890)+1))</f>
        <v>2</v>
      </c>
    </row>
    <row r="7892" customFormat="false" ht="15" hidden="false" customHeight="false" outlineLevel="0" collapsed="false">
      <c r="B7892" s="53"/>
      <c r="I7892" s="53"/>
      <c r="U7892" s="31" t="n">
        <f aca="false">IF($B7892&lt;&gt;'設定（最初に1回）'!$C$4,N(U7891),IF(COUNTIFS(①今日の在庫を貼る!$B$6:$B$10005,$B7892,①今日の在庫を貼る!$I$6:$I$10005,$I7892)&gt;0,N(U7891),N(U7891)+1))</f>
        <v>2</v>
      </c>
    </row>
    <row r="7893" customFormat="false" ht="15" hidden="false" customHeight="false" outlineLevel="0" collapsed="false">
      <c r="B7893" s="53"/>
      <c r="I7893" s="53"/>
      <c r="U7893" s="31" t="n">
        <f aca="false">IF($B7893&lt;&gt;'設定（最初に1回）'!$C$4,N(U7892),IF(COUNTIFS(①今日の在庫を貼る!$B$6:$B$10005,$B7893,①今日の在庫を貼る!$I$6:$I$10005,$I7893)&gt;0,N(U7892),N(U7892)+1))</f>
        <v>2</v>
      </c>
    </row>
    <row r="7894" customFormat="false" ht="15" hidden="false" customHeight="false" outlineLevel="0" collapsed="false">
      <c r="B7894" s="53"/>
      <c r="I7894" s="53"/>
      <c r="U7894" s="31" t="n">
        <f aca="false">IF($B7894&lt;&gt;'設定（最初に1回）'!$C$4,N(U7893),IF(COUNTIFS(①今日の在庫を貼る!$B$6:$B$10005,$B7894,①今日の在庫を貼る!$I$6:$I$10005,$I7894)&gt;0,N(U7893),N(U7893)+1))</f>
        <v>2</v>
      </c>
    </row>
    <row r="7895" customFormat="false" ht="15" hidden="false" customHeight="false" outlineLevel="0" collapsed="false">
      <c r="B7895" s="53"/>
      <c r="I7895" s="53"/>
      <c r="U7895" s="31" t="n">
        <f aca="false">IF($B7895&lt;&gt;'設定（最初に1回）'!$C$4,N(U7894),IF(COUNTIFS(①今日の在庫を貼る!$B$6:$B$10005,$B7895,①今日の在庫を貼る!$I$6:$I$10005,$I7895)&gt;0,N(U7894),N(U7894)+1))</f>
        <v>2</v>
      </c>
    </row>
    <row r="7896" customFormat="false" ht="15" hidden="false" customHeight="false" outlineLevel="0" collapsed="false">
      <c r="B7896" s="53"/>
      <c r="I7896" s="53"/>
      <c r="U7896" s="31" t="n">
        <f aca="false">IF($B7896&lt;&gt;'設定（最初に1回）'!$C$4,N(U7895),IF(COUNTIFS(①今日の在庫を貼る!$B$6:$B$10005,$B7896,①今日の在庫を貼る!$I$6:$I$10005,$I7896)&gt;0,N(U7895),N(U7895)+1))</f>
        <v>2</v>
      </c>
    </row>
    <row r="7897" customFormat="false" ht="15" hidden="false" customHeight="false" outlineLevel="0" collapsed="false">
      <c r="B7897" s="53"/>
      <c r="I7897" s="53"/>
      <c r="U7897" s="31" t="n">
        <f aca="false">IF($B7897&lt;&gt;'設定（最初に1回）'!$C$4,N(U7896),IF(COUNTIFS(①今日の在庫を貼る!$B$6:$B$10005,$B7897,①今日の在庫を貼る!$I$6:$I$10005,$I7897)&gt;0,N(U7896),N(U7896)+1))</f>
        <v>2</v>
      </c>
    </row>
    <row r="7898" customFormat="false" ht="15" hidden="false" customHeight="false" outlineLevel="0" collapsed="false">
      <c r="B7898" s="53"/>
      <c r="I7898" s="53"/>
      <c r="U7898" s="31" t="n">
        <f aca="false">IF($B7898&lt;&gt;'設定（最初に1回）'!$C$4,N(U7897),IF(COUNTIFS(①今日の在庫を貼る!$B$6:$B$10005,$B7898,①今日の在庫を貼る!$I$6:$I$10005,$I7898)&gt;0,N(U7897),N(U7897)+1))</f>
        <v>2</v>
      </c>
    </row>
    <row r="7899" customFormat="false" ht="15" hidden="false" customHeight="false" outlineLevel="0" collapsed="false">
      <c r="B7899" s="53"/>
      <c r="I7899" s="53"/>
      <c r="U7899" s="31" t="n">
        <f aca="false">IF($B7899&lt;&gt;'設定（最初に1回）'!$C$4,N(U7898),IF(COUNTIFS(①今日の在庫を貼る!$B$6:$B$10005,$B7899,①今日の在庫を貼る!$I$6:$I$10005,$I7899)&gt;0,N(U7898),N(U7898)+1))</f>
        <v>2</v>
      </c>
    </row>
    <row r="7900" customFormat="false" ht="15" hidden="false" customHeight="false" outlineLevel="0" collapsed="false">
      <c r="B7900" s="53"/>
      <c r="I7900" s="53"/>
      <c r="U7900" s="31" t="n">
        <f aca="false">IF($B7900&lt;&gt;'設定（最初に1回）'!$C$4,N(U7899),IF(COUNTIFS(①今日の在庫を貼る!$B$6:$B$10005,$B7900,①今日の在庫を貼る!$I$6:$I$10005,$I7900)&gt;0,N(U7899),N(U7899)+1))</f>
        <v>2</v>
      </c>
    </row>
    <row r="7901" customFormat="false" ht="15" hidden="false" customHeight="false" outlineLevel="0" collapsed="false">
      <c r="B7901" s="53"/>
      <c r="I7901" s="53"/>
      <c r="U7901" s="31" t="n">
        <f aca="false">IF($B7901&lt;&gt;'設定（最初に1回）'!$C$4,N(U7900),IF(COUNTIFS(①今日の在庫を貼る!$B$6:$B$10005,$B7901,①今日の在庫を貼る!$I$6:$I$10005,$I7901)&gt;0,N(U7900),N(U7900)+1))</f>
        <v>2</v>
      </c>
    </row>
    <row r="7902" customFormat="false" ht="15" hidden="false" customHeight="false" outlineLevel="0" collapsed="false">
      <c r="B7902" s="53"/>
      <c r="I7902" s="53"/>
      <c r="U7902" s="31" t="n">
        <f aca="false">IF($B7902&lt;&gt;'設定（最初に1回）'!$C$4,N(U7901),IF(COUNTIFS(①今日の在庫を貼る!$B$6:$B$10005,$B7902,①今日の在庫を貼る!$I$6:$I$10005,$I7902)&gt;0,N(U7901),N(U7901)+1))</f>
        <v>2</v>
      </c>
    </row>
    <row r="7903" customFormat="false" ht="15" hidden="false" customHeight="false" outlineLevel="0" collapsed="false">
      <c r="B7903" s="53"/>
      <c r="I7903" s="53"/>
      <c r="U7903" s="31" t="n">
        <f aca="false">IF($B7903&lt;&gt;'設定（最初に1回）'!$C$4,N(U7902),IF(COUNTIFS(①今日の在庫を貼る!$B$6:$B$10005,$B7903,①今日の在庫を貼る!$I$6:$I$10005,$I7903)&gt;0,N(U7902),N(U7902)+1))</f>
        <v>2</v>
      </c>
    </row>
    <row r="7904" customFormat="false" ht="15" hidden="false" customHeight="false" outlineLevel="0" collapsed="false">
      <c r="B7904" s="53"/>
      <c r="I7904" s="53"/>
      <c r="U7904" s="31" t="n">
        <f aca="false">IF($B7904&lt;&gt;'設定（最初に1回）'!$C$4,N(U7903),IF(COUNTIFS(①今日の在庫を貼る!$B$6:$B$10005,$B7904,①今日の在庫を貼る!$I$6:$I$10005,$I7904)&gt;0,N(U7903),N(U7903)+1))</f>
        <v>2</v>
      </c>
    </row>
    <row r="7905" customFormat="false" ht="15" hidden="false" customHeight="false" outlineLevel="0" collapsed="false">
      <c r="B7905" s="53"/>
      <c r="I7905" s="53"/>
      <c r="U7905" s="31" t="n">
        <f aca="false">IF($B7905&lt;&gt;'設定（最初に1回）'!$C$4,N(U7904),IF(COUNTIFS(①今日の在庫を貼る!$B$6:$B$10005,$B7905,①今日の在庫を貼る!$I$6:$I$10005,$I7905)&gt;0,N(U7904),N(U7904)+1))</f>
        <v>2</v>
      </c>
    </row>
    <row r="7906" customFormat="false" ht="15" hidden="false" customHeight="false" outlineLevel="0" collapsed="false">
      <c r="B7906" s="53"/>
      <c r="I7906" s="53"/>
      <c r="U7906" s="31" t="n">
        <f aca="false">IF($B7906&lt;&gt;'設定（最初に1回）'!$C$4,N(U7905),IF(COUNTIFS(①今日の在庫を貼る!$B$6:$B$10005,$B7906,①今日の在庫を貼る!$I$6:$I$10005,$I7906)&gt;0,N(U7905),N(U7905)+1))</f>
        <v>2</v>
      </c>
    </row>
    <row r="7907" customFormat="false" ht="15" hidden="false" customHeight="false" outlineLevel="0" collapsed="false">
      <c r="B7907" s="53"/>
      <c r="I7907" s="53"/>
      <c r="U7907" s="31" t="n">
        <f aca="false">IF($B7907&lt;&gt;'設定（最初に1回）'!$C$4,N(U7906),IF(COUNTIFS(①今日の在庫を貼る!$B$6:$B$10005,$B7907,①今日の在庫を貼る!$I$6:$I$10005,$I7907)&gt;0,N(U7906),N(U7906)+1))</f>
        <v>2</v>
      </c>
    </row>
    <row r="7908" customFormat="false" ht="15" hidden="false" customHeight="false" outlineLevel="0" collapsed="false">
      <c r="B7908" s="53"/>
      <c r="I7908" s="53"/>
      <c r="U7908" s="31" t="n">
        <f aca="false">IF($B7908&lt;&gt;'設定（最初に1回）'!$C$4,N(U7907),IF(COUNTIFS(①今日の在庫を貼る!$B$6:$B$10005,$B7908,①今日の在庫を貼る!$I$6:$I$10005,$I7908)&gt;0,N(U7907),N(U7907)+1))</f>
        <v>2</v>
      </c>
    </row>
    <row r="7909" customFormat="false" ht="15" hidden="false" customHeight="false" outlineLevel="0" collapsed="false">
      <c r="B7909" s="53"/>
      <c r="I7909" s="53"/>
      <c r="U7909" s="31" t="n">
        <f aca="false">IF($B7909&lt;&gt;'設定（最初に1回）'!$C$4,N(U7908),IF(COUNTIFS(①今日の在庫を貼る!$B$6:$B$10005,$B7909,①今日の在庫を貼る!$I$6:$I$10005,$I7909)&gt;0,N(U7908),N(U7908)+1))</f>
        <v>2</v>
      </c>
    </row>
    <row r="7910" customFormat="false" ht="15" hidden="false" customHeight="false" outlineLevel="0" collapsed="false">
      <c r="B7910" s="53"/>
      <c r="I7910" s="53"/>
      <c r="U7910" s="31" t="n">
        <f aca="false">IF($B7910&lt;&gt;'設定（最初に1回）'!$C$4,N(U7909),IF(COUNTIFS(①今日の在庫を貼る!$B$6:$B$10005,$B7910,①今日の在庫を貼る!$I$6:$I$10005,$I7910)&gt;0,N(U7909),N(U7909)+1))</f>
        <v>2</v>
      </c>
    </row>
    <row r="7911" customFormat="false" ht="15" hidden="false" customHeight="false" outlineLevel="0" collapsed="false">
      <c r="B7911" s="53"/>
      <c r="I7911" s="53"/>
      <c r="U7911" s="31" t="n">
        <f aca="false">IF($B7911&lt;&gt;'設定（最初に1回）'!$C$4,N(U7910),IF(COUNTIFS(①今日の在庫を貼る!$B$6:$B$10005,$B7911,①今日の在庫を貼る!$I$6:$I$10005,$I7911)&gt;0,N(U7910),N(U7910)+1))</f>
        <v>2</v>
      </c>
    </row>
    <row r="7912" customFormat="false" ht="15" hidden="false" customHeight="false" outlineLevel="0" collapsed="false">
      <c r="B7912" s="53"/>
      <c r="I7912" s="53"/>
      <c r="U7912" s="31" t="n">
        <f aca="false">IF($B7912&lt;&gt;'設定（最初に1回）'!$C$4,N(U7911),IF(COUNTIFS(①今日の在庫を貼る!$B$6:$B$10005,$B7912,①今日の在庫を貼る!$I$6:$I$10005,$I7912)&gt;0,N(U7911),N(U7911)+1))</f>
        <v>2</v>
      </c>
    </row>
    <row r="7913" customFormat="false" ht="15" hidden="false" customHeight="false" outlineLevel="0" collapsed="false">
      <c r="B7913" s="53"/>
      <c r="I7913" s="53"/>
      <c r="U7913" s="31" t="n">
        <f aca="false">IF($B7913&lt;&gt;'設定（最初に1回）'!$C$4,N(U7912),IF(COUNTIFS(①今日の在庫を貼る!$B$6:$B$10005,$B7913,①今日の在庫を貼る!$I$6:$I$10005,$I7913)&gt;0,N(U7912),N(U7912)+1))</f>
        <v>2</v>
      </c>
    </row>
    <row r="7914" customFormat="false" ht="15" hidden="false" customHeight="false" outlineLevel="0" collapsed="false">
      <c r="B7914" s="53"/>
      <c r="I7914" s="53"/>
      <c r="U7914" s="31" t="n">
        <f aca="false">IF($B7914&lt;&gt;'設定（最初に1回）'!$C$4,N(U7913),IF(COUNTIFS(①今日の在庫を貼る!$B$6:$B$10005,$B7914,①今日の在庫を貼る!$I$6:$I$10005,$I7914)&gt;0,N(U7913),N(U7913)+1))</f>
        <v>2</v>
      </c>
    </row>
    <row r="7915" customFormat="false" ht="15" hidden="false" customHeight="false" outlineLevel="0" collapsed="false">
      <c r="B7915" s="53"/>
      <c r="I7915" s="53"/>
      <c r="U7915" s="31" t="n">
        <f aca="false">IF($B7915&lt;&gt;'設定（最初に1回）'!$C$4,N(U7914),IF(COUNTIFS(①今日の在庫を貼る!$B$6:$B$10005,$B7915,①今日の在庫を貼る!$I$6:$I$10005,$I7915)&gt;0,N(U7914),N(U7914)+1))</f>
        <v>2</v>
      </c>
    </row>
    <row r="7916" customFormat="false" ht="15" hidden="false" customHeight="false" outlineLevel="0" collapsed="false">
      <c r="B7916" s="53"/>
      <c r="I7916" s="53"/>
      <c r="U7916" s="31" t="n">
        <f aca="false">IF($B7916&lt;&gt;'設定（最初に1回）'!$C$4,N(U7915),IF(COUNTIFS(①今日の在庫を貼る!$B$6:$B$10005,$B7916,①今日の在庫を貼る!$I$6:$I$10005,$I7916)&gt;0,N(U7915),N(U7915)+1))</f>
        <v>2</v>
      </c>
    </row>
    <row r="7917" customFormat="false" ht="15" hidden="false" customHeight="false" outlineLevel="0" collapsed="false">
      <c r="B7917" s="53"/>
      <c r="I7917" s="53"/>
      <c r="U7917" s="31" t="n">
        <f aca="false">IF($B7917&lt;&gt;'設定（最初に1回）'!$C$4,N(U7916),IF(COUNTIFS(①今日の在庫を貼る!$B$6:$B$10005,$B7917,①今日の在庫を貼る!$I$6:$I$10005,$I7917)&gt;0,N(U7916),N(U7916)+1))</f>
        <v>2</v>
      </c>
    </row>
    <row r="7918" customFormat="false" ht="15" hidden="false" customHeight="false" outlineLevel="0" collapsed="false">
      <c r="B7918" s="53"/>
      <c r="I7918" s="53"/>
      <c r="U7918" s="31" t="n">
        <f aca="false">IF($B7918&lt;&gt;'設定（最初に1回）'!$C$4,N(U7917),IF(COUNTIFS(①今日の在庫を貼る!$B$6:$B$10005,$B7918,①今日の在庫を貼る!$I$6:$I$10005,$I7918)&gt;0,N(U7917),N(U7917)+1))</f>
        <v>2</v>
      </c>
    </row>
    <row r="7919" customFormat="false" ht="15" hidden="false" customHeight="false" outlineLevel="0" collapsed="false">
      <c r="B7919" s="53"/>
      <c r="I7919" s="53"/>
      <c r="U7919" s="31" t="n">
        <f aca="false">IF($B7919&lt;&gt;'設定（最初に1回）'!$C$4,N(U7918),IF(COUNTIFS(①今日の在庫を貼る!$B$6:$B$10005,$B7919,①今日の在庫を貼る!$I$6:$I$10005,$I7919)&gt;0,N(U7918),N(U7918)+1))</f>
        <v>2</v>
      </c>
    </row>
    <row r="7920" customFormat="false" ht="15" hidden="false" customHeight="false" outlineLevel="0" collapsed="false">
      <c r="B7920" s="53"/>
      <c r="I7920" s="53"/>
      <c r="U7920" s="31" t="n">
        <f aca="false">IF($B7920&lt;&gt;'設定（最初に1回）'!$C$4,N(U7919),IF(COUNTIFS(①今日の在庫を貼る!$B$6:$B$10005,$B7920,①今日の在庫を貼る!$I$6:$I$10005,$I7920)&gt;0,N(U7919),N(U7919)+1))</f>
        <v>2</v>
      </c>
    </row>
    <row r="7921" customFormat="false" ht="15" hidden="false" customHeight="false" outlineLevel="0" collapsed="false">
      <c r="B7921" s="53"/>
      <c r="I7921" s="53"/>
      <c r="U7921" s="31" t="n">
        <f aca="false">IF($B7921&lt;&gt;'設定（最初に1回）'!$C$4,N(U7920),IF(COUNTIFS(①今日の在庫を貼る!$B$6:$B$10005,$B7921,①今日の在庫を貼る!$I$6:$I$10005,$I7921)&gt;0,N(U7920),N(U7920)+1))</f>
        <v>2</v>
      </c>
    </row>
    <row r="7922" customFormat="false" ht="15" hidden="false" customHeight="false" outlineLevel="0" collapsed="false">
      <c r="B7922" s="53"/>
      <c r="I7922" s="53"/>
      <c r="U7922" s="31" t="n">
        <f aca="false">IF($B7922&lt;&gt;'設定（最初に1回）'!$C$4,N(U7921),IF(COUNTIFS(①今日の在庫を貼る!$B$6:$B$10005,$B7922,①今日の在庫を貼る!$I$6:$I$10005,$I7922)&gt;0,N(U7921),N(U7921)+1))</f>
        <v>2</v>
      </c>
    </row>
    <row r="7923" customFormat="false" ht="15" hidden="false" customHeight="false" outlineLevel="0" collapsed="false">
      <c r="B7923" s="53"/>
      <c r="I7923" s="53"/>
      <c r="U7923" s="31" t="n">
        <f aca="false">IF($B7923&lt;&gt;'設定（最初に1回）'!$C$4,N(U7922),IF(COUNTIFS(①今日の在庫を貼る!$B$6:$B$10005,$B7923,①今日の在庫を貼る!$I$6:$I$10005,$I7923)&gt;0,N(U7922),N(U7922)+1))</f>
        <v>2</v>
      </c>
    </row>
    <row r="7924" customFormat="false" ht="15" hidden="false" customHeight="false" outlineLevel="0" collapsed="false">
      <c r="B7924" s="53"/>
      <c r="I7924" s="53"/>
      <c r="U7924" s="31" t="n">
        <f aca="false">IF($B7924&lt;&gt;'設定（最初に1回）'!$C$4,N(U7923),IF(COUNTIFS(①今日の在庫を貼る!$B$6:$B$10005,$B7924,①今日の在庫を貼る!$I$6:$I$10005,$I7924)&gt;0,N(U7923),N(U7923)+1))</f>
        <v>2</v>
      </c>
    </row>
    <row r="7925" customFormat="false" ht="15" hidden="false" customHeight="false" outlineLevel="0" collapsed="false">
      <c r="B7925" s="53"/>
      <c r="I7925" s="53"/>
      <c r="U7925" s="31" t="n">
        <f aca="false">IF($B7925&lt;&gt;'設定（最初に1回）'!$C$4,N(U7924),IF(COUNTIFS(①今日の在庫を貼る!$B$6:$B$10005,$B7925,①今日の在庫を貼る!$I$6:$I$10005,$I7925)&gt;0,N(U7924),N(U7924)+1))</f>
        <v>2</v>
      </c>
    </row>
    <row r="7926" customFormat="false" ht="15" hidden="false" customHeight="false" outlineLevel="0" collapsed="false">
      <c r="B7926" s="53"/>
      <c r="I7926" s="53"/>
      <c r="U7926" s="31" t="n">
        <f aca="false">IF($B7926&lt;&gt;'設定（最初に1回）'!$C$4,N(U7925),IF(COUNTIFS(①今日の在庫を貼る!$B$6:$B$10005,$B7926,①今日の在庫を貼る!$I$6:$I$10005,$I7926)&gt;0,N(U7925),N(U7925)+1))</f>
        <v>2</v>
      </c>
    </row>
    <row r="7927" customFormat="false" ht="15" hidden="false" customHeight="false" outlineLevel="0" collapsed="false">
      <c r="B7927" s="53"/>
      <c r="I7927" s="53"/>
      <c r="U7927" s="31" t="n">
        <f aca="false">IF($B7927&lt;&gt;'設定（最初に1回）'!$C$4,N(U7926),IF(COUNTIFS(①今日の在庫を貼る!$B$6:$B$10005,$B7927,①今日の在庫を貼る!$I$6:$I$10005,$I7927)&gt;0,N(U7926),N(U7926)+1))</f>
        <v>2</v>
      </c>
    </row>
    <row r="7928" customFormat="false" ht="15" hidden="false" customHeight="false" outlineLevel="0" collapsed="false">
      <c r="B7928" s="53"/>
      <c r="I7928" s="53"/>
      <c r="U7928" s="31" t="n">
        <f aca="false">IF($B7928&lt;&gt;'設定（最初に1回）'!$C$4,N(U7927),IF(COUNTIFS(①今日の在庫を貼る!$B$6:$B$10005,$B7928,①今日の在庫を貼る!$I$6:$I$10005,$I7928)&gt;0,N(U7927),N(U7927)+1))</f>
        <v>2</v>
      </c>
    </row>
    <row r="7929" customFormat="false" ht="15" hidden="false" customHeight="false" outlineLevel="0" collapsed="false">
      <c r="B7929" s="53"/>
      <c r="I7929" s="53"/>
      <c r="U7929" s="31" t="n">
        <f aca="false">IF($B7929&lt;&gt;'設定（最初に1回）'!$C$4,N(U7928),IF(COUNTIFS(①今日の在庫を貼る!$B$6:$B$10005,$B7929,①今日の在庫を貼る!$I$6:$I$10005,$I7929)&gt;0,N(U7928),N(U7928)+1))</f>
        <v>2</v>
      </c>
    </row>
    <row r="7930" customFormat="false" ht="15" hidden="false" customHeight="false" outlineLevel="0" collapsed="false">
      <c r="B7930" s="53"/>
      <c r="I7930" s="53"/>
      <c r="U7930" s="31" t="n">
        <f aca="false">IF($B7930&lt;&gt;'設定（最初に1回）'!$C$4,N(U7929),IF(COUNTIFS(①今日の在庫を貼る!$B$6:$B$10005,$B7930,①今日の在庫を貼る!$I$6:$I$10005,$I7930)&gt;0,N(U7929),N(U7929)+1))</f>
        <v>2</v>
      </c>
    </row>
    <row r="7931" customFormat="false" ht="15" hidden="false" customHeight="false" outlineLevel="0" collapsed="false">
      <c r="B7931" s="53"/>
      <c r="I7931" s="53"/>
      <c r="U7931" s="31" t="n">
        <f aca="false">IF($B7931&lt;&gt;'設定（最初に1回）'!$C$4,N(U7930),IF(COUNTIFS(①今日の在庫を貼る!$B$6:$B$10005,$B7931,①今日の在庫を貼る!$I$6:$I$10005,$I7931)&gt;0,N(U7930),N(U7930)+1))</f>
        <v>2</v>
      </c>
    </row>
    <row r="7932" customFormat="false" ht="15" hidden="false" customHeight="false" outlineLevel="0" collapsed="false">
      <c r="B7932" s="53"/>
      <c r="I7932" s="53"/>
      <c r="U7932" s="31" t="n">
        <f aca="false">IF($B7932&lt;&gt;'設定（最初に1回）'!$C$4,N(U7931),IF(COUNTIFS(①今日の在庫を貼る!$B$6:$B$10005,$B7932,①今日の在庫を貼る!$I$6:$I$10005,$I7932)&gt;0,N(U7931),N(U7931)+1))</f>
        <v>2</v>
      </c>
    </row>
    <row r="7933" customFormat="false" ht="15" hidden="false" customHeight="false" outlineLevel="0" collapsed="false">
      <c r="B7933" s="53"/>
      <c r="I7933" s="53"/>
      <c r="U7933" s="31" t="n">
        <f aca="false">IF($B7933&lt;&gt;'設定（最初に1回）'!$C$4,N(U7932),IF(COUNTIFS(①今日の在庫を貼る!$B$6:$B$10005,$B7933,①今日の在庫を貼る!$I$6:$I$10005,$I7933)&gt;0,N(U7932),N(U7932)+1))</f>
        <v>2</v>
      </c>
    </row>
    <row r="7934" customFormat="false" ht="15" hidden="false" customHeight="false" outlineLevel="0" collapsed="false">
      <c r="B7934" s="53"/>
      <c r="I7934" s="53"/>
      <c r="U7934" s="31" t="n">
        <f aca="false">IF($B7934&lt;&gt;'設定（最初に1回）'!$C$4,N(U7933),IF(COUNTIFS(①今日の在庫を貼る!$B$6:$B$10005,$B7934,①今日の在庫を貼る!$I$6:$I$10005,$I7934)&gt;0,N(U7933),N(U7933)+1))</f>
        <v>2</v>
      </c>
    </row>
    <row r="7935" customFormat="false" ht="15" hidden="false" customHeight="false" outlineLevel="0" collapsed="false">
      <c r="B7935" s="53"/>
      <c r="I7935" s="53"/>
      <c r="U7935" s="31" t="n">
        <f aca="false">IF($B7935&lt;&gt;'設定（最初に1回）'!$C$4,N(U7934),IF(COUNTIFS(①今日の在庫を貼る!$B$6:$B$10005,$B7935,①今日の在庫を貼る!$I$6:$I$10005,$I7935)&gt;0,N(U7934),N(U7934)+1))</f>
        <v>2</v>
      </c>
    </row>
    <row r="7936" customFormat="false" ht="15" hidden="false" customHeight="false" outlineLevel="0" collapsed="false">
      <c r="B7936" s="53"/>
      <c r="I7936" s="53"/>
      <c r="U7936" s="31" t="n">
        <f aca="false">IF($B7936&lt;&gt;'設定（最初に1回）'!$C$4,N(U7935),IF(COUNTIFS(①今日の在庫を貼る!$B$6:$B$10005,$B7936,①今日の在庫を貼る!$I$6:$I$10005,$I7936)&gt;0,N(U7935),N(U7935)+1))</f>
        <v>2</v>
      </c>
    </row>
    <row r="7937" customFormat="false" ht="15" hidden="false" customHeight="false" outlineLevel="0" collapsed="false">
      <c r="B7937" s="53"/>
      <c r="I7937" s="53"/>
      <c r="U7937" s="31" t="n">
        <f aca="false">IF($B7937&lt;&gt;'設定（最初に1回）'!$C$4,N(U7936),IF(COUNTIFS(①今日の在庫を貼る!$B$6:$B$10005,$B7937,①今日の在庫を貼る!$I$6:$I$10005,$I7937)&gt;0,N(U7936),N(U7936)+1))</f>
        <v>2</v>
      </c>
    </row>
    <row r="7938" customFormat="false" ht="15" hidden="false" customHeight="false" outlineLevel="0" collapsed="false">
      <c r="B7938" s="53"/>
      <c r="I7938" s="53"/>
      <c r="U7938" s="31" t="n">
        <f aca="false">IF($B7938&lt;&gt;'設定（最初に1回）'!$C$4,N(U7937),IF(COUNTIFS(①今日の在庫を貼る!$B$6:$B$10005,$B7938,①今日の在庫を貼る!$I$6:$I$10005,$I7938)&gt;0,N(U7937),N(U7937)+1))</f>
        <v>2</v>
      </c>
    </row>
    <row r="7939" customFormat="false" ht="15" hidden="false" customHeight="false" outlineLevel="0" collapsed="false">
      <c r="B7939" s="53"/>
      <c r="I7939" s="53"/>
      <c r="U7939" s="31" t="n">
        <f aca="false">IF($B7939&lt;&gt;'設定（最初に1回）'!$C$4,N(U7938),IF(COUNTIFS(①今日の在庫を貼る!$B$6:$B$10005,$B7939,①今日の在庫を貼る!$I$6:$I$10005,$I7939)&gt;0,N(U7938),N(U7938)+1))</f>
        <v>2</v>
      </c>
    </row>
    <row r="7940" customFormat="false" ht="15" hidden="false" customHeight="false" outlineLevel="0" collapsed="false">
      <c r="B7940" s="53"/>
      <c r="I7940" s="53"/>
      <c r="U7940" s="31" t="n">
        <f aca="false">IF($B7940&lt;&gt;'設定（最初に1回）'!$C$4,N(U7939),IF(COUNTIFS(①今日の在庫を貼る!$B$6:$B$10005,$B7940,①今日の在庫を貼る!$I$6:$I$10005,$I7940)&gt;0,N(U7939),N(U7939)+1))</f>
        <v>2</v>
      </c>
    </row>
    <row r="7941" customFormat="false" ht="15" hidden="false" customHeight="false" outlineLevel="0" collapsed="false">
      <c r="B7941" s="53"/>
      <c r="I7941" s="53"/>
      <c r="U7941" s="31" t="n">
        <f aca="false">IF($B7941&lt;&gt;'設定（最初に1回）'!$C$4,N(U7940),IF(COUNTIFS(①今日の在庫を貼る!$B$6:$B$10005,$B7941,①今日の在庫を貼る!$I$6:$I$10005,$I7941)&gt;0,N(U7940),N(U7940)+1))</f>
        <v>2</v>
      </c>
    </row>
    <row r="7942" customFormat="false" ht="15" hidden="false" customHeight="false" outlineLevel="0" collapsed="false">
      <c r="B7942" s="53"/>
      <c r="I7942" s="53"/>
      <c r="U7942" s="31" t="n">
        <f aca="false">IF($B7942&lt;&gt;'設定（最初に1回）'!$C$4,N(U7941),IF(COUNTIFS(①今日の在庫を貼る!$B$6:$B$10005,$B7942,①今日の在庫を貼る!$I$6:$I$10005,$I7942)&gt;0,N(U7941),N(U7941)+1))</f>
        <v>2</v>
      </c>
    </row>
    <row r="7943" customFormat="false" ht="15" hidden="false" customHeight="false" outlineLevel="0" collapsed="false">
      <c r="B7943" s="53"/>
      <c r="I7943" s="53"/>
      <c r="U7943" s="31" t="n">
        <f aca="false">IF($B7943&lt;&gt;'設定（最初に1回）'!$C$4,N(U7942),IF(COUNTIFS(①今日の在庫を貼る!$B$6:$B$10005,$B7943,①今日の在庫を貼る!$I$6:$I$10005,$I7943)&gt;0,N(U7942),N(U7942)+1))</f>
        <v>2</v>
      </c>
    </row>
    <row r="7944" customFormat="false" ht="15" hidden="false" customHeight="false" outlineLevel="0" collapsed="false">
      <c r="B7944" s="53"/>
      <c r="I7944" s="53"/>
      <c r="U7944" s="31" t="n">
        <f aca="false">IF($B7944&lt;&gt;'設定（最初に1回）'!$C$4,N(U7943),IF(COUNTIFS(①今日の在庫を貼る!$B$6:$B$10005,$B7944,①今日の在庫を貼る!$I$6:$I$10005,$I7944)&gt;0,N(U7943),N(U7943)+1))</f>
        <v>2</v>
      </c>
    </row>
    <row r="7945" customFormat="false" ht="15" hidden="false" customHeight="false" outlineLevel="0" collapsed="false">
      <c r="B7945" s="53"/>
      <c r="I7945" s="53"/>
      <c r="U7945" s="31" t="n">
        <f aca="false">IF($B7945&lt;&gt;'設定（最初に1回）'!$C$4,N(U7944),IF(COUNTIFS(①今日の在庫を貼る!$B$6:$B$10005,$B7945,①今日の在庫を貼る!$I$6:$I$10005,$I7945)&gt;0,N(U7944),N(U7944)+1))</f>
        <v>2</v>
      </c>
    </row>
    <row r="7946" customFormat="false" ht="15" hidden="false" customHeight="false" outlineLevel="0" collapsed="false">
      <c r="B7946" s="53"/>
      <c r="I7946" s="53"/>
      <c r="U7946" s="31" t="n">
        <f aca="false">IF($B7946&lt;&gt;'設定（最初に1回）'!$C$4,N(U7945),IF(COUNTIFS(①今日の在庫を貼る!$B$6:$B$10005,$B7946,①今日の在庫を貼る!$I$6:$I$10005,$I7946)&gt;0,N(U7945),N(U7945)+1))</f>
        <v>2</v>
      </c>
    </row>
    <row r="7947" customFormat="false" ht="15" hidden="false" customHeight="false" outlineLevel="0" collapsed="false">
      <c r="B7947" s="53"/>
      <c r="I7947" s="53"/>
      <c r="U7947" s="31" t="n">
        <f aca="false">IF($B7947&lt;&gt;'設定（最初に1回）'!$C$4,N(U7946),IF(COUNTIFS(①今日の在庫を貼る!$B$6:$B$10005,$B7947,①今日の在庫を貼る!$I$6:$I$10005,$I7947)&gt;0,N(U7946),N(U7946)+1))</f>
        <v>2</v>
      </c>
    </row>
    <row r="7948" customFormat="false" ht="15" hidden="false" customHeight="false" outlineLevel="0" collapsed="false">
      <c r="B7948" s="53"/>
      <c r="I7948" s="53"/>
      <c r="U7948" s="31" t="n">
        <f aca="false">IF($B7948&lt;&gt;'設定（最初に1回）'!$C$4,N(U7947),IF(COUNTIFS(①今日の在庫を貼る!$B$6:$B$10005,$B7948,①今日の在庫を貼る!$I$6:$I$10005,$I7948)&gt;0,N(U7947),N(U7947)+1))</f>
        <v>2</v>
      </c>
    </row>
    <row r="7949" customFormat="false" ht="15" hidden="false" customHeight="false" outlineLevel="0" collapsed="false">
      <c r="B7949" s="53"/>
      <c r="I7949" s="53"/>
      <c r="U7949" s="31" t="n">
        <f aca="false">IF($B7949&lt;&gt;'設定（最初に1回）'!$C$4,N(U7948),IF(COUNTIFS(①今日の在庫を貼る!$B$6:$B$10005,$B7949,①今日の在庫を貼る!$I$6:$I$10005,$I7949)&gt;0,N(U7948),N(U7948)+1))</f>
        <v>2</v>
      </c>
    </row>
    <row r="7950" customFormat="false" ht="15" hidden="false" customHeight="false" outlineLevel="0" collapsed="false">
      <c r="B7950" s="53"/>
      <c r="I7950" s="53"/>
      <c r="U7950" s="31" t="n">
        <f aca="false">IF($B7950&lt;&gt;'設定（最初に1回）'!$C$4,N(U7949),IF(COUNTIFS(①今日の在庫を貼る!$B$6:$B$10005,$B7950,①今日の在庫を貼る!$I$6:$I$10005,$I7950)&gt;0,N(U7949),N(U7949)+1))</f>
        <v>2</v>
      </c>
    </row>
    <row r="7951" customFormat="false" ht="15" hidden="false" customHeight="false" outlineLevel="0" collapsed="false">
      <c r="B7951" s="53"/>
      <c r="I7951" s="53"/>
      <c r="U7951" s="31" t="n">
        <f aca="false">IF($B7951&lt;&gt;'設定（最初に1回）'!$C$4,N(U7950),IF(COUNTIFS(①今日の在庫を貼る!$B$6:$B$10005,$B7951,①今日の在庫を貼る!$I$6:$I$10005,$I7951)&gt;0,N(U7950),N(U7950)+1))</f>
        <v>2</v>
      </c>
    </row>
    <row r="7952" customFormat="false" ht="15" hidden="false" customHeight="false" outlineLevel="0" collapsed="false">
      <c r="B7952" s="53"/>
      <c r="I7952" s="53"/>
      <c r="U7952" s="31" t="n">
        <f aca="false">IF($B7952&lt;&gt;'設定（最初に1回）'!$C$4,N(U7951),IF(COUNTIFS(①今日の在庫を貼る!$B$6:$B$10005,$B7952,①今日の在庫を貼る!$I$6:$I$10005,$I7952)&gt;0,N(U7951),N(U7951)+1))</f>
        <v>2</v>
      </c>
    </row>
    <row r="7953" customFormat="false" ht="15" hidden="false" customHeight="false" outlineLevel="0" collapsed="false">
      <c r="B7953" s="53"/>
      <c r="I7953" s="53"/>
      <c r="U7953" s="31" t="n">
        <f aca="false">IF($B7953&lt;&gt;'設定（最初に1回）'!$C$4,N(U7952),IF(COUNTIFS(①今日の在庫を貼る!$B$6:$B$10005,$B7953,①今日の在庫を貼る!$I$6:$I$10005,$I7953)&gt;0,N(U7952),N(U7952)+1))</f>
        <v>2</v>
      </c>
    </row>
    <row r="7954" customFormat="false" ht="15" hidden="false" customHeight="false" outlineLevel="0" collapsed="false">
      <c r="B7954" s="53"/>
      <c r="I7954" s="53"/>
      <c r="U7954" s="31" t="n">
        <f aca="false">IF($B7954&lt;&gt;'設定（最初に1回）'!$C$4,N(U7953),IF(COUNTIFS(①今日の在庫を貼る!$B$6:$B$10005,$B7954,①今日の在庫を貼る!$I$6:$I$10005,$I7954)&gt;0,N(U7953),N(U7953)+1))</f>
        <v>2</v>
      </c>
    </row>
    <row r="7955" customFormat="false" ht="15" hidden="false" customHeight="false" outlineLevel="0" collapsed="false">
      <c r="B7955" s="53"/>
      <c r="I7955" s="53"/>
      <c r="U7955" s="31" t="n">
        <f aca="false">IF($B7955&lt;&gt;'設定（最初に1回）'!$C$4,N(U7954),IF(COUNTIFS(①今日の在庫を貼る!$B$6:$B$10005,$B7955,①今日の在庫を貼る!$I$6:$I$10005,$I7955)&gt;0,N(U7954),N(U7954)+1))</f>
        <v>2</v>
      </c>
    </row>
    <row r="7956" customFormat="false" ht="15" hidden="false" customHeight="false" outlineLevel="0" collapsed="false">
      <c r="B7956" s="53"/>
      <c r="I7956" s="53"/>
      <c r="U7956" s="31" t="n">
        <f aca="false">IF($B7956&lt;&gt;'設定（最初に1回）'!$C$4,N(U7955),IF(COUNTIFS(①今日の在庫を貼る!$B$6:$B$10005,$B7956,①今日の在庫を貼る!$I$6:$I$10005,$I7956)&gt;0,N(U7955),N(U7955)+1))</f>
        <v>2</v>
      </c>
    </row>
    <row r="7957" customFormat="false" ht="15" hidden="false" customHeight="false" outlineLevel="0" collapsed="false">
      <c r="B7957" s="53"/>
      <c r="I7957" s="53"/>
      <c r="U7957" s="31" t="n">
        <f aca="false">IF($B7957&lt;&gt;'設定（最初に1回）'!$C$4,N(U7956),IF(COUNTIFS(①今日の在庫を貼る!$B$6:$B$10005,$B7957,①今日の在庫を貼る!$I$6:$I$10005,$I7957)&gt;0,N(U7956),N(U7956)+1))</f>
        <v>2</v>
      </c>
    </row>
    <row r="7958" customFormat="false" ht="15" hidden="false" customHeight="false" outlineLevel="0" collapsed="false">
      <c r="B7958" s="53"/>
      <c r="I7958" s="53"/>
      <c r="U7958" s="31" t="n">
        <f aca="false">IF($B7958&lt;&gt;'設定（最初に1回）'!$C$4,N(U7957),IF(COUNTIFS(①今日の在庫を貼る!$B$6:$B$10005,$B7958,①今日の在庫を貼る!$I$6:$I$10005,$I7958)&gt;0,N(U7957),N(U7957)+1))</f>
        <v>2</v>
      </c>
    </row>
    <row r="7959" customFormat="false" ht="15" hidden="false" customHeight="false" outlineLevel="0" collapsed="false">
      <c r="B7959" s="53"/>
      <c r="I7959" s="53"/>
      <c r="U7959" s="31" t="n">
        <f aca="false">IF($B7959&lt;&gt;'設定（最初に1回）'!$C$4,N(U7958),IF(COUNTIFS(①今日の在庫を貼る!$B$6:$B$10005,$B7959,①今日の在庫を貼る!$I$6:$I$10005,$I7959)&gt;0,N(U7958),N(U7958)+1))</f>
        <v>2</v>
      </c>
    </row>
    <row r="7960" customFormat="false" ht="15" hidden="false" customHeight="false" outlineLevel="0" collapsed="false">
      <c r="B7960" s="53"/>
      <c r="I7960" s="53"/>
      <c r="U7960" s="31" t="n">
        <f aca="false">IF($B7960&lt;&gt;'設定（最初に1回）'!$C$4,N(U7959),IF(COUNTIFS(①今日の在庫を貼る!$B$6:$B$10005,$B7960,①今日の在庫を貼る!$I$6:$I$10005,$I7960)&gt;0,N(U7959),N(U7959)+1))</f>
        <v>2</v>
      </c>
    </row>
    <row r="7961" customFormat="false" ht="15" hidden="false" customHeight="false" outlineLevel="0" collapsed="false">
      <c r="B7961" s="53"/>
      <c r="I7961" s="53"/>
      <c r="U7961" s="31" t="n">
        <f aca="false">IF($B7961&lt;&gt;'設定（最初に1回）'!$C$4,N(U7960),IF(COUNTIFS(①今日の在庫を貼る!$B$6:$B$10005,$B7961,①今日の在庫を貼る!$I$6:$I$10005,$I7961)&gt;0,N(U7960),N(U7960)+1))</f>
        <v>2</v>
      </c>
    </row>
    <row r="7962" customFormat="false" ht="15" hidden="false" customHeight="false" outlineLevel="0" collapsed="false">
      <c r="B7962" s="53"/>
      <c r="I7962" s="53"/>
      <c r="U7962" s="31" t="n">
        <f aca="false">IF($B7962&lt;&gt;'設定（最初に1回）'!$C$4,N(U7961),IF(COUNTIFS(①今日の在庫を貼る!$B$6:$B$10005,$B7962,①今日の在庫を貼る!$I$6:$I$10005,$I7962)&gt;0,N(U7961),N(U7961)+1))</f>
        <v>2</v>
      </c>
    </row>
    <row r="7963" customFormat="false" ht="15" hidden="false" customHeight="false" outlineLevel="0" collapsed="false">
      <c r="B7963" s="53"/>
      <c r="I7963" s="53"/>
      <c r="U7963" s="31" t="n">
        <f aca="false">IF($B7963&lt;&gt;'設定（最初に1回）'!$C$4,N(U7962),IF(COUNTIFS(①今日の在庫を貼る!$B$6:$B$10005,$B7963,①今日の在庫を貼る!$I$6:$I$10005,$I7963)&gt;0,N(U7962),N(U7962)+1))</f>
        <v>2</v>
      </c>
    </row>
    <row r="7964" customFormat="false" ht="15" hidden="false" customHeight="false" outlineLevel="0" collapsed="false">
      <c r="B7964" s="53"/>
      <c r="I7964" s="53"/>
      <c r="U7964" s="31" t="n">
        <f aca="false">IF($B7964&lt;&gt;'設定（最初に1回）'!$C$4,N(U7963),IF(COUNTIFS(①今日の在庫を貼る!$B$6:$B$10005,$B7964,①今日の在庫を貼る!$I$6:$I$10005,$I7964)&gt;0,N(U7963),N(U7963)+1))</f>
        <v>2</v>
      </c>
    </row>
    <row r="7965" customFormat="false" ht="15" hidden="false" customHeight="false" outlineLevel="0" collapsed="false">
      <c r="B7965" s="53"/>
      <c r="I7965" s="53"/>
      <c r="U7965" s="31" t="n">
        <f aca="false">IF($B7965&lt;&gt;'設定（最初に1回）'!$C$4,N(U7964),IF(COUNTIFS(①今日の在庫を貼る!$B$6:$B$10005,$B7965,①今日の在庫を貼る!$I$6:$I$10005,$I7965)&gt;0,N(U7964),N(U7964)+1))</f>
        <v>2</v>
      </c>
    </row>
    <row r="7966" customFormat="false" ht="15" hidden="false" customHeight="false" outlineLevel="0" collapsed="false">
      <c r="B7966" s="53"/>
      <c r="I7966" s="53"/>
      <c r="U7966" s="31" t="n">
        <f aca="false">IF($B7966&lt;&gt;'設定（最初に1回）'!$C$4,N(U7965),IF(COUNTIFS(①今日の在庫を貼る!$B$6:$B$10005,$B7966,①今日の在庫を貼る!$I$6:$I$10005,$I7966)&gt;0,N(U7965),N(U7965)+1))</f>
        <v>2</v>
      </c>
    </row>
    <row r="7967" customFormat="false" ht="15" hidden="false" customHeight="false" outlineLevel="0" collapsed="false">
      <c r="B7967" s="53"/>
      <c r="I7967" s="53"/>
      <c r="U7967" s="31" t="n">
        <f aca="false">IF($B7967&lt;&gt;'設定（最初に1回）'!$C$4,N(U7966),IF(COUNTIFS(①今日の在庫を貼る!$B$6:$B$10005,$B7967,①今日の在庫を貼る!$I$6:$I$10005,$I7967)&gt;0,N(U7966),N(U7966)+1))</f>
        <v>2</v>
      </c>
    </row>
    <row r="7968" customFormat="false" ht="15" hidden="false" customHeight="false" outlineLevel="0" collapsed="false">
      <c r="B7968" s="53"/>
      <c r="I7968" s="53"/>
      <c r="U7968" s="31" t="n">
        <f aca="false">IF($B7968&lt;&gt;'設定（最初に1回）'!$C$4,N(U7967),IF(COUNTIFS(①今日の在庫を貼る!$B$6:$B$10005,$B7968,①今日の在庫を貼る!$I$6:$I$10005,$I7968)&gt;0,N(U7967),N(U7967)+1))</f>
        <v>2</v>
      </c>
    </row>
    <row r="7969" customFormat="false" ht="15" hidden="false" customHeight="false" outlineLevel="0" collapsed="false">
      <c r="B7969" s="53"/>
      <c r="I7969" s="53"/>
      <c r="U7969" s="31" t="n">
        <f aca="false">IF($B7969&lt;&gt;'設定（最初に1回）'!$C$4,N(U7968),IF(COUNTIFS(①今日の在庫を貼る!$B$6:$B$10005,$B7969,①今日の在庫を貼る!$I$6:$I$10005,$I7969)&gt;0,N(U7968),N(U7968)+1))</f>
        <v>2</v>
      </c>
    </row>
    <row r="7970" customFormat="false" ht="15" hidden="false" customHeight="false" outlineLevel="0" collapsed="false">
      <c r="B7970" s="53"/>
      <c r="I7970" s="53"/>
      <c r="U7970" s="31" t="n">
        <f aca="false">IF($B7970&lt;&gt;'設定（最初に1回）'!$C$4,N(U7969),IF(COUNTIFS(①今日の在庫を貼る!$B$6:$B$10005,$B7970,①今日の在庫を貼る!$I$6:$I$10005,$I7970)&gt;0,N(U7969),N(U7969)+1))</f>
        <v>2</v>
      </c>
    </row>
    <row r="7971" customFormat="false" ht="15" hidden="false" customHeight="false" outlineLevel="0" collapsed="false">
      <c r="B7971" s="53"/>
      <c r="I7971" s="53"/>
      <c r="U7971" s="31" t="n">
        <f aca="false">IF($B7971&lt;&gt;'設定（最初に1回）'!$C$4,N(U7970),IF(COUNTIFS(①今日の在庫を貼る!$B$6:$B$10005,$B7971,①今日の在庫を貼る!$I$6:$I$10005,$I7971)&gt;0,N(U7970),N(U7970)+1))</f>
        <v>2</v>
      </c>
    </row>
    <row r="7972" customFormat="false" ht="15" hidden="false" customHeight="false" outlineLevel="0" collapsed="false">
      <c r="B7972" s="53"/>
      <c r="I7972" s="53"/>
      <c r="U7972" s="31" t="n">
        <f aca="false">IF($B7972&lt;&gt;'設定（最初に1回）'!$C$4,N(U7971),IF(COUNTIFS(①今日の在庫を貼る!$B$6:$B$10005,$B7972,①今日の在庫を貼る!$I$6:$I$10005,$I7972)&gt;0,N(U7971),N(U7971)+1))</f>
        <v>2</v>
      </c>
    </row>
    <row r="7973" customFormat="false" ht="15" hidden="false" customHeight="false" outlineLevel="0" collapsed="false">
      <c r="B7973" s="53"/>
      <c r="I7973" s="53"/>
      <c r="U7973" s="31" t="n">
        <f aca="false">IF($B7973&lt;&gt;'設定（最初に1回）'!$C$4,N(U7972),IF(COUNTIFS(①今日の在庫を貼る!$B$6:$B$10005,$B7973,①今日の在庫を貼る!$I$6:$I$10005,$I7973)&gt;0,N(U7972),N(U7972)+1))</f>
        <v>2</v>
      </c>
    </row>
    <row r="7974" customFormat="false" ht="15" hidden="false" customHeight="false" outlineLevel="0" collapsed="false">
      <c r="B7974" s="53"/>
      <c r="I7974" s="53"/>
      <c r="U7974" s="31" t="n">
        <f aca="false">IF($B7974&lt;&gt;'設定（最初に1回）'!$C$4,N(U7973),IF(COUNTIFS(①今日の在庫を貼る!$B$6:$B$10005,$B7974,①今日の在庫を貼る!$I$6:$I$10005,$I7974)&gt;0,N(U7973),N(U7973)+1))</f>
        <v>2</v>
      </c>
    </row>
    <row r="7975" customFormat="false" ht="15" hidden="false" customHeight="false" outlineLevel="0" collapsed="false">
      <c r="B7975" s="53"/>
      <c r="I7975" s="53"/>
      <c r="U7975" s="31" t="n">
        <f aca="false">IF($B7975&lt;&gt;'設定（最初に1回）'!$C$4,N(U7974),IF(COUNTIFS(①今日の在庫を貼る!$B$6:$B$10005,$B7975,①今日の在庫を貼る!$I$6:$I$10005,$I7975)&gt;0,N(U7974),N(U7974)+1))</f>
        <v>2</v>
      </c>
    </row>
    <row r="7976" customFormat="false" ht="15" hidden="false" customHeight="false" outlineLevel="0" collapsed="false">
      <c r="B7976" s="53"/>
      <c r="I7976" s="53"/>
      <c r="U7976" s="31" t="n">
        <f aca="false">IF($B7976&lt;&gt;'設定（最初に1回）'!$C$4,N(U7975),IF(COUNTIFS(①今日の在庫を貼る!$B$6:$B$10005,$B7976,①今日の在庫を貼る!$I$6:$I$10005,$I7976)&gt;0,N(U7975),N(U7975)+1))</f>
        <v>2</v>
      </c>
    </row>
    <row r="7977" customFormat="false" ht="15" hidden="false" customHeight="false" outlineLevel="0" collapsed="false">
      <c r="B7977" s="53"/>
      <c r="I7977" s="53"/>
      <c r="U7977" s="31" t="n">
        <f aca="false">IF($B7977&lt;&gt;'設定（最初に1回）'!$C$4,N(U7976),IF(COUNTIFS(①今日の在庫を貼る!$B$6:$B$10005,$B7977,①今日の在庫を貼る!$I$6:$I$10005,$I7977)&gt;0,N(U7976),N(U7976)+1))</f>
        <v>2</v>
      </c>
    </row>
    <row r="7978" customFormat="false" ht="15" hidden="false" customHeight="false" outlineLevel="0" collapsed="false">
      <c r="B7978" s="53"/>
      <c r="I7978" s="53"/>
      <c r="U7978" s="31" t="n">
        <f aca="false">IF($B7978&lt;&gt;'設定（最初に1回）'!$C$4,N(U7977),IF(COUNTIFS(①今日の在庫を貼る!$B$6:$B$10005,$B7978,①今日の在庫を貼る!$I$6:$I$10005,$I7978)&gt;0,N(U7977),N(U7977)+1))</f>
        <v>2</v>
      </c>
    </row>
    <row r="7979" customFormat="false" ht="15" hidden="false" customHeight="false" outlineLevel="0" collapsed="false">
      <c r="B7979" s="53"/>
      <c r="I7979" s="53"/>
      <c r="U7979" s="31" t="n">
        <f aca="false">IF($B7979&lt;&gt;'設定（最初に1回）'!$C$4,N(U7978),IF(COUNTIFS(①今日の在庫を貼る!$B$6:$B$10005,$B7979,①今日の在庫を貼る!$I$6:$I$10005,$I7979)&gt;0,N(U7978),N(U7978)+1))</f>
        <v>2</v>
      </c>
    </row>
    <row r="7980" customFormat="false" ht="15" hidden="false" customHeight="false" outlineLevel="0" collapsed="false">
      <c r="B7980" s="53"/>
      <c r="I7980" s="53"/>
      <c r="U7980" s="31" t="n">
        <f aca="false">IF($B7980&lt;&gt;'設定（最初に1回）'!$C$4,N(U7979),IF(COUNTIFS(①今日の在庫を貼る!$B$6:$B$10005,$B7980,①今日の在庫を貼る!$I$6:$I$10005,$I7980)&gt;0,N(U7979),N(U7979)+1))</f>
        <v>2</v>
      </c>
    </row>
    <row r="7981" customFormat="false" ht="15" hidden="false" customHeight="false" outlineLevel="0" collapsed="false">
      <c r="B7981" s="53"/>
      <c r="I7981" s="53"/>
      <c r="U7981" s="31" t="n">
        <f aca="false">IF($B7981&lt;&gt;'設定（最初に1回）'!$C$4,N(U7980),IF(COUNTIFS(①今日の在庫を貼る!$B$6:$B$10005,$B7981,①今日の在庫を貼る!$I$6:$I$10005,$I7981)&gt;0,N(U7980),N(U7980)+1))</f>
        <v>2</v>
      </c>
    </row>
    <row r="7982" customFormat="false" ht="15" hidden="false" customHeight="false" outlineLevel="0" collapsed="false">
      <c r="B7982" s="53"/>
      <c r="I7982" s="53"/>
      <c r="U7982" s="31" t="n">
        <f aca="false">IF($B7982&lt;&gt;'設定（最初に1回）'!$C$4,N(U7981),IF(COUNTIFS(①今日の在庫を貼る!$B$6:$B$10005,$B7982,①今日の在庫を貼る!$I$6:$I$10005,$I7982)&gt;0,N(U7981),N(U7981)+1))</f>
        <v>2</v>
      </c>
    </row>
    <row r="7983" customFormat="false" ht="15" hidden="false" customHeight="false" outlineLevel="0" collapsed="false">
      <c r="B7983" s="53"/>
      <c r="I7983" s="53"/>
      <c r="U7983" s="31" t="n">
        <f aca="false">IF($B7983&lt;&gt;'設定（最初に1回）'!$C$4,N(U7982),IF(COUNTIFS(①今日の在庫を貼る!$B$6:$B$10005,$B7983,①今日の在庫を貼る!$I$6:$I$10005,$I7983)&gt;0,N(U7982),N(U7982)+1))</f>
        <v>2</v>
      </c>
    </row>
    <row r="7984" customFormat="false" ht="15" hidden="false" customHeight="false" outlineLevel="0" collapsed="false">
      <c r="B7984" s="53"/>
      <c r="I7984" s="53"/>
      <c r="U7984" s="31" t="n">
        <f aca="false">IF($B7984&lt;&gt;'設定（最初に1回）'!$C$4,N(U7983),IF(COUNTIFS(①今日の在庫を貼る!$B$6:$B$10005,$B7984,①今日の在庫を貼る!$I$6:$I$10005,$I7984)&gt;0,N(U7983),N(U7983)+1))</f>
        <v>2</v>
      </c>
    </row>
    <row r="7985" customFormat="false" ht="15" hidden="false" customHeight="false" outlineLevel="0" collapsed="false">
      <c r="B7985" s="53"/>
      <c r="I7985" s="53"/>
      <c r="U7985" s="31" t="n">
        <f aca="false">IF($B7985&lt;&gt;'設定（最初に1回）'!$C$4,N(U7984),IF(COUNTIFS(①今日の在庫を貼る!$B$6:$B$10005,$B7985,①今日の在庫を貼る!$I$6:$I$10005,$I7985)&gt;0,N(U7984),N(U7984)+1))</f>
        <v>2</v>
      </c>
    </row>
    <row r="7986" customFormat="false" ht="15" hidden="false" customHeight="false" outlineLevel="0" collapsed="false">
      <c r="B7986" s="53"/>
      <c r="I7986" s="53"/>
      <c r="U7986" s="31" t="n">
        <f aca="false">IF($B7986&lt;&gt;'設定（最初に1回）'!$C$4,N(U7985),IF(COUNTIFS(①今日の在庫を貼る!$B$6:$B$10005,$B7986,①今日の在庫を貼る!$I$6:$I$10005,$I7986)&gt;0,N(U7985),N(U7985)+1))</f>
        <v>2</v>
      </c>
    </row>
    <row r="7987" customFormat="false" ht="15" hidden="false" customHeight="false" outlineLevel="0" collapsed="false">
      <c r="B7987" s="53"/>
      <c r="I7987" s="53"/>
      <c r="U7987" s="31" t="n">
        <f aca="false">IF($B7987&lt;&gt;'設定（最初に1回）'!$C$4,N(U7986),IF(COUNTIFS(①今日の在庫を貼る!$B$6:$B$10005,$B7987,①今日の在庫を貼る!$I$6:$I$10005,$I7987)&gt;0,N(U7986),N(U7986)+1))</f>
        <v>2</v>
      </c>
    </row>
    <row r="7988" customFormat="false" ht="15" hidden="false" customHeight="false" outlineLevel="0" collapsed="false">
      <c r="B7988" s="53"/>
      <c r="I7988" s="53"/>
      <c r="U7988" s="31" t="n">
        <f aca="false">IF($B7988&lt;&gt;'設定（最初に1回）'!$C$4,N(U7987),IF(COUNTIFS(①今日の在庫を貼る!$B$6:$B$10005,$B7988,①今日の在庫を貼る!$I$6:$I$10005,$I7988)&gt;0,N(U7987),N(U7987)+1))</f>
        <v>2</v>
      </c>
    </row>
    <row r="7989" customFormat="false" ht="15" hidden="false" customHeight="false" outlineLevel="0" collapsed="false">
      <c r="B7989" s="53"/>
      <c r="I7989" s="53"/>
      <c r="U7989" s="31" t="n">
        <f aca="false">IF($B7989&lt;&gt;'設定（最初に1回）'!$C$4,N(U7988),IF(COUNTIFS(①今日の在庫を貼る!$B$6:$B$10005,$B7989,①今日の在庫を貼る!$I$6:$I$10005,$I7989)&gt;0,N(U7988),N(U7988)+1))</f>
        <v>2</v>
      </c>
    </row>
    <row r="7990" customFormat="false" ht="15" hidden="false" customHeight="false" outlineLevel="0" collapsed="false">
      <c r="B7990" s="53"/>
      <c r="I7990" s="53"/>
      <c r="U7990" s="31" t="n">
        <f aca="false">IF($B7990&lt;&gt;'設定（最初に1回）'!$C$4,N(U7989),IF(COUNTIFS(①今日の在庫を貼る!$B$6:$B$10005,$B7990,①今日の在庫を貼る!$I$6:$I$10005,$I7990)&gt;0,N(U7989),N(U7989)+1))</f>
        <v>2</v>
      </c>
    </row>
    <row r="7991" customFormat="false" ht="15" hidden="false" customHeight="false" outlineLevel="0" collapsed="false">
      <c r="B7991" s="53"/>
      <c r="I7991" s="53"/>
      <c r="U7991" s="31" t="n">
        <f aca="false">IF($B7991&lt;&gt;'設定（最初に1回）'!$C$4,N(U7990),IF(COUNTIFS(①今日の在庫を貼る!$B$6:$B$10005,$B7991,①今日の在庫を貼る!$I$6:$I$10005,$I7991)&gt;0,N(U7990),N(U7990)+1))</f>
        <v>2</v>
      </c>
    </row>
    <row r="7992" customFormat="false" ht="15" hidden="false" customHeight="false" outlineLevel="0" collapsed="false">
      <c r="B7992" s="53"/>
      <c r="I7992" s="53"/>
      <c r="U7992" s="31" t="n">
        <f aca="false">IF($B7992&lt;&gt;'設定（最初に1回）'!$C$4,N(U7991),IF(COUNTIFS(①今日の在庫を貼る!$B$6:$B$10005,$B7992,①今日の在庫を貼る!$I$6:$I$10005,$I7992)&gt;0,N(U7991),N(U7991)+1))</f>
        <v>2</v>
      </c>
    </row>
    <row r="7993" customFormat="false" ht="15" hidden="false" customHeight="false" outlineLevel="0" collapsed="false">
      <c r="B7993" s="53"/>
      <c r="I7993" s="53"/>
      <c r="U7993" s="31" t="n">
        <f aca="false">IF($B7993&lt;&gt;'設定（最初に1回）'!$C$4,N(U7992),IF(COUNTIFS(①今日の在庫を貼る!$B$6:$B$10005,$B7993,①今日の在庫を貼る!$I$6:$I$10005,$I7993)&gt;0,N(U7992),N(U7992)+1))</f>
        <v>2</v>
      </c>
    </row>
    <row r="7994" customFormat="false" ht="15" hidden="false" customHeight="false" outlineLevel="0" collapsed="false">
      <c r="B7994" s="53"/>
      <c r="I7994" s="53"/>
      <c r="U7994" s="31" t="n">
        <f aca="false">IF($B7994&lt;&gt;'設定（最初に1回）'!$C$4,N(U7993),IF(COUNTIFS(①今日の在庫を貼る!$B$6:$B$10005,$B7994,①今日の在庫を貼る!$I$6:$I$10005,$I7994)&gt;0,N(U7993),N(U7993)+1))</f>
        <v>2</v>
      </c>
    </row>
    <row r="7995" customFormat="false" ht="15" hidden="false" customHeight="false" outlineLevel="0" collapsed="false">
      <c r="B7995" s="53"/>
      <c r="I7995" s="53"/>
      <c r="U7995" s="31" t="n">
        <f aca="false">IF($B7995&lt;&gt;'設定（最初に1回）'!$C$4,N(U7994),IF(COUNTIFS(①今日の在庫を貼る!$B$6:$B$10005,$B7995,①今日の在庫を貼る!$I$6:$I$10005,$I7995)&gt;0,N(U7994),N(U7994)+1))</f>
        <v>2</v>
      </c>
    </row>
    <row r="7996" customFormat="false" ht="15" hidden="false" customHeight="false" outlineLevel="0" collapsed="false">
      <c r="B7996" s="53"/>
      <c r="I7996" s="53"/>
      <c r="U7996" s="31" t="n">
        <f aca="false">IF($B7996&lt;&gt;'設定（最初に1回）'!$C$4,N(U7995),IF(COUNTIFS(①今日の在庫を貼る!$B$6:$B$10005,$B7996,①今日の在庫を貼る!$I$6:$I$10005,$I7996)&gt;0,N(U7995),N(U7995)+1))</f>
        <v>2</v>
      </c>
    </row>
    <row r="7997" customFormat="false" ht="15" hidden="false" customHeight="false" outlineLevel="0" collapsed="false">
      <c r="B7997" s="53"/>
      <c r="I7997" s="53"/>
      <c r="U7997" s="31" t="n">
        <f aca="false">IF($B7997&lt;&gt;'設定（最初に1回）'!$C$4,N(U7996),IF(COUNTIFS(①今日の在庫を貼る!$B$6:$B$10005,$B7997,①今日の在庫を貼る!$I$6:$I$10005,$I7997)&gt;0,N(U7996),N(U7996)+1))</f>
        <v>2</v>
      </c>
    </row>
    <row r="7998" customFormat="false" ht="15" hidden="false" customHeight="false" outlineLevel="0" collapsed="false">
      <c r="B7998" s="53"/>
      <c r="I7998" s="53"/>
      <c r="U7998" s="31" t="n">
        <f aca="false">IF($B7998&lt;&gt;'設定（最初に1回）'!$C$4,N(U7997),IF(COUNTIFS(①今日の在庫を貼る!$B$6:$B$10005,$B7998,①今日の在庫を貼る!$I$6:$I$10005,$I7998)&gt;0,N(U7997),N(U7997)+1))</f>
        <v>2</v>
      </c>
    </row>
    <row r="7999" customFormat="false" ht="15" hidden="false" customHeight="false" outlineLevel="0" collapsed="false">
      <c r="B7999" s="53"/>
      <c r="I7999" s="53"/>
      <c r="U7999" s="31" t="n">
        <f aca="false">IF($B7999&lt;&gt;'設定（最初に1回）'!$C$4,N(U7998),IF(COUNTIFS(①今日の在庫を貼る!$B$6:$B$10005,$B7999,①今日の在庫を貼る!$I$6:$I$10005,$I7999)&gt;0,N(U7998),N(U7998)+1))</f>
        <v>2</v>
      </c>
    </row>
    <row r="8000" customFormat="false" ht="15" hidden="false" customHeight="false" outlineLevel="0" collapsed="false">
      <c r="B8000" s="53"/>
      <c r="I8000" s="53"/>
      <c r="U8000" s="31" t="n">
        <f aca="false">IF($B8000&lt;&gt;'設定（最初に1回）'!$C$4,N(U7999),IF(COUNTIFS(①今日の在庫を貼る!$B$6:$B$10005,$B8000,①今日の在庫を貼る!$I$6:$I$10005,$I8000)&gt;0,N(U7999),N(U7999)+1))</f>
        <v>2</v>
      </c>
    </row>
    <row r="8001" customFormat="false" ht="15" hidden="false" customHeight="false" outlineLevel="0" collapsed="false">
      <c r="B8001" s="53"/>
      <c r="I8001" s="53"/>
      <c r="U8001" s="31" t="n">
        <f aca="false">IF($B8001&lt;&gt;'設定（最初に1回）'!$C$4,N(U8000),IF(COUNTIFS(①今日の在庫を貼る!$B$6:$B$10005,$B8001,①今日の在庫を貼る!$I$6:$I$10005,$I8001)&gt;0,N(U8000),N(U8000)+1))</f>
        <v>2</v>
      </c>
    </row>
    <row r="8002" customFormat="false" ht="15" hidden="false" customHeight="false" outlineLevel="0" collapsed="false">
      <c r="B8002" s="53"/>
      <c r="I8002" s="53"/>
      <c r="U8002" s="31" t="n">
        <f aca="false">IF($B8002&lt;&gt;'設定（最初に1回）'!$C$4,N(U8001),IF(COUNTIFS(①今日の在庫を貼る!$B$6:$B$10005,$B8002,①今日の在庫を貼る!$I$6:$I$10005,$I8002)&gt;0,N(U8001),N(U8001)+1))</f>
        <v>2</v>
      </c>
    </row>
    <row r="8003" customFormat="false" ht="15" hidden="false" customHeight="false" outlineLevel="0" collapsed="false">
      <c r="B8003" s="53"/>
      <c r="I8003" s="53"/>
      <c r="U8003" s="31" t="n">
        <f aca="false">IF($B8003&lt;&gt;'設定（最初に1回）'!$C$4,N(U8002),IF(COUNTIFS(①今日の在庫を貼る!$B$6:$B$10005,$B8003,①今日の在庫を貼る!$I$6:$I$10005,$I8003)&gt;0,N(U8002),N(U8002)+1))</f>
        <v>2</v>
      </c>
    </row>
    <row r="8004" customFormat="false" ht="15" hidden="false" customHeight="false" outlineLevel="0" collapsed="false">
      <c r="B8004" s="53"/>
      <c r="I8004" s="53"/>
      <c r="U8004" s="31" t="n">
        <f aca="false">IF($B8004&lt;&gt;'設定（最初に1回）'!$C$4,N(U8003),IF(COUNTIFS(①今日の在庫を貼る!$B$6:$B$10005,$B8004,①今日の在庫を貼る!$I$6:$I$10005,$I8004)&gt;0,N(U8003),N(U8003)+1))</f>
        <v>2</v>
      </c>
    </row>
    <row r="8005" customFormat="false" ht="15" hidden="false" customHeight="false" outlineLevel="0" collapsed="false">
      <c r="B8005" s="53"/>
      <c r="I8005" s="53"/>
      <c r="U8005" s="31" t="n">
        <f aca="false">IF($B8005&lt;&gt;'設定（最初に1回）'!$C$4,N(U8004),IF(COUNTIFS(①今日の在庫を貼る!$B$6:$B$10005,$B8005,①今日の在庫を貼る!$I$6:$I$10005,$I8005)&gt;0,N(U8004),N(U8004)+1))</f>
        <v>2</v>
      </c>
    </row>
    <row r="8006" customFormat="false" ht="15" hidden="false" customHeight="false" outlineLevel="0" collapsed="false">
      <c r="B8006" s="53"/>
      <c r="I8006" s="53"/>
      <c r="U8006" s="31" t="n">
        <f aca="false">IF($B8006&lt;&gt;'設定（最初に1回）'!$C$4,N(U8005),IF(COUNTIFS(①今日の在庫を貼る!$B$6:$B$10005,$B8006,①今日の在庫を貼る!$I$6:$I$10005,$I8006)&gt;0,N(U8005),N(U8005)+1))</f>
        <v>2</v>
      </c>
    </row>
    <row r="8007" customFormat="false" ht="15" hidden="false" customHeight="false" outlineLevel="0" collapsed="false">
      <c r="B8007" s="53"/>
      <c r="I8007" s="53"/>
      <c r="U8007" s="31" t="n">
        <f aca="false">IF($B8007&lt;&gt;'設定（最初に1回）'!$C$4,N(U8006),IF(COUNTIFS(①今日の在庫を貼る!$B$6:$B$10005,$B8007,①今日の在庫を貼る!$I$6:$I$10005,$I8007)&gt;0,N(U8006),N(U8006)+1))</f>
        <v>2</v>
      </c>
    </row>
    <row r="8008" customFormat="false" ht="15" hidden="false" customHeight="false" outlineLevel="0" collapsed="false">
      <c r="B8008" s="53"/>
      <c r="I8008" s="53"/>
      <c r="U8008" s="31" t="n">
        <f aca="false">IF($B8008&lt;&gt;'設定（最初に1回）'!$C$4,N(U8007),IF(COUNTIFS(①今日の在庫を貼る!$B$6:$B$10005,$B8008,①今日の在庫を貼る!$I$6:$I$10005,$I8008)&gt;0,N(U8007),N(U8007)+1))</f>
        <v>2</v>
      </c>
    </row>
    <row r="8009" customFormat="false" ht="15" hidden="false" customHeight="false" outlineLevel="0" collapsed="false">
      <c r="B8009" s="53"/>
      <c r="I8009" s="53"/>
      <c r="U8009" s="31" t="n">
        <f aca="false">IF($B8009&lt;&gt;'設定（最初に1回）'!$C$4,N(U8008),IF(COUNTIFS(①今日の在庫を貼る!$B$6:$B$10005,$B8009,①今日の在庫を貼る!$I$6:$I$10005,$I8009)&gt;0,N(U8008),N(U8008)+1))</f>
        <v>2</v>
      </c>
    </row>
    <row r="8010" customFormat="false" ht="15" hidden="false" customHeight="false" outlineLevel="0" collapsed="false">
      <c r="B8010" s="53"/>
      <c r="I8010" s="53"/>
      <c r="U8010" s="31" t="n">
        <f aca="false">IF($B8010&lt;&gt;'設定（最初に1回）'!$C$4,N(U8009),IF(COUNTIFS(①今日の在庫を貼る!$B$6:$B$10005,$B8010,①今日の在庫を貼る!$I$6:$I$10005,$I8010)&gt;0,N(U8009),N(U8009)+1))</f>
        <v>2</v>
      </c>
    </row>
    <row r="8011" customFormat="false" ht="15" hidden="false" customHeight="false" outlineLevel="0" collapsed="false">
      <c r="B8011" s="53"/>
      <c r="I8011" s="53"/>
      <c r="U8011" s="31" t="n">
        <f aca="false">IF($B8011&lt;&gt;'設定（最初に1回）'!$C$4,N(U8010),IF(COUNTIFS(①今日の在庫を貼る!$B$6:$B$10005,$B8011,①今日の在庫を貼る!$I$6:$I$10005,$I8011)&gt;0,N(U8010),N(U8010)+1))</f>
        <v>2</v>
      </c>
    </row>
    <row r="8012" customFormat="false" ht="15" hidden="false" customHeight="false" outlineLevel="0" collapsed="false">
      <c r="B8012" s="53"/>
      <c r="I8012" s="53"/>
      <c r="U8012" s="31" t="n">
        <f aca="false">IF($B8012&lt;&gt;'設定（最初に1回）'!$C$4,N(U8011),IF(COUNTIFS(①今日の在庫を貼る!$B$6:$B$10005,$B8012,①今日の在庫を貼る!$I$6:$I$10005,$I8012)&gt;0,N(U8011),N(U8011)+1))</f>
        <v>2</v>
      </c>
    </row>
    <row r="8013" customFormat="false" ht="15" hidden="false" customHeight="false" outlineLevel="0" collapsed="false">
      <c r="B8013" s="53"/>
      <c r="I8013" s="53"/>
      <c r="U8013" s="31" t="n">
        <f aca="false">IF($B8013&lt;&gt;'設定（最初に1回）'!$C$4,N(U8012),IF(COUNTIFS(①今日の在庫を貼る!$B$6:$B$10005,$B8013,①今日の在庫を貼る!$I$6:$I$10005,$I8013)&gt;0,N(U8012),N(U8012)+1))</f>
        <v>2</v>
      </c>
    </row>
    <row r="8014" customFormat="false" ht="15" hidden="false" customHeight="false" outlineLevel="0" collapsed="false">
      <c r="B8014" s="53"/>
      <c r="I8014" s="53"/>
      <c r="U8014" s="31" t="n">
        <f aca="false">IF($B8014&lt;&gt;'設定（最初に1回）'!$C$4,N(U8013),IF(COUNTIFS(①今日の在庫を貼る!$B$6:$B$10005,$B8014,①今日の在庫を貼る!$I$6:$I$10005,$I8014)&gt;0,N(U8013),N(U8013)+1))</f>
        <v>2</v>
      </c>
    </row>
    <row r="8015" customFormat="false" ht="15" hidden="false" customHeight="false" outlineLevel="0" collapsed="false">
      <c r="B8015" s="53"/>
      <c r="I8015" s="53"/>
      <c r="U8015" s="31" t="n">
        <f aca="false">IF($B8015&lt;&gt;'設定（最初に1回）'!$C$4,N(U8014),IF(COUNTIFS(①今日の在庫を貼る!$B$6:$B$10005,$B8015,①今日の在庫を貼る!$I$6:$I$10005,$I8015)&gt;0,N(U8014),N(U8014)+1))</f>
        <v>2</v>
      </c>
    </row>
    <row r="8016" customFormat="false" ht="15" hidden="false" customHeight="false" outlineLevel="0" collapsed="false">
      <c r="B8016" s="53"/>
      <c r="I8016" s="53"/>
      <c r="U8016" s="31" t="n">
        <f aca="false">IF($B8016&lt;&gt;'設定（最初に1回）'!$C$4,N(U8015),IF(COUNTIFS(①今日の在庫を貼る!$B$6:$B$10005,$B8016,①今日の在庫を貼る!$I$6:$I$10005,$I8016)&gt;0,N(U8015),N(U8015)+1))</f>
        <v>2</v>
      </c>
    </row>
    <row r="8017" customFormat="false" ht="15" hidden="false" customHeight="false" outlineLevel="0" collapsed="false">
      <c r="B8017" s="53"/>
      <c r="I8017" s="53"/>
      <c r="U8017" s="31" t="n">
        <f aca="false">IF($B8017&lt;&gt;'設定（最初に1回）'!$C$4,N(U8016),IF(COUNTIFS(①今日の在庫を貼る!$B$6:$B$10005,$B8017,①今日の在庫を貼る!$I$6:$I$10005,$I8017)&gt;0,N(U8016),N(U8016)+1))</f>
        <v>2</v>
      </c>
    </row>
    <row r="8018" customFormat="false" ht="15" hidden="false" customHeight="false" outlineLevel="0" collapsed="false">
      <c r="B8018" s="53"/>
      <c r="I8018" s="53"/>
      <c r="U8018" s="31" t="n">
        <f aca="false">IF($B8018&lt;&gt;'設定（最初に1回）'!$C$4,N(U8017),IF(COUNTIFS(①今日の在庫を貼る!$B$6:$B$10005,$B8018,①今日の在庫を貼る!$I$6:$I$10005,$I8018)&gt;0,N(U8017),N(U8017)+1))</f>
        <v>2</v>
      </c>
    </row>
    <row r="8019" customFormat="false" ht="15" hidden="false" customHeight="false" outlineLevel="0" collapsed="false">
      <c r="B8019" s="53"/>
      <c r="I8019" s="53"/>
      <c r="U8019" s="31" t="n">
        <f aca="false">IF($B8019&lt;&gt;'設定（最初に1回）'!$C$4,N(U8018),IF(COUNTIFS(①今日の在庫を貼る!$B$6:$B$10005,$B8019,①今日の在庫を貼る!$I$6:$I$10005,$I8019)&gt;0,N(U8018),N(U8018)+1))</f>
        <v>2</v>
      </c>
    </row>
    <row r="8020" customFormat="false" ht="15" hidden="false" customHeight="false" outlineLevel="0" collapsed="false">
      <c r="B8020" s="53"/>
      <c r="I8020" s="53"/>
      <c r="U8020" s="31" t="n">
        <f aca="false">IF($B8020&lt;&gt;'設定（最初に1回）'!$C$4,N(U8019),IF(COUNTIFS(①今日の在庫を貼る!$B$6:$B$10005,$B8020,①今日の在庫を貼る!$I$6:$I$10005,$I8020)&gt;0,N(U8019),N(U8019)+1))</f>
        <v>2</v>
      </c>
    </row>
    <row r="8021" customFormat="false" ht="15" hidden="false" customHeight="false" outlineLevel="0" collapsed="false">
      <c r="B8021" s="53"/>
      <c r="I8021" s="53"/>
      <c r="U8021" s="31" t="n">
        <f aca="false">IF($B8021&lt;&gt;'設定（最初に1回）'!$C$4,N(U8020),IF(COUNTIFS(①今日の在庫を貼る!$B$6:$B$10005,$B8021,①今日の在庫を貼る!$I$6:$I$10005,$I8021)&gt;0,N(U8020),N(U8020)+1))</f>
        <v>2</v>
      </c>
    </row>
    <row r="8022" customFormat="false" ht="15" hidden="false" customHeight="false" outlineLevel="0" collapsed="false">
      <c r="B8022" s="53"/>
      <c r="I8022" s="53"/>
      <c r="U8022" s="31" t="n">
        <f aca="false">IF($B8022&lt;&gt;'設定（最初に1回）'!$C$4,N(U8021),IF(COUNTIFS(①今日の在庫を貼る!$B$6:$B$10005,$B8022,①今日の在庫を貼る!$I$6:$I$10005,$I8022)&gt;0,N(U8021),N(U8021)+1))</f>
        <v>2</v>
      </c>
    </row>
    <row r="8023" customFormat="false" ht="15" hidden="false" customHeight="false" outlineLevel="0" collapsed="false">
      <c r="B8023" s="53"/>
      <c r="I8023" s="53"/>
      <c r="U8023" s="31" t="n">
        <f aca="false">IF($B8023&lt;&gt;'設定（最初に1回）'!$C$4,N(U8022),IF(COUNTIFS(①今日の在庫を貼る!$B$6:$B$10005,$B8023,①今日の在庫を貼る!$I$6:$I$10005,$I8023)&gt;0,N(U8022),N(U8022)+1))</f>
        <v>2</v>
      </c>
    </row>
    <row r="8024" customFormat="false" ht="15" hidden="false" customHeight="false" outlineLevel="0" collapsed="false">
      <c r="B8024" s="53"/>
      <c r="I8024" s="53"/>
      <c r="U8024" s="31" t="n">
        <f aca="false">IF($B8024&lt;&gt;'設定（最初に1回）'!$C$4,N(U8023),IF(COUNTIFS(①今日の在庫を貼る!$B$6:$B$10005,$B8024,①今日の在庫を貼る!$I$6:$I$10005,$I8024)&gt;0,N(U8023),N(U8023)+1))</f>
        <v>2</v>
      </c>
    </row>
    <row r="8025" customFormat="false" ht="15" hidden="false" customHeight="false" outlineLevel="0" collapsed="false">
      <c r="B8025" s="53"/>
      <c r="I8025" s="53"/>
      <c r="U8025" s="31" t="n">
        <f aca="false">IF($B8025&lt;&gt;'設定（最初に1回）'!$C$4,N(U8024),IF(COUNTIFS(①今日の在庫を貼る!$B$6:$B$10005,$B8025,①今日の在庫を貼る!$I$6:$I$10005,$I8025)&gt;0,N(U8024),N(U8024)+1))</f>
        <v>2</v>
      </c>
    </row>
    <row r="8026" customFormat="false" ht="15" hidden="false" customHeight="false" outlineLevel="0" collapsed="false">
      <c r="B8026" s="53"/>
      <c r="I8026" s="53"/>
      <c r="U8026" s="31" t="n">
        <f aca="false">IF($B8026&lt;&gt;'設定（最初に1回）'!$C$4,N(U8025),IF(COUNTIFS(①今日の在庫を貼る!$B$6:$B$10005,$B8026,①今日の在庫を貼る!$I$6:$I$10005,$I8026)&gt;0,N(U8025),N(U8025)+1))</f>
        <v>2</v>
      </c>
    </row>
    <row r="8027" customFormat="false" ht="15" hidden="false" customHeight="false" outlineLevel="0" collapsed="false">
      <c r="B8027" s="53"/>
      <c r="I8027" s="53"/>
      <c r="U8027" s="31" t="n">
        <f aca="false">IF($B8027&lt;&gt;'設定（最初に1回）'!$C$4,N(U8026),IF(COUNTIFS(①今日の在庫を貼る!$B$6:$B$10005,$B8027,①今日の在庫を貼る!$I$6:$I$10005,$I8027)&gt;0,N(U8026),N(U8026)+1))</f>
        <v>2</v>
      </c>
    </row>
    <row r="8028" customFormat="false" ht="15" hidden="false" customHeight="false" outlineLevel="0" collapsed="false">
      <c r="B8028" s="53"/>
      <c r="I8028" s="53"/>
      <c r="U8028" s="31" t="n">
        <f aca="false">IF($B8028&lt;&gt;'設定（最初に1回）'!$C$4,N(U8027),IF(COUNTIFS(①今日の在庫を貼る!$B$6:$B$10005,$B8028,①今日の在庫を貼る!$I$6:$I$10005,$I8028)&gt;0,N(U8027),N(U8027)+1))</f>
        <v>2</v>
      </c>
    </row>
    <row r="8029" customFormat="false" ht="15" hidden="false" customHeight="false" outlineLevel="0" collapsed="false">
      <c r="B8029" s="53"/>
      <c r="I8029" s="53"/>
      <c r="U8029" s="31" t="n">
        <f aca="false">IF($B8029&lt;&gt;'設定（最初に1回）'!$C$4,N(U8028),IF(COUNTIFS(①今日の在庫を貼る!$B$6:$B$10005,$B8029,①今日の在庫を貼る!$I$6:$I$10005,$I8029)&gt;0,N(U8028),N(U8028)+1))</f>
        <v>2</v>
      </c>
    </row>
    <row r="8030" customFormat="false" ht="15" hidden="false" customHeight="false" outlineLevel="0" collapsed="false">
      <c r="B8030" s="53"/>
      <c r="I8030" s="53"/>
      <c r="U8030" s="31" t="n">
        <f aca="false">IF($B8030&lt;&gt;'設定（最初に1回）'!$C$4,N(U8029),IF(COUNTIFS(①今日の在庫を貼る!$B$6:$B$10005,$B8030,①今日の在庫を貼る!$I$6:$I$10005,$I8030)&gt;0,N(U8029),N(U8029)+1))</f>
        <v>2</v>
      </c>
    </row>
    <row r="8031" customFormat="false" ht="15" hidden="false" customHeight="false" outlineLevel="0" collapsed="false">
      <c r="B8031" s="53"/>
      <c r="I8031" s="53"/>
      <c r="U8031" s="31" t="n">
        <f aca="false">IF($B8031&lt;&gt;'設定（最初に1回）'!$C$4,N(U8030),IF(COUNTIFS(①今日の在庫を貼る!$B$6:$B$10005,$B8031,①今日の在庫を貼る!$I$6:$I$10005,$I8031)&gt;0,N(U8030),N(U8030)+1))</f>
        <v>2</v>
      </c>
    </row>
    <row r="8032" customFormat="false" ht="15" hidden="false" customHeight="false" outlineLevel="0" collapsed="false">
      <c r="B8032" s="53"/>
      <c r="I8032" s="53"/>
      <c r="U8032" s="31" t="n">
        <f aca="false">IF($B8032&lt;&gt;'設定（最初に1回）'!$C$4,N(U8031),IF(COUNTIFS(①今日の在庫を貼る!$B$6:$B$10005,$B8032,①今日の在庫を貼る!$I$6:$I$10005,$I8032)&gt;0,N(U8031),N(U8031)+1))</f>
        <v>2</v>
      </c>
    </row>
    <row r="8033" customFormat="false" ht="15" hidden="false" customHeight="false" outlineLevel="0" collapsed="false">
      <c r="B8033" s="53"/>
      <c r="I8033" s="53"/>
      <c r="U8033" s="31" t="n">
        <f aca="false">IF($B8033&lt;&gt;'設定（最初に1回）'!$C$4,N(U8032),IF(COUNTIFS(①今日の在庫を貼る!$B$6:$B$10005,$B8033,①今日の在庫を貼る!$I$6:$I$10005,$I8033)&gt;0,N(U8032),N(U8032)+1))</f>
        <v>2</v>
      </c>
    </row>
    <row r="8034" customFormat="false" ht="15" hidden="false" customHeight="false" outlineLevel="0" collapsed="false">
      <c r="B8034" s="53"/>
      <c r="I8034" s="53"/>
      <c r="U8034" s="31" t="n">
        <f aca="false">IF($B8034&lt;&gt;'設定（最初に1回）'!$C$4,N(U8033),IF(COUNTIFS(①今日の在庫を貼る!$B$6:$B$10005,$B8034,①今日の在庫を貼る!$I$6:$I$10005,$I8034)&gt;0,N(U8033),N(U8033)+1))</f>
        <v>2</v>
      </c>
    </row>
    <row r="8035" customFormat="false" ht="15" hidden="false" customHeight="false" outlineLevel="0" collapsed="false">
      <c r="B8035" s="53"/>
      <c r="I8035" s="53"/>
      <c r="U8035" s="31" t="n">
        <f aca="false">IF($B8035&lt;&gt;'設定（最初に1回）'!$C$4,N(U8034),IF(COUNTIFS(①今日の在庫を貼る!$B$6:$B$10005,$B8035,①今日の在庫を貼る!$I$6:$I$10005,$I8035)&gt;0,N(U8034),N(U8034)+1))</f>
        <v>2</v>
      </c>
    </row>
    <row r="8036" customFormat="false" ht="15" hidden="false" customHeight="false" outlineLevel="0" collapsed="false">
      <c r="B8036" s="53"/>
      <c r="I8036" s="53"/>
      <c r="U8036" s="31" t="n">
        <f aca="false">IF($B8036&lt;&gt;'設定（最初に1回）'!$C$4,N(U8035),IF(COUNTIFS(①今日の在庫を貼る!$B$6:$B$10005,$B8036,①今日の在庫を貼る!$I$6:$I$10005,$I8036)&gt;0,N(U8035),N(U8035)+1))</f>
        <v>2</v>
      </c>
    </row>
    <row r="8037" customFormat="false" ht="15" hidden="false" customHeight="false" outlineLevel="0" collapsed="false">
      <c r="B8037" s="53"/>
      <c r="I8037" s="53"/>
      <c r="U8037" s="31" t="n">
        <f aca="false">IF($B8037&lt;&gt;'設定（最初に1回）'!$C$4,N(U8036),IF(COUNTIFS(①今日の在庫を貼る!$B$6:$B$10005,$B8037,①今日の在庫を貼る!$I$6:$I$10005,$I8037)&gt;0,N(U8036),N(U8036)+1))</f>
        <v>2</v>
      </c>
    </row>
    <row r="8038" customFormat="false" ht="15" hidden="false" customHeight="false" outlineLevel="0" collapsed="false">
      <c r="B8038" s="53"/>
      <c r="I8038" s="53"/>
      <c r="U8038" s="31" t="n">
        <f aca="false">IF($B8038&lt;&gt;'設定（最初に1回）'!$C$4,N(U8037),IF(COUNTIFS(①今日の在庫を貼る!$B$6:$B$10005,$B8038,①今日の在庫を貼る!$I$6:$I$10005,$I8038)&gt;0,N(U8037),N(U8037)+1))</f>
        <v>2</v>
      </c>
    </row>
    <row r="8039" customFormat="false" ht="15" hidden="false" customHeight="false" outlineLevel="0" collapsed="false">
      <c r="B8039" s="53"/>
      <c r="I8039" s="53"/>
      <c r="U8039" s="31" t="n">
        <f aca="false">IF($B8039&lt;&gt;'設定（最初に1回）'!$C$4,N(U8038),IF(COUNTIFS(①今日の在庫を貼る!$B$6:$B$10005,$B8039,①今日の在庫を貼る!$I$6:$I$10005,$I8039)&gt;0,N(U8038),N(U8038)+1))</f>
        <v>2</v>
      </c>
    </row>
    <row r="8040" customFormat="false" ht="15" hidden="false" customHeight="false" outlineLevel="0" collapsed="false">
      <c r="B8040" s="53"/>
      <c r="I8040" s="53"/>
      <c r="U8040" s="31" t="n">
        <f aca="false">IF($B8040&lt;&gt;'設定（最初に1回）'!$C$4,N(U8039),IF(COUNTIFS(①今日の在庫を貼る!$B$6:$B$10005,$B8040,①今日の在庫を貼る!$I$6:$I$10005,$I8040)&gt;0,N(U8039),N(U8039)+1))</f>
        <v>2</v>
      </c>
    </row>
    <row r="8041" customFormat="false" ht="15" hidden="false" customHeight="false" outlineLevel="0" collapsed="false">
      <c r="B8041" s="53"/>
      <c r="I8041" s="53"/>
      <c r="U8041" s="31" t="n">
        <f aca="false">IF($B8041&lt;&gt;'設定（最初に1回）'!$C$4,N(U8040),IF(COUNTIFS(①今日の在庫を貼る!$B$6:$B$10005,$B8041,①今日の在庫を貼る!$I$6:$I$10005,$I8041)&gt;0,N(U8040),N(U8040)+1))</f>
        <v>2</v>
      </c>
    </row>
    <row r="8042" customFormat="false" ht="15" hidden="false" customHeight="false" outlineLevel="0" collapsed="false">
      <c r="B8042" s="53"/>
      <c r="I8042" s="53"/>
      <c r="U8042" s="31" t="n">
        <f aca="false">IF($B8042&lt;&gt;'設定（最初に1回）'!$C$4,N(U8041),IF(COUNTIFS(①今日の在庫を貼る!$B$6:$B$10005,$B8042,①今日の在庫を貼る!$I$6:$I$10005,$I8042)&gt;0,N(U8041),N(U8041)+1))</f>
        <v>2</v>
      </c>
    </row>
    <row r="8043" customFormat="false" ht="15" hidden="false" customHeight="false" outlineLevel="0" collapsed="false">
      <c r="B8043" s="53"/>
      <c r="I8043" s="53"/>
      <c r="U8043" s="31" t="n">
        <f aca="false">IF($B8043&lt;&gt;'設定（最初に1回）'!$C$4,N(U8042),IF(COUNTIFS(①今日の在庫を貼る!$B$6:$B$10005,$B8043,①今日の在庫を貼る!$I$6:$I$10005,$I8043)&gt;0,N(U8042),N(U8042)+1))</f>
        <v>2</v>
      </c>
    </row>
    <row r="8044" customFormat="false" ht="15" hidden="false" customHeight="false" outlineLevel="0" collapsed="false">
      <c r="B8044" s="53"/>
      <c r="I8044" s="53"/>
      <c r="U8044" s="31" t="n">
        <f aca="false">IF($B8044&lt;&gt;'設定（最初に1回）'!$C$4,N(U8043),IF(COUNTIFS(①今日の在庫を貼る!$B$6:$B$10005,$B8044,①今日の在庫を貼る!$I$6:$I$10005,$I8044)&gt;0,N(U8043),N(U8043)+1))</f>
        <v>2</v>
      </c>
    </row>
    <row r="8045" customFormat="false" ht="15" hidden="false" customHeight="false" outlineLevel="0" collapsed="false">
      <c r="B8045" s="53"/>
      <c r="I8045" s="53"/>
      <c r="U8045" s="31" t="n">
        <f aca="false">IF($B8045&lt;&gt;'設定（最初に1回）'!$C$4,N(U8044),IF(COUNTIFS(①今日の在庫を貼る!$B$6:$B$10005,$B8045,①今日の在庫を貼る!$I$6:$I$10005,$I8045)&gt;0,N(U8044),N(U8044)+1))</f>
        <v>2</v>
      </c>
    </row>
    <row r="8046" customFormat="false" ht="15" hidden="false" customHeight="false" outlineLevel="0" collapsed="false">
      <c r="B8046" s="53"/>
      <c r="I8046" s="53"/>
      <c r="U8046" s="31" t="n">
        <f aca="false">IF($B8046&lt;&gt;'設定（最初に1回）'!$C$4,N(U8045),IF(COUNTIFS(①今日の在庫を貼る!$B$6:$B$10005,$B8046,①今日の在庫を貼る!$I$6:$I$10005,$I8046)&gt;0,N(U8045),N(U8045)+1))</f>
        <v>2</v>
      </c>
    </row>
    <row r="8047" customFormat="false" ht="15" hidden="false" customHeight="false" outlineLevel="0" collapsed="false">
      <c r="B8047" s="53"/>
      <c r="I8047" s="53"/>
      <c r="U8047" s="31" t="n">
        <f aca="false">IF($B8047&lt;&gt;'設定（最初に1回）'!$C$4,N(U8046),IF(COUNTIFS(①今日の在庫を貼る!$B$6:$B$10005,$B8047,①今日の在庫を貼る!$I$6:$I$10005,$I8047)&gt;0,N(U8046),N(U8046)+1))</f>
        <v>2</v>
      </c>
    </row>
    <row r="8048" customFormat="false" ht="15" hidden="false" customHeight="false" outlineLevel="0" collapsed="false">
      <c r="B8048" s="53"/>
      <c r="I8048" s="53"/>
      <c r="U8048" s="31" t="n">
        <f aca="false">IF($B8048&lt;&gt;'設定（最初に1回）'!$C$4,N(U8047),IF(COUNTIFS(①今日の在庫を貼る!$B$6:$B$10005,$B8048,①今日の在庫を貼る!$I$6:$I$10005,$I8048)&gt;0,N(U8047),N(U8047)+1))</f>
        <v>2</v>
      </c>
    </row>
    <row r="8049" customFormat="false" ht="15" hidden="false" customHeight="false" outlineLevel="0" collapsed="false">
      <c r="B8049" s="53"/>
      <c r="I8049" s="53"/>
      <c r="U8049" s="31" t="n">
        <f aca="false">IF($B8049&lt;&gt;'設定（最初に1回）'!$C$4,N(U8048),IF(COUNTIFS(①今日の在庫を貼る!$B$6:$B$10005,$B8049,①今日の在庫を貼る!$I$6:$I$10005,$I8049)&gt;0,N(U8048),N(U8048)+1))</f>
        <v>2</v>
      </c>
    </row>
    <row r="8050" customFormat="false" ht="15" hidden="false" customHeight="false" outlineLevel="0" collapsed="false">
      <c r="B8050" s="53"/>
      <c r="I8050" s="53"/>
      <c r="U8050" s="31" t="n">
        <f aca="false">IF($B8050&lt;&gt;'設定（最初に1回）'!$C$4,N(U8049),IF(COUNTIFS(①今日の在庫を貼る!$B$6:$B$10005,$B8050,①今日の在庫を貼る!$I$6:$I$10005,$I8050)&gt;0,N(U8049),N(U8049)+1))</f>
        <v>2</v>
      </c>
    </row>
    <row r="8051" customFormat="false" ht="15" hidden="false" customHeight="false" outlineLevel="0" collapsed="false">
      <c r="B8051" s="53"/>
      <c r="I8051" s="53"/>
      <c r="U8051" s="31" t="n">
        <f aca="false">IF($B8051&lt;&gt;'設定（最初に1回）'!$C$4,N(U8050),IF(COUNTIFS(①今日の在庫を貼る!$B$6:$B$10005,$B8051,①今日の在庫を貼る!$I$6:$I$10005,$I8051)&gt;0,N(U8050),N(U8050)+1))</f>
        <v>2</v>
      </c>
    </row>
    <row r="8052" customFormat="false" ht="15" hidden="false" customHeight="false" outlineLevel="0" collapsed="false">
      <c r="B8052" s="53"/>
      <c r="I8052" s="53"/>
      <c r="U8052" s="31" t="n">
        <f aca="false">IF($B8052&lt;&gt;'設定（最初に1回）'!$C$4,N(U8051),IF(COUNTIFS(①今日の在庫を貼る!$B$6:$B$10005,$B8052,①今日の在庫を貼る!$I$6:$I$10005,$I8052)&gt;0,N(U8051),N(U8051)+1))</f>
        <v>2</v>
      </c>
    </row>
    <row r="8053" customFormat="false" ht="15" hidden="false" customHeight="false" outlineLevel="0" collapsed="false">
      <c r="B8053" s="53"/>
      <c r="I8053" s="53"/>
      <c r="U8053" s="31" t="n">
        <f aca="false">IF($B8053&lt;&gt;'設定（最初に1回）'!$C$4,N(U8052),IF(COUNTIFS(①今日の在庫を貼る!$B$6:$B$10005,$B8053,①今日の在庫を貼る!$I$6:$I$10005,$I8053)&gt;0,N(U8052),N(U8052)+1))</f>
        <v>2</v>
      </c>
    </row>
    <row r="8054" customFormat="false" ht="15" hidden="false" customHeight="false" outlineLevel="0" collapsed="false">
      <c r="B8054" s="53"/>
      <c r="I8054" s="53"/>
      <c r="U8054" s="31" t="n">
        <f aca="false">IF($B8054&lt;&gt;'設定（最初に1回）'!$C$4,N(U8053),IF(COUNTIFS(①今日の在庫を貼る!$B$6:$B$10005,$B8054,①今日の在庫を貼る!$I$6:$I$10005,$I8054)&gt;0,N(U8053),N(U8053)+1))</f>
        <v>2</v>
      </c>
    </row>
    <row r="8055" customFormat="false" ht="15" hidden="false" customHeight="false" outlineLevel="0" collapsed="false">
      <c r="B8055" s="53"/>
      <c r="I8055" s="53"/>
      <c r="U8055" s="31" t="n">
        <f aca="false">IF($B8055&lt;&gt;'設定（最初に1回）'!$C$4,N(U8054),IF(COUNTIFS(①今日の在庫を貼る!$B$6:$B$10005,$B8055,①今日の在庫を貼る!$I$6:$I$10005,$I8055)&gt;0,N(U8054),N(U8054)+1))</f>
        <v>2</v>
      </c>
    </row>
    <row r="8056" customFormat="false" ht="15" hidden="false" customHeight="false" outlineLevel="0" collapsed="false">
      <c r="B8056" s="53"/>
      <c r="I8056" s="53"/>
      <c r="U8056" s="31" t="n">
        <f aca="false">IF($B8056&lt;&gt;'設定（最初に1回）'!$C$4,N(U8055),IF(COUNTIFS(①今日の在庫を貼る!$B$6:$B$10005,$B8056,①今日の在庫を貼る!$I$6:$I$10005,$I8056)&gt;0,N(U8055),N(U8055)+1))</f>
        <v>2</v>
      </c>
    </row>
    <row r="8057" customFormat="false" ht="15" hidden="false" customHeight="false" outlineLevel="0" collapsed="false">
      <c r="B8057" s="53"/>
      <c r="I8057" s="53"/>
      <c r="U8057" s="31" t="n">
        <f aca="false">IF($B8057&lt;&gt;'設定（最初に1回）'!$C$4,N(U8056),IF(COUNTIFS(①今日の在庫を貼る!$B$6:$B$10005,$B8057,①今日の在庫を貼る!$I$6:$I$10005,$I8057)&gt;0,N(U8056),N(U8056)+1))</f>
        <v>2</v>
      </c>
    </row>
    <row r="8058" customFormat="false" ht="15" hidden="false" customHeight="false" outlineLevel="0" collapsed="false">
      <c r="B8058" s="53"/>
      <c r="I8058" s="53"/>
      <c r="U8058" s="31" t="n">
        <f aca="false">IF($B8058&lt;&gt;'設定（最初に1回）'!$C$4,N(U8057),IF(COUNTIFS(①今日の在庫を貼る!$B$6:$B$10005,$B8058,①今日の在庫を貼る!$I$6:$I$10005,$I8058)&gt;0,N(U8057),N(U8057)+1))</f>
        <v>2</v>
      </c>
    </row>
    <row r="8059" customFormat="false" ht="15" hidden="false" customHeight="false" outlineLevel="0" collapsed="false">
      <c r="B8059" s="53"/>
      <c r="I8059" s="53"/>
      <c r="U8059" s="31" t="n">
        <f aca="false">IF($B8059&lt;&gt;'設定（最初に1回）'!$C$4,N(U8058),IF(COUNTIFS(①今日の在庫を貼る!$B$6:$B$10005,$B8059,①今日の在庫を貼る!$I$6:$I$10005,$I8059)&gt;0,N(U8058),N(U8058)+1))</f>
        <v>2</v>
      </c>
    </row>
    <row r="8060" customFormat="false" ht="15" hidden="false" customHeight="false" outlineLevel="0" collapsed="false">
      <c r="B8060" s="53"/>
      <c r="I8060" s="53"/>
      <c r="U8060" s="31" t="n">
        <f aca="false">IF($B8060&lt;&gt;'設定（最初に1回）'!$C$4,N(U8059),IF(COUNTIFS(①今日の在庫を貼る!$B$6:$B$10005,$B8060,①今日の在庫を貼る!$I$6:$I$10005,$I8060)&gt;0,N(U8059),N(U8059)+1))</f>
        <v>2</v>
      </c>
    </row>
    <row r="8061" customFormat="false" ht="15" hidden="false" customHeight="false" outlineLevel="0" collapsed="false">
      <c r="B8061" s="53"/>
      <c r="I8061" s="53"/>
      <c r="U8061" s="31" t="n">
        <f aca="false">IF($B8061&lt;&gt;'設定（最初に1回）'!$C$4,N(U8060),IF(COUNTIFS(①今日の在庫を貼る!$B$6:$B$10005,$B8061,①今日の在庫を貼る!$I$6:$I$10005,$I8061)&gt;0,N(U8060),N(U8060)+1))</f>
        <v>2</v>
      </c>
    </row>
    <row r="8062" customFormat="false" ht="15" hidden="false" customHeight="false" outlineLevel="0" collapsed="false">
      <c r="B8062" s="53"/>
      <c r="I8062" s="53"/>
      <c r="U8062" s="31" t="n">
        <f aca="false">IF($B8062&lt;&gt;'設定（最初に1回）'!$C$4,N(U8061),IF(COUNTIFS(①今日の在庫を貼る!$B$6:$B$10005,$B8062,①今日の在庫を貼る!$I$6:$I$10005,$I8062)&gt;0,N(U8061),N(U8061)+1))</f>
        <v>2</v>
      </c>
    </row>
    <row r="8063" customFormat="false" ht="15" hidden="false" customHeight="false" outlineLevel="0" collapsed="false">
      <c r="B8063" s="53"/>
      <c r="I8063" s="53"/>
      <c r="U8063" s="31" t="n">
        <f aca="false">IF($B8063&lt;&gt;'設定（最初に1回）'!$C$4,N(U8062),IF(COUNTIFS(①今日の在庫を貼る!$B$6:$B$10005,$B8063,①今日の在庫を貼る!$I$6:$I$10005,$I8063)&gt;0,N(U8062),N(U8062)+1))</f>
        <v>2</v>
      </c>
    </row>
    <row r="8064" customFormat="false" ht="15" hidden="false" customHeight="false" outlineLevel="0" collapsed="false">
      <c r="B8064" s="53"/>
      <c r="I8064" s="53"/>
      <c r="U8064" s="31" t="n">
        <f aca="false">IF($B8064&lt;&gt;'設定（最初に1回）'!$C$4,N(U8063),IF(COUNTIFS(①今日の在庫を貼る!$B$6:$B$10005,$B8064,①今日の在庫を貼る!$I$6:$I$10005,$I8064)&gt;0,N(U8063),N(U8063)+1))</f>
        <v>2</v>
      </c>
    </row>
    <row r="8065" customFormat="false" ht="15" hidden="false" customHeight="false" outlineLevel="0" collapsed="false">
      <c r="B8065" s="53"/>
      <c r="I8065" s="53"/>
      <c r="U8065" s="31" t="n">
        <f aca="false">IF($B8065&lt;&gt;'設定（最初に1回）'!$C$4,N(U8064),IF(COUNTIFS(①今日の在庫を貼る!$B$6:$B$10005,$B8065,①今日の在庫を貼る!$I$6:$I$10005,$I8065)&gt;0,N(U8064),N(U8064)+1))</f>
        <v>2</v>
      </c>
    </row>
    <row r="8066" customFormat="false" ht="15" hidden="false" customHeight="false" outlineLevel="0" collapsed="false">
      <c r="B8066" s="53"/>
      <c r="I8066" s="53"/>
      <c r="U8066" s="31" t="n">
        <f aca="false">IF($B8066&lt;&gt;'設定（最初に1回）'!$C$4,N(U8065),IF(COUNTIFS(①今日の在庫を貼る!$B$6:$B$10005,$B8066,①今日の在庫を貼る!$I$6:$I$10005,$I8066)&gt;0,N(U8065),N(U8065)+1))</f>
        <v>2</v>
      </c>
    </row>
    <row r="8067" customFormat="false" ht="15" hidden="false" customHeight="false" outlineLevel="0" collapsed="false">
      <c r="B8067" s="53"/>
      <c r="I8067" s="53"/>
      <c r="U8067" s="31" t="n">
        <f aca="false">IF($B8067&lt;&gt;'設定（最初に1回）'!$C$4,N(U8066),IF(COUNTIFS(①今日の在庫を貼る!$B$6:$B$10005,$B8067,①今日の在庫を貼る!$I$6:$I$10005,$I8067)&gt;0,N(U8066),N(U8066)+1))</f>
        <v>2</v>
      </c>
    </row>
    <row r="8068" customFormat="false" ht="15" hidden="false" customHeight="false" outlineLevel="0" collapsed="false">
      <c r="B8068" s="53"/>
      <c r="I8068" s="53"/>
      <c r="U8068" s="31" t="n">
        <f aca="false">IF($B8068&lt;&gt;'設定（最初に1回）'!$C$4,N(U8067),IF(COUNTIFS(①今日の在庫を貼る!$B$6:$B$10005,$B8068,①今日の在庫を貼る!$I$6:$I$10005,$I8068)&gt;0,N(U8067),N(U8067)+1))</f>
        <v>2</v>
      </c>
    </row>
    <row r="8069" customFormat="false" ht="15" hidden="false" customHeight="false" outlineLevel="0" collapsed="false">
      <c r="B8069" s="53"/>
      <c r="I8069" s="53"/>
      <c r="U8069" s="31" t="n">
        <f aca="false">IF($B8069&lt;&gt;'設定（最初に1回）'!$C$4,N(U8068),IF(COUNTIFS(①今日の在庫を貼る!$B$6:$B$10005,$B8069,①今日の在庫を貼る!$I$6:$I$10005,$I8069)&gt;0,N(U8068),N(U8068)+1))</f>
        <v>2</v>
      </c>
    </row>
    <row r="8070" customFormat="false" ht="15" hidden="false" customHeight="false" outlineLevel="0" collapsed="false">
      <c r="B8070" s="53"/>
      <c r="I8070" s="53"/>
      <c r="U8070" s="31" t="n">
        <f aca="false">IF($B8070&lt;&gt;'設定（最初に1回）'!$C$4,N(U8069),IF(COUNTIFS(①今日の在庫を貼る!$B$6:$B$10005,$B8070,①今日の在庫を貼る!$I$6:$I$10005,$I8070)&gt;0,N(U8069),N(U8069)+1))</f>
        <v>2</v>
      </c>
    </row>
    <row r="8071" customFormat="false" ht="15" hidden="false" customHeight="false" outlineLevel="0" collapsed="false">
      <c r="B8071" s="53"/>
      <c r="I8071" s="53"/>
      <c r="U8071" s="31" t="n">
        <f aca="false">IF($B8071&lt;&gt;'設定（最初に1回）'!$C$4,N(U8070),IF(COUNTIFS(①今日の在庫を貼る!$B$6:$B$10005,$B8071,①今日の在庫を貼る!$I$6:$I$10005,$I8071)&gt;0,N(U8070),N(U8070)+1))</f>
        <v>2</v>
      </c>
    </row>
    <row r="8072" customFormat="false" ht="15" hidden="false" customHeight="false" outlineLevel="0" collapsed="false">
      <c r="B8072" s="53"/>
      <c r="I8072" s="53"/>
      <c r="U8072" s="31" t="n">
        <f aca="false">IF($B8072&lt;&gt;'設定（最初に1回）'!$C$4,N(U8071),IF(COUNTIFS(①今日の在庫を貼る!$B$6:$B$10005,$B8072,①今日の在庫を貼る!$I$6:$I$10005,$I8072)&gt;0,N(U8071),N(U8071)+1))</f>
        <v>2</v>
      </c>
    </row>
    <row r="8073" customFormat="false" ht="15" hidden="false" customHeight="false" outlineLevel="0" collapsed="false">
      <c r="B8073" s="53"/>
      <c r="I8073" s="53"/>
      <c r="U8073" s="31" t="n">
        <f aca="false">IF($B8073&lt;&gt;'設定（最初に1回）'!$C$4,N(U8072),IF(COUNTIFS(①今日の在庫を貼る!$B$6:$B$10005,$B8073,①今日の在庫を貼る!$I$6:$I$10005,$I8073)&gt;0,N(U8072),N(U8072)+1))</f>
        <v>2</v>
      </c>
    </row>
    <row r="8074" customFormat="false" ht="15" hidden="false" customHeight="false" outlineLevel="0" collapsed="false">
      <c r="B8074" s="53"/>
      <c r="I8074" s="53"/>
      <c r="U8074" s="31" t="n">
        <f aca="false">IF($B8074&lt;&gt;'設定（最初に1回）'!$C$4,N(U8073),IF(COUNTIFS(①今日の在庫を貼る!$B$6:$B$10005,$B8074,①今日の在庫を貼る!$I$6:$I$10005,$I8074)&gt;0,N(U8073),N(U8073)+1))</f>
        <v>2</v>
      </c>
    </row>
    <row r="8075" customFormat="false" ht="15" hidden="false" customHeight="false" outlineLevel="0" collapsed="false">
      <c r="B8075" s="53"/>
      <c r="I8075" s="53"/>
      <c r="U8075" s="31" t="n">
        <f aca="false">IF($B8075&lt;&gt;'設定（最初に1回）'!$C$4,N(U8074),IF(COUNTIFS(①今日の在庫を貼る!$B$6:$B$10005,$B8075,①今日の在庫を貼る!$I$6:$I$10005,$I8075)&gt;0,N(U8074),N(U8074)+1))</f>
        <v>2</v>
      </c>
    </row>
    <row r="8076" customFormat="false" ht="15" hidden="false" customHeight="false" outlineLevel="0" collapsed="false">
      <c r="B8076" s="53"/>
      <c r="I8076" s="53"/>
      <c r="U8076" s="31" t="n">
        <f aca="false">IF($B8076&lt;&gt;'設定（最初に1回）'!$C$4,N(U8075),IF(COUNTIFS(①今日の在庫を貼る!$B$6:$B$10005,$B8076,①今日の在庫を貼る!$I$6:$I$10005,$I8076)&gt;0,N(U8075),N(U8075)+1))</f>
        <v>2</v>
      </c>
    </row>
    <row r="8077" customFormat="false" ht="15" hidden="false" customHeight="false" outlineLevel="0" collapsed="false">
      <c r="B8077" s="53"/>
      <c r="I8077" s="53"/>
      <c r="U8077" s="31" t="n">
        <f aca="false">IF($B8077&lt;&gt;'設定（最初に1回）'!$C$4,N(U8076),IF(COUNTIFS(①今日の在庫を貼る!$B$6:$B$10005,$B8077,①今日の在庫を貼る!$I$6:$I$10005,$I8077)&gt;0,N(U8076),N(U8076)+1))</f>
        <v>2</v>
      </c>
    </row>
    <row r="8078" customFormat="false" ht="15" hidden="false" customHeight="false" outlineLevel="0" collapsed="false">
      <c r="B8078" s="53"/>
      <c r="I8078" s="53"/>
      <c r="U8078" s="31" t="n">
        <f aca="false">IF($B8078&lt;&gt;'設定（最初に1回）'!$C$4,N(U8077),IF(COUNTIFS(①今日の在庫を貼る!$B$6:$B$10005,$B8078,①今日の在庫を貼る!$I$6:$I$10005,$I8078)&gt;0,N(U8077),N(U8077)+1))</f>
        <v>2</v>
      </c>
    </row>
    <row r="8079" customFormat="false" ht="15" hidden="false" customHeight="false" outlineLevel="0" collapsed="false">
      <c r="B8079" s="53"/>
      <c r="I8079" s="53"/>
      <c r="U8079" s="31" t="n">
        <f aca="false">IF($B8079&lt;&gt;'設定（最初に1回）'!$C$4,N(U8078),IF(COUNTIFS(①今日の在庫を貼る!$B$6:$B$10005,$B8079,①今日の在庫を貼る!$I$6:$I$10005,$I8079)&gt;0,N(U8078),N(U8078)+1))</f>
        <v>2</v>
      </c>
    </row>
    <row r="8080" customFormat="false" ht="15" hidden="false" customHeight="false" outlineLevel="0" collapsed="false">
      <c r="B8080" s="53"/>
      <c r="I8080" s="53"/>
      <c r="U8080" s="31" t="n">
        <f aca="false">IF($B8080&lt;&gt;'設定（最初に1回）'!$C$4,N(U8079),IF(COUNTIFS(①今日の在庫を貼る!$B$6:$B$10005,$B8080,①今日の在庫を貼る!$I$6:$I$10005,$I8080)&gt;0,N(U8079),N(U8079)+1))</f>
        <v>2</v>
      </c>
    </row>
    <row r="8081" customFormat="false" ht="15" hidden="false" customHeight="false" outlineLevel="0" collapsed="false">
      <c r="B8081" s="53"/>
      <c r="I8081" s="53"/>
      <c r="U8081" s="31" t="n">
        <f aca="false">IF($B8081&lt;&gt;'設定（最初に1回）'!$C$4,N(U8080),IF(COUNTIFS(①今日の在庫を貼る!$B$6:$B$10005,$B8081,①今日の在庫を貼る!$I$6:$I$10005,$I8081)&gt;0,N(U8080),N(U8080)+1))</f>
        <v>2</v>
      </c>
    </row>
    <row r="8082" customFormat="false" ht="15" hidden="false" customHeight="false" outlineLevel="0" collapsed="false">
      <c r="B8082" s="53"/>
      <c r="I8082" s="53"/>
      <c r="U8082" s="31" t="n">
        <f aca="false">IF($B8082&lt;&gt;'設定（最初に1回）'!$C$4,N(U8081),IF(COUNTIFS(①今日の在庫を貼る!$B$6:$B$10005,$B8082,①今日の在庫を貼る!$I$6:$I$10005,$I8082)&gt;0,N(U8081),N(U8081)+1))</f>
        <v>2</v>
      </c>
    </row>
    <row r="8083" customFormat="false" ht="15" hidden="false" customHeight="false" outlineLevel="0" collapsed="false">
      <c r="B8083" s="53"/>
      <c r="I8083" s="53"/>
      <c r="U8083" s="31" t="n">
        <f aca="false">IF($B8083&lt;&gt;'設定（最初に1回）'!$C$4,N(U8082),IF(COUNTIFS(①今日の在庫を貼る!$B$6:$B$10005,$B8083,①今日の在庫を貼る!$I$6:$I$10005,$I8083)&gt;0,N(U8082),N(U8082)+1))</f>
        <v>2</v>
      </c>
    </row>
    <row r="8084" customFormat="false" ht="15" hidden="false" customHeight="false" outlineLevel="0" collapsed="false">
      <c r="B8084" s="53"/>
      <c r="I8084" s="53"/>
      <c r="U8084" s="31" t="n">
        <f aca="false">IF($B8084&lt;&gt;'設定（最初に1回）'!$C$4,N(U8083),IF(COUNTIFS(①今日の在庫を貼る!$B$6:$B$10005,$B8084,①今日の在庫を貼る!$I$6:$I$10005,$I8084)&gt;0,N(U8083),N(U8083)+1))</f>
        <v>2</v>
      </c>
    </row>
    <row r="8085" customFormat="false" ht="15" hidden="false" customHeight="false" outlineLevel="0" collapsed="false">
      <c r="B8085" s="53"/>
      <c r="I8085" s="53"/>
      <c r="U8085" s="31" t="n">
        <f aca="false">IF($B8085&lt;&gt;'設定（最初に1回）'!$C$4,N(U8084),IF(COUNTIFS(①今日の在庫を貼る!$B$6:$B$10005,$B8085,①今日の在庫を貼る!$I$6:$I$10005,$I8085)&gt;0,N(U8084),N(U8084)+1))</f>
        <v>2</v>
      </c>
    </row>
    <row r="8086" customFormat="false" ht="15" hidden="false" customHeight="false" outlineLevel="0" collapsed="false">
      <c r="B8086" s="53"/>
      <c r="I8086" s="53"/>
      <c r="U8086" s="31" t="n">
        <f aca="false">IF($B8086&lt;&gt;'設定（最初に1回）'!$C$4,N(U8085),IF(COUNTIFS(①今日の在庫を貼る!$B$6:$B$10005,$B8086,①今日の在庫を貼る!$I$6:$I$10005,$I8086)&gt;0,N(U8085),N(U8085)+1))</f>
        <v>2</v>
      </c>
    </row>
    <row r="8087" customFormat="false" ht="15" hidden="false" customHeight="false" outlineLevel="0" collapsed="false">
      <c r="B8087" s="53"/>
      <c r="I8087" s="53"/>
      <c r="U8087" s="31" t="n">
        <f aca="false">IF($B8087&lt;&gt;'設定（最初に1回）'!$C$4,N(U8086),IF(COUNTIFS(①今日の在庫を貼る!$B$6:$B$10005,$B8087,①今日の在庫を貼る!$I$6:$I$10005,$I8087)&gt;0,N(U8086),N(U8086)+1))</f>
        <v>2</v>
      </c>
    </row>
    <row r="8088" customFormat="false" ht="15" hidden="false" customHeight="false" outlineLevel="0" collapsed="false">
      <c r="B8088" s="53"/>
      <c r="I8088" s="53"/>
      <c r="U8088" s="31" t="n">
        <f aca="false">IF($B8088&lt;&gt;'設定（最初に1回）'!$C$4,N(U8087),IF(COUNTIFS(①今日の在庫を貼る!$B$6:$B$10005,$B8088,①今日の在庫を貼る!$I$6:$I$10005,$I8088)&gt;0,N(U8087),N(U8087)+1))</f>
        <v>2</v>
      </c>
    </row>
    <row r="8089" customFormat="false" ht="15" hidden="false" customHeight="false" outlineLevel="0" collapsed="false">
      <c r="B8089" s="53"/>
      <c r="I8089" s="53"/>
      <c r="U8089" s="31" t="n">
        <f aca="false">IF($B8089&lt;&gt;'設定（最初に1回）'!$C$4,N(U8088),IF(COUNTIFS(①今日の在庫を貼る!$B$6:$B$10005,$B8089,①今日の在庫を貼る!$I$6:$I$10005,$I8089)&gt;0,N(U8088),N(U8088)+1))</f>
        <v>2</v>
      </c>
    </row>
    <row r="8090" customFormat="false" ht="15" hidden="false" customHeight="false" outlineLevel="0" collapsed="false">
      <c r="B8090" s="53"/>
      <c r="I8090" s="53"/>
      <c r="U8090" s="31" t="n">
        <f aca="false">IF($B8090&lt;&gt;'設定（最初に1回）'!$C$4,N(U8089),IF(COUNTIFS(①今日の在庫を貼る!$B$6:$B$10005,$B8090,①今日の在庫を貼る!$I$6:$I$10005,$I8090)&gt;0,N(U8089),N(U8089)+1))</f>
        <v>2</v>
      </c>
    </row>
    <row r="8091" customFormat="false" ht="15" hidden="false" customHeight="false" outlineLevel="0" collapsed="false">
      <c r="B8091" s="53"/>
      <c r="I8091" s="53"/>
      <c r="U8091" s="31" t="n">
        <f aca="false">IF($B8091&lt;&gt;'設定（最初に1回）'!$C$4,N(U8090),IF(COUNTIFS(①今日の在庫を貼る!$B$6:$B$10005,$B8091,①今日の在庫を貼る!$I$6:$I$10005,$I8091)&gt;0,N(U8090),N(U8090)+1))</f>
        <v>2</v>
      </c>
    </row>
    <row r="8092" customFormat="false" ht="15" hidden="false" customHeight="false" outlineLevel="0" collapsed="false">
      <c r="B8092" s="53"/>
      <c r="I8092" s="53"/>
      <c r="U8092" s="31" t="n">
        <f aca="false">IF($B8092&lt;&gt;'設定（最初に1回）'!$C$4,N(U8091),IF(COUNTIFS(①今日の在庫を貼る!$B$6:$B$10005,$B8092,①今日の在庫を貼る!$I$6:$I$10005,$I8092)&gt;0,N(U8091),N(U8091)+1))</f>
        <v>2</v>
      </c>
    </row>
    <row r="8093" customFormat="false" ht="15" hidden="false" customHeight="false" outlineLevel="0" collapsed="false">
      <c r="B8093" s="53"/>
      <c r="I8093" s="53"/>
      <c r="U8093" s="31" t="n">
        <f aca="false">IF($B8093&lt;&gt;'設定（最初に1回）'!$C$4,N(U8092),IF(COUNTIFS(①今日の在庫を貼る!$B$6:$B$10005,$B8093,①今日の在庫を貼る!$I$6:$I$10005,$I8093)&gt;0,N(U8092),N(U8092)+1))</f>
        <v>2</v>
      </c>
    </row>
    <row r="8094" customFormat="false" ht="15" hidden="false" customHeight="false" outlineLevel="0" collapsed="false">
      <c r="B8094" s="53"/>
      <c r="I8094" s="53"/>
      <c r="U8094" s="31" t="n">
        <f aca="false">IF($B8094&lt;&gt;'設定（最初に1回）'!$C$4,N(U8093),IF(COUNTIFS(①今日の在庫を貼る!$B$6:$B$10005,$B8094,①今日の在庫を貼る!$I$6:$I$10005,$I8094)&gt;0,N(U8093),N(U8093)+1))</f>
        <v>2</v>
      </c>
    </row>
    <row r="8095" customFormat="false" ht="15" hidden="false" customHeight="false" outlineLevel="0" collapsed="false">
      <c r="B8095" s="53"/>
      <c r="I8095" s="53"/>
      <c r="U8095" s="31" t="n">
        <f aca="false">IF($B8095&lt;&gt;'設定（最初に1回）'!$C$4,N(U8094),IF(COUNTIFS(①今日の在庫を貼る!$B$6:$B$10005,$B8095,①今日の在庫を貼る!$I$6:$I$10005,$I8095)&gt;0,N(U8094),N(U8094)+1))</f>
        <v>2</v>
      </c>
    </row>
    <row r="8096" customFormat="false" ht="15" hidden="false" customHeight="false" outlineLevel="0" collapsed="false">
      <c r="B8096" s="53"/>
      <c r="I8096" s="53"/>
      <c r="U8096" s="31" t="n">
        <f aca="false">IF($B8096&lt;&gt;'設定（最初に1回）'!$C$4,N(U8095),IF(COUNTIFS(①今日の在庫を貼る!$B$6:$B$10005,$B8096,①今日の在庫を貼る!$I$6:$I$10005,$I8096)&gt;0,N(U8095),N(U8095)+1))</f>
        <v>2</v>
      </c>
    </row>
    <row r="8097" customFormat="false" ht="15" hidden="false" customHeight="false" outlineLevel="0" collapsed="false">
      <c r="B8097" s="53"/>
      <c r="I8097" s="53"/>
      <c r="U8097" s="31" t="n">
        <f aca="false">IF($B8097&lt;&gt;'設定（最初に1回）'!$C$4,N(U8096),IF(COUNTIFS(①今日の在庫を貼る!$B$6:$B$10005,$B8097,①今日の在庫を貼る!$I$6:$I$10005,$I8097)&gt;0,N(U8096),N(U8096)+1))</f>
        <v>2</v>
      </c>
    </row>
    <row r="8098" customFormat="false" ht="15" hidden="false" customHeight="false" outlineLevel="0" collapsed="false">
      <c r="B8098" s="53"/>
      <c r="I8098" s="53"/>
      <c r="U8098" s="31" t="n">
        <f aca="false">IF($B8098&lt;&gt;'設定（最初に1回）'!$C$4,N(U8097),IF(COUNTIFS(①今日の在庫を貼る!$B$6:$B$10005,$B8098,①今日の在庫を貼る!$I$6:$I$10005,$I8098)&gt;0,N(U8097),N(U8097)+1))</f>
        <v>2</v>
      </c>
    </row>
    <row r="8099" customFormat="false" ht="15" hidden="false" customHeight="false" outlineLevel="0" collapsed="false">
      <c r="B8099" s="53"/>
      <c r="I8099" s="53"/>
      <c r="U8099" s="31" t="n">
        <f aca="false">IF($B8099&lt;&gt;'設定（最初に1回）'!$C$4,N(U8098),IF(COUNTIFS(①今日の在庫を貼る!$B$6:$B$10005,$B8099,①今日の在庫を貼る!$I$6:$I$10005,$I8099)&gt;0,N(U8098),N(U8098)+1))</f>
        <v>2</v>
      </c>
    </row>
    <row r="8100" customFormat="false" ht="15" hidden="false" customHeight="false" outlineLevel="0" collapsed="false">
      <c r="B8100" s="53"/>
      <c r="I8100" s="53"/>
      <c r="U8100" s="31" t="n">
        <f aca="false">IF($B8100&lt;&gt;'設定（最初に1回）'!$C$4,N(U8099),IF(COUNTIFS(①今日の在庫を貼る!$B$6:$B$10005,$B8100,①今日の在庫を貼る!$I$6:$I$10005,$I8100)&gt;0,N(U8099),N(U8099)+1))</f>
        <v>2</v>
      </c>
    </row>
    <row r="8101" customFormat="false" ht="15" hidden="false" customHeight="false" outlineLevel="0" collapsed="false">
      <c r="B8101" s="53"/>
      <c r="I8101" s="53"/>
      <c r="U8101" s="31" t="n">
        <f aca="false">IF($B8101&lt;&gt;'設定（最初に1回）'!$C$4,N(U8100),IF(COUNTIFS(①今日の在庫を貼る!$B$6:$B$10005,$B8101,①今日の在庫を貼る!$I$6:$I$10005,$I8101)&gt;0,N(U8100),N(U8100)+1))</f>
        <v>2</v>
      </c>
    </row>
    <row r="8102" customFormat="false" ht="15" hidden="false" customHeight="false" outlineLevel="0" collapsed="false">
      <c r="B8102" s="53"/>
      <c r="I8102" s="53"/>
      <c r="U8102" s="31" t="n">
        <f aca="false">IF($B8102&lt;&gt;'設定（最初に1回）'!$C$4,N(U8101),IF(COUNTIFS(①今日の在庫を貼る!$B$6:$B$10005,$B8102,①今日の在庫を貼る!$I$6:$I$10005,$I8102)&gt;0,N(U8101),N(U8101)+1))</f>
        <v>2</v>
      </c>
    </row>
    <row r="8103" customFormat="false" ht="15" hidden="false" customHeight="false" outlineLevel="0" collapsed="false">
      <c r="B8103" s="53"/>
      <c r="I8103" s="53"/>
      <c r="U8103" s="31" t="n">
        <f aca="false">IF($B8103&lt;&gt;'設定（最初に1回）'!$C$4,N(U8102),IF(COUNTIFS(①今日の在庫を貼る!$B$6:$B$10005,$B8103,①今日の在庫を貼る!$I$6:$I$10005,$I8103)&gt;0,N(U8102),N(U8102)+1))</f>
        <v>2</v>
      </c>
    </row>
    <row r="8104" customFormat="false" ht="15" hidden="false" customHeight="false" outlineLevel="0" collapsed="false">
      <c r="B8104" s="53"/>
      <c r="I8104" s="53"/>
      <c r="U8104" s="31" t="n">
        <f aca="false">IF($B8104&lt;&gt;'設定（最初に1回）'!$C$4,N(U8103),IF(COUNTIFS(①今日の在庫を貼る!$B$6:$B$10005,$B8104,①今日の在庫を貼る!$I$6:$I$10005,$I8104)&gt;0,N(U8103),N(U8103)+1))</f>
        <v>2</v>
      </c>
    </row>
    <row r="8105" customFormat="false" ht="15" hidden="false" customHeight="false" outlineLevel="0" collapsed="false">
      <c r="B8105" s="53"/>
      <c r="I8105" s="53"/>
      <c r="U8105" s="31" t="n">
        <f aca="false">IF($B8105&lt;&gt;'設定（最初に1回）'!$C$4,N(U8104),IF(COUNTIFS(①今日の在庫を貼る!$B$6:$B$10005,$B8105,①今日の在庫を貼る!$I$6:$I$10005,$I8105)&gt;0,N(U8104),N(U8104)+1))</f>
        <v>2</v>
      </c>
    </row>
    <row r="8106" customFormat="false" ht="15" hidden="false" customHeight="false" outlineLevel="0" collapsed="false">
      <c r="B8106" s="53"/>
      <c r="I8106" s="53"/>
      <c r="U8106" s="31" t="n">
        <f aca="false">IF($B8106&lt;&gt;'設定（最初に1回）'!$C$4,N(U8105),IF(COUNTIFS(①今日の在庫を貼る!$B$6:$B$10005,$B8106,①今日の在庫を貼る!$I$6:$I$10005,$I8106)&gt;0,N(U8105),N(U8105)+1))</f>
        <v>2</v>
      </c>
    </row>
    <row r="8107" customFormat="false" ht="15" hidden="false" customHeight="false" outlineLevel="0" collapsed="false">
      <c r="B8107" s="53"/>
      <c r="I8107" s="53"/>
      <c r="U8107" s="31" t="n">
        <f aca="false">IF($B8107&lt;&gt;'設定（最初に1回）'!$C$4,N(U8106),IF(COUNTIFS(①今日の在庫を貼る!$B$6:$B$10005,$B8107,①今日の在庫を貼る!$I$6:$I$10005,$I8107)&gt;0,N(U8106),N(U8106)+1))</f>
        <v>2</v>
      </c>
    </row>
    <row r="8108" customFormat="false" ht="15" hidden="false" customHeight="false" outlineLevel="0" collapsed="false">
      <c r="B8108" s="53"/>
      <c r="I8108" s="53"/>
      <c r="U8108" s="31" t="n">
        <f aca="false">IF($B8108&lt;&gt;'設定（最初に1回）'!$C$4,N(U8107),IF(COUNTIFS(①今日の在庫を貼る!$B$6:$B$10005,$B8108,①今日の在庫を貼る!$I$6:$I$10005,$I8108)&gt;0,N(U8107),N(U8107)+1))</f>
        <v>2</v>
      </c>
    </row>
    <row r="8109" customFormat="false" ht="15" hidden="false" customHeight="false" outlineLevel="0" collapsed="false">
      <c r="B8109" s="53"/>
      <c r="I8109" s="53"/>
      <c r="U8109" s="31" t="n">
        <f aca="false">IF($B8109&lt;&gt;'設定（最初に1回）'!$C$4,N(U8108),IF(COUNTIFS(①今日の在庫を貼る!$B$6:$B$10005,$B8109,①今日の在庫を貼る!$I$6:$I$10005,$I8109)&gt;0,N(U8108),N(U8108)+1))</f>
        <v>2</v>
      </c>
    </row>
    <row r="8110" customFormat="false" ht="15" hidden="false" customHeight="false" outlineLevel="0" collapsed="false">
      <c r="B8110" s="53"/>
      <c r="I8110" s="53"/>
      <c r="U8110" s="31" t="n">
        <f aca="false">IF($B8110&lt;&gt;'設定（最初に1回）'!$C$4,N(U8109),IF(COUNTIFS(①今日の在庫を貼る!$B$6:$B$10005,$B8110,①今日の在庫を貼る!$I$6:$I$10005,$I8110)&gt;0,N(U8109),N(U8109)+1))</f>
        <v>2</v>
      </c>
    </row>
    <row r="8111" customFormat="false" ht="15" hidden="false" customHeight="false" outlineLevel="0" collapsed="false">
      <c r="B8111" s="53"/>
      <c r="I8111" s="53"/>
      <c r="U8111" s="31" t="n">
        <f aca="false">IF($B8111&lt;&gt;'設定（最初に1回）'!$C$4,N(U8110),IF(COUNTIFS(①今日の在庫を貼る!$B$6:$B$10005,$B8111,①今日の在庫を貼る!$I$6:$I$10005,$I8111)&gt;0,N(U8110),N(U8110)+1))</f>
        <v>2</v>
      </c>
    </row>
    <row r="8112" customFormat="false" ht="15" hidden="false" customHeight="false" outlineLevel="0" collapsed="false">
      <c r="B8112" s="53"/>
      <c r="I8112" s="53"/>
      <c r="U8112" s="31" t="n">
        <f aca="false">IF($B8112&lt;&gt;'設定（最初に1回）'!$C$4,N(U8111),IF(COUNTIFS(①今日の在庫を貼る!$B$6:$B$10005,$B8112,①今日の在庫を貼る!$I$6:$I$10005,$I8112)&gt;0,N(U8111),N(U8111)+1))</f>
        <v>2</v>
      </c>
    </row>
    <row r="8113" customFormat="false" ht="15" hidden="false" customHeight="false" outlineLevel="0" collapsed="false">
      <c r="B8113" s="53"/>
      <c r="I8113" s="53"/>
      <c r="U8113" s="31" t="n">
        <f aca="false">IF($B8113&lt;&gt;'設定（最初に1回）'!$C$4,N(U8112),IF(COUNTIFS(①今日の在庫を貼る!$B$6:$B$10005,$B8113,①今日の在庫を貼る!$I$6:$I$10005,$I8113)&gt;0,N(U8112),N(U8112)+1))</f>
        <v>2</v>
      </c>
    </row>
    <row r="8114" customFormat="false" ht="15" hidden="false" customHeight="false" outlineLevel="0" collapsed="false">
      <c r="B8114" s="53"/>
      <c r="I8114" s="53"/>
      <c r="U8114" s="31" t="n">
        <f aca="false">IF($B8114&lt;&gt;'設定（最初に1回）'!$C$4,N(U8113),IF(COUNTIFS(①今日の在庫を貼る!$B$6:$B$10005,$B8114,①今日の在庫を貼る!$I$6:$I$10005,$I8114)&gt;0,N(U8113),N(U8113)+1))</f>
        <v>2</v>
      </c>
    </row>
    <row r="8115" customFormat="false" ht="15" hidden="false" customHeight="false" outlineLevel="0" collapsed="false">
      <c r="B8115" s="53"/>
      <c r="I8115" s="53"/>
      <c r="U8115" s="31" t="n">
        <f aca="false">IF($B8115&lt;&gt;'設定（最初に1回）'!$C$4,N(U8114),IF(COUNTIFS(①今日の在庫を貼る!$B$6:$B$10005,$B8115,①今日の在庫を貼る!$I$6:$I$10005,$I8115)&gt;0,N(U8114),N(U8114)+1))</f>
        <v>2</v>
      </c>
    </row>
    <row r="8116" customFormat="false" ht="15" hidden="false" customHeight="false" outlineLevel="0" collapsed="false">
      <c r="B8116" s="53"/>
      <c r="I8116" s="53"/>
      <c r="U8116" s="31" t="n">
        <f aca="false">IF($B8116&lt;&gt;'設定（最初に1回）'!$C$4,N(U8115),IF(COUNTIFS(①今日の在庫を貼る!$B$6:$B$10005,$B8116,①今日の在庫を貼る!$I$6:$I$10005,$I8116)&gt;0,N(U8115),N(U8115)+1))</f>
        <v>2</v>
      </c>
    </row>
    <row r="8117" customFormat="false" ht="15" hidden="false" customHeight="false" outlineLevel="0" collapsed="false">
      <c r="B8117" s="53"/>
      <c r="I8117" s="53"/>
      <c r="U8117" s="31" t="n">
        <f aca="false">IF($B8117&lt;&gt;'設定（最初に1回）'!$C$4,N(U8116),IF(COUNTIFS(①今日の在庫を貼る!$B$6:$B$10005,$B8117,①今日の在庫を貼る!$I$6:$I$10005,$I8117)&gt;0,N(U8116),N(U8116)+1))</f>
        <v>2</v>
      </c>
    </row>
    <row r="8118" customFormat="false" ht="15" hidden="false" customHeight="false" outlineLevel="0" collapsed="false">
      <c r="B8118" s="53"/>
      <c r="I8118" s="53"/>
      <c r="U8118" s="31" t="n">
        <f aca="false">IF($B8118&lt;&gt;'設定（最初に1回）'!$C$4,N(U8117),IF(COUNTIFS(①今日の在庫を貼る!$B$6:$B$10005,$B8118,①今日の在庫を貼る!$I$6:$I$10005,$I8118)&gt;0,N(U8117),N(U8117)+1))</f>
        <v>2</v>
      </c>
    </row>
    <row r="8119" customFormat="false" ht="15" hidden="false" customHeight="false" outlineLevel="0" collapsed="false">
      <c r="B8119" s="53"/>
      <c r="I8119" s="53"/>
      <c r="U8119" s="31" t="n">
        <f aca="false">IF($B8119&lt;&gt;'設定（最初に1回）'!$C$4,N(U8118),IF(COUNTIFS(①今日の在庫を貼る!$B$6:$B$10005,$B8119,①今日の在庫を貼る!$I$6:$I$10005,$I8119)&gt;0,N(U8118),N(U8118)+1))</f>
        <v>2</v>
      </c>
    </row>
    <row r="8120" customFormat="false" ht="15" hidden="false" customHeight="false" outlineLevel="0" collapsed="false">
      <c r="B8120" s="53"/>
      <c r="I8120" s="53"/>
      <c r="U8120" s="31" t="n">
        <f aca="false">IF($B8120&lt;&gt;'設定（最初に1回）'!$C$4,N(U8119),IF(COUNTIFS(①今日の在庫を貼る!$B$6:$B$10005,$B8120,①今日の在庫を貼る!$I$6:$I$10005,$I8120)&gt;0,N(U8119),N(U8119)+1))</f>
        <v>2</v>
      </c>
    </row>
    <row r="8121" customFormat="false" ht="15" hidden="false" customHeight="false" outlineLevel="0" collapsed="false">
      <c r="B8121" s="53"/>
      <c r="I8121" s="53"/>
      <c r="U8121" s="31" t="n">
        <f aca="false">IF($B8121&lt;&gt;'設定（最初に1回）'!$C$4,N(U8120),IF(COUNTIFS(①今日の在庫を貼る!$B$6:$B$10005,$B8121,①今日の在庫を貼る!$I$6:$I$10005,$I8121)&gt;0,N(U8120),N(U8120)+1))</f>
        <v>2</v>
      </c>
    </row>
    <row r="8122" customFormat="false" ht="15" hidden="false" customHeight="false" outlineLevel="0" collapsed="false">
      <c r="B8122" s="53"/>
      <c r="I8122" s="53"/>
      <c r="U8122" s="31" t="n">
        <f aca="false">IF($B8122&lt;&gt;'設定（最初に1回）'!$C$4,N(U8121),IF(COUNTIFS(①今日の在庫を貼る!$B$6:$B$10005,$B8122,①今日の在庫を貼る!$I$6:$I$10005,$I8122)&gt;0,N(U8121),N(U8121)+1))</f>
        <v>2</v>
      </c>
    </row>
    <row r="8123" customFormat="false" ht="15" hidden="false" customHeight="false" outlineLevel="0" collapsed="false">
      <c r="B8123" s="53"/>
      <c r="I8123" s="53"/>
      <c r="U8123" s="31" t="n">
        <f aca="false">IF($B8123&lt;&gt;'設定（最初に1回）'!$C$4,N(U8122),IF(COUNTIFS(①今日の在庫を貼る!$B$6:$B$10005,$B8123,①今日の在庫を貼る!$I$6:$I$10005,$I8123)&gt;0,N(U8122),N(U8122)+1))</f>
        <v>2</v>
      </c>
    </row>
    <row r="8124" customFormat="false" ht="15" hidden="false" customHeight="false" outlineLevel="0" collapsed="false">
      <c r="B8124" s="53"/>
      <c r="I8124" s="53"/>
      <c r="U8124" s="31" t="n">
        <f aca="false">IF($B8124&lt;&gt;'設定（最初に1回）'!$C$4,N(U8123),IF(COUNTIFS(①今日の在庫を貼る!$B$6:$B$10005,$B8124,①今日の在庫を貼る!$I$6:$I$10005,$I8124)&gt;0,N(U8123),N(U8123)+1))</f>
        <v>2</v>
      </c>
    </row>
    <row r="8125" customFormat="false" ht="15" hidden="false" customHeight="false" outlineLevel="0" collapsed="false">
      <c r="B8125" s="53"/>
      <c r="I8125" s="53"/>
      <c r="U8125" s="31" t="n">
        <f aca="false">IF($B8125&lt;&gt;'設定（最初に1回）'!$C$4,N(U8124),IF(COUNTIFS(①今日の在庫を貼る!$B$6:$B$10005,$B8125,①今日の在庫を貼る!$I$6:$I$10005,$I8125)&gt;0,N(U8124),N(U8124)+1))</f>
        <v>2</v>
      </c>
    </row>
    <row r="8126" customFormat="false" ht="15" hidden="false" customHeight="false" outlineLevel="0" collapsed="false">
      <c r="B8126" s="53"/>
      <c r="I8126" s="53"/>
      <c r="U8126" s="31" t="n">
        <f aca="false">IF($B8126&lt;&gt;'設定（最初に1回）'!$C$4,N(U8125),IF(COUNTIFS(①今日の在庫を貼る!$B$6:$B$10005,$B8126,①今日の在庫を貼る!$I$6:$I$10005,$I8126)&gt;0,N(U8125),N(U8125)+1))</f>
        <v>2</v>
      </c>
    </row>
    <row r="8127" customFormat="false" ht="15" hidden="false" customHeight="false" outlineLevel="0" collapsed="false">
      <c r="B8127" s="53"/>
      <c r="I8127" s="53"/>
      <c r="U8127" s="31" t="n">
        <f aca="false">IF($B8127&lt;&gt;'設定（最初に1回）'!$C$4,N(U8126),IF(COUNTIFS(①今日の在庫を貼る!$B$6:$B$10005,$B8127,①今日の在庫を貼る!$I$6:$I$10005,$I8127)&gt;0,N(U8126),N(U8126)+1))</f>
        <v>2</v>
      </c>
    </row>
    <row r="8128" customFormat="false" ht="15" hidden="false" customHeight="false" outlineLevel="0" collapsed="false">
      <c r="B8128" s="53"/>
      <c r="I8128" s="53"/>
      <c r="U8128" s="31" t="n">
        <f aca="false">IF($B8128&lt;&gt;'設定（最初に1回）'!$C$4,N(U8127),IF(COUNTIFS(①今日の在庫を貼る!$B$6:$B$10005,$B8128,①今日の在庫を貼る!$I$6:$I$10005,$I8128)&gt;0,N(U8127),N(U8127)+1))</f>
        <v>2</v>
      </c>
    </row>
    <row r="8129" customFormat="false" ht="15" hidden="false" customHeight="false" outlineLevel="0" collapsed="false">
      <c r="B8129" s="53"/>
      <c r="I8129" s="53"/>
      <c r="U8129" s="31" t="n">
        <f aca="false">IF($B8129&lt;&gt;'設定（最初に1回）'!$C$4,N(U8128),IF(COUNTIFS(①今日の在庫を貼る!$B$6:$B$10005,$B8129,①今日の在庫を貼る!$I$6:$I$10005,$I8129)&gt;0,N(U8128),N(U8128)+1))</f>
        <v>2</v>
      </c>
    </row>
    <row r="8130" customFormat="false" ht="15" hidden="false" customHeight="false" outlineLevel="0" collapsed="false">
      <c r="B8130" s="53"/>
      <c r="I8130" s="53"/>
      <c r="U8130" s="31" t="n">
        <f aca="false">IF($B8130&lt;&gt;'設定（最初に1回）'!$C$4,N(U8129),IF(COUNTIFS(①今日の在庫を貼る!$B$6:$B$10005,$B8130,①今日の在庫を貼る!$I$6:$I$10005,$I8130)&gt;0,N(U8129),N(U8129)+1))</f>
        <v>2</v>
      </c>
    </row>
    <row r="8131" customFormat="false" ht="15" hidden="false" customHeight="false" outlineLevel="0" collapsed="false">
      <c r="B8131" s="53"/>
      <c r="I8131" s="53"/>
      <c r="U8131" s="31" t="n">
        <f aca="false">IF($B8131&lt;&gt;'設定（最初に1回）'!$C$4,N(U8130),IF(COUNTIFS(①今日の在庫を貼る!$B$6:$B$10005,$B8131,①今日の在庫を貼る!$I$6:$I$10005,$I8131)&gt;0,N(U8130),N(U8130)+1))</f>
        <v>2</v>
      </c>
    </row>
    <row r="8132" customFormat="false" ht="15" hidden="false" customHeight="false" outlineLevel="0" collapsed="false">
      <c r="B8132" s="53"/>
      <c r="I8132" s="53"/>
      <c r="U8132" s="31" t="n">
        <f aca="false">IF($B8132&lt;&gt;'設定（最初に1回）'!$C$4,N(U8131),IF(COUNTIFS(①今日の在庫を貼る!$B$6:$B$10005,$B8132,①今日の在庫を貼る!$I$6:$I$10005,$I8132)&gt;0,N(U8131),N(U8131)+1))</f>
        <v>2</v>
      </c>
    </row>
    <row r="8133" customFormat="false" ht="15" hidden="false" customHeight="false" outlineLevel="0" collapsed="false">
      <c r="B8133" s="53"/>
      <c r="I8133" s="53"/>
      <c r="U8133" s="31" t="n">
        <f aca="false">IF($B8133&lt;&gt;'設定（最初に1回）'!$C$4,N(U8132),IF(COUNTIFS(①今日の在庫を貼る!$B$6:$B$10005,$B8133,①今日の在庫を貼る!$I$6:$I$10005,$I8133)&gt;0,N(U8132),N(U8132)+1))</f>
        <v>2</v>
      </c>
    </row>
    <row r="8134" customFormat="false" ht="15" hidden="false" customHeight="false" outlineLevel="0" collapsed="false">
      <c r="B8134" s="53"/>
      <c r="I8134" s="53"/>
      <c r="U8134" s="31" t="n">
        <f aca="false">IF($B8134&lt;&gt;'設定（最初に1回）'!$C$4,N(U8133),IF(COUNTIFS(①今日の在庫を貼る!$B$6:$B$10005,$B8134,①今日の在庫を貼る!$I$6:$I$10005,$I8134)&gt;0,N(U8133),N(U8133)+1))</f>
        <v>2</v>
      </c>
    </row>
    <row r="8135" customFormat="false" ht="15" hidden="false" customHeight="false" outlineLevel="0" collapsed="false">
      <c r="B8135" s="53"/>
      <c r="I8135" s="53"/>
      <c r="U8135" s="31" t="n">
        <f aca="false">IF($B8135&lt;&gt;'設定（最初に1回）'!$C$4,N(U8134),IF(COUNTIFS(①今日の在庫を貼る!$B$6:$B$10005,$B8135,①今日の在庫を貼る!$I$6:$I$10005,$I8135)&gt;0,N(U8134),N(U8134)+1))</f>
        <v>2</v>
      </c>
    </row>
    <row r="8136" customFormat="false" ht="15" hidden="false" customHeight="false" outlineLevel="0" collapsed="false">
      <c r="B8136" s="53"/>
      <c r="I8136" s="53"/>
      <c r="U8136" s="31" t="n">
        <f aca="false">IF($B8136&lt;&gt;'設定（最初に1回）'!$C$4,N(U8135),IF(COUNTIFS(①今日の在庫を貼る!$B$6:$B$10005,$B8136,①今日の在庫を貼る!$I$6:$I$10005,$I8136)&gt;0,N(U8135),N(U8135)+1))</f>
        <v>2</v>
      </c>
    </row>
    <row r="8137" customFormat="false" ht="15" hidden="false" customHeight="false" outlineLevel="0" collapsed="false">
      <c r="B8137" s="53"/>
      <c r="I8137" s="53"/>
      <c r="U8137" s="31" t="n">
        <f aca="false">IF($B8137&lt;&gt;'設定（最初に1回）'!$C$4,N(U8136),IF(COUNTIFS(①今日の在庫を貼る!$B$6:$B$10005,$B8137,①今日の在庫を貼る!$I$6:$I$10005,$I8137)&gt;0,N(U8136),N(U8136)+1))</f>
        <v>2</v>
      </c>
    </row>
    <row r="8138" customFormat="false" ht="15" hidden="false" customHeight="false" outlineLevel="0" collapsed="false">
      <c r="B8138" s="53"/>
      <c r="I8138" s="53"/>
      <c r="U8138" s="31" t="n">
        <f aca="false">IF($B8138&lt;&gt;'設定（最初に1回）'!$C$4,N(U8137),IF(COUNTIFS(①今日の在庫を貼る!$B$6:$B$10005,$B8138,①今日の在庫を貼る!$I$6:$I$10005,$I8138)&gt;0,N(U8137),N(U8137)+1))</f>
        <v>2</v>
      </c>
    </row>
    <row r="8139" customFormat="false" ht="15" hidden="false" customHeight="false" outlineLevel="0" collapsed="false">
      <c r="B8139" s="53"/>
      <c r="I8139" s="53"/>
      <c r="U8139" s="31" t="n">
        <f aca="false">IF($B8139&lt;&gt;'設定（最初に1回）'!$C$4,N(U8138),IF(COUNTIFS(①今日の在庫を貼る!$B$6:$B$10005,$B8139,①今日の在庫を貼る!$I$6:$I$10005,$I8139)&gt;0,N(U8138),N(U8138)+1))</f>
        <v>2</v>
      </c>
    </row>
    <row r="8140" customFormat="false" ht="15" hidden="false" customHeight="false" outlineLevel="0" collapsed="false">
      <c r="B8140" s="53"/>
      <c r="I8140" s="53"/>
      <c r="U8140" s="31" t="n">
        <f aca="false">IF($B8140&lt;&gt;'設定（最初に1回）'!$C$4,N(U8139),IF(COUNTIFS(①今日の在庫を貼る!$B$6:$B$10005,$B8140,①今日の在庫を貼る!$I$6:$I$10005,$I8140)&gt;0,N(U8139),N(U8139)+1))</f>
        <v>2</v>
      </c>
    </row>
    <row r="8141" customFormat="false" ht="15" hidden="false" customHeight="false" outlineLevel="0" collapsed="false">
      <c r="B8141" s="53"/>
      <c r="I8141" s="53"/>
      <c r="U8141" s="31" t="n">
        <f aca="false">IF($B8141&lt;&gt;'設定（最初に1回）'!$C$4,N(U8140),IF(COUNTIFS(①今日の在庫を貼る!$B$6:$B$10005,$B8141,①今日の在庫を貼る!$I$6:$I$10005,$I8141)&gt;0,N(U8140),N(U8140)+1))</f>
        <v>2</v>
      </c>
    </row>
    <row r="8142" customFormat="false" ht="15" hidden="false" customHeight="false" outlineLevel="0" collapsed="false">
      <c r="B8142" s="53"/>
      <c r="I8142" s="53"/>
      <c r="U8142" s="31" t="n">
        <f aca="false">IF($B8142&lt;&gt;'設定（最初に1回）'!$C$4,N(U8141),IF(COUNTIFS(①今日の在庫を貼る!$B$6:$B$10005,$B8142,①今日の在庫を貼る!$I$6:$I$10005,$I8142)&gt;0,N(U8141),N(U8141)+1))</f>
        <v>2</v>
      </c>
    </row>
    <row r="8143" customFormat="false" ht="15" hidden="false" customHeight="false" outlineLevel="0" collapsed="false">
      <c r="B8143" s="53"/>
      <c r="I8143" s="53"/>
      <c r="U8143" s="31" t="n">
        <f aca="false">IF($B8143&lt;&gt;'設定（最初に1回）'!$C$4,N(U8142),IF(COUNTIFS(①今日の在庫を貼る!$B$6:$B$10005,$B8143,①今日の在庫を貼る!$I$6:$I$10005,$I8143)&gt;0,N(U8142),N(U8142)+1))</f>
        <v>2</v>
      </c>
    </row>
    <row r="8144" customFormat="false" ht="15" hidden="false" customHeight="false" outlineLevel="0" collapsed="false">
      <c r="B8144" s="53"/>
      <c r="I8144" s="53"/>
      <c r="U8144" s="31" t="n">
        <f aca="false">IF($B8144&lt;&gt;'設定（最初に1回）'!$C$4,N(U8143),IF(COUNTIFS(①今日の在庫を貼る!$B$6:$B$10005,$B8144,①今日の在庫を貼る!$I$6:$I$10005,$I8144)&gt;0,N(U8143),N(U8143)+1))</f>
        <v>2</v>
      </c>
    </row>
    <row r="8145" customFormat="false" ht="15" hidden="false" customHeight="false" outlineLevel="0" collapsed="false">
      <c r="B8145" s="53"/>
      <c r="I8145" s="53"/>
      <c r="U8145" s="31" t="n">
        <f aca="false">IF($B8145&lt;&gt;'設定（最初に1回）'!$C$4,N(U8144),IF(COUNTIFS(①今日の在庫を貼る!$B$6:$B$10005,$B8145,①今日の在庫を貼る!$I$6:$I$10005,$I8145)&gt;0,N(U8144),N(U8144)+1))</f>
        <v>2</v>
      </c>
    </row>
    <row r="8146" customFormat="false" ht="15" hidden="false" customHeight="false" outlineLevel="0" collapsed="false">
      <c r="B8146" s="53"/>
      <c r="I8146" s="53"/>
      <c r="U8146" s="31" t="n">
        <f aca="false">IF($B8146&lt;&gt;'設定（最初に1回）'!$C$4,N(U8145),IF(COUNTIFS(①今日の在庫を貼る!$B$6:$B$10005,$B8146,①今日の在庫を貼る!$I$6:$I$10005,$I8146)&gt;0,N(U8145),N(U8145)+1))</f>
        <v>2</v>
      </c>
    </row>
    <row r="8147" customFormat="false" ht="15" hidden="false" customHeight="false" outlineLevel="0" collapsed="false">
      <c r="B8147" s="53"/>
      <c r="I8147" s="53"/>
      <c r="U8147" s="31" t="n">
        <f aca="false">IF($B8147&lt;&gt;'設定（最初に1回）'!$C$4,N(U8146),IF(COUNTIFS(①今日の在庫を貼る!$B$6:$B$10005,$B8147,①今日の在庫を貼る!$I$6:$I$10005,$I8147)&gt;0,N(U8146),N(U8146)+1))</f>
        <v>2</v>
      </c>
    </row>
    <row r="8148" customFormat="false" ht="15" hidden="false" customHeight="false" outlineLevel="0" collapsed="false">
      <c r="B8148" s="53"/>
      <c r="I8148" s="53"/>
      <c r="U8148" s="31" t="n">
        <f aca="false">IF($B8148&lt;&gt;'設定（最初に1回）'!$C$4,N(U8147),IF(COUNTIFS(①今日の在庫を貼る!$B$6:$B$10005,$B8148,①今日の在庫を貼る!$I$6:$I$10005,$I8148)&gt;0,N(U8147),N(U8147)+1))</f>
        <v>2</v>
      </c>
    </row>
    <row r="8149" customFormat="false" ht="15" hidden="false" customHeight="false" outlineLevel="0" collapsed="false">
      <c r="B8149" s="53"/>
      <c r="I8149" s="53"/>
      <c r="U8149" s="31" t="n">
        <f aca="false">IF($B8149&lt;&gt;'設定（最初に1回）'!$C$4,N(U8148),IF(COUNTIFS(①今日の在庫を貼る!$B$6:$B$10005,$B8149,①今日の在庫を貼る!$I$6:$I$10005,$I8149)&gt;0,N(U8148),N(U8148)+1))</f>
        <v>2</v>
      </c>
    </row>
    <row r="8150" customFormat="false" ht="15" hidden="false" customHeight="false" outlineLevel="0" collapsed="false">
      <c r="B8150" s="53"/>
      <c r="I8150" s="53"/>
      <c r="U8150" s="31" t="n">
        <f aca="false">IF($B8150&lt;&gt;'設定（最初に1回）'!$C$4,N(U8149),IF(COUNTIFS(①今日の在庫を貼る!$B$6:$B$10005,$B8150,①今日の在庫を貼る!$I$6:$I$10005,$I8150)&gt;0,N(U8149),N(U8149)+1))</f>
        <v>2</v>
      </c>
    </row>
    <row r="8151" customFormat="false" ht="15" hidden="false" customHeight="false" outlineLevel="0" collapsed="false">
      <c r="B8151" s="53"/>
      <c r="I8151" s="53"/>
      <c r="U8151" s="31" t="n">
        <f aca="false">IF($B8151&lt;&gt;'設定（最初に1回）'!$C$4,N(U8150),IF(COUNTIFS(①今日の在庫を貼る!$B$6:$B$10005,$B8151,①今日の在庫を貼る!$I$6:$I$10005,$I8151)&gt;0,N(U8150),N(U8150)+1))</f>
        <v>2</v>
      </c>
    </row>
    <row r="8152" customFormat="false" ht="15" hidden="false" customHeight="false" outlineLevel="0" collapsed="false">
      <c r="B8152" s="53"/>
      <c r="I8152" s="53"/>
      <c r="U8152" s="31" t="n">
        <f aca="false">IF($B8152&lt;&gt;'設定（最初に1回）'!$C$4,N(U8151),IF(COUNTIFS(①今日の在庫を貼る!$B$6:$B$10005,$B8152,①今日の在庫を貼る!$I$6:$I$10005,$I8152)&gt;0,N(U8151),N(U8151)+1))</f>
        <v>2</v>
      </c>
    </row>
    <row r="8153" customFormat="false" ht="15" hidden="false" customHeight="false" outlineLevel="0" collapsed="false">
      <c r="B8153" s="53"/>
      <c r="I8153" s="53"/>
      <c r="U8153" s="31" t="n">
        <f aca="false">IF($B8153&lt;&gt;'設定（最初に1回）'!$C$4,N(U8152),IF(COUNTIFS(①今日の在庫を貼る!$B$6:$B$10005,$B8153,①今日の在庫を貼る!$I$6:$I$10005,$I8153)&gt;0,N(U8152),N(U8152)+1))</f>
        <v>2</v>
      </c>
    </row>
    <row r="8154" customFormat="false" ht="15" hidden="false" customHeight="false" outlineLevel="0" collapsed="false">
      <c r="B8154" s="53"/>
      <c r="I8154" s="53"/>
      <c r="U8154" s="31" t="n">
        <f aca="false">IF($B8154&lt;&gt;'設定（最初に1回）'!$C$4,N(U8153),IF(COUNTIFS(①今日の在庫を貼る!$B$6:$B$10005,$B8154,①今日の在庫を貼る!$I$6:$I$10005,$I8154)&gt;0,N(U8153),N(U8153)+1))</f>
        <v>2</v>
      </c>
    </row>
    <row r="8155" customFormat="false" ht="15" hidden="false" customHeight="false" outlineLevel="0" collapsed="false">
      <c r="B8155" s="53"/>
      <c r="I8155" s="53"/>
      <c r="U8155" s="31" t="n">
        <f aca="false">IF($B8155&lt;&gt;'設定（最初に1回）'!$C$4,N(U8154),IF(COUNTIFS(①今日の在庫を貼る!$B$6:$B$10005,$B8155,①今日の在庫を貼る!$I$6:$I$10005,$I8155)&gt;0,N(U8154),N(U8154)+1))</f>
        <v>2</v>
      </c>
    </row>
    <row r="8156" customFormat="false" ht="15" hidden="false" customHeight="false" outlineLevel="0" collapsed="false">
      <c r="B8156" s="53"/>
      <c r="I8156" s="53"/>
      <c r="U8156" s="31" t="n">
        <f aca="false">IF($B8156&lt;&gt;'設定（最初に1回）'!$C$4,N(U8155),IF(COUNTIFS(①今日の在庫を貼る!$B$6:$B$10005,$B8156,①今日の在庫を貼る!$I$6:$I$10005,$I8156)&gt;0,N(U8155),N(U8155)+1))</f>
        <v>2</v>
      </c>
    </row>
    <row r="8157" customFormat="false" ht="15" hidden="false" customHeight="false" outlineLevel="0" collapsed="false">
      <c r="B8157" s="53"/>
      <c r="I8157" s="53"/>
      <c r="U8157" s="31" t="n">
        <f aca="false">IF($B8157&lt;&gt;'設定（最初に1回）'!$C$4,N(U8156),IF(COUNTIFS(①今日の在庫を貼る!$B$6:$B$10005,$B8157,①今日の在庫を貼る!$I$6:$I$10005,$I8157)&gt;0,N(U8156),N(U8156)+1))</f>
        <v>2</v>
      </c>
    </row>
    <row r="8158" customFormat="false" ht="15" hidden="false" customHeight="false" outlineLevel="0" collapsed="false">
      <c r="B8158" s="53"/>
      <c r="I8158" s="53"/>
      <c r="U8158" s="31" t="n">
        <f aca="false">IF($B8158&lt;&gt;'設定（最初に1回）'!$C$4,N(U8157),IF(COUNTIFS(①今日の在庫を貼る!$B$6:$B$10005,$B8158,①今日の在庫を貼る!$I$6:$I$10005,$I8158)&gt;0,N(U8157),N(U8157)+1))</f>
        <v>2</v>
      </c>
    </row>
    <row r="8159" customFormat="false" ht="15" hidden="false" customHeight="false" outlineLevel="0" collapsed="false">
      <c r="B8159" s="53"/>
      <c r="I8159" s="53"/>
      <c r="U8159" s="31" t="n">
        <f aca="false">IF($B8159&lt;&gt;'設定（最初に1回）'!$C$4,N(U8158),IF(COUNTIFS(①今日の在庫を貼る!$B$6:$B$10005,$B8159,①今日の在庫を貼る!$I$6:$I$10005,$I8159)&gt;0,N(U8158),N(U8158)+1))</f>
        <v>2</v>
      </c>
    </row>
    <row r="8160" customFormat="false" ht="15" hidden="false" customHeight="false" outlineLevel="0" collapsed="false">
      <c r="B8160" s="53"/>
      <c r="I8160" s="53"/>
      <c r="U8160" s="31" t="n">
        <f aca="false">IF($B8160&lt;&gt;'設定（最初に1回）'!$C$4,N(U8159),IF(COUNTIFS(①今日の在庫を貼る!$B$6:$B$10005,$B8160,①今日の在庫を貼る!$I$6:$I$10005,$I8160)&gt;0,N(U8159),N(U8159)+1))</f>
        <v>2</v>
      </c>
    </row>
    <row r="8161" customFormat="false" ht="15" hidden="false" customHeight="false" outlineLevel="0" collapsed="false">
      <c r="B8161" s="53"/>
      <c r="I8161" s="53"/>
      <c r="U8161" s="31" t="n">
        <f aca="false">IF($B8161&lt;&gt;'設定（最初に1回）'!$C$4,N(U8160),IF(COUNTIFS(①今日の在庫を貼る!$B$6:$B$10005,$B8161,①今日の在庫を貼る!$I$6:$I$10005,$I8161)&gt;0,N(U8160),N(U8160)+1))</f>
        <v>2</v>
      </c>
    </row>
    <row r="8162" customFormat="false" ht="15" hidden="false" customHeight="false" outlineLevel="0" collapsed="false">
      <c r="B8162" s="53"/>
      <c r="I8162" s="53"/>
      <c r="U8162" s="31" t="n">
        <f aca="false">IF($B8162&lt;&gt;'設定（最初に1回）'!$C$4,N(U8161),IF(COUNTIFS(①今日の在庫を貼る!$B$6:$B$10005,$B8162,①今日の在庫を貼る!$I$6:$I$10005,$I8162)&gt;0,N(U8161),N(U8161)+1))</f>
        <v>2</v>
      </c>
    </row>
    <row r="8163" customFormat="false" ht="15" hidden="false" customHeight="false" outlineLevel="0" collapsed="false">
      <c r="B8163" s="53"/>
      <c r="I8163" s="53"/>
      <c r="U8163" s="31" t="n">
        <f aca="false">IF($B8163&lt;&gt;'設定（最初に1回）'!$C$4,N(U8162),IF(COUNTIFS(①今日の在庫を貼る!$B$6:$B$10005,$B8163,①今日の在庫を貼る!$I$6:$I$10005,$I8163)&gt;0,N(U8162),N(U8162)+1))</f>
        <v>2</v>
      </c>
    </row>
    <row r="8164" customFormat="false" ht="15" hidden="false" customHeight="false" outlineLevel="0" collapsed="false">
      <c r="B8164" s="53"/>
      <c r="I8164" s="53"/>
      <c r="U8164" s="31" t="n">
        <f aca="false">IF($B8164&lt;&gt;'設定（最初に1回）'!$C$4,N(U8163),IF(COUNTIFS(①今日の在庫を貼る!$B$6:$B$10005,$B8164,①今日の在庫を貼る!$I$6:$I$10005,$I8164)&gt;0,N(U8163),N(U8163)+1))</f>
        <v>2</v>
      </c>
    </row>
    <row r="8165" customFormat="false" ht="15" hidden="false" customHeight="false" outlineLevel="0" collapsed="false">
      <c r="B8165" s="53"/>
      <c r="I8165" s="53"/>
      <c r="U8165" s="31" t="n">
        <f aca="false">IF($B8165&lt;&gt;'設定（最初に1回）'!$C$4,N(U8164),IF(COUNTIFS(①今日の在庫を貼る!$B$6:$B$10005,$B8165,①今日の在庫を貼る!$I$6:$I$10005,$I8165)&gt;0,N(U8164),N(U8164)+1))</f>
        <v>2</v>
      </c>
    </row>
    <row r="8166" customFormat="false" ht="15" hidden="false" customHeight="false" outlineLevel="0" collapsed="false">
      <c r="B8166" s="53"/>
      <c r="I8166" s="53"/>
      <c r="U8166" s="31" t="n">
        <f aca="false">IF($B8166&lt;&gt;'設定（最初に1回）'!$C$4,N(U8165),IF(COUNTIFS(①今日の在庫を貼る!$B$6:$B$10005,$B8166,①今日の在庫を貼る!$I$6:$I$10005,$I8166)&gt;0,N(U8165),N(U8165)+1))</f>
        <v>2</v>
      </c>
    </row>
    <row r="8167" customFormat="false" ht="15" hidden="false" customHeight="false" outlineLevel="0" collapsed="false">
      <c r="B8167" s="53"/>
      <c r="I8167" s="53"/>
      <c r="U8167" s="31" t="n">
        <f aca="false">IF($B8167&lt;&gt;'設定（最初に1回）'!$C$4,N(U8166),IF(COUNTIFS(①今日の在庫を貼る!$B$6:$B$10005,$B8167,①今日の在庫を貼る!$I$6:$I$10005,$I8167)&gt;0,N(U8166),N(U8166)+1))</f>
        <v>2</v>
      </c>
    </row>
    <row r="8168" customFormat="false" ht="15" hidden="false" customHeight="false" outlineLevel="0" collapsed="false">
      <c r="B8168" s="53"/>
      <c r="I8168" s="53"/>
      <c r="U8168" s="31" t="n">
        <f aca="false">IF($B8168&lt;&gt;'設定（最初に1回）'!$C$4,N(U8167),IF(COUNTIFS(①今日の在庫を貼る!$B$6:$B$10005,$B8168,①今日の在庫を貼る!$I$6:$I$10005,$I8168)&gt;0,N(U8167),N(U8167)+1))</f>
        <v>2</v>
      </c>
    </row>
    <row r="8169" customFormat="false" ht="15" hidden="false" customHeight="false" outlineLevel="0" collapsed="false">
      <c r="B8169" s="53"/>
      <c r="I8169" s="53"/>
      <c r="U8169" s="31" t="n">
        <f aca="false">IF($B8169&lt;&gt;'設定（最初に1回）'!$C$4,N(U8168),IF(COUNTIFS(①今日の在庫を貼る!$B$6:$B$10005,$B8169,①今日の在庫を貼る!$I$6:$I$10005,$I8169)&gt;0,N(U8168),N(U8168)+1))</f>
        <v>2</v>
      </c>
    </row>
    <row r="8170" customFormat="false" ht="15" hidden="false" customHeight="false" outlineLevel="0" collapsed="false">
      <c r="B8170" s="53"/>
      <c r="I8170" s="53"/>
      <c r="U8170" s="31" t="n">
        <f aca="false">IF($B8170&lt;&gt;'設定（最初に1回）'!$C$4,N(U8169),IF(COUNTIFS(①今日の在庫を貼る!$B$6:$B$10005,$B8170,①今日の在庫を貼る!$I$6:$I$10005,$I8170)&gt;0,N(U8169),N(U8169)+1))</f>
        <v>2</v>
      </c>
    </row>
    <row r="8171" customFormat="false" ht="15" hidden="false" customHeight="false" outlineLevel="0" collapsed="false">
      <c r="B8171" s="53"/>
      <c r="I8171" s="53"/>
      <c r="U8171" s="31" t="n">
        <f aca="false">IF($B8171&lt;&gt;'設定（最初に1回）'!$C$4,N(U8170),IF(COUNTIFS(①今日の在庫を貼る!$B$6:$B$10005,$B8171,①今日の在庫を貼る!$I$6:$I$10005,$I8171)&gt;0,N(U8170),N(U8170)+1))</f>
        <v>2</v>
      </c>
    </row>
    <row r="8172" customFormat="false" ht="15" hidden="false" customHeight="false" outlineLevel="0" collapsed="false">
      <c r="B8172" s="53"/>
      <c r="I8172" s="53"/>
      <c r="U8172" s="31" t="n">
        <f aca="false">IF($B8172&lt;&gt;'設定（最初に1回）'!$C$4,N(U8171),IF(COUNTIFS(①今日の在庫を貼る!$B$6:$B$10005,$B8172,①今日の在庫を貼る!$I$6:$I$10005,$I8172)&gt;0,N(U8171),N(U8171)+1))</f>
        <v>2</v>
      </c>
    </row>
    <row r="8173" customFormat="false" ht="15" hidden="false" customHeight="false" outlineLevel="0" collapsed="false">
      <c r="B8173" s="53"/>
      <c r="I8173" s="53"/>
      <c r="U8173" s="31" t="n">
        <f aca="false">IF($B8173&lt;&gt;'設定（最初に1回）'!$C$4,N(U8172),IF(COUNTIFS(①今日の在庫を貼る!$B$6:$B$10005,$B8173,①今日の在庫を貼る!$I$6:$I$10005,$I8173)&gt;0,N(U8172),N(U8172)+1))</f>
        <v>2</v>
      </c>
    </row>
    <row r="8174" customFormat="false" ht="15" hidden="false" customHeight="false" outlineLevel="0" collapsed="false">
      <c r="B8174" s="53"/>
      <c r="I8174" s="53"/>
      <c r="U8174" s="31" t="n">
        <f aca="false">IF($B8174&lt;&gt;'設定（最初に1回）'!$C$4,N(U8173),IF(COUNTIFS(①今日の在庫を貼る!$B$6:$B$10005,$B8174,①今日の在庫を貼る!$I$6:$I$10005,$I8174)&gt;0,N(U8173),N(U8173)+1))</f>
        <v>2</v>
      </c>
    </row>
    <row r="8175" customFormat="false" ht="15" hidden="false" customHeight="false" outlineLevel="0" collapsed="false">
      <c r="B8175" s="53"/>
      <c r="I8175" s="53"/>
      <c r="U8175" s="31" t="n">
        <f aca="false">IF($B8175&lt;&gt;'設定（最初に1回）'!$C$4,N(U8174),IF(COUNTIFS(①今日の在庫を貼る!$B$6:$B$10005,$B8175,①今日の在庫を貼る!$I$6:$I$10005,$I8175)&gt;0,N(U8174),N(U8174)+1))</f>
        <v>2</v>
      </c>
    </row>
    <row r="8176" customFormat="false" ht="15" hidden="false" customHeight="false" outlineLevel="0" collapsed="false">
      <c r="B8176" s="53"/>
      <c r="I8176" s="53"/>
      <c r="U8176" s="31" t="n">
        <f aca="false">IF($B8176&lt;&gt;'設定（最初に1回）'!$C$4,N(U8175),IF(COUNTIFS(①今日の在庫を貼る!$B$6:$B$10005,$B8176,①今日の在庫を貼る!$I$6:$I$10005,$I8176)&gt;0,N(U8175),N(U8175)+1))</f>
        <v>2</v>
      </c>
    </row>
    <row r="8177" customFormat="false" ht="15" hidden="false" customHeight="false" outlineLevel="0" collapsed="false">
      <c r="B8177" s="53"/>
      <c r="I8177" s="53"/>
      <c r="U8177" s="31" t="n">
        <f aca="false">IF($B8177&lt;&gt;'設定（最初に1回）'!$C$4,N(U8176),IF(COUNTIFS(①今日の在庫を貼る!$B$6:$B$10005,$B8177,①今日の在庫を貼る!$I$6:$I$10005,$I8177)&gt;0,N(U8176),N(U8176)+1))</f>
        <v>2</v>
      </c>
    </row>
    <row r="8178" customFormat="false" ht="15" hidden="false" customHeight="false" outlineLevel="0" collapsed="false">
      <c r="B8178" s="53"/>
      <c r="I8178" s="53"/>
      <c r="U8178" s="31" t="n">
        <f aca="false">IF($B8178&lt;&gt;'設定（最初に1回）'!$C$4,N(U8177),IF(COUNTIFS(①今日の在庫を貼る!$B$6:$B$10005,$B8178,①今日の在庫を貼る!$I$6:$I$10005,$I8178)&gt;0,N(U8177),N(U8177)+1))</f>
        <v>2</v>
      </c>
    </row>
    <row r="8179" customFormat="false" ht="15" hidden="false" customHeight="false" outlineLevel="0" collapsed="false">
      <c r="B8179" s="53"/>
      <c r="I8179" s="53"/>
      <c r="U8179" s="31" t="n">
        <f aca="false">IF($B8179&lt;&gt;'設定（最初に1回）'!$C$4,N(U8178),IF(COUNTIFS(①今日の在庫を貼る!$B$6:$B$10005,$B8179,①今日の在庫を貼る!$I$6:$I$10005,$I8179)&gt;0,N(U8178),N(U8178)+1))</f>
        <v>2</v>
      </c>
    </row>
    <row r="8180" customFormat="false" ht="15" hidden="false" customHeight="false" outlineLevel="0" collapsed="false">
      <c r="B8180" s="53"/>
      <c r="I8180" s="53"/>
      <c r="U8180" s="31" t="n">
        <f aca="false">IF($B8180&lt;&gt;'設定（最初に1回）'!$C$4,N(U8179),IF(COUNTIFS(①今日の在庫を貼る!$B$6:$B$10005,$B8180,①今日の在庫を貼る!$I$6:$I$10005,$I8180)&gt;0,N(U8179),N(U8179)+1))</f>
        <v>2</v>
      </c>
    </row>
    <row r="8181" customFormat="false" ht="15" hidden="false" customHeight="false" outlineLevel="0" collapsed="false">
      <c r="B8181" s="53"/>
      <c r="I8181" s="53"/>
      <c r="U8181" s="31" t="n">
        <f aca="false">IF($B8181&lt;&gt;'設定（最初に1回）'!$C$4,N(U8180),IF(COUNTIFS(①今日の在庫を貼る!$B$6:$B$10005,$B8181,①今日の在庫を貼る!$I$6:$I$10005,$I8181)&gt;0,N(U8180),N(U8180)+1))</f>
        <v>2</v>
      </c>
    </row>
    <row r="8182" customFormat="false" ht="15" hidden="false" customHeight="false" outlineLevel="0" collapsed="false">
      <c r="B8182" s="53"/>
      <c r="I8182" s="53"/>
      <c r="U8182" s="31" t="n">
        <f aca="false">IF($B8182&lt;&gt;'設定（最初に1回）'!$C$4,N(U8181),IF(COUNTIFS(①今日の在庫を貼る!$B$6:$B$10005,$B8182,①今日の在庫を貼る!$I$6:$I$10005,$I8182)&gt;0,N(U8181),N(U8181)+1))</f>
        <v>2</v>
      </c>
    </row>
    <row r="8183" customFormat="false" ht="15" hidden="false" customHeight="false" outlineLevel="0" collapsed="false">
      <c r="B8183" s="53"/>
      <c r="I8183" s="53"/>
      <c r="U8183" s="31" t="n">
        <f aca="false">IF($B8183&lt;&gt;'設定（最初に1回）'!$C$4,N(U8182),IF(COUNTIFS(①今日の在庫を貼る!$B$6:$B$10005,$B8183,①今日の在庫を貼る!$I$6:$I$10005,$I8183)&gt;0,N(U8182),N(U8182)+1))</f>
        <v>2</v>
      </c>
    </row>
    <row r="8184" customFormat="false" ht="15" hidden="false" customHeight="false" outlineLevel="0" collapsed="false">
      <c r="B8184" s="53"/>
      <c r="I8184" s="53"/>
      <c r="U8184" s="31" t="n">
        <f aca="false">IF($B8184&lt;&gt;'設定（最初に1回）'!$C$4,N(U8183),IF(COUNTIFS(①今日の在庫を貼る!$B$6:$B$10005,$B8184,①今日の在庫を貼る!$I$6:$I$10005,$I8184)&gt;0,N(U8183),N(U8183)+1))</f>
        <v>2</v>
      </c>
    </row>
    <row r="8185" customFormat="false" ht="15" hidden="false" customHeight="false" outlineLevel="0" collapsed="false">
      <c r="B8185" s="53"/>
      <c r="I8185" s="53"/>
      <c r="U8185" s="31" t="n">
        <f aca="false">IF($B8185&lt;&gt;'設定（最初に1回）'!$C$4,N(U8184),IF(COUNTIFS(①今日の在庫を貼る!$B$6:$B$10005,$B8185,①今日の在庫を貼る!$I$6:$I$10005,$I8185)&gt;0,N(U8184),N(U8184)+1))</f>
        <v>2</v>
      </c>
    </row>
    <row r="8186" customFormat="false" ht="15" hidden="false" customHeight="false" outlineLevel="0" collapsed="false">
      <c r="B8186" s="53"/>
      <c r="I8186" s="53"/>
      <c r="U8186" s="31" t="n">
        <f aca="false">IF($B8186&lt;&gt;'設定（最初に1回）'!$C$4,N(U8185),IF(COUNTIFS(①今日の在庫を貼る!$B$6:$B$10005,$B8186,①今日の在庫を貼る!$I$6:$I$10005,$I8186)&gt;0,N(U8185),N(U8185)+1))</f>
        <v>2</v>
      </c>
    </row>
    <row r="8187" customFormat="false" ht="15" hidden="false" customHeight="false" outlineLevel="0" collapsed="false">
      <c r="B8187" s="53"/>
      <c r="I8187" s="53"/>
      <c r="U8187" s="31" t="n">
        <f aca="false">IF($B8187&lt;&gt;'設定（最初に1回）'!$C$4,N(U8186),IF(COUNTIFS(①今日の在庫を貼る!$B$6:$B$10005,$B8187,①今日の在庫を貼る!$I$6:$I$10005,$I8187)&gt;0,N(U8186),N(U8186)+1))</f>
        <v>2</v>
      </c>
    </row>
    <row r="8188" customFormat="false" ht="15" hidden="false" customHeight="false" outlineLevel="0" collapsed="false">
      <c r="B8188" s="53"/>
      <c r="I8188" s="53"/>
      <c r="U8188" s="31" t="n">
        <f aca="false">IF($B8188&lt;&gt;'設定（最初に1回）'!$C$4,N(U8187),IF(COUNTIFS(①今日の在庫を貼る!$B$6:$B$10005,$B8188,①今日の在庫を貼る!$I$6:$I$10005,$I8188)&gt;0,N(U8187),N(U8187)+1))</f>
        <v>2</v>
      </c>
    </row>
    <row r="8189" customFormat="false" ht="15" hidden="false" customHeight="false" outlineLevel="0" collapsed="false">
      <c r="B8189" s="53"/>
      <c r="I8189" s="53"/>
      <c r="U8189" s="31" t="n">
        <f aca="false">IF($B8189&lt;&gt;'設定（最初に1回）'!$C$4,N(U8188),IF(COUNTIFS(①今日の在庫を貼る!$B$6:$B$10005,$B8189,①今日の在庫を貼る!$I$6:$I$10005,$I8189)&gt;0,N(U8188),N(U8188)+1))</f>
        <v>2</v>
      </c>
    </row>
    <row r="8190" customFormat="false" ht="15" hidden="false" customHeight="false" outlineLevel="0" collapsed="false">
      <c r="B8190" s="53"/>
      <c r="I8190" s="53"/>
      <c r="U8190" s="31" t="n">
        <f aca="false">IF($B8190&lt;&gt;'設定（最初に1回）'!$C$4,N(U8189),IF(COUNTIFS(①今日の在庫を貼る!$B$6:$B$10005,$B8190,①今日の在庫を貼る!$I$6:$I$10005,$I8190)&gt;0,N(U8189),N(U8189)+1))</f>
        <v>2</v>
      </c>
    </row>
    <row r="8191" customFormat="false" ht="15" hidden="false" customHeight="false" outlineLevel="0" collapsed="false">
      <c r="B8191" s="53"/>
      <c r="I8191" s="53"/>
      <c r="U8191" s="31" t="n">
        <f aca="false">IF($B8191&lt;&gt;'設定（最初に1回）'!$C$4,N(U8190),IF(COUNTIFS(①今日の在庫を貼る!$B$6:$B$10005,$B8191,①今日の在庫を貼る!$I$6:$I$10005,$I8191)&gt;0,N(U8190),N(U8190)+1))</f>
        <v>2</v>
      </c>
    </row>
    <row r="8192" customFormat="false" ht="15" hidden="false" customHeight="false" outlineLevel="0" collapsed="false">
      <c r="B8192" s="53"/>
      <c r="I8192" s="53"/>
      <c r="U8192" s="31" t="n">
        <f aca="false">IF($B8192&lt;&gt;'設定（最初に1回）'!$C$4,N(U8191),IF(COUNTIFS(①今日の在庫を貼る!$B$6:$B$10005,$B8192,①今日の在庫を貼る!$I$6:$I$10005,$I8192)&gt;0,N(U8191),N(U8191)+1))</f>
        <v>2</v>
      </c>
    </row>
    <row r="8193" customFormat="false" ht="15" hidden="false" customHeight="false" outlineLevel="0" collapsed="false">
      <c r="B8193" s="53"/>
      <c r="I8193" s="53"/>
      <c r="U8193" s="31" t="n">
        <f aca="false">IF($B8193&lt;&gt;'設定（最初に1回）'!$C$4,N(U8192),IF(COUNTIFS(①今日の在庫を貼る!$B$6:$B$10005,$B8193,①今日の在庫を貼る!$I$6:$I$10005,$I8193)&gt;0,N(U8192),N(U8192)+1))</f>
        <v>2</v>
      </c>
    </row>
    <row r="8194" customFormat="false" ht="15" hidden="false" customHeight="false" outlineLevel="0" collapsed="false">
      <c r="B8194" s="53"/>
      <c r="I8194" s="53"/>
      <c r="U8194" s="31" t="n">
        <f aca="false">IF($B8194&lt;&gt;'設定（最初に1回）'!$C$4,N(U8193),IF(COUNTIFS(①今日の在庫を貼る!$B$6:$B$10005,$B8194,①今日の在庫を貼る!$I$6:$I$10005,$I8194)&gt;0,N(U8193),N(U8193)+1))</f>
        <v>2</v>
      </c>
    </row>
    <row r="8195" customFormat="false" ht="15" hidden="false" customHeight="false" outlineLevel="0" collapsed="false">
      <c r="B8195" s="53"/>
      <c r="I8195" s="53"/>
      <c r="U8195" s="31" t="n">
        <f aca="false">IF($B8195&lt;&gt;'設定（最初に1回）'!$C$4,N(U8194),IF(COUNTIFS(①今日の在庫を貼る!$B$6:$B$10005,$B8195,①今日の在庫を貼る!$I$6:$I$10005,$I8195)&gt;0,N(U8194),N(U8194)+1))</f>
        <v>2</v>
      </c>
    </row>
    <row r="8196" customFormat="false" ht="15" hidden="false" customHeight="false" outlineLevel="0" collapsed="false">
      <c r="B8196" s="53"/>
      <c r="I8196" s="53"/>
      <c r="U8196" s="31" t="n">
        <f aca="false">IF($B8196&lt;&gt;'設定（最初に1回）'!$C$4,N(U8195),IF(COUNTIFS(①今日の在庫を貼る!$B$6:$B$10005,$B8196,①今日の在庫を貼る!$I$6:$I$10005,$I8196)&gt;0,N(U8195),N(U8195)+1))</f>
        <v>2</v>
      </c>
    </row>
    <row r="8197" customFormat="false" ht="15" hidden="false" customHeight="false" outlineLevel="0" collapsed="false">
      <c r="B8197" s="53"/>
      <c r="I8197" s="53"/>
      <c r="U8197" s="31" t="n">
        <f aca="false">IF($B8197&lt;&gt;'設定（最初に1回）'!$C$4,N(U8196),IF(COUNTIFS(①今日の在庫を貼る!$B$6:$B$10005,$B8197,①今日の在庫を貼る!$I$6:$I$10005,$I8197)&gt;0,N(U8196),N(U8196)+1))</f>
        <v>2</v>
      </c>
    </row>
    <row r="8198" customFormat="false" ht="15" hidden="false" customHeight="false" outlineLevel="0" collapsed="false">
      <c r="B8198" s="53"/>
      <c r="I8198" s="53"/>
      <c r="U8198" s="31" t="n">
        <f aca="false">IF($B8198&lt;&gt;'設定（最初に1回）'!$C$4,N(U8197),IF(COUNTIFS(①今日の在庫を貼る!$B$6:$B$10005,$B8198,①今日の在庫を貼る!$I$6:$I$10005,$I8198)&gt;0,N(U8197),N(U8197)+1))</f>
        <v>2</v>
      </c>
    </row>
    <row r="8199" customFormat="false" ht="15" hidden="false" customHeight="false" outlineLevel="0" collapsed="false">
      <c r="B8199" s="53"/>
      <c r="I8199" s="53"/>
      <c r="U8199" s="31" t="n">
        <f aca="false">IF($B8199&lt;&gt;'設定（最初に1回）'!$C$4,N(U8198),IF(COUNTIFS(①今日の在庫を貼る!$B$6:$B$10005,$B8199,①今日の在庫を貼る!$I$6:$I$10005,$I8199)&gt;0,N(U8198),N(U8198)+1))</f>
        <v>2</v>
      </c>
    </row>
    <row r="8200" customFormat="false" ht="15" hidden="false" customHeight="false" outlineLevel="0" collapsed="false">
      <c r="B8200" s="53"/>
      <c r="I8200" s="53"/>
      <c r="U8200" s="31" t="n">
        <f aca="false">IF($B8200&lt;&gt;'設定（最初に1回）'!$C$4,N(U8199),IF(COUNTIFS(①今日の在庫を貼る!$B$6:$B$10005,$B8200,①今日の在庫を貼る!$I$6:$I$10005,$I8200)&gt;0,N(U8199),N(U8199)+1))</f>
        <v>2</v>
      </c>
    </row>
    <row r="8201" customFormat="false" ht="15" hidden="false" customHeight="false" outlineLevel="0" collapsed="false">
      <c r="B8201" s="53"/>
      <c r="I8201" s="53"/>
      <c r="U8201" s="31" t="n">
        <f aca="false">IF($B8201&lt;&gt;'設定（最初に1回）'!$C$4,N(U8200),IF(COUNTIFS(①今日の在庫を貼る!$B$6:$B$10005,$B8201,①今日の在庫を貼る!$I$6:$I$10005,$I8201)&gt;0,N(U8200),N(U8200)+1))</f>
        <v>2</v>
      </c>
    </row>
    <row r="8202" customFormat="false" ht="15" hidden="false" customHeight="false" outlineLevel="0" collapsed="false">
      <c r="B8202" s="53"/>
      <c r="I8202" s="53"/>
      <c r="U8202" s="31" t="n">
        <f aca="false">IF($B8202&lt;&gt;'設定（最初に1回）'!$C$4,N(U8201),IF(COUNTIFS(①今日の在庫を貼る!$B$6:$B$10005,$B8202,①今日の在庫を貼る!$I$6:$I$10005,$I8202)&gt;0,N(U8201),N(U8201)+1))</f>
        <v>2</v>
      </c>
    </row>
    <row r="8203" customFormat="false" ht="15" hidden="false" customHeight="false" outlineLevel="0" collapsed="false">
      <c r="B8203" s="53"/>
      <c r="I8203" s="53"/>
      <c r="U8203" s="31" t="n">
        <f aca="false">IF($B8203&lt;&gt;'設定（最初に1回）'!$C$4,N(U8202),IF(COUNTIFS(①今日の在庫を貼る!$B$6:$B$10005,$B8203,①今日の在庫を貼る!$I$6:$I$10005,$I8203)&gt;0,N(U8202),N(U8202)+1))</f>
        <v>2</v>
      </c>
    </row>
    <row r="8204" customFormat="false" ht="15" hidden="false" customHeight="false" outlineLevel="0" collapsed="false">
      <c r="B8204" s="53"/>
      <c r="I8204" s="53"/>
      <c r="U8204" s="31" t="n">
        <f aca="false">IF($B8204&lt;&gt;'設定（最初に1回）'!$C$4,N(U8203),IF(COUNTIFS(①今日の在庫を貼る!$B$6:$B$10005,$B8204,①今日の在庫を貼る!$I$6:$I$10005,$I8204)&gt;0,N(U8203),N(U8203)+1))</f>
        <v>2</v>
      </c>
    </row>
    <row r="8205" customFormat="false" ht="15" hidden="false" customHeight="false" outlineLevel="0" collapsed="false">
      <c r="B8205" s="53"/>
      <c r="I8205" s="53"/>
      <c r="U8205" s="31" t="n">
        <f aca="false">IF($B8205&lt;&gt;'設定（最初に1回）'!$C$4,N(U8204),IF(COUNTIFS(①今日の在庫を貼る!$B$6:$B$10005,$B8205,①今日の在庫を貼る!$I$6:$I$10005,$I8205)&gt;0,N(U8204),N(U8204)+1))</f>
        <v>2</v>
      </c>
    </row>
    <row r="8206" customFormat="false" ht="15" hidden="false" customHeight="false" outlineLevel="0" collapsed="false">
      <c r="B8206" s="53"/>
      <c r="I8206" s="53"/>
      <c r="U8206" s="31" t="n">
        <f aca="false">IF($B8206&lt;&gt;'設定（最初に1回）'!$C$4,N(U8205),IF(COUNTIFS(①今日の在庫を貼る!$B$6:$B$10005,$B8206,①今日の在庫を貼る!$I$6:$I$10005,$I8206)&gt;0,N(U8205),N(U8205)+1))</f>
        <v>2</v>
      </c>
    </row>
    <row r="8207" customFormat="false" ht="15" hidden="false" customHeight="false" outlineLevel="0" collapsed="false">
      <c r="B8207" s="53"/>
      <c r="I8207" s="53"/>
      <c r="U8207" s="31" t="n">
        <f aca="false">IF($B8207&lt;&gt;'設定（最初に1回）'!$C$4,N(U8206),IF(COUNTIFS(①今日の在庫を貼る!$B$6:$B$10005,$B8207,①今日の在庫を貼る!$I$6:$I$10005,$I8207)&gt;0,N(U8206),N(U8206)+1))</f>
        <v>2</v>
      </c>
    </row>
    <row r="8208" customFormat="false" ht="15" hidden="false" customHeight="false" outlineLevel="0" collapsed="false">
      <c r="B8208" s="53"/>
      <c r="I8208" s="53"/>
      <c r="U8208" s="31" t="n">
        <f aca="false">IF($B8208&lt;&gt;'設定（最初に1回）'!$C$4,N(U8207),IF(COUNTIFS(①今日の在庫を貼る!$B$6:$B$10005,$B8208,①今日の在庫を貼る!$I$6:$I$10005,$I8208)&gt;0,N(U8207),N(U8207)+1))</f>
        <v>2</v>
      </c>
    </row>
    <row r="8209" customFormat="false" ht="15" hidden="false" customHeight="false" outlineLevel="0" collapsed="false">
      <c r="B8209" s="53"/>
      <c r="I8209" s="53"/>
      <c r="U8209" s="31" t="n">
        <f aca="false">IF($B8209&lt;&gt;'設定（最初に1回）'!$C$4,N(U8208),IF(COUNTIFS(①今日の在庫を貼る!$B$6:$B$10005,$B8209,①今日の在庫を貼る!$I$6:$I$10005,$I8209)&gt;0,N(U8208),N(U8208)+1))</f>
        <v>2</v>
      </c>
    </row>
    <row r="8210" customFormat="false" ht="15" hidden="false" customHeight="false" outlineLevel="0" collapsed="false">
      <c r="B8210" s="53"/>
      <c r="I8210" s="53"/>
      <c r="U8210" s="31" t="n">
        <f aca="false">IF($B8210&lt;&gt;'設定（最初に1回）'!$C$4,N(U8209),IF(COUNTIFS(①今日の在庫を貼る!$B$6:$B$10005,$B8210,①今日の在庫を貼る!$I$6:$I$10005,$I8210)&gt;0,N(U8209),N(U8209)+1))</f>
        <v>2</v>
      </c>
    </row>
    <row r="8211" customFormat="false" ht="15" hidden="false" customHeight="false" outlineLevel="0" collapsed="false">
      <c r="B8211" s="53"/>
      <c r="I8211" s="53"/>
      <c r="U8211" s="31" t="n">
        <f aca="false">IF($B8211&lt;&gt;'設定（最初に1回）'!$C$4,N(U8210),IF(COUNTIFS(①今日の在庫を貼る!$B$6:$B$10005,$B8211,①今日の在庫を貼る!$I$6:$I$10005,$I8211)&gt;0,N(U8210),N(U8210)+1))</f>
        <v>2</v>
      </c>
    </row>
    <row r="8212" customFormat="false" ht="15" hidden="false" customHeight="false" outlineLevel="0" collapsed="false">
      <c r="B8212" s="53"/>
      <c r="I8212" s="53"/>
      <c r="U8212" s="31" t="n">
        <f aca="false">IF($B8212&lt;&gt;'設定（最初に1回）'!$C$4,N(U8211),IF(COUNTIFS(①今日の在庫を貼る!$B$6:$B$10005,$B8212,①今日の在庫を貼る!$I$6:$I$10005,$I8212)&gt;0,N(U8211),N(U8211)+1))</f>
        <v>2</v>
      </c>
    </row>
    <row r="8213" customFormat="false" ht="15" hidden="false" customHeight="false" outlineLevel="0" collapsed="false">
      <c r="B8213" s="53"/>
      <c r="I8213" s="53"/>
      <c r="U8213" s="31" t="n">
        <f aca="false">IF($B8213&lt;&gt;'設定（最初に1回）'!$C$4,N(U8212),IF(COUNTIFS(①今日の在庫を貼る!$B$6:$B$10005,$B8213,①今日の在庫を貼る!$I$6:$I$10005,$I8213)&gt;0,N(U8212),N(U8212)+1))</f>
        <v>2</v>
      </c>
    </row>
    <row r="8214" customFormat="false" ht="15" hidden="false" customHeight="false" outlineLevel="0" collapsed="false">
      <c r="B8214" s="53"/>
      <c r="I8214" s="53"/>
      <c r="U8214" s="31" t="n">
        <f aca="false">IF($B8214&lt;&gt;'設定（最初に1回）'!$C$4,N(U8213),IF(COUNTIFS(①今日の在庫を貼る!$B$6:$B$10005,$B8214,①今日の在庫を貼る!$I$6:$I$10005,$I8214)&gt;0,N(U8213),N(U8213)+1))</f>
        <v>2</v>
      </c>
    </row>
    <row r="8215" customFormat="false" ht="15" hidden="false" customHeight="false" outlineLevel="0" collapsed="false">
      <c r="B8215" s="53"/>
      <c r="I8215" s="53"/>
      <c r="U8215" s="31" t="n">
        <f aca="false">IF($B8215&lt;&gt;'設定（最初に1回）'!$C$4,N(U8214),IF(COUNTIFS(①今日の在庫を貼る!$B$6:$B$10005,$B8215,①今日の在庫を貼る!$I$6:$I$10005,$I8215)&gt;0,N(U8214),N(U8214)+1))</f>
        <v>2</v>
      </c>
    </row>
    <row r="8216" customFormat="false" ht="15" hidden="false" customHeight="false" outlineLevel="0" collapsed="false">
      <c r="B8216" s="53"/>
      <c r="I8216" s="53"/>
      <c r="U8216" s="31" t="n">
        <f aca="false">IF($B8216&lt;&gt;'設定（最初に1回）'!$C$4,N(U8215),IF(COUNTIFS(①今日の在庫を貼る!$B$6:$B$10005,$B8216,①今日の在庫を貼る!$I$6:$I$10005,$I8216)&gt;0,N(U8215),N(U8215)+1))</f>
        <v>2</v>
      </c>
    </row>
    <row r="8217" customFormat="false" ht="15" hidden="false" customHeight="false" outlineLevel="0" collapsed="false">
      <c r="B8217" s="53"/>
      <c r="I8217" s="53"/>
      <c r="U8217" s="31" t="n">
        <f aca="false">IF($B8217&lt;&gt;'設定（最初に1回）'!$C$4,N(U8216),IF(COUNTIFS(①今日の在庫を貼る!$B$6:$B$10005,$B8217,①今日の在庫を貼る!$I$6:$I$10005,$I8217)&gt;0,N(U8216),N(U8216)+1))</f>
        <v>2</v>
      </c>
    </row>
    <row r="8218" customFormat="false" ht="15" hidden="false" customHeight="false" outlineLevel="0" collapsed="false">
      <c r="B8218" s="53"/>
      <c r="I8218" s="53"/>
      <c r="U8218" s="31" t="n">
        <f aca="false">IF($B8218&lt;&gt;'設定（最初に1回）'!$C$4,N(U8217),IF(COUNTIFS(①今日の在庫を貼る!$B$6:$B$10005,$B8218,①今日の在庫を貼る!$I$6:$I$10005,$I8218)&gt;0,N(U8217),N(U8217)+1))</f>
        <v>2</v>
      </c>
    </row>
    <row r="8219" customFormat="false" ht="15" hidden="false" customHeight="false" outlineLevel="0" collapsed="false">
      <c r="B8219" s="53"/>
      <c r="I8219" s="53"/>
      <c r="U8219" s="31" t="n">
        <f aca="false">IF($B8219&lt;&gt;'設定（最初に1回）'!$C$4,N(U8218),IF(COUNTIFS(①今日の在庫を貼る!$B$6:$B$10005,$B8219,①今日の在庫を貼る!$I$6:$I$10005,$I8219)&gt;0,N(U8218),N(U8218)+1))</f>
        <v>2</v>
      </c>
    </row>
    <row r="8220" customFormat="false" ht="15" hidden="false" customHeight="false" outlineLevel="0" collapsed="false">
      <c r="B8220" s="53"/>
      <c r="I8220" s="53"/>
      <c r="U8220" s="31" t="n">
        <f aca="false">IF($B8220&lt;&gt;'設定（最初に1回）'!$C$4,N(U8219),IF(COUNTIFS(①今日の在庫を貼る!$B$6:$B$10005,$B8220,①今日の在庫を貼る!$I$6:$I$10005,$I8220)&gt;0,N(U8219),N(U8219)+1))</f>
        <v>2</v>
      </c>
    </row>
    <row r="8221" customFormat="false" ht="15" hidden="false" customHeight="false" outlineLevel="0" collapsed="false">
      <c r="B8221" s="53"/>
      <c r="I8221" s="53"/>
      <c r="U8221" s="31" t="n">
        <f aca="false">IF($B8221&lt;&gt;'設定（最初に1回）'!$C$4,N(U8220),IF(COUNTIFS(①今日の在庫を貼る!$B$6:$B$10005,$B8221,①今日の在庫を貼る!$I$6:$I$10005,$I8221)&gt;0,N(U8220),N(U8220)+1))</f>
        <v>2</v>
      </c>
    </row>
    <row r="8222" customFormat="false" ht="15" hidden="false" customHeight="false" outlineLevel="0" collapsed="false">
      <c r="B8222" s="53"/>
      <c r="I8222" s="53"/>
      <c r="U8222" s="31" t="n">
        <f aca="false">IF($B8222&lt;&gt;'設定（最初に1回）'!$C$4,N(U8221),IF(COUNTIFS(①今日の在庫を貼る!$B$6:$B$10005,$B8222,①今日の在庫を貼る!$I$6:$I$10005,$I8222)&gt;0,N(U8221),N(U8221)+1))</f>
        <v>2</v>
      </c>
    </row>
    <row r="8223" customFormat="false" ht="15" hidden="false" customHeight="false" outlineLevel="0" collapsed="false">
      <c r="B8223" s="53"/>
      <c r="I8223" s="53"/>
      <c r="U8223" s="31" t="n">
        <f aca="false">IF($B8223&lt;&gt;'設定（最初に1回）'!$C$4,N(U8222),IF(COUNTIFS(①今日の在庫を貼る!$B$6:$B$10005,$B8223,①今日の在庫を貼る!$I$6:$I$10005,$I8223)&gt;0,N(U8222),N(U8222)+1))</f>
        <v>2</v>
      </c>
    </row>
    <row r="8224" customFormat="false" ht="15" hidden="false" customHeight="false" outlineLevel="0" collapsed="false">
      <c r="B8224" s="53"/>
      <c r="I8224" s="53"/>
      <c r="U8224" s="31" t="n">
        <f aca="false">IF($B8224&lt;&gt;'設定（最初に1回）'!$C$4,N(U8223),IF(COUNTIFS(①今日の在庫を貼る!$B$6:$B$10005,$B8224,①今日の在庫を貼る!$I$6:$I$10005,$I8224)&gt;0,N(U8223),N(U8223)+1))</f>
        <v>2</v>
      </c>
    </row>
    <row r="8225" customFormat="false" ht="15" hidden="false" customHeight="false" outlineLevel="0" collapsed="false">
      <c r="B8225" s="53"/>
      <c r="I8225" s="53"/>
      <c r="U8225" s="31" t="n">
        <f aca="false">IF($B8225&lt;&gt;'設定（最初に1回）'!$C$4,N(U8224),IF(COUNTIFS(①今日の在庫を貼る!$B$6:$B$10005,$B8225,①今日の在庫を貼る!$I$6:$I$10005,$I8225)&gt;0,N(U8224),N(U8224)+1))</f>
        <v>2</v>
      </c>
    </row>
    <row r="8226" customFormat="false" ht="15" hidden="false" customHeight="false" outlineLevel="0" collapsed="false">
      <c r="B8226" s="53"/>
      <c r="I8226" s="53"/>
      <c r="U8226" s="31" t="n">
        <f aca="false">IF($B8226&lt;&gt;'設定（最初に1回）'!$C$4,N(U8225),IF(COUNTIFS(①今日の在庫を貼る!$B$6:$B$10005,$B8226,①今日の在庫を貼る!$I$6:$I$10005,$I8226)&gt;0,N(U8225),N(U8225)+1))</f>
        <v>2</v>
      </c>
    </row>
    <row r="8227" customFormat="false" ht="15" hidden="false" customHeight="false" outlineLevel="0" collapsed="false">
      <c r="B8227" s="53"/>
      <c r="I8227" s="53"/>
      <c r="U8227" s="31" t="n">
        <f aca="false">IF($B8227&lt;&gt;'設定（最初に1回）'!$C$4,N(U8226),IF(COUNTIFS(①今日の在庫を貼る!$B$6:$B$10005,$B8227,①今日の在庫を貼る!$I$6:$I$10005,$I8227)&gt;0,N(U8226),N(U8226)+1))</f>
        <v>2</v>
      </c>
    </row>
    <row r="8228" customFormat="false" ht="15" hidden="false" customHeight="false" outlineLevel="0" collapsed="false">
      <c r="B8228" s="53"/>
      <c r="I8228" s="53"/>
      <c r="U8228" s="31" t="n">
        <f aca="false">IF($B8228&lt;&gt;'設定（最初に1回）'!$C$4,N(U8227),IF(COUNTIFS(①今日の在庫を貼る!$B$6:$B$10005,$B8228,①今日の在庫を貼る!$I$6:$I$10005,$I8228)&gt;0,N(U8227),N(U8227)+1))</f>
        <v>2</v>
      </c>
    </row>
    <row r="8229" customFormat="false" ht="15" hidden="false" customHeight="false" outlineLevel="0" collapsed="false">
      <c r="B8229" s="53"/>
      <c r="I8229" s="53"/>
      <c r="U8229" s="31" t="n">
        <f aca="false">IF($B8229&lt;&gt;'設定（最初に1回）'!$C$4,N(U8228),IF(COUNTIFS(①今日の在庫を貼る!$B$6:$B$10005,$B8229,①今日の在庫を貼る!$I$6:$I$10005,$I8229)&gt;0,N(U8228),N(U8228)+1))</f>
        <v>2</v>
      </c>
    </row>
    <row r="8230" customFormat="false" ht="15" hidden="false" customHeight="false" outlineLevel="0" collapsed="false">
      <c r="B8230" s="53"/>
      <c r="I8230" s="53"/>
      <c r="U8230" s="31" t="n">
        <f aca="false">IF($B8230&lt;&gt;'設定（最初に1回）'!$C$4,N(U8229),IF(COUNTIFS(①今日の在庫を貼る!$B$6:$B$10005,$B8230,①今日の在庫を貼る!$I$6:$I$10005,$I8230)&gt;0,N(U8229),N(U8229)+1))</f>
        <v>2</v>
      </c>
    </row>
    <row r="8231" customFormat="false" ht="15" hidden="false" customHeight="false" outlineLevel="0" collapsed="false">
      <c r="B8231" s="53"/>
      <c r="I8231" s="53"/>
      <c r="U8231" s="31" t="n">
        <f aca="false">IF($B8231&lt;&gt;'設定（最初に1回）'!$C$4,N(U8230),IF(COUNTIFS(①今日の在庫を貼る!$B$6:$B$10005,$B8231,①今日の在庫を貼る!$I$6:$I$10005,$I8231)&gt;0,N(U8230),N(U8230)+1))</f>
        <v>2</v>
      </c>
    </row>
    <row r="8232" customFormat="false" ht="15" hidden="false" customHeight="false" outlineLevel="0" collapsed="false">
      <c r="B8232" s="53"/>
      <c r="I8232" s="53"/>
      <c r="U8232" s="31" t="n">
        <f aca="false">IF($B8232&lt;&gt;'設定（最初に1回）'!$C$4,N(U8231),IF(COUNTIFS(①今日の在庫を貼る!$B$6:$B$10005,$B8232,①今日の在庫を貼る!$I$6:$I$10005,$I8232)&gt;0,N(U8231),N(U8231)+1))</f>
        <v>2</v>
      </c>
    </row>
    <row r="8233" customFormat="false" ht="15" hidden="false" customHeight="false" outlineLevel="0" collapsed="false">
      <c r="B8233" s="53"/>
      <c r="I8233" s="53"/>
      <c r="U8233" s="31" t="n">
        <f aca="false">IF($B8233&lt;&gt;'設定（最初に1回）'!$C$4,N(U8232),IF(COUNTIFS(①今日の在庫を貼る!$B$6:$B$10005,$B8233,①今日の在庫を貼る!$I$6:$I$10005,$I8233)&gt;0,N(U8232),N(U8232)+1))</f>
        <v>2</v>
      </c>
    </row>
    <row r="8234" customFormat="false" ht="15" hidden="false" customHeight="false" outlineLevel="0" collapsed="false">
      <c r="B8234" s="53"/>
      <c r="I8234" s="53"/>
      <c r="U8234" s="31" t="n">
        <f aca="false">IF($B8234&lt;&gt;'設定（最初に1回）'!$C$4,N(U8233),IF(COUNTIFS(①今日の在庫を貼る!$B$6:$B$10005,$B8234,①今日の在庫を貼る!$I$6:$I$10005,$I8234)&gt;0,N(U8233),N(U8233)+1))</f>
        <v>2</v>
      </c>
    </row>
    <row r="8235" customFormat="false" ht="15" hidden="false" customHeight="false" outlineLevel="0" collapsed="false">
      <c r="B8235" s="53"/>
      <c r="I8235" s="53"/>
      <c r="U8235" s="31" t="n">
        <f aca="false">IF($B8235&lt;&gt;'設定（最初に1回）'!$C$4,N(U8234),IF(COUNTIFS(①今日の在庫を貼る!$B$6:$B$10005,$B8235,①今日の在庫を貼る!$I$6:$I$10005,$I8235)&gt;0,N(U8234),N(U8234)+1))</f>
        <v>2</v>
      </c>
    </row>
    <row r="8236" customFormat="false" ht="15" hidden="false" customHeight="false" outlineLevel="0" collapsed="false">
      <c r="B8236" s="53"/>
      <c r="I8236" s="53"/>
      <c r="U8236" s="31" t="n">
        <f aca="false">IF($B8236&lt;&gt;'設定（最初に1回）'!$C$4,N(U8235),IF(COUNTIFS(①今日の在庫を貼る!$B$6:$B$10005,$B8236,①今日の在庫を貼る!$I$6:$I$10005,$I8236)&gt;0,N(U8235),N(U8235)+1))</f>
        <v>2</v>
      </c>
    </row>
    <row r="8237" customFormat="false" ht="15" hidden="false" customHeight="false" outlineLevel="0" collapsed="false">
      <c r="B8237" s="53"/>
      <c r="I8237" s="53"/>
      <c r="U8237" s="31" t="n">
        <f aca="false">IF($B8237&lt;&gt;'設定（最初に1回）'!$C$4,N(U8236),IF(COUNTIFS(①今日の在庫を貼る!$B$6:$B$10005,$B8237,①今日の在庫を貼る!$I$6:$I$10005,$I8237)&gt;0,N(U8236),N(U8236)+1))</f>
        <v>2</v>
      </c>
    </row>
    <row r="8238" customFormat="false" ht="15" hidden="false" customHeight="false" outlineLevel="0" collapsed="false">
      <c r="B8238" s="53"/>
      <c r="I8238" s="53"/>
      <c r="U8238" s="31" t="n">
        <f aca="false">IF($B8238&lt;&gt;'設定（最初に1回）'!$C$4,N(U8237),IF(COUNTIFS(①今日の在庫を貼る!$B$6:$B$10005,$B8238,①今日の在庫を貼る!$I$6:$I$10005,$I8238)&gt;0,N(U8237),N(U8237)+1))</f>
        <v>2</v>
      </c>
    </row>
    <row r="8239" customFormat="false" ht="15" hidden="false" customHeight="false" outlineLevel="0" collapsed="false">
      <c r="B8239" s="53"/>
      <c r="I8239" s="53"/>
      <c r="U8239" s="31" t="n">
        <f aca="false">IF($B8239&lt;&gt;'設定（最初に1回）'!$C$4,N(U8238),IF(COUNTIFS(①今日の在庫を貼る!$B$6:$B$10005,$B8239,①今日の在庫を貼る!$I$6:$I$10005,$I8239)&gt;0,N(U8238),N(U8238)+1))</f>
        <v>2</v>
      </c>
    </row>
    <row r="8240" customFormat="false" ht="15" hidden="false" customHeight="false" outlineLevel="0" collapsed="false">
      <c r="B8240" s="53"/>
      <c r="I8240" s="53"/>
      <c r="U8240" s="31" t="n">
        <f aca="false">IF($B8240&lt;&gt;'設定（最初に1回）'!$C$4,N(U8239),IF(COUNTIFS(①今日の在庫を貼る!$B$6:$B$10005,$B8240,①今日の在庫を貼る!$I$6:$I$10005,$I8240)&gt;0,N(U8239),N(U8239)+1))</f>
        <v>2</v>
      </c>
    </row>
    <row r="8241" customFormat="false" ht="15" hidden="false" customHeight="false" outlineLevel="0" collapsed="false">
      <c r="B8241" s="53"/>
      <c r="I8241" s="53"/>
      <c r="U8241" s="31" t="n">
        <f aca="false">IF($B8241&lt;&gt;'設定（最初に1回）'!$C$4,N(U8240),IF(COUNTIFS(①今日の在庫を貼る!$B$6:$B$10005,$B8241,①今日の在庫を貼る!$I$6:$I$10005,$I8241)&gt;0,N(U8240),N(U8240)+1))</f>
        <v>2</v>
      </c>
    </row>
    <row r="8242" customFormat="false" ht="15" hidden="false" customHeight="false" outlineLevel="0" collapsed="false">
      <c r="B8242" s="53"/>
      <c r="I8242" s="53"/>
      <c r="U8242" s="31" t="n">
        <f aca="false">IF($B8242&lt;&gt;'設定（最初に1回）'!$C$4,N(U8241),IF(COUNTIFS(①今日の在庫を貼る!$B$6:$B$10005,$B8242,①今日の在庫を貼る!$I$6:$I$10005,$I8242)&gt;0,N(U8241),N(U8241)+1))</f>
        <v>2</v>
      </c>
    </row>
    <row r="8243" customFormat="false" ht="15" hidden="false" customHeight="false" outlineLevel="0" collapsed="false">
      <c r="B8243" s="53"/>
      <c r="I8243" s="53"/>
      <c r="U8243" s="31" t="n">
        <f aca="false">IF($B8243&lt;&gt;'設定（最初に1回）'!$C$4,N(U8242),IF(COUNTIFS(①今日の在庫を貼る!$B$6:$B$10005,$B8243,①今日の在庫を貼る!$I$6:$I$10005,$I8243)&gt;0,N(U8242),N(U8242)+1))</f>
        <v>2</v>
      </c>
    </row>
    <row r="8244" customFormat="false" ht="15" hidden="false" customHeight="false" outlineLevel="0" collapsed="false">
      <c r="B8244" s="53"/>
      <c r="I8244" s="53"/>
      <c r="U8244" s="31" t="n">
        <f aca="false">IF($B8244&lt;&gt;'設定（最初に1回）'!$C$4,N(U8243),IF(COUNTIFS(①今日の在庫を貼る!$B$6:$B$10005,$B8244,①今日の在庫を貼る!$I$6:$I$10005,$I8244)&gt;0,N(U8243),N(U8243)+1))</f>
        <v>2</v>
      </c>
    </row>
    <row r="8245" customFormat="false" ht="15" hidden="false" customHeight="false" outlineLevel="0" collapsed="false">
      <c r="B8245" s="53"/>
      <c r="I8245" s="53"/>
      <c r="U8245" s="31" t="n">
        <f aca="false">IF($B8245&lt;&gt;'設定（最初に1回）'!$C$4,N(U8244),IF(COUNTIFS(①今日の在庫を貼る!$B$6:$B$10005,$B8245,①今日の在庫を貼る!$I$6:$I$10005,$I8245)&gt;0,N(U8244),N(U8244)+1))</f>
        <v>2</v>
      </c>
    </row>
    <row r="8246" customFormat="false" ht="15" hidden="false" customHeight="false" outlineLevel="0" collapsed="false">
      <c r="B8246" s="53"/>
      <c r="I8246" s="53"/>
      <c r="U8246" s="31" t="n">
        <f aca="false">IF($B8246&lt;&gt;'設定（最初に1回）'!$C$4,N(U8245),IF(COUNTIFS(①今日の在庫を貼る!$B$6:$B$10005,$B8246,①今日の在庫を貼る!$I$6:$I$10005,$I8246)&gt;0,N(U8245),N(U8245)+1))</f>
        <v>2</v>
      </c>
    </row>
    <row r="8247" customFormat="false" ht="15" hidden="false" customHeight="false" outlineLevel="0" collapsed="false">
      <c r="B8247" s="53"/>
      <c r="I8247" s="53"/>
      <c r="U8247" s="31" t="n">
        <f aca="false">IF($B8247&lt;&gt;'設定（最初に1回）'!$C$4,N(U8246),IF(COUNTIFS(①今日の在庫を貼る!$B$6:$B$10005,$B8247,①今日の在庫を貼る!$I$6:$I$10005,$I8247)&gt;0,N(U8246),N(U8246)+1))</f>
        <v>2</v>
      </c>
    </row>
    <row r="8248" customFormat="false" ht="15" hidden="false" customHeight="false" outlineLevel="0" collapsed="false">
      <c r="B8248" s="53"/>
      <c r="I8248" s="53"/>
      <c r="U8248" s="31" t="n">
        <f aca="false">IF($B8248&lt;&gt;'設定（最初に1回）'!$C$4,N(U8247),IF(COUNTIFS(①今日の在庫を貼る!$B$6:$B$10005,$B8248,①今日の在庫を貼る!$I$6:$I$10005,$I8248)&gt;0,N(U8247),N(U8247)+1))</f>
        <v>2</v>
      </c>
    </row>
    <row r="8249" customFormat="false" ht="15" hidden="false" customHeight="false" outlineLevel="0" collapsed="false">
      <c r="B8249" s="53"/>
      <c r="I8249" s="53"/>
      <c r="U8249" s="31" t="n">
        <f aca="false">IF($B8249&lt;&gt;'設定（最初に1回）'!$C$4,N(U8248),IF(COUNTIFS(①今日の在庫を貼る!$B$6:$B$10005,$B8249,①今日の在庫を貼る!$I$6:$I$10005,$I8249)&gt;0,N(U8248),N(U8248)+1))</f>
        <v>2</v>
      </c>
    </row>
    <row r="8250" customFormat="false" ht="15" hidden="false" customHeight="false" outlineLevel="0" collapsed="false">
      <c r="B8250" s="53"/>
      <c r="I8250" s="53"/>
      <c r="U8250" s="31" t="n">
        <f aca="false">IF($B8250&lt;&gt;'設定（最初に1回）'!$C$4,N(U8249),IF(COUNTIFS(①今日の在庫を貼る!$B$6:$B$10005,$B8250,①今日の在庫を貼る!$I$6:$I$10005,$I8250)&gt;0,N(U8249),N(U8249)+1))</f>
        <v>2</v>
      </c>
    </row>
    <row r="8251" customFormat="false" ht="15" hidden="false" customHeight="false" outlineLevel="0" collapsed="false">
      <c r="B8251" s="53"/>
      <c r="I8251" s="53"/>
      <c r="U8251" s="31" t="n">
        <f aca="false">IF($B8251&lt;&gt;'設定（最初に1回）'!$C$4,N(U8250),IF(COUNTIFS(①今日の在庫を貼る!$B$6:$B$10005,$B8251,①今日の在庫を貼る!$I$6:$I$10005,$I8251)&gt;0,N(U8250),N(U8250)+1))</f>
        <v>2</v>
      </c>
    </row>
    <row r="8252" customFormat="false" ht="15" hidden="false" customHeight="false" outlineLevel="0" collapsed="false">
      <c r="B8252" s="53"/>
      <c r="I8252" s="53"/>
      <c r="U8252" s="31" t="n">
        <f aca="false">IF($B8252&lt;&gt;'設定（最初に1回）'!$C$4,N(U8251),IF(COUNTIFS(①今日の在庫を貼る!$B$6:$B$10005,$B8252,①今日の在庫を貼る!$I$6:$I$10005,$I8252)&gt;0,N(U8251),N(U8251)+1))</f>
        <v>2</v>
      </c>
    </row>
    <row r="8253" customFormat="false" ht="15" hidden="false" customHeight="false" outlineLevel="0" collapsed="false">
      <c r="B8253" s="53"/>
      <c r="I8253" s="53"/>
      <c r="U8253" s="31" t="n">
        <f aca="false">IF($B8253&lt;&gt;'設定（最初に1回）'!$C$4,N(U8252),IF(COUNTIFS(①今日の在庫を貼る!$B$6:$B$10005,$B8253,①今日の在庫を貼る!$I$6:$I$10005,$I8253)&gt;0,N(U8252),N(U8252)+1))</f>
        <v>2</v>
      </c>
    </row>
    <row r="8254" customFormat="false" ht="15" hidden="false" customHeight="false" outlineLevel="0" collapsed="false">
      <c r="B8254" s="53"/>
      <c r="I8254" s="53"/>
      <c r="U8254" s="31" t="n">
        <f aca="false">IF($B8254&lt;&gt;'設定（最初に1回）'!$C$4,N(U8253),IF(COUNTIFS(①今日の在庫を貼る!$B$6:$B$10005,$B8254,①今日の在庫を貼る!$I$6:$I$10005,$I8254)&gt;0,N(U8253),N(U8253)+1))</f>
        <v>2</v>
      </c>
    </row>
    <row r="8255" customFormat="false" ht="15" hidden="false" customHeight="false" outlineLevel="0" collapsed="false">
      <c r="B8255" s="53"/>
      <c r="I8255" s="53"/>
      <c r="U8255" s="31" t="n">
        <f aca="false">IF($B8255&lt;&gt;'設定（最初に1回）'!$C$4,N(U8254),IF(COUNTIFS(①今日の在庫を貼る!$B$6:$B$10005,$B8255,①今日の在庫を貼る!$I$6:$I$10005,$I8255)&gt;0,N(U8254),N(U8254)+1))</f>
        <v>2</v>
      </c>
    </row>
    <row r="8256" customFormat="false" ht="15" hidden="false" customHeight="false" outlineLevel="0" collapsed="false">
      <c r="B8256" s="53"/>
      <c r="I8256" s="53"/>
      <c r="U8256" s="31" t="n">
        <f aca="false">IF($B8256&lt;&gt;'設定（最初に1回）'!$C$4,N(U8255),IF(COUNTIFS(①今日の在庫を貼る!$B$6:$B$10005,$B8256,①今日の在庫を貼る!$I$6:$I$10005,$I8256)&gt;0,N(U8255),N(U8255)+1))</f>
        <v>2</v>
      </c>
    </row>
    <row r="8257" customFormat="false" ht="15" hidden="false" customHeight="false" outlineLevel="0" collapsed="false">
      <c r="B8257" s="53"/>
      <c r="I8257" s="53"/>
      <c r="U8257" s="31" t="n">
        <f aca="false">IF($B8257&lt;&gt;'設定（最初に1回）'!$C$4,N(U8256),IF(COUNTIFS(①今日の在庫を貼る!$B$6:$B$10005,$B8257,①今日の在庫を貼る!$I$6:$I$10005,$I8257)&gt;0,N(U8256),N(U8256)+1))</f>
        <v>2</v>
      </c>
    </row>
    <row r="8258" customFormat="false" ht="15" hidden="false" customHeight="false" outlineLevel="0" collapsed="false">
      <c r="B8258" s="53"/>
      <c r="I8258" s="53"/>
      <c r="U8258" s="31" t="n">
        <f aca="false">IF($B8258&lt;&gt;'設定（最初に1回）'!$C$4,N(U8257),IF(COUNTIFS(①今日の在庫を貼る!$B$6:$B$10005,$B8258,①今日の在庫を貼る!$I$6:$I$10005,$I8258)&gt;0,N(U8257),N(U8257)+1))</f>
        <v>2</v>
      </c>
    </row>
    <row r="8259" customFormat="false" ht="15" hidden="false" customHeight="false" outlineLevel="0" collapsed="false">
      <c r="B8259" s="53"/>
      <c r="I8259" s="53"/>
      <c r="U8259" s="31" t="n">
        <f aca="false">IF($B8259&lt;&gt;'設定（最初に1回）'!$C$4,N(U8258),IF(COUNTIFS(①今日の在庫を貼る!$B$6:$B$10005,$B8259,①今日の在庫を貼る!$I$6:$I$10005,$I8259)&gt;0,N(U8258),N(U8258)+1))</f>
        <v>2</v>
      </c>
    </row>
    <row r="8260" customFormat="false" ht="15" hidden="false" customHeight="false" outlineLevel="0" collapsed="false">
      <c r="B8260" s="53"/>
      <c r="I8260" s="53"/>
      <c r="U8260" s="31" t="n">
        <f aca="false">IF($B8260&lt;&gt;'設定（最初に1回）'!$C$4,N(U8259),IF(COUNTIFS(①今日の在庫を貼る!$B$6:$B$10005,$B8260,①今日の在庫を貼る!$I$6:$I$10005,$I8260)&gt;0,N(U8259),N(U8259)+1))</f>
        <v>2</v>
      </c>
    </row>
    <row r="8261" customFormat="false" ht="15" hidden="false" customHeight="false" outlineLevel="0" collapsed="false">
      <c r="B8261" s="53"/>
      <c r="I8261" s="53"/>
      <c r="U8261" s="31" t="n">
        <f aca="false">IF($B8261&lt;&gt;'設定（最初に1回）'!$C$4,N(U8260),IF(COUNTIFS(①今日の在庫を貼る!$B$6:$B$10005,$B8261,①今日の在庫を貼る!$I$6:$I$10005,$I8261)&gt;0,N(U8260),N(U8260)+1))</f>
        <v>2</v>
      </c>
    </row>
    <row r="8262" customFormat="false" ht="15" hidden="false" customHeight="false" outlineLevel="0" collapsed="false">
      <c r="B8262" s="53"/>
      <c r="I8262" s="53"/>
      <c r="U8262" s="31" t="n">
        <f aca="false">IF($B8262&lt;&gt;'設定（最初に1回）'!$C$4,N(U8261),IF(COUNTIFS(①今日の在庫を貼る!$B$6:$B$10005,$B8262,①今日の在庫を貼る!$I$6:$I$10005,$I8262)&gt;0,N(U8261),N(U8261)+1))</f>
        <v>2</v>
      </c>
    </row>
    <row r="8263" customFormat="false" ht="15" hidden="false" customHeight="false" outlineLevel="0" collapsed="false">
      <c r="B8263" s="53"/>
      <c r="I8263" s="53"/>
      <c r="U8263" s="31" t="n">
        <f aca="false">IF($B8263&lt;&gt;'設定（最初に1回）'!$C$4,N(U8262),IF(COUNTIFS(①今日の在庫を貼る!$B$6:$B$10005,$B8263,①今日の在庫を貼る!$I$6:$I$10005,$I8263)&gt;0,N(U8262),N(U8262)+1))</f>
        <v>2</v>
      </c>
    </row>
    <row r="8264" customFormat="false" ht="15" hidden="false" customHeight="false" outlineLevel="0" collapsed="false">
      <c r="B8264" s="53"/>
      <c r="I8264" s="53"/>
      <c r="U8264" s="31" t="n">
        <f aca="false">IF($B8264&lt;&gt;'設定（最初に1回）'!$C$4,N(U8263),IF(COUNTIFS(①今日の在庫を貼る!$B$6:$B$10005,$B8264,①今日の在庫を貼る!$I$6:$I$10005,$I8264)&gt;0,N(U8263),N(U8263)+1))</f>
        <v>2</v>
      </c>
    </row>
    <row r="8265" customFormat="false" ht="15" hidden="false" customHeight="false" outlineLevel="0" collapsed="false">
      <c r="B8265" s="53"/>
      <c r="I8265" s="53"/>
      <c r="U8265" s="31" t="n">
        <f aca="false">IF($B8265&lt;&gt;'設定（最初に1回）'!$C$4,N(U8264),IF(COUNTIFS(①今日の在庫を貼る!$B$6:$B$10005,$B8265,①今日の在庫を貼る!$I$6:$I$10005,$I8265)&gt;0,N(U8264),N(U8264)+1))</f>
        <v>2</v>
      </c>
    </row>
    <row r="8266" customFormat="false" ht="15" hidden="false" customHeight="false" outlineLevel="0" collapsed="false">
      <c r="B8266" s="53"/>
      <c r="I8266" s="53"/>
      <c r="U8266" s="31" t="n">
        <f aca="false">IF($B8266&lt;&gt;'設定（最初に1回）'!$C$4,N(U8265),IF(COUNTIFS(①今日の在庫を貼る!$B$6:$B$10005,$B8266,①今日の在庫を貼る!$I$6:$I$10005,$I8266)&gt;0,N(U8265),N(U8265)+1))</f>
        <v>2</v>
      </c>
    </row>
    <row r="8267" customFormat="false" ht="15" hidden="false" customHeight="false" outlineLevel="0" collapsed="false">
      <c r="B8267" s="53"/>
      <c r="I8267" s="53"/>
      <c r="U8267" s="31" t="n">
        <f aca="false">IF($B8267&lt;&gt;'設定（最初に1回）'!$C$4,N(U8266),IF(COUNTIFS(①今日の在庫を貼る!$B$6:$B$10005,$B8267,①今日の在庫を貼る!$I$6:$I$10005,$I8267)&gt;0,N(U8266),N(U8266)+1))</f>
        <v>2</v>
      </c>
    </row>
    <row r="8268" customFormat="false" ht="15" hidden="false" customHeight="false" outlineLevel="0" collapsed="false">
      <c r="B8268" s="53"/>
      <c r="I8268" s="53"/>
      <c r="U8268" s="31" t="n">
        <f aca="false">IF($B8268&lt;&gt;'設定（最初に1回）'!$C$4,N(U8267),IF(COUNTIFS(①今日の在庫を貼る!$B$6:$B$10005,$B8268,①今日の在庫を貼る!$I$6:$I$10005,$I8268)&gt;0,N(U8267),N(U8267)+1))</f>
        <v>2</v>
      </c>
    </row>
    <row r="8269" customFormat="false" ht="15" hidden="false" customHeight="false" outlineLevel="0" collapsed="false">
      <c r="B8269" s="53"/>
      <c r="I8269" s="53"/>
      <c r="U8269" s="31" t="n">
        <f aca="false">IF($B8269&lt;&gt;'設定（最初に1回）'!$C$4,N(U8268),IF(COUNTIFS(①今日の在庫を貼る!$B$6:$B$10005,$B8269,①今日の在庫を貼る!$I$6:$I$10005,$I8269)&gt;0,N(U8268),N(U8268)+1))</f>
        <v>2</v>
      </c>
    </row>
    <row r="8270" customFormat="false" ht="15" hidden="false" customHeight="false" outlineLevel="0" collapsed="false">
      <c r="B8270" s="53"/>
      <c r="I8270" s="53"/>
      <c r="U8270" s="31" t="n">
        <f aca="false">IF($B8270&lt;&gt;'設定（最初に1回）'!$C$4,N(U8269),IF(COUNTIFS(①今日の在庫を貼る!$B$6:$B$10005,$B8270,①今日の在庫を貼る!$I$6:$I$10005,$I8270)&gt;0,N(U8269),N(U8269)+1))</f>
        <v>2</v>
      </c>
    </row>
    <row r="8271" customFormat="false" ht="15" hidden="false" customHeight="false" outlineLevel="0" collapsed="false">
      <c r="B8271" s="53"/>
      <c r="I8271" s="53"/>
      <c r="U8271" s="31" t="n">
        <f aca="false">IF($B8271&lt;&gt;'設定（最初に1回）'!$C$4,N(U8270),IF(COUNTIFS(①今日の在庫を貼る!$B$6:$B$10005,$B8271,①今日の在庫を貼る!$I$6:$I$10005,$I8271)&gt;0,N(U8270),N(U8270)+1))</f>
        <v>2</v>
      </c>
    </row>
    <row r="8272" customFormat="false" ht="15" hidden="false" customHeight="false" outlineLevel="0" collapsed="false">
      <c r="B8272" s="53"/>
      <c r="I8272" s="53"/>
      <c r="U8272" s="31" t="n">
        <f aca="false">IF($B8272&lt;&gt;'設定（最初に1回）'!$C$4,N(U8271),IF(COUNTIFS(①今日の在庫を貼る!$B$6:$B$10005,$B8272,①今日の在庫を貼る!$I$6:$I$10005,$I8272)&gt;0,N(U8271),N(U8271)+1))</f>
        <v>2</v>
      </c>
    </row>
    <row r="8273" customFormat="false" ht="15" hidden="false" customHeight="false" outlineLevel="0" collapsed="false">
      <c r="B8273" s="53"/>
      <c r="I8273" s="53"/>
      <c r="U8273" s="31" t="n">
        <f aca="false">IF($B8273&lt;&gt;'設定（最初に1回）'!$C$4,N(U8272),IF(COUNTIFS(①今日の在庫を貼る!$B$6:$B$10005,$B8273,①今日の在庫を貼る!$I$6:$I$10005,$I8273)&gt;0,N(U8272),N(U8272)+1))</f>
        <v>2</v>
      </c>
    </row>
    <row r="8274" customFormat="false" ht="15" hidden="false" customHeight="false" outlineLevel="0" collapsed="false">
      <c r="B8274" s="53"/>
      <c r="I8274" s="53"/>
      <c r="U8274" s="31" t="n">
        <f aca="false">IF($B8274&lt;&gt;'設定（最初に1回）'!$C$4,N(U8273),IF(COUNTIFS(①今日の在庫を貼る!$B$6:$B$10005,$B8274,①今日の在庫を貼る!$I$6:$I$10005,$I8274)&gt;0,N(U8273),N(U8273)+1))</f>
        <v>2</v>
      </c>
    </row>
    <row r="8275" customFormat="false" ht="15" hidden="false" customHeight="false" outlineLevel="0" collapsed="false">
      <c r="B8275" s="53"/>
      <c r="I8275" s="53"/>
      <c r="U8275" s="31" t="n">
        <f aca="false">IF($B8275&lt;&gt;'設定（最初に1回）'!$C$4,N(U8274),IF(COUNTIFS(①今日の在庫を貼る!$B$6:$B$10005,$B8275,①今日の在庫を貼る!$I$6:$I$10005,$I8275)&gt;0,N(U8274),N(U8274)+1))</f>
        <v>2</v>
      </c>
    </row>
    <row r="8276" customFormat="false" ht="15" hidden="false" customHeight="false" outlineLevel="0" collapsed="false">
      <c r="B8276" s="53"/>
      <c r="I8276" s="53"/>
      <c r="U8276" s="31" t="n">
        <f aca="false">IF($B8276&lt;&gt;'設定（最初に1回）'!$C$4,N(U8275),IF(COUNTIFS(①今日の在庫を貼る!$B$6:$B$10005,$B8276,①今日の在庫を貼る!$I$6:$I$10005,$I8276)&gt;0,N(U8275),N(U8275)+1))</f>
        <v>2</v>
      </c>
    </row>
    <row r="8277" customFormat="false" ht="15" hidden="false" customHeight="false" outlineLevel="0" collapsed="false">
      <c r="B8277" s="53"/>
      <c r="I8277" s="53"/>
      <c r="U8277" s="31" t="n">
        <f aca="false">IF($B8277&lt;&gt;'設定（最初に1回）'!$C$4,N(U8276),IF(COUNTIFS(①今日の在庫を貼る!$B$6:$B$10005,$B8277,①今日の在庫を貼る!$I$6:$I$10005,$I8277)&gt;0,N(U8276),N(U8276)+1))</f>
        <v>2</v>
      </c>
    </row>
    <row r="8278" customFormat="false" ht="15" hidden="false" customHeight="false" outlineLevel="0" collapsed="false">
      <c r="B8278" s="53"/>
      <c r="I8278" s="53"/>
      <c r="U8278" s="31" t="n">
        <f aca="false">IF($B8278&lt;&gt;'設定（最初に1回）'!$C$4,N(U8277),IF(COUNTIFS(①今日の在庫を貼る!$B$6:$B$10005,$B8278,①今日の在庫を貼る!$I$6:$I$10005,$I8278)&gt;0,N(U8277),N(U8277)+1))</f>
        <v>2</v>
      </c>
    </row>
    <row r="8279" customFormat="false" ht="15" hidden="false" customHeight="false" outlineLevel="0" collapsed="false">
      <c r="B8279" s="53"/>
      <c r="I8279" s="53"/>
      <c r="U8279" s="31" t="n">
        <f aca="false">IF($B8279&lt;&gt;'設定（最初に1回）'!$C$4,N(U8278),IF(COUNTIFS(①今日の在庫を貼る!$B$6:$B$10005,$B8279,①今日の在庫を貼る!$I$6:$I$10005,$I8279)&gt;0,N(U8278),N(U8278)+1))</f>
        <v>2</v>
      </c>
    </row>
    <row r="8280" customFormat="false" ht="15" hidden="false" customHeight="false" outlineLevel="0" collapsed="false">
      <c r="B8280" s="53"/>
      <c r="I8280" s="53"/>
      <c r="U8280" s="31" t="n">
        <f aca="false">IF($B8280&lt;&gt;'設定（最初に1回）'!$C$4,N(U8279),IF(COUNTIFS(①今日の在庫を貼る!$B$6:$B$10005,$B8280,①今日の在庫を貼る!$I$6:$I$10005,$I8280)&gt;0,N(U8279),N(U8279)+1))</f>
        <v>2</v>
      </c>
    </row>
    <row r="8281" customFormat="false" ht="15" hidden="false" customHeight="false" outlineLevel="0" collapsed="false">
      <c r="B8281" s="53"/>
      <c r="I8281" s="53"/>
      <c r="U8281" s="31" t="n">
        <f aca="false">IF($B8281&lt;&gt;'設定（最初に1回）'!$C$4,N(U8280),IF(COUNTIFS(①今日の在庫を貼る!$B$6:$B$10005,$B8281,①今日の在庫を貼る!$I$6:$I$10005,$I8281)&gt;0,N(U8280),N(U8280)+1))</f>
        <v>2</v>
      </c>
    </row>
    <row r="8282" customFormat="false" ht="15" hidden="false" customHeight="false" outlineLevel="0" collapsed="false">
      <c r="B8282" s="53"/>
      <c r="I8282" s="53"/>
      <c r="U8282" s="31" t="n">
        <f aca="false">IF($B8282&lt;&gt;'設定（最初に1回）'!$C$4,N(U8281),IF(COUNTIFS(①今日の在庫を貼る!$B$6:$B$10005,$B8282,①今日の在庫を貼る!$I$6:$I$10005,$I8282)&gt;0,N(U8281),N(U8281)+1))</f>
        <v>2</v>
      </c>
    </row>
    <row r="8283" customFormat="false" ht="15" hidden="false" customHeight="false" outlineLevel="0" collapsed="false">
      <c r="B8283" s="53"/>
      <c r="I8283" s="53"/>
      <c r="U8283" s="31" t="n">
        <f aca="false">IF($B8283&lt;&gt;'設定（最初に1回）'!$C$4,N(U8282),IF(COUNTIFS(①今日の在庫を貼る!$B$6:$B$10005,$B8283,①今日の在庫を貼る!$I$6:$I$10005,$I8283)&gt;0,N(U8282),N(U8282)+1))</f>
        <v>2</v>
      </c>
    </row>
    <row r="8284" customFormat="false" ht="15" hidden="false" customHeight="false" outlineLevel="0" collapsed="false">
      <c r="B8284" s="53"/>
      <c r="I8284" s="53"/>
      <c r="U8284" s="31" t="n">
        <f aca="false">IF($B8284&lt;&gt;'設定（最初に1回）'!$C$4,N(U8283),IF(COUNTIFS(①今日の在庫を貼る!$B$6:$B$10005,$B8284,①今日の在庫を貼る!$I$6:$I$10005,$I8284)&gt;0,N(U8283),N(U8283)+1))</f>
        <v>2</v>
      </c>
    </row>
    <row r="8285" customFormat="false" ht="15" hidden="false" customHeight="false" outlineLevel="0" collapsed="false">
      <c r="B8285" s="53"/>
      <c r="I8285" s="53"/>
      <c r="U8285" s="31" t="n">
        <f aca="false">IF($B8285&lt;&gt;'設定（最初に1回）'!$C$4,N(U8284),IF(COUNTIFS(①今日の在庫を貼る!$B$6:$B$10005,$B8285,①今日の在庫を貼る!$I$6:$I$10005,$I8285)&gt;0,N(U8284),N(U8284)+1))</f>
        <v>2</v>
      </c>
    </row>
    <row r="8286" customFormat="false" ht="15" hidden="false" customHeight="false" outlineLevel="0" collapsed="false">
      <c r="B8286" s="53"/>
      <c r="I8286" s="53"/>
      <c r="U8286" s="31" t="n">
        <f aca="false">IF($B8286&lt;&gt;'設定（最初に1回）'!$C$4,N(U8285),IF(COUNTIFS(①今日の在庫を貼る!$B$6:$B$10005,$B8286,①今日の在庫を貼る!$I$6:$I$10005,$I8286)&gt;0,N(U8285),N(U8285)+1))</f>
        <v>2</v>
      </c>
    </row>
    <row r="8287" customFormat="false" ht="15" hidden="false" customHeight="false" outlineLevel="0" collapsed="false">
      <c r="B8287" s="53"/>
      <c r="I8287" s="53"/>
      <c r="U8287" s="31" t="n">
        <f aca="false">IF($B8287&lt;&gt;'設定（最初に1回）'!$C$4,N(U8286),IF(COUNTIFS(①今日の在庫を貼る!$B$6:$B$10005,$B8287,①今日の在庫を貼る!$I$6:$I$10005,$I8287)&gt;0,N(U8286),N(U8286)+1))</f>
        <v>2</v>
      </c>
    </row>
    <row r="8288" customFormat="false" ht="15" hidden="false" customHeight="false" outlineLevel="0" collapsed="false">
      <c r="B8288" s="53"/>
      <c r="I8288" s="53"/>
      <c r="U8288" s="31" t="n">
        <f aca="false">IF($B8288&lt;&gt;'設定（最初に1回）'!$C$4,N(U8287),IF(COUNTIFS(①今日の在庫を貼る!$B$6:$B$10005,$B8288,①今日の在庫を貼る!$I$6:$I$10005,$I8288)&gt;0,N(U8287),N(U8287)+1))</f>
        <v>2</v>
      </c>
    </row>
    <row r="8289" customFormat="false" ht="15" hidden="false" customHeight="false" outlineLevel="0" collapsed="false">
      <c r="B8289" s="53"/>
      <c r="I8289" s="53"/>
      <c r="U8289" s="31" t="n">
        <f aca="false">IF($B8289&lt;&gt;'設定（最初に1回）'!$C$4,N(U8288),IF(COUNTIFS(①今日の在庫を貼る!$B$6:$B$10005,$B8289,①今日の在庫を貼る!$I$6:$I$10005,$I8289)&gt;0,N(U8288),N(U8288)+1))</f>
        <v>2</v>
      </c>
    </row>
    <row r="8290" customFormat="false" ht="15" hidden="false" customHeight="false" outlineLevel="0" collapsed="false">
      <c r="B8290" s="53"/>
      <c r="I8290" s="53"/>
      <c r="U8290" s="31" t="n">
        <f aca="false">IF($B8290&lt;&gt;'設定（最初に1回）'!$C$4,N(U8289),IF(COUNTIFS(①今日の在庫を貼る!$B$6:$B$10005,$B8290,①今日の在庫を貼る!$I$6:$I$10005,$I8290)&gt;0,N(U8289),N(U8289)+1))</f>
        <v>2</v>
      </c>
    </row>
    <row r="8291" customFormat="false" ht="15" hidden="false" customHeight="false" outlineLevel="0" collapsed="false">
      <c r="B8291" s="53"/>
      <c r="I8291" s="53"/>
      <c r="U8291" s="31" t="n">
        <f aca="false">IF($B8291&lt;&gt;'設定（最初に1回）'!$C$4,N(U8290),IF(COUNTIFS(①今日の在庫を貼る!$B$6:$B$10005,$B8291,①今日の在庫を貼る!$I$6:$I$10005,$I8291)&gt;0,N(U8290),N(U8290)+1))</f>
        <v>2</v>
      </c>
    </row>
    <row r="8292" customFormat="false" ht="15" hidden="false" customHeight="false" outlineLevel="0" collapsed="false">
      <c r="B8292" s="53"/>
      <c r="I8292" s="53"/>
      <c r="U8292" s="31" t="n">
        <f aca="false">IF($B8292&lt;&gt;'設定（最初に1回）'!$C$4,N(U8291),IF(COUNTIFS(①今日の在庫を貼る!$B$6:$B$10005,$B8292,①今日の在庫を貼る!$I$6:$I$10005,$I8292)&gt;0,N(U8291),N(U8291)+1))</f>
        <v>2</v>
      </c>
    </row>
    <row r="8293" customFormat="false" ht="15" hidden="false" customHeight="false" outlineLevel="0" collapsed="false">
      <c r="B8293" s="53"/>
      <c r="I8293" s="53"/>
      <c r="U8293" s="31" t="n">
        <f aca="false">IF($B8293&lt;&gt;'設定（最初に1回）'!$C$4,N(U8292),IF(COUNTIFS(①今日の在庫を貼る!$B$6:$B$10005,$B8293,①今日の在庫を貼る!$I$6:$I$10005,$I8293)&gt;0,N(U8292),N(U8292)+1))</f>
        <v>2</v>
      </c>
    </row>
    <row r="8294" customFormat="false" ht="15" hidden="false" customHeight="false" outlineLevel="0" collapsed="false">
      <c r="B8294" s="53"/>
      <c r="I8294" s="53"/>
      <c r="U8294" s="31" t="n">
        <f aca="false">IF($B8294&lt;&gt;'設定（最初に1回）'!$C$4,N(U8293),IF(COUNTIFS(①今日の在庫を貼る!$B$6:$B$10005,$B8294,①今日の在庫を貼る!$I$6:$I$10005,$I8294)&gt;0,N(U8293),N(U8293)+1))</f>
        <v>2</v>
      </c>
    </row>
    <row r="8295" customFormat="false" ht="15" hidden="false" customHeight="false" outlineLevel="0" collapsed="false">
      <c r="B8295" s="53"/>
      <c r="I8295" s="53"/>
      <c r="U8295" s="31" t="n">
        <f aca="false">IF($B8295&lt;&gt;'設定（最初に1回）'!$C$4,N(U8294),IF(COUNTIFS(①今日の在庫を貼る!$B$6:$B$10005,$B8295,①今日の在庫を貼る!$I$6:$I$10005,$I8295)&gt;0,N(U8294),N(U8294)+1))</f>
        <v>2</v>
      </c>
    </row>
    <row r="8296" customFormat="false" ht="15" hidden="false" customHeight="false" outlineLevel="0" collapsed="false">
      <c r="B8296" s="53"/>
      <c r="I8296" s="53"/>
      <c r="U8296" s="31" t="n">
        <f aca="false">IF($B8296&lt;&gt;'設定（最初に1回）'!$C$4,N(U8295),IF(COUNTIFS(①今日の在庫を貼る!$B$6:$B$10005,$B8296,①今日の在庫を貼る!$I$6:$I$10005,$I8296)&gt;0,N(U8295),N(U8295)+1))</f>
        <v>2</v>
      </c>
    </row>
    <row r="8297" customFormat="false" ht="15" hidden="false" customHeight="false" outlineLevel="0" collapsed="false">
      <c r="B8297" s="53"/>
      <c r="I8297" s="53"/>
      <c r="U8297" s="31" t="n">
        <f aca="false">IF($B8297&lt;&gt;'設定（最初に1回）'!$C$4,N(U8296),IF(COUNTIFS(①今日の在庫を貼る!$B$6:$B$10005,$B8297,①今日の在庫を貼る!$I$6:$I$10005,$I8297)&gt;0,N(U8296),N(U8296)+1))</f>
        <v>2</v>
      </c>
    </row>
    <row r="8298" customFormat="false" ht="15" hidden="false" customHeight="false" outlineLevel="0" collapsed="false">
      <c r="B8298" s="53"/>
      <c r="I8298" s="53"/>
      <c r="U8298" s="31" t="n">
        <f aca="false">IF($B8298&lt;&gt;'設定（最初に1回）'!$C$4,N(U8297),IF(COUNTIFS(①今日の在庫を貼る!$B$6:$B$10005,$B8298,①今日の在庫を貼る!$I$6:$I$10005,$I8298)&gt;0,N(U8297),N(U8297)+1))</f>
        <v>2</v>
      </c>
    </row>
    <row r="8299" customFormat="false" ht="15" hidden="false" customHeight="false" outlineLevel="0" collapsed="false">
      <c r="B8299" s="53"/>
      <c r="I8299" s="53"/>
      <c r="U8299" s="31" t="n">
        <f aca="false">IF($B8299&lt;&gt;'設定（最初に1回）'!$C$4,N(U8298),IF(COUNTIFS(①今日の在庫を貼る!$B$6:$B$10005,$B8299,①今日の在庫を貼る!$I$6:$I$10005,$I8299)&gt;0,N(U8298),N(U8298)+1))</f>
        <v>2</v>
      </c>
    </row>
    <row r="8300" customFormat="false" ht="15" hidden="false" customHeight="false" outlineLevel="0" collapsed="false">
      <c r="B8300" s="53"/>
      <c r="I8300" s="53"/>
      <c r="U8300" s="31" t="n">
        <f aca="false">IF($B8300&lt;&gt;'設定（最初に1回）'!$C$4,N(U8299),IF(COUNTIFS(①今日の在庫を貼る!$B$6:$B$10005,$B8300,①今日の在庫を貼る!$I$6:$I$10005,$I8300)&gt;0,N(U8299),N(U8299)+1))</f>
        <v>2</v>
      </c>
    </row>
    <row r="8301" customFormat="false" ht="15" hidden="false" customHeight="false" outlineLevel="0" collapsed="false">
      <c r="B8301" s="53"/>
      <c r="I8301" s="53"/>
      <c r="U8301" s="31" t="n">
        <f aca="false">IF($B8301&lt;&gt;'設定（最初に1回）'!$C$4,N(U8300),IF(COUNTIFS(①今日の在庫を貼る!$B$6:$B$10005,$B8301,①今日の在庫を貼る!$I$6:$I$10005,$I8301)&gt;0,N(U8300),N(U8300)+1))</f>
        <v>2</v>
      </c>
    </row>
    <row r="8302" customFormat="false" ht="15" hidden="false" customHeight="false" outlineLevel="0" collapsed="false">
      <c r="B8302" s="53"/>
      <c r="I8302" s="53"/>
      <c r="U8302" s="31" t="n">
        <f aca="false">IF($B8302&lt;&gt;'設定（最初に1回）'!$C$4,N(U8301),IF(COUNTIFS(①今日の在庫を貼る!$B$6:$B$10005,$B8302,①今日の在庫を貼る!$I$6:$I$10005,$I8302)&gt;0,N(U8301),N(U8301)+1))</f>
        <v>2</v>
      </c>
    </row>
    <row r="8303" customFormat="false" ht="15" hidden="false" customHeight="false" outlineLevel="0" collapsed="false">
      <c r="B8303" s="53"/>
      <c r="I8303" s="53"/>
      <c r="U8303" s="31" t="n">
        <f aca="false">IF($B8303&lt;&gt;'設定（最初に1回）'!$C$4,N(U8302),IF(COUNTIFS(①今日の在庫を貼る!$B$6:$B$10005,$B8303,①今日の在庫を貼る!$I$6:$I$10005,$I8303)&gt;0,N(U8302),N(U8302)+1))</f>
        <v>2</v>
      </c>
    </row>
    <row r="8304" customFormat="false" ht="15" hidden="false" customHeight="false" outlineLevel="0" collapsed="false">
      <c r="B8304" s="53"/>
      <c r="I8304" s="53"/>
      <c r="U8304" s="31" t="n">
        <f aca="false">IF($B8304&lt;&gt;'設定（最初に1回）'!$C$4,N(U8303),IF(COUNTIFS(①今日の在庫を貼る!$B$6:$B$10005,$B8304,①今日の在庫を貼る!$I$6:$I$10005,$I8304)&gt;0,N(U8303),N(U8303)+1))</f>
        <v>2</v>
      </c>
    </row>
    <row r="8305" customFormat="false" ht="15" hidden="false" customHeight="false" outlineLevel="0" collapsed="false">
      <c r="B8305" s="53"/>
      <c r="I8305" s="53"/>
      <c r="U8305" s="31" t="n">
        <f aca="false">IF($B8305&lt;&gt;'設定（最初に1回）'!$C$4,N(U8304),IF(COUNTIFS(①今日の在庫を貼る!$B$6:$B$10005,$B8305,①今日の在庫を貼る!$I$6:$I$10005,$I8305)&gt;0,N(U8304),N(U8304)+1))</f>
        <v>2</v>
      </c>
    </row>
    <row r="8306" customFormat="false" ht="15" hidden="false" customHeight="false" outlineLevel="0" collapsed="false">
      <c r="B8306" s="53"/>
      <c r="I8306" s="53"/>
      <c r="U8306" s="31" t="n">
        <f aca="false">IF($B8306&lt;&gt;'設定（最初に1回）'!$C$4,N(U8305),IF(COUNTIFS(①今日の在庫を貼る!$B$6:$B$10005,$B8306,①今日の在庫を貼る!$I$6:$I$10005,$I8306)&gt;0,N(U8305),N(U8305)+1))</f>
        <v>2</v>
      </c>
    </row>
    <row r="8307" customFormat="false" ht="15" hidden="false" customHeight="false" outlineLevel="0" collapsed="false">
      <c r="B8307" s="53"/>
      <c r="I8307" s="53"/>
      <c r="U8307" s="31" t="n">
        <f aca="false">IF($B8307&lt;&gt;'設定（最初に1回）'!$C$4,N(U8306),IF(COUNTIFS(①今日の在庫を貼る!$B$6:$B$10005,$B8307,①今日の在庫を貼る!$I$6:$I$10005,$I8307)&gt;0,N(U8306),N(U8306)+1))</f>
        <v>2</v>
      </c>
    </row>
    <row r="8308" customFormat="false" ht="15" hidden="false" customHeight="false" outlineLevel="0" collapsed="false">
      <c r="B8308" s="53"/>
      <c r="I8308" s="53"/>
      <c r="U8308" s="31" t="n">
        <f aca="false">IF($B8308&lt;&gt;'設定（最初に1回）'!$C$4,N(U8307),IF(COUNTIFS(①今日の在庫を貼る!$B$6:$B$10005,$B8308,①今日の在庫を貼る!$I$6:$I$10005,$I8308)&gt;0,N(U8307),N(U8307)+1))</f>
        <v>2</v>
      </c>
    </row>
    <row r="8309" customFormat="false" ht="15" hidden="false" customHeight="false" outlineLevel="0" collapsed="false">
      <c r="B8309" s="53"/>
      <c r="I8309" s="53"/>
      <c r="U8309" s="31" t="n">
        <f aca="false">IF($B8309&lt;&gt;'設定（最初に1回）'!$C$4,N(U8308),IF(COUNTIFS(①今日の在庫を貼る!$B$6:$B$10005,$B8309,①今日の在庫を貼る!$I$6:$I$10005,$I8309)&gt;0,N(U8308),N(U8308)+1))</f>
        <v>2</v>
      </c>
    </row>
    <row r="8310" customFormat="false" ht="15" hidden="false" customHeight="false" outlineLevel="0" collapsed="false">
      <c r="B8310" s="53"/>
      <c r="I8310" s="53"/>
      <c r="U8310" s="31" t="n">
        <f aca="false">IF($B8310&lt;&gt;'設定（最初に1回）'!$C$4,N(U8309),IF(COUNTIFS(①今日の在庫を貼る!$B$6:$B$10005,$B8310,①今日の在庫を貼る!$I$6:$I$10005,$I8310)&gt;0,N(U8309),N(U8309)+1))</f>
        <v>2</v>
      </c>
    </row>
    <row r="8311" customFormat="false" ht="15" hidden="false" customHeight="false" outlineLevel="0" collapsed="false">
      <c r="B8311" s="53"/>
      <c r="I8311" s="53"/>
      <c r="U8311" s="31" t="n">
        <f aca="false">IF($B8311&lt;&gt;'設定（最初に1回）'!$C$4,N(U8310),IF(COUNTIFS(①今日の在庫を貼る!$B$6:$B$10005,$B8311,①今日の在庫を貼る!$I$6:$I$10005,$I8311)&gt;0,N(U8310),N(U8310)+1))</f>
        <v>2</v>
      </c>
    </row>
    <row r="8312" customFormat="false" ht="15" hidden="false" customHeight="false" outlineLevel="0" collapsed="false">
      <c r="B8312" s="53"/>
      <c r="I8312" s="53"/>
      <c r="U8312" s="31" t="n">
        <f aca="false">IF($B8312&lt;&gt;'設定（最初に1回）'!$C$4,N(U8311),IF(COUNTIFS(①今日の在庫を貼る!$B$6:$B$10005,$B8312,①今日の在庫を貼る!$I$6:$I$10005,$I8312)&gt;0,N(U8311),N(U8311)+1))</f>
        <v>2</v>
      </c>
    </row>
    <row r="8313" customFormat="false" ht="15" hidden="false" customHeight="false" outlineLevel="0" collapsed="false">
      <c r="B8313" s="53"/>
      <c r="I8313" s="53"/>
      <c r="U8313" s="31" t="n">
        <f aca="false">IF($B8313&lt;&gt;'設定（最初に1回）'!$C$4,N(U8312),IF(COUNTIFS(①今日の在庫を貼る!$B$6:$B$10005,$B8313,①今日の在庫を貼る!$I$6:$I$10005,$I8313)&gt;0,N(U8312),N(U8312)+1))</f>
        <v>2</v>
      </c>
    </row>
    <row r="8314" customFormat="false" ht="15" hidden="false" customHeight="false" outlineLevel="0" collapsed="false">
      <c r="B8314" s="53"/>
      <c r="I8314" s="53"/>
      <c r="U8314" s="31" t="n">
        <f aca="false">IF($B8314&lt;&gt;'設定（最初に1回）'!$C$4,N(U8313),IF(COUNTIFS(①今日の在庫を貼る!$B$6:$B$10005,$B8314,①今日の在庫を貼る!$I$6:$I$10005,$I8314)&gt;0,N(U8313),N(U8313)+1))</f>
        <v>2</v>
      </c>
    </row>
    <row r="8315" customFormat="false" ht="15" hidden="false" customHeight="false" outlineLevel="0" collapsed="false">
      <c r="B8315" s="53"/>
      <c r="I8315" s="53"/>
      <c r="U8315" s="31" t="n">
        <f aca="false">IF($B8315&lt;&gt;'設定（最初に1回）'!$C$4,N(U8314),IF(COUNTIFS(①今日の在庫を貼る!$B$6:$B$10005,$B8315,①今日の在庫を貼る!$I$6:$I$10005,$I8315)&gt;0,N(U8314),N(U8314)+1))</f>
        <v>2</v>
      </c>
    </row>
    <row r="8316" customFormat="false" ht="15" hidden="false" customHeight="false" outlineLevel="0" collapsed="false">
      <c r="B8316" s="53"/>
      <c r="I8316" s="53"/>
      <c r="U8316" s="31" t="n">
        <f aca="false">IF($B8316&lt;&gt;'設定（最初に1回）'!$C$4,N(U8315),IF(COUNTIFS(①今日の在庫を貼る!$B$6:$B$10005,$B8316,①今日の在庫を貼る!$I$6:$I$10005,$I8316)&gt;0,N(U8315),N(U8315)+1))</f>
        <v>2</v>
      </c>
    </row>
    <row r="8317" customFormat="false" ht="15" hidden="false" customHeight="false" outlineLevel="0" collapsed="false">
      <c r="B8317" s="53"/>
      <c r="I8317" s="53"/>
      <c r="U8317" s="31" t="n">
        <f aca="false">IF($B8317&lt;&gt;'設定（最初に1回）'!$C$4,N(U8316),IF(COUNTIFS(①今日の在庫を貼る!$B$6:$B$10005,$B8317,①今日の在庫を貼る!$I$6:$I$10005,$I8317)&gt;0,N(U8316),N(U8316)+1))</f>
        <v>2</v>
      </c>
    </row>
    <row r="8318" customFormat="false" ht="15" hidden="false" customHeight="false" outlineLevel="0" collapsed="false">
      <c r="B8318" s="53"/>
      <c r="I8318" s="53"/>
      <c r="U8318" s="31" t="n">
        <f aca="false">IF($B8318&lt;&gt;'設定（最初に1回）'!$C$4,N(U8317),IF(COUNTIFS(①今日の在庫を貼る!$B$6:$B$10005,$B8318,①今日の在庫を貼る!$I$6:$I$10005,$I8318)&gt;0,N(U8317),N(U8317)+1))</f>
        <v>2</v>
      </c>
    </row>
    <row r="8319" customFormat="false" ht="15" hidden="false" customHeight="false" outlineLevel="0" collapsed="false">
      <c r="B8319" s="53"/>
      <c r="I8319" s="53"/>
      <c r="U8319" s="31" t="n">
        <f aca="false">IF($B8319&lt;&gt;'設定（最初に1回）'!$C$4,N(U8318),IF(COUNTIFS(①今日の在庫を貼る!$B$6:$B$10005,$B8319,①今日の在庫を貼る!$I$6:$I$10005,$I8319)&gt;0,N(U8318),N(U8318)+1))</f>
        <v>2</v>
      </c>
    </row>
    <row r="8320" customFormat="false" ht="15" hidden="false" customHeight="false" outlineLevel="0" collapsed="false">
      <c r="B8320" s="53"/>
      <c r="I8320" s="53"/>
      <c r="U8320" s="31" t="n">
        <f aca="false">IF($B8320&lt;&gt;'設定（最初に1回）'!$C$4,N(U8319),IF(COUNTIFS(①今日の在庫を貼る!$B$6:$B$10005,$B8320,①今日の在庫を貼る!$I$6:$I$10005,$I8320)&gt;0,N(U8319),N(U8319)+1))</f>
        <v>2</v>
      </c>
    </row>
    <row r="8321" customFormat="false" ht="15" hidden="false" customHeight="false" outlineLevel="0" collapsed="false">
      <c r="B8321" s="53"/>
      <c r="I8321" s="53"/>
      <c r="U8321" s="31" t="n">
        <f aca="false">IF($B8321&lt;&gt;'設定（最初に1回）'!$C$4,N(U8320),IF(COUNTIFS(①今日の在庫を貼る!$B$6:$B$10005,$B8321,①今日の在庫を貼る!$I$6:$I$10005,$I8321)&gt;0,N(U8320),N(U8320)+1))</f>
        <v>2</v>
      </c>
    </row>
    <row r="8322" customFormat="false" ht="15" hidden="false" customHeight="false" outlineLevel="0" collapsed="false">
      <c r="B8322" s="53"/>
      <c r="I8322" s="53"/>
      <c r="U8322" s="31" t="n">
        <f aca="false">IF($B8322&lt;&gt;'設定（最初に1回）'!$C$4,N(U8321),IF(COUNTIFS(①今日の在庫を貼る!$B$6:$B$10005,$B8322,①今日の在庫を貼る!$I$6:$I$10005,$I8322)&gt;0,N(U8321),N(U8321)+1))</f>
        <v>2</v>
      </c>
    </row>
    <row r="8323" customFormat="false" ht="15" hidden="false" customHeight="false" outlineLevel="0" collapsed="false">
      <c r="B8323" s="53"/>
      <c r="I8323" s="53"/>
      <c r="U8323" s="31" t="n">
        <f aca="false">IF($B8323&lt;&gt;'設定（最初に1回）'!$C$4,N(U8322),IF(COUNTIFS(①今日の在庫を貼る!$B$6:$B$10005,$B8323,①今日の在庫を貼る!$I$6:$I$10005,$I8323)&gt;0,N(U8322),N(U8322)+1))</f>
        <v>2</v>
      </c>
    </row>
    <row r="8324" customFormat="false" ht="15" hidden="false" customHeight="false" outlineLevel="0" collapsed="false">
      <c r="B8324" s="53"/>
      <c r="I8324" s="53"/>
      <c r="U8324" s="31" t="n">
        <f aca="false">IF($B8324&lt;&gt;'設定（最初に1回）'!$C$4,N(U8323),IF(COUNTIFS(①今日の在庫を貼る!$B$6:$B$10005,$B8324,①今日の在庫を貼る!$I$6:$I$10005,$I8324)&gt;0,N(U8323),N(U8323)+1))</f>
        <v>2</v>
      </c>
    </row>
    <row r="8325" customFormat="false" ht="15" hidden="false" customHeight="false" outlineLevel="0" collapsed="false">
      <c r="B8325" s="53"/>
      <c r="I8325" s="53"/>
      <c r="U8325" s="31" t="n">
        <f aca="false">IF($B8325&lt;&gt;'設定（最初に1回）'!$C$4,N(U8324),IF(COUNTIFS(①今日の在庫を貼る!$B$6:$B$10005,$B8325,①今日の在庫を貼る!$I$6:$I$10005,$I8325)&gt;0,N(U8324),N(U8324)+1))</f>
        <v>2</v>
      </c>
    </row>
    <row r="8326" customFormat="false" ht="15" hidden="false" customHeight="false" outlineLevel="0" collapsed="false">
      <c r="B8326" s="53"/>
      <c r="I8326" s="53"/>
      <c r="U8326" s="31" t="n">
        <f aca="false">IF($B8326&lt;&gt;'設定（最初に1回）'!$C$4,N(U8325),IF(COUNTIFS(①今日の在庫を貼る!$B$6:$B$10005,$B8326,①今日の在庫を貼る!$I$6:$I$10005,$I8326)&gt;0,N(U8325),N(U8325)+1))</f>
        <v>2</v>
      </c>
    </row>
    <row r="8327" customFormat="false" ht="15" hidden="false" customHeight="false" outlineLevel="0" collapsed="false">
      <c r="B8327" s="53"/>
      <c r="I8327" s="53"/>
      <c r="U8327" s="31" t="n">
        <f aca="false">IF($B8327&lt;&gt;'設定（最初に1回）'!$C$4,N(U8326),IF(COUNTIFS(①今日の在庫を貼る!$B$6:$B$10005,$B8327,①今日の在庫を貼る!$I$6:$I$10005,$I8327)&gt;0,N(U8326),N(U8326)+1))</f>
        <v>2</v>
      </c>
    </row>
    <row r="8328" customFormat="false" ht="15" hidden="false" customHeight="false" outlineLevel="0" collapsed="false">
      <c r="B8328" s="53"/>
      <c r="I8328" s="53"/>
      <c r="U8328" s="31" t="n">
        <f aca="false">IF($B8328&lt;&gt;'設定（最初に1回）'!$C$4,N(U8327),IF(COUNTIFS(①今日の在庫を貼る!$B$6:$B$10005,$B8328,①今日の在庫を貼る!$I$6:$I$10005,$I8328)&gt;0,N(U8327),N(U8327)+1))</f>
        <v>2</v>
      </c>
    </row>
    <row r="8329" customFormat="false" ht="15" hidden="false" customHeight="false" outlineLevel="0" collapsed="false">
      <c r="B8329" s="53"/>
      <c r="I8329" s="53"/>
      <c r="U8329" s="31" t="n">
        <f aca="false">IF($B8329&lt;&gt;'設定（最初に1回）'!$C$4,N(U8328),IF(COUNTIFS(①今日の在庫を貼る!$B$6:$B$10005,$B8329,①今日の在庫を貼る!$I$6:$I$10005,$I8329)&gt;0,N(U8328),N(U8328)+1))</f>
        <v>2</v>
      </c>
    </row>
    <row r="8330" customFormat="false" ht="15" hidden="false" customHeight="false" outlineLevel="0" collapsed="false">
      <c r="B8330" s="53"/>
      <c r="I8330" s="53"/>
      <c r="U8330" s="31" t="n">
        <f aca="false">IF($B8330&lt;&gt;'設定（最初に1回）'!$C$4,N(U8329),IF(COUNTIFS(①今日の在庫を貼る!$B$6:$B$10005,$B8330,①今日の在庫を貼る!$I$6:$I$10005,$I8330)&gt;0,N(U8329),N(U8329)+1))</f>
        <v>2</v>
      </c>
    </row>
    <row r="8331" customFormat="false" ht="15" hidden="false" customHeight="false" outlineLevel="0" collapsed="false">
      <c r="B8331" s="53"/>
      <c r="I8331" s="53"/>
      <c r="U8331" s="31" t="n">
        <f aca="false">IF($B8331&lt;&gt;'設定（最初に1回）'!$C$4,N(U8330),IF(COUNTIFS(①今日の在庫を貼る!$B$6:$B$10005,$B8331,①今日の在庫を貼る!$I$6:$I$10005,$I8331)&gt;0,N(U8330),N(U8330)+1))</f>
        <v>2</v>
      </c>
    </row>
    <row r="8332" customFormat="false" ht="15" hidden="false" customHeight="false" outlineLevel="0" collapsed="false">
      <c r="B8332" s="53"/>
      <c r="I8332" s="53"/>
      <c r="U8332" s="31" t="n">
        <f aca="false">IF($B8332&lt;&gt;'設定（最初に1回）'!$C$4,N(U8331),IF(COUNTIFS(①今日の在庫を貼る!$B$6:$B$10005,$B8332,①今日の在庫を貼る!$I$6:$I$10005,$I8332)&gt;0,N(U8331),N(U8331)+1))</f>
        <v>2</v>
      </c>
    </row>
    <row r="8333" customFormat="false" ht="15" hidden="false" customHeight="false" outlineLevel="0" collapsed="false">
      <c r="B8333" s="53"/>
      <c r="I8333" s="53"/>
      <c r="U8333" s="31" t="n">
        <f aca="false">IF($B8333&lt;&gt;'設定（最初に1回）'!$C$4,N(U8332),IF(COUNTIFS(①今日の在庫を貼る!$B$6:$B$10005,$B8333,①今日の在庫を貼る!$I$6:$I$10005,$I8333)&gt;0,N(U8332),N(U8332)+1))</f>
        <v>2</v>
      </c>
    </row>
    <row r="8334" customFormat="false" ht="15" hidden="false" customHeight="false" outlineLevel="0" collapsed="false">
      <c r="B8334" s="53"/>
      <c r="I8334" s="53"/>
      <c r="U8334" s="31" t="n">
        <f aca="false">IF($B8334&lt;&gt;'設定（最初に1回）'!$C$4,N(U8333),IF(COUNTIFS(①今日の在庫を貼る!$B$6:$B$10005,$B8334,①今日の在庫を貼る!$I$6:$I$10005,$I8334)&gt;0,N(U8333),N(U8333)+1))</f>
        <v>2</v>
      </c>
    </row>
    <row r="8335" customFormat="false" ht="15" hidden="false" customHeight="false" outlineLevel="0" collapsed="false">
      <c r="B8335" s="53"/>
      <c r="I8335" s="53"/>
      <c r="U8335" s="31" t="n">
        <f aca="false">IF($B8335&lt;&gt;'設定（最初に1回）'!$C$4,N(U8334),IF(COUNTIFS(①今日の在庫を貼る!$B$6:$B$10005,$B8335,①今日の在庫を貼る!$I$6:$I$10005,$I8335)&gt;0,N(U8334),N(U8334)+1))</f>
        <v>2</v>
      </c>
    </row>
    <row r="8336" customFormat="false" ht="15" hidden="false" customHeight="false" outlineLevel="0" collapsed="false">
      <c r="B8336" s="53"/>
      <c r="I8336" s="53"/>
      <c r="U8336" s="31" t="n">
        <f aca="false">IF($B8336&lt;&gt;'設定（最初に1回）'!$C$4,N(U8335),IF(COUNTIFS(①今日の在庫を貼る!$B$6:$B$10005,$B8336,①今日の在庫を貼る!$I$6:$I$10005,$I8336)&gt;0,N(U8335),N(U8335)+1))</f>
        <v>2</v>
      </c>
    </row>
    <row r="8337" customFormat="false" ht="15" hidden="false" customHeight="false" outlineLevel="0" collapsed="false">
      <c r="B8337" s="53"/>
      <c r="I8337" s="53"/>
      <c r="U8337" s="31" t="n">
        <f aca="false">IF($B8337&lt;&gt;'設定（最初に1回）'!$C$4,N(U8336),IF(COUNTIFS(①今日の在庫を貼る!$B$6:$B$10005,$B8337,①今日の在庫を貼る!$I$6:$I$10005,$I8337)&gt;0,N(U8336),N(U8336)+1))</f>
        <v>2</v>
      </c>
    </row>
    <row r="8338" customFormat="false" ht="15" hidden="false" customHeight="false" outlineLevel="0" collapsed="false">
      <c r="B8338" s="53"/>
      <c r="I8338" s="53"/>
      <c r="U8338" s="31" t="n">
        <f aca="false">IF($B8338&lt;&gt;'設定（最初に1回）'!$C$4,N(U8337),IF(COUNTIFS(①今日の在庫を貼る!$B$6:$B$10005,$B8338,①今日の在庫を貼る!$I$6:$I$10005,$I8338)&gt;0,N(U8337),N(U8337)+1))</f>
        <v>2</v>
      </c>
    </row>
    <row r="8339" customFormat="false" ht="15" hidden="false" customHeight="false" outlineLevel="0" collapsed="false">
      <c r="B8339" s="53"/>
      <c r="I8339" s="53"/>
      <c r="U8339" s="31" t="n">
        <f aca="false">IF($B8339&lt;&gt;'設定（最初に1回）'!$C$4,N(U8338),IF(COUNTIFS(①今日の在庫を貼る!$B$6:$B$10005,$B8339,①今日の在庫を貼る!$I$6:$I$10005,$I8339)&gt;0,N(U8338),N(U8338)+1))</f>
        <v>2</v>
      </c>
    </row>
    <row r="8340" customFormat="false" ht="15" hidden="false" customHeight="false" outlineLevel="0" collapsed="false">
      <c r="B8340" s="53"/>
      <c r="I8340" s="53"/>
      <c r="U8340" s="31" t="n">
        <f aca="false">IF($B8340&lt;&gt;'設定（最初に1回）'!$C$4,N(U8339),IF(COUNTIFS(①今日の在庫を貼る!$B$6:$B$10005,$B8340,①今日の在庫を貼る!$I$6:$I$10005,$I8340)&gt;0,N(U8339),N(U8339)+1))</f>
        <v>2</v>
      </c>
    </row>
    <row r="8341" customFormat="false" ht="15" hidden="false" customHeight="false" outlineLevel="0" collapsed="false">
      <c r="B8341" s="53"/>
      <c r="I8341" s="53"/>
      <c r="U8341" s="31" t="n">
        <f aca="false">IF($B8341&lt;&gt;'設定（最初に1回）'!$C$4,N(U8340),IF(COUNTIFS(①今日の在庫を貼る!$B$6:$B$10005,$B8341,①今日の在庫を貼る!$I$6:$I$10005,$I8341)&gt;0,N(U8340),N(U8340)+1))</f>
        <v>2</v>
      </c>
    </row>
    <row r="8342" customFormat="false" ht="15" hidden="false" customHeight="false" outlineLevel="0" collapsed="false">
      <c r="B8342" s="53"/>
      <c r="I8342" s="53"/>
      <c r="U8342" s="31" t="n">
        <f aca="false">IF($B8342&lt;&gt;'設定（最初に1回）'!$C$4,N(U8341),IF(COUNTIFS(①今日の在庫を貼る!$B$6:$B$10005,$B8342,①今日の在庫を貼る!$I$6:$I$10005,$I8342)&gt;0,N(U8341),N(U8341)+1))</f>
        <v>2</v>
      </c>
    </row>
    <row r="8343" customFormat="false" ht="15" hidden="false" customHeight="false" outlineLevel="0" collapsed="false">
      <c r="B8343" s="53"/>
      <c r="I8343" s="53"/>
      <c r="U8343" s="31" t="n">
        <f aca="false">IF($B8343&lt;&gt;'設定（最初に1回）'!$C$4,N(U8342),IF(COUNTIFS(①今日の在庫を貼る!$B$6:$B$10005,$B8343,①今日の在庫を貼る!$I$6:$I$10005,$I8343)&gt;0,N(U8342),N(U8342)+1))</f>
        <v>2</v>
      </c>
    </row>
    <row r="8344" customFormat="false" ht="15" hidden="false" customHeight="false" outlineLevel="0" collapsed="false">
      <c r="B8344" s="53"/>
      <c r="I8344" s="53"/>
      <c r="U8344" s="31" t="n">
        <f aca="false">IF($B8344&lt;&gt;'設定（最初に1回）'!$C$4,N(U8343),IF(COUNTIFS(①今日の在庫を貼る!$B$6:$B$10005,$B8344,①今日の在庫を貼る!$I$6:$I$10005,$I8344)&gt;0,N(U8343),N(U8343)+1))</f>
        <v>2</v>
      </c>
    </row>
    <row r="8345" customFormat="false" ht="15" hidden="false" customHeight="false" outlineLevel="0" collapsed="false">
      <c r="B8345" s="53"/>
      <c r="I8345" s="53"/>
      <c r="U8345" s="31" t="n">
        <f aca="false">IF($B8345&lt;&gt;'設定（最初に1回）'!$C$4,N(U8344),IF(COUNTIFS(①今日の在庫を貼る!$B$6:$B$10005,$B8345,①今日の在庫を貼る!$I$6:$I$10005,$I8345)&gt;0,N(U8344),N(U8344)+1))</f>
        <v>2</v>
      </c>
    </row>
    <row r="8346" customFormat="false" ht="15" hidden="false" customHeight="false" outlineLevel="0" collapsed="false">
      <c r="B8346" s="53"/>
      <c r="I8346" s="53"/>
      <c r="U8346" s="31" t="n">
        <f aca="false">IF($B8346&lt;&gt;'設定（最初に1回）'!$C$4,N(U8345),IF(COUNTIFS(①今日の在庫を貼る!$B$6:$B$10005,$B8346,①今日の在庫を貼る!$I$6:$I$10005,$I8346)&gt;0,N(U8345),N(U8345)+1))</f>
        <v>2</v>
      </c>
    </row>
    <row r="8347" customFormat="false" ht="15" hidden="false" customHeight="false" outlineLevel="0" collapsed="false">
      <c r="B8347" s="53"/>
      <c r="I8347" s="53"/>
      <c r="U8347" s="31" t="n">
        <f aca="false">IF($B8347&lt;&gt;'設定（最初に1回）'!$C$4,N(U8346),IF(COUNTIFS(①今日の在庫を貼る!$B$6:$B$10005,$B8347,①今日の在庫を貼る!$I$6:$I$10005,$I8347)&gt;0,N(U8346),N(U8346)+1))</f>
        <v>2</v>
      </c>
    </row>
    <row r="8348" customFormat="false" ht="15" hidden="false" customHeight="false" outlineLevel="0" collapsed="false">
      <c r="B8348" s="53"/>
      <c r="I8348" s="53"/>
      <c r="U8348" s="31" t="n">
        <f aca="false">IF($B8348&lt;&gt;'設定（最初に1回）'!$C$4,N(U8347),IF(COUNTIFS(①今日の在庫を貼る!$B$6:$B$10005,$B8348,①今日の在庫を貼る!$I$6:$I$10005,$I8348)&gt;0,N(U8347),N(U8347)+1))</f>
        <v>2</v>
      </c>
    </row>
    <row r="8349" customFormat="false" ht="15" hidden="false" customHeight="false" outlineLevel="0" collapsed="false">
      <c r="B8349" s="53"/>
      <c r="I8349" s="53"/>
      <c r="U8349" s="31" t="n">
        <f aca="false">IF($B8349&lt;&gt;'設定（最初に1回）'!$C$4,N(U8348),IF(COUNTIFS(①今日の在庫を貼る!$B$6:$B$10005,$B8349,①今日の在庫を貼る!$I$6:$I$10005,$I8349)&gt;0,N(U8348),N(U8348)+1))</f>
        <v>2</v>
      </c>
    </row>
    <row r="8350" customFormat="false" ht="15" hidden="false" customHeight="false" outlineLevel="0" collapsed="false">
      <c r="B8350" s="53"/>
      <c r="I8350" s="53"/>
      <c r="U8350" s="31" t="n">
        <f aca="false">IF($B8350&lt;&gt;'設定（最初に1回）'!$C$4,N(U8349),IF(COUNTIFS(①今日の在庫を貼る!$B$6:$B$10005,$B8350,①今日の在庫を貼る!$I$6:$I$10005,$I8350)&gt;0,N(U8349),N(U8349)+1))</f>
        <v>2</v>
      </c>
    </row>
    <row r="8351" customFormat="false" ht="15" hidden="false" customHeight="false" outlineLevel="0" collapsed="false">
      <c r="B8351" s="53"/>
      <c r="I8351" s="53"/>
      <c r="U8351" s="31" t="n">
        <f aca="false">IF($B8351&lt;&gt;'設定（最初に1回）'!$C$4,N(U8350),IF(COUNTIFS(①今日の在庫を貼る!$B$6:$B$10005,$B8351,①今日の在庫を貼る!$I$6:$I$10005,$I8351)&gt;0,N(U8350),N(U8350)+1))</f>
        <v>2</v>
      </c>
    </row>
    <row r="8352" customFormat="false" ht="15" hidden="false" customHeight="false" outlineLevel="0" collapsed="false">
      <c r="B8352" s="53"/>
      <c r="I8352" s="53"/>
      <c r="U8352" s="31" t="n">
        <f aca="false">IF($B8352&lt;&gt;'設定（最初に1回）'!$C$4,N(U8351),IF(COUNTIFS(①今日の在庫を貼る!$B$6:$B$10005,$B8352,①今日の在庫を貼る!$I$6:$I$10005,$I8352)&gt;0,N(U8351),N(U8351)+1))</f>
        <v>2</v>
      </c>
    </row>
    <row r="8353" customFormat="false" ht="15" hidden="false" customHeight="false" outlineLevel="0" collapsed="false">
      <c r="B8353" s="53"/>
      <c r="I8353" s="53"/>
      <c r="U8353" s="31" t="n">
        <f aca="false">IF($B8353&lt;&gt;'設定（最初に1回）'!$C$4,N(U8352),IF(COUNTIFS(①今日の在庫を貼る!$B$6:$B$10005,$B8353,①今日の在庫を貼る!$I$6:$I$10005,$I8353)&gt;0,N(U8352),N(U8352)+1))</f>
        <v>2</v>
      </c>
    </row>
    <row r="8354" customFormat="false" ht="15" hidden="false" customHeight="false" outlineLevel="0" collapsed="false">
      <c r="B8354" s="53"/>
      <c r="I8354" s="53"/>
      <c r="U8354" s="31" t="n">
        <f aca="false">IF($B8354&lt;&gt;'設定（最初に1回）'!$C$4,N(U8353),IF(COUNTIFS(①今日の在庫を貼る!$B$6:$B$10005,$B8354,①今日の在庫を貼る!$I$6:$I$10005,$I8354)&gt;0,N(U8353),N(U8353)+1))</f>
        <v>2</v>
      </c>
    </row>
    <row r="8355" customFormat="false" ht="15" hidden="false" customHeight="false" outlineLevel="0" collapsed="false">
      <c r="B8355" s="53"/>
      <c r="I8355" s="53"/>
      <c r="U8355" s="31" t="n">
        <f aca="false">IF($B8355&lt;&gt;'設定（最初に1回）'!$C$4,N(U8354),IF(COUNTIFS(①今日の在庫を貼る!$B$6:$B$10005,$B8355,①今日の在庫を貼る!$I$6:$I$10005,$I8355)&gt;0,N(U8354),N(U8354)+1))</f>
        <v>2</v>
      </c>
    </row>
    <row r="8356" customFormat="false" ht="15" hidden="false" customHeight="false" outlineLevel="0" collapsed="false">
      <c r="B8356" s="53"/>
      <c r="I8356" s="53"/>
      <c r="U8356" s="31" t="n">
        <f aca="false">IF($B8356&lt;&gt;'設定（最初に1回）'!$C$4,N(U8355),IF(COUNTIFS(①今日の在庫を貼る!$B$6:$B$10005,$B8356,①今日の在庫を貼る!$I$6:$I$10005,$I8356)&gt;0,N(U8355),N(U8355)+1))</f>
        <v>2</v>
      </c>
    </row>
    <row r="8357" customFormat="false" ht="15" hidden="false" customHeight="false" outlineLevel="0" collapsed="false">
      <c r="B8357" s="53"/>
      <c r="I8357" s="53"/>
      <c r="U8357" s="31" t="n">
        <f aca="false">IF($B8357&lt;&gt;'設定（最初に1回）'!$C$4,N(U8356),IF(COUNTIFS(①今日の在庫を貼る!$B$6:$B$10005,$B8357,①今日の在庫を貼る!$I$6:$I$10005,$I8357)&gt;0,N(U8356),N(U8356)+1))</f>
        <v>2</v>
      </c>
    </row>
    <row r="8358" customFormat="false" ht="15" hidden="false" customHeight="false" outlineLevel="0" collapsed="false">
      <c r="B8358" s="53"/>
      <c r="I8358" s="53"/>
      <c r="U8358" s="31" t="n">
        <f aca="false">IF($B8358&lt;&gt;'設定（最初に1回）'!$C$4,N(U8357),IF(COUNTIFS(①今日の在庫を貼る!$B$6:$B$10005,$B8358,①今日の在庫を貼る!$I$6:$I$10005,$I8358)&gt;0,N(U8357),N(U8357)+1))</f>
        <v>2</v>
      </c>
    </row>
    <row r="8359" customFormat="false" ht="15" hidden="false" customHeight="false" outlineLevel="0" collapsed="false">
      <c r="B8359" s="53"/>
      <c r="I8359" s="53"/>
      <c r="U8359" s="31" t="n">
        <f aca="false">IF($B8359&lt;&gt;'設定（最初に1回）'!$C$4,N(U8358),IF(COUNTIFS(①今日の在庫を貼る!$B$6:$B$10005,$B8359,①今日の在庫を貼る!$I$6:$I$10005,$I8359)&gt;0,N(U8358),N(U8358)+1))</f>
        <v>2</v>
      </c>
    </row>
    <row r="8360" customFormat="false" ht="15" hidden="false" customHeight="false" outlineLevel="0" collapsed="false">
      <c r="B8360" s="53"/>
      <c r="I8360" s="53"/>
      <c r="U8360" s="31" t="n">
        <f aca="false">IF($B8360&lt;&gt;'設定（最初に1回）'!$C$4,N(U8359),IF(COUNTIFS(①今日の在庫を貼る!$B$6:$B$10005,$B8360,①今日の在庫を貼る!$I$6:$I$10005,$I8360)&gt;0,N(U8359),N(U8359)+1))</f>
        <v>2</v>
      </c>
    </row>
    <row r="8361" customFormat="false" ht="15" hidden="false" customHeight="false" outlineLevel="0" collapsed="false">
      <c r="B8361" s="53"/>
      <c r="I8361" s="53"/>
      <c r="U8361" s="31" t="n">
        <f aca="false">IF($B8361&lt;&gt;'設定（最初に1回）'!$C$4,N(U8360),IF(COUNTIFS(①今日の在庫を貼る!$B$6:$B$10005,$B8361,①今日の在庫を貼る!$I$6:$I$10005,$I8361)&gt;0,N(U8360),N(U8360)+1))</f>
        <v>2</v>
      </c>
    </row>
    <row r="8362" customFormat="false" ht="15" hidden="false" customHeight="false" outlineLevel="0" collapsed="false">
      <c r="B8362" s="53"/>
      <c r="I8362" s="53"/>
      <c r="U8362" s="31" t="n">
        <f aca="false">IF($B8362&lt;&gt;'設定（最初に1回）'!$C$4,N(U8361),IF(COUNTIFS(①今日の在庫を貼る!$B$6:$B$10005,$B8362,①今日の在庫を貼る!$I$6:$I$10005,$I8362)&gt;0,N(U8361),N(U8361)+1))</f>
        <v>2</v>
      </c>
    </row>
    <row r="8363" customFormat="false" ht="15" hidden="false" customHeight="false" outlineLevel="0" collapsed="false">
      <c r="B8363" s="53"/>
      <c r="I8363" s="53"/>
      <c r="U8363" s="31" t="n">
        <f aca="false">IF($B8363&lt;&gt;'設定（最初に1回）'!$C$4,N(U8362),IF(COUNTIFS(①今日の在庫を貼る!$B$6:$B$10005,$B8363,①今日の在庫を貼る!$I$6:$I$10005,$I8363)&gt;0,N(U8362),N(U8362)+1))</f>
        <v>2</v>
      </c>
    </row>
    <row r="8364" customFormat="false" ht="15" hidden="false" customHeight="false" outlineLevel="0" collapsed="false">
      <c r="B8364" s="53"/>
      <c r="I8364" s="53"/>
      <c r="U8364" s="31" t="n">
        <f aca="false">IF($B8364&lt;&gt;'設定（最初に1回）'!$C$4,N(U8363),IF(COUNTIFS(①今日の在庫を貼る!$B$6:$B$10005,$B8364,①今日の在庫を貼る!$I$6:$I$10005,$I8364)&gt;0,N(U8363),N(U8363)+1))</f>
        <v>2</v>
      </c>
    </row>
    <row r="8365" customFormat="false" ht="15" hidden="false" customHeight="false" outlineLevel="0" collapsed="false">
      <c r="B8365" s="53"/>
      <c r="I8365" s="53"/>
      <c r="U8365" s="31" t="n">
        <f aca="false">IF($B8365&lt;&gt;'設定（最初に1回）'!$C$4,N(U8364),IF(COUNTIFS(①今日の在庫を貼る!$B$6:$B$10005,$B8365,①今日の在庫を貼る!$I$6:$I$10005,$I8365)&gt;0,N(U8364),N(U8364)+1))</f>
        <v>2</v>
      </c>
    </row>
    <row r="8366" customFormat="false" ht="15" hidden="false" customHeight="false" outlineLevel="0" collapsed="false">
      <c r="B8366" s="53"/>
      <c r="I8366" s="53"/>
      <c r="U8366" s="31" t="n">
        <f aca="false">IF($B8366&lt;&gt;'設定（最初に1回）'!$C$4,N(U8365),IF(COUNTIFS(①今日の在庫を貼る!$B$6:$B$10005,$B8366,①今日の在庫を貼る!$I$6:$I$10005,$I8366)&gt;0,N(U8365),N(U8365)+1))</f>
        <v>2</v>
      </c>
    </row>
    <row r="8367" customFormat="false" ht="15" hidden="false" customHeight="false" outlineLevel="0" collapsed="false">
      <c r="B8367" s="53"/>
      <c r="I8367" s="53"/>
      <c r="U8367" s="31" t="n">
        <f aca="false">IF($B8367&lt;&gt;'設定（最初に1回）'!$C$4,N(U8366),IF(COUNTIFS(①今日の在庫を貼る!$B$6:$B$10005,$B8367,①今日の在庫を貼る!$I$6:$I$10005,$I8367)&gt;0,N(U8366),N(U8366)+1))</f>
        <v>2</v>
      </c>
    </row>
    <row r="8368" customFormat="false" ht="15" hidden="false" customHeight="false" outlineLevel="0" collapsed="false">
      <c r="B8368" s="53"/>
      <c r="I8368" s="53"/>
      <c r="U8368" s="31" t="n">
        <f aca="false">IF($B8368&lt;&gt;'設定（最初に1回）'!$C$4,N(U8367),IF(COUNTIFS(①今日の在庫を貼る!$B$6:$B$10005,$B8368,①今日の在庫を貼る!$I$6:$I$10005,$I8368)&gt;0,N(U8367),N(U8367)+1))</f>
        <v>2</v>
      </c>
    </row>
    <row r="8369" customFormat="false" ht="15" hidden="false" customHeight="false" outlineLevel="0" collapsed="false">
      <c r="B8369" s="53"/>
      <c r="I8369" s="53"/>
      <c r="U8369" s="31" t="n">
        <f aca="false">IF($B8369&lt;&gt;'設定（最初に1回）'!$C$4,N(U8368),IF(COUNTIFS(①今日の在庫を貼る!$B$6:$B$10005,$B8369,①今日の在庫を貼る!$I$6:$I$10005,$I8369)&gt;0,N(U8368),N(U8368)+1))</f>
        <v>2</v>
      </c>
    </row>
    <row r="8370" customFormat="false" ht="15" hidden="false" customHeight="false" outlineLevel="0" collapsed="false">
      <c r="B8370" s="53"/>
      <c r="I8370" s="53"/>
      <c r="U8370" s="31" t="n">
        <f aca="false">IF($B8370&lt;&gt;'設定（最初に1回）'!$C$4,N(U8369),IF(COUNTIFS(①今日の在庫を貼る!$B$6:$B$10005,$B8370,①今日の在庫を貼る!$I$6:$I$10005,$I8370)&gt;0,N(U8369),N(U8369)+1))</f>
        <v>2</v>
      </c>
    </row>
    <row r="8371" customFormat="false" ht="15" hidden="false" customHeight="false" outlineLevel="0" collapsed="false">
      <c r="B8371" s="53"/>
      <c r="I8371" s="53"/>
      <c r="U8371" s="31" t="n">
        <f aca="false">IF($B8371&lt;&gt;'設定（最初に1回）'!$C$4,N(U8370),IF(COUNTIFS(①今日の在庫を貼る!$B$6:$B$10005,$B8371,①今日の在庫を貼る!$I$6:$I$10005,$I8371)&gt;0,N(U8370),N(U8370)+1))</f>
        <v>2</v>
      </c>
    </row>
    <row r="8372" customFormat="false" ht="15" hidden="false" customHeight="false" outlineLevel="0" collapsed="false">
      <c r="B8372" s="53"/>
      <c r="I8372" s="53"/>
      <c r="U8372" s="31" t="n">
        <f aca="false">IF($B8372&lt;&gt;'設定（最初に1回）'!$C$4,N(U8371),IF(COUNTIFS(①今日の在庫を貼る!$B$6:$B$10005,$B8372,①今日の在庫を貼る!$I$6:$I$10005,$I8372)&gt;0,N(U8371),N(U8371)+1))</f>
        <v>2</v>
      </c>
    </row>
    <row r="8373" customFormat="false" ht="15" hidden="false" customHeight="false" outlineLevel="0" collapsed="false">
      <c r="B8373" s="53"/>
      <c r="I8373" s="53"/>
      <c r="U8373" s="31" t="n">
        <f aca="false">IF($B8373&lt;&gt;'設定（最初に1回）'!$C$4,N(U8372),IF(COUNTIFS(①今日の在庫を貼る!$B$6:$B$10005,$B8373,①今日の在庫を貼る!$I$6:$I$10005,$I8373)&gt;0,N(U8372),N(U8372)+1))</f>
        <v>2</v>
      </c>
    </row>
    <row r="8374" customFormat="false" ht="15" hidden="false" customHeight="false" outlineLevel="0" collapsed="false">
      <c r="B8374" s="53"/>
      <c r="I8374" s="53"/>
      <c r="U8374" s="31" t="n">
        <f aca="false">IF($B8374&lt;&gt;'設定（最初に1回）'!$C$4,N(U8373),IF(COUNTIFS(①今日の在庫を貼る!$B$6:$B$10005,$B8374,①今日の在庫を貼る!$I$6:$I$10005,$I8374)&gt;0,N(U8373),N(U8373)+1))</f>
        <v>2</v>
      </c>
    </row>
    <row r="8375" customFormat="false" ht="15" hidden="false" customHeight="false" outlineLevel="0" collapsed="false">
      <c r="B8375" s="53"/>
      <c r="I8375" s="53"/>
      <c r="U8375" s="31" t="n">
        <f aca="false">IF($B8375&lt;&gt;'設定（最初に1回）'!$C$4,N(U8374),IF(COUNTIFS(①今日の在庫を貼る!$B$6:$B$10005,$B8375,①今日の在庫を貼る!$I$6:$I$10005,$I8375)&gt;0,N(U8374),N(U8374)+1))</f>
        <v>2</v>
      </c>
    </row>
    <row r="8376" customFormat="false" ht="15" hidden="false" customHeight="false" outlineLevel="0" collapsed="false">
      <c r="B8376" s="53"/>
      <c r="I8376" s="53"/>
      <c r="U8376" s="31" t="n">
        <f aca="false">IF($B8376&lt;&gt;'設定（最初に1回）'!$C$4,N(U8375),IF(COUNTIFS(①今日の在庫を貼る!$B$6:$B$10005,$B8376,①今日の在庫を貼る!$I$6:$I$10005,$I8376)&gt;0,N(U8375),N(U8375)+1))</f>
        <v>2</v>
      </c>
    </row>
    <row r="8377" customFormat="false" ht="15" hidden="false" customHeight="false" outlineLevel="0" collapsed="false">
      <c r="B8377" s="53"/>
      <c r="I8377" s="53"/>
      <c r="U8377" s="31" t="n">
        <f aca="false">IF($B8377&lt;&gt;'設定（最初に1回）'!$C$4,N(U8376),IF(COUNTIFS(①今日の在庫を貼る!$B$6:$B$10005,$B8377,①今日の在庫を貼る!$I$6:$I$10005,$I8377)&gt;0,N(U8376),N(U8376)+1))</f>
        <v>2</v>
      </c>
    </row>
    <row r="8378" customFormat="false" ht="15" hidden="false" customHeight="false" outlineLevel="0" collapsed="false">
      <c r="B8378" s="53"/>
      <c r="I8378" s="53"/>
      <c r="U8378" s="31" t="n">
        <f aca="false">IF($B8378&lt;&gt;'設定（最初に1回）'!$C$4,N(U8377),IF(COUNTIFS(①今日の在庫を貼る!$B$6:$B$10005,$B8378,①今日の在庫を貼る!$I$6:$I$10005,$I8378)&gt;0,N(U8377),N(U8377)+1))</f>
        <v>2</v>
      </c>
    </row>
    <row r="8379" customFormat="false" ht="15" hidden="false" customHeight="false" outlineLevel="0" collapsed="false">
      <c r="B8379" s="53"/>
      <c r="I8379" s="53"/>
      <c r="U8379" s="31" t="n">
        <f aca="false">IF($B8379&lt;&gt;'設定（最初に1回）'!$C$4,N(U8378),IF(COUNTIFS(①今日の在庫を貼る!$B$6:$B$10005,$B8379,①今日の在庫を貼る!$I$6:$I$10005,$I8379)&gt;0,N(U8378),N(U8378)+1))</f>
        <v>2</v>
      </c>
    </row>
    <row r="8380" customFormat="false" ht="15" hidden="false" customHeight="false" outlineLevel="0" collapsed="false">
      <c r="B8380" s="53"/>
      <c r="I8380" s="53"/>
      <c r="U8380" s="31" t="n">
        <f aca="false">IF($B8380&lt;&gt;'設定（最初に1回）'!$C$4,N(U8379),IF(COUNTIFS(①今日の在庫を貼る!$B$6:$B$10005,$B8380,①今日の在庫を貼る!$I$6:$I$10005,$I8380)&gt;0,N(U8379),N(U8379)+1))</f>
        <v>2</v>
      </c>
    </row>
    <row r="8381" customFormat="false" ht="15" hidden="false" customHeight="false" outlineLevel="0" collapsed="false">
      <c r="B8381" s="53"/>
      <c r="I8381" s="53"/>
      <c r="U8381" s="31" t="n">
        <f aca="false">IF($B8381&lt;&gt;'設定（最初に1回）'!$C$4,N(U8380),IF(COUNTIFS(①今日の在庫を貼る!$B$6:$B$10005,$B8381,①今日の在庫を貼る!$I$6:$I$10005,$I8381)&gt;0,N(U8380),N(U8380)+1))</f>
        <v>2</v>
      </c>
    </row>
    <row r="8382" customFormat="false" ht="15" hidden="false" customHeight="false" outlineLevel="0" collapsed="false">
      <c r="B8382" s="53"/>
      <c r="I8382" s="53"/>
      <c r="U8382" s="31" t="n">
        <f aca="false">IF($B8382&lt;&gt;'設定（最初に1回）'!$C$4,N(U8381),IF(COUNTIFS(①今日の在庫を貼る!$B$6:$B$10005,$B8382,①今日の在庫を貼る!$I$6:$I$10005,$I8382)&gt;0,N(U8381),N(U8381)+1))</f>
        <v>2</v>
      </c>
    </row>
    <row r="8383" customFormat="false" ht="15" hidden="false" customHeight="false" outlineLevel="0" collapsed="false">
      <c r="B8383" s="53"/>
      <c r="I8383" s="53"/>
      <c r="U8383" s="31" t="n">
        <f aca="false">IF($B8383&lt;&gt;'設定（最初に1回）'!$C$4,N(U8382),IF(COUNTIFS(①今日の在庫を貼る!$B$6:$B$10005,$B8383,①今日の在庫を貼る!$I$6:$I$10005,$I8383)&gt;0,N(U8382),N(U8382)+1))</f>
        <v>2</v>
      </c>
    </row>
    <row r="8384" customFormat="false" ht="15" hidden="false" customHeight="false" outlineLevel="0" collapsed="false">
      <c r="B8384" s="53"/>
      <c r="I8384" s="53"/>
      <c r="U8384" s="31" t="n">
        <f aca="false">IF($B8384&lt;&gt;'設定（最初に1回）'!$C$4,N(U8383),IF(COUNTIFS(①今日の在庫を貼る!$B$6:$B$10005,$B8384,①今日の在庫を貼る!$I$6:$I$10005,$I8384)&gt;0,N(U8383),N(U8383)+1))</f>
        <v>2</v>
      </c>
    </row>
    <row r="8385" customFormat="false" ht="15" hidden="false" customHeight="false" outlineLevel="0" collapsed="false">
      <c r="B8385" s="53"/>
      <c r="I8385" s="53"/>
      <c r="U8385" s="31" t="n">
        <f aca="false">IF($B8385&lt;&gt;'設定（最初に1回）'!$C$4,N(U8384),IF(COUNTIFS(①今日の在庫を貼る!$B$6:$B$10005,$B8385,①今日の在庫を貼る!$I$6:$I$10005,$I8385)&gt;0,N(U8384),N(U8384)+1))</f>
        <v>2</v>
      </c>
    </row>
    <row r="8386" customFormat="false" ht="15" hidden="false" customHeight="false" outlineLevel="0" collapsed="false">
      <c r="B8386" s="53"/>
      <c r="I8386" s="53"/>
      <c r="U8386" s="31" t="n">
        <f aca="false">IF($B8386&lt;&gt;'設定（最初に1回）'!$C$4,N(U8385),IF(COUNTIFS(①今日の在庫を貼る!$B$6:$B$10005,$B8386,①今日の在庫を貼る!$I$6:$I$10005,$I8386)&gt;0,N(U8385),N(U8385)+1))</f>
        <v>2</v>
      </c>
    </row>
    <row r="8387" customFormat="false" ht="15" hidden="false" customHeight="false" outlineLevel="0" collapsed="false">
      <c r="B8387" s="53"/>
      <c r="I8387" s="53"/>
      <c r="U8387" s="31" t="n">
        <f aca="false">IF($B8387&lt;&gt;'設定（最初に1回）'!$C$4,N(U8386),IF(COUNTIFS(①今日の在庫を貼る!$B$6:$B$10005,$B8387,①今日の在庫を貼る!$I$6:$I$10005,$I8387)&gt;0,N(U8386),N(U8386)+1))</f>
        <v>2</v>
      </c>
    </row>
    <row r="8388" customFormat="false" ht="15" hidden="false" customHeight="false" outlineLevel="0" collapsed="false">
      <c r="B8388" s="53"/>
      <c r="I8388" s="53"/>
      <c r="U8388" s="31" t="n">
        <f aca="false">IF($B8388&lt;&gt;'設定（最初に1回）'!$C$4,N(U8387),IF(COUNTIFS(①今日の在庫を貼る!$B$6:$B$10005,$B8388,①今日の在庫を貼る!$I$6:$I$10005,$I8388)&gt;0,N(U8387),N(U8387)+1))</f>
        <v>2</v>
      </c>
    </row>
    <row r="8389" customFormat="false" ht="15" hidden="false" customHeight="false" outlineLevel="0" collapsed="false">
      <c r="B8389" s="53"/>
      <c r="I8389" s="53"/>
      <c r="U8389" s="31" t="n">
        <f aca="false">IF($B8389&lt;&gt;'設定（最初に1回）'!$C$4,N(U8388),IF(COUNTIFS(①今日の在庫を貼る!$B$6:$B$10005,$B8389,①今日の在庫を貼る!$I$6:$I$10005,$I8389)&gt;0,N(U8388),N(U8388)+1))</f>
        <v>2</v>
      </c>
    </row>
    <row r="8390" customFormat="false" ht="15" hidden="false" customHeight="false" outlineLevel="0" collapsed="false">
      <c r="B8390" s="53"/>
      <c r="I8390" s="53"/>
      <c r="U8390" s="31" t="n">
        <f aca="false">IF($B8390&lt;&gt;'設定（最初に1回）'!$C$4,N(U8389),IF(COUNTIFS(①今日の在庫を貼る!$B$6:$B$10005,$B8390,①今日の在庫を貼る!$I$6:$I$10005,$I8390)&gt;0,N(U8389),N(U8389)+1))</f>
        <v>2</v>
      </c>
    </row>
    <row r="8391" customFormat="false" ht="15" hidden="false" customHeight="false" outlineLevel="0" collapsed="false">
      <c r="B8391" s="53"/>
      <c r="I8391" s="53"/>
      <c r="U8391" s="31" t="n">
        <f aca="false">IF($B8391&lt;&gt;'設定（最初に1回）'!$C$4,N(U8390),IF(COUNTIFS(①今日の在庫を貼る!$B$6:$B$10005,$B8391,①今日の在庫を貼る!$I$6:$I$10005,$I8391)&gt;0,N(U8390),N(U8390)+1))</f>
        <v>2</v>
      </c>
    </row>
    <row r="8392" customFormat="false" ht="15" hidden="false" customHeight="false" outlineLevel="0" collapsed="false">
      <c r="B8392" s="53"/>
      <c r="I8392" s="53"/>
      <c r="U8392" s="31" t="n">
        <f aca="false">IF($B8392&lt;&gt;'設定（最初に1回）'!$C$4,N(U8391),IF(COUNTIFS(①今日の在庫を貼る!$B$6:$B$10005,$B8392,①今日の在庫を貼る!$I$6:$I$10005,$I8392)&gt;0,N(U8391),N(U8391)+1))</f>
        <v>2</v>
      </c>
    </row>
    <row r="8393" customFormat="false" ht="15" hidden="false" customHeight="false" outlineLevel="0" collapsed="false">
      <c r="B8393" s="53"/>
      <c r="I8393" s="53"/>
      <c r="U8393" s="31" t="n">
        <f aca="false">IF($B8393&lt;&gt;'設定（最初に1回）'!$C$4,N(U8392),IF(COUNTIFS(①今日の在庫を貼る!$B$6:$B$10005,$B8393,①今日の在庫を貼る!$I$6:$I$10005,$I8393)&gt;0,N(U8392),N(U8392)+1))</f>
        <v>2</v>
      </c>
    </row>
    <row r="8394" customFormat="false" ht="15" hidden="false" customHeight="false" outlineLevel="0" collapsed="false">
      <c r="B8394" s="53"/>
      <c r="I8394" s="53"/>
      <c r="U8394" s="31" t="n">
        <f aca="false">IF($B8394&lt;&gt;'設定（最初に1回）'!$C$4,N(U8393),IF(COUNTIFS(①今日の在庫を貼る!$B$6:$B$10005,$B8394,①今日の在庫を貼る!$I$6:$I$10005,$I8394)&gt;0,N(U8393),N(U8393)+1))</f>
        <v>2</v>
      </c>
    </row>
    <row r="8395" customFormat="false" ht="15" hidden="false" customHeight="false" outlineLevel="0" collapsed="false">
      <c r="B8395" s="53"/>
      <c r="I8395" s="53"/>
      <c r="U8395" s="31" t="n">
        <f aca="false">IF($B8395&lt;&gt;'設定（最初に1回）'!$C$4,N(U8394),IF(COUNTIFS(①今日の在庫を貼る!$B$6:$B$10005,$B8395,①今日の在庫を貼る!$I$6:$I$10005,$I8395)&gt;0,N(U8394),N(U8394)+1))</f>
        <v>2</v>
      </c>
    </row>
    <row r="8396" customFormat="false" ht="15" hidden="false" customHeight="false" outlineLevel="0" collapsed="false">
      <c r="B8396" s="53"/>
      <c r="I8396" s="53"/>
      <c r="U8396" s="31" t="n">
        <f aca="false">IF($B8396&lt;&gt;'設定（最初に1回）'!$C$4,N(U8395),IF(COUNTIFS(①今日の在庫を貼る!$B$6:$B$10005,$B8396,①今日の在庫を貼る!$I$6:$I$10005,$I8396)&gt;0,N(U8395),N(U8395)+1))</f>
        <v>2</v>
      </c>
    </row>
    <row r="8397" customFormat="false" ht="15" hidden="false" customHeight="false" outlineLevel="0" collapsed="false">
      <c r="B8397" s="53"/>
      <c r="I8397" s="53"/>
      <c r="U8397" s="31" t="n">
        <f aca="false">IF($B8397&lt;&gt;'設定（最初に1回）'!$C$4,N(U8396),IF(COUNTIFS(①今日の在庫を貼る!$B$6:$B$10005,$B8397,①今日の在庫を貼る!$I$6:$I$10005,$I8397)&gt;0,N(U8396),N(U8396)+1))</f>
        <v>2</v>
      </c>
    </row>
    <row r="8398" customFormat="false" ht="15" hidden="false" customHeight="false" outlineLevel="0" collapsed="false">
      <c r="B8398" s="53"/>
      <c r="I8398" s="53"/>
      <c r="U8398" s="31" t="n">
        <f aca="false">IF($B8398&lt;&gt;'設定（最初に1回）'!$C$4,N(U8397),IF(COUNTIFS(①今日の在庫を貼る!$B$6:$B$10005,$B8398,①今日の在庫を貼る!$I$6:$I$10005,$I8398)&gt;0,N(U8397),N(U8397)+1))</f>
        <v>2</v>
      </c>
    </row>
    <row r="8399" customFormat="false" ht="15" hidden="false" customHeight="false" outlineLevel="0" collapsed="false">
      <c r="B8399" s="53"/>
      <c r="I8399" s="53"/>
      <c r="U8399" s="31" t="n">
        <f aca="false">IF($B8399&lt;&gt;'設定（最初に1回）'!$C$4,N(U8398),IF(COUNTIFS(①今日の在庫を貼る!$B$6:$B$10005,$B8399,①今日の在庫を貼る!$I$6:$I$10005,$I8399)&gt;0,N(U8398),N(U8398)+1))</f>
        <v>2</v>
      </c>
    </row>
    <row r="8400" customFormat="false" ht="15" hidden="false" customHeight="false" outlineLevel="0" collapsed="false">
      <c r="B8400" s="53"/>
      <c r="I8400" s="53"/>
      <c r="U8400" s="31" t="n">
        <f aca="false">IF($B8400&lt;&gt;'設定（最初に1回）'!$C$4,N(U8399),IF(COUNTIFS(①今日の在庫を貼る!$B$6:$B$10005,$B8400,①今日の在庫を貼る!$I$6:$I$10005,$I8400)&gt;0,N(U8399),N(U8399)+1))</f>
        <v>2</v>
      </c>
    </row>
    <row r="8401" customFormat="false" ht="15" hidden="false" customHeight="false" outlineLevel="0" collapsed="false">
      <c r="B8401" s="53"/>
      <c r="I8401" s="53"/>
      <c r="U8401" s="31" t="n">
        <f aca="false">IF($B8401&lt;&gt;'設定（最初に1回）'!$C$4,N(U8400),IF(COUNTIFS(①今日の在庫を貼る!$B$6:$B$10005,$B8401,①今日の在庫を貼る!$I$6:$I$10005,$I8401)&gt;0,N(U8400),N(U8400)+1))</f>
        <v>2</v>
      </c>
    </row>
    <row r="8402" customFormat="false" ht="15" hidden="false" customHeight="false" outlineLevel="0" collapsed="false">
      <c r="B8402" s="53"/>
      <c r="I8402" s="53"/>
      <c r="U8402" s="31" t="n">
        <f aca="false">IF($B8402&lt;&gt;'設定（最初に1回）'!$C$4,N(U8401),IF(COUNTIFS(①今日の在庫を貼る!$B$6:$B$10005,$B8402,①今日の在庫を貼る!$I$6:$I$10005,$I8402)&gt;0,N(U8401),N(U8401)+1))</f>
        <v>2</v>
      </c>
    </row>
    <row r="8403" customFormat="false" ht="15" hidden="false" customHeight="false" outlineLevel="0" collapsed="false">
      <c r="B8403" s="53"/>
      <c r="I8403" s="53"/>
      <c r="U8403" s="31" t="n">
        <f aca="false">IF($B8403&lt;&gt;'設定（最初に1回）'!$C$4,N(U8402),IF(COUNTIFS(①今日の在庫を貼る!$B$6:$B$10005,$B8403,①今日の在庫を貼る!$I$6:$I$10005,$I8403)&gt;0,N(U8402),N(U8402)+1))</f>
        <v>2</v>
      </c>
    </row>
    <row r="8404" customFormat="false" ht="15" hidden="false" customHeight="false" outlineLevel="0" collapsed="false">
      <c r="B8404" s="53"/>
      <c r="I8404" s="53"/>
      <c r="U8404" s="31" t="n">
        <f aca="false">IF($B8404&lt;&gt;'設定（最初に1回）'!$C$4,N(U8403),IF(COUNTIFS(①今日の在庫を貼る!$B$6:$B$10005,$B8404,①今日の在庫を貼る!$I$6:$I$10005,$I8404)&gt;0,N(U8403),N(U8403)+1))</f>
        <v>2</v>
      </c>
    </row>
    <row r="8405" customFormat="false" ht="15" hidden="false" customHeight="false" outlineLevel="0" collapsed="false">
      <c r="B8405" s="53"/>
      <c r="I8405" s="53"/>
      <c r="U8405" s="31" t="n">
        <f aca="false">IF($B8405&lt;&gt;'設定（最初に1回）'!$C$4,N(U8404),IF(COUNTIFS(①今日の在庫を貼る!$B$6:$B$10005,$B8405,①今日の在庫を貼る!$I$6:$I$10005,$I8405)&gt;0,N(U8404),N(U8404)+1))</f>
        <v>2</v>
      </c>
    </row>
    <row r="8406" customFormat="false" ht="15" hidden="false" customHeight="false" outlineLevel="0" collapsed="false">
      <c r="B8406" s="53"/>
      <c r="I8406" s="53"/>
      <c r="U8406" s="31" t="n">
        <f aca="false">IF($B8406&lt;&gt;'設定（最初に1回）'!$C$4,N(U8405),IF(COUNTIFS(①今日の在庫を貼る!$B$6:$B$10005,$B8406,①今日の在庫を貼る!$I$6:$I$10005,$I8406)&gt;0,N(U8405),N(U8405)+1))</f>
        <v>2</v>
      </c>
    </row>
    <row r="8407" customFormat="false" ht="15" hidden="false" customHeight="false" outlineLevel="0" collapsed="false">
      <c r="B8407" s="53"/>
      <c r="I8407" s="53"/>
      <c r="U8407" s="31" t="n">
        <f aca="false">IF($B8407&lt;&gt;'設定（最初に1回）'!$C$4,N(U8406),IF(COUNTIFS(①今日の在庫を貼る!$B$6:$B$10005,$B8407,①今日の在庫を貼る!$I$6:$I$10005,$I8407)&gt;0,N(U8406),N(U8406)+1))</f>
        <v>2</v>
      </c>
    </row>
    <row r="8408" customFormat="false" ht="15" hidden="false" customHeight="false" outlineLevel="0" collapsed="false">
      <c r="B8408" s="53"/>
      <c r="I8408" s="53"/>
      <c r="U8408" s="31" t="n">
        <f aca="false">IF($B8408&lt;&gt;'設定（最初に1回）'!$C$4,N(U8407),IF(COUNTIFS(①今日の在庫を貼る!$B$6:$B$10005,$B8408,①今日の在庫を貼る!$I$6:$I$10005,$I8408)&gt;0,N(U8407),N(U8407)+1))</f>
        <v>2</v>
      </c>
    </row>
    <row r="8409" customFormat="false" ht="15" hidden="false" customHeight="false" outlineLevel="0" collapsed="false">
      <c r="B8409" s="53"/>
      <c r="I8409" s="53"/>
      <c r="U8409" s="31" t="n">
        <f aca="false">IF($B8409&lt;&gt;'設定（最初に1回）'!$C$4,N(U8408),IF(COUNTIFS(①今日の在庫を貼る!$B$6:$B$10005,$B8409,①今日の在庫を貼る!$I$6:$I$10005,$I8409)&gt;0,N(U8408),N(U8408)+1))</f>
        <v>2</v>
      </c>
    </row>
    <row r="8410" customFormat="false" ht="15" hidden="false" customHeight="false" outlineLevel="0" collapsed="false">
      <c r="B8410" s="53"/>
      <c r="I8410" s="53"/>
      <c r="U8410" s="31" t="n">
        <f aca="false">IF($B8410&lt;&gt;'設定（最初に1回）'!$C$4,N(U8409),IF(COUNTIFS(①今日の在庫を貼る!$B$6:$B$10005,$B8410,①今日の在庫を貼る!$I$6:$I$10005,$I8410)&gt;0,N(U8409),N(U8409)+1))</f>
        <v>2</v>
      </c>
    </row>
    <row r="8411" customFormat="false" ht="15" hidden="false" customHeight="false" outlineLevel="0" collapsed="false">
      <c r="B8411" s="53"/>
      <c r="I8411" s="53"/>
      <c r="U8411" s="31" t="n">
        <f aca="false">IF($B8411&lt;&gt;'設定（最初に1回）'!$C$4,N(U8410),IF(COUNTIFS(①今日の在庫を貼る!$B$6:$B$10005,$B8411,①今日の在庫を貼る!$I$6:$I$10005,$I8411)&gt;0,N(U8410),N(U8410)+1))</f>
        <v>2</v>
      </c>
    </row>
    <row r="8412" customFormat="false" ht="15" hidden="false" customHeight="false" outlineLevel="0" collapsed="false">
      <c r="B8412" s="53"/>
      <c r="I8412" s="53"/>
      <c r="U8412" s="31" t="n">
        <f aca="false">IF($B8412&lt;&gt;'設定（最初に1回）'!$C$4,N(U8411),IF(COUNTIFS(①今日の在庫を貼る!$B$6:$B$10005,$B8412,①今日の在庫を貼る!$I$6:$I$10005,$I8412)&gt;0,N(U8411),N(U8411)+1))</f>
        <v>2</v>
      </c>
    </row>
    <row r="8413" customFormat="false" ht="15" hidden="false" customHeight="false" outlineLevel="0" collapsed="false">
      <c r="B8413" s="53"/>
      <c r="I8413" s="53"/>
      <c r="U8413" s="31" t="n">
        <f aca="false">IF($B8413&lt;&gt;'設定（最初に1回）'!$C$4,N(U8412),IF(COUNTIFS(①今日の在庫を貼る!$B$6:$B$10005,$B8413,①今日の在庫を貼る!$I$6:$I$10005,$I8413)&gt;0,N(U8412),N(U8412)+1))</f>
        <v>2</v>
      </c>
    </row>
    <row r="8414" customFormat="false" ht="15" hidden="false" customHeight="false" outlineLevel="0" collapsed="false">
      <c r="B8414" s="53"/>
      <c r="I8414" s="53"/>
      <c r="U8414" s="31" t="n">
        <f aca="false">IF($B8414&lt;&gt;'設定（最初に1回）'!$C$4,N(U8413),IF(COUNTIFS(①今日の在庫を貼る!$B$6:$B$10005,$B8414,①今日の在庫を貼る!$I$6:$I$10005,$I8414)&gt;0,N(U8413),N(U8413)+1))</f>
        <v>2</v>
      </c>
    </row>
    <row r="8415" customFormat="false" ht="15" hidden="false" customHeight="false" outlineLevel="0" collapsed="false">
      <c r="B8415" s="53"/>
      <c r="I8415" s="53"/>
      <c r="U8415" s="31" t="n">
        <f aca="false">IF($B8415&lt;&gt;'設定（最初に1回）'!$C$4,N(U8414),IF(COUNTIFS(①今日の在庫を貼る!$B$6:$B$10005,$B8415,①今日の在庫を貼る!$I$6:$I$10005,$I8415)&gt;0,N(U8414),N(U8414)+1))</f>
        <v>2</v>
      </c>
    </row>
    <row r="8416" customFormat="false" ht="15" hidden="false" customHeight="false" outlineLevel="0" collapsed="false">
      <c r="B8416" s="53"/>
      <c r="I8416" s="53"/>
      <c r="U8416" s="31" t="n">
        <f aca="false">IF($B8416&lt;&gt;'設定（最初に1回）'!$C$4,N(U8415),IF(COUNTIFS(①今日の在庫を貼る!$B$6:$B$10005,$B8416,①今日の在庫を貼る!$I$6:$I$10005,$I8416)&gt;0,N(U8415),N(U8415)+1))</f>
        <v>2</v>
      </c>
    </row>
    <row r="8417" customFormat="false" ht="15" hidden="false" customHeight="false" outlineLevel="0" collapsed="false">
      <c r="B8417" s="53"/>
      <c r="I8417" s="53"/>
      <c r="U8417" s="31" t="n">
        <f aca="false">IF($B8417&lt;&gt;'設定（最初に1回）'!$C$4,N(U8416),IF(COUNTIFS(①今日の在庫を貼る!$B$6:$B$10005,$B8417,①今日の在庫を貼る!$I$6:$I$10005,$I8417)&gt;0,N(U8416),N(U8416)+1))</f>
        <v>2</v>
      </c>
    </row>
    <row r="8418" customFormat="false" ht="15" hidden="false" customHeight="false" outlineLevel="0" collapsed="false">
      <c r="B8418" s="53"/>
      <c r="I8418" s="53"/>
      <c r="U8418" s="31" t="n">
        <f aca="false">IF($B8418&lt;&gt;'設定（最初に1回）'!$C$4,N(U8417),IF(COUNTIFS(①今日の在庫を貼る!$B$6:$B$10005,$B8418,①今日の在庫を貼る!$I$6:$I$10005,$I8418)&gt;0,N(U8417),N(U8417)+1))</f>
        <v>2</v>
      </c>
    </row>
    <row r="8419" customFormat="false" ht="15" hidden="false" customHeight="false" outlineLevel="0" collapsed="false">
      <c r="B8419" s="53"/>
      <c r="I8419" s="53"/>
      <c r="U8419" s="31" t="n">
        <f aca="false">IF($B8419&lt;&gt;'設定（最初に1回）'!$C$4,N(U8418),IF(COUNTIFS(①今日の在庫を貼る!$B$6:$B$10005,$B8419,①今日の在庫を貼る!$I$6:$I$10005,$I8419)&gt;0,N(U8418),N(U8418)+1))</f>
        <v>2</v>
      </c>
    </row>
    <row r="8420" customFormat="false" ht="15" hidden="false" customHeight="false" outlineLevel="0" collapsed="false">
      <c r="B8420" s="53"/>
      <c r="I8420" s="53"/>
      <c r="U8420" s="31" t="n">
        <f aca="false">IF($B8420&lt;&gt;'設定（最初に1回）'!$C$4,N(U8419),IF(COUNTIFS(①今日の在庫を貼る!$B$6:$B$10005,$B8420,①今日の在庫を貼る!$I$6:$I$10005,$I8420)&gt;0,N(U8419),N(U8419)+1))</f>
        <v>2</v>
      </c>
    </row>
    <row r="8421" customFormat="false" ht="15" hidden="false" customHeight="false" outlineLevel="0" collapsed="false">
      <c r="B8421" s="53"/>
      <c r="I8421" s="53"/>
      <c r="U8421" s="31" t="n">
        <f aca="false">IF($B8421&lt;&gt;'設定（最初に1回）'!$C$4,N(U8420),IF(COUNTIFS(①今日の在庫を貼る!$B$6:$B$10005,$B8421,①今日の在庫を貼る!$I$6:$I$10005,$I8421)&gt;0,N(U8420),N(U8420)+1))</f>
        <v>2</v>
      </c>
    </row>
    <row r="8422" customFormat="false" ht="15" hidden="false" customHeight="false" outlineLevel="0" collapsed="false">
      <c r="B8422" s="53"/>
      <c r="I8422" s="53"/>
      <c r="U8422" s="31" t="n">
        <f aca="false">IF($B8422&lt;&gt;'設定（最初に1回）'!$C$4,N(U8421),IF(COUNTIFS(①今日の在庫を貼る!$B$6:$B$10005,$B8422,①今日の在庫を貼る!$I$6:$I$10005,$I8422)&gt;0,N(U8421),N(U8421)+1))</f>
        <v>2</v>
      </c>
    </row>
    <row r="8423" customFormat="false" ht="15" hidden="false" customHeight="false" outlineLevel="0" collapsed="false">
      <c r="B8423" s="53"/>
      <c r="I8423" s="53"/>
      <c r="U8423" s="31" t="n">
        <f aca="false">IF($B8423&lt;&gt;'設定（最初に1回）'!$C$4,N(U8422),IF(COUNTIFS(①今日の在庫を貼る!$B$6:$B$10005,$B8423,①今日の在庫を貼る!$I$6:$I$10005,$I8423)&gt;0,N(U8422),N(U8422)+1))</f>
        <v>2</v>
      </c>
    </row>
    <row r="8424" customFormat="false" ht="15" hidden="false" customHeight="false" outlineLevel="0" collapsed="false">
      <c r="B8424" s="53"/>
      <c r="I8424" s="53"/>
      <c r="U8424" s="31" t="n">
        <f aca="false">IF($B8424&lt;&gt;'設定（最初に1回）'!$C$4,N(U8423),IF(COUNTIFS(①今日の在庫を貼る!$B$6:$B$10005,$B8424,①今日の在庫を貼る!$I$6:$I$10005,$I8424)&gt;0,N(U8423),N(U8423)+1))</f>
        <v>2</v>
      </c>
    </row>
    <row r="8425" customFormat="false" ht="15" hidden="false" customHeight="false" outlineLevel="0" collapsed="false">
      <c r="B8425" s="53"/>
      <c r="I8425" s="53"/>
      <c r="U8425" s="31" t="n">
        <f aca="false">IF($B8425&lt;&gt;'設定（最初に1回）'!$C$4,N(U8424),IF(COUNTIFS(①今日の在庫を貼る!$B$6:$B$10005,$B8425,①今日の在庫を貼る!$I$6:$I$10005,$I8425)&gt;0,N(U8424),N(U8424)+1))</f>
        <v>2</v>
      </c>
    </row>
    <row r="8426" customFormat="false" ht="15" hidden="false" customHeight="false" outlineLevel="0" collapsed="false">
      <c r="B8426" s="53"/>
      <c r="I8426" s="53"/>
      <c r="U8426" s="31" t="n">
        <f aca="false">IF($B8426&lt;&gt;'設定（最初に1回）'!$C$4,N(U8425),IF(COUNTIFS(①今日の在庫を貼る!$B$6:$B$10005,$B8426,①今日の在庫を貼る!$I$6:$I$10005,$I8426)&gt;0,N(U8425),N(U8425)+1))</f>
        <v>2</v>
      </c>
    </row>
    <row r="8427" customFormat="false" ht="15" hidden="false" customHeight="false" outlineLevel="0" collapsed="false">
      <c r="B8427" s="53"/>
      <c r="I8427" s="53"/>
      <c r="U8427" s="31" t="n">
        <f aca="false">IF($B8427&lt;&gt;'設定（最初に1回）'!$C$4,N(U8426),IF(COUNTIFS(①今日の在庫を貼る!$B$6:$B$10005,$B8427,①今日の在庫を貼る!$I$6:$I$10005,$I8427)&gt;0,N(U8426),N(U8426)+1))</f>
        <v>2</v>
      </c>
    </row>
    <row r="8428" customFormat="false" ht="15" hidden="false" customHeight="false" outlineLevel="0" collapsed="false">
      <c r="B8428" s="53"/>
      <c r="I8428" s="53"/>
      <c r="U8428" s="31" t="n">
        <f aca="false">IF($B8428&lt;&gt;'設定（最初に1回）'!$C$4,N(U8427),IF(COUNTIFS(①今日の在庫を貼る!$B$6:$B$10005,$B8428,①今日の在庫を貼る!$I$6:$I$10005,$I8428)&gt;0,N(U8427),N(U8427)+1))</f>
        <v>2</v>
      </c>
    </row>
    <row r="8429" customFormat="false" ht="15" hidden="false" customHeight="false" outlineLevel="0" collapsed="false">
      <c r="B8429" s="53"/>
      <c r="I8429" s="53"/>
      <c r="U8429" s="31" t="n">
        <f aca="false">IF($B8429&lt;&gt;'設定（最初に1回）'!$C$4,N(U8428),IF(COUNTIFS(①今日の在庫を貼る!$B$6:$B$10005,$B8429,①今日の在庫を貼る!$I$6:$I$10005,$I8429)&gt;0,N(U8428),N(U8428)+1))</f>
        <v>2</v>
      </c>
    </row>
    <row r="8430" customFormat="false" ht="15" hidden="false" customHeight="false" outlineLevel="0" collapsed="false">
      <c r="B8430" s="53"/>
      <c r="I8430" s="53"/>
      <c r="U8430" s="31" t="n">
        <f aca="false">IF($B8430&lt;&gt;'設定（最初に1回）'!$C$4,N(U8429),IF(COUNTIFS(①今日の在庫を貼る!$B$6:$B$10005,$B8430,①今日の在庫を貼る!$I$6:$I$10005,$I8430)&gt;0,N(U8429),N(U8429)+1))</f>
        <v>2</v>
      </c>
    </row>
    <row r="8431" customFormat="false" ht="15" hidden="false" customHeight="false" outlineLevel="0" collapsed="false">
      <c r="B8431" s="53"/>
      <c r="I8431" s="53"/>
      <c r="U8431" s="31" t="n">
        <f aca="false">IF($B8431&lt;&gt;'設定（最初に1回）'!$C$4,N(U8430),IF(COUNTIFS(①今日の在庫を貼る!$B$6:$B$10005,$B8431,①今日の在庫を貼る!$I$6:$I$10005,$I8431)&gt;0,N(U8430),N(U8430)+1))</f>
        <v>2</v>
      </c>
    </row>
    <row r="8432" customFormat="false" ht="15" hidden="false" customHeight="false" outlineLevel="0" collapsed="false">
      <c r="B8432" s="53"/>
      <c r="I8432" s="53"/>
      <c r="U8432" s="31" t="n">
        <f aca="false">IF($B8432&lt;&gt;'設定（最初に1回）'!$C$4,N(U8431),IF(COUNTIFS(①今日の在庫を貼る!$B$6:$B$10005,$B8432,①今日の在庫を貼る!$I$6:$I$10005,$I8432)&gt;0,N(U8431),N(U8431)+1))</f>
        <v>2</v>
      </c>
    </row>
    <row r="8433" customFormat="false" ht="15" hidden="false" customHeight="false" outlineLevel="0" collapsed="false">
      <c r="B8433" s="53"/>
      <c r="I8433" s="53"/>
      <c r="U8433" s="31" t="n">
        <f aca="false">IF($B8433&lt;&gt;'設定（最初に1回）'!$C$4,N(U8432),IF(COUNTIFS(①今日の在庫を貼る!$B$6:$B$10005,$B8433,①今日の在庫を貼る!$I$6:$I$10005,$I8433)&gt;0,N(U8432),N(U8432)+1))</f>
        <v>2</v>
      </c>
    </row>
    <row r="8434" customFormat="false" ht="15" hidden="false" customHeight="false" outlineLevel="0" collapsed="false">
      <c r="B8434" s="53"/>
      <c r="I8434" s="53"/>
      <c r="U8434" s="31" t="n">
        <f aca="false">IF($B8434&lt;&gt;'設定（最初に1回）'!$C$4,N(U8433),IF(COUNTIFS(①今日の在庫を貼る!$B$6:$B$10005,$B8434,①今日の在庫を貼る!$I$6:$I$10005,$I8434)&gt;0,N(U8433),N(U8433)+1))</f>
        <v>2</v>
      </c>
    </row>
    <row r="8435" customFormat="false" ht="15" hidden="false" customHeight="false" outlineLevel="0" collapsed="false">
      <c r="B8435" s="53"/>
      <c r="I8435" s="53"/>
      <c r="U8435" s="31" t="n">
        <f aca="false">IF($B8435&lt;&gt;'設定（最初に1回）'!$C$4,N(U8434),IF(COUNTIFS(①今日の在庫を貼る!$B$6:$B$10005,$B8435,①今日の在庫を貼る!$I$6:$I$10005,$I8435)&gt;0,N(U8434),N(U8434)+1))</f>
        <v>2</v>
      </c>
    </row>
    <row r="8436" customFormat="false" ht="15" hidden="false" customHeight="false" outlineLevel="0" collapsed="false">
      <c r="B8436" s="53"/>
      <c r="I8436" s="53"/>
      <c r="U8436" s="31" t="n">
        <f aca="false">IF($B8436&lt;&gt;'設定（最初に1回）'!$C$4,N(U8435),IF(COUNTIFS(①今日の在庫を貼る!$B$6:$B$10005,$B8436,①今日の在庫を貼る!$I$6:$I$10005,$I8436)&gt;0,N(U8435),N(U8435)+1))</f>
        <v>2</v>
      </c>
    </row>
    <row r="8437" customFormat="false" ht="15" hidden="false" customHeight="false" outlineLevel="0" collapsed="false">
      <c r="B8437" s="53"/>
      <c r="I8437" s="53"/>
      <c r="U8437" s="31" t="n">
        <f aca="false">IF($B8437&lt;&gt;'設定（最初に1回）'!$C$4,N(U8436),IF(COUNTIFS(①今日の在庫を貼る!$B$6:$B$10005,$B8437,①今日の在庫を貼る!$I$6:$I$10005,$I8437)&gt;0,N(U8436),N(U8436)+1))</f>
        <v>2</v>
      </c>
    </row>
    <row r="8438" customFormat="false" ht="15" hidden="false" customHeight="false" outlineLevel="0" collapsed="false">
      <c r="B8438" s="53"/>
      <c r="I8438" s="53"/>
      <c r="U8438" s="31" t="n">
        <f aca="false">IF($B8438&lt;&gt;'設定（最初に1回）'!$C$4,N(U8437),IF(COUNTIFS(①今日の在庫を貼る!$B$6:$B$10005,$B8438,①今日の在庫を貼る!$I$6:$I$10005,$I8438)&gt;0,N(U8437),N(U8437)+1))</f>
        <v>2</v>
      </c>
    </row>
    <row r="8439" customFormat="false" ht="15" hidden="false" customHeight="false" outlineLevel="0" collapsed="false">
      <c r="B8439" s="53"/>
      <c r="I8439" s="53"/>
      <c r="U8439" s="31" t="n">
        <f aca="false">IF($B8439&lt;&gt;'設定（最初に1回）'!$C$4,N(U8438),IF(COUNTIFS(①今日の在庫を貼る!$B$6:$B$10005,$B8439,①今日の在庫を貼る!$I$6:$I$10005,$I8439)&gt;0,N(U8438),N(U8438)+1))</f>
        <v>2</v>
      </c>
    </row>
    <row r="8440" customFormat="false" ht="15" hidden="false" customHeight="false" outlineLevel="0" collapsed="false">
      <c r="B8440" s="53"/>
      <c r="I8440" s="53"/>
      <c r="U8440" s="31" t="n">
        <f aca="false">IF($B8440&lt;&gt;'設定（最初に1回）'!$C$4,N(U8439),IF(COUNTIFS(①今日の在庫を貼る!$B$6:$B$10005,$B8440,①今日の在庫を貼る!$I$6:$I$10005,$I8440)&gt;0,N(U8439),N(U8439)+1))</f>
        <v>2</v>
      </c>
    </row>
    <row r="8441" customFormat="false" ht="15" hidden="false" customHeight="false" outlineLevel="0" collapsed="false">
      <c r="B8441" s="53"/>
      <c r="I8441" s="53"/>
      <c r="U8441" s="31" t="n">
        <f aca="false">IF($B8441&lt;&gt;'設定（最初に1回）'!$C$4,N(U8440),IF(COUNTIFS(①今日の在庫を貼る!$B$6:$B$10005,$B8441,①今日の在庫を貼る!$I$6:$I$10005,$I8441)&gt;0,N(U8440),N(U8440)+1))</f>
        <v>2</v>
      </c>
    </row>
    <row r="8442" customFormat="false" ht="15" hidden="false" customHeight="false" outlineLevel="0" collapsed="false">
      <c r="B8442" s="53"/>
      <c r="I8442" s="53"/>
      <c r="U8442" s="31" t="n">
        <f aca="false">IF($B8442&lt;&gt;'設定（最初に1回）'!$C$4,N(U8441),IF(COUNTIFS(①今日の在庫を貼る!$B$6:$B$10005,$B8442,①今日の在庫を貼る!$I$6:$I$10005,$I8442)&gt;0,N(U8441),N(U8441)+1))</f>
        <v>2</v>
      </c>
    </row>
    <row r="8443" customFormat="false" ht="15" hidden="false" customHeight="false" outlineLevel="0" collapsed="false">
      <c r="B8443" s="53"/>
      <c r="I8443" s="53"/>
      <c r="U8443" s="31" t="n">
        <f aca="false">IF($B8443&lt;&gt;'設定（最初に1回）'!$C$4,N(U8442),IF(COUNTIFS(①今日の在庫を貼る!$B$6:$B$10005,$B8443,①今日の在庫を貼る!$I$6:$I$10005,$I8443)&gt;0,N(U8442),N(U8442)+1))</f>
        <v>2</v>
      </c>
    </row>
    <row r="8444" customFormat="false" ht="15" hidden="false" customHeight="false" outlineLevel="0" collapsed="false">
      <c r="B8444" s="53"/>
      <c r="I8444" s="53"/>
      <c r="U8444" s="31" t="n">
        <f aca="false">IF($B8444&lt;&gt;'設定（最初に1回）'!$C$4,N(U8443),IF(COUNTIFS(①今日の在庫を貼る!$B$6:$B$10005,$B8444,①今日の在庫を貼る!$I$6:$I$10005,$I8444)&gt;0,N(U8443),N(U8443)+1))</f>
        <v>2</v>
      </c>
    </row>
    <row r="8445" customFormat="false" ht="15" hidden="false" customHeight="false" outlineLevel="0" collapsed="false">
      <c r="B8445" s="53"/>
      <c r="I8445" s="53"/>
      <c r="U8445" s="31" t="n">
        <f aca="false">IF($B8445&lt;&gt;'設定（最初に1回）'!$C$4,N(U8444),IF(COUNTIFS(①今日の在庫を貼る!$B$6:$B$10005,$B8445,①今日の在庫を貼る!$I$6:$I$10005,$I8445)&gt;0,N(U8444),N(U8444)+1))</f>
        <v>2</v>
      </c>
    </row>
    <row r="8446" customFormat="false" ht="15" hidden="false" customHeight="false" outlineLevel="0" collapsed="false">
      <c r="B8446" s="53"/>
      <c r="I8446" s="53"/>
      <c r="U8446" s="31" t="n">
        <f aca="false">IF($B8446&lt;&gt;'設定（最初に1回）'!$C$4,N(U8445),IF(COUNTIFS(①今日の在庫を貼る!$B$6:$B$10005,$B8446,①今日の在庫を貼る!$I$6:$I$10005,$I8446)&gt;0,N(U8445),N(U8445)+1))</f>
        <v>2</v>
      </c>
    </row>
    <row r="8447" customFormat="false" ht="15" hidden="false" customHeight="false" outlineLevel="0" collapsed="false">
      <c r="B8447" s="53"/>
      <c r="I8447" s="53"/>
      <c r="U8447" s="31" t="n">
        <f aca="false">IF($B8447&lt;&gt;'設定（最初に1回）'!$C$4,N(U8446),IF(COUNTIFS(①今日の在庫を貼る!$B$6:$B$10005,$B8447,①今日の在庫を貼る!$I$6:$I$10005,$I8447)&gt;0,N(U8446),N(U8446)+1))</f>
        <v>2</v>
      </c>
    </row>
    <row r="8448" customFormat="false" ht="15" hidden="false" customHeight="false" outlineLevel="0" collapsed="false">
      <c r="B8448" s="53"/>
      <c r="I8448" s="53"/>
      <c r="U8448" s="31" t="n">
        <f aca="false">IF($B8448&lt;&gt;'設定（最初に1回）'!$C$4,N(U8447),IF(COUNTIFS(①今日の在庫を貼る!$B$6:$B$10005,$B8448,①今日の在庫を貼る!$I$6:$I$10005,$I8448)&gt;0,N(U8447),N(U8447)+1))</f>
        <v>2</v>
      </c>
    </row>
    <row r="8449" customFormat="false" ht="15" hidden="false" customHeight="false" outlineLevel="0" collapsed="false">
      <c r="B8449" s="53"/>
      <c r="I8449" s="53"/>
      <c r="U8449" s="31" t="n">
        <f aca="false">IF($B8449&lt;&gt;'設定（最初に1回）'!$C$4,N(U8448),IF(COUNTIFS(①今日の在庫を貼る!$B$6:$B$10005,$B8449,①今日の在庫を貼る!$I$6:$I$10005,$I8449)&gt;0,N(U8448),N(U8448)+1))</f>
        <v>2</v>
      </c>
    </row>
    <row r="8450" customFormat="false" ht="15" hidden="false" customHeight="false" outlineLevel="0" collapsed="false">
      <c r="B8450" s="53"/>
      <c r="I8450" s="53"/>
      <c r="U8450" s="31" t="n">
        <f aca="false">IF($B8450&lt;&gt;'設定（最初に1回）'!$C$4,N(U8449),IF(COUNTIFS(①今日の在庫を貼る!$B$6:$B$10005,$B8450,①今日の在庫を貼る!$I$6:$I$10005,$I8450)&gt;0,N(U8449),N(U8449)+1))</f>
        <v>2</v>
      </c>
    </row>
    <row r="8451" customFormat="false" ht="15" hidden="false" customHeight="false" outlineLevel="0" collapsed="false">
      <c r="B8451" s="53"/>
      <c r="I8451" s="53"/>
      <c r="U8451" s="31" t="n">
        <f aca="false">IF($B8451&lt;&gt;'設定（最初に1回）'!$C$4,N(U8450),IF(COUNTIFS(①今日の在庫を貼る!$B$6:$B$10005,$B8451,①今日の在庫を貼る!$I$6:$I$10005,$I8451)&gt;0,N(U8450),N(U8450)+1))</f>
        <v>2</v>
      </c>
    </row>
    <row r="8452" customFormat="false" ht="15" hidden="false" customHeight="false" outlineLevel="0" collapsed="false">
      <c r="B8452" s="53"/>
      <c r="I8452" s="53"/>
      <c r="U8452" s="31" t="n">
        <f aca="false">IF($B8452&lt;&gt;'設定（最初に1回）'!$C$4,N(U8451),IF(COUNTIFS(①今日の在庫を貼る!$B$6:$B$10005,$B8452,①今日の在庫を貼る!$I$6:$I$10005,$I8452)&gt;0,N(U8451),N(U8451)+1))</f>
        <v>2</v>
      </c>
    </row>
    <row r="8453" customFormat="false" ht="15" hidden="false" customHeight="false" outlineLevel="0" collapsed="false">
      <c r="B8453" s="53"/>
      <c r="I8453" s="53"/>
      <c r="U8453" s="31" t="n">
        <f aca="false">IF($B8453&lt;&gt;'設定（最初に1回）'!$C$4,N(U8452),IF(COUNTIFS(①今日の在庫を貼る!$B$6:$B$10005,$B8453,①今日の在庫を貼る!$I$6:$I$10005,$I8453)&gt;0,N(U8452),N(U8452)+1))</f>
        <v>2</v>
      </c>
    </row>
    <row r="8454" customFormat="false" ht="15" hidden="false" customHeight="false" outlineLevel="0" collapsed="false">
      <c r="B8454" s="53"/>
      <c r="I8454" s="53"/>
      <c r="U8454" s="31" t="n">
        <f aca="false">IF($B8454&lt;&gt;'設定（最初に1回）'!$C$4,N(U8453),IF(COUNTIFS(①今日の在庫を貼る!$B$6:$B$10005,$B8454,①今日の在庫を貼る!$I$6:$I$10005,$I8454)&gt;0,N(U8453),N(U8453)+1))</f>
        <v>2</v>
      </c>
    </row>
    <row r="8455" customFormat="false" ht="15" hidden="false" customHeight="false" outlineLevel="0" collapsed="false">
      <c r="B8455" s="53"/>
      <c r="I8455" s="53"/>
      <c r="U8455" s="31" t="n">
        <f aca="false">IF($B8455&lt;&gt;'設定（最初に1回）'!$C$4,N(U8454),IF(COUNTIFS(①今日の在庫を貼る!$B$6:$B$10005,$B8455,①今日の在庫を貼る!$I$6:$I$10005,$I8455)&gt;0,N(U8454),N(U8454)+1))</f>
        <v>2</v>
      </c>
    </row>
    <row r="8456" customFormat="false" ht="15" hidden="false" customHeight="false" outlineLevel="0" collapsed="false">
      <c r="B8456" s="53"/>
      <c r="I8456" s="53"/>
      <c r="U8456" s="31" t="n">
        <f aca="false">IF($B8456&lt;&gt;'設定（最初に1回）'!$C$4,N(U8455),IF(COUNTIFS(①今日の在庫を貼る!$B$6:$B$10005,$B8456,①今日の在庫を貼る!$I$6:$I$10005,$I8456)&gt;0,N(U8455),N(U8455)+1))</f>
        <v>2</v>
      </c>
    </row>
    <row r="8457" customFormat="false" ht="15" hidden="false" customHeight="false" outlineLevel="0" collapsed="false">
      <c r="B8457" s="53"/>
      <c r="I8457" s="53"/>
      <c r="U8457" s="31" t="n">
        <f aca="false">IF($B8457&lt;&gt;'設定（最初に1回）'!$C$4,N(U8456),IF(COUNTIFS(①今日の在庫を貼る!$B$6:$B$10005,$B8457,①今日の在庫を貼る!$I$6:$I$10005,$I8457)&gt;0,N(U8456),N(U8456)+1))</f>
        <v>2</v>
      </c>
    </row>
    <row r="8458" customFormat="false" ht="15" hidden="false" customHeight="false" outlineLevel="0" collapsed="false">
      <c r="B8458" s="53"/>
      <c r="I8458" s="53"/>
      <c r="U8458" s="31" t="n">
        <f aca="false">IF($B8458&lt;&gt;'設定（最初に1回）'!$C$4,N(U8457),IF(COUNTIFS(①今日の在庫を貼る!$B$6:$B$10005,$B8458,①今日の在庫を貼る!$I$6:$I$10005,$I8458)&gt;0,N(U8457),N(U8457)+1))</f>
        <v>2</v>
      </c>
    </row>
    <row r="8459" customFormat="false" ht="15" hidden="false" customHeight="false" outlineLevel="0" collapsed="false">
      <c r="B8459" s="53"/>
      <c r="I8459" s="53"/>
      <c r="U8459" s="31" t="n">
        <f aca="false">IF($B8459&lt;&gt;'設定（最初に1回）'!$C$4,N(U8458),IF(COUNTIFS(①今日の在庫を貼る!$B$6:$B$10005,$B8459,①今日の在庫を貼る!$I$6:$I$10005,$I8459)&gt;0,N(U8458),N(U8458)+1))</f>
        <v>2</v>
      </c>
    </row>
    <row r="8460" customFormat="false" ht="15" hidden="false" customHeight="false" outlineLevel="0" collapsed="false">
      <c r="B8460" s="53"/>
      <c r="I8460" s="53"/>
      <c r="U8460" s="31" t="n">
        <f aca="false">IF($B8460&lt;&gt;'設定（最初に1回）'!$C$4,N(U8459),IF(COUNTIFS(①今日の在庫を貼る!$B$6:$B$10005,$B8460,①今日の在庫を貼る!$I$6:$I$10005,$I8460)&gt;0,N(U8459),N(U8459)+1))</f>
        <v>2</v>
      </c>
    </row>
    <row r="8461" customFormat="false" ht="15" hidden="false" customHeight="false" outlineLevel="0" collapsed="false">
      <c r="B8461" s="53"/>
      <c r="I8461" s="53"/>
      <c r="U8461" s="31" t="n">
        <f aca="false">IF($B8461&lt;&gt;'設定（最初に1回）'!$C$4,N(U8460),IF(COUNTIFS(①今日の在庫を貼る!$B$6:$B$10005,$B8461,①今日の在庫を貼る!$I$6:$I$10005,$I8461)&gt;0,N(U8460),N(U8460)+1))</f>
        <v>2</v>
      </c>
    </row>
    <row r="8462" customFormat="false" ht="15" hidden="false" customHeight="false" outlineLevel="0" collapsed="false">
      <c r="B8462" s="53"/>
      <c r="I8462" s="53"/>
      <c r="U8462" s="31" t="n">
        <f aca="false">IF($B8462&lt;&gt;'設定（最初に1回）'!$C$4,N(U8461),IF(COUNTIFS(①今日の在庫を貼る!$B$6:$B$10005,$B8462,①今日の在庫を貼る!$I$6:$I$10005,$I8462)&gt;0,N(U8461),N(U8461)+1))</f>
        <v>2</v>
      </c>
    </row>
    <row r="8463" customFormat="false" ht="15" hidden="false" customHeight="false" outlineLevel="0" collapsed="false">
      <c r="B8463" s="53"/>
      <c r="I8463" s="53"/>
      <c r="U8463" s="31" t="n">
        <f aca="false">IF($B8463&lt;&gt;'設定（最初に1回）'!$C$4,N(U8462),IF(COUNTIFS(①今日の在庫を貼る!$B$6:$B$10005,$B8463,①今日の在庫を貼る!$I$6:$I$10005,$I8463)&gt;0,N(U8462),N(U8462)+1))</f>
        <v>2</v>
      </c>
    </row>
    <row r="8464" customFormat="false" ht="15" hidden="false" customHeight="false" outlineLevel="0" collapsed="false">
      <c r="B8464" s="53"/>
      <c r="I8464" s="53"/>
      <c r="U8464" s="31" t="n">
        <f aca="false">IF($B8464&lt;&gt;'設定（最初に1回）'!$C$4,N(U8463),IF(COUNTIFS(①今日の在庫を貼る!$B$6:$B$10005,$B8464,①今日の在庫を貼る!$I$6:$I$10005,$I8464)&gt;0,N(U8463),N(U8463)+1))</f>
        <v>2</v>
      </c>
    </row>
    <row r="8465" customFormat="false" ht="15" hidden="false" customHeight="false" outlineLevel="0" collapsed="false">
      <c r="B8465" s="53"/>
      <c r="I8465" s="53"/>
      <c r="U8465" s="31" t="n">
        <f aca="false">IF($B8465&lt;&gt;'設定（最初に1回）'!$C$4,N(U8464),IF(COUNTIFS(①今日の在庫を貼る!$B$6:$B$10005,$B8465,①今日の在庫を貼る!$I$6:$I$10005,$I8465)&gt;0,N(U8464),N(U8464)+1))</f>
        <v>2</v>
      </c>
    </row>
    <row r="8466" customFormat="false" ht="15" hidden="false" customHeight="false" outlineLevel="0" collapsed="false">
      <c r="B8466" s="53"/>
      <c r="I8466" s="53"/>
      <c r="U8466" s="31" t="n">
        <f aca="false">IF($B8466&lt;&gt;'設定（最初に1回）'!$C$4,N(U8465),IF(COUNTIFS(①今日の在庫を貼る!$B$6:$B$10005,$B8466,①今日の在庫を貼る!$I$6:$I$10005,$I8466)&gt;0,N(U8465),N(U8465)+1))</f>
        <v>2</v>
      </c>
    </row>
    <row r="8467" customFormat="false" ht="15" hidden="false" customHeight="false" outlineLevel="0" collapsed="false">
      <c r="B8467" s="53"/>
      <c r="I8467" s="53"/>
      <c r="U8467" s="31" t="n">
        <f aca="false">IF($B8467&lt;&gt;'設定（最初に1回）'!$C$4,N(U8466),IF(COUNTIFS(①今日の在庫を貼る!$B$6:$B$10005,$B8467,①今日の在庫を貼る!$I$6:$I$10005,$I8467)&gt;0,N(U8466),N(U8466)+1))</f>
        <v>2</v>
      </c>
    </row>
    <row r="8468" customFormat="false" ht="15" hidden="false" customHeight="false" outlineLevel="0" collapsed="false">
      <c r="B8468" s="53"/>
      <c r="I8468" s="53"/>
      <c r="U8468" s="31" t="n">
        <f aca="false">IF($B8468&lt;&gt;'設定（最初に1回）'!$C$4,N(U8467),IF(COUNTIFS(①今日の在庫を貼る!$B$6:$B$10005,$B8468,①今日の在庫を貼る!$I$6:$I$10005,$I8468)&gt;0,N(U8467),N(U8467)+1))</f>
        <v>2</v>
      </c>
    </row>
    <row r="8469" customFormat="false" ht="15" hidden="false" customHeight="false" outlineLevel="0" collapsed="false">
      <c r="B8469" s="53"/>
      <c r="I8469" s="53"/>
      <c r="U8469" s="31" t="n">
        <f aca="false">IF($B8469&lt;&gt;'設定（最初に1回）'!$C$4,N(U8468),IF(COUNTIFS(①今日の在庫を貼る!$B$6:$B$10005,$B8469,①今日の在庫を貼る!$I$6:$I$10005,$I8469)&gt;0,N(U8468),N(U8468)+1))</f>
        <v>2</v>
      </c>
    </row>
    <row r="8470" customFormat="false" ht="15" hidden="false" customHeight="false" outlineLevel="0" collapsed="false">
      <c r="B8470" s="53"/>
      <c r="I8470" s="53"/>
      <c r="U8470" s="31" t="n">
        <f aca="false">IF($B8470&lt;&gt;'設定（最初に1回）'!$C$4,N(U8469),IF(COUNTIFS(①今日の在庫を貼る!$B$6:$B$10005,$B8470,①今日の在庫を貼る!$I$6:$I$10005,$I8470)&gt;0,N(U8469),N(U8469)+1))</f>
        <v>2</v>
      </c>
    </row>
    <row r="8471" customFormat="false" ht="15" hidden="false" customHeight="false" outlineLevel="0" collapsed="false">
      <c r="B8471" s="53"/>
      <c r="I8471" s="53"/>
      <c r="U8471" s="31" t="n">
        <f aca="false">IF($B8471&lt;&gt;'設定（最初に1回）'!$C$4,N(U8470),IF(COUNTIFS(①今日の在庫を貼る!$B$6:$B$10005,$B8471,①今日の在庫を貼る!$I$6:$I$10005,$I8471)&gt;0,N(U8470),N(U8470)+1))</f>
        <v>2</v>
      </c>
    </row>
    <row r="8472" customFormat="false" ht="15" hidden="false" customHeight="false" outlineLevel="0" collapsed="false">
      <c r="B8472" s="53"/>
      <c r="I8472" s="53"/>
      <c r="U8472" s="31" t="n">
        <f aca="false">IF($B8472&lt;&gt;'設定（最初に1回）'!$C$4,N(U8471),IF(COUNTIFS(①今日の在庫を貼る!$B$6:$B$10005,$B8472,①今日の在庫を貼る!$I$6:$I$10005,$I8472)&gt;0,N(U8471),N(U8471)+1))</f>
        <v>2</v>
      </c>
    </row>
    <row r="8473" customFormat="false" ht="15" hidden="false" customHeight="false" outlineLevel="0" collapsed="false">
      <c r="B8473" s="53"/>
      <c r="I8473" s="53"/>
      <c r="U8473" s="31" t="n">
        <f aca="false">IF($B8473&lt;&gt;'設定（最初に1回）'!$C$4,N(U8472),IF(COUNTIFS(①今日の在庫を貼る!$B$6:$B$10005,$B8473,①今日の在庫を貼る!$I$6:$I$10005,$I8473)&gt;0,N(U8472),N(U8472)+1))</f>
        <v>2</v>
      </c>
    </row>
    <row r="8474" customFormat="false" ht="15" hidden="false" customHeight="false" outlineLevel="0" collapsed="false">
      <c r="B8474" s="53"/>
      <c r="I8474" s="53"/>
      <c r="U8474" s="31" t="n">
        <f aca="false">IF($B8474&lt;&gt;'設定（最初に1回）'!$C$4,N(U8473),IF(COUNTIFS(①今日の在庫を貼る!$B$6:$B$10005,$B8474,①今日の在庫を貼る!$I$6:$I$10005,$I8474)&gt;0,N(U8473),N(U8473)+1))</f>
        <v>2</v>
      </c>
    </row>
    <row r="8475" customFormat="false" ht="15" hidden="false" customHeight="false" outlineLevel="0" collapsed="false">
      <c r="B8475" s="53"/>
      <c r="I8475" s="53"/>
      <c r="U8475" s="31" t="n">
        <f aca="false">IF($B8475&lt;&gt;'設定（最初に1回）'!$C$4,N(U8474),IF(COUNTIFS(①今日の在庫を貼る!$B$6:$B$10005,$B8475,①今日の在庫を貼る!$I$6:$I$10005,$I8475)&gt;0,N(U8474),N(U8474)+1))</f>
        <v>2</v>
      </c>
    </row>
    <row r="8476" customFormat="false" ht="15" hidden="false" customHeight="false" outlineLevel="0" collapsed="false">
      <c r="B8476" s="53"/>
      <c r="I8476" s="53"/>
      <c r="U8476" s="31" t="n">
        <f aca="false">IF($B8476&lt;&gt;'設定（最初に1回）'!$C$4,N(U8475),IF(COUNTIFS(①今日の在庫を貼る!$B$6:$B$10005,$B8476,①今日の在庫を貼る!$I$6:$I$10005,$I8476)&gt;0,N(U8475),N(U8475)+1))</f>
        <v>2</v>
      </c>
    </row>
    <row r="8477" customFormat="false" ht="15" hidden="false" customHeight="false" outlineLevel="0" collapsed="false">
      <c r="B8477" s="53"/>
      <c r="I8477" s="53"/>
      <c r="U8477" s="31" t="n">
        <f aca="false">IF($B8477&lt;&gt;'設定（最初に1回）'!$C$4,N(U8476),IF(COUNTIFS(①今日の在庫を貼る!$B$6:$B$10005,$B8477,①今日の在庫を貼る!$I$6:$I$10005,$I8477)&gt;0,N(U8476),N(U8476)+1))</f>
        <v>2</v>
      </c>
    </row>
    <row r="8478" customFormat="false" ht="15" hidden="false" customHeight="false" outlineLevel="0" collapsed="false">
      <c r="B8478" s="53"/>
      <c r="I8478" s="53"/>
      <c r="U8478" s="31" t="n">
        <f aca="false">IF($B8478&lt;&gt;'設定（最初に1回）'!$C$4,N(U8477),IF(COUNTIFS(①今日の在庫を貼る!$B$6:$B$10005,$B8478,①今日の在庫を貼る!$I$6:$I$10005,$I8478)&gt;0,N(U8477),N(U8477)+1))</f>
        <v>2</v>
      </c>
    </row>
    <row r="8479" customFormat="false" ht="15" hidden="false" customHeight="false" outlineLevel="0" collapsed="false">
      <c r="B8479" s="53"/>
      <c r="I8479" s="53"/>
      <c r="U8479" s="31" t="n">
        <f aca="false">IF($B8479&lt;&gt;'設定（最初に1回）'!$C$4,N(U8478),IF(COUNTIFS(①今日の在庫を貼る!$B$6:$B$10005,$B8479,①今日の在庫を貼る!$I$6:$I$10005,$I8479)&gt;0,N(U8478),N(U8478)+1))</f>
        <v>2</v>
      </c>
    </row>
    <row r="8480" customFormat="false" ht="15" hidden="false" customHeight="false" outlineLevel="0" collapsed="false">
      <c r="B8480" s="53"/>
      <c r="I8480" s="53"/>
      <c r="U8480" s="31" t="n">
        <f aca="false">IF($B8480&lt;&gt;'設定（最初に1回）'!$C$4,N(U8479),IF(COUNTIFS(①今日の在庫を貼る!$B$6:$B$10005,$B8480,①今日の在庫を貼る!$I$6:$I$10005,$I8480)&gt;0,N(U8479),N(U8479)+1))</f>
        <v>2</v>
      </c>
    </row>
    <row r="8481" customFormat="false" ht="15" hidden="false" customHeight="false" outlineLevel="0" collapsed="false">
      <c r="B8481" s="53"/>
      <c r="I8481" s="53"/>
      <c r="U8481" s="31" t="n">
        <f aca="false">IF($B8481&lt;&gt;'設定（最初に1回）'!$C$4,N(U8480),IF(COUNTIFS(①今日の在庫を貼る!$B$6:$B$10005,$B8481,①今日の在庫を貼る!$I$6:$I$10005,$I8481)&gt;0,N(U8480),N(U8480)+1))</f>
        <v>2</v>
      </c>
    </row>
    <row r="8482" customFormat="false" ht="15" hidden="false" customHeight="false" outlineLevel="0" collapsed="false">
      <c r="B8482" s="53"/>
      <c r="I8482" s="53"/>
      <c r="U8482" s="31" t="n">
        <f aca="false">IF($B8482&lt;&gt;'設定（最初に1回）'!$C$4,N(U8481),IF(COUNTIFS(①今日の在庫を貼る!$B$6:$B$10005,$B8482,①今日の在庫を貼る!$I$6:$I$10005,$I8482)&gt;0,N(U8481),N(U8481)+1))</f>
        <v>2</v>
      </c>
    </row>
    <row r="8483" customFormat="false" ht="15" hidden="false" customHeight="false" outlineLevel="0" collapsed="false">
      <c r="B8483" s="53"/>
      <c r="I8483" s="53"/>
      <c r="U8483" s="31" t="n">
        <f aca="false">IF($B8483&lt;&gt;'設定（最初に1回）'!$C$4,N(U8482),IF(COUNTIFS(①今日の在庫を貼る!$B$6:$B$10005,$B8483,①今日の在庫を貼る!$I$6:$I$10005,$I8483)&gt;0,N(U8482),N(U8482)+1))</f>
        <v>2</v>
      </c>
    </row>
    <row r="8484" customFormat="false" ht="15" hidden="false" customHeight="false" outlineLevel="0" collapsed="false">
      <c r="B8484" s="53"/>
      <c r="I8484" s="53"/>
      <c r="U8484" s="31" t="n">
        <f aca="false">IF($B8484&lt;&gt;'設定（最初に1回）'!$C$4,N(U8483),IF(COUNTIFS(①今日の在庫を貼る!$B$6:$B$10005,$B8484,①今日の在庫を貼る!$I$6:$I$10005,$I8484)&gt;0,N(U8483),N(U8483)+1))</f>
        <v>2</v>
      </c>
    </row>
    <row r="8485" customFormat="false" ht="15" hidden="false" customHeight="false" outlineLevel="0" collapsed="false">
      <c r="B8485" s="53"/>
      <c r="I8485" s="53"/>
      <c r="U8485" s="31" t="n">
        <f aca="false">IF($B8485&lt;&gt;'設定（最初に1回）'!$C$4,N(U8484),IF(COUNTIFS(①今日の在庫を貼る!$B$6:$B$10005,$B8485,①今日の在庫を貼る!$I$6:$I$10005,$I8485)&gt;0,N(U8484),N(U8484)+1))</f>
        <v>2</v>
      </c>
    </row>
    <row r="8486" customFormat="false" ht="15" hidden="false" customHeight="false" outlineLevel="0" collapsed="false">
      <c r="B8486" s="53"/>
      <c r="I8486" s="53"/>
      <c r="U8486" s="31" t="n">
        <f aca="false">IF($B8486&lt;&gt;'設定（最初に1回）'!$C$4,N(U8485),IF(COUNTIFS(①今日の在庫を貼る!$B$6:$B$10005,$B8486,①今日の在庫を貼る!$I$6:$I$10005,$I8486)&gt;0,N(U8485),N(U8485)+1))</f>
        <v>2</v>
      </c>
    </row>
    <row r="8487" customFormat="false" ht="15" hidden="false" customHeight="false" outlineLevel="0" collapsed="false">
      <c r="B8487" s="53"/>
      <c r="I8487" s="53"/>
      <c r="U8487" s="31" t="n">
        <f aca="false">IF($B8487&lt;&gt;'設定（最初に1回）'!$C$4,N(U8486),IF(COUNTIFS(①今日の在庫を貼る!$B$6:$B$10005,$B8487,①今日の在庫を貼る!$I$6:$I$10005,$I8487)&gt;0,N(U8486),N(U8486)+1))</f>
        <v>2</v>
      </c>
    </row>
    <row r="8488" customFormat="false" ht="15" hidden="false" customHeight="false" outlineLevel="0" collapsed="false">
      <c r="B8488" s="53"/>
      <c r="I8488" s="53"/>
      <c r="U8488" s="31" t="n">
        <f aca="false">IF($B8488&lt;&gt;'設定（最初に1回）'!$C$4,N(U8487),IF(COUNTIFS(①今日の在庫を貼る!$B$6:$B$10005,$B8488,①今日の在庫を貼る!$I$6:$I$10005,$I8488)&gt;0,N(U8487),N(U8487)+1))</f>
        <v>2</v>
      </c>
    </row>
    <row r="8489" customFormat="false" ht="15" hidden="false" customHeight="false" outlineLevel="0" collapsed="false">
      <c r="B8489" s="53"/>
      <c r="I8489" s="53"/>
      <c r="U8489" s="31" t="n">
        <f aca="false">IF($B8489&lt;&gt;'設定（最初に1回）'!$C$4,N(U8488),IF(COUNTIFS(①今日の在庫を貼る!$B$6:$B$10005,$B8489,①今日の在庫を貼る!$I$6:$I$10005,$I8489)&gt;0,N(U8488),N(U8488)+1))</f>
        <v>2</v>
      </c>
    </row>
    <row r="8490" customFormat="false" ht="15" hidden="false" customHeight="false" outlineLevel="0" collapsed="false">
      <c r="B8490" s="53"/>
      <c r="I8490" s="53"/>
      <c r="U8490" s="31" t="n">
        <f aca="false">IF($B8490&lt;&gt;'設定（最初に1回）'!$C$4,N(U8489),IF(COUNTIFS(①今日の在庫を貼る!$B$6:$B$10005,$B8490,①今日の在庫を貼る!$I$6:$I$10005,$I8490)&gt;0,N(U8489),N(U8489)+1))</f>
        <v>2</v>
      </c>
    </row>
    <row r="8491" customFormat="false" ht="15" hidden="false" customHeight="false" outlineLevel="0" collapsed="false">
      <c r="B8491" s="53"/>
      <c r="I8491" s="53"/>
      <c r="U8491" s="31" t="n">
        <f aca="false">IF($B8491&lt;&gt;'設定（最初に1回）'!$C$4,N(U8490),IF(COUNTIFS(①今日の在庫を貼る!$B$6:$B$10005,$B8491,①今日の在庫を貼る!$I$6:$I$10005,$I8491)&gt;0,N(U8490),N(U8490)+1))</f>
        <v>2</v>
      </c>
    </row>
    <row r="8492" customFormat="false" ht="15" hidden="false" customHeight="false" outlineLevel="0" collapsed="false">
      <c r="B8492" s="53"/>
      <c r="I8492" s="53"/>
      <c r="U8492" s="31" t="n">
        <f aca="false">IF($B8492&lt;&gt;'設定（最初に1回）'!$C$4,N(U8491),IF(COUNTIFS(①今日の在庫を貼る!$B$6:$B$10005,$B8492,①今日の在庫を貼る!$I$6:$I$10005,$I8492)&gt;0,N(U8491),N(U8491)+1))</f>
        <v>2</v>
      </c>
    </row>
    <row r="8493" customFormat="false" ht="15" hidden="false" customHeight="false" outlineLevel="0" collapsed="false">
      <c r="B8493" s="53"/>
      <c r="I8493" s="53"/>
      <c r="U8493" s="31" t="n">
        <f aca="false">IF($B8493&lt;&gt;'設定（最初に1回）'!$C$4,N(U8492),IF(COUNTIFS(①今日の在庫を貼る!$B$6:$B$10005,$B8493,①今日の在庫を貼る!$I$6:$I$10005,$I8493)&gt;0,N(U8492),N(U8492)+1))</f>
        <v>2</v>
      </c>
    </row>
    <row r="8494" customFormat="false" ht="15" hidden="false" customHeight="false" outlineLevel="0" collapsed="false">
      <c r="B8494" s="53"/>
      <c r="I8494" s="53"/>
      <c r="U8494" s="31" t="n">
        <f aca="false">IF($B8494&lt;&gt;'設定（最初に1回）'!$C$4,N(U8493),IF(COUNTIFS(①今日の在庫を貼る!$B$6:$B$10005,$B8494,①今日の在庫を貼る!$I$6:$I$10005,$I8494)&gt;0,N(U8493),N(U8493)+1))</f>
        <v>2</v>
      </c>
    </row>
    <row r="8495" customFormat="false" ht="15" hidden="false" customHeight="false" outlineLevel="0" collapsed="false">
      <c r="B8495" s="53"/>
      <c r="I8495" s="53"/>
      <c r="U8495" s="31" t="n">
        <f aca="false">IF($B8495&lt;&gt;'設定（最初に1回）'!$C$4,N(U8494),IF(COUNTIFS(①今日の在庫を貼る!$B$6:$B$10005,$B8495,①今日の在庫を貼る!$I$6:$I$10005,$I8495)&gt;0,N(U8494),N(U8494)+1))</f>
        <v>2</v>
      </c>
    </row>
    <row r="8496" customFormat="false" ht="15" hidden="false" customHeight="false" outlineLevel="0" collapsed="false">
      <c r="B8496" s="53"/>
      <c r="I8496" s="53"/>
      <c r="U8496" s="31" t="n">
        <f aca="false">IF($B8496&lt;&gt;'設定（最初に1回）'!$C$4,N(U8495),IF(COUNTIFS(①今日の在庫を貼る!$B$6:$B$10005,$B8496,①今日の在庫を貼る!$I$6:$I$10005,$I8496)&gt;0,N(U8495),N(U8495)+1))</f>
        <v>2</v>
      </c>
    </row>
    <row r="8497" customFormat="false" ht="15" hidden="false" customHeight="false" outlineLevel="0" collapsed="false">
      <c r="B8497" s="53"/>
      <c r="I8497" s="53"/>
      <c r="U8497" s="31" t="n">
        <f aca="false">IF($B8497&lt;&gt;'設定（最初に1回）'!$C$4,N(U8496),IF(COUNTIFS(①今日の在庫を貼る!$B$6:$B$10005,$B8497,①今日の在庫を貼る!$I$6:$I$10005,$I8497)&gt;0,N(U8496),N(U8496)+1))</f>
        <v>2</v>
      </c>
    </row>
    <row r="8498" customFormat="false" ht="15" hidden="false" customHeight="false" outlineLevel="0" collapsed="false">
      <c r="B8498" s="53"/>
      <c r="I8498" s="53"/>
      <c r="U8498" s="31" t="n">
        <f aca="false">IF($B8498&lt;&gt;'設定（最初に1回）'!$C$4,N(U8497),IF(COUNTIFS(①今日の在庫を貼る!$B$6:$B$10005,$B8498,①今日の在庫を貼る!$I$6:$I$10005,$I8498)&gt;0,N(U8497),N(U8497)+1))</f>
        <v>2</v>
      </c>
    </row>
    <row r="8499" customFormat="false" ht="15" hidden="false" customHeight="false" outlineLevel="0" collapsed="false">
      <c r="B8499" s="53"/>
      <c r="I8499" s="53"/>
      <c r="U8499" s="31" t="n">
        <f aca="false">IF($B8499&lt;&gt;'設定（最初に1回）'!$C$4,N(U8498),IF(COUNTIFS(①今日の在庫を貼る!$B$6:$B$10005,$B8499,①今日の在庫を貼る!$I$6:$I$10005,$I8499)&gt;0,N(U8498),N(U8498)+1))</f>
        <v>2</v>
      </c>
    </row>
    <row r="8500" customFormat="false" ht="15" hidden="false" customHeight="false" outlineLevel="0" collapsed="false">
      <c r="B8500" s="53"/>
      <c r="I8500" s="53"/>
      <c r="U8500" s="31" t="n">
        <f aca="false">IF($B8500&lt;&gt;'設定（最初に1回）'!$C$4,N(U8499),IF(COUNTIFS(①今日の在庫を貼る!$B$6:$B$10005,$B8500,①今日の在庫を貼る!$I$6:$I$10005,$I8500)&gt;0,N(U8499),N(U8499)+1))</f>
        <v>2</v>
      </c>
    </row>
    <row r="8501" customFormat="false" ht="15" hidden="false" customHeight="false" outlineLevel="0" collapsed="false">
      <c r="B8501" s="53"/>
      <c r="I8501" s="53"/>
      <c r="U8501" s="31" t="n">
        <f aca="false">IF($B8501&lt;&gt;'設定（最初に1回）'!$C$4,N(U8500),IF(COUNTIFS(①今日の在庫を貼る!$B$6:$B$10005,$B8501,①今日の在庫を貼る!$I$6:$I$10005,$I8501)&gt;0,N(U8500),N(U8500)+1))</f>
        <v>2</v>
      </c>
    </row>
    <row r="8502" customFormat="false" ht="15" hidden="false" customHeight="false" outlineLevel="0" collapsed="false">
      <c r="B8502" s="53"/>
      <c r="I8502" s="53"/>
      <c r="U8502" s="31" t="n">
        <f aca="false">IF($B8502&lt;&gt;'設定（最初に1回）'!$C$4,N(U8501),IF(COUNTIFS(①今日の在庫を貼る!$B$6:$B$10005,$B8502,①今日の在庫を貼る!$I$6:$I$10005,$I8502)&gt;0,N(U8501),N(U8501)+1))</f>
        <v>2</v>
      </c>
    </row>
    <row r="8503" customFormat="false" ht="15" hidden="false" customHeight="false" outlineLevel="0" collapsed="false">
      <c r="B8503" s="53"/>
      <c r="I8503" s="53"/>
      <c r="U8503" s="31" t="n">
        <f aca="false">IF($B8503&lt;&gt;'設定（最初に1回）'!$C$4,N(U8502),IF(COUNTIFS(①今日の在庫を貼る!$B$6:$B$10005,$B8503,①今日の在庫を貼る!$I$6:$I$10005,$I8503)&gt;0,N(U8502),N(U8502)+1))</f>
        <v>2</v>
      </c>
    </row>
    <row r="8504" customFormat="false" ht="15" hidden="false" customHeight="false" outlineLevel="0" collapsed="false">
      <c r="B8504" s="53"/>
      <c r="I8504" s="53"/>
      <c r="U8504" s="31" t="n">
        <f aca="false">IF($B8504&lt;&gt;'設定（最初に1回）'!$C$4,N(U8503),IF(COUNTIFS(①今日の在庫を貼る!$B$6:$B$10005,$B8504,①今日の在庫を貼る!$I$6:$I$10005,$I8504)&gt;0,N(U8503),N(U8503)+1))</f>
        <v>2</v>
      </c>
    </row>
    <row r="8505" customFormat="false" ht="15" hidden="false" customHeight="false" outlineLevel="0" collapsed="false">
      <c r="B8505" s="53"/>
      <c r="I8505" s="53"/>
      <c r="U8505" s="31" t="n">
        <f aca="false">IF($B8505&lt;&gt;'設定（最初に1回）'!$C$4,N(U8504),IF(COUNTIFS(①今日の在庫を貼る!$B$6:$B$10005,$B8505,①今日の在庫を貼る!$I$6:$I$10005,$I8505)&gt;0,N(U8504),N(U8504)+1))</f>
        <v>2</v>
      </c>
    </row>
    <row r="8506" customFormat="false" ht="15" hidden="false" customHeight="false" outlineLevel="0" collapsed="false">
      <c r="B8506" s="53"/>
      <c r="I8506" s="53"/>
      <c r="U8506" s="31" t="n">
        <f aca="false">IF($B8506&lt;&gt;'設定（最初に1回）'!$C$4,N(U8505),IF(COUNTIFS(①今日の在庫を貼る!$B$6:$B$10005,$B8506,①今日の在庫を貼る!$I$6:$I$10005,$I8506)&gt;0,N(U8505),N(U8505)+1))</f>
        <v>2</v>
      </c>
    </row>
    <row r="8507" customFormat="false" ht="15" hidden="false" customHeight="false" outlineLevel="0" collapsed="false">
      <c r="B8507" s="53"/>
      <c r="I8507" s="53"/>
      <c r="U8507" s="31" t="n">
        <f aca="false">IF($B8507&lt;&gt;'設定（最初に1回）'!$C$4,N(U8506),IF(COUNTIFS(①今日の在庫を貼る!$B$6:$B$10005,$B8507,①今日の在庫を貼る!$I$6:$I$10005,$I8507)&gt;0,N(U8506),N(U8506)+1))</f>
        <v>2</v>
      </c>
    </row>
    <row r="8508" customFormat="false" ht="15" hidden="false" customHeight="false" outlineLevel="0" collapsed="false">
      <c r="B8508" s="53"/>
      <c r="I8508" s="53"/>
      <c r="U8508" s="31" t="n">
        <f aca="false">IF($B8508&lt;&gt;'設定（最初に1回）'!$C$4,N(U8507),IF(COUNTIFS(①今日の在庫を貼る!$B$6:$B$10005,$B8508,①今日の在庫を貼る!$I$6:$I$10005,$I8508)&gt;0,N(U8507),N(U8507)+1))</f>
        <v>2</v>
      </c>
    </row>
    <row r="8509" customFormat="false" ht="15" hidden="false" customHeight="false" outlineLevel="0" collapsed="false">
      <c r="B8509" s="53"/>
      <c r="I8509" s="53"/>
      <c r="U8509" s="31" t="n">
        <f aca="false">IF($B8509&lt;&gt;'設定（最初に1回）'!$C$4,N(U8508),IF(COUNTIFS(①今日の在庫を貼る!$B$6:$B$10005,$B8509,①今日の在庫を貼る!$I$6:$I$10005,$I8509)&gt;0,N(U8508),N(U8508)+1))</f>
        <v>2</v>
      </c>
    </row>
    <row r="8510" customFormat="false" ht="15" hidden="false" customHeight="false" outlineLevel="0" collapsed="false">
      <c r="B8510" s="53"/>
      <c r="I8510" s="53"/>
      <c r="U8510" s="31" t="n">
        <f aca="false">IF($B8510&lt;&gt;'設定（最初に1回）'!$C$4,N(U8509),IF(COUNTIFS(①今日の在庫を貼る!$B$6:$B$10005,$B8510,①今日の在庫を貼る!$I$6:$I$10005,$I8510)&gt;0,N(U8509),N(U8509)+1))</f>
        <v>2</v>
      </c>
    </row>
    <row r="8511" customFormat="false" ht="15" hidden="false" customHeight="false" outlineLevel="0" collapsed="false">
      <c r="B8511" s="53"/>
      <c r="I8511" s="53"/>
      <c r="U8511" s="31" t="n">
        <f aca="false">IF($B8511&lt;&gt;'設定（最初に1回）'!$C$4,N(U8510),IF(COUNTIFS(①今日の在庫を貼る!$B$6:$B$10005,$B8511,①今日の在庫を貼る!$I$6:$I$10005,$I8511)&gt;0,N(U8510),N(U8510)+1))</f>
        <v>2</v>
      </c>
    </row>
    <row r="8512" customFormat="false" ht="15" hidden="false" customHeight="false" outlineLevel="0" collapsed="false">
      <c r="B8512" s="53"/>
      <c r="I8512" s="53"/>
      <c r="U8512" s="31" t="n">
        <f aca="false">IF($B8512&lt;&gt;'設定（最初に1回）'!$C$4,N(U8511),IF(COUNTIFS(①今日の在庫を貼る!$B$6:$B$10005,$B8512,①今日の在庫を貼る!$I$6:$I$10005,$I8512)&gt;0,N(U8511),N(U8511)+1))</f>
        <v>2</v>
      </c>
    </row>
    <row r="8513" customFormat="false" ht="15" hidden="false" customHeight="false" outlineLevel="0" collapsed="false">
      <c r="B8513" s="53"/>
      <c r="I8513" s="53"/>
      <c r="U8513" s="31" t="n">
        <f aca="false">IF($B8513&lt;&gt;'設定（最初に1回）'!$C$4,N(U8512),IF(COUNTIFS(①今日の在庫を貼る!$B$6:$B$10005,$B8513,①今日の在庫を貼る!$I$6:$I$10005,$I8513)&gt;0,N(U8512),N(U8512)+1))</f>
        <v>2</v>
      </c>
    </row>
    <row r="8514" customFormat="false" ht="15" hidden="false" customHeight="false" outlineLevel="0" collapsed="false">
      <c r="B8514" s="53"/>
      <c r="I8514" s="53"/>
      <c r="U8514" s="31" t="n">
        <f aca="false">IF($B8514&lt;&gt;'設定（最初に1回）'!$C$4,N(U8513),IF(COUNTIFS(①今日の在庫を貼る!$B$6:$B$10005,$B8514,①今日の在庫を貼る!$I$6:$I$10005,$I8514)&gt;0,N(U8513),N(U8513)+1))</f>
        <v>2</v>
      </c>
    </row>
    <row r="8515" customFormat="false" ht="15" hidden="false" customHeight="false" outlineLevel="0" collapsed="false">
      <c r="B8515" s="53"/>
      <c r="I8515" s="53"/>
      <c r="U8515" s="31" t="n">
        <f aca="false">IF($B8515&lt;&gt;'設定（最初に1回）'!$C$4,N(U8514),IF(COUNTIFS(①今日の在庫を貼る!$B$6:$B$10005,$B8515,①今日の在庫を貼る!$I$6:$I$10005,$I8515)&gt;0,N(U8514),N(U8514)+1))</f>
        <v>2</v>
      </c>
    </row>
    <row r="8516" customFormat="false" ht="15" hidden="false" customHeight="false" outlineLevel="0" collapsed="false">
      <c r="B8516" s="53"/>
      <c r="I8516" s="53"/>
      <c r="U8516" s="31" t="n">
        <f aca="false">IF($B8516&lt;&gt;'設定（最初に1回）'!$C$4,N(U8515),IF(COUNTIFS(①今日の在庫を貼る!$B$6:$B$10005,$B8516,①今日の在庫を貼る!$I$6:$I$10005,$I8516)&gt;0,N(U8515),N(U8515)+1))</f>
        <v>2</v>
      </c>
    </row>
    <row r="8517" customFormat="false" ht="15" hidden="false" customHeight="false" outlineLevel="0" collapsed="false">
      <c r="B8517" s="53"/>
      <c r="I8517" s="53"/>
      <c r="U8517" s="31" t="n">
        <f aca="false">IF($B8517&lt;&gt;'設定（最初に1回）'!$C$4,N(U8516),IF(COUNTIFS(①今日の在庫を貼る!$B$6:$B$10005,$B8517,①今日の在庫を貼る!$I$6:$I$10005,$I8517)&gt;0,N(U8516),N(U8516)+1))</f>
        <v>2</v>
      </c>
    </row>
    <row r="8518" customFormat="false" ht="15" hidden="false" customHeight="false" outlineLevel="0" collapsed="false">
      <c r="B8518" s="53"/>
      <c r="I8518" s="53"/>
      <c r="U8518" s="31" t="n">
        <f aca="false">IF($B8518&lt;&gt;'設定（最初に1回）'!$C$4,N(U8517),IF(COUNTIFS(①今日の在庫を貼る!$B$6:$B$10005,$B8518,①今日の在庫を貼る!$I$6:$I$10005,$I8518)&gt;0,N(U8517),N(U8517)+1))</f>
        <v>2</v>
      </c>
    </row>
    <row r="8519" customFormat="false" ht="15" hidden="false" customHeight="false" outlineLevel="0" collapsed="false">
      <c r="B8519" s="53"/>
      <c r="I8519" s="53"/>
      <c r="U8519" s="31" t="n">
        <f aca="false">IF($B8519&lt;&gt;'設定（最初に1回）'!$C$4,N(U8518),IF(COUNTIFS(①今日の在庫を貼る!$B$6:$B$10005,$B8519,①今日の在庫を貼る!$I$6:$I$10005,$I8519)&gt;0,N(U8518),N(U8518)+1))</f>
        <v>2</v>
      </c>
    </row>
    <row r="8520" customFormat="false" ht="15" hidden="false" customHeight="false" outlineLevel="0" collapsed="false">
      <c r="B8520" s="53"/>
      <c r="I8520" s="53"/>
      <c r="U8520" s="31" t="n">
        <f aca="false">IF($B8520&lt;&gt;'設定（最初に1回）'!$C$4,N(U8519),IF(COUNTIFS(①今日の在庫を貼る!$B$6:$B$10005,$B8520,①今日の在庫を貼る!$I$6:$I$10005,$I8520)&gt;0,N(U8519),N(U8519)+1))</f>
        <v>2</v>
      </c>
    </row>
    <row r="8521" customFormat="false" ht="15" hidden="false" customHeight="false" outlineLevel="0" collapsed="false">
      <c r="B8521" s="53"/>
      <c r="I8521" s="53"/>
      <c r="U8521" s="31" t="n">
        <f aca="false">IF($B8521&lt;&gt;'設定（最初に1回）'!$C$4,N(U8520),IF(COUNTIFS(①今日の在庫を貼る!$B$6:$B$10005,$B8521,①今日の在庫を貼る!$I$6:$I$10005,$I8521)&gt;0,N(U8520),N(U8520)+1))</f>
        <v>2</v>
      </c>
    </row>
    <row r="8522" customFormat="false" ht="15" hidden="false" customHeight="false" outlineLevel="0" collapsed="false">
      <c r="B8522" s="53"/>
      <c r="I8522" s="53"/>
      <c r="U8522" s="31" t="n">
        <f aca="false">IF($B8522&lt;&gt;'設定（最初に1回）'!$C$4,N(U8521),IF(COUNTIFS(①今日の在庫を貼る!$B$6:$B$10005,$B8522,①今日の在庫を貼る!$I$6:$I$10005,$I8522)&gt;0,N(U8521),N(U8521)+1))</f>
        <v>2</v>
      </c>
    </row>
    <row r="8523" customFormat="false" ht="15" hidden="false" customHeight="false" outlineLevel="0" collapsed="false">
      <c r="B8523" s="53"/>
      <c r="I8523" s="53"/>
      <c r="U8523" s="31" t="n">
        <f aca="false">IF($B8523&lt;&gt;'設定（最初に1回）'!$C$4,N(U8522),IF(COUNTIFS(①今日の在庫を貼る!$B$6:$B$10005,$B8523,①今日の在庫を貼る!$I$6:$I$10005,$I8523)&gt;0,N(U8522),N(U8522)+1))</f>
        <v>2</v>
      </c>
    </row>
    <row r="8524" customFormat="false" ht="15" hidden="false" customHeight="false" outlineLevel="0" collapsed="false">
      <c r="B8524" s="53"/>
      <c r="I8524" s="53"/>
      <c r="U8524" s="31" t="n">
        <f aca="false">IF($B8524&lt;&gt;'設定（最初に1回）'!$C$4,N(U8523),IF(COUNTIFS(①今日の在庫を貼る!$B$6:$B$10005,$B8524,①今日の在庫を貼る!$I$6:$I$10005,$I8524)&gt;0,N(U8523),N(U8523)+1))</f>
        <v>2</v>
      </c>
    </row>
    <row r="8525" customFormat="false" ht="15" hidden="false" customHeight="false" outlineLevel="0" collapsed="false">
      <c r="B8525" s="53"/>
      <c r="I8525" s="53"/>
      <c r="U8525" s="31" t="n">
        <f aca="false">IF($B8525&lt;&gt;'設定（最初に1回）'!$C$4,N(U8524),IF(COUNTIFS(①今日の在庫を貼る!$B$6:$B$10005,$B8525,①今日の在庫を貼る!$I$6:$I$10005,$I8525)&gt;0,N(U8524),N(U8524)+1))</f>
        <v>2</v>
      </c>
    </row>
    <row r="8526" customFormat="false" ht="15" hidden="false" customHeight="false" outlineLevel="0" collapsed="false">
      <c r="B8526" s="53"/>
      <c r="I8526" s="53"/>
      <c r="U8526" s="31" t="n">
        <f aca="false">IF($B8526&lt;&gt;'設定（最初に1回）'!$C$4,N(U8525),IF(COUNTIFS(①今日の在庫を貼る!$B$6:$B$10005,$B8526,①今日の在庫を貼る!$I$6:$I$10005,$I8526)&gt;0,N(U8525),N(U8525)+1))</f>
        <v>2</v>
      </c>
    </row>
    <row r="8527" customFormat="false" ht="15" hidden="false" customHeight="false" outlineLevel="0" collapsed="false">
      <c r="B8527" s="53"/>
      <c r="I8527" s="53"/>
      <c r="U8527" s="31" t="n">
        <f aca="false">IF($B8527&lt;&gt;'設定（最初に1回）'!$C$4,N(U8526),IF(COUNTIFS(①今日の在庫を貼る!$B$6:$B$10005,$B8527,①今日の在庫を貼る!$I$6:$I$10005,$I8527)&gt;0,N(U8526),N(U8526)+1))</f>
        <v>2</v>
      </c>
    </row>
    <row r="8528" customFormat="false" ht="15" hidden="false" customHeight="false" outlineLevel="0" collapsed="false">
      <c r="B8528" s="53"/>
      <c r="I8528" s="53"/>
      <c r="U8528" s="31" t="n">
        <f aca="false">IF($B8528&lt;&gt;'設定（最初に1回）'!$C$4,N(U8527),IF(COUNTIFS(①今日の在庫を貼る!$B$6:$B$10005,$B8528,①今日の在庫を貼る!$I$6:$I$10005,$I8528)&gt;0,N(U8527),N(U8527)+1))</f>
        <v>2</v>
      </c>
    </row>
    <row r="8529" customFormat="false" ht="15" hidden="false" customHeight="false" outlineLevel="0" collapsed="false">
      <c r="B8529" s="53"/>
      <c r="I8529" s="53"/>
      <c r="U8529" s="31" t="n">
        <f aca="false">IF($B8529&lt;&gt;'設定（最初に1回）'!$C$4,N(U8528),IF(COUNTIFS(①今日の在庫を貼る!$B$6:$B$10005,$B8529,①今日の在庫を貼る!$I$6:$I$10005,$I8529)&gt;0,N(U8528),N(U8528)+1))</f>
        <v>2</v>
      </c>
    </row>
    <row r="8530" customFormat="false" ht="15" hidden="false" customHeight="false" outlineLevel="0" collapsed="false">
      <c r="B8530" s="53"/>
      <c r="I8530" s="53"/>
      <c r="U8530" s="31" t="n">
        <f aca="false">IF($B8530&lt;&gt;'設定（最初に1回）'!$C$4,N(U8529),IF(COUNTIFS(①今日の在庫を貼る!$B$6:$B$10005,$B8530,①今日の在庫を貼る!$I$6:$I$10005,$I8530)&gt;0,N(U8529),N(U8529)+1))</f>
        <v>2</v>
      </c>
    </row>
    <row r="8531" customFormat="false" ht="15" hidden="false" customHeight="false" outlineLevel="0" collapsed="false">
      <c r="B8531" s="53"/>
      <c r="I8531" s="53"/>
      <c r="U8531" s="31" t="n">
        <f aca="false">IF($B8531&lt;&gt;'設定（最初に1回）'!$C$4,N(U8530),IF(COUNTIFS(①今日の在庫を貼る!$B$6:$B$10005,$B8531,①今日の在庫を貼る!$I$6:$I$10005,$I8531)&gt;0,N(U8530),N(U8530)+1))</f>
        <v>2</v>
      </c>
    </row>
    <row r="8532" customFormat="false" ht="15" hidden="false" customHeight="false" outlineLevel="0" collapsed="false">
      <c r="B8532" s="53"/>
      <c r="I8532" s="53"/>
      <c r="U8532" s="31" t="n">
        <f aca="false">IF($B8532&lt;&gt;'設定（最初に1回）'!$C$4,N(U8531),IF(COUNTIFS(①今日の在庫を貼る!$B$6:$B$10005,$B8532,①今日の在庫を貼る!$I$6:$I$10005,$I8532)&gt;0,N(U8531),N(U8531)+1))</f>
        <v>2</v>
      </c>
    </row>
    <row r="8533" customFormat="false" ht="15" hidden="false" customHeight="false" outlineLevel="0" collapsed="false">
      <c r="B8533" s="53"/>
      <c r="I8533" s="53"/>
      <c r="U8533" s="31" t="n">
        <f aca="false">IF($B8533&lt;&gt;'設定（最初に1回）'!$C$4,N(U8532),IF(COUNTIFS(①今日の在庫を貼る!$B$6:$B$10005,$B8533,①今日の在庫を貼る!$I$6:$I$10005,$I8533)&gt;0,N(U8532),N(U8532)+1))</f>
        <v>2</v>
      </c>
    </row>
    <row r="8534" customFormat="false" ht="15" hidden="false" customHeight="false" outlineLevel="0" collapsed="false">
      <c r="B8534" s="53"/>
      <c r="I8534" s="53"/>
      <c r="U8534" s="31" t="n">
        <f aca="false">IF($B8534&lt;&gt;'設定（最初に1回）'!$C$4,N(U8533),IF(COUNTIFS(①今日の在庫を貼る!$B$6:$B$10005,$B8534,①今日の在庫を貼る!$I$6:$I$10005,$I8534)&gt;0,N(U8533),N(U8533)+1))</f>
        <v>2</v>
      </c>
    </row>
    <row r="8535" customFormat="false" ht="15" hidden="false" customHeight="false" outlineLevel="0" collapsed="false">
      <c r="B8535" s="53"/>
      <c r="I8535" s="53"/>
      <c r="U8535" s="31" t="n">
        <f aca="false">IF($B8535&lt;&gt;'設定（最初に1回）'!$C$4,N(U8534),IF(COUNTIFS(①今日の在庫を貼る!$B$6:$B$10005,$B8535,①今日の在庫を貼る!$I$6:$I$10005,$I8535)&gt;0,N(U8534),N(U8534)+1))</f>
        <v>2</v>
      </c>
    </row>
    <row r="8536" customFormat="false" ht="15" hidden="false" customHeight="false" outlineLevel="0" collapsed="false">
      <c r="B8536" s="53"/>
      <c r="I8536" s="53"/>
      <c r="U8536" s="31" t="n">
        <f aca="false">IF($B8536&lt;&gt;'設定（最初に1回）'!$C$4,N(U8535),IF(COUNTIFS(①今日の在庫を貼る!$B$6:$B$10005,$B8536,①今日の在庫を貼る!$I$6:$I$10005,$I8536)&gt;0,N(U8535),N(U8535)+1))</f>
        <v>2</v>
      </c>
    </row>
    <row r="8537" customFormat="false" ht="15" hidden="false" customHeight="false" outlineLevel="0" collapsed="false">
      <c r="B8537" s="53"/>
      <c r="I8537" s="53"/>
      <c r="U8537" s="31" t="n">
        <f aca="false">IF($B8537&lt;&gt;'設定（最初に1回）'!$C$4,N(U8536),IF(COUNTIFS(①今日の在庫を貼る!$B$6:$B$10005,$B8537,①今日の在庫を貼る!$I$6:$I$10005,$I8537)&gt;0,N(U8536),N(U8536)+1))</f>
        <v>2</v>
      </c>
    </row>
    <row r="8538" customFormat="false" ht="15" hidden="false" customHeight="false" outlineLevel="0" collapsed="false">
      <c r="B8538" s="53"/>
      <c r="I8538" s="53"/>
      <c r="U8538" s="31" t="n">
        <f aca="false">IF($B8538&lt;&gt;'設定（最初に1回）'!$C$4,N(U8537),IF(COUNTIFS(①今日の在庫を貼る!$B$6:$B$10005,$B8538,①今日の在庫を貼る!$I$6:$I$10005,$I8538)&gt;0,N(U8537),N(U8537)+1))</f>
        <v>2</v>
      </c>
    </row>
    <row r="8539" customFormat="false" ht="15" hidden="false" customHeight="false" outlineLevel="0" collapsed="false">
      <c r="B8539" s="53"/>
      <c r="I8539" s="53"/>
      <c r="U8539" s="31" t="n">
        <f aca="false">IF($B8539&lt;&gt;'設定（最初に1回）'!$C$4,N(U8538),IF(COUNTIFS(①今日の在庫を貼る!$B$6:$B$10005,$B8539,①今日の在庫を貼る!$I$6:$I$10005,$I8539)&gt;0,N(U8538),N(U8538)+1))</f>
        <v>2</v>
      </c>
    </row>
    <row r="8540" customFormat="false" ht="15" hidden="false" customHeight="false" outlineLevel="0" collapsed="false">
      <c r="B8540" s="53"/>
      <c r="I8540" s="53"/>
      <c r="U8540" s="31" t="n">
        <f aca="false">IF($B8540&lt;&gt;'設定（最初に1回）'!$C$4,N(U8539),IF(COUNTIFS(①今日の在庫を貼る!$B$6:$B$10005,$B8540,①今日の在庫を貼る!$I$6:$I$10005,$I8540)&gt;0,N(U8539),N(U8539)+1))</f>
        <v>2</v>
      </c>
    </row>
    <row r="8541" customFormat="false" ht="15" hidden="false" customHeight="false" outlineLevel="0" collapsed="false">
      <c r="B8541" s="53"/>
      <c r="I8541" s="53"/>
      <c r="U8541" s="31" t="n">
        <f aca="false">IF($B8541&lt;&gt;'設定（最初に1回）'!$C$4,N(U8540),IF(COUNTIFS(①今日の在庫を貼る!$B$6:$B$10005,$B8541,①今日の在庫を貼る!$I$6:$I$10005,$I8541)&gt;0,N(U8540),N(U8540)+1))</f>
        <v>2</v>
      </c>
    </row>
    <row r="8542" customFormat="false" ht="15" hidden="false" customHeight="false" outlineLevel="0" collapsed="false">
      <c r="B8542" s="53"/>
      <c r="I8542" s="53"/>
      <c r="U8542" s="31" t="n">
        <f aca="false">IF($B8542&lt;&gt;'設定（最初に1回）'!$C$4,N(U8541),IF(COUNTIFS(①今日の在庫を貼る!$B$6:$B$10005,$B8542,①今日の在庫を貼る!$I$6:$I$10005,$I8542)&gt;0,N(U8541),N(U8541)+1))</f>
        <v>2</v>
      </c>
    </row>
    <row r="8543" customFormat="false" ht="15" hidden="false" customHeight="false" outlineLevel="0" collapsed="false">
      <c r="B8543" s="53"/>
      <c r="I8543" s="53"/>
      <c r="U8543" s="31" t="n">
        <f aca="false">IF($B8543&lt;&gt;'設定（最初に1回）'!$C$4,N(U8542),IF(COUNTIFS(①今日の在庫を貼る!$B$6:$B$10005,$B8543,①今日の在庫を貼る!$I$6:$I$10005,$I8543)&gt;0,N(U8542),N(U8542)+1))</f>
        <v>2</v>
      </c>
    </row>
    <row r="8544" customFormat="false" ht="15" hidden="false" customHeight="false" outlineLevel="0" collapsed="false">
      <c r="B8544" s="53"/>
      <c r="I8544" s="53"/>
      <c r="U8544" s="31" t="n">
        <f aca="false">IF($B8544&lt;&gt;'設定（最初に1回）'!$C$4,N(U8543),IF(COUNTIFS(①今日の在庫を貼る!$B$6:$B$10005,$B8544,①今日の在庫を貼る!$I$6:$I$10005,$I8544)&gt;0,N(U8543),N(U8543)+1))</f>
        <v>2</v>
      </c>
    </row>
    <row r="8545" customFormat="false" ht="15" hidden="false" customHeight="false" outlineLevel="0" collapsed="false">
      <c r="B8545" s="53"/>
      <c r="I8545" s="53"/>
      <c r="U8545" s="31" t="n">
        <f aca="false">IF($B8545&lt;&gt;'設定（最初に1回）'!$C$4,N(U8544),IF(COUNTIFS(①今日の在庫を貼る!$B$6:$B$10005,$B8545,①今日の在庫を貼る!$I$6:$I$10005,$I8545)&gt;0,N(U8544),N(U8544)+1))</f>
        <v>2</v>
      </c>
    </row>
    <row r="8546" customFormat="false" ht="15" hidden="false" customHeight="false" outlineLevel="0" collapsed="false">
      <c r="B8546" s="53"/>
      <c r="I8546" s="53"/>
      <c r="U8546" s="31" t="n">
        <f aca="false">IF($B8546&lt;&gt;'設定（最初に1回）'!$C$4,N(U8545),IF(COUNTIFS(①今日の在庫を貼る!$B$6:$B$10005,$B8546,①今日の在庫を貼る!$I$6:$I$10005,$I8546)&gt;0,N(U8545),N(U8545)+1))</f>
        <v>2</v>
      </c>
    </row>
    <row r="8547" customFormat="false" ht="15" hidden="false" customHeight="false" outlineLevel="0" collapsed="false">
      <c r="B8547" s="53"/>
      <c r="I8547" s="53"/>
      <c r="U8547" s="31" t="n">
        <f aca="false">IF($B8547&lt;&gt;'設定（最初に1回）'!$C$4,N(U8546),IF(COUNTIFS(①今日の在庫を貼る!$B$6:$B$10005,$B8547,①今日の在庫を貼る!$I$6:$I$10005,$I8547)&gt;0,N(U8546),N(U8546)+1))</f>
        <v>2</v>
      </c>
    </row>
    <row r="8548" customFormat="false" ht="15" hidden="false" customHeight="false" outlineLevel="0" collapsed="false">
      <c r="B8548" s="53"/>
      <c r="I8548" s="53"/>
      <c r="U8548" s="31" t="n">
        <f aca="false">IF($B8548&lt;&gt;'設定（最初に1回）'!$C$4,N(U8547),IF(COUNTIFS(①今日の在庫を貼る!$B$6:$B$10005,$B8548,①今日の在庫を貼る!$I$6:$I$10005,$I8548)&gt;0,N(U8547),N(U8547)+1))</f>
        <v>2</v>
      </c>
    </row>
    <row r="8549" customFormat="false" ht="15" hidden="false" customHeight="false" outlineLevel="0" collapsed="false">
      <c r="B8549" s="53"/>
      <c r="I8549" s="53"/>
      <c r="U8549" s="31" t="n">
        <f aca="false">IF($B8549&lt;&gt;'設定（最初に1回）'!$C$4,N(U8548),IF(COUNTIFS(①今日の在庫を貼る!$B$6:$B$10005,$B8549,①今日の在庫を貼る!$I$6:$I$10005,$I8549)&gt;0,N(U8548),N(U8548)+1))</f>
        <v>2</v>
      </c>
    </row>
    <row r="8550" customFormat="false" ht="15" hidden="false" customHeight="false" outlineLevel="0" collapsed="false">
      <c r="B8550" s="53"/>
      <c r="I8550" s="53"/>
      <c r="U8550" s="31" t="n">
        <f aca="false">IF($B8550&lt;&gt;'設定（最初に1回）'!$C$4,N(U8549),IF(COUNTIFS(①今日の在庫を貼る!$B$6:$B$10005,$B8550,①今日の在庫を貼る!$I$6:$I$10005,$I8550)&gt;0,N(U8549),N(U8549)+1))</f>
        <v>2</v>
      </c>
    </row>
    <row r="8551" customFormat="false" ht="15" hidden="false" customHeight="false" outlineLevel="0" collapsed="false">
      <c r="B8551" s="53"/>
      <c r="I8551" s="53"/>
      <c r="U8551" s="31" t="n">
        <f aca="false">IF($B8551&lt;&gt;'設定（最初に1回）'!$C$4,N(U8550),IF(COUNTIFS(①今日の在庫を貼る!$B$6:$B$10005,$B8551,①今日の在庫を貼る!$I$6:$I$10005,$I8551)&gt;0,N(U8550),N(U8550)+1))</f>
        <v>2</v>
      </c>
    </row>
    <row r="8552" customFormat="false" ht="15" hidden="false" customHeight="false" outlineLevel="0" collapsed="false">
      <c r="B8552" s="53"/>
      <c r="I8552" s="53"/>
      <c r="U8552" s="31" t="n">
        <f aca="false">IF($B8552&lt;&gt;'設定（最初に1回）'!$C$4,N(U8551),IF(COUNTIFS(①今日の在庫を貼る!$B$6:$B$10005,$B8552,①今日の在庫を貼る!$I$6:$I$10005,$I8552)&gt;0,N(U8551),N(U8551)+1))</f>
        <v>2</v>
      </c>
    </row>
    <row r="8553" customFormat="false" ht="15" hidden="false" customHeight="false" outlineLevel="0" collapsed="false">
      <c r="B8553" s="53"/>
      <c r="I8553" s="53"/>
      <c r="U8553" s="31" t="n">
        <f aca="false">IF($B8553&lt;&gt;'設定（最初に1回）'!$C$4,N(U8552),IF(COUNTIFS(①今日の在庫を貼る!$B$6:$B$10005,$B8553,①今日の在庫を貼る!$I$6:$I$10005,$I8553)&gt;0,N(U8552),N(U8552)+1))</f>
        <v>2</v>
      </c>
    </row>
    <row r="8554" customFormat="false" ht="15" hidden="false" customHeight="false" outlineLevel="0" collapsed="false">
      <c r="B8554" s="53"/>
      <c r="I8554" s="53"/>
      <c r="U8554" s="31" t="n">
        <f aca="false">IF($B8554&lt;&gt;'設定（最初に1回）'!$C$4,N(U8553),IF(COUNTIFS(①今日の在庫を貼る!$B$6:$B$10005,$B8554,①今日の在庫を貼る!$I$6:$I$10005,$I8554)&gt;0,N(U8553),N(U8553)+1))</f>
        <v>2</v>
      </c>
    </row>
    <row r="8555" customFormat="false" ht="15" hidden="false" customHeight="false" outlineLevel="0" collapsed="false">
      <c r="B8555" s="53"/>
      <c r="I8555" s="53"/>
      <c r="U8555" s="31" t="n">
        <f aca="false">IF($B8555&lt;&gt;'設定（最初に1回）'!$C$4,N(U8554),IF(COUNTIFS(①今日の在庫を貼る!$B$6:$B$10005,$B8555,①今日の在庫を貼る!$I$6:$I$10005,$I8555)&gt;0,N(U8554),N(U8554)+1))</f>
        <v>2</v>
      </c>
    </row>
    <row r="8556" customFormat="false" ht="15" hidden="false" customHeight="false" outlineLevel="0" collapsed="false">
      <c r="B8556" s="53"/>
      <c r="I8556" s="53"/>
      <c r="U8556" s="31" t="n">
        <f aca="false">IF($B8556&lt;&gt;'設定（最初に1回）'!$C$4,N(U8555),IF(COUNTIFS(①今日の在庫を貼る!$B$6:$B$10005,$B8556,①今日の在庫を貼る!$I$6:$I$10005,$I8556)&gt;0,N(U8555),N(U8555)+1))</f>
        <v>2</v>
      </c>
    </row>
    <row r="8557" customFormat="false" ht="15" hidden="false" customHeight="false" outlineLevel="0" collapsed="false">
      <c r="B8557" s="53"/>
      <c r="I8557" s="53"/>
      <c r="U8557" s="31" t="n">
        <f aca="false">IF($B8557&lt;&gt;'設定（最初に1回）'!$C$4,N(U8556),IF(COUNTIFS(①今日の在庫を貼る!$B$6:$B$10005,$B8557,①今日の在庫を貼る!$I$6:$I$10005,$I8557)&gt;0,N(U8556),N(U8556)+1))</f>
        <v>2</v>
      </c>
    </row>
    <row r="8558" customFormat="false" ht="15" hidden="false" customHeight="false" outlineLevel="0" collapsed="false">
      <c r="B8558" s="53"/>
      <c r="I8558" s="53"/>
      <c r="U8558" s="31" t="n">
        <f aca="false">IF($B8558&lt;&gt;'設定（最初に1回）'!$C$4,N(U8557),IF(COUNTIFS(①今日の在庫を貼る!$B$6:$B$10005,$B8558,①今日の在庫を貼る!$I$6:$I$10005,$I8558)&gt;0,N(U8557),N(U8557)+1))</f>
        <v>2</v>
      </c>
    </row>
    <row r="8559" customFormat="false" ht="15" hidden="false" customHeight="false" outlineLevel="0" collapsed="false">
      <c r="B8559" s="53"/>
      <c r="I8559" s="53"/>
      <c r="U8559" s="31" t="n">
        <f aca="false">IF($B8559&lt;&gt;'設定（最初に1回）'!$C$4,N(U8558),IF(COUNTIFS(①今日の在庫を貼る!$B$6:$B$10005,$B8559,①今日の在庫を貼る!$I$6:$I$10005,$I8559)&gt;0,N(U8558),N(U8558)+1))</f>
        <v>2</v>
      </c>
    </row>
    <row r="8560" customFormat="false" ht="15" hidden="false" customHeight="false" outlineLevel="0" collapsed="false">
      <c r="B8560" s="53"/>
      <c r="I8560" s="53"/>
      <c r="U8560" s="31" t="n">
        <f aca="false">IF($B8560&lt;&gt;'設定（最初に1回）'!$C$4,N(U8559),IF(COUNTIFS(①今日の在庫を貼る!$B$6:$B$10005,$B8560,①今日の在庫を貼る!$I$6:$I$10005,$I8560)&gt;0,N(U8559),N(U8559)+1))</f>
        <v>2</v>
      </c>
    </row>
    <row r="8561" customFormat="false" ht="15" hidden="false" customHeight="false" outlineLevel="0" collapsed="false">
      <c r="B8561" s="53"/>
      <c r="I8561" s="53"/>
      <c r="U8561" s="31" t="n">
        <f aca="false">IF($B8561&lt;&gt;'設定（最初に1回）'!$C$4,N(U8560),IF(COUNTIFS(①今日の在庫を貼る!$B$6:$B$10005,$B8561,①今日の在庫を貼る!$I$6:$I$10005,$I8561)&gt;0,N(U8560),N(U8560)+1))</f>
        <v>2</v>
      </c>
    </row>
    <row r="8562" customFormat="false" ht="15" hidden="false" customHeight="false" outlineLevel="0" collapsed="false">
      <c r="B8562" s="53"/>
      <c r="I8562" s="53"/>
      <c r="U8562" s="31" t="n">
        <f aca="false">IF($B8562&lt;&gt;'設定（最初に1回）'!$C$4,N(U8561),IF(COUNTIFS(①今日の在庫を貼る!$B$6:$B$10005,$B8562,①今日の在庫を貼る!$I$6:$I$10005,$I8562)&gt;0,N(U8561),N(U8561)+1))</f>
        <v>2</v>
      </c>
    </row>
    <row r="8563" customFormat="false" ht="15" hidden="false" customHeight="false" outlineLevel="0" collapsed="false">
      <c r="B8563" s="53"/>
      <c r="I8563" s="53"/>
      <c r="U8563" s="31" t="n">
        <f aca="false">IF($B8563&lt;&gt;'設定（最初に1回）'!$C$4,N(U8562),IF(COUNTIFS(①今日の在庫を貼る!$B$6:$B$10005,$B8563,①今日の在庫を貼る!$I$6:$I$10005,$I8563)&gt;0,N(U8562),N(U8562)+1))</f>
        <v>2</v>
      </c>
    </row>
    <row r="8564" customFormat="false" ht="15" hidden="false" customHeight="false" outlineLevel="0" collapsed="false">
      <c r="B8564" s="53"/>
      <c r="I8564" s="53"/>
      <c r="U8564" s="31" t="n">
        <f aca="false">IF($B8564&lt;&gt;'設定（最初に1回）'!$C$4,N(U8563),IF(COUNTIFS(①今日の在庫を貼る!$B$6:$B$10005,$B8564,①今日の在庫を貼る!$I$6:$I$10005,$I8564)&gt;0,N(U8563),N(U8563)+1))</f>
        <v>2</v>
      </c>
    </row>
    <row r="8565" customFormat="false" ht="15" hidden="false" customHeight="false" outlineLevel="0" collapsed="false">
      <c r="B8565" s="53"/>
      <c r="I8565" s="53"/>
      <c r="U8565" s="31" t="n">
        <f aca="false">IF($B8565&lt;&gt;'設定（最初に1回）'!$C$4,N(U8564),IF(COUNTIFS(①今日の在庫を貼る!$B$6:$B$10005,$B8565,①今日の在庫を貼る!$I$6:$I$10005,$I8565)&gt;0,N(U8564),N(U8564)+1))</f>
        <v>2</v>
      </c>
    </row>
    <row r="8566" customFormat="false" ht="15" hidden="false" customHeight="false" outlineLevel="0" collapsed="false">
      <c r="B8566" s="53"/>
      <c r="I8566" s="53"/>
      <c r="U8566" s="31" t="n">
        <f aca="false">IF($B8566&lt;&gt;'設定（最初に1回）'!$C$4,N(U8565),IF(COUNTIFS(①今日の在庫を貼る!$B$6:$B$10005,$B8566,①今日の在庫を貼る!$I$6:$I$10005,$I8566)&gt;0,N(U8565),N(U8565)+1))</f>
        <v>2</v>
      </c>
    </row>
    <row r="8567" customFormat="false" ht="15" hidden="false" customHeight="false" outlineLevel="0" collapsed="false">
      <c r="B8567" s="53"/>
      <c r="I8567" s="53"/>
      <c r="U8567" s="31" t="n">
        <f aca="false">IF($B8567&lt;&gt;'設定（最初に1回）'!$C$4,N(U8566),IF(COUNTIFS(①今日の在庫を貼る!$B$6:$B$10005,$B8567,①今日の在庫を貼る!$I$6:$I$10005,$I8567)&gt;0,N(U8566),N(U8566)+1))</f>
        <v>2</v>
      </c>
    </row>
    <row r="8568" customFormat="false" ht="15" hidden="false" customHeight="false" outlineLevel="0" collapsed="false">
      <c r="B8568" s="53"/>
      <c r="I8568" s="53"/>
      <c r="U8568" s="31" t="n">
        <f aca="false">IF($B8568&lt;&gt;'設定（最初に1回）'!$C$4,N(U8567),IF(COUNTIFS(①今日の在庫を貼る!$B$6:$B$10005,$B8568,①今日の在庫を貼る!$I$6:$I$10005,$I8568)&gt;0,N(U8567),N(U8567)+1))</f>
        <v>2</v>
      </c>
    </row>
    <row r="8569" customFormat="false" ht="15" hidden="false" customHeight="false" outlineLevel="0" collapsed="false">
      <c r="B8569" s="53"/>
      <c r="I8569" s="53"/>
      <c r="U8569" s="31" t="n">
        <f aca="false">IF($B8569&lt;&gt;'設定（最初に1回）'!$C$4,N(U8568),IF(COUNTIFS(①今日の在庫を貼る!$B$6:$B$10005,$B8569,①今日の在庫を貼る!$I$6:$I$10005,$I8569)&gt;0,N(U8568),N(U8568)+1))</f>
        <v>2</v>
      </c>
    </row>
    <row r="8570" customFormat="false" ht="15" hidden="false" customHeight="false" outlineLevel="0" collapsed="false">
      <c r="B8570" s="53"/>
      <c r="I8570" s="53"/>
      <c r="U8570" s="31" t="n">
        <f aca="false">IF($B8570&lt;&gt;'設定（最初に1回）'!$C$4,N(U8569),IF(COUNTIFS(①今日の在庫を貼る!$B$6:$B$10005,$B8570,①今日の在庫を貼る!$I$6:$I$10005,$I8570)&gt;0,N(U8569),N(U8569)+1))</f>
        <v>2</v>
      </c>
    </row>
    <row r="8571" customFormat="false" ht="15" hidden="false" customHeight="false" outlineLevel="0" collapsed="false">
      <c r="B8571" s="53"/>
      <c r="I8571" s="53"/>
      <c r="U8571" s="31" t="n">
        <f aca="false">IF($B8571&lt;&gt;'設定（最初に1回）'!$C$4,N(U8570),IF(COUNTIFS(①今日の在庫を貼る!$B$6:$B$10005,$B8571,①今日の在庫を貼る!$I$6:$I$10005,$I8571)&gt;0,N(U8570),N(U8570)+1))</f>
        <v>2</v>
      </c>
    </row>
    <row r="8572" customFormat="false" ht="15" hidden="false" customHeight="false" outlineLevel="0" collapsed="false">
      <c r="B8572" s="53"/>
      <c r="I8572" s="53"/>
      <c r="U8572" s="31" t="n">
        <f aca="false">IF($B8572&lt;&gt;'設定（最初に1回）'!$C$4,N(U8571),IF(COUNTIFS(①今日の在庫を貼る!$B$6:$B$10005,$B8572,①今日の在庫を貼る!$I$6:$I$10005,$I8572)&gt;0,N(U8571),N(U8571)+1))</f>
        <v>2</v>
      </c>
    </row>
    <row r="8573" customFormat="false" ht="15" hidden="false" customHeight="false" outlineLevel="0" collapsed="false">
      <c r="B8573" s="53"/>
      <c r="I8573" s="53"/>
      <c r="U8573" s="31" t="n">
        <f aca="false">IF($B8573&lt;&gt;'設定（最初に1回）'!$C$4,N(U8572),IF(COUNTIFS(①今日の在庫を貼る!$B$6:$B$10005,$B8573,①今日の在庫を貼る!$I$6:$I$10005,$I8573)&gt;0,N(U8572),N(U8572)+1))</f>
        <v>2</v>
      </c>
    </row>
    <row r="8574" customFormat="false" ht="15" hidden="false" customHeight="false" outlineLevel="0" collapsed="false">
      <c r="B8574" s="53"/>
      <c r="I8574" s="53"/>
      <c r="U8574" s="31" t="n">
        <f aca="false">IF($B8574&lt;&gt;'設定（最初に1回）'!$C$4,N(U8573),IF(COUNTIFS(①今日の在庫を貼る!$B$6:$B$10005,$B8574,①今日の在庫を貼る!$I$6:$I$10005,$I8574)&gt;0,N(U8573),N(U8573)+1))</f>
        <v>2</v>
      </c>
    </row>
    <row r="8575" customFormat="false" ht="15" hidden="false" customHeight="false" outlineLevel="0" collapsed="false">
      <c r="B8575" s="53"/>
      <c r="I8575" s="53"/>
      <c r="U8575" s="31" t="n">
        <f aca="false">IF($B8575&lt;&gt;'設定（最初に1回）'!$C$4,N(U8574),IF(COUNTIFS(①今日の在庫を貼る!$B$6:$B$10005,$B8575,①今日の在庫を貼る!$I$6:$I$10005,$I8575)&gt;0,N(U8574),N(U8574)+1))</f>
        <v>2</v>
      </c>
    </row>
    <row r="8576" customFormat="false" ht="15" hidden="false" customHeight="false" outlineLevel="0" collapsed="false">
      <c r="B8576" s="53"/>
      <c r="I8576" s="53"/>
      <c r="U8576" s="31" t="n">
        <f aca="false">IF($B8576&lt;&gt;'設定（最初に1回）'!$C$4,N(U8575),IF(COUNTIFS(①今日の在庫を貼る!$B$6:$B$10005,$B8576,①今日の在庫を貼る!$I$6:$I$10005,$I8576)&gt;0,N(U8575),N(U8575)+1))</f>
        <v>2</v>
      </c>
    </row>
    <row r="8577" customFormat="false" ht="15" hidden="false" customHeight="false" outlineLevel="0" collapsed="false">
      <c r="B8577" s="53"/>
      <c r="I8577" s="53"/>
      <c r="U8577" s="31" t="n">
        <f aca="false">IF($B8577&lt;&gt;'設定（最初に1回）'!$C$4,N(U8576),IF(COUNTIFS(①今日の在庫を貼る!$B$6:$B$10005,$B8577,①今日の在庫を貼る!$I$6:$I$10005,$I8577)&gt;0,N(U8576),N(U8576)+1))</f>
        <v>2</v>
      </c>
    </row>
    <row r="8578" customFormat="false" ht="15" hidden="false" customHeight="false" outlineLevel="0" collapsed="false">
      <c r="B8578" s="53"/>
      <c r="I8578" s="53"/>
      <c r="U8578" s="31" t="n">
        <f aca="false">IF($B8578&lt;&gt;'設定（最初に1回）'!$C$4,N(U8577),IF(COUNTIFS(①今日の在庫を貼る!$B$6:$B$10005,$B8578,①今日の在庫を貼る!$I$6:$I$10005,$I8578)&gt;0,N(U8577),N(U8577)+1))</f>
        <v>2</v>
      </c>
    </row>
    <row r="8579" customFormat="false" ht="15" hidden="false" customHeight="false" outlineLevel="0" collapsed="false">
      <c r="B8579" s="53"/>
      <c r="I8579" s="53"/>
      <c r="U8579" s="31" t="n">
        <f aca="false">IF($B8579&lt;&gt;'設定（最初に1回）'!$C$4,N(U8578),IF(COUNTIFS(①今日の在庫を貼る!$B$6:$B$10005,$B8579,①今日の在庫を貼る!$I$6:$I$10005,$I8579)&gt;0,N(U8578),N(U8578)+1))</f>
        <v>2</v>
      </c>
    </row>
    <row r="8580" customFormat="false" ht="15" hidden="false" customHeight="false" outlineLevel="0" collapsed="false">
      <c r="B8580" s="53"/>
      <c r="I8580" s="53"/>
      <c r="U8580" s="31" t="n">
        <f aca="false">IF($B8580&lt;&gt;'設定（最初に1回）'!$C$4,N(U8579),IF(COUNTIFS(①今日の在庫を貼る!$B$6:$B$10005,$B8580,①今日の在庫を貼る!$I$6:$I$10005,$I8580)&gt;0,N(U8579),N(U8579)+1))</f>
        <v>2</v>
      </c>
    </row>
    <row r="8581" customFormat="false" ht="15" hidden="false" customHeight="false" outlineLevel="0" collapsed="false">
      <c r="B8581" s="53"/>
      <c r="I8581" s="53"/>
      <c r="U8581" s="31" t="n">
        <f aca="false">IF($B8581&lt;&gt;'設定（最初に1回）'!$C$4,N(U8580),IF(COUNTIFS(①今日の在庫を貼る!$B$6:$B$10005,$B8581,①今日の在庫を貼る!$I$6:$I$10005,$I8581)&gt;0,N(U8580),N(U8580)+1))</f>
        <v>2</v>
      </c>
    </row>
    <row r="8582" customFormat="false" ht="15" hidden="false" customHeight="false" outlineLevel="0" collapsed="false">
      <c r="B8582" s="53"/>
      <c r="I8582" s="53"/>
      <c r="U8582" s="31" t="n">
        <f aca="false">IF($B8582&lt;&gt;'設定（最初に1回）'!$C$4,N(U8581),IF(COUNTIFS(①今日の在庫を貼る!$B$6:$B$10005,$B8582,①今日の在庫を貼る!$I$6:$I$10005,$I8582)&gt;0,N(U8581),N(U8581)+1))</f>
        <v>2</v>
      </c>
    </row>
    <row r="8583" customFormat="false" ht="15" hidden="false" customHeight="false" outlineLevel="0" collapsed="false">
      <c r="B8583" s="53"/>
      <c r="I8583" s="53"/>
      <c r="U8583" s="31" t="n">
        <f aca="false">IF($B8583&lt;&gt;'設定（最初に1回）'!$C$4,N(U8582),IF(COUNTIFS(①今日の在庫を貼る!$B$6:$B$10005,$B8583,①今日の在庫を貼る!$I$6:$I$10005,$I8583)&gt;0,N(U8582),N(U8582)+1))</f>
        <v>2</v>
      </c>
    </row>
    <row r="8584" customFormat="false" ht="15" hidden="false" customHeight="false" outlineLevel="0" collapsed="false">
      <c r="B8584" s="53"/>
      <c r="I8584" s="53"/>
      <c r="U8584" s="31" t="n">
        <f aca="false">IF($B8584&lt;&gt;'設定（最初に1回）'!$C$4,N(U8583),IF(COUNTIFS(①今日の在庫を貼る!$B$6:$B$10005,$B8584,①今日の在庫を貼る!$I$6:$I$10005,$I8584)&gt;0,N(U8583),N(U8583)+1))</f>
        <v>2</v>
      </c>
    </row>
    <row r="8585" customFormat="false" ht="15" hidden="false" customHeight="false" outlineLevel="0" collapsed="false">
      <c r="B8585" s="53"/>
      <c r="I8585" s="53"/>
      <c r="U8585" s="31" t="n">
        <f aca="false">IF($B8585&lt;&gt;'設定（最初に1回）'!$C$4,N(U8584),IF(COUNTIFS(①今日の在庫を貼る!$B$6:$B$10005,$B8585,①今日の在庫を貼る!$I$6:$I$10005,$I8585)&gt;0,N(U8584),N(U8584)+1))</f>
        <v>2</v>
      </c>
    </row>
    <row r="8586" customFormat="false" ht="15" hidden="false" customHeight="false" outlineLevel="0" collapsed="false">
      <c r="B8586" s="53"/>
      <c r="I8586" s="53"/>
      <c r="U8586" s="31" t="n">
        <f aca="false">IF($B8586&lt;&gt;'設定（最初に1回）'!$C$4,N(U8585),IF(COUNTIFS(①今日の在庫を貼る!$B$6:$B$10005,$B8586,①今日の在庫を貼る!$I$6:$I$10005,$I8586)&gt;0,N(U8585),N(U8585)+1))</f>
        <v>2</v>
      </c>
    </row>
    <row r="8587" customFormat="false" ht="15" hidden="false" customHeight="false" outlineLevel="0" collapsed="false">
      <c r="B8587" s="53"/>
      <c r="I8587" s="53"/>
      <c r="U8587" s="31" t="n">
        <f aca="false">IF($B8587&lt;&gt;'設定（最初に1回）'!$C$4,N(U8586),IF(COUNTIFS(①今日の在庫を貼る!$B$6:$B$10005,$B8587,①今日の在庫を貼る!$I$6:$I$10005,$I8587)&gt;0,N(U8586),N(U8586)+1))</f>
        <v>2</v>
      </c>
    </row>
    <row r="8588" customFormat="false" ht="15" hidden="false" customHeight="false" outlineLevel="0" collapsed="false">
      <c r="B8588" s="53"/>
      <c r="I8588" s="53"/>
      <c r="U8588" s="31" t="n">
        <f aca="false">IF($B8588&lt;&gt;'設定（最初に1回）'!$C$4,N(U8587),IF(COUNTIFS(①今日の在庫を貼る!$B$6:$B$10005,$B8588,①今日の在庫を貼る!$I$6:$I$10005,$I8588)&gt;0,N(U8587),N(U8587)+1))</f>
        <v>2</v>
      </c>
    </row>
    <row r="8589" customFormat="false" ht="15" hidden="false" customHeight="false" outlineLevel="0" collapsed="false">
      <c r="B8589" s="53"/>
      <c r="I8589" s="53"/>
      <c r="U8589" s="31" t="n">
        <f aca="false">IF($B8589&lt;&gt;'設定（最初に1回）'!$C$4,N(U8588),IF(COUNTIFS(①今日の在庫を貼る!$B$6:$B$10005,$B8589,①今日の在庫を貼る!$I$6:$I$10005,$I8589)&gt;0,N(U8588),N(U8588)+1))</f>
        <v>2</v>
      </c>
    </row>
    <row r="8590" customFormat="false" ht="15" hidden="false" customHeight="false" outlineLevel="0" collapsed="false">
      <c r="B8590" s="53"/>
      <c r="I8590" s="53"/>
      <c r="U8590" s="31" t="n">
        <f aca="false">IF($B8590&lt;&gt;'設定（最初に1回）'!$C$4,N(U8589),IF(COUNTIFS(①今日の在庫を貼る!$B$6:$B$10005,$B8590,①今日の在庫を貼る!$I$6:$I$10005,$I8590)&gt;0,N(U8589),N(U8589)+1))</f>
        <v>2</v>
      </c>
    </row>
    <row r="8591" customFormat="false" ht="15" hidden="false" customHeight="false" outlineLevel="0" collapsed="false">
      <c r="B8591" s="53"/>
      <c r="I8591" s="53"/>
      <c r="U8591" s="31" t="n">
        <f aca="false">IF($B8591&lt;&gt;'設定（最初に1回）'!$C$4,N(U8590),IF(COUNTIFS(①今日の在庫を貼る!$B$6:$B$10005,$B8591,①今日の在庫を貼る!$I$6:$I$10005,$I8591)&gt;0,N(U8590),N(U8590)+1))</f>
        <v>2</v>
      </c>
    </row>
    <row r="8592" customFormat="false" ht="15" hidden="false" customHeight="false" outlineLevel="0" collapsed="false">
      <c r="B8592" s="53"/>
      <c r="I8592" s="53"/>
      <c r="U8592" s="31" t="n">
        <f aca="false">IF($B8592&lt;&gt;'設定（最初に1回）'!$C$4,N(U8591),IF(COUNTIFS(①今日の在庫を貼る!$B$6:$B$10005,$B8592,①今日の在庫を貼る!$I$6:$I$10005,$I8592)&gt;0,N(U8591),N(U8591)+1))</f>
        <v>2</v>
      </c>
    </row>
    <row r="8593" customFormat="false" ht="15" hidden="false" customHeight="false" outlineLevel="0" collapsed="false">
      <c r="B8593" s="53"/>
      <c r="I8593" s="53"/>
      <c r="U8593" s="31" t="n">
        <f aca="false">IF($B8593&lt;&gt;'設定（最初に1回）'!$C$4,N(U8592),IF(COUNTIFS(①今日の在庫を貼る!$B$6:$B$10005,$B8593,①今日の在庫を貼る!$I$6:$I$10005,$I8593)&gt;0,N(U8592),N(U8592)+1))</f>
        <v>2</v>
      </c>
    </row>
    <row r="8594" customFormat="false" ht="15" hidden="false" customHeight="false" outlineLevel="0" collapsed="false">
      <c r="B8594" s="53"/>
      <c r="I8594" s="53"/>
      <c r="U8594" s="31" t="n">
        <f aca="false">IF($B8594&lt;&gt;'設定（最初に1回）'!$C$4,N(U8593),IF(COUNTIFS(①今日の在庫を貼る!$B$6:$B$10005,$B8594,①今日の在庫を貼る!$I$6:$I$10005,$I8594)&gt;0,N(U8593),N(U8593)+1))</f>
        <v>2</v>
      </c>
    </row>
    <row r="8595" customFormat="false" ht="15" hidden="false" customHeight="false" outlineLevel="0" collapsed="false">
      <c r="B8595" s="53"/>
      <c r="I8595" s="53"/>
      <c r="U8595" s="31" t="n">
        <f aca="false">IF($B8595&lt;&gt;'設定（最初に1回）'!$C$4,N(U8594),IF(COUNTIFS(①今日の在庫を貼る!$B$6:$B$10005,$B8595,①今日の在庫を貼る!$I$6:$I$10005,$I8595)&gt;0,N(U8594),N(U8594)+1))</f>
        <v>2</v>
      </c>
    </row>
    <row r="8596" customFormat="false" ht="15" hidden="false" customHeight="false" outlineLevel="0" collapsed="false">
      <c r="B8596" s="53"/>
      <c r="I8596" s="53"/>
      <c r="U8596" s="31" t="n">
        <f aca="false">IF($B8596&lt;&gt;'設定（最初に1回）'!$C$4,N(U8595),IF(COUNTIFS(①今日の在庫を貼る!$B$6:$B$10005,$B8596,①今日の在庫を貼る!$I$6:$I$10005,$I8596)&gt;0,N(U8595),N(U8595)+1))</f>
        <v>2</v>
      </c>
    </row>
    <row r="8597" customFormat="false" ht="15" hidden="false" customHeight="false" outlineLevel="0" collapsed="false">
      <c r="B8597" s="53"/>
      <c r="I8597" s="53"/>
      <c r="U8597" s="31" t="n">
        <f aca="false">IF($B8597&lt;&gt;'設定（最初に1回）'!$C$4,N(U8596),IF(COUNTIFS(①今日の在庫を貼る!$B$6:$B$10005,$B8597,①今日の在庫を貼る!$I$6:$I$10005,$I8597)&gt;0,N(U8596),N(U8596)+1))</f>
        <v>2</v>
      </c>
    </row>
    <row r="8598" customFormat="false" ht="15" hidden="false" customHeight="false" outlineLevel="0" collapsed="false">
      <c r="B8598" s="53"/>
      <c r="I8598" s="53"/>
      <c r="U8598" s="31" t="n">
        <f aca="false">IF($B8598&lt;&gt;'設定（最初に1回）'!$C$4,N(U8597),IF(COUNTIFS(①今日の在庫を貼る!$B$6:$B$10005,$B8598,①今日の在庫を貼る!$I$6:$I$10005,$I8598)&gt;0,N(U8597),N(U8597)+1))</f>
        <v>2</v>
      </c>
    </row>
    <row r="8599" customFormat="false" ht="15" hidden="false" customHeight="false" outlineLevel="0" collapsed="false">
      <c r="B8599" s="53"/>
      <c r="I8599" s="53"/>
      <c r="U8599" s="31" t="n">
        <f aca="false">IF($B8599&lt;&gt;'設定（最初に1回）'!$C$4,N(U8598),IF(COUNTIFS(①今日の在庫を貼る!$B$6:$B$10005,$B8599,①今日の在庫を貼る!$I$6:$I$10005,$I8599)&gt;0,N(U8598),N(U8598)+1))</f>
        <v>2</v>
      </c>
    </row>
    <row r="8600" customFormat="false" ht="15" hidden="false" customHeight="false" outlineLevel="0" collapsed="false">
      <c r="B8600" s="53"/>
      <c r="I8600" s="53"/>
      <c r="U8600" s="31" t="n">
        <f aca="false">IF($B8600&lt;&gt;'設定（最初に1回）'!$C$4,N(U8599),IF(COUNTIFS(①今日の在庫を貼る!$B$6:$B$10005,$B8600,①今日の在庫を貼る!$I$6:$I$10005,$I8600)&gt;0,N(U8599),N(U8599)+1))</f>
        <v>2</v>
      </c>
    </row>
    <row r="8601" customFormat="false" ht="15" hidden="false" customHeight="false" outlineLevel="0" collapsed="false">
      <c r="B8601" s="53"/>
      <c r="I8601" s="53"/>
      <c r="U8601" s="31" t="n">
        <f aca="false">IF($B8601&lt;&gt;'設定（最初に1回）'!$C$4,N(U8600),IF(COUNTIFS(①今日の在庫を貼る!$B$6:$B$10005,$B8601,①今日の在庫を貼る!$I$6:$I$10005,$I8601)&gt;0,N(U8600),N(U8600)+1))</f>
        <v>2</v>
      </c>
    </row>
    <row r="8602" customFormat="false" ht="15" hidden="false" customHeight="false" outlineLevel="0" collapsed="false">
      <c r="B8602" s="53"/>
      <c r="I8602" s="53"/>
      <c r="U8602" s="31" t="n">
        <f aca="false">IF($B8602&lt;&gt;'設定（最初に1回）'!$C$4,N(U8601),IF(COUNTIFS(①今日の在庫を貼る!$B$6:$B$10005,$B8602,①今日の在庫を貼る!$I$6:$I$10005,$I8602)&gt;0,N(U8601),N(U8601)+1))</f>
        <v>2</v>
      </c>
    </row>
    <row r="8603" customFormat="false" ht="15" hidden="false" customHeight="false" outlineLevel="0" collapsed="false">
      <c r="B8603" s="53"/>
      <c r="I8603" s="53"/>
      <c r="U8603" s="31" t="n">
        <f aca="false">IF($B8603&lt;&gt;'設定（最初に1回）'!$C$4,N(U8602),IF(COUNTIFS(①今日の在庫を貼る!$B$6:$B$10005,$B8603,①今日の在庫を貼る!$I$6:$I$10005,$I8603)&gt;0,N(U8602),N(U8602)+1))</f>
        <v>2</v>
      </c>
    </row>
    <row r="8604" customFormat="false" ht="15" hidden="false" customHeight="false" outlineLevel="0" collapsed="false">
      <c r="B8604" s="53"/>
      <c r="I8604" s="53"/>
      <c r="U8604" s="31" t="n">
        <f aca="false">IF($B8604&lt;&gt;'設定（最初に1回）'!$C$4,N(U8603),IF(COUNTIFS(①今日の在庫を貼る!$B$6:$B$10005,$B8604,①今日の在庫を貼る!$I$6:$I$10005,$I8604)&gt;0,N(U8603),N(U8603)+1))</f>
        <v>2</v>
      </c>
    </row>
    <row r="8605" customFormat="false" ht="15" hidden="false" customHeight="false" outlineLevel="0" collapsed="false">
      <c r="B8605" s="53"/>
      <c r="I8605" s="53"/>
      <c r="U8605" s="31" t="n">
        <f aca="false">IF($B8605&lt;&gt;'設定（最初に1回）'!$C$4,N(U8604),IF(COUNTIFS(①今日の在庫を貼る!$B$6:$B$10005,$B8605,①今日の在庫を貼る!$I$6:$I$10005,$I8605)&gt;0,N(U8604),N(U8604)+1))</f>
        <v>2</v>
      </c>
    </row>
    <row r="8606" customFormat="false" ht="15" hidden="false" customHeight="false" outlineLevel="0" collapsed="false">
      <c r="B8606" s="53"/>
      <c r="I8606" s="53"/>
      <c r="U8606" s="31" t="n">
        <f aca="false">IF($B8606&lt;&gt;'設定（最初に1回）'!$C$4,N(U8605),IF(COUNTIFS(①今日の在庫を貼る!$B$6:$B$10005,$B8606,①今日の在庫を貼る!$I$6:$I$10005,$I8606)&gt;0,N(U8605),N(U8605)+1))</f>
        <v>2</v>
      </c>
    </row>
    <row r="8607" customFormat="false" ht="15" hidden="false" customHeight="false" outlineLevel="0" collapsed="false">
      <c r="B8607" s="53"/>
      <c r="I8607" s="53"/>
      <c r="U8607" s="31" t="n">
        <f aca="false">IF($B8607&lt;&gt;'設定（最初に1回）'!$C$4,N(U8606),IF(COUNTIFS(①今日の在庫を貼る!$B$6:$B$10005,$B8607,①今日の在庫を貼る!$I$6:$I$10005,$I8607)&gt;0,N(U8606),N(U8606)+1))</f>
        <v>2</v>
      </c>
    </row>
    <row r="8608" customFormat="false" ht="15" hidden="false" customHeight="false" outlineLevel="0" collapsed="false">
      <c r="B8608" s="53"/>
      <c r="I8608" s="53"/>
      <c r="U8608" s="31" t="n">
        <f aca="false">IF($B8608&lt;&gt;'設定（最初に1回）'!$C$4,N(U8607),IF(COUNTIFS(①今日の在庫を貼る!$B$6:$B$10005,$B8608,①今日の在庫を貼る!$I$6:$I$10005,$I8608)&gt;0,N(U8607),N(U8607)+1))</f>
        <v>2</v>
      </c>
    </row>
    <row r="8609" customFormat="false" ht="15" hidden="false" customHeight="false" outlineLevel="0" collapsed="false">
      <c r="B8609" s="53"/>
      <c r="I8609" s="53"/>
      <c r="U8609" s="31" t="n">
        <f aca="false">IF($B8609&lt;&gt;'設定（最初に1回）'!$C$4,N(U8608),IF(COUNTIFS(①今日の在庫を貼る!$B$6:$B$10005,$B8609,①今日の在庫を貼る!$I$6:$I$10005,$I8609)&gt;0,N(U8608),N(U8608)+1))</f>
        <v>2</v>
      </c>
    </row>
    <row r="8610" customFormat="false" ht="15" hidden="false" customHeight="false" outlineLevel="0" collapsed="false">
      <c r="B8610" s="53"/>
      <c r="I8610" s="53"/>
      <c r="U8610" s="31" t="n">
        <f aca="false">IF($B8610&lt;&gt;'設定（最初に1回）'!$C$4,N(U8609),IF(COUNTIFS(①今日の在庫を貼る!$B$6:$B$10005,$B8610,①今日の在庫を貼る!$I$6:$I$10005,$I8610)&gt;0,N(U8609),N(U8609)+1))</f>
        <v>2</v>
      </c>
    </row>
    <row r="8611" customFormat="false" ht="15" hidden="false" customHeight="false" outlineLevel="0" collapsed="false">
      <c r="B8611" s="53"/>
      <c r="I8611" s="53"/>
      <c r="U8611" s="31" t="n">
        <f aca="false">IF($B8611&lt;&gt;'設定（最初に1回）'!$C$4,N(U8610),IF(COUNTIFS(①今日の在庫を貼る!$B$6:$B$10005,$B8611,①今日の在庫を貼る!$I$6:$I$10005,$I8611)&gt;0,N(U8610),N(U8610)+1))</f>
        <v>2</v>
      </c>
    </row>
    <row r="8612" customFormat="false" ht="15" hidden="false" customHeight="false" outlineLevel="0" collapsed="false">
      <c r="B8612" s="53"/>
      <c r="I8612" s="53"/>
      <c r="U8612" s="31" t="n">
        <f aca="false">IF($B8612&lt;&gt;'設定（最初に1回）'!$C$4,N(U8611),IF(COUNTIFS(①今日の在庫を貼る!$B$6:$B$10005,$B8612,①今日の在庫を貼る!$I$6:$I$10005,$I8612)&gt;0,N(U8611),N(U8611)+1))</f>
        <v>2</v>
      </c>
    </row>
    <row r="8613" customFormat="false" ht="15" hidden="false" customHeight="false" outlineLevel="0" collapsed="false">
      <c r="B8613" s="53"/>
      <c r="I8613" s="53"/>
      <c r="U8613" s="31" t="n">
        <f aca="false">IF($B8613&lt;&gt;'設定（最初に1回）'!$C$4,N(U8612),IF(COUNTIFS(①今日の在庫を貼る!$B$6:$B$10005,$B8613,①今日の在庫を貼る!$I$6:$I$10005,$I8613)&gt;0,N(U8612),N(U8612)+1))</f>
        <v>2</v>
      </c>
    </row>
    <row r="8614" customFormat="false" ht="15" hidden="false" customHeight="false" outlineLevel="0" collapsed="false">
      <c r="B8614" s="53"/>
      <c r="I8614" s="53"/>
      <c r="U8614" s="31" t="n">
        <f aca="false">IF($B8614&lt;&gt;'設定（最初に1回）'!$C$4,N(U8613),IF(COUNTIFS(①今日の在庫を貼る!$B$6:$B$10005,$B8614,①今日の在庫を貼る!$I$6:$I$10005,$I8614)&gt;0,N(U8613),N(U8613)+1))</f>
        <v>2</v>
      </c>
    </row>
    <row r="8615" customFormat="false" ht="15" hidden="false" customHeight="false" outlineLevel="0" collapsed="false">
      <c r="B8615" s="53"/>
      <c r="I8615" s="53"/>
      <c r="U8615" s="31" t="n">
        <f aca="false">IF($B8615&lt;&gt;'設定（最初に1回）'!$C$4,N(U8614),IF(COUNTIFS(①今日の在庫を貼る!$B$6:$B$10005,$B8615,①今日の在庫を貼る!$I$6:$I$10005,$I8615)&gt;0,N(U8614),N(U8614)+1))</f>
        <v>2</v>
      </c>
    </row>
    <row r="8616" customFormat="false" ht="15" hidden="false" customHeight="false" outlineLevel="0" collapsed="false">
      <c r="B8616" s="53"/>
      <c r="I8616" s="53"/>
      <c r="U8616" s="31" t="n">
        <f aca="false">IF($B8616&lt;&gt;'設定（最初に1回）'!$C$4,N(U8615),IF(COUNTIFS(①今日の在庫を貼る!$B$6:$B$10005,$B8616,①今日の在庫を貼る!$I$6:$I$10005,$I8616)&gt;0,N(U8615),N(U8615)+1))</f>
        <v>2</v>
      </c>
    </row>
    <row r="8617" customFormat="false" ht="15" hidden="false" customHeight="false" outlineLevel="0" collapsed="false">
      <c r="B8617" s="53"/>
      <c r="I8617" s="53"/>
      <c r="U8617" s="31" t="n">
        <f aca="false">IF($B8617&lt;&gt;'設定（最初に1回）'!$C$4,N(U8616),IF(COUNTIFS(①今日の在庫を貼る!$B$6:$B$10005,$B8617,①今日の在庫を貼る!$I$6:$I$10005,$I8617)&gt;0,N(U8616),N(U8616)+1))</f>
        <v>2</v>
      </c>
    </row>
    <row r="8618" customFormat="false" ht="15" hidden="false" customHeight="false" outlineLevel="0" collapsed="false">
      <c r="B8618" s="53"/>
      <c r="I8618" s="53"/>
      <c r="U8618" s="31" t="n">
        <f aca="false">IF($B8618&lt;&gt;'設定（最初に1回）'!$C$4,N(U8617),IF(COUNTIFS(①今日の在庫を貼る!$B$6:$B$10005,$B8618,①今日の在庫を貼る!$I$6:$I$10005,$I8618)&gt;0,N(U8617),N(U8617)+1))</f>
        <v>2</v>
      </c>
    </row>
    <row r="8619" customFormat="false" ht="15" hidden="false" customHeight="false" outlineLevel="0" collapsed="false">
      <c r="B8619" s="53"/>
      <c r="I8619" s="53"/>
      <c r="U8619" s="31" t="n">
        <f aca="false">IF($B8619&lt;&gt;'設定（最初に1回）'!$C$4,N(U8618),IF(COUNTIFS(①今日の在庫を貼る!$B$6:$B$10005,$B8619,①今日の在庫を貼る!$I$6:$I$10005,$I8619)&gt;0,N(U8618),N(U8618)+1))</f>
        <v>2</v>
      </c>
    </row>
    <row r="8620" customFormat="false" ht="15" hidden="false" customHeight="false" outlineLevel="0" collapsed="false">
      <c r="B8620" s="53"/>
      <c r="I8620" s="53"/>
      <c r="U8620" s="31" t="n">
        <f aca="false">IF($B8620&lt;&gt;'設定（最初に1回）'!$C$4,N(U8619),IF(COUNTIFS(①今日の在庫を貼る!$B$6:$B$10005,$B8620,①今日の在庫を貼る!$I$6:$I$10005,$I8620)&gt;0,N(U8619),N(U8619)+1))</f>
        <v>2</v>
      </c>
    </row>
    <row r="8621" customFormat="false" ht="15" hidden="false" customHeight="false" outlineLevel="0" collapsed="false">
      <c r="B8621" s="53"/>
      <c r="I8621" s="53"/>
      <c r="U8621" s="31" t="n">
        <f aca="false">IF($B8621&lt;&gt;'設定（最初に1回）'!$C$4,N(U8620),IF(COUNTIFS(①今日の在庫を貼る!$B$6:$B$10005,$B8621,①今日の在庫を貼る!$I$6:$I$10005,$I8621)&gt;0,N(U8620),N(U8620)+1))</f>
        <v>2</v>
      </c>
    </row>
    <row r="8622" customFormat="false" ht="15" hidden="false" customHeight="false" outlineLevel="0" collapsed="false">
      <c r="B8622" s="53"/>
      <c r="I8622" s="53"/>
      <c r="U8622" s="31" t="n">
        <f aca="false">IF($B8622&lt;&gt;'設定（最初に1回）'!$C$4,N(U8621),IF(COUNTIFS(①今日の在庫を貼る!$B$6:$B$10005,$B8622,①今日の在庫を貼る!$I$6:$I$10005,$I8622)&gt;0,N(U8621),N(U8621)+1))</f>
        <v>2</v>
      </c>
    </row>
    <row r="8623" customFormat="false" ht="15" hidden="false" customHeight="false" outlineLevel="0" collapsed="false">
      <c r="B8623" s="53"/>
      <c r="I8623" s="53"/>
      <c r="U8623" s="31" t="n">
        <f aca="false">IF($B8623&lt;&gt;'設定（最初に1回）'!$C$4,N(U8622),IF(COUNTIFS(①今日の在庫を貼る!$B$6:$B$10005,$B8623,①今日の在庫を貼る!$I$6:$I$10005,$I8623)&gt;0,N(U8622),N(U8622)+1))</f>
        <v>2</v>
      </c>
    </row>
    <row r="8624" customFormat="false" ht="15" hidden="false" customHeight="false" outlineLevel="0" collapsed="false">
      <c r="B8624" s="53"/>
      <c r="I8624" s="53"/>
      <c r="U8624" s="31" t="n">
        <f aca="false">IF($B8624&lt;&gt;'設定（最初に1回）'!$C$4,N(U8623),IF(COUNTIFS(①今日の在庫を貼る!$B$6:$B$10005,$B8624,①今日の在庫を貼る!$I$6:$I$10005,$I8624)&gt;0,N(U8623),N(U8623)+1))</f>
        <v>2</v>
      </c>
    </row>
    <row r="8625" customFormat="false" ht="15" hidden="false" customHeight="false" outlineLevel="0" collapsed="false">
      <c r="B8625" s="53"/>
      <c r="I8625" s="53"/>
      <c r="U8625" s="31" t="n">
        <f aca="false">IF($B8625&lt;&gt;'設定（最初に1回）'!$C$4,N(U8624),IF(COUNTIFS(①今日の在庫を貼る!$B$6:$B$10005,$B8625,①今日の在庫を貼る!$I$6:$I$10005,$I8625)&gt;0,N(U8624),N(U8624)+1))</f>
        <v>2</v>
      </c>
    </row>
    <row r="8626" customFormat="false" ht="15" hidden="false" customHeight="false" outlineLevel="0" collapsed="false">
      <c r="B8626" s="53"/>
      <c r="I8626" s="53"/>
      <c r="U8626" s="31" t="n">
        <f aca="false">IF($B8626&lt;&gt;'設定（最初に1回）'!$C$4,N(U8625),IF(COUNTIFS(①今日の在庫を貼る!$B$6:$B$10005,$B8626,①今日の在庫を貼る!$I$6:$I$10005,$I8626)&gt;0,N(U8625),N(U8625)+1))</f>
        <v>2</v>
      </c>
    </row>
    <row r="8627" customFormat="false" ht="15" hidden="false" customHeight="false" outlineLevel="0" collapsed="false">
      <c r="B8627" s="53"/>
      <c r="I8627" s="53"/>
      <c r="U8627" s="31" t="n">
        <f aca="false">IF($B8627&lt;&gt;'設定（最初に1回）'!$C$4,N(U8626),IF(COUNTIFS(①今日の在庫を貼る!$B$6:$B$10005,$B8627,①今日の在庫を貼る!$I$6:$I$10005,$I8627)&gt;0,N(U8626),N(U8626)+1))</f>
        <v>2</v>
      </c>
    </row>
    <row r="8628" customFormat="false" ht="15" hidden="false" customHeight="false" outlineLevel="0" collapsed="false">
      <c r="B8628" s="53"/>
      <c r="I8628" s="53"/>
      <c r="U8628" s="31" t="n">
        <f aca="false">IF($B8628&lt;&gt;'設定（最初に1回）'!$C$4,N(U8627),IF(COUNTIFS(①今日の在庫を貼る!$B$6:$B$10005,$B8628,①今日の在庫を貼る!$I$6:$I$10005,$I8628)&gt;0,N(U8627),N(U8627)+1))</f>
        <v>2</v>
      </c>
    </row>
    <row r="8629" customFormat="false" ht="15" hidden="false" customHeight="false" outlineLevel="0" collapsed="false">
      <c r="B8629" s="53"/>
      <c r="I8629" s="53"/>
      <c r="U8629" s="31" t="n">
        <f aca="false">IF($B8629&lt;&gt;'設定（最初に1回）'!$C$4,N(U8628),IF(COUNTIFS(①今日の在庫を貼る!$B$6:$B$10005,$B8629,①今日の在庫を貼る!$I$6:$I$10005,$I8629)&gt;0,N(U8628),N(U8628)+1))</f>
        <v>2</v>
      </c>
    </row>
    <row r="8630" customFormat="false" ht="15" hidden="false" customHeight="false" outlineLevel="0" collapsed="false">
      <c r="B8630" s="53"/>
      <c r="I8630" s="53"/>
      <c r="U8630" s="31" t="n">
        <f aca="false">IF($B8630&lt;&gt;'設定（最初に1回）'!$C$4,N(U8629),IF(COUNTIFS(①今日の在庫を貼る!$B$6:$B$10005,$B8630,①今日の在庫を貼る!$I$6:$I$10005,$I8630)&gt;0,N(U8629),N(U8629)+1))</f>
        <v>2</v>
      </c>
    </row>
    <row r="8631" customFormat="false" ht="15" hidden="false" customHeight="false" outlineLevel="0" collapsed="false">
      <c r="B8631" s="53"/>
      <c r="I8631" s="53"/>
      <c r="U8631" s="31" t="n">
        <f aca="false">IF($B8631&lt;&gt;'設定（最初に1回）'!$C$4,N(U8630),IF(COUNTIFS(①今日の在庫を貼る!$B$6:$B$10005,$B8631,①今日の在庫を貼る!$I$6:$I$10005,$I8631)&gt;0,N(U8630),N(U8630)+1))</f>
        <v>2</v>
      </c>
    </row>
    <row r="8632" customFormat="false" ht="15" hidden="false" customHeight="false" outlineLevel="0" collapsed="false">
      <c r="B8632" s="53"/>
      <c r="I8632" s="53"/>
      <c r="U8632" s="31" t="n">
        <f aca="false">IF($B8632&lt;&gt;'設定（最初に1回）'!$C$4,N(U8631),IF(COUNTIFS(①今日の在庫を貼る!$B$6:$B$10005,$B8632,①今日の在庫を貼る!$I$6:$I$10005,$I8632)&gt;0,N(U8631),N(U8631)+1))</f>
        <v>2</v>
      </c>
    </row>
    <row r="8633" customFormat="false" ht="15" hidden="false" customHeight="false" outlineLevel="0" collapsed="false">
      <c r="B8633" s="53"/>
      <c r="I8633" s="53"/>
      <c r="U8633" s="31" t="n">
        <f aca="false">IF($B8633&lt;&gt;'設定（最初に1回）'!$C$4,N(U8632),IF(COUNTIFS(①今日の在庫を貼る!$B$6:$B$10005,$B8633,①今日の在庫を貼る!$I$6:$I$10005,$I8633)&gt;0,N(U8632),N(U8632)+1))</f>
        <v>2</v>
      </c>
    </row>
    <row r="8634" customFormat="false" ht="15" hidden="false" customHeight="false" outlineLevel="0" collapsed="false">
      <c r="B8634" s="53"/>
      <c r="I8634" s="53"/>
      <c r="U8634" s="31" t="n">
        <f aca="false">IF($B8634&lt;&gt;'設定（最初に1回）'!$C$4,N(U8633),IF(COUNTIFS(①今日の在庫を貼る!$B$6:$B$10005,$B8634,①今日の在庫を貼る!$I$6:$I$10005,$I8634)&gt;0,N(U8633),N(U8633)+1))</f>
        <v>2</v>
      </c>
    </row>
    <row r="8635" customFormat="false" ht="15" hidden="false" customHeight="false" outlineLevel="0" collapsed="false">
      <c r="B8635" s="53"/>
      <c r="I8635" s="53"/>
      <c r="U8635" s="31" t="n">
        <f aca="false">IF($B8635&lt;&gt;'設定（最初に1回）'!$C$4,N(U8634),IF(COUNTIFS(①今日の在庫を貼る!$B$6:$B$10005,$B8635,①今日の在庫を貼る!$I$6:$I$10005,$I8635)&gt;0,N(U8634),N(U8634)+1))</f>
        <v>2</v>
      </c>
    </row>
    <row r="8636" customFormat="false" ht="15" hidden="false" customHeight="false" outlineLevel="0" collapsed="false">
      <c r="B8636" s="53"/>
      <c r="I8636" s="53"/>
      <c r="U8636" s="31" t="n">
        <f aca="false">IF($B8636&lt;&gt;'設定（最初に1回）'!$C$4,N(U8635),IF(COUNTIFS(①今日の在庫を貼る!$B$6:$B$10005,$B8636,①今日の在庫を貼る!$I$6:$I$10005,$I8636)&gt;0,N(U8635),N(U8635)+1))</f>
        <v>2</v>
      </c>
    </row>
    <row r="8637" customFormat="false" ht="15" hidden="false" customHeight="false" outlineLevel="0" collapsed="false">
      <c r="B8637" s="53"/>
      <c r="I8637" s="53"/>
      <c r="U8637" s="31" t="n">
        <f aca="false">IF($B8637&lt;&gt;'設定（最初に1回）'!$C$4,N(U8636),IF(COUNTIFS(①今日の在庫を貼る!$B$6:$B$10005,$B8637,①今日の在庫を貼る!$I$6:$I$10005,$I8637)&gt;0,N(U8636),N(U8636)+1))</f>
        <v>2</v>
      </c>
    </row>
    <row r="8638" customFormat="false" ht="15" hidden="false" customHeight="false" outlineLevel="0" collapsed="false">
      <c r="B8638" s="53"/>
      <c r="I8638" s="53"/>
      <c r="U8638" s="31" t="n">
        <f aca="false">IF($B8638&lt;&gt;'設定（最初に1回）'!$C$4,N(U8637),IF(COUNTIFS(①今日の在庫を貼る!$B$6:$B$10005,$B8638,①今日の在庫を貼る!$I$6:$I$10005,$I8638)&gt;0,N(U8637),N(U8637)+1))</f>
        <v>2</v>
      </c>
    </row>
    <row r="8639" customFormat="false" ht="15" hidden="false" customHeight="false" outlineLevel="0" collapsed="false">
      <c r="B8639" s="53"/>
      <c r="I8639" s="53"/>
      <c r="U8639" s="31" t="n">
        <f aca="false">IF($B8639&lt;&gt;'設定（最初に1回）'!$C$4,N(U8638),IF(COUNTIFS(①今日の在庫を貼る!$B$6:$B$10005,$B8639,①今日の在庫を貼る!$I$6:$I$10005,$I8639)&gt;0,N(U8638),N(U8638)+1))</f>
        <v>2</v>
      </c>
    </row>
    <row r="8640" customFormat="false" ht="15" hidden="false" customHeight="false" outlineLevel="0" collapsed="false">
      <c r="B8640" s="53"/>
      <c r="I8640" s="53"/>
      <c r="U8640" s="31" t="n">
        <f aca="false">IF($B8640&lt;&gt;'設定（最初に1回）'!$C$4,N(U8639),IF(COUNTIFS(①今日の在庫を貼る!$B$6:$B$10005,$B8640,①今日の在庫を貼る!$I$6:$I$10005,$I8640)&gt;0,N(U8639),N(U8639)+1))</f>
        <v>2</v>
      </c>
    </row>
    <row r="8641" customFormat="false" ht="15" hidden="false" customHeight="false" outlineLevel="0" collapsed="false">
      <c r="B8641" s="53"/>
      <c r="I8641" s="53"/>
      <c r="U8641" s="31" t="n">
        <f aca="false">IF($B8641&lt;&gt;'設定（最初に1回）'!$C$4,N(U8640),IF(COUNTIFS(①今日の在庫を貼る!$B$6:$B$10005,$B8641,①今日の在庫を貼る!$I$6:$I$10005,$I8641)&gt;0,N(U8640),N(U8640)+1))</f>
        <v>2</v>
      </c>
    </row>
    <row r="8642" customFormat="false" ht="15" hidden="false" customHeight="false" outlineLevel="0" collapsed="false">
      <c r="B8642" s="53"/>
      <c r="I8642" s="53"/>
      <c r="U8642" s="31" t="n">
        <f aca="false">IF($B8642&lt;&gt;'設定（最初に1回）'!$C$4,N(U8641),IF(COUNTIFS(①今日の在庫を貼る!$B$6:$B$10005,$B8642,①今日の在庫を貼る!$I$6:$I$10005,$I8642)&gt;0,N(U8641),N(U8641)+1))</f>
        <v>2</v>
      </c>
    </row>
    <row r="8643" customFormat="false" ht="15" hidden="false" customHeight="false" outlineLevel="0" collapsed="false">
      <c r="B8643" s="53"/>
      <c r="I8643" s="53"/>
      <c r="U8643" s="31" t="n">
        <f aca="false">IF($B8643&lt;&gt;'設定（最初に1回）'!$C$4,N(U8642),IF(COUNTIFS(①今日の在庫を貼る!$B$6:$B$10005,$B8643,①今日の在庫を貼る!$I$6:$I$10005,$I8643)&gt;0,N(U8642),N(U8642)+1))</f>
        <v>2</v>
      </c>
    </row>
    <row r="8644" customFormat="false" ht="15" hidden="false" customHeight="false" outlineLevel="0" collapsed="false">
      <c r="B8644" s="53"/>
      <c r="I8644" s="53"/>
      <c r="U8644" s="31" t="n">
        <f aca="false">IF($B8644&lt;&gt;'設定（最初に1回）'!$C$4,N(U8643),IF(COUNTIFS(①今日の在庫を貼る!$B$6:$B$10005,$B8644,①今日の在庫を貼る!$I$6:$I$10005,$I8644)&gt;0,N(U8643),N(U8643)+1))</f>
        <v>2</v>
      </c>
    </row>
    <row r="8645" customFormat="false" ht="15" hidden="false" customHeight="false" outlineLevel="0" collapsed="false">
      <c r="B8645" s="53"/>
      <c r="I8645" s="53"/>
      <c r="U8645" s="31" t="n">
        <f aca="false">IF($B8645&lt;&gt;'設定（最初に1回）'!$C$4,N(U8644),IF(COUNTIFS(①今日の在庫を貼る!$B$6:$B$10005,$B8645,①今日の在庫を貼る!$I$6:$I$10005,$I8645)&gt;0,N(U8644),N(U8644)+1))</f>
        <v>2</v>
      </c>
    </row>
    <row r="8646" customFormat="false" ht="15" hidden="false" customHeight="false" outlineLevel="0" collapsed="false">
      <c r="B8646" s="53"/>
      <c r="I8646" s="53"/>
      <c r="U8646" s="31" t="n">
        <f aca="false">IF($B8646&lt;&gt;'設定（最初に1回）'!$C$4,N(U8645),IF(COUNTIFS(①今日の在庫を貼る!$B$6:$B$10005,$B8646,①今日の在庫を貼る!$I$6:$I$10005,$I8646)&gt;0,N(U8645),N(U8645)+1))</f>
        <v>2</v>
      </c>
    </row>
    <row r="8647" customFormat="false" ht="15" hidden="false" customHeight="false" outlineLevel="0" collapsed="false">
      <c r="B8647" s="53"/>
      <c r="I8647" s="53"/>
      <c r="U8647" s="31" t="n">
        <f aca="false">IF($B8647&lt;&gt;'設定（最初に1回）'!$C$4,N(U8646),IF(COUNTIFS(①今日の在庫を貼る!$B$6:$B$10005,$B8647,①今日の在庫を貼る!$I$6:$I$10005,$I8647)&gt;0,N(U8646),N(U8646)+1))</f>
        <v>2</v>
      </c>
    </row>
    <row r="8648" customFormat="false" ht="15" hidden="false" customHeight="false" outlineLevel="0" collapsed="false">
      <c r="B8648" s="53"/>
      <c r="I8648" s="53"/>
      <c r="U8648" s="31" t="n">
        <f aca="false">IF($B8648&lt;&gt;'設定（最初に1回）'!$C$4,N(U8647),IF(COUNTIFS(①今日の在庫を貼る!$B$6:$B$10005,$B8648,①今日の在庫を貼る!$I$6:$I$10005,$I8648)&gt;0,N(U8647),N(U8647)+1))</f>
        <v>2</v>
      </c>
    </row>
    <row r="8649" customFormat="false" ht="15" hidden="false" customHeight="false" outlineLevel="0" collapsed="false">
      <c r="B8649" s="53"/>
      <c r="I8649" s="53"/>
      <c r="U8649" s="31" t="n">
        <f aca="false">IF($B8649&lt;&gt;'設定（最初に1回）'!$C$4,N(U8648),IF(COUNTIFS(①今日の在庫を貼る!$B$6:$B$10005,$B8649,①今日の在庫を貼る!$I$6:$I$10005,$I8649)&gt;0,N(U8648),N(U8648)+1))</f>
        <v>2</v>
      </c>
    </row>
    <row r="8650" customFormat="false" ht="15" hidden="false" customHeight="false" outlineLevel="0" collapsed="false">
      <c r="B8650" s="53"/>
      <c r="I8650" s="53"/>
      <c r="U8650" s="31" t="n">
        <f aca="false">IF($B8650&lt;&gt;'設定（最初に1回）'!$C$4,N(U8649),IF(COUNTIFS(①今日の在庫を貼る!$B$6:$B$10005,$B8650,①今日の在庫を貼る!$I$6:$I$10005,$I8650)&gt;0,N(U8649),N(U8649)+1))</f>
        <v>2</v>
      </c>
    </row>
    <row r="8651" customFormat="false" ht="15" hidden="false" customHeight="false" outlineLevel="0" collapsed="false">
      <c r="B8651" s="53"/>
      <c r="I8651" s="53"/>
      <c r="U8651" s="31" t="n">
        <f aca="false">IF($B8651&lt;&gt;'設定（最初に1回）'!$C$4,N(U8650),IF(COUNTIFS(①今日の在庫を貼る!$B$6:$B$10005,$B8651,①今日の在庫を貼る!$I$6:$I$10005,$I8651)&gt;0,N(U8650),N(U8650)+1))</f>
        <v>2</v>
      </c>
    </row>
    <row r="8652" customFormat="false" ht="15" hidden="false" customHeight="false" outlineLevel="0" collapsed="false">
      <c r="B8652" s="53"/>
      <c r="I8652" s="53"/>
      <c r="U8652" s="31" t="n">
        <f aca="false">IF($B8652&lt;&gt;'設定（最初に1回）'!$C$4,N(U8651),IF(COUNTIFS(①今日の在庫を貼る!$B$6:$B$10005,$B8652,①今日の在庫を貼る!$I$6:$I$10005,$I8652)&gt;0,N(U8651),N(U8651)+1))</f>
        <v>2</v>
      </c>
    </row>
    <row r="8653" customFormat="false" ht="15" hidden="false" customHeight="false" outlineLevel="0" collapsed="false">
      <c r="B8653" s="53"/>
      <c r="I8653" s="53"/>
      <c r="U8653" s="31" t="n">
        <f aca="false">IF($B8653&lt;&gt;'設定（最初に1回）'!$C$4,N(U8652),IF(COUNTIFS(①今日の在庫を貼る!$B$6:$B$10005,$B8653,①今日の在庫を貼る!$I$6:$I$10005,$I8653)&gt;0,N(U8652),N(U8652)+1))</f>
        <v>2</v>
      </c>
    </row>
    <row r="8654" customFormat="false" ht="15" hidden="false" customHeight="false" outlineLevel="0" collapsed="false">
      <c r="B8654" s="53"/>
      <c r="I8654" s="53"/>
      <c r="U8654" s="31" t="n">
        <f aca="false">IF($B8654&lt;&gt;'設定（最初に1回）'!$C$4,N(U8653),IF(COUNTIFS(①今日の在庫を貼る!$B$6:$B$10005,$B8654,①今日の在庫を貼る!$I$6:$I$10005,$I8654)&gt;0,N(U8653),N(U8653)+1))</f>
        <v>2</v>
      </c>
    </row>
    <row r="8655" customFormat="false" ht="15" hidden="false" customHeight="false" outlineLevel="0" collapsed="false">
      <c r="B8655" s="53"/>
      <c r="I8655" s="53"/>
      <c r="U8655" s="31" t="n">
        <f aca="false">IF($B8655&lt;&gt;'設定（最初に1回）'!$C$4,N(U8654),IF(COUNTIFS(①今日の在庫を貼る!$B$6:$B$10005,$B8655,①今日の在庫を貼る!$I$6:$I$10005,$I8655)&gt;0,N(U8654),N(U8654)+1))</f>
        <v>2</v>
      </c>
    </row>
    <row r="8656" customFormat="false" ht="15" hidden="false" customHeight="false" outlineLevel="0" collapsed="false">
      <c r="B8656" s="53"/>
      <c r="I8656" s="53"/>
      <c r="U8656" s="31" t="n">
        <f aca="false">IF($B8656&lt;&gt;'設定（最初に1回）'!$C$4,N(U8655),IF(COUNTIFS(①今日の在庫を貼る!$B$6:$B$10005,$B8656,①今日の在庫を貼る!$I$6:$I$10005,$I8656)&gt;0,N(U8655),N(U8655)+1))</f>
        <v>2</v>
      </c>
    </row>
    <row r="8657" customFormat="false" ht="15" hidden="false" customHeight="false" outlineLevel="0" collapsed="false">
      <c r="B8657" s="53"/>
      <c r="I8657" s="53"/>
      <c r="U8657" s="31" t="n">
        <f aca="false">IF($B8657&lt;&gt;'設定（最初に1回）'!$C$4,N(U8656),IF(COUNTIFS(①今日の在庫を貼る!$B$6:$B$10005,$B8657,①今日の在庫を貼る!$I$6:$I$10005,$I8657)&gt;0,N(U8656),N(U8656)+1))</f>
        <v>2</v>
      </c>
    </row>
    <row r="8658" customFormat="false" ht="15" hidden="false" customHeight="false" outlineLevel="0" collapsed="false">
      <c r="B8658" s="53"/>
      <c r="I8658" s="53"/>
      <c r="U8658" s="31" t="n">
        <f aca="false">IF($B8658&lt;&gt;'設定（最初に1回）'!$C$4,N(U8657),IF(COUNTIFS(①今日の在庫を貼る!$B$6:$B$10005,$B8658,①今日の在庫を貼る!$I$6:$I$10005,$I8658)&gt;0,N(U8657),N(U8657)+1))</f>
        <v>2</v>
      </c>
    </row>
    <row r="8659" customFormat="false" ht="15" hidden="false" customHeight="false" outlineLevel="0" collapsed="false">
      <c r="B8659" s="53"/>
      <c r="I8659" s="53"/>
      <c r="U8659" s="31" t="n">
        <f aca="false">IF($B8659&lt;&gt;'設定（最初に1回）'!$C$4,N(U8658),IF(COUNTIFS(①今日の在庫を貼る!$B$6:$B$10005,$B8659,①今日の在庫を貼る!$I$6:$I$10005,$I8659)&gt;0,N(U8658),N(U8658)+1))</f>
        <v>2</v>
      </c>
    </row>
    <row r="8660" customFormat="false" ht="15" hidden="false" customHeight="false" outlineLevel="0" collapsed="false">
      <c r="B8660" s="53"/>
      <c r="I8660" s="53"/>
      <c r="U8660" s="31" t="n">
        <f aca="false">IF($B8660&lt;&gt;'設定（最初に1回）'!$C$4,N(U8659),IF(COUNTIFS(①今日の在庫を貼る!$B$6:$B$10005,$B8660,①今日の在庫を貼る!$I$6:$I$10005,$I8660)&gt;0,N(U8659),N(U8659)+1))</f>
        <v>2</v>
      </c>
    </row>
    <row r="8661" customFormat="false" ht="15" hidden="false" customHeight="false" outlineLevel="0" collapsed="false">
      <c r="B8661" s="53"/>
      <c r="I8661" s="53"/>
      <c r="U8661" s="31" t="n">
        <f aca="false">IF($B8661&lt;&gt;'設定（最初に1回）'!$C$4,N(U8660),IF(COUNTIFS(①今日の在庫を貼る!$B$6:$B$10005,$B8661,①今日の在庫を貼る!$I$6:$I$10005,$I8661)&gt;0,N(U8660),N(U8660)+1))</f>
        <v>2</v>
      </c>
    </row>
    <row r="8662" customFormat="false" ht="15" hidden="false" customHeight="false" outlineLevel="0" collapsed="false">
      <c r="B8662" s="53"/>
      <c r="I8662" s="53"/>
      <c r="U8662" s="31" t="n">
        <f aca="false">IF($B8662&lt;&gt;'設定（最初に1回）'!$C$4,N(U8661),IF(COUNTIFS(①今日の在庫を貼る!$B$6:$B$10005,$B8662,①今日の在庫を貼る!$I$6:$I$10005,$I8662)&gt;0,N(U8661),N(U8661)+1))</f>
        <v>2</v>
      </c>
    </row>
    <row r="8663" customFormat="false" ht="15" hidden="false" customHeight="false" outlineLevel="0" collapsed="false">
      <c r="B8663" s="53"/>
      <c r="I8663" s="53"/>
      <c r="U8663" s="31" t="n">
        <f aca="false">IF($B8663&lt;&gt;'設定（最初に1回）'!$C$4,N(U8662),IF(COUNTIFS(①今日の在庫を貼る!$B$6:$B$10005,$B8663,①今日の在庫を貼る!$I$6:$I$10005,$I8663)&gt;0,N(U8662),N(U8662)+1))</f>
        <v>2</v>
      </c>
    </row>
    <row r="8664" customFormat="false" ht="15" hidden="false" customHeight="false" outlineLevel="0" collapsed="false">
      <c r="B8664" s="53"/>
      <c r="I8664" s="53"/>
      <c r="U8664" s="31" t="n">
        <f aca="false">IF($B8664&lt;&gt;'設定（最初に1回）'!$C$4,N(U8663),IF(COUNTIFS(①今日の在庫を貼る!$B$6:$B$10005,$B8664,①今日の在庫を貼る!$I$6:$I$10005,$I8664)&gt;0,N(U8663),N(U8663)+1))</f>
        <v>2</v>
      </c>
    </row>
    <row r="8665" customFormat="false" ht="15" hidden="false" customHeight="false" outlineLevel="0" collapsed="false">
      <c r="B8665" s="53"/>
      <c r="I8665" s="53"/>
      <c r="U8665" s="31" t="n">
        <f aca="false">IF($B8665&lt;&gt;'設定（最初に1回）'!$C$4,N(U8664),IF(COUNTIFS(①今日の在庫を貼る!$B$6:$B$10005,$B8665,①今日の在庫を貼る!$I$6:$I$10005,$I8665)&gt;0,N(U8664),N(U8664)+1))</f>
        <v>2</v>
      </c>
    </row>
    <row r="8666" customFormat="false" ht="15" hidden="false" customHeight="false" outlineLevel="0" collapsed="false">
      <c r="B8666" s="53"/>
      <c r="I8666" s="53"/>
      <c r="U8666" s="31" t="n">
        <f aca="false">IF($B8666&lt;&gt;'設定（最初に1回）'!$C$4,N(U8665),IF(COUNTIFS(①今日の在庫を貼る!$B$6:$B$10005,$B8666,①今日の在庫を貼る!$I$6:$I$10005,$I8666)&gt;0,N(U8665),N(U8665)+1))</f>
        <v>2</v>
      </c>
    </row>
    <row r="8667" customFormat="false" ht="15" hidden="false" customHeight="false" outlineLevel="0" collapsed="false">
      <c r="B8667" s="53"/>
      <c r="I8667" s="53"/>
      <c r="U8667" s="31" t="n">
        <f aca="false">IF($B8667&lt;&gt;'設定（最初に1回）'!$C$4,N(U8666),IF(COUNTIFS(①今日の在庫を貼る!$B$6:$B$10005,$B8667,①今日の在庫を貼る!$I$6:$I$10005,$I8667)&gt;0,N(U8666),N(U8666)+1))</f>
        <v>2</v>
      </c>
    </row>
    <row r="8668" customFormat="false" ht="15" hidden="false" customHeight="false" outlineLevel="0" collapsed="false">
      <c r="B8668" s="53"/>
      <c r="I8668" s="53"/>
      <c r="U8668" s="31" t="n">
        <f aca="false">IF($B8668&lt;&gt;'設定（最初に1回）'!$C$4,N(U8667),IF(COUNTIFS(①今日の在庫を貼る!$B$6:$B$10005,$B8668,①今日の在庫を貼る!$I$6:$I$10005,$I8668)&gt;0,N(U8667),N(U8667)+1))</f>
        <v>2</v>
      </c>
    </row>
    <row r="8669" customFormat="false" ht="15" hidden="false" customHeight="false" outlineLevel="0" collapsed="false">
      <c r="B8669" s="53"/>
      <c r="I8669" s="53"/>
      <c r="U8669" s="31" t="n">
        <f aca="false">IF($B8669&lt;&gt;'設定（最初に1回）'!$C$4,N(U8668),IF(COUNTIFS(①今日の在庫を貼る!$B$6:$B$10005,$B8669,①今日の在庫を貼る!$I$6:$I$10005,$I8669)&gt;0,N(U8668),N(U8668)+1))</f>
        <v>2</v>
      </c>
    </row>
    <row r="8670" customFormat="false" ht="15" hidden="false" customHeight="false" outlineLevel="0" collapsed="false">
      <c r="B8670" s="53"/>
      <c r="I8670" s="53"/>
      <c r="U8670" s="31" t="n">
        <f aca="false">IF($B8670&lt;&gt;'設定（最初に1回）'!$C$4,N(U8669),IF(COUNTIFS(①今日の在庫を貼る!$B$6:$B$10005,$B8670,①今日の在庫を貼る!$I$6:$I$10005,$I8670)&gt;0,N(U8669),N(U8669)+1))</f>
        <v>2</v>
      </c>
    </row>
    <row r="8671" customFormat="false" ht="15" hidden="false" customHeight="false" outlineLevel="0" collapsed="false">
      <c r="B8671" s="53"/>
      <c r="I8671" s="53"/>
      <c r="U8671" s="31" t="n">
        <f aca="false">IF($B8671&lt;&gt;'設定（最初に1回）'!$C$4,N(U8670),IF(COUNTIFS(①今日の在庫を貼る!$B$6:$B$10005,$B8671,①今日の在庫を貼る!$I$6:$I$10005,$I8671)&gt;0,N(U8670),N(U8670)+1))</f>
        <v>2</v>
      </c>
    </row>
    <row r="8672" customFormat="false" ht="15" hidden="false" customHeight="false" outlineLevel="0" collapsed="false">
      <c r="B8672" s="53"/>
      <c r="I8672" s="53"/>
      <c r="U8672" s="31" t="n">
        <f aca="false">IF($B8672&lt;&gt;'設定（最初に1回）'!$C$4,N(U8671),IF(COUNTIFS(①今日の在庫を貼る!$B$6:$B$10005,$B8672,①今日の在庫を貼る!$I$6:$I$10005,$I8672)&gt;0,N(U8671),N(U8671)+1))</f>
        <v>2</v>
      </c>
    </row>
    <row r="8673" customFormat="false" ht="15" hidden="false" customHeight="false" outlineLevel="0" collapsed="false">
      <c r="B8673" s="53"/>
      <c r="I8673" s="53"/>
      <c r="U8673" s="31" t="n">
        <f aca="false">IF($B8673&lt;&gt;'設定（最初に1回）'!$C$4,N(U8672),IF(COUNTIFS(①今日の在庫を貼る!$B$6:$B$10005,$B8673,①今日の在庫を貼る!$I$6:$I$10005,$I8673)&gt;0,N(U8672),N(U8672)+1))</f>
        <v>2</v>
      </c>
    </row>
    <row r="8674" customFormat="false" ht="15" hidden="false" customHeight="false" outlineLevel="0" collapsed="false">
      <c r="B8674" s="53"/>
      <c r="I8674" s="53"/>
      <c r="U8674" s="31" t="n">
        <f aca="false">IF($B8674&lt;&gt;'設定（最初に1回）'!$C$4,N(U8673),IF(COUNTIFS(①今日の在庫を貼る!$B$6:$B$10005,$B8674,①今日の在庫を貼る!$I$6:$I$10005,$I8674)&gt;0,N(U8673),N(U8673)+1))</f>
        <v>2</v>
      </c>
    </row>
    <row r="8675" customFormat="false" ht="15" hidden="false" customHeight="false" outlineLevel="0" collapsed="false">
      <c r="B8675" s="53"/>
      <c r="I8675" s="53"/>
      <c r="U8675" s="31" t="n">
        <f aca="false">IF($B8675&lt;&gt;'設定（最初に1回）'!$C$4,N(U8674),IF(COUNTIFS(①今日の在庫を貼る!$B$6:$B$10005,$B8675,①今日の在庫を貼る!$I$6:$I$10005,$I8675)&gt;0,N(U8674),N(U8674)+1))</f>
        <v>2</v>
      </c>
    </row>
    <row r="8676" customFormat="false" ht="15" hidden="false" customHeight="false" outlineLevel="0" collapsed="false">
      <c r="B8676" s="53"/>
      <c r="I8676" s="53"/>
      <c r="U8676" s="31" t="n">
        <f aca="false">IF($B8676&lt;&gt;'設定（最初に1回）'!$C$4,N(U8675),IF(COUNTIFS(①今日の在庫を貼る!$B$6:$B$10005,$B8676,①今日の在庫を貼る!$I$6:$I$10005,$I8676)&gt;0,N(U8675),N(U8675)+1))</f>
        <v>2</v>
      </c>
    </row>
    <row r="8677" customFormat="false" ht="15" hidden="false" customHeight="false" outlineLevel="0" collapsed="false">
      <c r="B8677" s="53"/>
      <c r="I8677" s="53"/>
      <c r="U8677" s="31" t="n">
        <f aca="false">IF($B8677&lt;&gt;'設定（最初に1回）'!$C$4,N(U8676),IF(COUNTIFS(①今日の在庫を貼る!$B$6:$B$10005,$B8677,①今日の在庫を貼る!$I$6:$I$10005,$I8677)&gt;0,N(U8676),N(U8676)+1))</f>
        <v>2</v>
      </c>
    </row>
    <row r="8678" customFormat="false" ht="15" hidden="false" customHeight="false" outlineLevel="0" collapsed="false">
      <c r="B8678" s="53"/>
      <c r="I8678" s="53"/>
      <c r="U8678" s="31" t="n">
        <f aca="false">IF($B8678&lt;&gt;'設定（最初に1回）'!$C$4,N(U8677),IF(COUNTIFS(①今日の在庫を貼る!$B$6:$B$10005,$B8678,①今日の在庫を貼る!$I$6:$I$10005,$I8678)&gt;0,N(U8677),N(U8677)+1))</f>
        <v>2</v>
      </c>
    </row>
    <row r="8679" customFormat="false" ht="15" hidden="false" customHeight="false" outlineLevel="0" collapsed="false">
      <c r="B8679" s="53"/>
      <c r="I8679" s="53"/>
      <c r="U8679" s="31" t="n">
        <f aca="false">IF($B8679&lt;&gt;'設定（最初に1回）'!$C$4,N(U8678),IF(COUNTIFS(①今日の在庫を貼る!$B$6:$B$10005,$B8679,①今日の在庫を貼る!$I$6:$I$10005,$I8679)&gt;0,N(U8678),N(U8678)+1))</f>
        <v>2</v>
      </c>
    </row>
    <row r="8680" customFormat="false" ht="15" hidden="false" customHeight="false" outlineLevel="0" collapsed="false">
      <c r="B8680" s="53"/>
      <c r="I8680" s="53"/>
      <c r="U8680" s="31" t="n">
        <f aca="false">IF($B8680&lt;&gt;'設定（最初に1回）'!$C$4,N(U8679),IF(COUNTIFS(①今日の在庫を貼る!$B$6:$B$10005,$B8680,①今日の在庫を貼る!$I$6:$I$10005,$I8680)&gt;0,N(U8679),N(U8679)+1))</f>
        <v>2</v>
      </c>
    </row>
    <row r="8681" customFormat="false" ht="15" hidden="false" customHeight="false" outlineLevel="0" collapsed="false">
      <c r="B8681" s="53"/>
      <c r="I8681" s="53"/>
      <c r="U8681" s="31" t="n">
        <f aca="false">IF($B8681&lt;&gt;'設定（最初に1回）'!$C$4,N(U8680),IF(COUNTIFS(①今日の在庫を貼る!$B$6:$B$10005,$B8681,①今日の在庫を貼る!$I$6:$I$10005,$I8681)&gt;0,N(U8680),N(U8680)+1))</f>
        <v>2</v>
      </c>
    </row>
    <row r="8682" customFormat="false" ht="15" hidden="false" customHeight="false" outlineLevel="0" collapsed="false">
      <c r="B8682" s="53"/>
      <c r="I8682" s="53"/>
      <c r="U8682" s="31" t="n">
        <f aca="false">IF($B8682&lt;&gt;'設定（最初に1回）'!$C$4,N(U8681),IF(COUNTIFS(①今日の在庫を貼る!$B$6:$B$10005,$B8682,①今日の在庫を貼る!$I$6:$I$10005,$I8682)&gt;0,N(U8681),N(U8681)+1))</f>
        <v>2</v>
      </c>
    </row>
    <row r="8683" customFormat="false" ht="15" hidden="false" customHeight="false" outlineLevel="0" collapsed="false">
      <c r="B8683" s="53"/>
      <c r="I8683" s="53"/>
      <c r="U8683" s="31" t="n">
        <f aca="false">IF($B8683&lt;&gt;'設定（最初に1回）'!$C$4,N(U8682),IF(COUNTIFS(①今日の在庫を貼る!$B$6:$B$10005,$B8683,①今日の在庫を貼る!$I$6:$I$10005,$I8683)&gt;0,N(U8682),N(U8682)+1))</f>
        <v>2</v>
      </c>
    </row>
    <row r="8684" customFormat="false" ht="15" hidden="false" customHeight="false" outlineLevel="0" collapsed="false">
      <c r="B8684" s="53"/>
      <c r="I8684" s="53"/>
      <c r="U8684" s="31" t="n">
        <f aca="false">IF($B8684&lt;&gt;'設定（最初に1回）'!$C$4,N(U8683),IF(COUNTIFS(①今日の在庫を貼る!$B$6:$B$10005,$B8684,①今日の在庫を貼る!$I$6:$I$10005,$I8684)&gt;0,N(U8683),N(U8683)+1))</f>
        <v>2</v>
      </c>
    </row>
    <row r="8685" customFormat="false" ht="15" hidden="false" customHeight="false" outlineLevel="0" collapsed="false">
      <c r="B8685" s="53"/>
      <c r="I8685" s="53"/>
      <c r="U8685" s="31" t="n">
        <f aca="false">IF($B8685&lt;&gt;'設定（最初に1回）'!$C$4,N(U8684),IF(COUNTIFS(①今日の在庫を貼る!$B$6:$B$10005,$B8685,①今日の在庫を貼る!$I$6:$I$10005,$I8685)&gt;0,N(U8684),N(U8684)+1))</f>
        <v>2</v>
      </c>
    </row>
    <row r="8686" customFormat="false" ht="15" hidden="false" customHeight="false" outlineLevel="0" collapsed="false">
      <c r="B8686" s="53"/>
      <c r="I8686" s="53"/>
      <c r="U8686" s="31" t="n">
        <f aca="false">IF($B8686&lt;&gt;'設定（最初に1回）'!$C$4,N(U8685),IF(COUNTIFS(①今日の在庫を貼る!$B$6:$B$10005,$B8686,①今日の在庫を貼る!$I$6:$I$10005,$I8686)&gt;0,N(U8685),N(U8685)+1))</f>
        <v>2</v>
      </c>
    </row>
    <row r="8687" customFormat="false" ht="15" hidden="false" customHeight="false" outlineLevel="0" collapsed="false">
      <c r="B8687" s="53"/>
      <c r="I8687" s="53"/>
      <c r="U8687" s="31" t="n">
        <f aca="false">IF($B8687&lt;&gt;'設定（最初に1回）'!$C$4,N(U8686),IF(COUNTIFS(①今日の在庫を貼る!$B$6:$B$10005,$B8687,①今日の在庫を貼る!$I$6:$I$10005,$I8687)&gt;0,N(U8686),N(U8686)+1))</f>
        <v>2</v>
      </c>
    </row>
    <row r="8688" customFormat="false" ht="15" hidden="false" customHeight="false" outlineLevel="0" collapsed="false">
      <c r="B8688" s="53"/>
      <c r="I8688" s="53"/>
      <c r="U8688" s="31" t="n">
        <f aca="false">IF($B8688&lt;&gt;'設定（最初に1回）'!$C$4,N(U8687),IF(COUNTIFS(①今日の在庫を貼る!$B$6:$B$10005,$B8688,①今日の在庫を貼る!$I$6:$I$10005,$I8688)&gt;0,N(U8687),N(U8687)+1))</f>
        <v>2</v>
      </c>
    </row>
    <row r="8689" customFormat="false" ht="15" hidden="false" customHeight="false" outlineLevel="0" collapsed="false">
      <c r="B8689" s="53"/>
      <c r="I8689" s="53"/>
      <c r="U8689" s="31" t="n">
        <f aca="false">IF($B8689&lt;&gt;'設定（最初に1回）'!$C$4,N(U8688),IF(COUNTIFS(①今日の在庫を貼る!$B$6:$B$10005,$B8689,①今日の在庫を貼る!$I$6:$I$10005,$I8689)&gt;0,N(U8688),N(U8688)+1))</f>
        <v>2</v>
      </c>
    </row>
    <row r="8690" customFormat="false" ht="15" hidden="false" customHeight="false" outlineLevel="0" collapsed="false">
      <c r="B8690" s="53"/>
      <c r="I8690" s="53"/>
      <c r="U8690" s="31" t="n">
        <f aca="false">IF($B8690&lt;&gt;'設定（最初に1回）'!$C$4,N(U8689),IF(COUNTIFS(①今日の在庫を貼る!$B$6:$B$10005,$B8690,①今日の在庫を貼る!$I$6:$I$10005,$I8690)&gt;0,N(U8689),N(U8689)+1))</f>
        <v>2</v>
      </c>
    </row>
    <row r="8691" customFormat="false" ht="15" hidden="false" customHeight="false" outlineLevel="0" collapsed="false">
      <c r="B8691" s="53"/>
      <c r="I8691" s="53"/>
      <c r="U8691" s="31" t="n">
        <f aca="false">IF($B8691&lt;&gt;'設定（最初に1回）'!$C$4,N(U8690),IF(COUNTIFS(①今日の在庫を貼る!$B$6:$B$10005,$B8691,①今日の在庫を貼る!$I$6:$I$10005,$I8691)&gt;0,N(U8690),N(U8690)+1))</f>
        <v>2</v>
      </c>
    </row>
    <row r="8692" customFormat="false" ht="15" hidden="false" customHeight="false" outlineLevel="0" collapsed="false">
      <c r="B8692" s="53"/>
      <c r="I8692" s="53"/>
      <c r="U8692" s="31" t="n">
        <f aca="false">IF($B8692&lt;&gt;'設定（最初に1回）'!$C$4,N(U8691),IF(COUNTIFS(①今日の在庫を貼る!$B$6:$B$10005,$B8692,①今日の在庫を貼る!$I$6:$I$10005,$I8692)&gt;0,N(U8691),N(U8691)+1))</f>
        <v>2</v>
      </c>
    </row>
    <row r="8693" customFormat="false" ht="15" hidden="false" customHeight="false" outlineLevel="0" collapsed="false">
      <c r="B8693" s="53"/>
      <c r="I8693" s="53"/>
      <c r="U8693" s="31" t="n">
        <f aca="false">IF($B8693&lt;&gt;'設定（最初に1回）'!$C$4,N(U8692),IF(COUNTIFS(①今日の在庫を貼る!$B$6:$B$10005,$B8693,①今日の在庫を貼る!$I$6:$I$10005,$I8693)&gt;0,N(U8692),N(U8692)+1))</f>
        <v>2</v>
      </c>
    </row>
    <row r="8694" customFormat="false" ht="15" hidden="false" customHeight="false" outlineLevel="0" collapsed="false">
      <c r="B8694" s="53"/>
      <c r="I8694" s="53"/>
      <c r="U8694" s="31" t="n">
        <f aca="false">IF($B8694&lt;&gt;'設定（最初に1回）'!$C$4,N(U8693),IF(COUNTIFS(①今日の在庫を貼る!$B$6:$B$10005,$B8694,①今日の在庫を貼る!$I$6:$I$10005,$I8694)&gt;0,N(U8693),N(U8693)+1))</f>
        <v>2</v>
      </c>
    </row>
    <row r="8695" customFormat="false" ht="15" hidden="false" customHeight="false" outlineLevel="0" collapsed="false">
      <c r="B8695" s="53"/>
      <c r="I8695" s="53"/>
      <c r="U8695" s="31" t="n">
        <f aca="false">IF($B8695&lt;&gt;'設定（最初に1回）'!$C$4,N(U8694),IF(COUNTIFS(①今日の在庫を貼る!$B$6:$B$10005,$B8695,①今日の在庫を貼る!$I$6:$I$10005,$I8695)&gt;0,N(U8694),N(U8694)+1))</f>
        <v>2</v>
      </c>
    </row>
    <row r="8696" customFormat="false" ht="15" hidden="false" customHeight="false" outlineLevel="0" collapsed="false">
      <c r="B8696" s="53"/>
      <c r="I8696" s="53"/>
      <c r="U8696" s="31" t="n">
        <f aca="false">IF($B8696&lt;&gt;'設定（最初に1回）'!$C$4,N(U8695),IF(COUNTIFS(①今日の在庫を貼る!$B$6:$B$10005,$B8696,①今日の在庫を貼る!$I$6:$I$10005,$I8696)&gt;0,N(U8695),N(U8695)+1))</f>
        <v>2</v>
      </c>
    </row>
    <row r="8697" customFormat="false" ht="15" hidden="false" customHeight="false" outlineLevel="0" collapsed="false">
      <c r="B8697" s="53"/>
      <c r="I8697" s="53"/>
      <c r="U8697" s="31" t="n">
        <f aca="false">IF($B8697&lt;&gt;'設定（最初に1回）'!$C$4,N(U8696),IF(COUNTIFS(①今日の在庫を貼る!$B$6:$B$10005,$B8697,①今日の在庫を貼る!$I$6:$I$10005,$I8697)&gt;0,N(U8696),N(U8696)+1))</f>
        <v>2</v>
      </c>
    </row>
    <row r="8698" customFormat="false" ht="15" hidden="false" customHeight="false" outlineLevel="0" collapsed="false">
      <c r="B8698" s="53"/>
      <c r="I8698" s="53"/>
      <c r="U8698" s="31" t="n">
        <f aca="false">IF($B8698&lt;&gt;'設定（最初に1回）'!$C$4,N(U8697),IF(COUNTIFS(①今日の在庫を貼る!$B$6:$B$10005,$B8698,①今日の在庫を貼る!$I$6:$I$10005,$I8698)&gt;0,N(U8697),N(U8697)+1))</f>
        <v>2</v>
      </c>
    </row>
    <row r="8699" customFormat="false" ht="15" hidden="false" customHeight="false" outlineLevel="0" collapsed="false">
      <c r="B8699" s="53"/>
      <c r="I8699" s="53"/>
      <c r="U8699" s="31" t="n">
        <f aca="false">IF($B8699&lt;&gt;'設定（最初に1回）'!$C$4,N(U8698),IF(COUNTIFS(①今日の在庫を貼る!$B$6:$B$10005,$B8699,①今日の在庫を貼る!$I$6:$I$10005,$I8699)&gt;0,N(U8698),N(U8698)+1))</f>
        <v>2</v>
      </c>
    </row>
    <row r="8700" customFormat="false" ht="15" hidden="false" customHeight="false" outlineLevel="0" collapsed="false">
      <c r="B8700" s="53"/>
      <c r="I8700" s="53"/>
      <c r="U8700" s="31" t="n">
        <f aca="false">IF($B8700&lt;&gt;'設定（最初に1回）'!$C$4,N(U8699),IF(COUNTIFS(①今日の在庫を貼る!$B$6:$B$10005,$B8700,①今日の在庫を貼る!$I$6:$I$10005,$I8700)&gt;0,N(U8699),N(U8699)+1))</f>
        <v>2</v>
      </c>
    </row>
    <row r="8701" customFormat="false" ht="15" hidden="false" customHeight="false" outlineLevel="0" collapsed="false">
      <c r="B8701" s="53"/>
      <c r="I8701" s="53"/>
      <c r="U8701" s="31" t="n">
        <f aca="false">IF($B8701&lt;&gt;'設定（最初に1回）'!$C$4,N(U8700),IF(COUNTIFS(①今日の在庫を貼る!$B$6:$B$10005,$B8701,①今日の在庫を貼る!$I$6:$I$10005,$I8701)&gt;0,N(U8700),N(U8700)+1))</f>
        <v>2</v>
      </c>
    </row>
    <row r="8702" customFormat="false" ht="15" hidden="false" customHeight="false" outlineLevel="0" collapsed="false">
      <c r="B8702" s="53"/>
      <c r="I8702" s="53"/>
      <c r="U8702" s="31" t="n">
        <f aca="false">IF($B8702&lt;&gt;'設定（最初に1回）'!$C$4,N(U8701),IF(COUNTIFS(①今日の在庫を貼る!$B$6:$B$10005,$B8702,①今日の在庫を貼る!$I$6:$I$10005,$I8702)&gt;0,N(U8701),N(U8701)+1))</f>
        <v>2</v>
      </c>
    </row>
    <row r="8703" customFormat="false" ht="15" hidden="false" customHeight="false" outlineLevel="0" collapsed="false">
      <c r="B8703" s="53"/>
      <c r="I8703" s="53"/>
      <c r="U8703" s="31" t="n">
        <f aca="false">IF($B8703&lt;&gt;'設定（最初に1回）'!$C$4,N(U8702),IF(COUNTIFS(①今日の在庫を貼る!$B$6:$B$10005,$B8703,①今日の在庫を貼る!$I$6:$I$10005,$I8703)&gt;0,N(U8702),N(U8702)+1))</f>
        <v>2</v>
      </c>
    </row>
    <row r="8704" customFormat="false" ht="15" hidden="false" customHeight="false" outlineLevel="0" collapsed="false">
      <c r="B8704" s="53"/>
      <c r="I8704" s="53"/>
      <c r="U8704" s="31" t="n">
        <f aca="false">IF($B8704&lt;&gt;'設定（最初に1回）'!$C$4,N(U8703),IF(COUNTIFS(①今日の在庫を貼る!$B$6:$B$10005,$B8704,①今日の在庫を貼る!$I$6:$I$10005,$I8704)&gt;0,N(U8703),N(U8703)+1))</f>
        <v>2</v>
      </c>
    </row>
    <row r="8705" customFormat="false" ht="15" hidden="false" customHeight="false" outlineLevel="0" collapsed="false">
      <c r="B8705" s="53"/>
      <c r="I8705" s="53"/>
      <c r="U8705" s="31" t="n">
        <f aca="false">IF($B8705&lt;&gt;'設定（最初に1回）'!$C$4,N(U8704),IF(COUNTIFS(①今日の在庫を貼る!$B$6:$B$10005,$B8705,①今日の在庫を貼る!$I$6:$I$10005,$I8705)&gt;0,N(U8704),N(U8704)+1))</f>
        <v>2</v>
      </c>
    </row>
    <row r="8706" customFormat="false" ht="15" hidden="false" customHeight="false" outlineLevel="0" collapsed="false">
      <c r="B8706" s="53"/>
      <c r="I8706" s="53"/>
      <c r="U8706" s="31" t="n">
        <f aca="false">IF($B8706&lt;&gt;'設定（最初に1回）'!$C$4,N(U8705),IF(COUNTIFS(①今日の在庫を貼る!$B$6:$B$10005,$B8706,①今日の在庫を貼る!$I$6:$I$10005,$I8706)&gt;0,N(U8705),N(U8705)+1))</f>
        <v>2</v>
      </c>
    </row>
    <row r="8707" customFormat="false" ht="15" hidden="false" customHeight="false" outlineLevel="0" collapsed="false">
      <c r="B8707" s="53"/>
      <c r="I8707" s="53"/>
      <c r="U8707" s="31" t="n">
        <f aca="false">IF($B8707&lt;&gt;'設定（最初に1回）'!$C$4,N(U8706),IF(COUNTIFS(①今日の在庫を貼る!$B$6:$B$10005,$B8707,①今日の在庫を貼る!$I$6:$I$10005,$I8707)&gt;0,N(U8706),N(U8706)+1))</f>
        <v>2</v>
      </c>
    </row>
    <row r="8708" customFormat="false" ht="15" hidden="false" customHeight="false" outlineLevel="0" collapsed="false">
      <c r="B8708" s="53"/>
      <c r="I8708" s="53"/>
      <c r="U8708" s="31" t="n">
        <f aca="false">IF($B8708&lt;&gt;'設定（最初に1回）'!$C$4,N(U8707),IF(COUNTIFS(①今日の在庫を貼る!$B$6:$B$10005,$B8708,①今日の在庫を貼る!$I$6:$I$10005,$I8708)&gt;0,N(U8707),N(U8707)+1))</f>
        <v>2</v>
      </c>
    </row>
    <row r="8709" customFormat="false" ht="15" hidden="false" customHeight="false" outlineLevel="0" collapsed="false">
      <c r="B8709" s="53"/>
      <c r="I8709" s="53"/>
      <c r="U8709" s="31" t="n">
        <f aca="false">IF($B8709&lt;&gt;'設定（最初に1回）'!$C$4,N(U8708),IF(COUNTIFS(①今日の在庫を貼る!$B$6:$B$10005,$B8709,①今日の在庫を貼る!$I$6:$I$10005,$I8709)&gt;0,N(U8708),N(U8708)+1))</f>
        <v>2</v>
      </c>
    </row>
    <row r="8710" customFormat="false" ht="15" hidden="false" customHeight="false" outlineLevel="0" collapsed="false">
      <c r="B8710" s="53"/>
      <c r="I8710" s="53"/>
      <c r="U8710" s="31" t="n">
        <f aca="false">IF($B8710&lt;&gt;'設定（最初に1回）'!$C$4,N(U8709),IF(COUNTIFS(①今日の在庫を貼る!$B$6:$B$10005,$B8710,①今日の在庫を貼る!$I$6:$I$10005,$I8710)&gt;0,N(U8709),N(U8709)+1))</f>
        <v>2</v>
      </c>
    </row>
    <row r="8711" customFormat="false" ht="15" hidden="false" customHeight="false" outlineLevel="0" collapsed="false">
      <c r="B8711" s="53"/>
      <c r="I8711" s="53"/>
      <c r="U8711" s="31" t="n">
        <f aca="false">IF($B8711&lt;&gt;'設定（最初に1回）'!$C$4,N(U8710),IF(COUNTIFS(①今日の在庫を貼る!$B$6:$B$10005,$B8711,①今日の在庫を貼る!$I$6:$I$10005,$I8711)&gt;0,N(U8710),N(U8710)+1))</f>
        <v>2</v>
      </c>
    </row>
    <row r="8712" customFormat="false" ht="15" hidden="false" customHeight="false" outlineLevel="0" collapsed="false">
      <c r="B8712" s="53"/>
      <c r="I8712" s="53"/>
      <c r="U8712" s="31" t="n">
        <f aca="false">IF($B8712&lt;&gt;'設定（最初に1回）'!$C$4,N(U8711),IF(COUNTIFS(①今日の在庫を貼る!$B$6:$B$10005,$B8712,①今日の在庫を貼る!$I$6:$I$10005,$I8712)&gt;0,N(U8711),N(U8711)+1))</f>
        <v>2</v>
      </c>
    </row>
    <row r="8713" customFormat="false" ht="15" hidden="false" customHeight="false" outlineLevel="0" collapsed="false">
      <c r="B8713" s="53"/>
      <c r="I8713" s="53"/>
      <c r="U8713" s="31" t="n">
        <f aca="false">IF($B8713&lt;&gt;'設定（最初に1回）'!$C$4,N(U8712),IF(COUNTIFS(①今日の在庫を貼る!$B$6:$B$10005,$B8713,①今日の在庫を貼る!$I$6:$I$10005,$I8713)&gt;0,N(U8712),N(U8712)+1))</f>
        <v>2</v>
      </c>
    </row>
    <row r="8714" customFormat="false" ht="15" hidden="false" customHeight="false" outlineLevel="0" collapsed="false">
      <c r="B8714" s="53"/>
      <c r="I8714" s="53"/>
      <c r="U8714" s="31" t="n">
        <f aca="false">IF($B8714&lt;&gt;'設定（最初に1回）'!$C$4,N(U8713),IF(COUNTIFS(①今日の在庫を貼る!$B$6:$B$10005,$B8714,①今日の在庫を貼る!$I$6:$I$10005,$I8714)&gt;0,N(U8713),N(U8713)+1))</f>
        <v>2</v>
      </c>
    </row>
    <row r="8715" customFormat="false" ht="15" hidden="false" customHeight="false" outlineLevel="0" collapsed="false">
      <c r="B8715" s="53"/>
      <c r="I8715" s="53"/>
      <c r="U8715" s="31" t="n">
        <f aca="false">IF($B8715&lt;&gt;'設定（最初に1回）'!$C$4,N(U8714),IF(COUNTIFS(①今日の在庫を貼る!$B$6:$B$10005,$B8715,①今日の在庫を貼る!$I$6:$I$10005,$I8715)&gt;0,N(U8714),N(U8714)+1))</f>
        <v>2</v>
      </c>
    </row>
    <row r="8716" customFormat="false" ht="15" hidden="false" customHeight="false" outlineLevel="0" collapsed="false">
      <c r="B8716" s="53"/>
      <c r="I8716" s="53"/>
      <c r="U8716" s="31" t="n">
        <f aca="false">IF($B8716&lt;&gt;'設定（最初に1回）'!$C$4,N(U8715),IF(COUNTIFS(①今日の在庫を貼る!$B$6:$B$10005,$B8716,①今日の在庫を貼る!$I$6:$I$10005,$I8716)&gt;0,N(U8715),N(U8715)+1))</f>
        <v>2</v>
      </c>
    </row>
    <row r="8717" customFormat="false" ht="15" hidden="false" customHeight="false" outlineLevel="0" collapsed="false">
      <c r="B8717" s="53"/>
      <c r="I8717" s="53"/>
      <c r="U8717" s="31" t="n">
        <f aca="false">IF($B8717&lt;&gt;'設定（最初に1回）'!$C$4,N(U8716),IF(COUNTIFS(①今日の在庫を貼る!$B$6:$B$10005,$B8717,①今日の在庫を貼る!$I$6:$I$10005,$I8717)&gt;0,N(U8716),N(U8716)+1))</f>
        <v>2</v>
      </c>
    </row>
    <row r="8718" customFormat="false" ht="15" hidden="false" customHeight="false" outlineLevel="0" collapsed="false">
      <c r="B8718" s="53"/>
      <c r="I8718" s="53"/>
      <c r="U8718" s="31" t="n">
        <f aca="false">IF($B8718&lt;&gt;'設定（最初に1回）'!$C$4,N(U8717),IF(COUNTIFS(①今日の在庫を貼る!$B$6:$B$10005,$B8718,①今日の在庫を貼る!$I$6:$I$10005,$I8718)&gt;0,N(U8717),N(U8717)+1))</f>
        <v>2</v>
      </c>
    </row>
    <row r="8719" customFormat="false" ht="15" hidden="false" customHeight="false" outlineLevel="0" collapsed="false">
      <c r="B8719" s="53"/>
      <c r="I8719" s="53"/>
      <c r="U8719" s="31" t="n">
        <f aca="false">IF($B8719&lt;&gt;'設定（最初に1回）'!$C$4,N(U8718),IF(COUNTIFS(①今日の在庫を貼る!$B$6:$B$10005,$B8719,①今日の在庫を貼る!$I$6:$I$10005,$I8719)&gt;0,N(U8718),N(U8718)+1))</f>
        <v>2</v>
      </c>
    </row>
    <row r="8720" customFormat="false" ht="15" hidden="false" customHeight="false" outlineLevel="0" collapsed="false">
      <c r="B8720" s="53"/>
      <c r="I8720" s="53"/>
      <c r="U8720" s="31" t="n">
        <f aca="false">IF($B8720&lt;&gt;'設定（最初に1回）'!$C$4,N(U8719),IF(COUNTIFS(①今日の在庫を貼る!$B$6:$B$10005,$B8720,①今日の在庫を貼る!$I$6:$I$10005,$I8720)&gt;0,N(U8719),N(U8719)+1))</f>
        <v>2</v>
      </c>
    </row>
    <row r="8721" customFormat="false" ht="15" hidden="false" customHeight="false" outlineLevel="0" collapsed="false">
      <c r="B8721" s="53"/>
      <c r="I8721" s="53"/>
      <c r="U8721" s="31" t="n">
        <f aca="false">IF($B8721&lt;&gt;'設定（最初に1回）'!$C$4,N(U8720),IF(COUNTIFS(①今日の在庫を貼る!$B$6:$B$10005,$B8721,①今日の在庫を貼る!$I$6:$I$10005,$I8721)&gt;0,N(U8720),N(U8720)+1))</f>
        <v>2</v>
      </c>
    </row>
    <row r="8722" customFormat="false" ht="15" hidden="false" customHeight="false" outlineLevel="0" collapsed="false">
      <c r="B8722" s="53"/>
      <c r="I8722" s="53"/>
      <c r="U8722" s="31" t="n">
        <f aca="false">IF($B8722&lt;&gt;'設定（最初に1回）'!$C$4,N(U8721),IF(COUNTIFS(①今日の在庫を貼る!$B$6:$B$10005,$B8722,①今日の在庫を貼る!$I$6:$I$10005,$I8722)&gt;0,N(U8721),N(U8721)+1))</f>
        <v>2</v>
      </c>
    </row>
    <row r="8723" customFormat="false" ht="15" hidden="false" customHeight="false" outlineLevel="0" collapsed="false">
      <c r="B8723" s="53"/>
      <c r="I8723" s="53"/>
      <c r="U8723" s="31" t="n">
        <f aca="false">IF($B8723&lt;&gt;'設定（最初に1回）'!$C$4,N(U8722),IF(COUNTIFS(①今日の在庫を貼る!$B$6:$B$10005,$B8723,①今日の在庫を貼る!$I$6:$I$10005,$I8723)&gt;0,N(U8722),N(U8722)+1))</f>
        <v>2</v>
      </c>
    </row>
    <row r="8724" customFormat="false" ht="15" hidden="false" customHeight="false" outlineLevel="0" collapsed="false">
      <c r="B8724" s="53"/>
      <c r="I8724" s="53"/>
      <c r="U8724" s="31" t="n">
        <f aca="false">IF($B8724&lt;&gt;'設定（最初に1回）'!$C$4,N(U8723),IF(COUNTIFS(①今日の在庫を貼る!$B$6:$B$10005,$B8724,①今日の在庫を貼る!$I$6:$I$10005,$I8724)&gt;0,N(U8723),N(U8723)+1))</f>
        <v>2</v>
      </c>
    </row>
    <row r="8725" customFormat="false" ht="15" hidden="false" customHeight="false" outlineLevel="0" collapsed="false">
      <c r="B8725" s="53"/>
      <c r="I8725" s="53"/>
      <c r="U8725" s="31" t="n">
        <f aca="false">IF($B8725&lt;&gt;'設定（最初に1回）'!$C$4,N(U8724),IF(COUNTIFS(①今日の在庫を貼る!$B$6:$B$10005,$B8725,①今日の在庫を貼る!$I$6:$I$10005,$I8725)&gt;0,N(U8724),N(U8724)+1))</f>
        <v>2</v>
      </c>
    </row>
    <row r="8726" customFormat="false" ht="15" hidden="false" customHeight="false" outlineLevel="0" collapsed="false">
      <c r="B8726" s="53"/>
      <c r="I8726" s="53"/>
      <c r="U8726" s="31" t="n">
        <f aca="false">IF($B8726&lt;&gt;'設定（最初に1回）'!$C$4,N(U8725),IF(COUNTIFS(①今日の在庫を貼る!$B$6:$B$10005,$B8726,①今日の在庫を貼る!$I$6:$I$10005,$I8726)&gt;0,N(U8725),N(U8725)+1))</f>
        <v>2</v>
      </c>
    </row>
    <row r="8727" customFormat="false" ht="15" hidden="false" customHeight="false" outlineLevel="0" collapsed="false">
      <c r="B8727" s="53"/>
      <c r="I8727" s="53"/>
      <c r="U8727" s="31" t="n">
        <f aca="false">IF($B8727&lt;&gt;'設定（最初に1回）'!$C$4,N(U8726),IF(COUNTIFS(①今日の在庫を貼る!$B$6:$B$10005,$B8727,①今日の在庫を貼る!$I$6:$I$10005,$I8727)&gt;0,N(U8726),N(U8726)+1))</f>
        <v>2</v>
      </c>
    </row>
    <row r="8728" customFormat="false" ht="15" hidden="false" customHeight="false" outlineLevel="0" collapsed="false">
      <c r="B8728" s="53"/>
      <c r="I8728" s="53"/>
      <c r="U8728" s="31" t="n">
        <f aca="false">IF($B8728&lt;&gt;'設定（最初に1回）'!$C$4,N(U8727),IF(COUNTIFS(①今日の在庫を貼る!$B$6:$B$10005,$B8728,①今日の在庫を貼る!$I$6:$I$10005,$I8728)&gt;0,N(U8727),N(U8727)+1))</f>
        <v>2</v>
      </c>
    </row>
    <row r="8729" customFormat="false" ht="15" hidden="false" customHeight="false" outlineLevel="0" collapsed="false">
      <c r="B8729" s="53"/>
      <c r="I8729" s="53"/>
      <c r="U8729" s="31" t="n">
        <f aca="false">IF($B8729&lt;&gt;'設定（最初に1回）'!$C$4,N(U8728),IF(COUNTIFS(①今日の在庫を貼る!$B$6:$B$10005,$B8729,①今日の在庫を貼る!$I$6:$I$10005,$I8729)&gt;0,N(U8728),N(U8728)+1))</f>
        <v>2</v>
      </c>
    </row>
    <row r="8730" customFormat="false" ht="15" hidden="false" customHeight="false" outlineLevel="0" collapsed="false">
      <c r="B8730" s="53"/>
      <c r="I8730" s="53"/>
      <c r="U8730" s="31" t="n">
        <f aca="false">IF($B8730&lt;&gt;'設定（最初に1回）'!$C$4,N(U8729),IF(COUNTIFS(①今日の在庫を貼る!$B$6:$B$10005,$B8730,①今日の在庫を貼る!$I$6:$I$10005,$I8730)&gt;0,N(U8729),N(U8729)+1))</f>
        <v>2</v>
      </c>
    </row>
    <row r="8731" customFormat="false" ht="15" hidden="false" customHeight="false" outlineLevel="0" collapsed="false">
      <c r="B8731" s="53"/>
      <c r="I8731" s="53"/>
      <c r="U8731" s="31" t="n">
        <f aca="false">IF($B8731&lt;&gt;'設定（最初に1回）'!$C$4,N(U8730),IF(COUNTIFS(①今日の在庫を貼る!$B$6:$B$10005,$B8731,①今日の在庫を貼る!$I$6:$I$10005,$I8731)&gt;0,N(U8730),N(U8730)+1))</f>
        <v>2</v>
      </c>
    </row>
    <row r="8732" customFormat="false" ht="15" hidden="false" customHeight="false" outlineLevel="0" collapsed="false">
      <c r="B8732" s="53"/>
      <c r="I8732" s="53"/>
      <c r="U8732" s="31" t="n">
        <f aca="false">IF($B8732&lt;&gt;'設定（最初に1回）'!$C$4,N(U8731),IF(COUNTIFS(①今日の在庫を貼る!$B$6:$B$10005,$B8732,①今日の在庫を貼る!$I$6:$I$10005,$I8732)&gt;0,N(U8731),N(U8731)+1))</f>
        <v>2</v>
      </c>
    </row>
    <row r="8733" customFormat="false" ht="15" hidden="false" customHeight="false" outlineLevel="0" collapsed="false">
      <c r="B8733" s="53"/>
      <c r="I8733" s="53"/>
      <c r="U8733" s="31" t="n">
        <f aca="false">IF($B8733&lt;&gt;'設定（最初に1回）'!$C$4,N(U8732),IF(COUNTIFS(①今日の在庫を貼る!$B$6:$B$10005,$B8733,①今日の在庫を貼る!$I$6:$I$10005,$I8733)&gt;0,N(U8732),N(U8732)+1))</f>
        <v>2</v>
      </c>
    </row>
    <row r="8734" customFormat="false" ht="15" hidden="false" customHeight="false" outlineLevel="0" collapsed="false">
      <c r="B8734" s="53"/>
      <c r="I8734" s="53"/>
      <c r="U8734" s="31" t="n">
        <f aca="false">IF($B8734&lt;&gt;'設定（最初に1回）'!$C$4,N(U8733),IF(COUNTIFS(①今日の在庫を貼る!$B$6:$B$10005,$B8734,①今日の在庫を貼る!$I$6:$I$10005,$I8734)&gt;0,N(U8733),N(U8733)+1))</f>
        <v>2</v>
      </c>
    </row>
    <row r="8735" customFormat="false" ht="15" hidden="false" customHeight="false" outlineLevel="0" collapsed="false">
      <c r="B8735" s="53"/>
      <c r="I8735" s="53"/>
      <c r="U8735" s="31" t="n">
        <f aca="false">IF($B8735&lt;&gt;'設定（最初に1回）'!$C$4,N(U8734),IF(COUNTIFS(①今日の在庫を貼る!$B$6:$B$10005,$B8735,①今日の在庫を貼る!$I$6:$I$10005,$I8735)&gt;0,N(U8734),N(U8734)+1))</f>
        <v>2</v>
      </c>
    </row>
    <row r="8736" customFormat="false" ht="15" hidden="false" customHeight="false" outlineLevel="0" collapsed="false">
      <c r="B8736" s="53"/>
      <c r="I8736" s="53"/>
      <c r="U8736" s="31" t="n">
        <f aca="false">IF($B8736&lt;&gt;'設定（最初に1回）'!$C$4,N(U8735),IF(COUNTIFS(①今日の在庫を貼る!$B$6:$B$10005,$B8736,①今日の在庫を貼る!$I$6:$I$10005,$I8736)&gt;0,N(U8735),N(U8735)+1))</f>
        <v>2</v>
      </c>
    </row>
    <row r="8737" customFormat="false" ht="15" hidden="false" customHeight="false" outlineLevel="0" collapsed="false">
      <c r="B8737" s="53"/>
      <c r="I8737" s="53"/>
      <c r="U8737" s="31" t="n">
        <f aca="false">IF($B8737&lt;&gt;'設定（最初に1回）'!$C$4,N(U8736),IF(COUNTIFS(①今日の在庫を貼る!$B$6:$B$10005,$B8737,①今日の在庫を貼る!$I$6:$I$10005,$I8737)&gt;0,N(U8736),N(U8736)+1))</f>
        <v>2</v>
      </c>
    </row>
    <row r="8738" customFormat="false" ht="15" hidden="false" customHeight="false" outlineLevel="0" collapsed="false">
      <c r="B8738" s="53"/>
      <c r="I8738" s="53"/>
      <c r="U8738" s="31" t="n">
        <f aca="false">IF($B8738&lt;&gt;'設定（最初に1回）'!$C$4,N(U8737),IF(COUNTIFS(①今日の在庫を貼る!$B$6:$B$10005,$B8738,①今日の在庫を貼る!$I$6:$I$10005,$I8738)&gt;0,N(U8737),N(U8737)+1))</f>
        <v>2</v>
      </c>
    </row>
    <row r="8739" customFormat="false" ht="15" hidden="false" customHeight="false" outlineLevel="0" collapsed="false">
      <c r="B8739" s="53"/>
      <c r="I8739" s="53"/>
      <c r="U8739" s="31" t="n">
        <f aca="false">IF($B8739&lt;&gt;'設定（最初に1回）'!$C$4,N(U8738),IF(COUNTIFS(①今日の在庫を貼る!$B$6:$B$10005,$B8739,①今日の在庫を貼る!$I$6:$I$10005,$I8739)&gt;0,N(U8738),N(U8738)+1))</f>
        <v>2</v>
      </c>
    </row>
    <row r="8740" customFormat="false" ht="15" hidden="false" customHeight="false" outlineLevel="0" collapsed="false">
      <c r="B8740" s="53"/>
      <c r="I8740" s="53"/>
      <c r="U8740" s="31" t="n">
        <f aca="false">IF($B8740&lt;&gt;'設定（最初に1回）'!$C$4,N(U8739),IF(COUNTIFS(①今日の在庫を貼る!$B$6:$B$10005,$B8740,①今日の在庫を貼る!$I$6:$I$10005,$I8740)&gt;0,N(U8739),N(U8739)+1))</f>
        <v>2</v>
      </c>
    </row>
    <row r="8741" customFormat="false" ht="15" hidden="false" customHeight="false" outlineLevel="0" collapsed="false">
      <c r="B8741" s="53"/>
      <c r="I8741" s="53"/>
      <c r="U8741" s="31" t="n">
        <f aca="false">IF($B8741&lt;&gt;'設定（最初に1回）'!$C$4,N(U8740),IF(COUNTIFS(①今日の在庫を貼る!$B$6:$B$10005,$B8741,①今日の在庫を貼る!$I$6:$I$10005,$I8741)&gt;0,N(U8740),N(U8740)+1))</f>
        <v>2</v>
      </c>
    </row>
    <row r="8742" customFormat="false" ht="15" hidden="false" customHeight="false" outlineLevel="0" collapsed="false">
      <c r="B8742" s="53"/>
      <c r="I8742" s="53"/>
      <c r="U8742" s="31" t="n">
        <f aca="false">IF($B8742&lt;&gt;'設定（最初に1回）'!$C$4,N(U8741),IF(COUNTIFS(①今日の在庫を貼る!$B$6:$B$10005,$B8742,①今日の在庫を貼る!$I$6:$I$10005,$I8742)&gt;0,N(U8741),N(U8741)+1))</f>
        <v>2</v>
      </c>
    </row>
    <row r="8743" customFormat="false" ht="15" hidden="false" customHeight="false" outlineLevel="0" collapsed="false">
      <c r="B8743" s="53"/>
      <c r="I8743" s="53"/>
      <c r="U8743" s="31" t="n">
        <f aca="false">IF($B8743&lt;&gt;'設定（最初に1回）'!$C$4,N(U8742),IF(COUNTIFS(①今日の在庫を貼る!$B$6:$B$10005,$B8743,①今日の在庫を貼る!$I$6:$I$10005,$I8743)&gt;0,N(U8742),N(U8742)+1))</f>
        <v>2</v>
      </c>
    </row>
    <row r="8744" customFormat="false" ht="15" hidden="false" customHeight="false" outlineLevel="0" collapsed="false">
      <c r="B8744" s="53"/>
      <c r="I8744" s="53"/>
      <c r="U8744" s="31" t="n">
        <f aca="false">IF($B8744&lt;&gt;'設定（最初に1回）'!$C$4,N(U8743),IF(COUNTIFS(①今日の在庫を貼る!$B$6:$B$10005,$B8744,①今日の在庫を貼る!$I$6:$I$10005,$I8744)&gt;0,N(U8743),N(U8743)+1))</f>
        <v>2</v>
      </c>
    </row>
    <row r="8745" customFormat="false" ht="15" hidden="false" customHeight="false" outlineLevel="0" collapsed="false">
      <c r="B8745" s="53"/>
      <c r="I8745" s="53"/>
      <c r="U8745" s="31" t="n">
        <f aca="false">IF($B8745&lt;&gt;'設定（最初に1回）'!$C$4,N(U8744),IF(COUNTIFS(①今日の在庫を貼る!$B$6:$B$10005,$B8745,①今日の在庫を貼る!$I$6:$I$10005,$I8745)&gt;0,N(U8744),N(U8744)+1))</f>
        <v>2</v>
      </c>
    </row>
    <row r="8746" customFormat="false" ht="15" hidden="false" customHeight="false" outlineLevel="0" collapsed="false">
      <c r="B8746" s="53"/>
      <c r="I8746" s="53"/>
      <c r="U8746" s="31" t="n">
        <f aca="false">IF($B8746&lt;&gt;'設定（最初に1回）'!$C$4,N(U8745),IF(COUNTIFS(①今日の在庫を貼る!$B$6:$B$10005,$B8746,①今日の在庫を貼る!$I$6:$I$10005,$I8746)&gt;0,N(U8745),N(U8745)+1))</f>
        <v>2</v>
      </c>
    </row>
    <row r="8747" customFormat="false" ht="15" hidden="false" customHeight="false" outlineLevel="0" collapsed="false">
      <c r="B8747" s="53"/>
      <c r="I8747" s="53"/>
      <c r="U8747" s="31" t="n">
        <f aca="false">IF($B8747&lt;&gt;'設定（最初に1回）'!$C$4,N(U8746),IF(COUNTIFS(①今日の在庫を貼る!$B$6:$B$10005,$B8747,①今日の在庫を貼る!$I$6:$I$10005,$I8747)&gt;0,N(U8746),N(U8746)+1))</f>
        <v>2</v>
      </c>
    </row>
    <row r="8748" customFormat="false" ht="15" hidden="false" customHeight="false" outlineLevel="0" collapsed="false">
      <c r="B8748" s="53"/>
      <c r="I8748" s="53"/>
      <c r="U8748" s="31" t="n">
        <f aca="false">IF($B8748&lt;&gt;'設定（最初に1回）'!$C$4,N(U8747),IF(COUNTIFS(①今日の在庫を貼る!$B$6:$B$10005,$B8748,①今日の在庫を貼る!$I$6:$I$10005,$I8748)&gt;0,N(U8747),N(U8747)+1))</f>
        <v>2</v>
      </c>
    </row>
    <row r="8749" customFormat="false" ht="15" hidden="false" customHeight="false" outlineLevel="0" collapsed="false">
      <c r="B8749" s="53"/>
      <c r="I8749" s="53"/>
      <c r="U8749" s="31" t="n">
        <f aca="false">IF($B8749&lt;&gt;'設定（最初に1回）'!$C$4,N(U8748),IF(COUNTIFS(①今日の在庫を貼る!$B$6:$B$10005,$B8749,①今日の在庫を貼る!$I$6:$I$10005,$I8749)&gt;0,N(U8748),N(U8748)+1))</f>
        <v>2</v>
      </c>
    </row>
    <row r="8750" customFormat="false" ht="15" hidden="false" customHeight="false" outlineLevel="0" collapsed="false">
      <c r="B8750" s="53"/>
      <c r="I8750" s="53"/>
      <c r="U8750" s="31" t="n">
        <f aca="false">IF($B8750&lt;&gt;'設定（最初に1回）'!$C$4,N(U8749),IF(COUNTIFS(①今日の在庫を貼る!$B$6:$B$10005,$B8750,①今日の在庫を貼る!$I$6:$I$10005,$I8750)&gt;0,N(U8749),N(U8749)+1))</f>
        <v>2</v>
      </c>
    </row>
    <row r="8751" customFormat="false" ht="15" hidden="false" customHeight="false" outlineLevel="0" collapsed="false">
      <c r="B8751" s="53"/>
      <c r="I8751" s="53"/>
      <c r="U8751" s="31" t="n">
        <f aca="false">IF($B8751&lt;&gt;'設定（最初に1回）'!$C$4,N(U8750),IF(COUNTIFS(①今日の在庫を貼る!$B$6:$B$10005,$B8751,①今日の在庫を貼る!$I$6:$I$10005,$I8751)&gt;0,N(U8750),N(U8750)+1))</f>
        <v>2</v>
      </c>
    </row>
    <row r="8752" customFormat="false" ht="15" hidden="false" customHeight="false" outlineLevel="0" collapsed="false">
      <c r="B8752" s="53"/>
      <c r="I8752" s="53"/>
      <c r="U8752" s="31" t="n">
        <f aca="false">IF($B8752&lt;&gt;'設定（最初に1回）'!$C$4,N(U8751),IF(COUNTIFS(①今日の在庫を貼る!$B$6:$B$10005,$B8752,①今日の在庫を貼る!$I$6:$I$10005,$I8752)&gt;0,N(U8751),N(U8751)+1))</f>
        <v>2</v>
      </c>
    </row>
    <row r="8753" customFormat="false" ht="15" hidden="false" customHeight="false" outlineLevel="0" collapsed="false">
      <c r="B8753" s="53"/>
      <c r="I8753" s="53"/>
      <c r="U8753" s="31" t="n">
        <f aca="false">IF($B8753&lt;&gt;'設定（最初に1回）'!$C$4,N(U8752),IF(COUNTIFS(①今日の在庫を貼る!$B$6:$B$10005,$B8753,①今日の在庫を貼る!$I$6:$I$10005,$I8753)&gt;0,N(U8752),N(U8752)+1))</f>
        <v>2</v>
      </c>
    </row>
    <row r="8754" customFormat="false" ht="15" hidden="false" customHeight="false" outlineLevel="0" collapsed="false">
      <c r="B8754" s="53"/>
      <c r="I8754" s="53"/>
      <c r="U8754" s="31" t="n">
        <f aca="false">IF($B8754&lt;&gt;'設定（最初に1回）'!$C$4,N(U8753),IF(COUNTIFS(①今日の在庫を貼る!$B$6:$B$10005,$B8754,①今日の在庫を貼る!$I$6:$I$10005,$I8754)&gt;0,N(U8753),N(U8753)+1))</f>
        <v>2</v>
      </c>
    </row>
    <row r="8755" customFormat="false" ht="15" hidden="false" customHeight="false" outlineLevel="0" collapsed="false">
      <c r="B8755" s="53"/>
      <c r="I8755" s="53"/>
      <c r="U8755" s="31" t="n">
        <f aca="false">IF($B8755&lt;&gt;'設定（最初に1回）'!$C$4,N(U8754),IF(COUNTIFS(①今日の在庫を貼る!$B$6:$B$10005,$B8755,①今日の在庫を貼る!$I$6:$I$10005,$I8755)&gt;0,N(U8754),N(U8754)+1))</f>
        <v>2</v>
      </c>
    </row>
    <row r="8756" customFormat="false" ht="15" hidden="false" customHeight="false" outlineLevel="0" collapsed="false">
      <c r="B8756" s="53"/>
      <c r="I8756" s="53"/>
      <c r="U8756" s="31" t="n">
        <f aca="false">IF($B8756&lt;&gt;'設定（最初に1回）'!$C$4,N(U8755),IF(COUNTIFS(①今日の在庫を貼る!$B$6:$B$10005,$B8756,①今日の在庫を貼る!$I$6:$I$10005,$I8756)&gt;0,N(U8755),N(U8755)+1))</f>
        <v>2</v>
      </c>
    </row>
    <row r="8757" customFormat="false" ht="15" hidden="false" customHeight="false" outlineLevel="0" collapsed="false">
      <c r="B8757" s="53"/>
      <c r="I8757" s="53"/>
      <c r="U8757" s="31" t="n">
        <f aca="false">IF($B8757&lt;&gt;'設定（最初に1回）'!$C$4,N(U8756),IF(COUNTIFS(①今日の在庫を貼る!$B$6:$B$10005,$B8757,①今日の在庫を貼る!$I$6:$I$10005,$I8757)&gt;0,N(U8756),N(U8756)+1))</f>
        <v>2</v>
      </c>
    </row>
    <row r="8758" customFormat="false" ht="15" hidden="false" customHeight="false" outlineLevel="0" collapsed="false">
      <c r="B8758" s="53"/>
      <c r="I8758" s="53"/>
      <c r="U8758" s="31" t="n">
        <f aca="false">IF($B8758&lt;&gt;'設定（最初に1回）'!$C$4,N(U8757),IF(COUNTIFS(①今日の在庫を貼る!$B$6:$B$10005,$B8758,①今日の在庫を貼る!$I$6:$I$10005,$I8758)&gt;0,N(U8757),N(U8757)+1))</f>
        <v>2</v>
      </c>
    </row>
    <row r="8759" customFormat="false" ht="15" hidden="false" customHeight="false" outlineLevel="0" collapsed="false">
      <c r="B8759" s="53"/>
      <c r="I8759" s="53"/>
      <c r="U8759" s="31" t="n">
        <f aca="false">IF($B8759&lt;&gt;'設定（最初に1回）'!$C$4,N(U8758),IF(COUNTIFS(①今日の在庫を貼る!$B$6:$B$10005,$B8759,①今日の在庫を貼る!$I$6:$I$10005,$I8759)&gt;0,N(U8758),N(U8758)+1))</f>
        <v>2</v>
      </c>
    </row>
    <row r="8760" customFormat="false" ht="15" hidden="false" customHeight="false" outlineLevel="0" collapsed="false">
      <c r="B8760" s="53"/>
      <c r="I8760" s="53"/>
      <c r="U8760" s="31" t="n">
        <f aca="false">IF($B8760&lt;&gt;'設定（最初に1回）'!$C$4,N(U8759),IF(COUNTIFS(①今日の在庫を貼る!$B$6:$B$10005,$B8760,①今日の在庫を貼る!$I$6:$I$10005,$I8760)&gt;0,N(U8759),N(U8759)+1))</f>
        <v>2</v>
      </c>
    </row>
    <row r="8761" customFormat="false" ht="15" hidden="false" customHeight="false" outlineLevel="0" collapsed="false">
      <c r="B8761" s="53"/>
      <c r="I8761" s="53"/>
      <c r="U8761" s="31" t="n">
        <f aca="false">IF($B8761&lt;&gt;'設定（最初に1回）'!$C$4,N(U8760),IF(COUNTIFS(①今日の在庫を貼る!$B$6:$B$10005,$B8761,①今日の在庫を貼る!$I$6:$I$10005,$I8761)&gt;0,N(U8760),N(U8760)+1))</f>
        <v>2</v>
      </c>
    </row>
    <row r="8762" customFormat="false" ht="15" hidden="false" customHeight="false" outlineLevel="0" collapsed="false">
      <c r="B8762" s="53"/>
      <c r="I8762" s="53"/>
      <c r="U8762" s="31" t="n">
        <f aca="false">IF($B8762&lt;&gt;'設定（最初に1回）'!$C$4,N(U8761),IF(COUNTIFS(①今日の在庫を貼る!$B$6:$B$10005,$B8762,①今日の在庫を貼る!$I$6:$I$10005,$I8762)&gt;0,N(U8761),N(U8761)+1))</f>
        <v>2</v>
      </c>
    </row>
    <row r="8763" customFormat="false" ht="15" hidden="false" customHeight="false" outlineLevel="0" collapsed="false">
      <c r="B8763" s="53"/>
      <c r="I8763" s="53"/>
      <c r="U8763" s="31" t="n">
        <f aca="false">IF($B8763&lt;&gt;'設定（最初に1回）'!$C$4,N(U8762),IF(COUNTIFS(①今日の在庫を貼る!$B$6:$B$10005,$B8763,①今日の在庫を貼る!$I$6:$I$10005,$I8763)&gt;0,N(U8762),N(U8762)+1))</f>
        <v>2</v>
      </c>
    </row>
    <row r="8764" customFormat="false" ht="15" hidden="false" customHeight="false" outlineLevel="0" collapsed="false">
      <c r="B8764" s="53"/>
      <c r="I8764" s="53"/>
      <c r="U8764" s="31" t="n">
        <f aca="false">IF($B8764&lt;&gt;'設定（最初に1回）'!$C$4,N(U8763),IF(COUNTIFS(①今日の在庫を貼る!$B$6:$B$10005,$B8764,①今日の在庫を貼る!$I$6:$I$10005,$I8764)&gt;0,N(U8763),N(U8763)+1))</f>
        <v>2</v>
      </c>
    </row>
    <row r="8765" customFormat="false" ht="15" hidden="false" customHeight="false" outlineLevel="0" collapsed="false">
      <c r="B8765" s="53"/>
      <c r="I8765" s="53"/>
      <c r="U8765" s="31" t="n">
        <f aca="false">IF($B8765&lt;&gt;'設定（最初に1回）'!$C$4,N(U8764),IF(COUNTIFS(①今日の在庫を貼る!$B$6:$B$10005,$B8765,①今日の在庫を貼る!$I$6:$I$10005,$I8765)&gt;0,N(U8764),N(U8764)+1))</f>
        <v>2</v>
      </c>
    </row>
    <row r="8766" customFormat="false" ht="15" hidden="false" customHeight="false" outlineLevel="0" collapsed="false">
      <c r="B8766" s="53"/>
      <c r="I8766" s="53"/>
      <c r="U8766" s="31" t="n">
        <f aca="false">IF($B8766&lt;&gt;'設定（最初に1回）'!$C$4,N(U8765),IF(COUNTIFS(①今日の在庫を貼る!$B$6:$B$10005,$B8766,①今日の在庫を貼る!$I$6:$I$10005,$I8766)&gt;0,N(U8765),N(U8765)+1))</f>
        <v>2</v>
      </c>
    </row>
    <row r="8767" customFormat="false" ht="15" hidden="false" customHeight="false" outlineLevel="0" collapsed="false">
      <c r="B8767" s="53"/>
      <c r="I8767" s="53"/>
      <c r="U8767" s="31" t="n">
        <f aca="false">IF($B8767&lt;&gt;'設定（最初に1回）'!$C$4,N(U8766),IF(COUNTIFS(①今日の在庫を貼る!$B$6:$B$10005,$B8767,①今日の在庫を貼る!$I$6:$I$10005,$I8767)&gt;0,N(U8766),N(U8766)+1))</f>
        <v>2</v>
      </c>
    </row>
    <row r="8768" customFormat="false" ht="15" hidden="false" customHeight="false" outlineLevel="0" collapsed="false">
      <c r="B8768" s="53"/>
      <c r="I8768" s="53"/>
      <c r="U8768" s="31" t="n">
        <f aca="false">IF($B8768&lt;&gt;'設定（最初に1回）'!$C$4,N(U8767),IF(COUNTIFS(①今日の在庫を貼る!$B$6:$B$10005,$B8768,①今日の在庫を貼る!$I$6:$I$10005,$I8768)&gt;0,N(U8767),N(U8767)+1))</f>
        <v>2</v>
      </c>
    </row>
    <row r="8769" customFormat="false" ht="15" hidden="false" customHeight="false" outlineLevel="0" collapsed="false">
      <c r="B8769" s="53"/>
      <c r="I8769" s="53"/>
      <c r="U8769" s="31" t="n">
        <f aca="false">IF($B8769&lt;&gt;'設定（最初に1回）'!$C$4,N(U8768),IF(COUNTIFS(①今日の在庫を貼る!$B$6:$B$10005,$B8769,①今日の在庫を貼る!$I$6:$I$10005,$I8769)&gt;0,N(U8768),N(U8768)+1))</f>
        <v>2</v>
      </c>
    </row>
    <row r="8770" customFormat="false" ht="15" hidden="false" customHeight="false" outlineLevel="0" collapsed="false">
      <c r="B8770" s="53"/>
      <c r="I8770" s="53"/>
      <c r="U8770" s="31" t="n">
        <f aca="false">IF($B8770&lt;&gt;'設定（最初に1回）'!$C$4,N(U8769),IF(COUNTIFS(①今日の在庫を貼る!$B$6:$B$10005,$B8770,①今日の在庫を貼る!$I$6:$I$10005,$I8770)&gt;0,N(U8769),N(U8769)+1))</f>
        <v>2</v>
      </c>
    </row>
    <row r="8771" customFormat="false" ht="15" hidden="false" customHeight="false" outlineLevel="0" collapsed="false">
      <c r="B8771" s="53"/>
      <c r="I8771" s="53"/>
      <c r="U8771" s="31" t="n">
        <f aca="false">IF($B8771&lt;&gt;'設定（最初に1回）'!$C$4,N(U8770),IF(COUNTIFS(①今日の在庫を貼る!$B$6:$B$10005,$B8771,①今日の在庫を貼る!$I$6:$I$10005,$I8771)&gt;0,N(U8770),N(U8770)+1))</f>
        <v>2</v>
      </c>
    </row>
    <row r="8772" customFormat="false" ht="15" hidden="false" customHeight="false" outlineLevel="0" collapsed="false">
      <c r="B8772" s="53"/>
      <c r="I8772" s="53"/>
      <c r="U8772" s="31" t="n">
        <f aca="false">IF($B8772&lt;&gt;'設定（最初に1回）'!$C$4,N(U8771),IF(COUNTIFS(①今日の在庫を貼る!$B$6:$B$10005,$B8772,①今日の在庫を貼る!$I$6:$I$10005,$I8772)&gt;0,N(U8771),N(U8771)+1))</f>
        <v>2</v>
      </c>
    </row>
    <row r="8773" customFormat="false" ht="15" hidden="false" customHeight="false" outlineLevel="0" collapsed="false">
      <c r="B8773" s="53"/>
      <c r="I8773" s="53"/>
      <c r="U8773" s="31" t="n">
        <f aca="false">IF($B8773&lt;&gt;'設定（最初に1回）'!$C$4,N(U8772),IF(COUNTIFS(①今日の在庫を貼る!$B$6:$B$10005,$B8773,①今日の在庫を貼る!$I$6:$I$10005,$I8773)&gt;0,N(U8772),N(U8772)+1))</f>
        <v>2</v>
      </c>
    </row>
    <row r="8774" customFormat="false" ht="15" hidden="false" customHeight="false" outlineLevel="0" collapsed="false">
      <c r="B8774" s="53"/>
      <c r="I8774" s="53"/>
      <c r="U8774" s="31" t="n">
        <f aca="false">IF($B8774&lt;&gt;'設定（最初に1回）'!$C$4,N(U8773),IF(COUNTIFS(①今日の在庫を貼る!$B$6:$B$10005,$B8774,①今日の在庫を貼る!$I$6:$I$10005,$I8774)&gt;0,N(U8773),N(U8773)+1))</f>
        <v>2</v>
      </c>
    </row>
    <row r="8775" customFormat="false" ht="15" hidden="false" customHeight="false" outlineLevel="0" collapsed="false">
      <c r="B8775" s="53"/>
      <c r="I8775" s="53"/>
      <c r="U8775" s="31" t="n">
        <f aca="false">IF($B8775&lt;&gt;'設定（最初に1回）'!$C$4,N(U8774),IF(COUNTIFS(①今日の在庫を貼る!$B$6:$B$10005,$B8775,①今日の在庫を貼る!$I$6:$I$10005,$I8775)&gt;0,N(U8774),N(U8774)+1))</f>
        <v>2</v>
      </c>
    </row>
    <row r="8776" customFormat="false" ht="15" hidden="false" customHeight="false" outlineLevel="0" collapsed="false">
      <c r="B8776" s="53"/>
      <c r="I8776" s="53"/>
      <c r="U8776" s="31" t="n">
        <f aca="false">IF($B8776&lt;&gt;'設定（最初に1回）'!$C$4,N(U8775),IF(COUNTIFS(①今日の在庫を貼る!$B$6:$B$10005,$B8776,①今日の在庫を貼る!$I$6:$I$10005,$I8776)&gt;0,N(U8775),N(U8775)+1))</f>
        <v>2</v>
      </c>
    </row>
    <row r="8777" customFormat="false" ht="15" hidden="false" customHeight="false" outlineLevel="0" collapsed="false">
      <c r="B8777" s="53"/>
      <c r="I8777" s="53"/>
      <c r="U8777" s="31" t="n">
        <f aca="false">IF($B8777&lt;&gt;'設定（最初に1回）'!$C$4,N(U8776),IF(COUNTIFS(①今日の在庫を貼る!$B$6:$B$10005,$B8777,①今日の在庫を貼る!$I$6:$I$10005,$I8777)&gt;0,N(U8776),N(U8776)+1))</f>
        <v>2</v>
      </c>
    </row>
    <row r="8778" customFormat="false" ht="15" hidden="false" customHeight="false" outlineLevel="0" collapsed="false">
      <c r="B8778" s="53"/>
      <c r="I8778" s="53"/>
      <c r="U8778" s="31" t="n">
        <f aca="false">IF($B8778&lt;&gt;'設定（最初に1回）'!$C$4,N(U8777),IF(COUNTIFS(①今日の在庫を貼る!$B$6:$B$10005,$B8778,①今日の在庫を貼る!$I$6:$I$10005,$I8778)&gt;0,N(U8777),N(U8777)+1))</f>
        <v>2</v>
      </c>
    </row>
    <row r="8779" customFormat="false" ht="15" hidden="false" customHeight="false" outlineLevel="0" collapsed="false">
      <c r="B8779" s="53"/>
      <c r="I8779" s="53"/>
      <c r="U8779" s="31" t="n">
        <f aca="false">IF($B8779&lt;&gt;'設定（最初に1回）'!$C$4,N(U8778),IF(COUNTIFS(①今日の在庫を貼る!$B$6:$B$10005,$B8779,①今日の在庫を貼る!$I$6:$I$10005,$I8779)&gt;0,N(U8778),N(U8778)+1))</f>
        <v>2</v>
      </c>
    </row>
    <row r="8780" customFormat="false" ht="15" hidden="false" customHeight="false" outlineLevel="0" collapsed="false">
      <c r="B8780" s="53"/>
      <c r="I8780" s="53"/>
      <c r="U8780" s="31" t="n">
        <f aca="false">IF($B8780&lt;&gt;'設定（最初に1回）'!$C$4,N(U8779),IF(COUNTIFS(①今日の在庫を貼る!$B$6:$B$10005,$B8780,①今日の在庫を貼る!$I$6:$I$10005,$I8780)&gt;0,N(U8779),N(U8779)+1))</f>
        <v>2</v>
      </c>
    </row>
    <row r="8781" customFormat="false" ht="15" hidden="false" customHeight="false" outlineLevel="0" collapsed="false">
      <c r="B8781" s="53"/>
      <c r="I8781" s="53"/>
      <c r="U8781" s="31" t="n">
        <f aca="false">IF($B8781&lt;&gt;'設定（最初に1回）'!$C$4,N(U8780),IF(COUNTIFS(①今日の在庫を貼る!$B$6:$B$10005,$B8781,①今日の在庫を貼る!$I$6:$I$10005,$I8781)&gt;0,N(U8780),N(U8780)+1))</f>
        <v>2</v>
      </c>
    </row>
    <row r="8782" customFormat="false" ht="15" hidden="false" customHeight="false" outlineLevel="0" collapsed="false">
      <c r="B8782" s="53"/>
      <c r="I8782" s="53"/>
      <c r="U8782" s="31" t="n">
        <f aca="false">IF($B8782&lt;&gt;'設定（最初に1回）'!$C$4,N(U8781),IF(COUNTIFS(①今日の在庫を貼る!$B$6:$B$10005,$B8782,①今日の在庫を貼る!$I$6:$I$10005,$I8782)&gt;0,N(U8781),N(U8781)+1))</f>
        <v>2</v>
      </c>
    </row>
    <row r="8783" customFormat="false" ht="15" hidden="false" customHeight="false" outlineLevel="0" collapsed="false">
      <c r="B8783" s="53"/>
      <c r="I8783" s="53"/>
      <c r="U8783" s="31" t="n">
        <f aca="false">IF($B8783&lt;&gt;'設定（最初に1回）'!$C$4,N(U8782),IF(COUNTIFS(①今日の在庫を貼る!$B$6:$B$10005,$B8783,①今日の在庫を貼る!$I$6:$I$10005,$I8783)&gt;0,N(U8782),N(U8782)+1))</f>
        <v>2</v>
      </c>
    </row>
    <row r="8784" customFormat="false" ht="15" hidden="false" customHeight="false" outlineLevel="0" collapsed="false">
      <c r="B8784" s="53"/>
      <c r="I8784" s="53"/>
      <c r="U8784" s="31" t="n">
        <f aca="false">IF($B8784&lt;&gt;'設定（最初に1回）'!$C$4,N(U8783),IF(COUNTIFS(①今日の在庫を貼る!$B$6:$B$10005,$B8784,①今日の在庫を貼る!$I$6:$I$10005,$I8784)&gt;0,N(U8783),N(U8783)+1))</f>
        <v>2</v>
      </c>
    </row>
    <row r="8785" customFormat="false" ht="15" hidden="false" customHeight="false" outlineLevel="0" collapsed="false">
      <c r="B8785" s="53"/>
      <c r="I8785" s="53"/>
      <c r="U8785" s="31" t="n">
        <f aca="false">IF($B8785&lt;&gt;'設定（最初に1回）'!$C$4,N(U8784),IF(COUNTIFS(①今日の在庫を貼る!$B$6:$B$10005,$B8785,①今日の在庫を貼る!$I$6:$I$10005,$I8785)&gt;0,N(U8784),N(U8784)+1))</f>
        <v>2</v>
      </c>
    </row>
    <row r="8786" customFormat="false" ht="15" hidden="false" customHeight="false" outlineLevel="0" collapsed="false">
      <c r="B8786" s="53"/>
      <c r="I8786" s="53"/>
      <c r="U8786" s="31" t="n">
        <f aca="false">IF($B8786&lt;&gt;'設定（最初に1回）'!$C$4,N(U8785),IF(COUNTIFS(①今日の在庫を貼る!$B$6:$B$10005,$B8786,①今日の在庫を貼る!$I$6:$I$10005,$I8786)&gt;0,N(U8785),N(U8785)+1))</f>
        <v>2</v>
      </c>
    </row>
    <row r="8787" customFormat="false" ht="15" hidden="false" customHeight="false" outlineLevel="0" collapsed="false">
      <c r="B8787" s="53"/>
      <c r="I8787" s="53"/>
      <c r="U8787" s="31" t="n">
        <f aca="false">IF($B8787&lt;&gt;'設定（最初に1回）'!$C$4,N(U8786),IF(COUNTIFS(①今日の在庫を貼る!$B$6:$B$10005,$B8787,①今日の在庫を貼る!$I$6:$I$10005,$I8787)&gt;0,N(U8786),N(U8786)+1))</f>
        <v>2</v>
      </c>
    </row>
    <row r="8788" customFormat="false" ht="15" hidden="false" customHeight="false" outlineLevel="0" collapsed="false">
      <c r="B8788" s="53"/>
      <c r="I8788" s="53"/>
      <c r="U8788" s="31" t="n">
        <f aca="false">IF($B8788&lt;&gt;'設定（最初に1回）'!$C$4,N(U8787),IF(COUNTIFS(①今日の在庫を貼る!$B$6:$B$10005,$B8788,①今日の在庫を貼る!$I$6:$I$10005,$I8788)&gt;0,N(U8787),N(U8787)+1))</f>
        <v>2</v>
      </c>
    </row>
    <row r="8789" customFormat="false" ht="15" hidden="false" customHeight="false" outlineLevel="0" collapsed="false">
      <c r="B8789" s="53"/>
      <c r="I8789" s="53"/>
      <c r="U8789" s="31" t="n">
        <f aca="false">IF($B8789&lt;&gt;'設定（最初に1回）'!$C$4,N(U8788),IF(COUNTIFS(①今日の在庫を貼る!$B$6:$B$10005,$B8789,①今日の在庫を貼る!$I$6:$I$10005,$I8789)&gt;0,N(U8788),N(U8788)+1))</f>
        <v>2</v>
      </c>
    </row>
    <row r="8790" customFormat="false" ht="15" hidden="false" customHeight="false" outlineLevel="0" collapsed="false">
      <c r="B8790" s="53"/>
      <c r="I8790" s="53"/>
      <c r="U8790" s="31" t="n">
        <f aca="false">IF($B8790&lt;&gt;'設定（最初に1回）'!$C$4,N(U8789),IF(COUNTIFS(①今日の在庫を貼る!$B$6:$B$10005,$B8790,①今日の在庫を貼る!$I$6:$I$10005,$I8790)&gt;0,N(U8789),N(U8789)+1))</f>
        <v>2</v>
      </c>
    </row>
    <row r="8791" customFormat="false" ht="15" hidden="false" customHeight="false" outlineLevel="0" collapsed="false">
      <c r="B8791" s="53"/>
      <c r="I8791" s="53"/>
      <c r="U8791" s="31" t="n">
        <f aca="false">IF($B8791&lt;&gt;'設定（最初に1回）'!$C$4,N(U8790),IF(COUNTIFS(①今日の在庫を貼る!$B$6:$B$10005,$B8791,①今日の在庫を貼る!$I$6:$I$10005,$I8791)&gt;0,N(U8790),N(U8790)+1))</f>
        <v>2</v>
      </c>
    </row>
    <row r="8792" customFormat="false" ht="15" hidden="false" customHeight="false" outlineLevel="0" collapsed="false">
      <c r="B8792" s="53"/>
      <c r="I8792" s="53"/>
      <c r="U8792" s="31" t="n">
        <f aca="false">IF($B8792&lt;&gt;'設定（最初に1回）'!$C$4,N(U8791),IF(COUNTIFS(①今日の在庫を貼る!$B$6:$B$10005,$B8792,①今日の在庫を貼る!$I$6:$I$10005,$I8792)&gt;0,N(U8791),N(U8791)+1))</f>
        <v>2</v>
      </c>
    </row>
    <row r="8793" customFormat="false" ht="15" hidden="false" customHeight="false" outlineLevel="0" collapsed="false">
      <c r="B8793" s="53"/>
      <c r="I8793" s="53"/>
      <c r="U8793" s="31" t="n">
        <f aca="false">IF($B8793&lt;&gt;'設定（最初に1回）'!$C$4,N(U8792),IF(COUNTIFS(①今日の在庫を貼る!$B$6:$B$10005,$B8793,①今日の在庫を貼る!$I$6:$I$10005,$I8793)&gt;0,N(U8792),N(U8792)+1))</f>
        <v>2</v>
      </c>
    </row>
    <row r="8794" customFormat="false" ht="15" hidden="false" customHeight="false" outlineLevel="0" collapsed="false">
      <c r="B8794" s="53"/>
      <c r="I8794" s="53"/>
      <c r="U8794" s="31" t="n">
        <f aca="false">IF($B8794&lt;&gt;'設定（最初に1回）'!$C$4,N(U8793),IF(COUNTIFS(①今日の在庫を貼る!$B$6:$B$10005,$B8794,①今日の在庫を貼る!$I$6:$I$10005,$I8794)&gt;0,N(U8793),N(U8793)+1))</f>
        <v>2</v>
      </c>
    </row>
    <row r="8795" customFormat="false" ht="15" hidden="false" customHeight="false" outlineLevel="0" collapsed="false">
      <c r="B8795" s="53"/>
      <c r="I8795" s="53"/>
      <c r="U8795" s="31" t="n">
        <f aca="false">IF($B8795&lt;&gt;'設定（最初に1回）'!$C$4,N(U8794),IF(COUNTIFS(①今日の在庫を貼る!$B$6:$B$10005,$B8795,①今日の在庫を貼る!$I$6:$I$10005,$I8795)&gt;0,N(U8794),N(U8794)+1))</f>
        <v>2</v>
      </c>
    </row>
    <row r="8796" customFormat="false" ht="15" hidden="false" customHeight="false" outlineLevel="0" collapsed="false">
      <c r="B8796" s="53"/>
      <c r="I8796" s="53"/>
      <c r="U8796" s="31" t="n">
        <f aca="false">IF($B8796&lt;&gt;'設定（最初に1回）'!$C$4,N(U8795),IF(COUNTIFS(①今日の在庫を貼る!$B$6:$B$10005,$B8796,①今日の在庫を貼る!$I$6:$I$10005,$I8796)&gt;0,N(U8795),N(U8795)+1))</f>
        <v>2</v>
      </c>
    </row>
    <row r="8797" customFormat="false" ht="15" hidden="false" customHeight="false" outlineLevel="0" collapsed="false">
      <c r="B8797" s="53"/>
      <c r="I8797" s="53"/>
      <c r="U8797" s="31" t="n">
        <f aca="false">IF($B8797&lt;&gt;'設定（最初に1回）'!$C$4,N(U8796),IF(COUNTIFS(①今日の在庫を貼る!$B$6:$B$10005,$B8797,①今日の在庫を貼る!$I$6:$I$10005,$I8797)&gt;0,N(U8796),N(U8796)+1))</f>
        <v>2</v>
      </c>
    </row>
    <row r="8798" customFormat="false" ht="15" hidden="false" customHeight="false" outlineLevel="0" collapsed="false">
      <c r="B8798" s="53"/>
      <c r="I8798" s="53"/>
      <c r="U8798" s="31" t="n">
        <f aca="false">IF($B8798&lt;&gt;'設定（最初に1回）'!$C$4,N(U8797),IF(COUNTIFS(①今日の在庫を貼る!$B$6:$B$10005,$B8798,①今日の在庫を貼る!$I$6:$I$10005,$I8798)&gt;0,N(U8797),N(U8797)+1))</f>
        <v>2</v>
      </c>
    </row>
    <row r="8799" customFormat="false" ht="15" hidden="false" customHeight="false" outlineLevel="0" collapsed="false">
      <c r="B8799" s="53"/>
      <c r="I8799" s="53"/>
      <c r="U8799" s="31" t="n">
        <f aca="false">IF($B8799&lt;&gt;'設定（最初に1回）'!$C$4,N(U8798),IF(COUNTIFS(①今日の在庫を貼る!$B$6:$B$10005,$B8799,①今日の在庫を貼る!$I$6:$I$10005,$I8799)&gt;0,N(U8798),N(U8798)+1))</f>
        <v>2</v>
      </c>
    </row>
    <row r="8800" customFormat="false" ht="15" hidden="false" customHeight="false" outlineLevel="0" collapsed="false">
      <c r="B8800" s="53"/>
      <c r="I8800" s="53"/>
      <c r="U8800" s="31" t="n">
        <f aca="false">IF($B8800&lt;&gt;'設定（最初に1回）'!$C$4,N(U8799),IF(COUNTIFS(①今日の在庫を貼る!$B$6:$B$10005,$B8800,①今日の在庫を貼る!$I$6:$I$10005,$I8800)&gt;0,N(U8799),N(U8799)+1))</f>
        <v>2</v>
      </c>
    </row>
    <row r="8801" customFormat="false" ht="15" hidden="false" customHeight="false" outlineLevel="0" collapsed="false">
      <c r="B8801" s="53"/>
      <c r="I8801" s="53"/>
      <c r="U8801" s="31" t="n">
        <f aca="false">IF($B8801&lt;&gt;'設定（最初に1回）'!$C$4,N(U8800),IF(COUNTIFS(①今日の在庫を貼る!$B$6:$B$10005,$B8801,①今日の在庫を貼る!$I$6:$I$10005,$I8801)&gt;0,N(U8800),N(U8800)+1))</f>
        <v>2</v>
      </c>
    </row>
    <row r="8802" customFormat="false" ht="15" hidden="false" customHeight="false" outlineLevel="0" collapsed="false">
      <c r="B8802" s="53"/>
      <c r="I8802" s="53"/>
      <c r="U8802" s="31" t="n">
        <f aca="false">IF($B8802&lt;&gt;'設定（最初に1回）'!$C$4,N(U8801),IF(COUNTIFS(①今日の在庫を貼る!$B$6:$B$10005,$B8802,①今日の在庫を貼る!$I$6:$I$10005,$I8802)&gt;0,N(U8801),N(U8801)+1))</f>
        <v>2</v>
      </c>
    </row>
    <row r="8803" customFormat="false" ht="15" hidden="false" customHeight="false" outlineLevel="0" collapsed="false">
      <c r="B8803" s="53"/>
      <c r="I8803" s="53"/>
      <c r="U8803" s="31" t="n">
        <f aca="false">IF($B8803&lt;&gt;'設定（最初に1回）'!$C$4,N(U8802),IF(COUNTIFS(①今日の在庫を貼る!$B$6:$B$10005,$B8803,①今日の在庫を貼る!$I$6:$I$10005,$I8803)&gt;0,N(U8802),N(U8802)+1))</f>
        <v>2</v>
      </c>
    </row>
    <row r="8804" customFormat="false" ht="15" hidden="false" customHeight="false" outlineLevel="0" collapsed="false">
      <c r="B8804" s="53"/>
      <c r="I8804" s="53"/>
      <c r="U8804" s="31" t="n">
        <f aca="false">IF($B8804&lt;&gt;'設定（最初に1回）'!$C$4,N(U8803),IF(COUNTIFS(①今日の在庫を貼る!$B$6:$B$10005,$B8804,①今日の在庫を貼る!$I$6:$I$10005,$I8804)&gt;0,N(U8803),N(U8803)+1))</f>
        <v>2</v>
      </c>
    </row>
    <row r="8805" customFormat="false" ht="15" hidden="false" customHeight="false" outlineLevel="0" collapsed="false">
      <c r="B8805" s="53"/>
      <c r="I8805" s="53"/>
      <c r="U8805" s="31" t="n">
        <f aca="false">IF($B8805&lt;&gt;'設定（最初に1回）'!$C$4,N(U8804),IF(COUNTIFS(①今日の在庫を貼る!$B$6:$B$10005,$B8805,①今日の在庫を貼る!$I$6:$I$10005,$I8805)&gt;0,N(U8804),N(U8804)+1))</f>
        <v>2</v>
      </c>
    </row>
    <row r="8806" customFormat="false" ht="15" hidden="false" customHeight="false" outlineLevel="0" collapsed="false">
      <c r="B8806" s="53"/>
      <c r="I8806" s="53"/>
      <c r="U8806" s="31" t="n">
        <f aca="false">IF($B8806&lt;&gt;'設定（最初に1回）'!$C$4,N(U8805),IF(COUNTIFS(①今日の在庫を貼る!$B$6:$B$10005,$B8806,①今日の在庫を貼る!$I$6:$I$10005,$I8806)&gt;0,N(U8805),N(U8805)+1))</f>
        <v>2</v>
      </c>
    </row>
    <row r="8807" customFormat="false" ht="15" hidden="false" customHeight="false" outlineLevel="0" collapsed="false">
      <c r="B8807" s="53"/>
      <c r="I8807" s="53"/>
      <c r="U8807" s="31" t="n">
        <f aca="false">IF($B8807&lt;&gt;'設定（最初に1回）'!$C$4,N(U8806),IF(COUNTIFS(①今日の在庫を貼る!$B$6:$B$10005,$B8807,①今日の在庫を貼る!$I$6:$I$10005,$I8807)&gt;0,N(U8806),N(U8806)+1))</f>
        <v>2</v>
      </c>
    </row>
    <row r="8808" customFormat="false" ht="15" hidden="false" customHeight="false" outlineLevel="0" collapsed="false">
      <c r="B8808" s="53"/>
      <c r="I8808" s="53"/>
      <c r="U8808" s="31" t="n">
        <f aca="false">IF($B8808&lt;&gt;'設定（最初に1回）'!$C$4,N(U8807),IF(COUNTIFS(①今日の在庫を貼る!$B$6:$B$10005,$B8808,①今日の在庫を貼る!$I$6:$I$10005,$I8808)&gt;0,N(U8807),N(U8807)+1))</f>
        <v>2</v>
      </c>
    </row>
    <row r="8809" customFormat="false" ht="15" hidden="false" customHeight="false" outlineLevel="0" collapsed="false">
      <c r="B8809" s="53"/>
      <c r="I8809" s="53"/>
      <c r="U8809" s="31" t="n">
        <f aca="false">IF($B8809&lt;&gt;'設定（最初に1回）'!$C$4,N(U8808),IF(COUNTIFS(①今日の在庫を貼る!$B$6:$B$10005,$B8809,①今日の在庫を貼る!$I$6:$I$10005,$I8809)&gt;0,N(U8808),N(U8808)+1))</f>
        <v>2</v>
      </c>
    </row>
    <row r="8810" customFormat="false" ht="15" hidden="false" customHeight="false" outlineLevel="0" collapsed="false">
      <c r="B8810" s="53"/>
      <c r="I8810" s="53"/>
      <c r="U8810" s="31" t="n">
        <f aca="false">IF($B8810&lt;&gt;'設定（最初に1回）'!$C$4,N(U8809),IF(COUNTIFS(①今日の在庫を貼る!$B$6:$B$10005,$B8810,①今日の在庫を貼る!$I$6:$I$10005,$I8810)&gt;0,N(U8809),N(U8809)+1))</f>
        <v>2</v>
      </c>
    </row>
    <row r="8811" customFormat="false" ht="15" hidden="false" customHeight="false" outlineLevel="0" collapsed="false">
      <c r="B8811" s="53"/>
      <c r="I8811" s="53"/>
      <c r="U8811" s="31" t="n">
        <f aca="false">IF($B8811&lt;&gt;'設定（最初に1回）'!$C$4,N(U8810),IF(COUNTIFS(①今日の在庫を貼る!$B$6:$B$10005,$B8811,①今日の在庫を貼る!$I$6:$I$10005,$I8811)&gt;0,N(U8810),N(U8810)+1))</f>
        <v>2</v>
      </c>
    </row>
    <row r="8812" customFormat="false" ht="15" hidden="false" customHeight="false" outlineLevel="0" collapsed="false">
      <c r="B8812" s="53"/>
      <c r="I8812" s="53"/>
      <c r="U8812" s="31" t="n">
        <f aca="false">IF($B8812&lt;&gt;'設定（最初に1回）'!$C$4,N(U8811),IF(COUNTIFS(①今日の在庫を貼る!$B$6:$B$10005,$B8812,①今日の在庫を貼る!$I$6:$I$10005,$I8812)&gt;0,N(U8811),N(U8811)+1))</f>
        <v>2</v>
      </c>
    </row>
    <row r="8813" customFormat="false" ht="15" hidden="false" customHeight="false" outlineLevel="0" collapsed="false">
      <c r="B8813" s="53"/>
      <c r="I8813" s="53"/>
      <c r="U8813" s="31" t="n">
        <f aca="false">IF($B8813&lt;&gt;'設定（最初に1回）'!$C$4,N(U8812),IF(COUNTIFS(①今日の在庫を貼る!$B$6:$B$10005,$B8813,①今日の在庫を貼る!$I$6:$I$10005,$I8813)&gt;0,N(U8812),N(U8812)+1))</f>
        <v>2</v>
      </c>
    </row>
    <row r="8814" customFormat="false" ht="15" hidden="false" customHeight="false" outlineLevel="0" collapsed="false">
      <c r="B8814" s="53"/>
      <c r="I8814" s="53"/>
      <c r="U8814" s="31" t="n">
        <f aca="false">IF($B8814&lt;&gt;'設定（最初に1回）'!$C$4,N(U8813),IF(COUNTIFS(①今日の在庫を貼る!$B$6:$B$10005,$B8814,①今日の在庫を貼る!$I$6:$I$10005,$I8814)&gt;0,N(U8813),N(U8813)+1))</f>
        <v>2</v>
      </c>
    </row>
    <row r="8815" customFormat="false" ht="15" hidden="false" customHeight="false" outlineLevel="0" collapsed="false">
      <c r="B8815" s="53"/>
      <c r="I8815" s="53"/>
      <c r="U8815" s="31" t="n">
        <f aca="false">IF($B8815&lt;&gt;'設定（最初に1回）'!$C$4,N(U8814),IF(COUNTIFS(①今日の在庫を貼る!$B$6:$B$10005,$B8815,①今日の在庫を貼る!$I$6:$I$10005,$I8815)&gt;0,N(U8814),N(U8814)+1))</f>
        <v>2</v>
      </c>
    </row>
    <row r="8816" customFormat="false" ht="15" hidden="false" customHeight="false" outlineLevel="0" collapsed="false">
      <c r="B8816" s="53"/>
      <c r="I8816" s="53"/>
      <c r="U8816" s="31" t="n">
        <f aca="false">IF($B8816&lt;&gt;'設定（最初に1回）'!$C$4,N(U8815),IF(COUNTIFS(①今日の在庫を貼る!$B$6:$B$10005,$B8816,①今日の在庫を貼る!$I$6:$I$10005,$I8816)&gt;0,N(U8815),N(U8815)+1))</f>
        <v>2</v>
      </c>
    </row>
    <row r="8817" customFormat="false" ht="15" hidden="false" customHeight="false" outlineLevel="0" collapsed="false">
      <c r="B8817" s="53"/>
      <c r="I8817" s="53"/>
      <c r="U8817" s="31" t="n">
        <f aca="false">IF($B8817&lt;&gt;'設定（最初に1回）'!$C$4,N(U8816),IF(COUNTIFS(①今日の在庫を貼る!$B$6:$B$10005,$B8817,①今日の在庫を貼る!$I$6:$I$10005,$I8817)&gt;0,N(U8816),N(U8816)+1))</f>
        <v>2</v>
      </c>
    </row>
    <row r="8818" customFormat="false" ht="15" hidden="false" customHeight="false" outlineLevel="0" collapsed="false">
      <c r="B8818" s="53"/>
      <c r="I8818" s="53"/>
      <c r="U8818" s="31" t="n">
        <f aca="false">IF($B8818&lt;&gt;'設定（最初に1回）'!$C$4,N(U8817),IF(COUNTIFS(①今日の在庫を貼る!$B$6:$B$10005,$B8818,①今日の在庫を貼る!$I$6:$I$10005,$I8818)&gt;0,N(U8817),N(U8817)+1))</f>
        <v>2</v>
      </c>
    </row>
    <row r="8819" customFormat="false" ht="15" hidden="false" customHeight="false" outlineLevel="0" collapsed="false">
      <c r="B8819" s="53"/>
      <c r="I8819" s="53"/>
      <c r="U8819" s="31" t="n">
        <f aca="false">IF($B8819&lt;&gt;'設定（最初に1回）'!$C$4,N(U8818),IF(COUNTIFS(①今日の在庫を貼る!$B$6:$B$10005,$B8819,①今日の在庫を貼る!$I$6:$I$10005,$I8819)&gt;0,N(U8818),N(U8818)+1))</f>
        <v>2</v>
      </c>
    </row>
    <row r="8820" customFormat="false" ht="15" hidden="false" customHeight="false" outlineLevel="0" collapsed="false">
      <c r="B8820" s="53"/>
      <c r="I8820" s="53"/>
      <c r="U8820" s="31" t="n">
        <f aca="false">IF($B8820&lt;&gt;'設定（最初に1回）'!$C$4,N(U8819),IF(COUNTIFS(①今日の在庫を貼る!$B$6:$B$10005,$B8820,①今日の在庫を貼る!$I$6:$I$10005,$I8820)&gt;0,N(U8819),N(U8819)+1))</f>
        <v>2</v>
      </c>
    </row>
    <row r="8821" customFormat="false" ht="15" hidden="false" customHeight="false" outlineLevel="0" collapsed="false">
      <c r="B8821" s="53"/>
      <c r="I8821" s="53"/>
      <c r="U8821" s="31" t="n">
        <f aca="false">IF($B8821&lt;&gt;'設定（最初に1回）'!$C$4,N(U8820),IF(COUNTIFS(①今日の在庫を貼る!$B$6:$B$10005,$B8821,①今日の在庫を貼る!$I$6:$I$10005,$I8821)&gt;0,N(U8820),N(U8820)+1))</f>
        <v>2</v>
      </c>
    </row>
    <row r="8822" customFormat="false" ht="15" hidden="false" customHeight="false" outlineLevel="0" collapsed="false">
      <c r="B8822" s="53"/>
      <c r="I8822" s="53"/>
      <c r="U8822" s="31" t="n">
        <f aca="false">IF($B8822&lt;&gt;'設定（最初に1回）'!$C$4,N(U8821),IF(COUNTIFS(①今日の在庫を貼る!$B$6:$B$10005,$B8822,①今日の在庫を貼る!$I$6:$I$10005,$I8822)&gt;0,N(U8821),N(U8821)+1))</f>
        <v>2</v>
      </c>
    </row>
    <row r="8823" customFormat="false" ht="15" hidden="false" customHeight="false" outlineLevel="0" collapsed="false">
      <c r="B8823" s="53"/>
      <c r="I8823" s="53"/>
      <c r="U8823" s="31" t="n">
        <f aca="false">IF($B8823&lt;&gt;'設定（最初に1回）'!$C$4,N(U8822),IF(COUNTIFS(①今日の在庫を貼る!$B$6:$B$10005,$B8823,①今日の在庫を貼る!$I$6:$I$10005,$I8823)&gt;0,N(U8822),N(U8822)+1))</f>
        <v>2</v>
      </c>
    </row>
    <row r="8824" customFormat="false" ht="15" hidden="false" customHeight="false" outlineLevel="0" collapsed="false">
      <c r="B8824" s="53"/>
      <c r="I8824" s="53"/>
      <c r="U8824" s="31" t="n">
        <f aca="false">IF($B8824&lt;&gt;'設定（最初に1回）'!$C$4,N(U8823),IF(COUNTIFS(①今日の在庫を貼る!$B$6:$B$10005,$B8824,①今日の在庫を貼る!$I$6:$I$10005,$I8824)&gt;0,N(U8823),N(U8823)+1))</f>
        <v>2</v>
      </c>
    </row>
    <row r="8825" customFormat="false" ht="15" hidden="false" customHeight="false" outlineLevel="0" collapsed="false">
      <c r="B8825" s="53"/>
      <c r="I8825" s="53"/>
      <c r="U8825" s="31" t="n">
        <f aca="false">IF($B8825&lt;&gt;'設定（最初に1回）'!$C$4,N(U8824),IF(COUNTIFS(①今日の在庫を貼る!$B$6:$B$10005,$B8825,①今日の在庫を貼る!$I$6:$I$10005,$I8825)&gt;0,N(U8824),N(U8824)+1))</f>
        <v>2</v>
      </c>
    </row>
    <row r="8826" customFormat="false" ht="15" hidden="false" customHeight="false" outlineLevel="0" collapsed="false">
      <c r="B8826" s="53"/>
      <c r="I8826" s="53"/>
      <c r="U8826" s="31" t="n">
        <f aca="false">IF($B8826&lt;&gt;'設定（最初に1回）'!$C$4,N(U8825),IF(COUNTIFS(①今日の在庫を貼る!$B$6:$B$10005,$B8826,①今日の在庫を貼る!$I$6:$I$10005,$I8826)&gt;0,N(U8825),N(U8825)+1))</f>
        <v>2</v>
      </c>
    </row>
    <row r="8827" customFormat="false" ht="15" hidden="false" customHeight="false" outlineLevel="0" collapsed="false">
      <c r="B8827" s="53"/>
      <c r="I8827" s="53"/>
      <c r="U8827" s="31" t="n">
        <f aca="false">IF($B8827&lt;&gt;'設定（最初に1回）'!$C$4,N(U8826),IF(COUNTIFS(①今日の在庫を貼る!$B$6:$B$10005,$B8827,①今日の在庫を貼る!$I$6:$I$10005,$I8827)&gt;0,N(U8826),N(U8826)+1))</f>
        <v>2</v>
      </c>
    </row>
    <row r="8828" customFormat="false" ht="15" hidden="false" customHeight="false" outlineLevel="0" collapsed="false">
      <c r="B8828" s="53"/>
      <c r="I8828" s="53"/>
      <c r="U8828" s="31" t="n">
        <f aca="false">IF($B8828&lt;&gt;'設定（最初に1回）'!$C$4,N(U8827),IF(COUNTIFS(①今日の在庫を貼る!$B$6:$B$10005,$B8828,①今日の在庫を貼る!$I$6:$I$10005,$I8828)&gt;0,N(U8827),N(U8827)+1))</f>
        <v>2</v>
      </c>
    </row>
    <row r="8829" customFormat="false" ht="15" hidden="false" customHeight="false" outlineLevel="0" collapsed="false">
      <c r="B8829" s="53"/>
      <c r="I8829" s="53"/>
      <c r="U8829" s="31" t="n">
        <f aca="false">IF($B8829&lt;&gt;'設定（最初に1回）'!$C$4,N(U8828),IF(COUNTIFS(①今日の在庫を貼る!$B$6:$B$10005,$B8829,①今日の在庫を貼る!$I$6:$I$10005,$I8829)&gt;0,N(U8828),N(U8828)+1))</f>
        <v>2</v>
      </c>
    </row>
    <row r="8830" customFormat="false" ht="15" hidden="false" customHeight="false" outlineLevel="0" collapsed="false">
      <c r="B8830" s="53"/>
      <c r="I8830" s="53"/>
      <c r="U8830" s="31" t="n">
        <f aca="false">IF($B8830&lt;&gt;'設定（最初に1回）'!$C$4,N(U8829),IF(COUNTIFS(①今日の在庫を貼る!$B$6:$B$10005,$B8830,①今日の在庫を貼る!$I$6:$I$10005,$I8830)&gt;0,N(U8829),N(U8829)+1))</f>
        <v>2</v>
      </c>
    </row>
    <row r="8831" customFormat="false" ht="15" hidden="false" customHeight="false" outlineLevel="0" collapsed="false">
      <c r="B8831" s="53"/>
      <c r="I8831" s="53"/>
      <c r="U8831" s="31" t="n">
        <f aca="false">IF($B8831&lt;&gt;'設定（最初に1回）'!$C$4,N(U8830),IF(COUNTIFS(①今日の在庫を貼る!$B$6:$B$10005,$B8831,①今日の在庫を貼る!$I$6:$I$10005,$I8831)&gt;0,N(U8830),N(U8830)+1))</f>
        <v>2</v>
      </c>
    </row>
    <row r="8832" customFormat="false" ht="15" hidden="false" customHeight="false" outlineLevel="0" collapsed="false">
      <c r="B8832" s="53"/>
      <c r="I8832" s="53"/>
      <c r="U8832" s="31" t="n">
        <f aca="false">IF($B8832&lt;&gt;'設定（最初に1回）'!$C$4,N(U8831),IF(COUNTIFS(①今日の在庫を貼る!$B$6:$B$10005,$B8832,①今日の在庫を貼る!$I$6:$I$10005,$I8832)&gt;0,N(U8831),N(U8831)+1))</f>
        <v>2</v>
      </c>
    </row>
    <row r="8833" customFormat="false" ht="15" hidden="false" customHeight="false" outlineLevel="0" collapsed="false">
      <c r="B8833" s="53"/>
      <c r="I8833" s="53"/>
      <c r="U8833" s="31" t="n">
        <f aca="false">IF($B8833&lt;&gt;'設定（最初に1回）'!$C$4,N(U8832),IF(COUNTIFS(①今日の在庫を貼る!$B$6:$B$10005,$B8833,①今日の在庫を貼る!$I$6:$I$10005,$I8833)&gt;0,N(U8832),N(U8832)+1))</f>
        <v>2</v>
      </c>
    </row>
    <row r="8834" customFormat="false" ht="15" hidden="false" customHeight="false" outlineLevel="0" collapsed="false">
      <c r="B8834" s="53"/>
      <c r="I8834" s="53"/>
      <c r="U8834" s="31" t="n">
        <f aca="false">IF($B8834&lt;&gt;'設定（最初に1回）'!$C$4,N(U8833),IF(COUNTIFS(①今日の在庫を貼る!$B$6:$B$10005,$B8834,①今日の在庫を貼る!$I$6:$I$10005,$I8834)&gt;0,N(U8833),N(U8833)+1))</f>
        <v>2</v>
      </c>
    </row>
    <row r="8835" customFormat="false" ht="15" hidden="false" customHeight="false" outlineLevel="0" collapsed="false">
      <c r="B8835" s="53"/>
      <c r="I8835" s="53"/>
      <c r="U8835" s="31" t="n">
        <f aca="false">IF($B8835&lt;&gt;'設定（最初に1回）'!$C$4,N(U8834),IF(COUNTIFS(①今日の在庫を貼る!$B$6:$B$10005,$B8835,①今日の在庫を貼る!$I$6:$I$10005,$I8835)&gt;0,N(U8834),N(U8834)+1))</f>
        <v>2</v>
      </c>
    </row>
    <row r="8836" customFormat="false" ht="15" hidden="false" customHeight="false" outlineLevel="0" collapsed="false">
      <c r="B8836" s="53"/>
      <c r="I8836" s="53"/>
      <c r="U8836" s="31" t="n">
        <f aca="false">IF($B8836&lt;&gt;'設定（最初に1回）'!$C$4,N(U8835),IF(COUNTIFS(①今日の在庫を貼る!$B$6:$B$10005,$B8836,①今日の在庫を貼る!$I$6:$I$10005,$I8836)&gt;0,N(U8835),N(U8835)+1))</f>
        <v>2</v>
      </c>
    </row>
    <row r="8837" customFormat="false" ht="15" hidden="false" customHeight="false" outlineLevel="0" collapsed="false">
      <c r="B8837" s="53"/>
      <c r="I8837" s="53"/>
      <c r="U8837" s="31" t="n">
        <f aca="false">IF($B8837&lt;&gt;'設定（最初に1回）'!$C$4,N(U8836),IF(COUNTIFS(①今日の在庫を貼る!$B$6:$B$10005,$B8837,①今日の在庫を貼る!$I$6:$I$10005,$I8837)&gt;0,N(U8836),N(U8836)+1))</f>
        <v>2</v>
      </c>
    </row>
    <row r="8838" customFormat="false" ht="15" hidden="false" customHeight="false" outlineLevel="0" collapsed="false">
      <c r="B8838" s="53"/>
      <c r="I8838" s="53"/>
      <c r="U8838" s="31" t="n">
        <f aca="false">IF($B8838&lt;&gt;'設定（最初に1回）'!$C$4,N(U8837),IF(COUNTIFS(①今日の在庫を貼る!$B$6:$B$10005,$B8838,①今日の在庫を貼る!$I$6:$I$10005,$I8838)&gt;0,N(U8837),N(U8837)+1))</f>
        <v>2</v>
      </c>
    </row>
    <row r="8839" customFormat="false" ht="15" hidden="false" customHeight="false" outlineLevel="0" collapsed="false">
      <c r="B8839" s="53"/>
      <c r="I8839" s="53"/>
      <c r="U8839" s="31" t="n">
        <f aca="false">IF($B8839&lt;&gt;'設定（最初に1回）'!$C$4,N(U8838),IF(COUNTIFS(①今日の在庫を貼る!$B$6:$B$10005,$B8839,①今日の在庫を貼る!$I$6:$I$10005,$I8839)&gt;0,N(U8838),N(U8838)+1))</f>
        <v>2</v>
      </c>
    </row>
    <row r="8840" customFormat="false" ht="15" hidden="false" customHeight="false" outlineLevel="0" collapsed="false">
      <c r="B8840" s="53"/>
      <c r="I8840" s="53"/>
      <c r="U8840" s="31" t="n">
        <f aca="false">IF($B8840&lt;&gt;'設定（最初に1回）'!$C$4,N(U8839),IF(COUNTIFS(①今日の在庫を貼る!$B$6:$B$10005,$B8840,①今日の在庫を貼る!$I$6:$I$10005,$I8840)&gt;0,N(U8839),N(U8839)+1))</f>
        <v>2</v>
      </c>
    </row>
    <row r="8841" customFormat="false" ht="15" hidden="false" customHeight="false" outlineLevel="0" collapsed="false">
      <c r="B8841" s="53"/>
      <c r="I8841" s="53"/>
      <c r="U8841" s="31" t="n">
        <f aca="false">IF($B8841&lt;&gt;'設定（最初に1回）'!$C$4,N(U8840),IF(COUNTIFS(①今日の在庫を貼る!$B$6:$B$10005,$B8841,①今日の在庫を貼る!$I$6:$I$10005,$I8841)&gt;0,N(U8840),N(U8840)+1))</f>
        <v>2</v>
      </c>
    </row>
    <row r="8842" customFormat="false" ht="15" hidden="false" customHeight="false" outlineLevel="0" collapsed="false">
      <c r="B8842" s="53"/>
      <c r="I8842" s="53"/>
      <c r="U8842" s="31" t="n">
        <f aca="false">IF($B8842&lt;&gt;'設定（最初に1回）'!$C$4,N(U8841),IF(COUNTIFS(①今日の在庫を貼る!$B$6:$B$10005,$B8842,①今日の在庫を貼る!$I$6:$I$10005,$I8842)&gt;0,N(U8841),N(U8841)+1))</f>
        <v>2</v>
      </c>
    </row>
    <row r="8843" customFormat="false" ht="15" hidden="false" customHeight="false" outlineLevel="0" collapsed="false">
      <c r="B8843" s="53"/>
      <c r="I8843" s="53"/>
      <c r="U8843" s="31" t="n">
        <f aca="false">IF($B8843&lt;&gt;'設定（最初に1回）'!$C$4,N(U8842),IF(COUNTIFS(①今日の在庫を貼る!$B$6:$B$10005,$B8843,①今日の在庫を貼る!$I$6:$I$10005,$I8843)&gt;0,N(U8842),N(U8842)+1))</f>
        <v>2</v>
      </c>
    </row>
    <row r="8844" customFormat="false" ht="15" hidden="false" customHeight="false" outlineLevel="0" collapsed="false">
      <c r="B8844" s="53"/>
      <c r="I8844" s="53"/>
      <c r="U8844" s="31" t="n">
        <f aca="false">IF($B8844&lt;&gt;'設定（最初に1回）'!$C$4,N(U8843),IF(COUNTIFS(①今日の在庫を貼る!$B$6:$B$10005,$B8844,①今日の在庫を貼る!$I$6:$I$10005,$I8844)&gt;0,N(U8843),N(U8843)+1))</f>
        <v>2</v>
      </c>
    </row>
    <row r="8845" customFormat="false" ht="15" hidden="false" customHeight="false" outlineLevel="0" collapsed="false">
      <c r="B8845" s="53"/>
      <c r="I8845" s="53"/>
      <c r="U8845" s="31" t="n">
        <f aca="false">IF($B8845&lt;&gt;'設定（最初に1回）'!$C$4,N(U8844),IF(COUNTIFS(①今日の在庫を貼る!$B$6:$B$10005,$B8845,①今日の在庫を貼る!$I$6:$I$10005,$I8845)&gt;0,N(U8844),N(U8844)+1))</f>
        <v>2</v>
      </c>
    </row>
    <row r="8846" customFormat="false" ht="15" hidden="false" customHeight="false" outlineLevel="0" collapsed="false">
      <c r="B8846" s="53"/>
      <c r="I8846" s="53"/>
      <c r="U8846" s="31" t="n">
        <f aca="false">IF($B8846&lt;&gt;'設定（最初に1回）'!$C$4,N(U8845),IF(COUNTIFS(①今日の在庫を貼る!$B$6:$B$10005,$B8846,①今日の在庫を貼る!$I$6:$I$10005,$I8846)&gt;0,N(U8845),N(U8845)+1))</f>
        <v>2</v>
      </c>
    </row>
    <row r="8847" customFormat="false" ht="15" hidden="false" customHeight="false" outlineLevel="0" collapsed="false">
      <c r="B8847" s="53"/>
      <c r="I8847" s="53"/>
      <c r="U8847" s="31" t="n">
        <f aca="false">IF($B8847&lt;&gt;'設定（最初に1回）'!$C$4,N(U8846),IF(COUNTIFS(①今日の在庫を貼る!$B$6:$B$10005,$B8847,①今日の在庫を貼る!$I$6:$I$10005,$I8847)&gt;0,N(U8846),N(U8846)+1))</f>
        <v>2</v>
      </c>
    </row>
    <row r="8848" customFormat="false" ht="15" hidden="false" customHeight="false" outlineLevel="0" collapsed="false">
      <c r="B8848" s="53"/>
      <c r="I8848" s="53"/>
      <c r="U8848" s="31" t="n">
        <f aca="false">IF($B8848&lt;&gt;'設定（最初に1回）'!$C$4,N(U8847),IF(COUNTIFS(①今日の在庫を貼る!$B$6:$B$10005,$B8848,①今日の在庫を貼る!$I$6:$I$10005,$I8848)&gt;0,N(U8847),N(U8847)+1))</f>
        <v>2</v>
      </c>
    </row>
    <row r="8849" customFormat="false" ht="15" hidden="false" customHeight="false" outlineLevel="0" collapsed="false">
      <c r="B8849" s="53"/>
      <c r="I8849" s="53"/>
      <c r="U8849" s="31" t="n">
        <f aca="false">IF($B8849&lt;&gt;'設定（最初に1回）'!$C$4,N(U8848),IF(COUNTIFS(①今日の在庫を貼る!$B$6:$B$10005,$B8849,①今日の在庫を貼る!$I$6:$I$10005,$I8849)&gt;0,N(U8848),N(U8848)+1))</f>
        <v>2</v>
      </c>
    </row>
    <row r="8850" customFormat="false" ht="15" hidden="false" customHeight="false" outlineLevel="0" collapsed="false">
      <c r="B8850" s="53"/>
      <c r="I8850" s="53"/>
      <c r="U8850" s="31" t="n">
        <f aca="false">IF($B8850&lt;&gt;'設定（最初に1回）'!$C$4,N(U8849),IF(COUNTIFS(①今日の在庫を貼る!$B$6:$B$10005,$B8850,①今日の在庫を貼る!$I$6:$I$10005,$I8850)&gt;0,N(U8849),N(U8849)+1))</f>
        <v>2</v>
      </c>
    </row>
    <row r="8851" customFormat="false" ht="15" hidden="false" customHeight="false" outlineLevel="0" collapsed="false">
      <c r="B8851" s="53"/>
      <c r="I8851" s="53"/>
      <c r="U8851" s="31" t="n">
        <f aca="false">IF($B8851&lt;&gt;'設定（最初に1回）'!$C$4,N(U8850),IF(COUNTIFS(①今日の在庫を貼る!$B$6:$B$10005,$B8851,①今日の在庫を貼る!$I$6:$I$10005,$I8851)&gt;0,N(U8850),N(U8850)+1))</f>
        <v>2</v>
      </c>
    </row>
    <row r="8852" customFormat="false" ht="15" hidden="false" customHeight="false" outlineLevel="0" collapsed="false">
      <c r="B8852" s="53"/>
      <c r="I8852" s="53"/>
      <c r="U8852" s="31" t="n">
        <f aca="false">IF($B8852&lt;&gt;'設定（最初に1回）'!$C$4,N(U8851),IF(COUNTIFS(①今日の在庫を貼る!$B$6:$B$10005,$B8852,①今日の在庫を貼る!$I$6:$I$10005,$I8852)&gt;0,N(U8851),N(U8851)+1))</f>
        <v>2</v>
      </c>
    </row>
    <row r="8853" customFormat="false" ht="15" hidden="false" customHeight="false" outlineLevel="0" collapsed="false">
      <c r="B8853" s="53"/>
      <c r="I8853" s="53"/>
      <c r="U8853" s="31" t="n">
        <f aca="false">IF($B8853&lt;&gt;'設定（最初に1回）'!$C$4,N(U8852),IF(COUNTIFS(①今日の在庫を貼る!$B$6:$B$10005,$B8853,①今日の在庫を貼る!$I$6:$I$10005,$I8853)&gt;0,N(U8852),N(U8852)+1))</f>
        <v>2</v>
      </c>
    </row>
    <row r="8854" customFormat="false" ht="15" hidden="false" customHeight="false" outlineLevel="0" collapsed="false">
      <c r="B8854" s="53"/>
      <c r="I8854" s="53"/>
      <c r="U8854" s="31" t="n">
        <f aca="false">IF($B8854&lt;&gt;'設定（最初に1回）'!$C$4,N(U8853),IF(COUNTIFS(①今日の在庫を貼る!$B$6:$B$10005,$B8854,①今日の在庫を貼る!$I$6:$I$10005,$I8854)&gt;0,N(U8853),N(U8853)+1))</f>
        <v>2</v>
      </c>
    </row>
    <row r="8855" customFormat="false" ht="15" hidden="false" customHeight="false" outlineLevel="0" collapsed="false">
      <c r="B8855" s="53"/>
      <c r="I8855" s="53"/>
      <c r="U8855" s="31" t="n">
        <f aca="false">IF($B8855&lt;&gt;'設定（最初に1回）'!$C$4,N(U8854),IF(COUNTIFS(①今日の在庫を貼る!$B$6:$B$10005,$B8855,①今日の在庫を貼る!$I$6:$I$10005,$I8855)&gt;0,N(U8854),N(U8854)+1))</f>
        <v>2</v>
      </c>
    </row>
    <row r="8856" customFormat="false" ht="15" hidden="false" customHeight="false" outlineLevel="0" collapsed="false">
      <c r="B8856" s="53"/>
      <c r="I8856" s="53"/>
      <c r="U8856" s="31" t="n">
        <f aca="false">IF($B8856&lt;&gt;'設定（最初に1回）'!$C$4,N(U8855),IF(COUNTIFS(①今日の在庫を貼る!$B$6:$B$10005,$B8856,①今日の在庫を貼る!$I$6:$I$10005,$I8856)&gt;0,N(U8855),N(U8855)+1))</f>
        <v>2</v>
      </c>
    </row>
    <row r="8857" customFormat="false" ht="15" hidden="false" customHeight="false" outlineLevel="0" collapsed="false">
      <c r="B8857" s="53"/>
      <c r="I8857" s="53"/>
      <c r="U8857" s="31" t="n">
        <f aca="false">IF($B8857&lt;&gt;'設定（最初に1回）'!$C$4,N(U8856),IF(COUNTIFS(①今日の在庫を貼る!$B$6:$B$10005,$B8857,①今日の在庫を貼る!$I$6:$I$10005,$I8857)&gt;0,N(U8856),N(U8856)+1))</f>
        <v>2</v>
      </c>
    </row>
    <row r="8858" customFormat="false" ht="15" hidden="false" customHeight="false" outlineLevel="0" collapsed="false">
      <c r="B8858" s="53"/>
      <c r="I8858" s="53"/>
      <c r="U8858" s="31" t="n">
        <f aca="false">IF($B8858&lt;&gt;'設定（最初に1回）'!$C$4,N(U8857),IF(COUNTIFS(①今日の在庫を貼る!$B$6:$B$10005,$B8858,①今日の在庫を貼る!$I$6:$I$10005,$I8858)&gt;0,N(U8857),N(U8857)+1))</f>
        <v>2</v>
      </c>
    </row>
    <row r="8859" customFormat="false" ht="15" hidden="false" customHeight="false" outlineLevel="0" collapsed="false">
      <c r="B8859" s="53"/>
      <c r="I8859" s="53"/>
      <c r="U8859" s="31" t="n">
        <f aca="false">IF($B8859&lt;&gt;'設定（最初に1回）'!$C$4,N(U8858),IF(COUNTIFS(①今日の在庫を貼る!$B$6:$B$10005,$B8859,①今日の在庫を貼る!$I$6:$I$10005,$I8859)&gt;0,N(U8858),N(U8858)+1))</f>
        <v>2</v>
      </c>
    </row>
    <row r="8860" customFormat="false" ht="15" hidden="false" customHeight="false" outlineLevel="0" collapsed="false">
      <c r="B8860" s="53"/>
      <c r="I8860" s="53"/>
      <c r="U8860" s="31" t="n">
        <f aca="false">IF($B8860&lt;&gt;'設定（最初に1回）'!$C$4,N(U8859),IF(COUNTIFS(①今日の在庫を貼る!$B$6:$B$10005,$B8860,①今日の在庫を貼る!$I$6:$I$10005,$I8860)&gt;0,N(U8859),N(U8859)+1))</f>
        <v>2</v>
      </c>
    </row>
    <row r="8861" customFormat="false" ht="15" hidden="false" customHeight="false" outlineLevel="0" collapsed="false">
      <c r="B8861" s="53"/>
      <c r="I8861" s="53"/>
      <c r="U8861" s="31" t="n">
        <f aca="false">IF($B8861&lt;&gt;'設定（最初に1回）'!$C$4,N(U8860),IF(COUNTIFS(①今日の在庫を貼る!$B$6:$B$10005,$B8861,①今日の在庫を貼る!$I$6:$I$10005,$I8861)&gt;0,N(U8860),N(U8860)+1))</f>
        <v>2</v>
      </c>
    </row>
    <row r="8862" customFormat="false" ht="15" hidden="false" customHeight="false" outlineLevel="0" collapsed="false">
      <c r="B8862" s="53"/>
      <c r="I8862" s="53"/>
      <c r="U8862" s="31" t="n">
        <f aca="false">IF($B8862&lt;&gt;'設定（最初に1回）'!$C$4,N(U8861),IF(COUNTIFS(①今日の在庫を貼る!$B$6:$B$10005,$B8862,①今日の在庫を貼る!$I$6:$I$10005,$I8862)&gt;0,N(U8861),N(U8861)+1))</f>
        <v>2</v>
      </c>
    </row>
    <row r="8863" customFormat="false" ht="15" hidden="false" customHeight="false" outlineLevel="0" collapsed="false">
      <c r="B8863" s="53"/>
      <c r="I8863" s="53"/>
      <c r="U8863" s="31" t="n">
        <f aca="false">IF($B8863&lt;&gt;'設定（最初に1回）'!$C$4,N(U8862),IF(COUNTIFS(①今日の在庫を貼る!$B$6:$B$10005,$B8863,①今日の在庫を貼る!$I$6:$I$10005,$I8863)&gt;0,N(U8862),N(U8862)+1))</f>
        <v>2</v>
      </c>
    </row>
    <row r="8864" customFormat="false" ht="15" hidden="false" customHeight="false" outlineLevel="0" collapsed="false">
      <c r="B8864" s="53"/>
      <c r="I8864" s="53"/>
      <c r="U8864" s="31" t="n">
        <f aca="false">IF($B8864&lt;&gt;'設定（最初に1回）'!$C$4,N(U8863),IF(COUNTIFS(①今日の在庫を貼る!$B$6:$B$10005,$B8864,①今日の在庫を貼る!$I$6:$I$10005,$I8864)&gt;0,N(U8863),N(U8863)+1))</f>
        <v>2</v>
      </c>
    </row>
    <row r="8865" customFormat="false" ht="15" hidden="false" customHeight="false" outlineLevel="0" collapsed="false">
      <c r="B8865" s="53"/>
      <c r="I8865" s="53"/>
      <c r="U8865" s="31" t="n">
        <f aca="false">IF($B8865&lt;&gt;'設定（最初に1回）'!$C$4,N(U8864),IF(COUNTIFS(①今日の在庫を貼る!$B$6:$B$10005,$B8865,①今日の在庫を貼る!$I$6:$I$10005,$I8865)&gt;0,N(U8864),N(U8864)+1))</f>
        <v>2</v>
      </c>
    </row>
    <row r="8866" customFormat="false" ht="15" hidden="false" customHeight="false" outlineLevel="0" collapsed="false">
      <c r="B8866" s="53"/>
      <c r="I8866" s="53"/>
      <c r="U8866" s="31" t="n">
        <f aca="false">IF($B8866&lt;&gt;'設定（最初に1回）'!$C$4,N(U8865),IF(COUNTIFS(①今日の在庫を貼る!$B$6:$B$10005,$B8866,①今日の在庫を貼る!$I$6:$I$10005,$I8866)&gt;0,N(U8865),N(U8865)+1))</f>
        <v>2</v>
      </c>
    </row>
    <row r="8867" customFormat="false" ht="15" hidden="false" customHeight="false" outlineLevel="0" collapsed="false">
      <c r="B8867" s="53"/>
      <c r="I8867" s="53"/>
      <c r="U8867" s="31" t="n">
        <f aca="false">IF($B8867&lt;&gt;'設定（最初に1回）'!$C$4,N(U8866),IF(COUNTIFS(①今日の在庫を貼る!$B$6:$B$10005,$B8867,①今日の在庫を貼る!$I$6:$I$10005,$I8867)&gt;0,N(U8866),N(U8866)+1))</f>
        <v>2</v>
      </c>
    </row>
    <row r="8868" customFormat="false" ht="15" hidden="false" customHeight="false" outlineLevel="0" collapsed="false">
      <c r="B8868" s="53"/>
      <c r="I8868" s="53"/>
      <c r="U8868" s="31" t="n">
        <f aca="false">IF($B8868&lt;&gt;'設定（最初に1回）'!$C$4,N(U8867),IF(COUNTIFS(①今日の在庫を貼る!$B$6:$B$10005,$B8868,①今日の在庫を貼る!$I$6:$I$10005,$I8868)&gt;0,N(U8867),N(U8867)+1))</f>
        <v>2</v>
      </c>
    </row>
    <row r="8869" customFormat="false" ht="15" hidden="false" customHeight="false" outlineLevel="0" collapsed="false">
      <c r="B8869" s="53"/>
      <c r="I8869" s="53"/>
      <c r="U8869" s="31" t="n">
        <f aca="false">IF($B8869&lt;&gt;'設定（最初に1回）'!$C$4,N(U8868),IF(COUNTIFS(①今日の在庫を貼る!$B$6:$B$10005,$B8869,①今日の在庫を貼る!$I$6:$I$10005,$I8869)&gt;0,N(U8868),N(U8868)+1))</f>
        <v>2</v>
      </c>
    </row>
    <row r="8870" customFormat="false" ht="15" hidden="false" customHeight="false" outlineLevel="0" collapsed="false">
      <c r="B8870" s="53"/>
      <c r="I8870" s="53"/>
      <c r="U8870" s="31" t="n">
        <f aca="false">IF($B8870&lt;&gt;'設定（最初に1回）'!$C$4,N(U8869),IF(COUNTIFS(①今日の在庫を貼る!$B$6:$B$10005,$B8870,①今日の在庫を貼る!$I$6:$I$10005,$I8870)&gt;0,N(U8869),N(U8869)+1))</f>
        <v>2</v>
      </c>
    </row>
    <row r="8871" customFormat="false" ht="15" hidden="false" customHeight="false" outlineLevel="0" collapsed="false">
      <c r="B8871" s="53"/>
      <c r="I8871" s="53"/>
      <c r="U8871" s="31" t="n">
        <f aca="false">IF($B8871&lt;&gt;'設定（最初に1回）'!$C$4,N(U8870),IF(COUNTIFS(①今日の在庫を貼る!$B$6:$B$10005,$B8871,①今日の在庫を貼る!$I$6:$I$10005,$I8871)&gt;0,N(U8870),N(U8870)+1))</f>
        <v>2</v>
      </c>
    </row>
    <row r="8872" customFormat="false" ht="15" hidden="false" customHeight="false" outlineLevel="0" collapsed="false">
      <c r="B8872" s="53"/>
      <c r="I8872" s="53"/>
      <c r="U8872" s="31" t="n">
        <f aca="false">IF($B8872&lt;&gt;'設定（最初に1回）'!$C$4,N(U8871),IF(COUNTIFS(①今日の在庫を貼る!$B$6:$B$10005,$B8872,①今日の在庫を貼る!$I$6:$I$10005,$I8872)&gt;0,N(U8871),N(U8871)+1))</f>
        <v>2</v>
      </c>
    </row>
    <row r="8873" customFormat="false" ht="15" hidden="false" customHeight="false" outlineLevel="0" collapsed="false">
      <c r="B8873" s="53"/>
      <c r="I8873" s="53"/>
      <c r="U8873" s="31" t="n">
        <f aca="false">IF($B8873&lt;&gt;'設定（最初に1回）'!$C$4,N(U8872),IF(COUNTIFS(①今日の在庫を貼る!$B$6:$B$10005,$B8873,①今日の在庫を貼る!$I$6:$I$10005,$I8873)&gt;0,N(U8872),N(U8872)+1))</f>
        <v>2</v>
      </c>
    </row>
    <row r="8874" customFormat="false" ht="15" hidden="false" customHeight="false" outlineLevel="0" collapsed="false">
      <c r="B8874" s="53"/>
      <c r="I8874" s="53"/>
      <c r="U8874" s="31" t="n">
        <f aca="false">IF($B8874&lt;&gt;'設定（最初に1回）'!$C$4,N(U8873),IF(COUNTIFS(①今日の在庫を貼る!$B$6:$B$10005,$B8874,①今日の在庫を貼る!$I$6:$I$10005,$I8874)&gt;0,N(U8873),N(U8873)+1))</f>
        <v>2</v>
      </c>
    </row>
    <row r="8875" customFormat="false" ht="15" hidden="false" customHeight="false" outlineLevel="0" collapsed="false">
      <c r="B8875" s="53"/>
      <c r="I8875" s="53"/>
      <c r="U8875" s="31" t="n">
        <f aca="false">IF($B8875&lt;&gt;'設定（最初に1回）'!$C$4,N(U8874),IF(COUNTIFS(①今日の在庫を貼る!$B$6:$B$10005,$B8875,①今日の在庫を貼る!$I$6:$I$10005,$I8875)&gt;0,N(U8874),N(U8874)+1))</f>
        <v>2</v>
      </c>
    </row>
    <row r="8876" customFormat="false" ht="15" hidden="false" customHeight="false" outlineLevel="0" collapsed="false">
      <c r="B8876" s="53"/>
      <c r="I8876" s="53"/>
      <c r="U8876" s="31" t="n">
        <f aca="false">IF($B8876&lt;&gt;'設定（最初に1回）'!$C$4,N(U8875),IF(COUNTIFS(①今日の在庫を貼る!$B$6:$B$10005,$B8876,①今日の在庫を貼る!$I$6:$I$10005,$I8876)&gt;0,N(U8875),N(U8875)+1))</f>
        <v>2</v>
      </c>
    </row>
    <row r="8877" customFormat="false" ht="15" hidden="false" customHeight="false" outlineLevel="0" collapsed="false">
      <c r="B8877" s="53"/>
      <c r="I8877" s="53"/>
      <c r="U8877" s="31" t="n">
        <f aca="false">IF($B8877&lt;&gt;'設定（最初に1回）'!$C$4,N(U8876),IF(COUNTIFS(①今日の在庫を貼る!$B$6:$B$10005,$B8877,①今日の在庫を貼る!$I$6:$I$10005,$I8877)&gt;0,N(U8876),N(U8876)+1))</f>
        <v>2</v>
      </c>
    </row>
    <row r="8878" customFormat="false" ht="15" hidden="false" customHeight="false" outlineLevel="0" collapsed="false">
      <c r="B8878" s="53"/>
      <c r="I8878" s="53"/>
      <c r="U8878" s="31" t="n">
        <f aca="false">IF($B8878&lt;&gt;'設定（最初に1回）'!$C$4,N(U8877),IF(COUNTIFS(①今日の在庫を貼る!$B$6:$B$10005,$B8878,①今日の在庫を貼る!$I$6:$I$10005,$I8878)&gt;0,N(U8877),N(U8877)+1))</f>
        <v>2</v>
      </c>
    </row>
    <row r="8879" customFormat="false" ht="15" hidden="false" customHeight="false" outlineLevel="0" collapsed="false">
      <c r="B8879" s="53"/>
      <c r="I8879" s="53"/>
      <c r="U8879" s="31" t="n">
        <f aca="false">IF($B8879&lt;&gt;'設定（最初に1回）'!$C$4,N(U8878),IF(COUNTIFS(①今日の在庫を貼る!$B$6:$B$10005,$B8879,①今日の在庫を貼る!$I$6:$I$10005,$I8879)&gt;0,N(U8878),N(U8878)+1))</f>
        <v>2</v>
      </c>
    </row>
    <row r="8880" customFormat="false" ht="15" hidden="false" customHeight="false" outlineLevel="0" collapsed="false">
      <c r="B8880" s="53"/>
      <c r="I8880" s="53"/>
      <c r="U8880" s="31" t="n">
        <f aca="false">IF($B8880&lt;&gt;'設定（最初に1回）'!$C$4,N(U8879),IF(COUNTIFS(①今日の在庫を貼る!$B$6:$B$10005,$B8880,①今日の在庫を貼る!$I$6:$I$10005,$I8880)&gt;0,N(U8879),N(U8879)+1))</f>
        <v>2</v>
      </c>
    </row>
    <row r="8881" customFormat="false" ht="15" hidden="false" customHeight="false" outlineLevel="0" collapsed="false">
      <c r="B8881" s="53"/>
      <c r="I8881" s="53"/>
      <c r="U8881" s="31" t="n">
        <f aca="false">IF($B8881&lt;&gt;'設定（最初に1回）'!$C$4,N(U8880),IF(COUNTIFS(①今日の在庫を貼る!$B$6:$B$10005,$B8881,①今日の在庫を貼る!$I$6:$I$10005,$I8881)&gt;0,N(U8880),N(U8880)+1))</f>
        <v>2</v>
      </c>
    </row>
    <row r="8882" customFormat="false" ht="15" hidden="false" customHeight="false" outlineLevel="0" collapsed="false">
      <c r="B8882" s="53"/>
      <c r="I8882" s="53"/>
      <c r="U8882" s="31" t="n">
        <f aca="false">IF($B8882&lt;&gt;'設定（最初に1回）'!$C$4,N(U8881),IF(COUNTIFS(①今日の在庫を貼る!$B$6:$B$10005,$B8882,①今日の在庫を貼る!$I$6:$I$10005,$I8882)&gt;0,N(U8881),N(U8881)+1))</f>
        <v>2</v>
      </c>
    </row>
    <row r="8883" customFormat="false" ht="15" hidden="false" customHeight="false" outlineLevel="0" collapsed="false">
      <c r="B8883" s="53"/>
      <c r="I8883" s="53"/>
      <c r="U8883" s="31" t="n">
        <f aca="false">IF($B8883&lt;&gt;'設定（最初に1回）'!$C$4,N(U8882),IF(COUNTIFS(①今日の在庫を貼る!$B$6:$B$10005,$B8883,①今日の在庫を貼る!$I$6:$I$10005,$I8883)&gt;0,N(U8882),N(U8882)+1))</f>
        <v>2</v>
      </c>
    </row>
    <row r="8884" customFormat="false" ht="15" hidden="false" customHeight="false" outlineLevel="0" collapsed="false">
      <c r="B8884" s="53"/>
      <c r="I8884" s="53"/>
      <c r="U8884" s="31" t="n">
        <f aca="false">IF($B8884&lt;&gt;'設定（最初に1回）'!$C$4,N(U8883),IF(COUNTIFS(①今日の在庫を貼る!$B$6:$B$10005,$B8884,①今日の在庫を貼る!$I$6:$I$10005,$I8884)&gt;0,N(U8883),N(U8883)+1))</f>
        <v>2</v>
      </c>
    </row>
    <row r="8885" customFormat="false" ht="15" hidden="false" customHeight="false" outlineLevel="0" collapsed="false">
      <c r="B8885" s="53"/>
      <c r="I8885" s="53"/>
      <c r="U8885" s="31" t="n">
        <f aca="false">IF($B8885&lt;&gt;'設定（最初に1回）'!$C$4,N(U8884),IF(COUNTIFS(①今日の在庫を貼る!$B$6:$B$10005,$B8885,①今日の在庫を貼る!$I$6:$I$10005,$I8885)&gt;0,N(U8884),N(U8884)+1))</f>
        <v>2</v>
      </c>
    </row>
    <row r="8886" customFormat="false" ht="15" hidden="false" customHeight="false" outlineLevel="0" collapsed="false">
      <c r="B8886" s="53"/>
      <c r="I8886" s="53"/>
      <c r="U8886" s="31" t="n">
        <f aca="false">IF($B8886&lt;&gt;'設定（最初に1回）'!$C$4,N(U8885),IF(COUNTIFS(①今日の在庫を貼る!$B$6:$B$10005,$B8886,①今日の在庫を貼る!$I$6:$I$10005,$I8886)&gt;0,N(U8885),N(U8885)+1))</f>
        <v>2</v>
      </c>
    </row>
    <row r="8887" customFormat="false" ht="15" hidden="false" customHeight="false" outlineLevel="0" collapsed="false">
      <c r="B8887" s="53"/>
      <c r="I8887" s="53"/>
      <c r="U8887" s="31" t="n">
        <f aca="false">IF($B8887&lt;&gt;'設定（最初に1回）'!$C$4,N(U8886),IF(COUNTIFS(①今日の在庫を貼る!$B$6:$B$10005,$B8887,①今日の在庫を貼る!$I$6:$I$10005,$I8887)&gt;0,N(U8886),N(U8886)+1))</f>
        <v>2</v>
      </c>
    </row>
    <row r="8888" customFormat="false" ht="15" hidden="false" customHeight="false" outlineLevel="0" collapsed="false">
      <c r="B8888" s="53"/>
      <c r="I8888" s="53"/>
      <c r="U8888" s="31" t="n">
        <f aca="false">IF($B8888&lt;&gt;'設定（最初に1回）'!$C$4,N(U8887),IF(COUNTIFS(①今日の在庫を貼る!$B$6:$B$10005,$B8888,①今日の在庫を貼る!$I$6:$I$10005,$I8888)&gt;0,N(U8887),N(U8887)+1))</f>
        <v>2</v>
      </c>
    </row>
    <row r="8889" customFormat="false" ht="15" hidden="false" customHeight="false" outlineLevel="0" collapsed="false">
      <c r="B8889" s="53"/>
      <c r="I8889" s="53"/>
      <c r="U8889" s="31" t="n">
        <f aca="false">IF($B8889&lt;&gt;'設定（最初に1回）'!$C$4,N(U8888),IF(COUNTIFS(①今日の在庫を貼る!$B$6:$B$10005,$B8889,①今日の在庫を貼る!$I$6:$I$10005,$I8889)&gt;0,N(U8888),N(U8888)+1))</f>
        <v>2</v>
      </c>
    </row>
    <row r="8890" customFormat="false" ht="15" hidden="false" customHeight="false" outlineLevel="0" collapsed="false">
      <c r="B8890" s="53"/>
      <c r="I8890" s="53"/>
      <c r="U8890" s="31" t="n">
        <f aca="false">IF($B8890&lt;&gt;'設定（最初に1回）'!$C$4,N(U8889),IF(COUNTIFS(①今日の在庫を貼る!$B$6:$B$10005,$B8890,①今日の在庫を貼る!$I$6:$I$10005,$I8890)&gt;0,N(U8889),N(U8889)+1))</f>
        <v>2</v>
      </c>
    </row>
    <row r="8891" customFormat="false" ht="15" hidden="false" customHeight="false" outlineLevel="0" collapsed="false">
      <c r="B8891" s="53"/>
      <c r="I8891" s="53"/>
      <c r="U8891" s="31" t="n">
        <f aca="false">IF($B8891&lt;&gt;'設定（最初に1回）'!$C$4,N(U8890),IF(COUNTIFS(①今日の在庫を貼る!$B$6:$B$10005,$B8891,①今日の在庫を貼る!$I$6:$I$10005,$I8891)&gt;0,N(U8890),N(U8890)+1))</f>
        <v>2</v>
      </c>
    </row>
    <row r="8892" customFormat="false" ht="15" hidden="false" customHeight="false" outlineLevel="0" collapsed="false">
      <c r="B8892" s="53"/>
      <c r="I8892" s="53"/>
      <c r="U8892" s="31" t="n">
        <f aca="false">IF($B8892&lt;&gt;'設定（最初に1回）'!$C$4,N(U8891),IF(COUNTIFS(①今日の在庫を貼る!$B$6:$B$10005,$B8892,①今日の在庫を貼る!$I$6:$I$10005,$I8892)&gt;0,N(U8891),N(U8891)+1))</f>
        <v>2</v>
      </c>
    </row>
    <row r="8893" customFormat="false" ht="15" hidden="false" customHeight="false" outlineLevel="0" collapsed="false">
      <c r="B8893" s="53"/>
      <c r="I8893" s="53"/>
      <c r="U8893" s="31" t="n">
        <f aca="false">IF($B8893&lt;&gt;'設定（最初に1回）'!$C$4,N(U8892),IF(COUNTIFS(①今日の在庫を貼る!$B$6:$B$10005,$B8893,①今日の在庫を貼る!$I$6:$I$10005,$I8893)&gt;0,N(U8892),N(U8892)+1))</f>
        <v>2</v>
      </c>
    </row>
    <row r="8894" customFormat="false" ht="15" hidden="false" customHeight="false" outlineLevel="0" collapsed="false">
      <c r="B8894" s="53"/>
      <c r="I8894" s="53"/>
      <c r="U8894" s="31" t="n">
        <f aca="false">IF($B8894&lt;&gt;'設定（最初に1回）'!$C$4,N(U8893),IF(COUNTIFS(①今日の在庫を貼る!$B$6:$B$10005,$B8894,①今日の在庫を貼る!$I$6:$I$10005,$I8894)&gt;0,N(U8893),N(U8893)+1))</f>
        <v>2</v>
      </c>
    </row>
    <row r="8895" customFormat="false" ht="15" hidden="false" customHeight="false" outlineLevel="0" collapsed="false">
      <c r="B8895" s="53"/>
      <c r="I8895" s="53"/>
      <c r="U8895" s="31" t="n">
        <f aca="false">IF($B8895&lt;&gt;'設定（最初に1回）'!$C$4,N(U8894),IF(COUNTIFS(①今日の在庫を貼る!$B$6:$B$10005,$B8895,①今日の在庫を貼る!$I$6:$I$10005,$I8895)&gt;0,N(U8894),N(U8894)+1))</f>
        <v>2</v>
      </c>
    </row>
    <row r="8896" customFormat="false" ht="15" hidden="false" customHeight="false" outlineLevel="0" collapsed="false">
      <c r="B8896" s="53"/>
      <c r="I8896" s="53"/>
      <c r="U8896" s="31" t="n">
        <f aca="false">IF($B8896&lt;&gt;'設定（最初に1回）'!$C$4,N(U8895),IF(COUNTIFS(①今日の在庫を貼る!$B$6:$B$10005,$B8896,①今日の在庫を貼る!$I$6:$I$10005,$I8896)&gt;0,N(U8895),N(U8895)+1))</f>
        <v>2</v>
      </c>
    </row>
    <row r="8897" customFormat="false" ht="15" hidden="false" customHeight="false" outlineLevel="0" collapsed="false">
      <c r="B8897" s="53"/>
      <c r="I8897" s="53"/>
      <c r="U8897" s="31" t="n">
        <f aca="false">IF($B8897&lt;&gt;'設定（最初に1回）'!$C$4,N(U8896),IF(COUNTIFS(①今日の在庫を貼る!$B$6:$B$10005,$B8897,①今日の在庫を貼る!$I$6:$I$10005,$I8897)&gt;0,N(U8896),N(U8896)+1))</f>
        <v>2</v>
      </c>
    </row>
    <row r="8898" customFormat="false" ht="15" hidden="false" customHeight="false" outlineLevel="0" collapsed="false">
      <c r="B8898" s="53"/>
      <c r="I8898" s="53"/>
      <c r="U8898" s="31" t="n">
        <f aca="false">IF($B8898&lt;&gt;'設定（最初に1回）'!$C$4,N(U8897),IF(COUNTIFS(①今日の在庫を貼る!$B$6:$B$10005,$B8898,①今日の在庫を貼る!$I$6:$I$10005,$I8898)&gt;0,N(U8897),N(U8897)+1))</f>
        <v>2</v>
      </c>
    </row>
    <row r="8899" customFormat="false" ht="15" hidden="false" customHeight="false" outlineLevel="0" collapsed="false">
      <c r="B8899" s="53"/>
      <c r="I8899" s="53"/>
      <c r="U8899" s="31" t="n">
        <f aca="false">IF($B8899&lt;&gt;'設定（最初に1回）'!$C$4,N(U8898),IF(COUNTIFS(①今日の在庫を貼る!$B$6:$B$10005,$B8899,①今日の在庫を貼る!$I$6:$I$10005,$I8899)&gt;0,N(U8898),N(U8898)+1))</f>
        <v>2</v>
      </c>
    </row>
    <row r="8900" customFormat="false" ht="15" hidden="false" customHeight="false" outlineLevel="0" collapsed="false">
      <c r="B8900" s="53"/>
      <c r="I8900" s="53"/>
      <c r="U8900" s="31" t="n">
        <f aca="false">IF($B8900&lt;&gt;'設定（最初に1回）'!$C$4,N(U8899),IF(COUNTIFS(①今日の在庫を貼る!$B$6:$B$10005,$B8900,①今日の在庫を貼る!$I$6:$I$10005,$I8900)&gt;0,N(U8899),N(U8899)+1))</f>
        <v>2</v>
      </c>
    </row>
    <row r="8901" customFormat="false" ht="15" hidden="false" customHeight="false" outlineLevel="0" collapsed="false">
      <c r="B8901" s="53"/>
      <c r="I8901" s="53"/>
      <c r="U8901" s="31" t="n">
        <f aca="false">IF($B8901&lt;&gt;'設定（最初に1回）'!$C$4,N(U8900),IF(COUNTIFS(①今日の在庫を貼る!$B$6:$B$10005,$B8901,①今日の在庫を貼る!$I$6:$I$10005,$I8901)&gt;0,N(U8900),N(U8900)+1))</f>
        <v>2</v>
      </c>
    </row>
    <row r="8902" customFormat="false" ht="15" hidden="false" customHeight="false" outlineLevel="0" collapsed="false">
      <c r="B8902" s="53"/>
      <c r="I8902" s="53"/>
      <c r="U8902" s="31" t="n">
        <f aca="false">IF($B8902&lt;&gt;'設定（最初に1回）'!$C$4,N(U8901),IF(COUNTIFS(①今日の在庫を貼る!$B$6:$B$10005,$B8902,①今日の在庫を貼る!$I$6:$I$10005,$I8902)&gt;0,N(U8901),N(U8901)+1))</f>
        <v>2</v>
      </c>
    </row>
    <row r="8903" customFormat="false" ht="15" hidden="false" customHeight="false" outlineLevel="0" collapsed="false">
      <c r="B8903" s="53"/>
      <c r="I8903" s="53"/>
      <c r="U8903" s="31" t="n">
        <f aca="false">IF($B8903&lt;&gt;'設定（最初に1回）'!$C$4,N(U8902),IF(COUNTIFS(①今日の在庫を貼る!$B$6:$B$10005,$B8903,①今日の在庫を貼る!$I$6:$I$10005,$I8903)&gt;0,N(U8902),N(U8902)+1))</f>
        <v>2</v>
      </c>
    </row>
    <row r="8904" customFormat="false" ht="15" hidden="false" customHeight="false" outlineLevel="0" collapsed="false">
      <c r="B8904" s="53"/>
      <c r="I8904" s="53"/>
      <c r="U8904" s="31" t="n">
        <f aca="false">IF($B8904&lt;&gt;'設定（最初に1回）'!$C$4,N(U8903),IF(COUNTIFS(①今日の在庫を貼る!$B$6:$B$10005,$B8904,①今日の在庫を貼る!$I$6:$I$10005,$I8904)&gt;0,N(U8903),N(U8903)+1))</f>
        <v>2</v>
      </c>
    </row>
    <row r="8905" customFormat="false" ht="15" hidden="false" customHeight="false" outlineLevel="0" collapsed="false">
      <c r="B8905" s="53"/>
      <c r="I8905" s="53"/>
      <c r="U8905" s="31" t="n">
        <f aca="false">IF($B8905&lt;&gt;'設定（最初に1回）'!$C$4,N(U8904),IF(COUNTIFS(①今日の在庫を貼る!$B$6:$B$10005,$B8905,①今日の在庫を貼る!$I$6:$I$10005,$I8905)&gt;0,N(U8904),N(U8904)+1))</f>
        <v>2</v>
      </c>
    </row>
    <row r="8906" customFormat="false" ht="15" hidden="false" customHeight="false" outlineLevel="0" collapsed="false">
      <c r="B8906" s="53"/>
      <c r="I8906" s="53"/>
      <c r="U8906" s="31" t="n">
        <f aca="false">IF($B8906&lt;&gt;'設定（最初に1回）'!$C$4,N(U8905),IF(COUNTIFS(①今日の在庫を貼る!$B$6:$B$10005,$B8906,①今日の在庫を貼る!$I$6:$I$10005,$I8906)&gt;0,N(U8905),N(U8905)+1))</f>
        <v>2</v>
      </c>
    </row>
    <row r="8907" customFormat="false" ht="15" hidden="false" customHeight="false" outlineLevel="0" collapsed="false">
      <c r="B8907" s="53"/>
      <c r="I8907" s="53"/>
      <c r="U8907" s="31" t="n">
        <f aca="false">IF($B8907&lt;&gt;'設定（最初に1回）'!$C$4,N(U8906),IF(COUNTIFS(①今日の在庫を貼る!$B$6:$B$10005,$B8907,①今日の在庫を貼る!$I$6:$I$10005,$I8907)&gt;0,N(U8906),N(U8906)+1))</f>
        <v>2</v>
      </c>
    </row>
    <row r="8908" customFormat="false" ht="15" hidden="false" customHeight="false" outlineLevel="0" collapsed="false">
      <c r="B8908" s="53"/>
      <c r="I8908" s="53"/>
      <c r="U8908" s="31" t="n">
        <f aca="false">IF($B8908&lt;&gt;'設定（最初に1回）'!$C$4,N(U8907),IF(COUNTIFS(①今日の在庫を貼る!$B$6:$B$10005,$B8908,①今日の在庫を貼る!$I$6:$I$10005,$I8908)&gt;0,N(U8907),N(U8907)+1))</f>
        <v>2</v>
      </c>
    </row>
    <row r="8909" customFormat="false" ht="15" hidden="false" customHeight="false" outlineLevel="0" collapsed="false">
      <c r="B8909" s="53"/>
      <c r="I8909" s="53"/>
      <c r="U8909" s="31" t="n">
        <f aca="false">IF($B8909&lt;&gt;'設定（最初に1回）'!$C$4,N(U8908),IF(COUNTIFS(①今日の在庫を貼る!$B$6:$B$10005,$B8909,①今日の在庫を貼る!$I$6:$I$10005,$I8909)&gt;0,N(U8908),N(U8908)+1))</f>
        <v>2</v>
      </c>
    </row>
    <row r="8910" customFormat="false" ht="15" hidden="false" customHeight="false" outlineLevel="0" collapsed="false">
      <c r="B8910" s="53"/>
      <c r="I8910" s="53"/>
      <c r="U8910" s="31" t="n">
        <f aca="false">IF($B8910&lt;&gt;'設定（最初に1回）'!$C$4,N(U8909),IF(COUNTIFS(①今日の在庫を貼る!$B$6:$B$10005,$B8910,①今日の在庫を貼る!$I$6:$I$10005,$I8910)&gt;0,N(U8909),N(U8909)+1))</f>
        <v>2</v>
      </c>
    </row>
    <row r="8911" customFormat="false" ht="15" hidden="false" customHeight="false" outlineLevel="0" collapsed="false">
      <c r="B8911" s="53"/>
      <c r="I8911" s="53"/>
      <c r="U8911" s="31" t="n">
        <f aca="false">IF($B8911&lt;&gt;'設定（最初に1回）'!$C$4,N(U8910),IF(COUNTIFS(①今日の在庫を貼る!$B$6:$B$10005,$B8911,①今日の在庫を貼る!$I$6:$I$10005,$I8911)&gt;0,N(U8910),N(U8910)+1))</f>
        <v>2</v>
      </c>
    </row>
    <row r="8912" customFormat="false" ht="15" hidden="false" customHeight="false" outlineLevel="0" collapsed="false">
      <c r="B8912" s="53"/>
      <c r="I8912" s="53"/>
      <c r="U8912" s="31" t="n">
        <f aca="false">IF($B8912&lt;&gt;'設定（最初に1回）'!$C$4,N(U8911),IF(COUNTIFS(①今日の在庫を貼る!$B$6:$B$10005,$B8912,①今日の在庫を貼る!$I$6:$I$10005,$I8912)&gt;0,N(U8911),N(U8911)+1))</f>
        <v>2</v>
      </c>
    </row>
    <row r="8913" customFormat="false" ht="15" hidden="false" customHeight="false" outlineLevel="0" collapsed="false">
      <c r="B8913" s="53"/>
      <c r="I8913" s="53"/>
      <c r="U8913" s="31" t="n">
        <f aca="false">IF($B8913&lt;&gt;'設定（最初に1回）'!$C$4,N(U8912),IF(COUNTIFS(①今日の在庫を貼る!$B$6:$B$10005,$B8913,①今日の在庫を貼る!$I$6:$I$10005,$I8913)&gt;0,N(U8912),N(U8912)+1))</f>
        <v>2</v>
      </c>
    </row>
    <row r="8914" customFormat="false" ht="15" hidden="false" customHeight="false" outlineLevel="0" collapsed="false">
      <c r="B8914" s="53"/>
      <c r="I8914" s="53"/>
      <c r="U8914" s="31" t="n">
        <f aca="false">IF($B8914&lt;&gt;'設定（最初に1回）'!$C$4,N(U8913),IF(COUNTIFS(①今日の在庫を貼る!$B$6:$B$10005,$B8914,①今日の在庫を貼る!$I$6:$I$10005,$I8914)&gt;0,N(U8913),N(U8913)+1))</f>
        <v>2</v>
      </c>
    </row>
    <row r="8915" customFormat="false" ht="15" hidden="false" customHeight="false" outlineLevel="0" collapsed="false">
      <c r="B8915" s="53"/>
      <c r="I8915" s="53"/>
      <c r="U8915" s="31" t="n">
        <f aca="false">IF($B8915&lt;&gt;'設定（最初に1回）'!$C$4,N(U8914),IF(COUNTIFS(①今日の在庫を貼る!$B$6:$B$10005,$B8915,①今日の在庫を貼る!$I$6:$I$10005,$I8915)&gt;0,N(U8914),N(U8914)+1))</f>
        <v>2</v>
      </c>
    </row>
    <row r="8916" customFormat="false" ht="15" hidden="false" customHeight="false" outlineLevel="0" collapsed="false">
      <c r="B8916" s="53"/>
      <c r="I8916" s="53"/>
      <c r="U8916" s="31" t="n">
        <f aca="false">IF($B8916&lt;&gt;'設定（最初に1回）'!$C$4,N(U8915),IF(COUNTIFS(①今日の在庫を貼る!$B$6:$B$10005,$B8916,①今日の在庫を貼る!$I$6:$I$10005,$I8916)&gt;0,N(U8915),N(U8915)+1))</f>
        <v>2</v>
      </c>
    </row>
    <row r="8917" customFormat="false" ht="15" hidden="false" customHeight="false" outlineLevel="0" collapsed="false">
      <c r="B8917" s="53"/>
      <c r="I8917" s="53"/>
      <c r="U8917" s="31" t="n">
        <f aca="false">IF($B8917&lt;&gt;'設定（最初に1回）'!$C$4,N(U8916),IF(COUNTIFS(①今日の在庫を貼る!$B$6:$B$10005,$B8917,①今日の在庫を貼る!$I$6:$I$10005,$I8917)&gt;0,N(U8916),N(U8916)+1))</f>
        <v>2</v>
      </c>
    </row>
    <row r="8918" customFormat="false" ht="15" hidden="false" customHeight="false" outlineLevel="0" collapsed="false">
      <c r="B8918" s="53"/>
      <c r="I8918" s="53"/>
      <c r="U8918" s="31" t="n">
        <f aca="false">IF($B8918&lt;&gt;'設定（最初に1回）'!$C$4,N(U8917),IF(COUNTIFS(①今日の在庫を貼る!$B$6:$B$10005,$B8918,①今日の在庫を貼る!$I$6:$I$10005,$I8918)&gt;0,N(U8917),N(U8917)+1))</f>
        <v>2</v>
      </c>
    </row>
    <row r="8919" customFormat="false" ht="15" hidden="false" customHeight="false" outlineLevel="0" collapsed="false">
      <c r="B8919" s="53"/>
      <c r="I8919" s="53"/>
      <c r="U8919" s="31" t="n">
        <f aca="false">IF($B8919&lt;&gt;'設定（最初に1回）'!$C$4,N(U8918),IF(COUNTIFS(①今日の在庫を貼る!$B$6:$B$10005,$B8919,①今日の在庫を貼る!$I$6:$I$10005,$I8919)&gt;0,N(U8918),N(U8918)+1))</f>
        <v>2</v>
      </c>
    </row>
    <row r="8920" customFormat="false" ht="15" hidden="false" customHeight="false" outlineLevel="0" collapsed="false">
      <c r="B8920" s="53"/>
      <c r="I8920" s="53"/>
      <c r="U8920" s="31" t="n">
        <f aca="false">IF($B8920&lt;&gt;'設定（最初に1回）'!$C$4,N(U8919),IF(COUNTIFS(①今日の在庫を貼る!$B$6:$B$10005,$B8920,①今日の在庫を貼る!$I$6:$I$10005,$I8920)&gt;0,N(U8919),N(U8919)+1))</f>
        <v>2</v>
      </c>
    </row>
    <row r="8921" customFormat="false" ht="15" hidden="false" customHeight="false" outlineLevel="0" collapsed="false">
      <c r="B8921" s="53"/>
      <c r="I8921" s="53"/>
      <c r="U8921" s="31" t="n">
        <f aca="false">IF($B8921&lt;&gt;'設定（最初に1回）'!$C$4,N(U8920),IF(COUNTIFS(①今日の在庫を貼る!$B$6:$B$10005,$B8921,①今日の在庫を貼る!$I$6:$I$10005,$I8921)&gt;0,N(U8920),N(U8920)+1))</f>
        <v>2</v>
      </c>
    </row>
    <row r="8922" customFormat="false" ht="15" hidden="false" customHeight="false" outlineLevel="0" collapsed="false">
      <c r="B8922" s="53"/>
      <c r="I8922" s="53"/>
      <c r="U8922" s="31" t="n">
        <f aca="false">IF($B8922&lt;&gt;'設定（最初に1回）'!$C$4,N(U8921),IF(COUNTIFS(①今日の在庫を貼る!$B$6:$B$10005,$B8922,①今日の在庫を貼る!$I$6:$I$10005,$I8922)&gt;0,N(U8921),N(U8921)+1))</f>
        <v>2</v>
      </c>
    </row>
    <row r="8923" customFormat="false" ht="15" hidden="false" customHeight="false" outlineLevel="0" collapsed="false">
      <c r="B8923" s="53"/>
      <c r="I8923" s="53"/>
      <c r="U8923" s="31" t="n">
        <f aca="false">IF($B8923&lt;&gt;'設定（最初に1回）'!$C$4,N(U8922),IF(COUNTIFS(①今日の在庫を貼る!$B$6:$B$10005,$B8923,①今日の在庫を貼る!$I$6:$I$10005,$I8923)&gt;0,N(U8922),N(U8922)+1))</f>
        <v>2</v>
      </c>
    </row>
    <row r="8924" customFormat="false" ht="15" hidden="false" customHeight="false" outlineLevel="0" collapsed="false">
      <c r="B8924" s="53"/>
      <c r="I8924" s="53"/>
      <c r="U8924" s="31" t="n">
        <f aca="false">IF($B8924&lt;&gt;'設定（最初に1回）'!$C$4,N(U8923),IF(COUNTIFS(①今日の在庫を貼る!$B$6:$B$10005,$B8924,①今日の在庫を貼る!$I$6:$I$10005,$I8924)&gt;0,N(U8923),N(U8923)+1))</f>
        <v>2</v>
      </c>
    </row>
    <row r="8925" customFormat="false" ht="15" hidden="false" customHeight="false" outlineLevel="0" collapsed="false">
      <c r="B8925" s="53"/>
      <c r="I8925" s="53"/>
      <c r="U8925" s="31" t="n">
        <f aca="false">IF($B8925&lt;&gt;'設定（最初に1回）'!$C$4,N(U8924),IF(COUNTIFS(①今日の在庫を貼る!$B$6:$B$10005,$B8925,①今日の在庫を貼る!$I$6:$I$10005,$I8925)&gt;0,N(U8924),N(U8924)+1))</f>
        <v>2</v>
      </c>
    </row>
    <row r="8926" customFormat="false" ht="15" hidden="false" customHeight="false" outlineLevel="0" collapsed="false">
      <c r="B8926" s="53"/>
      <c r="I8926" s="53"/>
      <c r="U8926" s="31" t="n">
        <f aca="false">IF($B8926&lt;&gt;'設定（最初に1回）'!$C$4,N(U8925),IF(COUNTIFS(①今日の在庫を貼る!$B$6:$B$10005,$B8926,①今日の在庫を貼る!$I$6:$I$10005,$I8926)&gt;0,N(U8925),N(U8925)+1))</f>
        <v>2</v>
      </c>
    </row>
    <row r="8927" customFormat="false" ht="15" hidden="false" customHeight="false" outlineLevel="0" collapsed="false">
      <c r="B8927" s="53"/>
      <c r="I8927" s="53"/>
      <c r="U8927" s="31" t="n">
        <f aca="false">IF($B8927&lt;&gt;'設定（最初に1回）'!$C$4,N(U8926),IF(COUNTIFS(①今日の在庫を貼る!$B$6:$B$10005,$B8927,①今日の在庫を貼る!$I$6:$I$10005,$I8927)&gt;0,N(U8926),N(U8926)+1))</f>
        <v>2</v>
      </c>
    </row>
    <row r="8928" customFormat="false" ht="15" hidden="false" customHeight="false" outlineLevel="0" collapsed="false">
      <c r="B8928" s="53"/>
      <c r="I8928" s="53"/>
      <c r="U8928" s="31" t="n">
        <f aca="false">IF($B8928&lt;&gt;'設定（最初に1回）'!$C$4,N(U8927),IF(COUNTIFS(①今日の在庫を貼る!$B$6:$B$10005,$B8928,①今日の在庫を貼る!$I$6:$I$10005,$I8928)&gt;0,N(U8927),N(U8927)+1))</f>
        <v>2</v>
      </c>
    </row>
    <row r="8929" customFormat="false" ht="15" hidden="false" customHeight="false" outlineLevel="0" collapsed="false">
      <c r="B8929" s="53"/>
      <c r="I8929" s="53"/>
      <c r="U8929" s="31" t="n">
        <f aca="false">IF($B8929&lt;&gt;'設定（最初に1回）'!$C$4,N(U8928),IF(COUNTIFS(①今日の在庫を貼る!$B$6:$B$10005,$B8929,①今日の在庫を貼る!$I$6:$I$10005,$I8929)&gt;0,N(U8928),N(U8928)+1))</f>
        <v>2</v>
      </c>
    </row>
    <row r="8930" customFormat="false" ht="15" hidden="false" customHeight="false" outlineLevel="0" collapsed="false">
      <c r="B8930" s="53"/>
      <c r="I8930" s="53"/>
      <c r="U8930" s="31" t="n">
        <f aca="false">IF($B8930&lt;&gt;'設定（最初に1回）'!$C$4,N(U8929),IF(COUNTIFS(①今日の在庫を貼る!$B$6:$B$10005,$B8930,①今日の在庫を貼る!$I$6:$I$10005,$I8930)&gt;0,N(U8929),N(U8929)+1))</f>
        <v>2</v>
      </c>
    </row>
    <row r="8931" customFormat="false" ht="15" hidden="false" customHeight="false" outlineLevel="0" collapsed="false">
      <c r="B8931" s="53"/>
      <c r="I8931" s="53"/>
      <c r="U8931" s="31" t="n">
        <f aca="false">IF($B8931&lt;&gt;'設定（最初に1回）'!$C$4,N(U8930),IF(COUNTIFS(①今日の在庫を貼る!$B$6:$B$10005,$B8931,①今日の在庫を貼る!$I$6:$I$10005,$I8931)&gt;0,N(U8930),N(U8930)+1))</f>
        <v>2</v>
      </c>
    </row>
    <row r="8932" customFormat="false" ht="15" hidden="false" customHeight="false" outlineLevel="0" collapsed="false">
      <c r="B8932" s="53"/>
      <c r="I8932" s="53"/>
      <c r="U8932" s="31" t="n">
        <f aca="false">IF($B8932&lt;&gt;'設定（最初に1回）'!$C$4,N(U8931),IF(COUNTIFS(①今日の在庫を貼る!$B$6:$B$10005,$B8932,①今日の在庫を貼る!$I$6:$I$10005,$I8932)&gt;0,N(U8931),N(U8931)+1))</f>
        <v>2</v>
      </c>
    </row>
    <row r="8933" customFormat="false" ht="15" hidden="false" customHeight="false" outlineLevel="0" collapsed="false">
      <c r="B8933" s="53"/>
      <c r="I8933" s="53"/>
      <c r="U8933" s="31" t="n">
        <f aca="false">IF($B8933&lt;&gt;'設定（最初に1回）'!$C$4,N(U8932),IF(COUNTIFS(①今日の在庫を貼る!$B$6:$B$10005,$B8933,①今日の在庫を貼る!$I$6:$I$10005,$I8933)&gt;0,N(U8932),N(U8932)+1))</f>
        <v>2</v>
      </c>
    </row>
    <row r="8934" customFormat="false" ht="15" hidden="false" customHeight="false" outlineLevel="0" collapsed="false">
      <c r="B8934" s="53"/>
      <c r="I8934" s="53"/>
      <c r="U8934" s="31" t="n">
        <f aca="false">IF($B8934&lt;&gt;'設定（最初に1回）'!$C$4,N(U8933),IF(COUNTIFS(①今日の在庫を貼る!$B$6:$B$10005,$B8934,①今日の在庫を貼る!$I$6:$I$10005,$I8934)&gt;0,N(U8933),N(U8933)+1))</f>
        <v>2</v>
      </c>
    </row>
    <row r="8935" customFormat="false" ht="15" hidden="false" customHeight="false" outlineLevel="0" collapsed="false">
      <c r="B8935" s="53"/>
      <c r="I8935" s="53"/>
      <c r="U8935" s="31" t="n">
        <f aca="false">IF($B8935&lt;&gt;'設定（最初に1回）'!$C$4,N(U8934),IF(COUNTIFS(①今日の在庫を貼る!$B$6:$B$10005,$B8935,①今日の在庫を貼る!$I$6:$I$10005,$I8935)&gt;0,N(U8934),N(U8934)+1))</f>
        <v>2</v>
      </c>
    </row>
    <row r="8936" customFormat="false" ht="15" hidden="false" customHeight="false" outlineLevel="0" collapsed="false">
      <c r="B8936" s="53"/>
      <c r="I8936" s="53"/>
      <c r="U8936" s="31" t="n">
        <f aca="false">IF($B8936&lt;&gt;'設定（最初に1回）'!$C$4,N(U8935),IF(COUNTIFS(①今日の在庫を貼る!$B$6:$B$10005,$B8936,①今日の在庫を貼る!$I$6:$I$10005,$I8936)&gt;0,N(U8935),N(U8935)+1))</f>
        <v>2</v>
      </c>
    </row>
    <row r="8937" customFormat="false" ht="15" hidden="false" customHeight="false" outlineLevel="0" collapsed="false">
      <c r="B8937" s="53"/>
      <c r="I8937" s="53"/>
      <c r="U8937" s="31" t="n">
        <f aca="false">IF($B8937&lt;&gt;'設定（最初に1回）'!$C$4,N(U8936),IF(COUNTIFS(①今日の在庫を貼る!$B$6:$B$10005,$B8937,①今日の在庫を貼る!$I$6:$I$10005,$I8937)&gt;0,N(U8936),N(U8936)+1))</f>
        <v>2</v>
      </c>
    </row>
    <row r="8938" customFormat="false" ht="15" hidden="false" customHeight="false" outlineLevel="0" collapsed="false">
      <c r="B8938" s="53"/>
      <c r="I8938" s="53"/>
      <c r="U8938" s="31" t="n">
        <f aca="false">IF($B8938&lt;&gt;'設定（最初に1回）'!$C$4,N(U8937),IF(COUNTIFS(①今日の在庫を貼る!$B$6:$B$10005,$B8938,①今日の在庫を貼る!$I$6:$I$10005,$I8938)&gt;0,N(U8937),N(U8937)+1))</f>
        <v>2</v>
      </c>
    </row>
    <row r="8939" customFormat="false" ht="15" hidden="false" customHeight="false" outlineLevel="0" collapsed="false">
      <c r="B8939" s="53"/>
      <c r="I8939" s="53"/>
      <c r="U8939" s="31" t="n">
        <f aca="false">IF($B8939&lt;&gt;'設定（最初に1回）'!$C$4,N(U8938),IF(COUNTIFS(①今日の在庫を貼る!$B$6:$B$10005,$B8939,①今日の在庫を貼る!$I$6:$I$10005,$I8939)&gt;0,N(U8938),N(U8938)+1))</f>
        <v>2</v>
      </c>
    </row>
    <row r="8940" customFormat="false" ht="15" hidden="false" customHeight="false" outlineLevel="0" collapsed="false">
      <c r="B8940" s="53"/>
      <c r="I8940" s="53"/>
      <c r="U8940" s="31" t="n">
        <f aca="false">IF($B8940&lt;&gt;'設定（最初に1回）'!$C$4,N(U8939),IF(COUNTIFS(①今日の在庫を貼る!$B$6:$B$10005,$B8940,①今日の在庫を貼る!$I$6:$I$10005,$I8940)&gt;0,N(U8939),N(U8939)+1))</f>
        <v>2</v>
      </c>
    </row>
    <row r="8941" customFormat="false" ht="15" hidden="false" customHeight="false" outlineLevel="0" collapsed="false">
      <c r="B8941" s="53"/>
      <c r="I8941" s="53"/>
      <c r="U8941" s="31" t="n">
        <f aca="false">IF($B8941&lt;&gt;'設定（最初に1回）'!$C$4,N(U8940),IF(COUNTIFS(①今日の在庫を貼る!$B$6:$B$10005,$B8941,①今日の在庫を貼る!$I$6:$I$10005,$I8941)&gt;0,N(U8940),N(U8940)+1))</f>
        <v>2</v>
      </c>
    </row>
    <row r="8942" customFormat="false" ht="15" hidden="false" customHeight="false" outlineLevel="0" collapsed="false">
      <c r="B8942" s="53"/>
      <c r="I8942" s="53"/>
      <c r="U8942" s="31" t="n">
        <f aca="false">IF($B8942&lt;&gt;'設定（最初に1回）'!$C$4,N(U8941),IF(COUNTIFS(①今日の在庫を貼る!$B$6:$B$10005,$B8942,①今日の在庫を貼る!$I$6:$I$10005,$I8942)&gt;0,N(U8941),N(U8941)+1))</f>
        <v>2</v>
      </c>
    </row>
    <row r="8943" customFormat="false" ht="15" hidden="false" customHeight="false" outlineLevel="0" collapsed="false">
      <c r="B8943" s="53"/>
      <c r="I8943" s="53"/>
      <c r="U8943" s="31" t="n">
        <f aca="false">IF($B8943&lt;&gt;'設定（最初に1回）'!$C$4,N(U8942),IF(COUNTIFS(①今日の在庫を貼る!$B$6:$B$10005,$B8943,①今日の在庫を貼る!$I$6:$I$10005,$I8943)&gt;0,N(U8942),N(U8942)+1))</f>
        <v>2</v>
      </c>
    </row>
    <row r="8944" customFormat="false" ht="15" hidden="false" customHeight="false" outlineLevel="0" collapsed="false">
      <c r="B8944" s="53"/>
      <c r="I8944" s="53"/>
      <c r="U8944" s="31" t="n">
        <f aca="false">IF($B8944&lt;&gt;'設定（最初に1回）'!$C$4,N(U8943),IF(COUNTIFS(①今日の在庫を貼る!$B$6:$B$10005,$B8944,①今日の在庫を貼る!$I$6:$I$10005,$I8944)&gt;0,N(U8943),N(U8943)+1))</f>
        <v>2</v>
      </c>
    </row>
    <row r="8945" customFormat="false" ht="15" hidden="false" customHeight="false" outlineLevel="0" collapsed="false">
      <c r="B8945" s="53"/>
      <c r="I8945" s="53"/>
      <c r="U8945" s="31" t="n">
        <f aca="false">IF($B8945&lt;&gt;'設定（最初に1回）'!$C$4,N(U8944),IF(COUNTIFS(①今日の在庫を貼る!$B$6:$B$10005,$B8945,①今日の在庫を貼る!$I$6:$I$10005,$I8945)&gt;0,N(U8944),N(U8944)+1))</f>
        <v>2</v>
      </c>
    </row>
    <row r="8946" customFormat="false" ht="15" hidden="false" customHeight="false" outlineLevel="0" collapsed="false">
      <c r="B8946" s="53"/>
      <c r="I8946" s="53"/>
      <c r="U8946" s="31" t="n">
        <f aca="false">IF($B8946&lt;&gt;'設定（最初に1回）'!$C$4,N(U8945),IF(COUNTIFS(①今日の在庫を貼る!$B$6:$B$10005,$B8946,①今日の在庫を貼る!$I$6:$I$10005,$I8946)&gt;0,N(U8945),N(U8945)+1))</f>
        <v>2</v>
      </c>
    </row>
    <row r="8947" customFormat="false" ht="15" hidden="false" customHeight="false" outlineLevel="0" collapsed="false">
      <c r="B8947" s="53"/>
      <c r="I8947" s="53"/>
      <c r="U8947" s="31" t="n">
        <f aca="false">IF($B8947&lt;&gt;'設定（最初に1回）'!$C$4,N(U8946),IF(COUNTIFS(①今日の在庫を貼る!$B$6:$B$10005,$B8947,①今日の在庫を貼る!$I$6:$I$10005,$I8947)&gt;0,N(U8946),N(U8946)+1))</f>
        <v>2</v>
      </c>
    </row>
    <row r="8948" customFormat="false" ht="15" hidden="false" customHeight="false" outlineLevel="0" collapsed="false">
      <c r="B8948" s="53"/>
      <c r="I8948" s="53"/>
      <c r="U8948" s="31" t="n">
        <f aca="false">IF($B8948&lt;&gt;'設定（最初に1回）'!$C$4,N(U8947),IF(COUNTIFS(①今日の在庫を貼る!$B$6:$B$10005,$B8948,①今日の在庫を貼る!$I$6:$I$10005,$I8948)&gt;0,N(U8947),N(U8947)+1))</f>
        <v>2</v>
      </c>
    </row>
    <row r="8949" customFormat="false" ht="15" hidden="false" customHeight="false" outlineLevel="0" collapsed="false">
      <c r="B8949" s="53"/>
      <c r="I8949" s="53"/>
      <c r="U8949" s="31" t="n">
        <f aca="false">IF($B8949&lt;&gt;'設定（最初に1回）'!$C$4,N(U8948),IF(COUNTIFS(①今日の在庫を貼る!$B$6:$B$10005,$B8949,①今日の在庫を貼る!$I$6:$I$10005,$I8949)&gt;0,N(U8948),N(U8948)+1))</f>
        <v>2</v>
      </c>
    </row>
    <row r="8950" customFormat="false" ht="15" hidden="false" customHeight="false" outlineLevel="0" collapsed="false">
      <c r="B8950" s="53"/>
      <c r="I8950" s="53"/>
      <c r="U8950" s="31" t="n">
        <f aca="false">IF($B8950&lt;&gt;'設定（最初に1回）'!$C$4,N(U8949),IF(COUNTIFS(①今日の在庫を貼る!$B$6:$B$10005,$B8950,①今日の在庫を貼る!$I$6:$I$10005,$I8950)&gt;0,N(U8949),N(U8949)+1))</f>
        <v>2</v>
      </c>
    </row>
    <row r="8951" customFormat="false" ht="15" hidden="false" customHeight="false" outlineLevel="0" collapsed="false">
      <c r="B8951" s="53"/>
      <c r="I8951" s="53"/>
      <c r="U8951" s="31" t="n">
        <f aca="false">IF($B8951&lt;&gt;'設定（最初に1回）'!$C$4,N(U8950),IF(COUNTIFS(①今日の在庫を貼る!$B$6:$B$10005,$B8951,①今日の在庫を貼る!$I$6:$I$10005,$I8951)&gt;0,N(U8950),N(U8950)+1))</f>
        <v>2</v>
      </c>
    </row>
    <row r="8952" customFormat="false" ht="15" hidden="false" customHeight="false" outlineLevel="0" collapsed="false">
      <c r="B8952" s="53"/>
      <c r="I8952" s="53"/>
      <c r="U8952" s="31" t="n">
        <f aca="false">IF($B8952&lt;&gt;'設定（最初に1回）'!$C$4,N(U8951),IF(COUNTIFS(①今日の在庫を貼る!$B$6:$B$10005,$B8952,①今日の在庫を貼る!$I$6:$I$10005,$I8952)&gt;0,N(U8951),N(U8951)+1))</f>
        <v>2</v>
      </c>
    </row>
    <row r="8953" customFormat="false" ht="15" hidden="false" customHeight="false" outlineLevel="0" collapsed="false">
      <c r="B8953" s="53"/>
      <c r="I8953" s="53"/>
      <c r="U8953" s="31" t="n">
        <f aca="false">IF($B8953&lt;&gt;'設定（最初に1回）'!$C$4,N(U8952),IF(COUNTIFS(①今日の在庫を貼る!$B$6:$B$10005,$B8953,①今日の在庫を貼る!$I$6:$I$10005,$I8953)&gt;0,N(U8952),N(U8952)+1))</f>
        <v>2</v>
      </c>
    </row>
    <row r="8954" customFormat="false" ht="15" hidden="false" customHeight="false" outlineLevel="0" collapsed="false">
      <c r="B8954" s="53"/>
      <c r="I8954" s="53"/>
      <c r="U8954" s="31" t="n">
        <f aca="false">IF($B8954&lt;&gt;'設定（最初に1回）'!$C$4,N(U8953),IF(COUNTIFS(①今日の在庫を貼る!$B$6:$B$10005,$B8954,①今日の在庫を貼る!$I$6:$I$10005,$I8954)&gt;0,N(U8953),N(U8953)+1))</f>
        <v>2</v>
      </c>
    </row>
    <row r="8955" customFormat="false" ht="15" hidden="false" customHeight="false" outlineLevel="0" collapsed="false">
      <c r="B8955" s="53"/>
      <c r="I8955" s="53"/>
      <c r="U8955" s="31" t="n">
        <f aca="false">IF($B8955&lt;&gt;'設定（最初に1回）'!$C$4,N(U8954),IF(COUNTIFS(①今日の在庫を貼る!$B$6:$B$10005,$B8955,①今日の在庫を貼る!$I$6:$I$10005,$I8955)&gt;0,N(U8954),N(U8954)+1))</f>
        <v>2</v>
      </c>
    </row>
    <row r="8956" customFormat="false" ht="15" hidden="false" customHeight="false" outlineLevel="0" collapsed="false">
      <c r="B8956" s="53"/>
      <c r="I8956" s="53"/>
      <c r="U8956" s="31" t="n">
        <f aca="false">IF($B8956&lt;&gt;'設定（最初に1回）'!$C$4,N(U8955),IF(COUNTIFS(①今日の在庫を貼る!$B$6:$B$10005,$B8956,①今日の在庫を貼る!$I$6:$I$10005,$I8956)&gt;0,N(U8955),N(U8955)+1))</f>
        <v>2</v>
      </c>
    </row>
    <row r="8957" customFormat="false" ht="15" hidden="false" customHeight="false" outlineLevel="0" collapsed="false">
      <c r="B8957" s="53"/>
      <c r="I8957" s="53"/>
      <c r="U8957" s="31" t="n">
        <f aca="false">IF($B8957&lt;&gt;'設定（最初に1回）'!$C$4,N(U8956),IF(COUNTIFS(①今日の在庫を貼る!$B$6:$B$10005,$B8957,①今日の在庫を貼る!$I$6:$I$10005,$I8957)&gt;0,N(U8956),N(U8956)+1))</f>
        <v>2</v>
      </c>
    </row>
    <row r="8958" customFormat="false" ht="15" hidden="false" customHeight="false" outlineLevel="0" collapsed="false">
      <c r="B8958" s="53"/>
      <c r="I8958" s="53"/>
      <c r="U8958" s="31" t="n">
        <f aca="false">IF($B8958&lt;&gt;'設定（最初に1回）'!$C$4,N(U8957),IF(COUNTIFS(①今日の在庫を貼る!$B$6:$B$10005,$B8958,①今日の在庫を貼る!$I$6:$I$10005,$I8958)&gt;0,N(U8957),N(U8957)+1))</f>
        <v>2</v>
      </c>
    </row>
    <row r="8959" customFormat="false" ht="15" hidden="false" customHeight="false" outlineLevel="0" collapsed="false">
      <c r="B8959" s="53"/>
      <c r="I8959" s="53"/>
      <c r="U8959" s="31" t="n">
        <f aca="false">IF($B8959&lt;&gt;'設定（最初に1回）'!$C$4,N(U8958),IF(COUNTIFS(①今日の在庫を貼る!$B$6:$B$10005,$B8959,①今日の在庫を貼る!$I$6:$I$10005,$I8959)&gt;0,N(U8958),N(U8958)+1))</f>
        <v>2</v>
      </c>
    </row>
    <row r="8960" customFormat="false" ht="15" hidden="false" customHeight="false" outlineLevel="0" collapsed="false">
      <c r="B8960" s="53"/>
      <c r="I8960" s="53"/>
      <c r="U8960" s="31" t="n">
        <f aca="false">IF($B8960&lt;&gt;'設定（最初に1回）'!$C$4,N(U8959),IF(COUNTIFS(①今日の在庫を貼る!$B$6:$B$10005,$B8960,①今日の在庫を貼る!$I$6:$I$10005,$I8960)&gt;0,N(U8959),N(U8959)+1))</f>
        <v>2</v>
      </c>
    </row>
    <row r="8961" customFormat="false" ht="15" hidden="false" customHeight="false" outlineLevel="0" collapsed="false">
      <c r="B8961" s="53"/>
      <c r="I8961" s="53"/>
      <c r="U8961" s="31" t="n">
        <f aca="false">IF($B8961&lt;&gt;'設定（最初に1回）'!$C$4,N(U8960),IF(COUNTIFS(①今日の在庫を貼る!$B$6:$B$10005,$B8961,①今日の在庫を貼る!$I$6:$I$10005,$I8961)&gt;0,N(U8960),N(U8960)+1))</f>
        <v>2</v>
      </c>
    </row>
    <row r="8962" customFormat="false" ht="15" hidden="false" customHeight="false" outlineLevel="0" collapsed="false">
      <c r="B8962" s="53"/>
      <c r="I8962" s="53"/>
      <c r="U8962" s="31" t="n">
        <f aca="false">IF($B8962&lt;&gt;'設定（最初に1回）'!$C$4,N(U8961),IF(COUNTIFS(①今日の在庫を貼る!$B$6:$B$10005,$B8962,①今日の在庫を貼る!$I$6:$I$10005,$I8962)&gt;0,N(U8961),N(U8961)+1))</f>
        <v>2</v>
      </c>
    </row>
    <row r="8963" customFormat="false" ht="15" hidden="false" customHeight="false" outlineLevel="0" collapsed="false">
      <c r="B8963" s="53"/>
      <c r="I8963" s="53"/>
      <c r="U8963" s="31" t="n">
        <f aca="false">IF($B8963&lt;&gt;'設定（最初に1回）'!$C$4,N(U8962),IF(COUNTIFS(①今日の在庫を貼る!$B$6:$B$10005,$B8963,①今日の在庫を貼る!$I$6:$I$10005,$I8963)&gt;0,N(U8962),N(U8962)+1))</f>
        <v>2</v>
      </c>
    </row>
    <row r="8964" customFormat="false" ht="15" hidden="false" customHeight="false" outlineLevel="0" collapsed="false">
      <c r="B8964" s="53"/>
      <c r="I8964" s="53"/>
      <c r="U8964" s="31" t="n">
        <f aca="false">IF($B8964&lt;&gt;'設定（最初に1回）'!$C$4,N(U8963),IF(COUNTIFS(①今日の在庫を貼る!$B$6:$B$10005,$B8964,①今日の在庫を貼る!$I$6:$I$10005,$I8964)&gt;0,N(U8963),N(U8963)+1))</f>
        <v>2</v>
      </c>
    </row>
    <row r="8965" customFormat="false" ht="15" hidden="false" customHeight="false" outlineLevel="0" collapsed="false">
      <c r="B8965" s="53"/>
      <c r="I8965" s="53"/>
      <c r="U8965" s="31" t="n">
        <f aca="false">IF($B8965&lt;&gt;'設定（最初に1回）'!$C$4,N(U8964),IF(COUNTIFS(①今日の在庫を貼る!$B$6:$B$10005,$B8965,①今日の在庫を貼る!$I$6:$I$10005,$I8965)&gt;0,N(U8964),N(U8964)+1))</f>
        <v>2</v>
      </c>
    </row>
    <row r="8966" customFormat="false" ht="15" hidden="false" customHeight="false" outlineLevel="0" collapsed="false">
      <c r="B8966" s="53"/>
      <c r="I8966" s="53"/>
      <c r="U8966" s="31" t="n">
        <f aca="false">IF($B8966&lt;&gt;'設定（最初に1回）'!$C$4,N(U8965),IF(COUNTIFS(①今日の在庫を貼る!$B$6:$B$10005,$B8966,①今日の在庫を貼る!$I$6:$I$10005,$I8966)&gt;0,N(U8965),N(U8965)+1))</f>
        <v>2</v>
      </c>
    </row>
    <row r="8967" customFormat="false" ht="15" hidden="false" customHeight="false" outlineLevel="0" collapsed="false">
      <c r="B8967" s="53"/>
      <c r="I8967" s="53"/>
      <c r="U8967" s="31" t="n">
        <f aca="false">IF($B8967&lt;&gt;'設定（最初に1回）'!$C$4,N(U8966),IF(COUNTIFS(①今日の在庫を貼る!$B$6:$B$10005,$B8967,①今日の在庫を貼る!$I$6:$I$10005,$I8967)&gt;0,N(U8966),N(U8966)+1))</f>
        <v>2</v>
      </c>
    </row>
    <row r="8968" customFormat="false" ht="15" hidden="false" customHeight="false" outlineLevel="0" collapsed="false">
      <c r="B8968" s="53"/>
      <c r="I8968" s="53"/>
      <c r="U8968" s="31" t="n">
        <f aca="false">IF($B8968&lt;&gt;'設定（最初に1回）'!$C$4,N(U8967),IF(COUNTIFS(①今日の在庫を貼る!$B$6:$B$10005,$B8968,①今日の在庫を貼る!$I$6:$I$10005,$I8968)&gt;0,N(U8967),N(U8967)+1))</f>
        <v>2</v>
      </c>
    </row>
    <row r="8969" customFormat="false" ht="15" hidden="false" customHeight="false" outlineLevel="0" collapsed="false">
      <c r="B8969" s="53"/>
      <c r="I8969" s="53"/>
      <c r="U8969" s="31" t="n">
        <f aca="false">IF($B8969&lt;&gt;'設定（最初に1回）'!$C$4,N(U8968),IF(COUNTIFS(①今日の在庫を貼る!$B$6:$B$10005,$B8969,①今日の在庫を貼る!$I$6:$I$10005,$I8969)&gt;0,N(U8968),N(U8968)+1))</f>
        <v>2</v>
      </c>
    </row>
    <row r="8970" customFormat="false" ht="15" hidden="false" customHeight="false" outlineLevel="0" collapsed="false">
      <c r="B8970" s="53"/>
      <c r="I8970" s="53"/>
      <c r="U8970" s="31" t="n">
        <f aca="false">IF($B8970&lt;&gt;'設定（最初に1回）'!$C$4,N(U8969),IF(COUNTIFS(①今日の在庫を貼る!$B$6:$B$10005,$B8970,①今日の在庫を貼る!$I$6:$I$10005,$I8970)&gt;0,N(U8969),N(U8969)+1))</f>
        <v>2</v>
      </c>
    </row>
    <row r="8971" customFormat="false" ht="15" hidden="false" customHeight="false" outlineLevel="0" collapsed="false">
      <c r="B8971" s="53"/>
      <c r="I8971" s="53"/>
      <c r="U8971" s="31" t="n">
        <f aca="false">IF($B8971&lt;&gt;'設定（最初に1回）'!$C$4,N(U8970),IF(COUNTIFS(①今日の在庫を貼る!$B$6:$B$10005,$B8971,①今日の在庫を貼る!$I$6:$I$10005,$I8971)&gt;0,N(U8970),N(U8970)+1))</f>
        <v>2</v>
      </c>
    </row>
    <row r="8972" customFormat="false" ht="15" hidden="false" customHeight="false" outlineLevel="0" collapsed="false">
      <c r="B8972" s="53"/>
      <c r="I8972" s="53"/>
      <c r="U8972" s="31" t="n">
        <f aca="false">IF($B8972&lt;&gt;'設定（最初に1回）'!$C$4,N(U8971),IF(COUNTIFS(①今日の在庫を貼る!$B$6:$B$10005,$B8972,①今日の在庫を貼る!$I$6:$I$10005,$I8972)&gt;0,N(U8971),N(U8971)+1))</f>
        <v>2</v>
      </c>
    </row>
    <row r="8973" customFormat="false" ht="15" hidden="false" customHeight="false" outlineLevel="0" collapsed="false">
      <c r="B8973" s="53"/>
      <c r="I8973" s="53"/>
      <c r="U8973" s="31" t="n">
        <f aca="false">IF($B8973&lt;&gt;'設定（最初に1回）'!$C$4,N(U8972),IF(COUNTIFS(①今日の在庫を貼る!$B$6:$B$10005,$B8973,①今日の在庫を貼る!$I$6:$I$10005,$I8973)&gt;0,N(U8972),N(U8972)+1))</f>
        <v>2</v>
      </c>
    </row>
    <row r="8974" customFormat="false" ht="15" hidden="false" customHeight="false" outlineLevel="0" collapsed="false">
      <c r="B8974" s="53"/>
      <c r="I8974" s="53"/>
      <c r="U8974" s="31" t="n">
        <f aca="false">IF($B8974&lt;&gt;'設定（最初に1回）'!$C$4,N(U8973),IF(COUNTIFS(①今日の在庫を貼る!$B$6:$B$10005,$B8974,①今日の在庫を貼る!$I$6:$I$10005,$I8974)&gt;0,N(U8973),N(U8973)+1))</f>
        <v>2</v>
      </c>
    </row>
    <row r="8975" customFormat="false" ht="15" hidden="false" customHeight="false" outlineLevel="0" collapsed="false">
      <c r="B8975" s="53"/>
      <c r="I8975" s="53"/>
      <c r="U8975" s="31" t="n">
        <f aca="false">IF($B8975&lt;&gt;'設定（最初に1回）'!$C$4,N(U8974),IF(COUNTIFS(①今日の在庫を貼る!$B$6:$B$10005,$B8975,①今日の在庫を貼る!$I$6:$I$10005,$I8975)&gt;0,N(U8974),N(U8974)+1))</f>
        <v>2</v>
      </c>
    </row>
    <row r="8976" customFormat="false" ht="15" hidden="false" customHeight="false" outlineLevel="0" collapsed="false">
      <c r="B8976" s="53"/>
      <c r="I8976" s="53"/>
      <c r="U8976" s="31" t="n">
        <f aca="false">IF($B8976&lt;&gt;'設定（最初に1回）'!$C$4,N(U8975),IF(COUNTIFS(①今日の在庫を貼る!$B$6:$B$10005,$B8976,①今日の在庫を貼る!$I$6:$I$10005,$I8976)&gt;0,N(U8975),N(U8975)+1))</f>
        <v>2</v>
      </c>
    </row>
    <row r="8977" customFormat="false" ht="15" hidden="false" customHeight="false" outlineLevel="0" collapsed="false">
      <c r="B8977" s="53"/>
      <c r="I8977" s="53"/>
      <c r="U8977" s="31" t="n">
        <f aca="false">IF($B8977&lt;&gt;'設定（最初に1回）'!$C$4,N(U8976),IF(COUNTIFS(①今日の在庫を貼る!$B$6:$B$10005,$B8977,①今日の在庫を貼る!$I$6:$I$10005,$I8977)&gt;0,N(U8976),N(U8976)+1))</f>
        <v>2</v>
      </c>
    </row>
    <row r="8978" customFormat="false" ht="15" hidden="false" customHeight="false" outlineLevel="0" collapsed="false">
      <c r="B8978" s="53"/>
      <c r="I8978" s="53"/>
      <c r="U8978" s="31" t="n">
        <f aca="false">IF($B8978&lt;&gt;'設定（最初に1回）'!$C$4,N(U8977),IF(COUNTIFS(①今日の在庫を貼る!$B$6:$B$10005,$B8978,①今日の在庫を貼る!$I$6:$I$10005,$I8978)&gt;0,N(U8977),N(U8977)+1))</f>
        <v>2</v>
      </c>
    </row>
    <row r="8979" customFormat="false" ht="15" hidden="false" customHeight="false" outlineLevel="0" collapsed="false">
      <c r="B8979" s="53"/>
      <c r="I8979" s="53"/>
      <c r="U8979" s="31" t="n">
        <f aca="false">IF($B8979&lt;&gt;'設定（最初に1回）'!$C$4,N(U8978),IF(COUNTIFS(①今日の在庫を貼る!$B$6:$B$10005,$B8979,①今日の在庫を貼る!$I$6:$I$10005,$I8979)&gt;0,N(U8978),N(U8978)+1))</f>
        <v>2</v>
      </c>
    </row>
    <row r="8980" customFormat="false" ht="15" hidden="false" customHeight="false" outlineLevel="0" collapsed="false">
      <c r="B8980" s="53"/>
      <c r="I8980" s="53"/>
      <c r="U8980" s="31" t="n">
        <f aca="false">IF($B8980&lt;&gt;'設定（最初に1回）'!$C$4,N(U8979),IF(COUNTIFS(①今日の在庫を貼る!$B$6:$B$10005,$B8980,①今日の在庫を貼る!$I$6:$I$10005,$I8980)&gt;0,N(U8979),N(U8979)+1))</f>
        <v>2</v>
      </c>
    </row>
    <row r="8981" customFormat="false" ht="15" hidden="false" customHeight="false" outlineLevel="0" collapsed="false">
      <c r="B8981" s="53"/>
      <c r="I8981" s="53"/>
      <c r="U8981" s="31" t="n">
        <f aca="false">IF($B8981&lt;&gt;'設定（最初に1回）'!$C$4,N(U8980),IF(COUNTIFS(①今日の在庫を貼る!$B$6:$B$10005,$B8981,①今日の在庫を貼る!$I$6:$I$10005,$I8981)&gt;0,N(U8980),N(U8980)+1))</f>
        <v>2</v>
      </c>
    </row>
    <row r="8982" customFormat="false" ht="15" hidden="false" customHeight="false" outlineLevel="0" collapsed="false">
      <c r="B8982" s="53"/>
      <c r="I8982" s="53"/>
      <c r="U8982" s="31" t="n">
        <f aca="false">IF($B8982&lt;&gt;'設定（最初に1回）'!$C$4,N(U8981),IF(COUNTIFS(①今日の在庫を貼る!$B$6:$B$10005,$B8982,①今日の在庫を貼る!$I$6:$I$10005,$I8982)&gt;0,N(U8981),N(U8981)+1))</f>
        <v>2</v>
      </c>
    </row>
    <row r="8983" customFormat="false" ht="15" hidden="false" customHeight="false" outlineLevel="0" collapsed="false">
      <c r="B8983" s="53"/>
      <c r="I8983" s="53"/>
      <c r="U8983" s="31" t="n">
        <f aca="false">IF($B8983&lt;&gt;'設定（最初に1回）'!$C$4,N(U8982),IF(COUNTIFS(①今日の在庫を貼る!$B$6:$B$10005,$B8983,①今日の在庫を貼る!$I$6:$I$10005,$I8983)&gt;0,N(U8982),N(U8982)+1))</f>
        <v>2</v>
      </c>
    </row>
    <row r="8984" customFormat="false" ht="15" hidden="false" customHeight="false" outlineLevel="0" collapsed="false">
      <c r="B8984" s="53"/>
      <c r="I8984" s="53"/>
      <c r="U8984" s="31" t="n">
        <f aca="false">IF($B8984&lt;&gt;'設定（最初に1回）'!$C$4,N(U8983),IF(COUNTIFS(①今日の在庫を貼る!$B$6:$B$10005,$B8984,①今日の在庫を貼る!$I$6:$I$10005,$I8984)&gt;0,N(U8983),N(U8983)+1))</f>
        <v>2</v>
      </c>
    </row>
    <row r="8985" customFormat="false" ht="15" hidden="false" customHeight="false" outlineLevel="0" collapsed="false">
      <c r="B8985" s="53"/>
      <c r="I8985" s="53"/>
      <c r="U8985" s="31" t="n">
        <f aca="false">IF($B8985&lt;&gt;'設定（最初に1回）'!$C$4,N(U8984),IF(COUNTIFS(①今日の在庫を貼る!$B$6:$B$10005,$B8985,①今日の在庫を貼る!$I$6:$I$10005,$I8985)&gt;0,N(U8984),N(U8984)+1))</f>
        <v>2</v>
      </c>
    </row>
    <row r="8986" customFormat="false" ht="15" hidden="false" customHeight="false" outlineLevel="0" collapsed="false">
      <c r="B8986" s="53"/>
      <c r="I8986" s="53"/>
      <c r="U8986" s="31" t="n">
        <f aca="false">IF($B8986&lt;&gt;'設定（最初に1回）'!$C$4,N(U8985),IF(COUNTIFS(①今日の在庫を貼る!$B$6:$B$10005,$B8986,①今日の在庫を貼る!$I$6:$I$10005,$I8986)&gt;0,N(U8985),N(U8985)+1))</f>
        <v>2</v>
      </c>
    </row>
    <row r="8987" customFormat="false" ht="15" hidden="false" customHeight="false" outlineLevel="0" collapsed="false">
      <c r="B8987" s="53"/>
      <c r="I8987" s="53"/>
      <c r="U8987" s="31" t="n">
        <f aca="false">IF($B8987&lt;&gt;'設定（最初に1回）'!$C$4,N(U8986),IF(COUNTIFS(①今日の在庫を貼る!$B$6:$B$10005,$B8987,①今日の在庫を貼る!$I$6:$I$10005,$I8987)&gt;0,N(U8986),N(U8986)+1))</f>
        <v>2</v>
      </c>
    </row>
    <row r="8988" customFormat="false" ht="15" hidden="false" customHeight="false" outlineLevel="0" collapsed="false">
      <c r="B8988" s="53"/>
      <c r="I8988" s="53"/>
      <c r="U8988" s="31" t="n">
        <f aca="false">IF($B8988&lt;&gt;'設定（最初に1回）'!$C$4,N(U8987),IF(COUNTIFS(①今日の在庫を貼る!$B$6:$B$10005,$B8988,①今日の在庫を貼る!$I$6:$I$10005,$I8988)&gt;0,N(U8987),N(U8987)+1))</f>
        <v>2</v>
      </c>
    </row>
    <row r="8989" customFormat="false" ht="15" hidden="false" customHeight="false" outlineLevel="0" collapsed="false">
      <c r="B8989" s="53"/>
      <c r="I8989" s="53"/>
      <c r="U8989" s="31" t="n">
        <f aca="false">IF($B8989&lt;&gt;'設定（最初に1回）'!$C$4,N(U8988),IF(COUNTIFS(①今日の在庫を貼る!$B$6:$B$10005,$B8989,①今日の在庫を貼る!$I$6:$I$10005,$I8989)&gt;0,N(U8988),N(U8988)+1))</f>
        <v>2</v>
      </c>
    </row>
    <row r="8990" customFormat="false" ht="15" hidden="false" customHeight="false" outlineLevel="0" collapsed="false">
      <c r="B8990" s="53"/>
      <c r="I8990" s="53"/>
      <c r="U8990" s="31" t="n">
        <f aca="false">IF($B8990&lt;&gt;'設定（最初に1回）'!$C$4,N(U8989),IF(COUNTIFS(①今日の在庫を貼る!$B$6:$B$10005,$B8990,①今日の在庫を貼る!$I$6:$I$10005,$I8990)&gt;0,N(U8989),N(U8989)+1))</f>
        <v>2</v>
      </c>
    </row>
    <row r="8991" customFormat="false" ht="15" hidden="false" customHeight="false" outlineLevel="0" collapsed="false">
      <c r="B8991" s="53"/>
      <c r="I8991" s="53"/>
      <c r="U8991" s="31" t="n">
        <f aca="false">IF($B8991&lt;&gt;'設定（最初に1回）'!$C$4,N(U8990),IF(COUNTIFS(①今日の在庫を貼る!$B$6:$B$10005,$B8991,①今日の在庫を貼る!$I$6:$I$10005,$I8991)&gt;0,N(U8990),N(U8990)+1))</f>
        <v>2</v>
      </c>
    </row>
    <row r="8992" customFormat="false" ht="15" hidden="false" customHeight="false" outlineLevel="0" collapsed="false">
      <c r="B8992" s="53"/>
      <c r="I8992" s="53"/>
      <c r="U8992" s="31" t="n">
        <f aca="false">IF($B8992&lt;&gt;'設定（最初に1回）'!$C$4,N(U8991),IF(COUNTIFS(①今日の在庫を貼る!$B$6:$B$10005,$B8992,①今日の在庫を貼る!$I$6:$I$10005,$I8992)&gt;0,N(U8991),N(U8991)+1))</f>
        <v>2</v>
      </c>
    </row>
    <row r="8993" customFormat="false" ht="15" hidden="false" customHeight="false" outlineLevel="0" collapsed="false">
      <c r="B8993" s="53"/>
      <c r="I8993" s="53"/>
      <c r="U8993" s="31" t="n">
        <f aca="false">IF($B8993&lt;&gt;'設定（最初に1回）'!$C$4,N(U8992),IF(COUNTIFS(①今日の在庫を貼る!$B$6:$B$10005,$B8993,①今日の在庫を貼る!$I$6:$I$10005,$I8993)&gt;0,N(U8992),N(U8992)+1))</f>
        <v>2</v>
      </c>
    </row>
    <row r="8994" customFormat="false" ht="15" hidden="false" customHeight="false" outlineLevel="0" collapsed="false">
      <c r="B8994" s="53"/>
      <c r="I8994" s="53"/>
      <c r="U8994" s="31" t="n">
        <f aca="false">IF($B8994&lt;&gt;'設定（最初に1回）'!$C$4,N(U8993),IF(COUNTIFS(①今日の在庫を貼る!$B$6:$B$10005,$B8994,①今日の在庫を貼る!$I$6:$I$10005,$I8994)&gt;0,N(U8993),N(U8993)+1))</f>
        <v>2</v>
      </c>
    </row>
    <row r="8995" customFormat="false" ht="15" hidden="false" customHeight="false" outlineLevel="0" collapsed="false">
      <c r="B8995" s="53"/>
      <c r="I8995" s="53"/>
      <c r="U8995" s="31" t="n">
        <f aca="false">IF($B8995&lt;&gt;'設定（最初に1回）'!$C$4,N(U8994),IF(COUNTIFS(①今日の在庫を貼る!$B$6:$B$10005,$B8995,①今日の在庫を貼る!$I$6:$I$10005,$I8995)&gt;0,N(U8994),N(U8994)+1))</f>
        <v>2</v>
      </c>
    </row>
    <row r="8996" customFormat="false" ht="15" hidden="false" customHeight="false" outlineLevel="0" collapsed="false">
      <c r="B8996" s="53"/>
      <c r="I8996" s="53"/>
      <c r="U8996" s="31" t="n">
        <f aca="false">IF($B8996&lt;&gt;'設定（最初に1回）'!$C$4,N(U8995),IF(COUNTIFS(①今日の在庫を貼る!$B$6:$B$10005,$B8996,①今日の在庫を貼る!$I$6:$I$10005,$I8996)&gt;0,N(U8995),N(U8995)+1))</f>
        <v>2</v>
      </c>
    </row>
    <row r="8997" customFormat="false" ht="15" hidden="false" customHeight="false" outlineLevel="0" collapsed="false">
      <c r="B8997" s="53"/>
      <c r="I8997" s="53"/>
      <c r="U8997" s="31" t="n">
        <f aca="false">IF($B8997&lt;&gt;'設定（最初に1回）'!$C$4,N(U8996),IF(COUNTIFS(①今日の在庫を貼る!$B$6:$B$10005,$B8997,①今日の在庫を貼る!$I$6:$I$10005,$I8997)&gt;0,N(U8996),N(U8996)+1))</f>
        <v>2</v>
      </c>
    </row>
    <row r="8998" customFormat="false" ht="15" hidden="false" customHeight="false" outlineLevel="0" collapsed="false">
      <c r="B8998" s="53"/>
      <c r="I8998" s="53"/>
      <c r="U8998" s="31" t="n">
        <f aca="false">IF($B8998&lt;&gt;'設定（最初に1回）'!$C$4,N(U8997),IF(COUNTIFS(①今日の在庫を貼る!$B$6:$B$10005,$B8998,①今日の在庫を貼る!$I$6:$I$10005,$I8998)&gt;0,N(U8997),N(U8997)+1))</f>
        <v>2</v>
      </c>
    </row>
    <row r="8999" customFormat="false" ht="15" hidden="false" customHeight="false" outlineLevel="0" collapsed="false">
      <c r="B8999" s="53"/>
      <c r="I8999" s="53"/>
      <c r="U8999" s="31" t="n">
        <f aca="false">IF($B8999&lt;&gt;'設定（最初に1回）'!$C$4,N(U8998),IF(COUNTIFS(①今日の在庫を貼る!$B$6:$B$10005,$B8999,①今日の在庫を貼る!$I$6:$I$10005,$I8999)&gt;0,N(U8998),N(U8998)+1))</f>
        <v>2</v>
      </c>
    </row>
    <row r="9000" customFormat="false" ht="15" hidden="false" customHeight="false" outlineLevel="0" collapsed="false">
      <c r="B9000" s="53"/>
      <c r="I9000" s="53"/>
      <c r="U9000" s="31" t="n">
        <f aca="false">IF($B9000&lt;&gt;'設定（最初に1回）'!$C$4,N(U8999),IF(COUNTIFS(①今日の在庫を貼る!$B$6:$B$10005,$B9000,①今日の在庫を貼る!$I$6:$I$10005,$I9000)&gt;0,N(U8999),N(U8999)+1))</f>
        <v>2</v>
      </c>
    </row>
    <row r="9001" customFormat="false" ht="15" hidden="false" customHeight="false" outlineLevel="0" collapsed="false">
      <c r="B9001" s="53"/>
      <c r="I9001" s="53"/>
      <c r="U9001" s="31" t="n">
        <f aca="false">IF($B9001&lt;&gt;'設定（最初に1回）'!$C$4,N(U9000),IF(COUNTIFS(①今日の在庫を貼る!$B$6:$B$10005,$B9001,①今日の在庫を貼る!$I$6:$I$10005,$I9001)&gt;0,N(U9000),N(U9000)+1))</f>
        <v>2</v>
      </c>
    </row>
    <row r="9002" customFormat="false" ht="15" hidden="false" customHeight="false" outlineLevel="0" collapsed="false">
      <c r="B9002" s="53"/>
      <c r="I9002" s="53"/>
      <c r="U9002" s="31" t="n">
        <f aca="false">IF($B9002&lt;&gt;'設定（最初に1回）'!$C$4,N(U9001),IF(COUNTIFS(①今日の在庫を貼る!$B$6:$B$10005,$B9002,①今日の在庫を貼る!$I$6:$I$10005,$I9002)&gt;0,N(U9001),N(U9001)+1))</f>
        <v>2</v>
      </c>
    </row>
    <row r="9003" customFormat="false" ht="15" hidden="false" customHeight="false" outlineLevel="0" collapsed="false">
      <c r="B9003" s="53"/>
      <c r="I9003" s="53"/>
      <c r="U9003" s="31" t="n">
        <f aca="false">IF($B9003&lt;&gt;'設定（最初に1回）'!$C$4,N(U9002),IF(COUNTIFS(①今日の在庫を貼る!$B$6:$B$10005,$B9003,①今日の在庫を貼る!$I$6:$I$10005,$I9003)&gt;0,N(U9002),N(U9002)+1))</f>
        <v>2</v>
      </c>
    </row>
    <row r="9004" customFormat="false" ht="15" hidden="false" customHeight="false" outlineLevel="0" collapsed="false">
      <c r="B9004" s="53"/>
      <c r="I9004" s="53"/>
      <c r="U9004" s="31" t="n">
        <f aca="false">IF($B9004&lt;&gt;'設定（最初に1回）'!$C$4,N(U9003),IF(COUNTIFS(①今日の在庫を貼る!$B$6:$B$10005,$B9004,①今日の在庫を貼る!$I$6:$I$10005,$I9004)&gt;0,N(U9003),N(U9003)+1))</f>
        <v>2</v>
      </c>
    </row>
    <row r="9005" customFormat="false" ht="15" hidden="false" customHeight="false" outlineLevel="0" collapsed="false">
      <c r="B9005" s="53"/>
      <c r="I9005" s="53"/>
      <c r="U9005" s="31" t="n">
        <f aca="false">IF($B9005&lt;&gt;'設定（最初に1回）'!$C$4,N(U9004),IF(COUNTIFS(①今日の在庫を貼る!$B$6:$B$10005,$B9005,①今日の在庫を貼る!$I$6:$I$10005,$I9005)&gt;0,N(U9004),N(U9004)+1))</f>
        <v>2</v>
      </c>
    </row>
    <row r="9006" customFormat="false" ht="15" hidden="false" customHeight="false" outlineLevel="0" collapsed="false">
      <c r="B9006" s="53"/>
      <c r="I9006" s="53"/>
      <c r="U9006" s="31" t="n">
        <f aca="false">IF($B9006&lt;&gt;'設定（最初に1回）'!$C$4,N(U9005),IF(COUNTIFS(①今日の在庫を貼る!$B$6:$B$10005,$B9006,①今日の在庫を貼る!$I$6:$I$10005,$I9006)&gt;0,N(U9005),N(U9005)+1))</f>
        <v>2</v>
      </c>
    </row>
    <row r="9007" customFormat="false" ht="15" hidden="false" customHeight="false" outlineLevel="0" collapsed="false">
      <c r="B9007" s="53"/>
      <c r="I9007" s="53"/>
      <c r="U9007" s="31" t="n">
        <f aca="false">IF($B9007&lt;&gt;'設定（最初に1回）'!$C$4,N(U9006),IF(COUNTIFS(①今日の在庫を貼る!$B$6:$B$10005,$B9007,①今日の在庫を貼る!$I$6:$I$10005,$I9007)&gt;0,N(U9006),N(U9006)+1))</f>
        <v>2</v>
      </c>
    </row>
    <row r="9008" customFormat="false" ht="15" hidden="false" customHeight="false" outlineLevel="0" collapsed="false">
      <c r="B9008" s="53"/>
      <c r="I9008" s="53"/>
      <c r="U9008" s="31" t="n">
        <f aca="false">IF($B9008&lt;&gt;'設定（最初に1回）'!$C$4,N(U9007),IF(COUNTIFS(①今日の在庫を貼る!$B$6:$B$10005,$B9008,①今日の在庫を貼る!$I$6:$I$10005,$I9008)&gt;0,N(U9007),N(U9007)+1))</f>
        <v>2</v>
      </c>
    </row>
    <row r="9009" customFormat="false" ht="15" hidden="false" customHeight="false" outlineLevel="0" collapsed="false">
      <c r="B9009" s="53"/>
      <c r="I9009" s="53"/>
      <c r="U9009" s="31" t="n">
        <f aca="false">IF($B9009&lt;&gt;'設定（最初に1回）'!$C$4,N(U9008),IF(COUNTIFS(①今日の在庫を貼る!$B$6:$B$10005,$B9009,①今日の在庫を貼る!$I$6:$I$10005,$I9009)&gt;0,N(U9008),N(U9008)+1))</f>
        <v>2</v>
      </c>
    </row>
    <row r="9010" customFormat="false" ht="15" hidden="false" customHeight="false" outlineLevel="0" collapsed="false">
      <c r="B9010" s="53"/>
      <c r="I9010" s="53"/>
      <c r="U9010" s="31" t="n">
        <f aca="false">IF($B9010&lt;&gt;'設定（最初に1回）'!$C$4,N(U9009),IF(COUNTIFS(①今日の在庫を貼る!$B$6:$B$10005,$B9010,①今日の在庫を貼る!$I$6:$I$10005,$I9010)&gt;0,N(U9009),N(U9009)+1))</f>
        <v>2</v>
      </c>
    </row>
    <row r="9011" customFormat="false" ht="15" hidden="false" customHeight="false" outlineLevel="0" collapsed="false">
      <c r="B9011" s="53"/>
      <c r="I9011" s="53"/>
      <c r="U9011" s="31" t="n">
        <f aca="false">IF($B9011&lt;&gt;'設定（最初に1回）'!$C$4,N(U9010),IF(COUNTIFS(①今日の在庫を貼る!$B$6:$B$10005,$B9011,①今日の在庫を貼る!$I$6:$I$10005,$I9011)&gt;0,N(U9010),N(U9010)+1))</f>
        <v>2</v>
      </c>
    </row>
    <row r="9012" customFormat="false" ht="15" hidden="false" customHeight="false" outlineLevel="0" collapsed="false">
      <c r="B9012" s="53"/>
      <c r="I9012" s="53"/>
      <c r="U9012" s="31" t="n">
        <f aca="false">IF($B9012&lt;&gt;'設定（最初に1回）'!$C$4,N(U9011),IF(COUNTIFS(①今日の在庫を貼る!$B$6:$B$10005,$B9012,①今日の在庫を貼る!$I$6:$I$10005,$I9012)&gt;0,N(U9011),N(U9011)+1))</f>
        <v>2</v>
      </c>
    </row>
    <row r="9013" customFormat="false" ht="15" hidden="false" customHeight="false" outlineLevel="0" collapsed="false">
      <c r="B9013" s="53"/>
      <c r="I9013" s="53"/>
      <c r="U9013" s="31" t="n">
        <f aca="false">IF($B9013&lt;&gt;'設定（最初に1回）'!$C$4,N(U9012),IF(COUNTIFS(①今日の在庫を貼る!$B$6:$B$10005,$B9013,①今日の在庫を貼る!$I$6:$I$10005,$I9013)&gt;0,N(U9012),N(U9012)+1))</f>
        <v>2</v>
      </c>
    </row>
    <row r="9014" customFormat="false" ht="15" hidden="false" customHeight="false" outlineLevel="0" collapsed="false">
      <c r="B9014" s="53"/>
      <c r="I9014" s="53"/>
      <c r="U9014" s="31" t="n">
        <f aca="false">IF($B9014&lt;&gt;'設定（最初に1回）'!$C$4,N(U9013),IF(COUNTIFS(①今日の在庫を貼る!$B$6:$B$10005,$B9014,①今日の在庫を貼る!$I$6:$I$10005,$I9014)&gt;0,N(U9013),N(U9013)+1))</f>
        <v>2</v>
      </c>
    </row>
    <row r="9015" customFormat="false" ht="15" hidden="false" customHeight="false" outlineLevel="0" collapsed="false">
      <c r="B9015" s="53"/>
      <c r="I9015" s="53"/>
      <c r="U9015" s="31" t="n">
        <f aca="false">IF($B9015&lt;&gt;'設定（最初に1回）'!$C$4,N(U9014),IF(COUNTIFS(①今日の在庫を貼る!$B$6:$B$10005,$B9015,①今日の在庫を貼る!$I$6:$I$10005,$I9015)&gt;0,N(U9014),N(U9014)+1))</f>
        <v>2</v>
      </c>
    </row>
    <row r="9016" customFormat="false" ht="15" hidden="false" customHeight="false" outlineLevel="0" collapsed="false">
      <c r="B9016" s="53"/>
      <c r="I9016" s="53"/>
      <c r="U9016" s="31" t="n">
        <f aca="false">IF($B9016&lt;&gt;'設定（最初に1回）'!$C$4,N(U9015),IF(COUNTIFS(①今日の在庫を貼る!$B$6:$B$10005,$B9016,①今日の在庫を貼る!$I$6:$I$10005,$I9016)&gt;0,N(U9015),N(U9015)+1))</f>
        <v>2</v>
      </c>
    </row>
    <row r="9017" customFormat="false" ht="15" hidden="false" customHeight="false" outlineLevel="0" collapsed="false">
      <c r="B9017" s="53"/>
      <c r="I9017" s="53"/>
      <c r="U9017" s="31" t="n">
        <f aca="false">IF($B9017&lt;&gt;'設定（最初に1回）'!$C$4,N(U9016),IF(COUNTIFS(①今日の在庫を貼る!$B$6:$B$10005,$B9017,①今日の在庫を貼る!$I$6:$I$10005,$I9017)&gt;0,N(U9016),N(U9016)+1))</f>
        <v>2</v>
      </c>
    </row>
    <row r="9018" customFormat="false" ht="15" hidden="false" customHeight="false" outlineLevel="0" collapsed="false">
      <c r="B9018" s="53"/>
      <c r="I9018" s="53"/>
      <c r="U9018" s="31" t="n">
        <f aca="false">IF($B9018&lt;&gt;'設定（最初に1回）'!$C$4,N(U9017),IF(COUNTIFS(①今日の在庫を貼る!$B$6:$B$10005,$B9018,①今日の在庫を貼る!$I$6:$I$10005,$I9018)&gt;0,N(U9017),N(U9017)+1))</f>
        <v>2</v>
      </c>
    </row>
    <row r="9019" customFormat="false" ht="15" hidden="false" customHeight="false" outlineLevel="0" collapsed="false">
      <c r="B9019" s="53"/>
      <c r="I9019" s="53"/>
      <c r="U9019" s="31" t="n">
        <f aca="false">IF($B9019&lt;&gt;'設定（最初に1回）'!$C$4,N(U9018),IF(COUNTIFS(①今日の在庫を貼る!$B$6:$B$10005,$B9019,①今日の在庫を貼る!$I$6:$I$10005,$I9019)&gt;0,N(U9018),N(U9018)+1))</f>
        <v>2</v>
      </c>
    </row>
    <row r="9020" customFormat="false" ht="15" hidden="false" customHeight="false" outlineLevel="0" collapsed="false">
      <c r="B9020" s="53"/>
      <c r="I9020" s="53"/>
      <c r="U9020" s="31" t="n">
        <f aca="false">IF($B9020&lt;&gt;'設定（最初に1回）'!$C$4,N(U9019),IF(COUNTIFS(①今日の在庫を貼る!$B$6:$B$10005,$B9020,①今日の在庫を貼る!$I$6:$I$10005,$I9020)&gt;0,N(U9019),N(U9019)+1))</f>
        <v>2</v>
      </c>
    </row>
    <row r="9021" customFormat="false" ht="15" hidden="false" customHeight="false" outlineLevel="0" collapsed="false">
      <c r="B9021" s="53"/>
      <c r="I9021" s="53"/>
      <c r="U9021" s="31" t="n">
        <f aca="false">IF($B9021&lt;&gt;'設定（最初に1回）'!$C$4,N(U9020),IF(COUNTIFS(①今日の在庫を貼る!$B$6:$B$10005,$B9021,①今日の在庫を貼る!$I$6:$I$10005,$I9021)&gt;0,N(U9020),N(U9020)+1))</f>
        <v>2</v>
      </c>
    </row>
    <row r="9022" customFormat="false" ht="15" hidden="false" customHeight="false" outlineLevel="0" collapsed="false">
      <c r="B9022" s="53"/>
      <c r="I9022" s="53"/>
      <c r="U9022" s="31" t="n">
        <f aca="false">IF($B9022&lt;&gt;'設定（最初に1回）'!$C$4,N(U9021),IF(COUNTIFS(①今日の在庫を貼る!$B$6:$B$10005,$B9022,①今日の在庫を貼る!$I$6:$I$10005,$I9022)&gt;0,N(U9021),N(U9021)+1))</f>
        <v>2</v>
      </c>
    </row>
    <row r="9023" customFormat="false" ht="15" hidden="false" customHeight="false" outlineLevel="0" collapsed="false">
      <c r="B9023" s="53"/>
      <c r="I9023" s="53"/>
      <c r="U9023" s="31" t="n">
        <f aca="false">IF($B9023&lt;&gt;'設定（最初に1回）'!$C$4,N(U9022),IF(COUNTIFS(①今日の在庫を貼る!$B$6:$B$10005,$B9023,①今日の在庫を貼る!$I$6:$I$10005,$I9023)&gt;0,N(U9022),N(U9022)+1))</f>
        <v>2</v>
      </c>
    </row>
    <row r="9024" customFormat="false" ht="15" hidden="false" customHeight="false" outlineLevel="0" collapsed="false">
      <c r="B9024" s="53"/>
      <c r="I9024" s="53"/>
      <c r="U9024" s="31" t="n">
        <f aca="false">IF($B9024&lt;&gt;'設定（最初に1回）'!$C$4,N(U9023),IF(COUNTIFS(①今日の在庫を貼る!$B$6:$B$10005,$B9024,①今日の在庫を貼る!$I$6:$I$10005,$I9024)&gt;0,N(U9023),N(U9023)+1))</f>
        <v>2</v>
      </c>
    </row>
    <row r="9025" customFormat="false" ht="15" hidden="false" customHeight="false" outlineLevel="0" collapsed="false">
      <c r="B9025" s="53"/>
      <c r="I9025" s="53"/>
      <c r="U9025" s="31" t="n">
        <f aca="false">IF($B9025&lt;&gt;'設定（最初に1回）'!$C$4,N(U9024),IF(COUNTIFS(①今日の在庫を貼る!$B$6:$B$10005,$B9025,①今日の在庫を貼る!$I$6:$I$10005,$I9025)&gt;0,N(U9024),N(U9024)+1))</f>
        <v>2</v>
      </c>
    </row>
    <row r="9026" customFormat="false" ht="15" hidden="false" customHeight="false" outlineLevel="0" collapsed="false">
      <c r="B9026" s="53"/>
      <c r="I9026" s="53"/>
      <c r="U9026" s="31" t="n">
        <f aca="false">IF($B9026&lt;&gt;'設定（最初に1回）'!$C$4,N(U9025),IF(COUNTIFS(①今日の在庫を貼る!$B$6:$B$10005,$B9026,①今日の在庫を貼る!$I$6:$I$10005,$I9026)&gt;0,N(U9025),N(U9025)+1))</f>
        <v>2</v>
      </c>
    </row>
    <row r="9027" customFormat="false" ht="15" hidden="false" customHeight="false" outlineLevel="0" collapsed="false">
      <c r="B9027" s="53"/>
      <c r="I9027" s="53"/>
      <c r="U9027" s="31" t="n">
        <f aca="false">IF($B9027&lt;&gt;'設定（最初に1回）'!$C$4,N(U9026),IF(COUNTIFS(①今日の在庫を貼る!$B$6:$B$10005,$B9027,①今日の在庫を貼る!$I$6:$I$10005,$I9027)&gt;0,N(U9026),N(U9026)+1))</f>
        <v>2</v>
      </c>
    </row>
    <row r="9028" customFormat="false" ht="15" hidden="false" customHeight="false" outlineLevel="0" collapsed="false">
      <c r="B9028" s="53"/>
      <c r="I9028" s="53"/>
      <c r="U9028" s="31" t="n">
        <f aca="false">IF($B9028&lt;&gt;'設定（最初に1回）'!$C$4,N(U9027),IF(COUNTIFS(①今日の在庫を貼る!$B$6:$B$10005,$B9028,①今日の在庫を貼る!$I$6:$I$10005,$I9028)&gt;0,N(U9027),N(U9027)+1))</f>
        <v>2</v>
      </c>
    </row>
    <row r="9029" customFormat="false" ht="15" hidden="false" customHeight="false" outlineLevel="0" collapsed="false">
      <c r="B9029" s="53"/>
      <c r="I9029" s="53"/>
      <c r="U9029" s="31" t="n">
        <f aca="false">IF($B9029&lt;&gt;'設定（最初に1回）'!$C$4,N(U9028),IF(COUNTIFS(①今日の在庫を貼る!$B$6:$B$10005,$B9029,①今日の在庫を貼る!$I$6:$I$10005,$I9029)&gt;0,N(U9028),N(U9028)+1))</f>
        <v>2</v>
      </c>
    </row>
    <row r="9030" customFormat="false" ht="15" hidden="false" customHeight="false" outlineLevel="0" collapsed="false">
      <c r="B9030" s="53"/>
      <c r="I9030" s="53"/>
      <c r="U9030" s="31" t="n">
        <f aca="false">IF($B9030&lt;&gt;'設定（最初に1回）'!$C$4,N(U9029),IF(COUNTIFS(①今日の在庫を貼る!$B$6:$B$10005,$B9030,①今日の在庫を貼る!$I$6:$I$10005,$I9030)&gt;0,N(U9029),N(U9029)+1))</f>
        <v>2</v>
      </c>
    </row>
    <row r="9031" customFormat="false" ht="15" hidden="false" customHeight="false" outlineLevel="0" collapsed="false">
      <c r="B9031" s="53"/>
      <c r="I9031" s="53"/>
      <c r="U9031" s="31" t="n">
        <f aca="false">IF($B9031&lt;&gt;'設定（最初に1回）'!$C$4,N(U9030),IF(COUNTIFS(①今日の在庫を貼る!$B$6:$B$10005,$B9031,①今日の在庫を貼る!$I$6:$I$10005,$I9031)&gt;0,N(U9030),N(U9030)+1))</f>
        <v>2</v>
      </c>
    </row>
    <row r="9032" customFormat="false" ht="15" hidden="false" customHeight="false" outlineLevel="0" collapsed="false">
      <c r="B9032" s="53"/>
      <c r="I9032" s="53"/>
      <c r="U9032" s="31" t="n">
        <f aca="false">IF($B9032&lt;&gt;'設定（最初に1回）'!$C$4,N(U9031),IF(COUNTIFS(①今日の在庫を貼る!$B$6:$B$10005,$B9032,①今日の在庫を貼る!$I$6:$I$10005,$I9032)&gt;0,N(U9031),N(U9031)+1))</f>
        <v>2</v>
      </c>
    </row>
    <row r="9033" customFormat="false" ht="15" hidden="false" customHeight="false" outlineLevel="0" collapsed="false">
      <c r="B9033" s="53"/>
      <c r="I9033" s="53"/>
      <c r="U9033" s="31" t="n">
        <f aca="false">IF($B9033&lt;&gt;'設定（最初に1回）'!$C$4,N(U9032),IF(COUNTIFS(①今日の在庫を貼る!$B$6:$B$10005,$B9033,①今日の在庫を貼る!$I$6:$I$10005,$I9033)&gt;0,N(U9032),N(U9032)+1))</f>
        <v>2</v>
      </c>
    </row>
    <row r="9034" customFormat="false" ht="15" hidden="false" customHeight="false" outlineLevel="0" collapsed="false">
      <c r="B9034" s="53"/>
      <c r="I9034" s="53"/>
      <c r="U9034" s="31" t="n">
        <f aca="false">IF($B9034&lt;&gt;'設定（最初に1回）'!$C$4,N(U9033),IF(COUNTIFS(①今日の在庫を貼る!$B$6:$B$10005,$B9034,①今日の在庫を貼る!$I$6:$I$10005,$I9034)&gt;0,N(U9033),N(U9033)+1))</f>
        <v>2</v>
      </c>
    </row>
    <row r="9035" customFormat="false" ht="15" hidden="false" customHeight="false" outlineLevel="0" collapsed="false">
      <c r="B9035" s="53"/>
      <c r="I9035" s="53"/>
      <c r="U9035" s="31" t="n">
        <f aca="false">IF($B9035&lt;&gt;'設定（最初に1回）'!$C$4,N(U9034),IF(COUNTIFS(①今日の在庫を貼る!$B$6:$B$10005,$B9035,①今日の在庫を貼る!$I$6:$I$10005,$I9035)&gt;0,N(U9034),N(U9034)+1))</f>
        <v>2</v>
      </c>
    </row>
    <row r="9036" customFormat="false" ht="15" hidden="false" customHeight="false" outlineLevel="0" collapsed="false">
      <c r="B9036" s="53"/>
      <c r="I9036" s="53"/>
      <c r="U9036" s="31" t="n">
        <f aca="false">IF($B9036&lt;&gt;'設定（最初に1回）'!$C$4,N(U9035),IF(COUNTIFS(①今日の在庫を貼る!$B$6:$B$10005,$B9036,①今日の在庫を貼る!$I$6:$I$10005,$I9036)&gt;0,N(U9035),N(U9035)+1))</f>
        <v>2</v>
      </c>
    </row>
    <row r="9037" customFormat="false" ht="15" hidden="false" customHeight="false" outlineLevel="0" collapsed="false">
      <c r="B9037" s="53"/>
      <c r="I9037" s="53"/>
      <c r="U9037" s="31" t="n">
        <f aca="false">IF($B9037&lt;&gt;'設定（最初に1回）'!$C$4,N(U9036),IF(COUNTIFS(①今日の在庫を貼る!$B$6:$B$10005,$B9037,①今日の在庫を貼る!$I$6:$I$10005,$I9037)&gt;0,N(U9036),N(U9036)+1))</f>
        <v>2</v>
      </c>
    </row>
    <row r="9038" customFormat="false" ht="15" hidden="false" customHeight="false" outlineLevel="0" collapsed="false">
      <c r="B9038" s="53"/>
      <c r="I9038" s="53"/>
      <c r="U9038" s="31" t="n">
        <f aca="false">IF($B9038&lt;&gt;'設定（最初に1回）'!$C$4,N(U9037),IF(COUNTIFS(①今日の在庫を貼る!$B$6:$B$10005,$B9038,①今日の在庫を貼る!$I$6:$I$10005,$I9038)&gt;0,N(U9037),N(U9037)+1))</f>
        <v>2</v>
      </c>
    </row>
    <row r="9039" customFormat="false" ht="15" hidden="false" customHeight="false" outlineLevel="0" collapsed="false">
      <c r="B9039" s="53"/>
      <c r="I9039" s="53"/>
      <c r="U9039" s="31" t="n">
        <f aca="false">IF($B9039&lt;&gt;'設定（最初に1回）'!$C$4,N(U9038),IF(COUNTIFS(①今日の在庫を貼る!$B$6:$B$10005,$B9039,①今日の在庫を貼る!$I$6:$I$10005,$I9039)&gt;0,N(U9038),N(U9038)+1))</f>
        <v>2</v>
      </c>
    </row>
    <row r="9040" customFormat="false" ht="15" hidden="false" customHeight="false" outlineLevel="0" collapsed="false">
      <c r="B9040" s="53"/>
      <c r="I9040" s="53"/>
      <c r="U9040" s="31" t="n">
        <f aca="false">IF($B9040&lt;&gt;'設定（最初に1回）'!$C$4,N(U9039),IF(COUNTIFS(①今日の在庫を貼る!$B$6:$B$10005,$B9040,①今日の在庫を貼る!$I$6:$I$10005,$I9040)&gt;0,N(U9039),N(U9039)+1))</f>
        <v>2</v>
      </c>
    </row>
    <row r="9041" customFormat="false" ht="15" hidden="false" customHeight="false" outlineLevel="0" collapsed="false">
      <c r="B9041" s="53"/>
      <c r="I9041" s="53"/>
      <c r="U9041" s="31" t="n">
        <f aca="false">IF($B9041&lt;&gt;'設定（最初に1回）'!$C$4,N(U9040),IF(COUNTIFS(①今日の在庫を貼る!$B$6:$B$10005,$B9041,①今日の在庫を貼る!$I$6:$I$10005,$I9041)&gt;0,N(U9040),N(U9040)+1))</f>
        <v>2</v>
      </c>
    </row>
    <row r="9042" customFormat="false" ht="15" hidden="false" customHeight="false" outlineLevel="0" collapsed="false">
      <c r="B9042" s="53"/>
      <c r="I9042" s="53"/>
      <c r="U9042" s="31" t="n">
        <f aca="false">IF($B9042&lt;&gt;'設定（最初に1回）'!$C$4,N(U9041),IF(COUNTIFS(①今日の在庫を貼る!$B$6:$B$10005,$B9042,①今日の在庫を貼る!$I$6:$I$10005,$I9042)&gt;0,N(U9041),N(U9041)+1))</f>
        <v>2</v>
      </c>
    </row>
    <row r="9043" customFormat="false" ht="15" hidden="false" customHeight="false" outlineLevel="0" collapsed="false">
      <c r="B9043" s="53"/>
      <c r="I9043" s="53"/>
      <c r="U9043" s="31" t="n">
        <f aca="false">IF($B9043&lt;&gt;'設定（最初に1回）'!$C$4,N(U9042),IF(COUNTIFS(①今日の在庫を貼る!$B$6:$B$10005,$B9043,①今日の在庫を貼る!$I$6:$I$10005,$I9043)&gt;0,N(U9042),N(U9042)+1))</f>
        <v>2</v>
      </c>
    </row>
    <row r="9044" customFormat="false" ht="15" hidden="false" customHeight="false" outlineLevel="0" collapsed="false">
      <c r="B9044" s="53"/>
      <c r="I9044" s="53"/>
      <c r="U9044" s="31" t="n">
        <f aca="false">IF($B9044&lt;&gt;'設定（最初に1回）'!$C$4,N(U9043),IF(COUNTIFS(①今日の在庫を貼る!$B$6:$B$10005,$B9044,①今日の在庫を貼る!$I$6:$I$10005,$I9044)&gt;0,N(U9043),N(U9043)+1))</f>
        <v>2</v>
      </c>
    </row>
    <row r="9045" customFormat="false" ht="15" hidden="false" customHeight="false" outlineLevel="0" collapsed="false">
      <c r="B9045" s="53"/>
      <c r="I9045" s="53"/>
      <c r="U9045" s="31" t="n">
        <f aca="false">IF($B9045&lt;&gt;'設定（最初に1回）'!$C$4,N(U9044),IF(COUNTIFS(①今日の在庫を貼る!$B$6:$B$10005,$B9045,①今日の在庫を貼る!$I$6:$I$10005,$I9045)&gt;0,N(U9044),N(U9044)+1))</f>
        <v>2</v>
      </c>
    </row>
    <row r="9046" customFormat="false" ht="15" hidden="false" customHeight="false" outlineLevel="0" collapsed="false">
      <c r="B9046" s="53"/>
      <c r="I9046" s="53"/>
      <c r="U9046" s="31" t="n">
        <f aca="false">IF($B9046&lt;&gt;'設定（最初に1回）'!$C$4,N(U9045),IF(COUNTIFS(①今日の在庫を貼る!$B$6:$B$10005,$B9046,①今日の在庫を貼る!$I$6:$I$10005,$I9046)&gt;0,N(U9045),N(U9045)+1))</f>
        <v>2</v>
      </c>
    </row>
    <row r="9047" customFormat="false" ht="15" hidden="false" customHeight="false" outlineLevel="0" collapsed="false">
      <c r="B9047" s="53"/>
      <c r="I9047" s="53"/>
      <c r="U9047" s="31" t="n">
        <f aca="false">IF($B9047&lt;&gt;'設定（最初に1回）'!$C$4,N(U9046),IF(COUNTIFS(①今日の在庫を貼る!$B$6:$B$10005,$B9047,①今日の在庫を貼る!$I$6:$I$10005,$I9047)&gt;0,N(U9046),N(U9046)+1))</f>
        <v>2</v>
      </c>
    </row>
    <row r="9048" customFormat="false" ht="15" hidden="false" customHeight="false" outlineLevel="0" collapsed="false">
      <c r="B9048" s="53"/>
      <c r="I9048" s="53"/>
      <c r="U9048" s="31" t="n">
        <f aca="false">IF($B9048&lt;&gt;'設定（最初に1回）'!$C$4,N(U9047),IF(COUNTIFS(①今日の在庫を貼る!$B$6:$B$10005,$B9048,①今日の在庫を貼る!$I$6:$I$10005,$I9048)&gt;0,N(U9047),N(U9047)+1))</f>
        <v>2</v>
      </c>
    </row>
    <row r="9049" customFormat="false" ht="15" hidden="false" customHeight="false" outlineLevel="0" collapsed="false">
      <c r="B9049" s="53"/>
      <c r="I9049" s="53"/>
      <c r="U9049" s="31" t="n">
        <f aca="false">IF($B9049&lt;&gt;'設定（最初に1回）'!$C$4,N(U9048),IF(COUNTIFS(①今日の在庫を貼る!$B$6:$B$10005,$B9049,①今日の在庫を貼る!$I$6:$I$10005,$I9049)&gt;0,N(U9048),N(U9048)+1))</f>
        <v>2</v>
      </c>
    </row>
    <row r="9050" customFormat="false" ht="15" hidden="false" customHeight="false" outlineLevel="0" collapsed="false">
      <c r="B9050" s="53"/>
      <c r="I9050" s="53"/>
      <c r="U9050" s="31" t="n">
        <f aca="false">IF($B9050&lt;&gt;'設定（最初に1回）'!$C$4,N(U9049),IF(COUNTIFS(①今日の在庫を貼る!$B$6:$B$10005,$B9050,①今日の在庫を貼る!$I$6:$I$10005,$I9050)&gt;0,N(U9049),N(U9049)+1))</f>
        <v>2</v>
      </c>
    </row>
    <row r="9051" customFormat="false" ht="15" hidden="false" customHeight="false" outlineLevel="0" collapsed="false">
      <c r="B9051" s="53"/>
      <c r="I9051" s="53"/>
      <c r="U9051" s="31" t="n">
        <f aca="false">IF($B9051&lt;&gt;'設定（最初に1回）'!$C$4,N(U9050),IF(COUNTIFS(①今日の在庫を貼る!$B$6:$B$10005,$B9051,①今日の在庫を貼る!$I$6:$I$10005,$I9051)&gt;0,N(U9050),N(U9050)+1))</f>
        <v>2</v>
      </c>
    </row>
    <row r="9052" customFormat="false" ht="15" hidden="false" customHeight="false" outlineLevel="0" collapsed="false">
      <c r="B9052" s="53"/>
      <c r="I9052" s="53"/>
      <c r="U9052" s="31" t="n">
        <f aca="false">IF($B9052&lt;&gt;'設定（最初に1回）'!$C$4,N(U9051),IF(COUNTIFS(①今日の在庫を貼る!$B$6:$B$10005,$B9052,①今日の在庫を貼る!$I$6:$I$10005,$I9052)&gt;0,N(U9051),N(U9051)+1))</f>
        <v>2</v>
      </c>
    </row>
    <row r="9053" customFormat="false" ht="15" hidden="false" customHeight="false" outlineLevel="0" collapsed="false">
      <c r="B9053" s="53"/>
      <c r="I9053" s="53"/>
      <c r="U9053" s="31" t="n">
        <f aca="false">IF($B9053&lt;&gt;'設定（最初に1回）'!$C$4,N(U9052),IF(COUNTIFS(①今日の在庫を貼る!$B$6:$B$10005,$B9053,①今日の在庫を貼る!$I$6:$I$10005,$I9053)&gt;0,N(U9052),N(U9052)+1))</f>
        <v>2</v>
      </c>
    </row>
    <row r="9054" customFormat="false" ht="15" hidden="false" customHeight="false" outlineLevel="0" collapsed="false">
      <c r="B9054" s="53"/>
      <c r="I9054" s="53"/>
      <c r="U9054" s="31" t="n">
        <f aca="false">IF($B9054&lt;&gt;'設定（最初に1回）'!$C$4,N(U9053),IF(COUNTIFS(①今日の在庫を貼る!$B$6:$B$10005,$B9054,①今日の在庫を貼る!$I$6:$I$10005,$I9054)&gt;0,N(U9053),N(U9053)+1))</f>
        <v>2</v>
      </c>
    </row>
    <row r="9055" customFormat="false" ht="15" hidden="false" customHeight="false" outlineLevel="0" collapsed="false">
      <c r="B9055" s="53"/>
      <c r="I9055" s="53"/>
      <c r="U9055" s="31" t="n">
        <f aca="false">IF($B9055&lt;&gt;'設定（最初に1回）'!$C$4,N(U9054),IF(COUNTIFS(①今日の在庫を貼る!$B$6:$B$10005,$B9055,①今日の在庫を貼る!$I$6:$I$10005,$I9055)&gt;0,N(U9054),N(U9054)+1))</f>
        <v>2</v>
      </c>
    </row>
    <row r="9056" customFormat="false" ht="15" hidden="false" customHeight="false" outlineLevel="0" collapsed="false">
      <c r="B9056" s="53"/>
      <c r="I9056" s="53"/>
      <c r="U9056" s="31" t="n">
        <f aca="false">IF($B9056&lt;&gt;'設定（最初に1回）'!$C$4,N(U9055),IF(COUNTIFS(①今日の在庫を貼る!$B$6:$B$10005,$B9056,①今日の在庫を貼る!$I$6:$I$10005,$I9056)&gt;0,N(U9055),N(U9055)+1))</f>
        <v>2</v>
      </c>
    </row>
    <row r="9057" customFormat="false" ht="15" hidden="false" customHeight="false" outlineLevel="0" collapsed="false">
      <c r="B9057" s="53"/>
      <c r="I9057" s="53"/>
      <c r="U9057" s="31" t="n">
        <f aca="false">IF($B9057&lt;&gt;'設定（最初に1回）'!$C$4,N(U9056),IF(COUNTIFS(①今日の在庫を貼る!$B$6:$B$10005,$B9057,①今日の在庫を貼る!$I$6:$I$10005,$I9057)&gt;0,N(U9056),N(U9056)+1))</f>
        <v>2</v>
      </c>
    </row>
    <row r="9058" customFormat="false" ht="15" hidden="false" customHeight="false" outlineLevel="0" collapsed="false">
      <c r="B9058" s="53"/>
      <c r="I9058" s="53"/>
      <c r="U9058" s="31" t="n">
        <f aca="false">IF($B9058&lt;&gt;'設定（最初に1回）'!$C$4,N(U9057),IF(COUNTIFS(①今日の在庫を貼る!$B$6:$B$10005,$B9058,①今日の在庫を貼る!$I$6:$I$10005,$I9058)&gt;0,N(U9057),N(U9057)+1))</f>
        <v>2</v>
      </c>
    </row>
    <row r="9059" customFormat="false" ht="15" hidden="false" customHeight="false" outlineLevel="0" collapsed="false">
      <c r="B9059" s="53"/>
      <c r="I9059" s="53"/>
      <c r="U9059" s="31" t="n">
        <f aca="false">IF($B9059&lt;&gt;'設定（最初に1回）'!$C$4,N(U9058),IF(COUNTIFS(①今日の在庫を貼る!$B$6:$B$10005,$B9059,①今日の在庫を貼る!$I$6:$I$10005,$I9059)&gt;0,N(U9058),N(U9058)+1))</f>
        <v>2</v>
      </c>
    </row>
    <row r="9060" customFormat="false" ht="15" hidden="false" customHeight="false" outlineLevel="0" collapsed="false">
      <c r="B9060" s="53"/>
      <c r="I9060" s="53"/>
      <c r="U9060" s="31" t="n">
        <f aca="false">IF($B9060&lt;&gt;'設定（最初に1回）'!$C$4,N(U9059),IF(COUNTIFS(①今日の在庫を貼る!$B$6:$B$10005,$B9060,①今日の在庫を貼る!$I$6:$I$10005,$I9060)&gt;0,N(U9059),N(U9059)+1))</f>
        <v>2</v>
      </c>
    </row>
    <row r="9061" customFormat="false" ht="15" hidden="false" customHeight="false" outlineLevel="0" collapsed="false">
      <c r="B9061" s="53"/>
      <c r="I9061" s="53"/>
      <c r="U9061" s="31" t="n">
        <f aca="false">IF($B9061&lt;&gt;'設定（最初に1回）'!$C$4,N(U9060),IF(COUNTIFS(①今日の在庫を貼る!$B$6:$B$10005,$B9061,①今日の在庫を貼る!$I$6:$I$10005,$I9061)&gt;0,N(U9060),N(U9060)+1))</f>
        <v>2</v>
      </c>
    </row>
    <row r="9062" customFormat="false" ht="15" hidden="false" customHeight="false" outlineLevel="0" collapsed="false">
      <c r="B9062" s="53"/>
      <c r="I9062" s="53"/>
      <c r="U9062" s="31" t="n">
        <f aca="false">IF($B9062&lt;&gt;'設定（最初に1回）'!$C$4,N(U9061),IF(COUNTIFS(①今日の在庫を貼る!$B$6:$B$10005,$B9062,①今日の在庫を貼る!$I$6:$I$10005,$I9062)&gt;0,N(U9061),N(U9061)+1))</f>
        <v>2</v>
      </c>
    </row>
    <row r="9063" customFormat="false" ht="15" hidden="false" customHeight="false" outlineLevel="0" collapsed="false">
      <c r="B9063" s="53"/>
      <c r="I9063" s="53"/>
      <c r="U9063" s="31" t="n">
        <f aca="false">IF($B9063&lt;&gt;'設定（最初に1回）'!$C$4,N(U9062),IF(COUNTIFS(①今日の在庫を貼る!$B$6:$B$10005,$B9063,①今日の在庫を貼る!$I$6:$I$10005,$I9063)&gt;0,N(U9062),N(U9062)+1))</f>
        <v>2</v>
      </c>
    </row>
    <row r="9064" customFormat="false" ht="15" hidden="false" customHeight="false" outlineLevel="0" collapsed="false">
      <c r="B9064" s="53"/>
      <c r="I9064" s="53"/>
      <c r="U9064" s="31" t="n">
        <f aca="false">IF($B9064&lt;&gt;'設定（最初に1回）'!$C$4,N(U9063),IF(COUNTIFS(①今日の在庫を貼る!$B$6:$B$10005,$B9064,①今日の在庫を貼る!$I$6:$I$10005,$I9064)&gt;0,N(U9063),N(U9063)+1))</f>
        <v>2</v>
      </c>
    </row>
    <row r="9065" customFormat="false" ht="15" hidden="false" customHeight="false" outlineLevel="0" collapsed="false">
      <c r="B9065" s="53"/>
      <c r="I9065" s="53"/>
      <c r="U9065" s="31" t="n">
        <f aca="false">IF($B9065&lt;&gt;'設定（最初に1回）'!$C$4,N(U9064),IF(COUNTIFS(①今日の在庫を貼る!$B$6:$B$10005,$B9065,①今日の在庫を貼る!$I$6:$I$10005,$I9065)&gt;0,N(U9064),N(U9064)+1))</f>
        <v>2</v>
      </c>
    </row>
    <row r="9066" customFormat="false" ht="15" hidden="false" customHeight="false" outlineLevel="0" collapsed="false">
      <c r="B9066" s="53"/>
      <c r="I9066" s="53"/>
      <c r="U9066" s="31" t="n">
        <f aca="false">IF($B9066&lt;&gt;'設定（最初に1回）'!$C$4,N(U9065),IF(COUNTIFS(①今日の在庫を貼る!$B$6:$B$10005,$B9066,①今日の在庫を貼る!$I$6:$I$10005,$I9066)&gt;0,N(U9065),N(U9065)+1))</f>
        <v>2</v>
      </c>
    </row>
    <row r="9067" customFormat="false" ht="15" hidden="false" customHeight="false" outlineLevel="0" collapsed="false">
      <c r="B9067" s="53"/>
      <c r="I9067" s="53"/>
      <c r="U9067" s="31" t="n">
        <f aca="false">IF($B9067&lt;&gt;'設定（最初に1回）'!$C$4,N(U9066),IF(COUNTIFS(①今日の在庫を貼る!$B$6:$B$10005,$B9067,①今日の在庫を貼る!$I$6:$I$10005,$I9067)&gt;0,N(U9066),N(U9066)+1))</f>
        <v>2</v>
      </c>
    </row>
    <row r="9068" customFormat="false" ht="15" hidden="false" customHeight="false" outlineLevel="0" collapsed="false">
      <c r="B9068" s="53"/>
      <c r="I9068" s="53"/>
      <c r="U9068" s="31" t="n">
        <f aca="false">IF($B9068&lt;&gt;'設定（最初に1回）'!$C$4,N(U9067),IF(COUNTIFS(①今日の在庫を貼る!$B$6:$B$10005,$B9068,①今日の在庫を貼る!$I$6:$I$10005,$I9068)&gt;0,N(U9067),N(U9067)+1))</f>
        <v>2</v>
      </c>
    </row>
    <row r="9069" customFormat="false" ht="15" hidden="false" customHeight="false" outlineLevel="0" collapsed="false">
      <c r="B9069" s="53"/>
      <c r="I9069" s="53"/>
      <c r="U9069" s="31" t="n">
        <f aca="false">IF($B9069&lt;&gt;'設定（最初に1回）'!$C$4,N(U9068),IF(COUNTIFS(①今日の在庫を貼る!$B$6:$B$10005,$B9069,①今日の在庫を貼る!$I$6:$I$10005,$I9069)&gt;0,N(U9068),N(U9068)+1))</f>
        <v>2</v>
      </c>
    </row>
    <row r="9070" customFormat="false" ht="15" hidden="false" customHeight="false" outlineLevel="0" collapsed="false">
      <c r="B9070" s="53"/>
      <c r="I9070" s="53"/>
      <c r="U9070" s="31" t="n">
        <f aca="false">IF($B9070&lt;&gt;'設定（最初に1回）'!$C$4,N(U9069),IF(COUNTIFS(①今日の在庫を貼る!$B$6:$B$10005,$B9070,①今日の在庫を貼る!$I$6:$I$10005,$I9070)&gt;0,N(U9069),N(U9069)+1))</f>
        <v>2</v>
      </c>
    </row>
    <row r="9071" customFormat="false" ht="15" hidden="false" customHeight="false" outlineLevel="0" collapsed="false">
      <c r="B9071" s="53"/>
      <c r="I9071" s="53"/>
      <c r="U9071" s="31" t="n">
        <f aca="false">IF($B9071&lt;&gt;'設定（最初に1回）'!$C$4,N(U9070),IF(COUNTIFS(①今日の在庫を貼る!$B$6:$B$10005,$B9071,①今日の在庫を貼る!$I$6:$I$10005,$I9071)&gt;0,N(U9070),N(U9070)+1))</f>
        <v>2</v>
      </c>
    </row>
    <row r="9072" customFormat="false" ht="15" hidden="false" customHeight="false" outlineLevel="0" collapsed="false">
      <c r="B9072" s="53"/>
      <c r="I9072" s="53"/>
      <c r="U9072" s="31" t="n">
        <f aca="false">IF($B9072&lt;&gt;'設定（最初に1回）'!$C$4,N(U9071),IF(COUNTIFS(①今日の在庫を貼る!$B$6:$B$10005,$B9072,①今日の在庫を貼る!$I$6:$I$10005,$I9072)&gt;0,N(U9071),N(U9071)+1))</f>
        <v>2</v>
      </c>
    </row>
    <row r="9073" customFormat="false" ht="15" hidden="false" customHeight="false" outlineLevel="0" collapsed="false">
      <c r="B9073" s="53"/>
      <c r="I9073" s="53"/>
      <c r="U9073" s="31" t="n">
        <f aca="false">IF($B9073&lt;&gt;'設定（最初に1回）'!$C$4,N(U9072),IF(COUNTIFS(①今日の在庫を貼る!$B$6:$B$10005,$B9073,①今日の在庫を貼る!$I$6:$I$10005,$I9073)&gt;0,N(U9072),N(U9072)+1))</f>
        <v>2</v>
      </c>
    </row>
    <row r="9074" customFormat="false" ht="15" hidden="false" customHeight="false" outlineLevel="0" collapsed="false">
      <c r="B9074" s="53"/>
      <c r="I9074" s="53"/>
      <c r="U9074" s="31" t="n">
        <f aca="false">IF($B9074&lt;&gt;'設定（最初に1回）'!$C$4,N(U9073),IF(COUNTIFS(①今日の在庫を貼る!$B$6:$B$10005,$B9074,①今日の在庫を貼る!$I$6:$I$10005,$I9074)&gt;0,N(U9073),N(U9073)+1))</f>
        <v>2</v>
      </c>
    </row>
    <row r="9075" customFormat="false" ht="15" hidden="false" customHeight="false" outlineLevel="0" collapsed="false">
      <c r="B9075" s="53"/>
      <c r="I9075" s="53"/>
      <c r="U9075" s="31" t="n">
        <f aca="false">IF($B9075&lt;&gt;'設定（最初に1回）'!$C$4,N(U9074),IF(COUNTIFS(①今日の在庫を貼る!$B$6:$B$10005,$B9075,①今日の在庫を貼る!$I$6:$I$10005,$I9075)&gt;0,N(U9074),N(U9074)+1))</f>
        <v>2</v>
      </c>
    </row>
    <row r="9076" customFormat="false" ht="15" hidden="false" customHeight="false" outlineLevel="0" collapsed="false">
      <c r="B9076" s="53"/>
      <c r="I9076" s="53"/>
      <c r="U9076" s="31" t="n">
        <f aca="false">IF($B9076&lt;&gt;'設定（最初に1回）'!$C$4,N(U9075),IF(COUNTIFS(①今日の在庫を貼る!$B$6:$B$10005,$B9076,①今日の在庫を貼る!$I$6:$I$10005,$I9076)&gt;0,N(U9075),N(U9075)+1))</f>
        <v>2</v>
      </c>
    </row>
    <row r="9077" customFormat="false" ht="15" hidden="false" customHeight="false" outlineLevel="0" collapsed="false">
      <c r="B9077" s="53"/>
      <c r="I9077" s="53"/>
      <c r="U9077" s="31" t="n">
        <f aca="false">IF($B9077&lt;&gt;'設定（最初に1回）'!$C$4,N(U9076),IF(COUNTIFS(①今日の在庫を貼る!$B$6:$B$10005,$B9077,①今日の在庫を貼る!$I$6:$I$10005,$I9077)&gt;0,N(U9076),N(U9076)+1))</f>
        <v>2</v>
      </c>
    </row>
    <row r="9078" customFormat="false" ht="15" hidden="false" customHeight="false" outlineLevel="0" collapsed="false">
      <c r="B9078" s="53"/>
      <c r="I9078" s="53"/>
      <c r="U9078" s="31" t="n">
        <f aca="false">IF($B9078&lt;&gt;'設定（最初に1回）'!$C$4,N(U9077),IF(COUNTIFS(①今日の在庫を貼る!$B$6:$B$10005,$B9078,①今日の在庫を貼る!$I$6:$I$10005,$I9078)&gt;0,N(U9077),N(U9077)+1))</f>
        <v>2</v>
      </c>
    </row>
    <row r="9079" customFormat="false" ht="15" hidden="false" customHeight="false" outlineLevel="0" collapsed="false">
      <c r="B9079" s="53"/>
      <c r="I9079" s="53"/>
      <c r="U9079" s="31" t="n">
        <f aca="false">IF($B9079&lt;&gt;'設定（最初に1回）'!$C$4,N(U9078),IF(COUNTIFS(①今日の在庫を貼る!$B$6:$B$10005,$B9079,①今日の在庫を貼る!$I$6:$I$10005,$I9079)&gt;0,N(U9078),N(U9078)+1))</f>
        <v>2</v>
      </c>
    </row>
    <row r="9080" customFormat="false" ht="15" hidden="false" customHeight="false" outlineLevel="0" collapsed="false">
      <c r="B9080" s="53"/>
      <c r="I9080" s="53"/>
      <c r="U9080" s="31" t="n">
        <f aca="false">IF($B9080&lt;&gt;'設定（最初に1回）'!$C$4,N(U9079),IF(COUNTIFS(①今日の在庫を貼る!$B$6:$B$10005,$B9080,①今日の在庫を貼る!$I$6:$I$10005,$I9080)&gt;0,N(U9079),N(U9079)+1))</f>
        <v>2</v>
      </c>
    </row>
    <row r="9081" customFormat="false" ht="15" hidden="false" customHeight="false" outlineLevel="0" collapsed="false">
      <c r="B9081" s="53"/>
      <c r="I9081" s="53"/>
      <c r="U9081" s="31" t="n">
        <f aca="false">IF($B9081&lt;&gt;'設定（最初に1回）'!$C$4,N(U9080),IF(COUNTIFS(①今日の在庫を貼る!$B$6:$B$10005,$B9081,①今日の在庫を貼る!$I$6:$I$10005,$I9081)&gt;0,N(U9080),N(U9080)+1))</f>
        <v>2</v>
      </c>
    </row>
    <row r="9082" customFormat="false" ht="15" hidden="false" customHeight="false" outlineLevel="0" collapsed="false">
      <c r="B9082" s="53"/>
      <c r="I9082" s="53"/>
      <c r="U9082" s="31" t="n">
        <f aca="false">IF($B9082&lt;&gt;'設定（最初に1回）'!$C$4,N(U9081),IF(COUNTIFS(①今日の在庫を貼る!$B$6:$B$10005,$B9082,①今日の在庫を貼る!$I$6:$I$10005,$I9082)&gt;0,N(U9081),N(U9081)+1))</f>
        <v>2</v>
      </c>
    </row>
    <row r="9083" customFormat="false" ht="15" hidden="false" customHeight="false" outlineLevel="0" collapsed="false">
      <c r="B9083" s="53"/>
      <c r="I9083" s="53"/>
      <c r="U9083" s="31" t="n">
        <f aca="false">IF($B9083&lt;&gt;'設定（最初に1回）'!$C$4,N(U9082),IF(COUNTIFS(①今日の在庫を貼る!$B$6:$B$10005,$B9083,①今日の在庫を貼る!$I$6:$I$10005,$I9083)&gt;0,N(U9082),N(U9082)+1))</f>
        <v>2</v>
      </c>
    </row>
    <row r="9084" customFormat="false" ht="15" hidden="false" customHeight="false" outlineLevel="0" collapsed="false">
      <c r="B9084" s="53"/>
      <c r="I9084" s="53"/>
      <c r="U9084" s="31" t="n">
        <f aca="false">IF($B9084&lt;&gt;'設定（最初に1回）'!$C$4,N(U9083),IF(COUNTIFS(①今日の在庫を貼る!$B$6:$B$10005,$B9084,①今日の在庫を貼る!$I$6:$I$10005,$I9084)&gt;0,N(U9083),N(U9083)+1))</f>
        <v>2</v>
      </c>
    </row>
    <row r="9085" customFormat="false" ht="15" hidden="false" customHeight="false" outlineLevel="0" collapsed="false">
      <c r="B9085" s="53"/>
      <c r="I9085" s="53"/>
      <c r="U9085" s="31" t="n">
        <f aca="false">IF($B9085&lt;&gt;'設定（最初に1回）'!$C$4,N(U9084),IF(COUNTIFS(①今日の在庫を貼る!$B$6:$B$10005,$B9085,①今日の在庫を貼る!$I$6:$I$10005,$I9085)&gt;0,N(U9084),N(U9084)+1))</f>
        <v>2</v>
      </c>
    </row>
    <row r="9086" customFormat="false" ht="15" hidden="false" customHeight="false" outlineLevel="0" collapsed="false">
      <c r="B9086" s="53"/>
      <c r="I9086" s="53"/>
      <c r="U9086" s="31" t="n">
        <f aca="false">IF($B9086&lt;&gt;'設定（最初に1回）'!$C$4,N(U9085),IF(COUNTIFS(①今日の在庫を貼る!$B$6:$B$10005,$B9086,①今日の在庫を貼る!$I$6:$I$10005,$I9086)&gt;0,N(U9085),N(U9085)+1))</f>
        <v>2</v>
      </c>
    </row>
    <row r="9087" customFormat="false" ht="15" hidden="false" customHeight="false" outlineLevel="0" collapsed="false">
      <c r="B9087" s="53"/>
      <c r="I9087" s="53"/>
      <c r="U9087" s="31" t="n">
        <f aca="false">IF($B9087&lt;&gt;'設定（最初に1回）'!$C$4,N(U9086),IF(COUNTIFS(①今日の在庫を貼る!$B$6:$B$10005,$B9087,①今日の在庫を貼る!$I$6:$I$10005,$I9087)&gt;0,N(U9086),N(U9086)+1))</f>
        <v>2</v>
      </c>
    </row>
    <row r="9088" customFormat="false" ht="15" hidden="false" customHeight="false" outlineLevel="0" collapsed="false">
      <c r="B9088" s="53"/>
      <c r="I9088" s="53"/>
      <c r="U9088" s="31" t="n">
        <f aca="false">IF($B9088&lt;&gt;'設定（最初に1回）'!$C$4,N(U9087),IF(COUNTIFS(①今日の在庫を貼る!$B$6:$B$10005,$B9088,①今日の在庫を貼る!$I$6:$I$10005,$I9088)&gt;0,N(U9087),N(U9087)+1))</f>
        <v>2</v>
      </c>
    </row>
    <row r="9089" customFormat="false" ht="15" hidden="false" customHeight="false" outlineLevel="0" collapsed="false">
      <c r="B9089" s="53"/>
      <c r="I9089" s="53"/>
      <c r="U9089" s="31" t="n">
        <f aca="false">IF($B9089&lt;&gt;'設定（最初に1回）'!$C$4,N(U9088),IF(COUNTIFS(①今日の在庫を貼る!$B$6:$B$10005,$B9089,①今日の在庫を貼る!$I$6:$I$10005,$I9089)&gt;0,N(U9088),N(U9088)+1))</f>
        <v>2</v>
      </c>
    </row>
    <row r="9090" customFormat="false" ht="15" hidden="false" customHeight="false" outlineLevel="0" collapsed="false">
      <c r="B9090" s="53"/>
      <c r="I9090" s="53"/>
      <c r="U9090" s="31" t="n">
        <f aca="false">IF($B9090&lt;&gt;'設定（最初に1回）'!$C$4,N(U9089),IF(COUNTIFS(①今日の在庫を貼る!$B$6:$B$10005,$B9090,①今日の在庫を貼る!$I$6:$I$10005,$I9090)&gt;0,N(U9089),N(U9089)+1))</f>
        <v>2</v>
      </c>
    </row>
    <row r="9091" customFormat="false" ht="15" hidden="false" customHeight="false" outlineLevel="0" collapsed="false">
      <c r="B9091" s="53"/>
      <c r="I9091" s="53"/>
      <c r="U9091" s="31" t="n">
        <f aca="false">IF($B9091&lt;&gt;'設定（最初に1回）'!$C$4,N(U9090),IF(COUNTIFS(①今日の在庫を貼る!$B$6:$B$10005,$B9091,①今日の在庫を貼る!$I$6:$I$10005,$I9091)&gt;0,N(U9090),N(U9090)+1))</f>
        <v>2</v>
      </c>
    </row>
    <row r="9092" customFormat="false" ht="15" hidden="false" customHeight="false" outlineLevel="0" collapsed="false">
      <c r="B9092" s="53"/>
      <c r="I9092" s="53"/>
      <c r="U9092" s="31" t="n">
        <f aca="false">IF($B9092&lt;&gt;'設定（最初に1回）'!$C$4,N(U9091),IF(COUNTIFS(①今日の在庫を貼る!$B$6:$B$10005,$B9092,①今日の在庫を貼る!$I$6:$I$10005,$I9092)&gt;0,N(U9091),N(U9091)+1))</f>
        <v>2</v>
      </c>
    </row>
    <row r="9093" customFormat="false" ht="15" hidden="false" customHeight="false" outlineLevel="0" collapsed="false">
      <c r="B9093" s="53"/>
      <c r="I9093" s="53"/>
      <c r="U9093" s="31" t="n">
        <f aca="false">IF($B9093&lt;&gt;'設定（最初に1回）'!$C$4,N(U9092),IF(COUNTIFS(①今日の在庫を貼る!$B$6:$B$10005,$B9093,①今日の在庫を貼る!$I$6:$I$10005,$I9093)&gt;0,N(U9092),N(U9092)+1))</f>
        <v>2</v>
      </c>
    </row>
    <row r="9094" customFormat="false" ht="15" hidden="false" customHeight="false" outlineLevel="0" collapsed="false">
      <c r="B9094" s="53"/>
      <c r="I9094" s="53"/>
      <c r="U9094" s="31" t="n">
        <f aca="false">IF($B9094&lt;&gt;'設定（最初に1回）'!$C$4,N(U9093),IF(COUNTIFS(①今日の在庫を貼る!$B$6:$B$10005,$B9094,①今日の在庫を貼る!$I$6:$I$10005,$I9094)&gt;0,N(U9093),N(U9093)+1))</f>
        <v>2</v>
      </c>
    </row>
    <row r="9095" customFormat="false" ht="15" hidden="false" customHeight="false" outlineLevel="0" collapsed="false">
      <c r="B9095" s="53"/>
      <c r="I9095" s="53"/>
      <c r="U9095" s="31" t="n">
        <f aca="false">IF($B9095&lt;&gt;'設定（最初に1回）'!$C$4,N(U9094),IF(COUNTIFS(①今日の在庫を貼る!$B$6:$B$10005,$B9095,①今日の在庫を貼る!$I$6:$I$10005,$I9095)&gt;0,N(U9094),N(U9094)+1))</f>
        <v>2</v>
      </c>
    </row>
    <row r="9096" customFormat="false" ht="15" hidden="false" customHeight="false" outlineLevel="0" collapsed="false">
      <c r="B9096" s="53"/>
      <c r="I9096" s="53"/>
      <c r="U9096" s="31" t="n">
        <f aca="false">IF($B9096&lt;&gt;'設定（最初に1回）'!$C$4,N(U9095),IF(COUNTIFS(①今日の在庫を貼る!$B$6:$B$10005,$B9096,①今日の在庫を貼る!$I$6:$I$10005,$I9096)&gt;0,N(U9095),N(U9095)+1))</f>
        <v>2</v>
      </c>
    </row>
    <row r="9097" customFormat="false" ht="15" hidden="false" customHeight="false" outlineLevel="0" collapsed="false">
      <c r="B9097" s="53"/>
      <c r="I9097" s="53"/>
      <c r="U9097" s="31" t="n">
        <f aca="false">IF($B9097&lt;&gt;'設定（最初に1回）'!$C$4,N(U9096),IF(COUNTIFS(①今日の在庫を貼る!$B$6:$B$10005,$B9097,①今日の在庫を貼る!$I$6:$I$10005,$I9097)&gt;0,N(U9096),N(U9096)+1))</f>
        <v>2</v>
      </c>
    </row>
    <row r="9098" customFormat="false" ht="15" hidden="false" customHeight="false" outlineLevel="0" collapsed="false">
      <c r="B9098" s="53"/>
      <c r="I9098" s="53"/>
      <c r="U9098" s="31" t="n">
        <f aca="false">IF($B9098&lt;&gt;'設定（最初に1回）'!$C$4,N(U9097),IF(COUNTIFS(①今日の在庫を貼る!$B$6:$B$10005,$B9098,①今日の在庫を貼る!$I$6:$I$10005,$I9098)&gt;0,N(U9097),N(U9097)+1))</f>
        <v>2</v>
      </c>
    </row>
    <row r="9099" customFormat="false" ht="15" hidden="false" customHeight="false" outlineLevel="0" collapsed="false">
      <c r="B9099" s="53"/>
      <c r="I9099" s="53"/>
      <c r="U9099" s="31" t="n">
        <f aca="false">IF($B9099&lt;&gt;'設定（最初に1回）'!$C$4,N(U9098),IF(COUNTIFS(①今日の在庫を貼る!$B$6:$B$10005,$B9099,①今日の在庫を貼る!$I$6:$I$10005,$I9099)&gt;0,N(U9098),N(U9098)+1))</f>
        <v>2</v>
      </c>
    </row>
    <row r="9100" customFormat="false" ht="15" hidden="false" customHeight="false" outlineLevel="0" collapsed="false">
      <c r="B9100" s="53"/>
      <c r="I9100" s="53"/>
      <c r="U9100" s="31" t="n">
        <f aca="false">IF($B9100&lt;&gt;'設定（最初に1回）'!$C$4,N(U9099),IF(COUNTIFS(①今日の在庫を貼る!$B$6:$B$10005,$B9100,①今日の在庫を貼る!$I$6:$I$10005,$I9100)&gt;0,N(U9099),N(U9099)+1))</f>
        <v>2</v>
      </c>
    </row>
    <row r="9101" customFormat="false" ht="15" hidden="false" customHeight="false" outlineLevel="0" collapsed="false">
      <c r="B9101" s="53"/>
      <c r="I9101" s="53"/>
      <c r="U9101" s="31" t="n">
        <f aca="false">IF($B9101&lt;&gt;'設定（最初に1回）'!$C$4,N(U9100),IF(COUNTIFS(①今日の在庫を貼る!$B$6:$B$10005,$B9101,①今日の在庫を貼る!$I$6:$I$10005,$I9101)&gt;0,N(U9100),N(U9100)+1))</f>
        <v>2</v>
      </c>
    </row>
    <row r="9102" customFormat="false" ht="15" hidden="false" customHeight="false" outlineLevel="0" collapsed="false">
      <c r="B9102" s="53"/>
      <c r="I9102" s="53"/>
      <c r="U9102" s="31" t="n">
        <f aca="false">IF($B9102&lt;&gt;'設定（最初に1回）'!$C$4,N(U9101),IF(COUNTIFS(①今日の在庫を貼る!$B$6:$B$10005,$B9102,①今日の在庫を貼る!$I$6:$I$10005,$I9102)&gt;0,N(U9101),N(U9101)+1))</f>
        <v>2</v>
      </c>
    </row>
    <row r="9103" customFormat="false" ht="15" hidden="false" customHeight="false" outlineLevel="0" collapsed="false">
      <c r="B9103" s="53"/>
      <c r="I9103" s="53"/>
      <c r="U9103" s="31" t="n">
        <f aca="false">IF($B9103&lt;&gt;'設定（最初に1回）'!$C$4,N(U9102),IF(COUNTIFS(①今日の在庫を貼る!$B$6:$B$10005,$B9103,①今日の在庫を貼る!$I$6:$I$10005,$I9103)&gt;0,N(U9102),N(U9102)+1))</f>
        <v>2</v>
      </c>
    </row>
    <row r="9104" customFormat="false" ht="15" hidden="false" customHeight="false" outlineLevel="0" collapsed="false">
      <c r="B9104" s="53"/>
      <c r="I9104" s="53"/>
      <c r="U9104" s="31" t="n">
        <f aca="false">IF($B9104&lt;&gt;'設定（最初に1回）'!$C$4,N(U9103),IF(COUNTIFS(①今日の在庫を貼る!$B$6:$B$10005,$B9104,①今日の在庫を貼る!$I$6:$I$10005,$I9104)&gt;0,N(U9103),N(U9103)+1))</f>
        <v>2</v>
      </c>
    </row>
    <row r="9105" customFormat="false" ht="15" hidden="false" customHeight="false" outlineLevel="0" collapsed="false">
      <c r="B9105" s="53"/>
      <c r="I9105" s="53"/>
      <c r="U9105" s="31" t="n">
        <f aca="false">IF($B9105&lt;&gt;'設定（最初に1回）'!$C$4,N(U9104),IF(COUNTIFS(①今日の在庫を貼る!$B$6:$B$10005,$B9105,①今日の在庫を貼る!$I$6:$I$10005,$I9105)&gt;0,N(U9104),N(U9104)+1))</f>
        <v>2</v>
      </c>
    </row>
    <row r="9106" customFormat="false" ht="15" hidden="false" customHeight="false" outlineLevel="0" collapsed="false">
      <c r="B9106" s="53"/>
      <c r="I9106" s="53"/>
      <c r="U9106" s="31" t="n">
        <f aca="false">IF($B9106&lt;&gt;'設定（最初に1回）'!$C$4,N(U9105),IF(COUNTIFS(①今日の在庫を貼る!$B$6:$B$10005,$B9106,①今日の在庫を貼る!$I$6:$I$10005,$I9106)&gt;0,N(U9105),N(U9105)+1))</f>
        <v>2</v>
      </c>
    </row>
    <row r="9107" customFormat="false" ht="15" hidden="false" customHeight="false" outlineLevel="0" collapsed="false">
      <c r="B9107" s="53"/>
      <c r="I9107" s="53"/>
      <c r="U9107" s="31" t="n">
        <f aca="false">IF($B9107&lt;&gt;'設定（最初に1回）'!$C$4,N(U9106),IF(COUNTIFS(①今日の在庫を貼る!$B$6:$B$10005,$B9107,①今日の在庫を貼る!$I$6:$I$10005,$I9107)&gt;0,N(U9106),N(U9106)+1))</f>
        <v>2</v>
      </c>
    </row>
    <row r="9108" customFormat="false" ht="15" hidden="false" customHeight="false" outlineLevel="0" collapsed="false">
      <c r="B9108" s="53"/>
      <c r="I9108" s="53"/>
      <c r="U9108" s="31" t="n">
        <f aca="false">IF($B9108&lt;&gt;'設定（最初に1回）'!$C$4,N(U9107),IF(COUNTIFS(①今日の在庫を貼る!$B$6:$B$10005,$B9108,①今日の在庫を貼る!$I$6:$I$10005,$I9108)&gt;0,N(U9107),N(U9107)+1))</f>
        <v>2</v>
      </c>
    </row>
    <row r="9109" customFormat="false" ht="15" hidden="false" customHeight="false" outlineLevel="0" collapsed="false">
      <c r="B9109" s="53"/>
      <c r="I9109" s="53"/>
      <c r="U9109" s="31" t="n">
        <f aca="false">IF($B9109&lt;&gt;'設定（最初に1回）'!$C$4,N(U9108),IF(COUNTIFS(①今日の在庫を貼る!$B$6:$B$10005,$B9109,①今日の在庫を貼る!$I$6:$I$10005,$I9109)&gt;0,N(U9108),N(U9108)+1))</f>
        <v>2</v>
      </c>
    </row>
    <row r="9110" customFormat="false" ht="15" hidden="false" customHeight="false" outlineLevel="0" collapsed="false">
      <c r="B9110" s="53"/>
      <c r="I9110" s="53"/>
      <c r="U9110" s="31" t="n">
        <f aca="false">IF($B9110&lt;&gt;'設定（最初に1回）'!$C$4,N(U9109),IF(COUNTIFS(①今日の在庫を貼る!$B$6:$B$10005,$B9110,①今日の在庫を貼る!$I$6:$I$10005,$I9110)&gt;0,N(U9109),N(U9109)+1))</f>
        <v>2</v>
      </c>
    </row>
    <row r="9111" customFormat="false" ht="15" hidden="false" customHeight="false" outlineLevel="0" collapsed="false">
      <c r="B9111" s="53"/>
      <c r="I9111" s="53"/>
      <c r="U9111" s="31" t="n">
        <f aca="false">IF($B9111&lt;&gt;'設定（最初に1回）'!$C$4,N(U9110),IF(COUNTIFS(①今日の在庫を貼る!$B$6:$B$10005,$B9111,①今日の在庫を貼る!$I$6:$I$10005,$I9111)&gt;0,N(U9110),N(U9110)+1))</f>
        <v>2</v>
      </c>
    </row>
    <row r="9112" customFormat="false" ht="15" hidden="false" customHeight="false" outlineLevel="0" collapsed="false">
      <c r="B9112" s="53"/>
      <c r="I9112" s="53"/>
      <c r="U9112" s="31" t="n">
        <f aca="false">IF($B9112&lt;&gt;'設定（最初に1回）'!$C$4,N(U9111),IF(COUNTIFS(①今日の在庫を貼る!$B$6:$B$10005,$B9112,①今日の在庫を貼る!$I$6:$I$10005,$I9112)&gt;0,N(U9111),N(U9111)+1))</f>
        <v>2</v>
      </c>
    </row>
    <row r="9113" customFormat="false" ht="15" hidden="false" customHeight="false" outlineLevel="0" collapsed="false">
      <c r="B9113" s="53"/>
      <c r="I9113" s="53"/>
      <c r="U9113" s="31" t="n">
        <f aca="false">IF($B9113&lt;&gt;'設定（最初に1回）'!$C$4,N(U9112),IF(COUNTIFS(①今日の在庫を貼る!$B$6:$B$10005,$B9113,①今日の在庫を貼る!$I$6:$I$10005,$I9113)&gt;0,N(U9112),N(U9112)+1))</f>
        <v>2</v>
      </c>
    </row>
    <row r="9114" customFormat="false" ht="15" hidden="false" customHeight="false" outlineLevel="0" collapsed="false">
      <c r="B9114" s="53"/>
      <c r="I9114" s="53"/>
      <c r="U9114" s="31" t="n">
        <f aca="false">IF($B9114&lt;&gt;'設定（最初に1回）'!$C$4,N(U9113),IF(COUNTIFS(①今日の在庫を貼る!$B$6:$B$10005,$B9114,①今日の在庫を貼る!$I$6:$I$10005,$I9114)&gt;0,N(U9113),N(U9113)+1))</f>
        <v>2</v>
      </c>
    </row>
    <row r="9115" customFormat="false" ht="15" hidden="false" customHeight="false" outlineLevel="0" collapsed="false">
      <c r="B9115" s="53"/>
      <c r="I9115" s="53"/>
      <c r="U9115" s="31" t="n">
        <f aca="false">IF($B9115&lt;&gt;'設定（最初に1回）'!$C$4,N(U9114),IF(COUNTIFS(①今日の在庫を貼る!$B$6:$B$10005,$B9115,①今日の在庫を貼る!$I$6:$I$10005,$I9115)&gt;0,N(U9114),N(U9114)+1))</f>
        <v>2</v>
      </c>
    </row>
    <row r="9116" customFormat="false" ht="15" hidden="false" customHeight="false" outlineLevel="0" collapsed="false">
      <c r="B9116" s="53"/>
      <c r="I9116" s="53"/>
      <c r="U9116" s="31" t="n">
        <f aca="false">IF($B9116&lt;&gt;'設定（最初に1回）'!$C$4,N(U9115),IF(COUNTIFS(①今日の在庫を貼る!$B$6:$B$10005,$B9116,①今日の在庫を貼る!$I$6:$I$10005,$I9116)&gt;0,N(U9115),N(U9115)+1))</f>
        <v>2</v>
      </c>
    </row>
    <row r="9117" customFormat="false" ht="15" hidden="false" customHeight="false" outlineLevel="0" collapsed="false">
      <c r="B9117" s="53"/>
      <c r="I9117" s="53"/>
      <c r="U9117" s="31" t="n">
        <f aca="false">IF($B9117&lt;&gt;'設定（最初に1回）'!$C$4,N(U9116),IF(COUNTIFS(①今日の在庫を貼る!$B$6:$B$10005,$B9117,①今日の在庫を貼る!$I$6:$I$10005,$I9117)&gt;0,N(U9116),N(U9116)+1))</f>
        <v>2</v>
      </c>
    </row>
    <row r="9118" customFormat="false" ht="15" hidden="false" customHeight="false" outlineLevel="0" collapsed="false">
      <c r="B9118" s="53"/>
      <c r="I9118" s="53"/>
      <c r="U9118" s="31" t="n">
        <f aca="false">IF($B9118&lt;&gt;'設定（最初に1回）'!$C$4,N(U9117),IF(COUNTIFS(①今日の在庫を貼る!$B$6:$B$10005,$B9118,①今日の在庫を貼る!$I$6:$I$10005,$I9118)&gt;0,N(U9117),N(U9117)+1))</f>
        <v>2</v>
      </c>
    </row>
    <row r="9119" customFormat="false" ht="15" hidden="false" customHeight="false" outlineLevel="0" collapsed="false">
      <c r="B9119" s="53"/>
      <c r="I9119" s="53"/>
      <c r="U9119" s="31" t="n">
        <f aca="false">IF($B9119&lt;&gt;'設定（最初に1回）'!$C$4,N(U9118),IF(COUNTIFS(①今日の在庫を貼る!$B$6:$B$10005,$B9119,①今日の在庫を貼る!$I$6:$I$10005,$I9119)&gt;0,N(U9118),N(U9118)+1))</f>
        <v>2</v>
      </c>
    </row>
    <row r="9120" customFormat="false" ht="15" hidden="false" customHeight="false" outlineLevel="0" collapsed="false">
      <c r="B9120" s="53"/>
      <c r="I9120" s="53"/>
      <c r="U9120" s="31" t="n">
        <f aca="false">IF($B9120&lt;&gt;'設定（最初に1回）'!$C$4,N(U9119),IF(COUNTIFS(①今日の在庫を貼る!$B$6:$B$10005,$B9120,①今日の在庫を貼る!$I$6:$I$10005,$I9120)&gt;0,N(U9119),N(U9119)+1))</f>
        <v>2</v>
      </c>
    </row>
    <row r="9121" customFormat="false" ht="15" hidden="false" customHeight="false" outlineLevel="0" collapsed="false">
      <c r="B9121" s="53"/>
      <c r="I9121" s="53"/>
      <c r="U9121" s="31" t="n">
        <f aca="false">IF($B9121&lt;&gt;'設定（最初に1回）'!$C$4,N(U9120),IF(COUNTIFS(①今日の在庫を貼る!$B$6:$B$10005,$B9121,①今日の在庫を貼る!$I$6:$I$10005,$I9121)&gt;0,N(U9120),N(U9120)+1))</f>
        <v>2</v>
      </c>
    </row>
    <row r="9122" customFormat="false" ht="15" hidden="false" customHeight="false" outlineLevel="0" collapsed="false">
      <c r="B9122" s="53"/>
      <c r="I9122" s="53"/>
      <c r="U9122" s="31" t="n">
        <f aca="false">IF($B9122&lt;&gt;'設定（最初に1回）'!$C$4,N(U9121),IF(COUNTIFS(①今日の在庫を貼る!$B$6:$B$10005,$B9122,①今日の在庫を貼る!$I$6:$I$10005,$I9122)&gt;0,N(U9121),N(U9121)+1))</f>
        <v>2</v>
      </c>
    </row>
    <row r="9123" customFormat="false" ht="15" hidden="false" customHeight="false" outlineLevel="0" collapsed="false">
      <c r="B9123" s="53"/>
      <c r="I9123" s="53"/>
      <c r="U9123" s="31" t="n">
        <f aca="false">IF($B9123&lt;&gt;'設定（最初に1回）'!$C$4,N(U9122),IF(COUNTIFS(①今日の在庫を貼る!$B$6:$B$10005,$B9123,①今日の在庫を貼る!$I$6:$I$10005,$I9123)&gt;0,N(U9122),N(U9122)+1))</f>
        <v>2</v>
      </c>
    </row>
    <row r="9124" customFormat="false" ht="15" hidden="false" customHeight="false" outlineLevel="0" collapsed="false">
      <c r="B9124" s="53"/>
      <c r="I9124" s="53"/>
      <c r="U9124" s="31" t="n">
        <f aca="false">IF($B9124&lt;&gt;'設定（最初に1回）'!$C$4,N(U9123),IF(COUNTIFS(①今日の在庫を貼る!$B$6:$B$10005,$B9124,①今日の在庫を貼る!$I$6:$I$10005,$I9124)&gt;0,N(U9123),N(U9123)+1))</f>
        <v>2</v>
      </c>
    </row>
    <row r="9125" customFormat="false" ht="15" hidden="false" customHeight="false" outlineLevel="0" collapsed="false">
      <c r="B9125" s="53"/>
      <c r="I9125" s="53"/>
      <c r="U9125" s="31" t="n">
        <f aca="false">IF($B9125&lt;&gt;'設定（最初に1回）'!$C$4,N(U9124),IF(COUNTIFS(①今日の在庫を貼る!$B$6:$B$10005,$B9125,①今日の在庫を貼る!$I$6:$I$10005,$I9125)&gt;0,N(U9124),N(U9124)+1))</f>
        <v>2</v>
      </c>
    </row>
    <row r="9126" customFormat="false" ht="15" hidden="false" customHeight="false" outlineLevel="0" collapsed="false">
      <c r="B9126" s="53"/>
      <c r="I9126" s="53"/>
      <c r="U9126" s="31" t="n">
        <f aca="false">IF($B9126&lt;&gt;'設定（最初に1回）'!$C$4,N(U9125),IF(COUNTIFS(①今日の在庫を貼る!$B$6:$B$10005,$B9126,①今日の在庫を貼る!$I$6:$I$10005,$I9126)&gt;0,N(U9125),N(U9125)+1))</f>
        <v>2</v>
      </c>
    </row>
    <row r="9127" customFormat="false" ht="15" hidden="false" customHeight="false" outlineLevel="0" collapsed="false">
      <c r="B9127" s="53"/>
      <c r="I9127" s="53"/>
      <c r="U9127" s="31" t="n">
        <f aca="false">IF($B9127&lt;&gt;'設定（最初に1回）'!$C$4,N(U9126),IF(COUNTIFS(①今日の在庫を貼る!$B$6:$B$10005,$B9127,①今日の在庫を貼る!$I$6:$I$10005,$I9127)&gt;0,N(U9126),N(U9126)+1))</f>
        <v>2</v>
      </c>
    </row>
    <row r="9128" customFormat="false" ht="15" hidden="false" customHeight="false" outlineLevel="0" collapsed="false">
      <c r="B9128" s="53"/>
      <c r="I9128" s="53"/>
      <c r="U9128" s="31" t="n">
        <f aca="false">IF($B9128&lt;&gt;'設定（最初に1回）'!$C$4,N(U9127),IF(COUNTIFS(①今日の在庫を貼る!$B$6:$B$10005,$B9128,①今日の在庫を貼る!$I$6:$I$10005,$I9128)&gt;0,N(U9127),N(U9127)+1))</f>
        <v>2</v>
      </c>
    </row>
    <row r="9129" customFormat="false" ht="15" hidden="false" customHeight="false" outlineLevel="0" collapsed="false">
      <c r="B9129" s="53"/>
      <c r="I9129" s="53"/>
      <c r="U9129" s="31" t="n">
        <f aca="false">IF($B9129&lt;&gt;'設定（最初に1回）'!$C$4,N(U9128),IF(COUNTIFS(①今日の在庫を貼る!$B$6:$B$10005,$B9129,①今日の在庫を貼る!$I$6:$I$10005,$I9129)&gt;0,N(U9128),N(U9128)+1))</f>
        <v>2</v>
      </c>
    </row>
    <row r="9130" customFormat="false" ht="15" hidden="false" customHeight="false" outlineLevel="0" collapsed="false">
      <c r="B9130" s="53"/>
      <c r="I9130" s="53"/>
      <c r="U9130" s="31" t="n">
        <f aca="false">IF($B9130&lt;&gt;'設定（最初に1回）'!$C$4,N(U9129),IF(COUNTIFS(①今日の在庫を貼る!$B$6:$B$10005,$B9130,①今日の在庫を貼る!$I$6:$I$10005,$I9130)&gt;0,N(U9129),N(U9129)+1))</f>
        <v>2</v>
      </c>
    </row>
    <row r="9131" customFormat="false" ht="15" hidden="false" customHeight="false" outlineLevel="0" collapsed="false">
      <c r="B9131" s="53"/>
      <c r="I9131" s="53"/>
      <c r="U9131" s="31" t="n">
        <f aca="false">IF($B9131&lt;&gt;'設定（最初に1回）'!$C$4,N(U9130),IF(COUNTIFS(①今日の在庫を貼る!$B$6:$B$10005,$B9131,①今日の在庫を貼る!$I$6:$I$10005,$I9131)&gt;0,N(U9130),N(U9130)+1))</f>
        <v>2</v>
      </c>
    </row>
    <row r="9132" customFormat="false" ht="15" hidden="false" customHeight="false" outlineLevel="0" collapsed="false">
      <c r="B9132" s="53"/>
      <c r="I9132" s="53"/>
      <c r="U9132" s="31" t="n">
        <f aca="false">IF($B9132&lt;&gt;'設定（最初に1回）'!$C$4,N(U9131),IF(COUNTIFS(①今日の在庫を貼る!$B$6:$B$10005,$B9132,①今日の在庫を貼る!$I$6:$I$10005,$I9132)&gt;0,N(U9131),N(U9131)+1))</f>
        <v>2</v>
      </c>
    </row>
    <row r="9133" customFormat="false" ht="15" hidden="false" customHeight="false" outlineLevel="0" collapsed="false">
      <c r="B9133" s="53"/>
      <c r="I9133" s="53"/>
      <c r="U9133" s="31" t="n">
        <f aca="false">IF($B9133&lt;&gt;'設定（最初に1回）'!$C$4,N(U9132),IF(COUNTIFS(①今日の在庫を貼る!$B$6:$B$10005,$B9133,①今日の在庫を貼る!$I$6:$I$10005,$I9133)&gt;0,N(U9132),N(U9132)+1))</f>
        <v>2</v>
      </c>
    </row>
    <row r="9134" customFormat="false" ht="15" hidden="false" customHeight="false" outlineLevel="0" collapsed="false">
      <c r="B9134" s="53"/>
      <c r="I9134" s="53"/>
      <c r="U9134" s="31" t="n">
        <f aca="false">IF($B9134&lt;&gt;'設定（最初に1回）'!$C$4,N(U9133),IF(COUNTIFS(①今日の在庫を貼る!$B$6:$B$10005,$B9134,①今日の在庫を貼る!$I$6:$I$10005,$I9134)&gt;0,N(U9133),N(U9133)+1))</f>
        <v>2</v>
      </c>
    </row>
    <row r="9135" customFormat="false" ht="15" hidden="false" customHeight="false" outlineLevel="0" collapsed="false">
      <c r="B9135" s="53"/>
      <c r="I9135" s="53"/>
      <c r="U9135" s="31" t="n">
        <f aca="false">IF($B9135&lt;&gt;'設定（最初に1回）'!$C$4,N(U9134),IF(COUNTIFS(①今日の在庫を貼る!$B$6:$B$10005,$B9135,①今日の在庫を貼る!$I$6:$I$10005,$I9135)&gt;0,N(U9134),N(U9134)+1))</f>
        <v>2</v>
      </c>
    </row>
    <row r="9136" customFormat="false" ht="15" hidden="false" customHeight="false" outlineLevel="0" collapsed="false">
      <c r="B9136" s="53"/>
      <c r="I9136" s="53"/>
      <c r="U9136" s="31" t="n">
        <f aca="false">IF($B9136&lt;&gt;'設定（最初に1回）'!$C$4,N(U9135),IF(COUNTIFS(①今日の在庫を貼る!$B$6:$B$10005,$B9136,①今日の在庫を貼る!$I$6:$I$10005,$I9136)&gt;0,N(U9135),N(U9135)+1))</f>
        <v>2</v>
      </c>
    </row>
    <row r="9137" customFormat="false" ht="15" hidden="false" customHeight="false" outlineLevel="0" collapsed="false">
      <c r="B9137" s="53"/>
      <c r="I9137" s="53"/>
      <c r="U9137" s="31" t="n">
        <f aca="false">IF($B9137&lt;&gt;'設定（最初に1回）'!$C$4,N(U9136),IF(COUNTIFS(①今日の在庫を貼る!$B$6:$B$10005,$B9137,①今日の在庫を貼る!$I$6:$I$10005,$I9137)&gt;0,N(U9136),N(U9136)+1))</f>
        <v>2</v>
      </c>
    </row>
    <row r="9138" customFormat="false" ht="15" hidden="false" customHeight="false" outlineLevel="0" collapsed="false">
      <c r="B9138" s="53"/>
      <c r="I9138" s="53"/>
      <c r="U9138" s="31" t="n">
        <f aca="false">IF($B9138&lt;&gt;'設定（最初に1回）'!$C$4,N(U9137),IF(COUNTIFS(①今日の在庫を貼る!$B$6:$B$10005,$B9138,①今日の在庫を貼る!$I$6:$I$10005,$I9138)&gt;0,N(U9137),N(U9137)+1))</f>
        <v>2</v>
      </c>
    </row>
    <row r="9139" customFormat="false" ht="15" hidden="false" customHeight="false" outlineLevel="0" collapsed="false">
      <c r="B9139" s="53"/>
      <c r="I9139" s="53"/>
      <c r="U9139" s="31" t="n">
        <f aca="false">IF($B9139&lt;&gt;'設定（最初に1回）'!$C$4,N(U9138),IF(COUNTIFS(①今日の在庫を貼る!$B$6:$B$10005,$B9139,①今日の在庫を貼る!$I$6:$I$10005,$I9139)&gt;0,N(U9138),N(U9138)+1))</f>
        <v>2</v>
      </c>
    </row>
    <row r="9140" customFormat="false" ht="15" hidden="false" customHeight="false" outlineLevel="0" collapsed="false">
      <c r="B9140" s="53"/>
      <c r="I9140" s="53"/>
      <c r="U9140" s="31" t="n">
        <f aca="false">IF($B9140&lt;&gt;'設定（最初に1回）'!$C$4,N(U9139),IF(COUNTIFS(①今日の在庫を貼る!$B$6:$B$10005,$B9140,①今日の在庫を貼る!$I$6:$I$10005,$I9140)&gt;0,N(U9139),N(U9139)+1))</f>
        <v>2</v>
      </c>
    </row>
    <row r="9141" customFormat="false" ht="15" hidden="false" customHeight="false" outlineLevel="0" collapsed="false">
      <c r="B9141" s="53"/>
      <c r="I9141" s="53"/>
      <c r="U9141" s="31" t="n">
        <f aca="false">IF($B9141&lt;&gt;'設定（最初に1回）'!$C$4,N(U9140),IF(COUNTIFS(①今日の在庫を貼る!$B$6:$B$10005,$B9141,①今日の在庫を貼る!$I$6:$I$10005,$I9141)&gt;0,N(U9140),N(U9140)+1))</f>
        <v>2</v>
      </c>
    </row>
    <row r="9142" customFormat="false" ht="15" hidden="false" customHeight="false" outlineLevel="0" collapsed="false">
      <c r="B9142" s="53"/>
      <c r="I9142" s="53"/>
      <c r="U9142" s="31" t="n">
        <f aca="false">IF($B9142&lt;&gt;'設定（最初に1回）'!$C$4,N(U9141),IF(COUNTIFS(①今日の在庫を貼る!$B$6:$B$10005,$B9142,①今日の在庫を貼る!$I$6:$I$10005,$I9142)&gt;0,N(U9141),N(U9141)+1))</f>
        <v>2</v>
      </c>
    </row>
    <row r="9143" customFormat="false" ht="15" hidden="false" customHeight="false" outlineLevel="0" collapsed="false">
      <c r="B9143" s="53"/>
      <c r="I9143" s="53"/>
      <c r="U9143" s="31" t="n">
        <f aca="false">IF($B9143&lt;&gt;'設定（最初に1回）'!$C$4,N(U9142),IF(COUNTIFS(①今日の在庫を貼る!$B$6:$B$10005,$B9143,①今日の在庫を貼る!$I$6:$I$10005,$I9143)&gt;0,N(U9142),N(U9142)+1))</f>
        <v>2</v>
      </c>
    </row>
    <row r="9144" customFormat="false" ht="15" hidden="false" customHeight="false" outlineLevel="0" collapsed="false">
      <c r="B9144" s="53"/>
      <c r="I9144" s="53"/>
      <c r="U9144" s="31" t="n">
        <f aca="false">IF($B9144&lt;&gt;'設定（最初に1回）'!$C$4,N(U9143),IF(COUNTIFS(①今日の在庫を貼る!$B$6:$B$10005,$B9144,①今日の在庫を貼る!$I$6:$I$10005,$I9144)&gt;0,N(U9143),N(U9143)+1))</f>
        <v>2</v>
      </c>
    </row>
    <row r="9145" customFormat="false" ht="15" hidden="false" customHeight="false" outlineLevel="0" collapsed="false">
      <c r="B9145" s="53"/>
      <c r="I9145" s="53"/>
      <c r="U9145" s="31" t="n">
        <f aca="false">IF($B9145&lt;&gt;'設定（最初に1回）'!$C$4,N(U9144),IF(COUNTIFS(①今日の在庫を貼る!$B$6:$B$10005,$B9145,①今日の在庫を貼る!$I$6:$I$10005,$I9145)&gt;0,N(U9144),N(U9144)+1))</f>
        <v>2</v>
      </c>
    </row>
    <row r="9146" customFormat="false" ht="15" hidden="false" customHeight="false" outlineLevel="0" collapsed="false">
      <c r="B9146" s="53"/>
      <c r="I9146" s="53"/>
      <c r="U9146" s="31" t="n">
        <f aca="false">IF($B9146&lt;&gt;'設定（最初に1回）'!$C$4,N(U9145),IF(COUNTIFS(①今日の在庫を貼る!$B$6:$B$10005,$B9146,①今日の在庫を貼る!$I$6:$I$10005,$I9146)&gt;0,N(U9145),N(U9145)+1))</f>
        <v>2</v>
      </c>
    </row>
    <row r="9147" customFormat="false" ht="15" hidden="false" customHeight="false" outlineLevel="0" collapsed="false">
      <c r="B9147" s="53"/>
      <c r="I9147" s="53"/>
      <c r="U9147" s="31" t="n">
        <f aca="false">IF($B9147&lt;&gt;'設定（最初に1回）'!$C$4,N(U9146),IF(COUNTIFS(①今日の在庫を貼る!$B$6:$B$10005,$B9147,①今日の在庫を貼る!$I$6:$I$10005,$I9147)&gt;0,N(U9146),N(U9146)+1))</f>
        <v>2</v>
      </c>
    </row>
    <row r="9148" customFormat="false" ht="15" hidden="false" customHeight="false" outlineLevel="0" collapsed="false">
      <c r="B9148" s="53"/>
      <c r="I9148" s="53"/>
      <c r="U9148" s="31" t="n">
        <f aca="false">IF($B9148&lt;&gt;'設定（最初に1回）'!$C$4,N(U9147),IF(COUNTIFS(①今日の在庫を貼る!$B$6:$B$10005,$B9148,①今日の在庫を貼る!$I$6:$I$10005,$I9148)&gt;0,N(U9147),N(U9147)+1))</f>
        <v>2</v>
      </c>
    </row>
    <row r="9149" customFormat="false" ht="15" hidden="false" customHeight="false" outlineLevel="0" collapsed="false">
      <c r="B9149" s="53"/>
      <c r="I9149" s="53"/>
      <c r="U9149" s="31" t="n">
        <f aca="false">IF($B9149&lt;&gt;'設定（最初に1回）'!$C$4,N(U9148),IF(COUNTIFS(①今日の在庫を貼る!$B$6:$B$10005,$B9149,①今日の在庫を貼る!$I$6:$I$10005,$I9149)&gt;0,N(U9148),N(U9148)+1))</f>
        <v>2</v>
      </c>
    </row>
    <row r="9150" customFormat="false" ht="15" hidden="false" customHeight="false" outlineLevel="0" collapsed="false">
      <c r="B9150" s="53"/>
      <c r="I9150" s="53"/>
      <c r="U9150" s="31" t="n">
        <f aca="false">IF($B9150&lt;&gt;'設定（最初に1回）'!$C$4,N(U9149),IF(COUNTIFS(①今日の在庫を貼る!$B$6:$B$10005,$B9150,①今日の在庫を貼る!$I$6:$I$10005,$I9150)&gt;0,N(U9149),N(U9149)+1))</f>
        <v>2</v>
      </c>
    </row>
    <row r="9151" customFormat="false" ht="15" hidden="false" customHeight="false" outlineLevel="0" collapsed="false">
      <c r="B9151" s="53"/>
      <c r="I9151" s="53"/>
      <c r="U9151" s="31" t="n">
        <f aca="false">IF($B9151&lt;&gt;'設定（最初に1回）'!$C$4,N(U9150),IF(COUNTIFS(①今日の在庫を貼る!$B$6:$B$10005,$B9151,①今日の在庫を貼る!$I$6:$I$10005,$I9151)&gt;0,N(U9150),N(U9150)+1))</f>
        <v>2</v>
      </c>
    </row>
    <row r="9152" customFormat="false" ht="15" hidden="false" customHeight="false" outlineLevel="0" collapsed="false">
      <c r="B9152" s="53"/>
      <c r="I9152" s="53"/>
      <c r="U9152" s="31" t="n">
        <f aca="false">IF($B9152&lt;&gt;'設定（最初に1回）'!$C$4,N(U9151),IF(COUNTIFS(①今日の在庫を貼る!$B$6:$B$10005,$B9152,①今日の在庫を貼る!$I$6:$I$10005,$I9152)&gt;0,N(U9151),N(U9151)+1))</f>
        <v>2</v>
      </c>
    </row>
    <row r="9153" customFormat="false" ht="15" hidden="false" customHeight="false" outlineLevel="0" collapsed="false">
      <c r="B9153" s="53"/>
      <c r="I9153" s="53"/>
      <c r="U9153" s="31" t="n">
        <f aca="false">IF($B9153&lt;&gt;'設定（最初に1回）'!$C$4,N(U9152),IF(COUNTIFS(①今日の在庫を貼る!$B$6:$B$10005,$B9153,①今日の在庫を貼る!$I$6:$I$10005,$I9153)&gt;0,N(U9152),N(U9152)+1))</f>
        <v>2</v>
      </c>
    </row>
    <row r="9154" customFormat="false" ht="15" hidden="false" customHeight="false" outlineLevel="0" collapsed="false">
      <c r="B9154" s="53"/>
      <c r="I9154" s="53"/>
      <c r="U9154" s="31" t="n">
        <f aca="false">IF($B9154&lt;&gt;'設定（最初に1回）'!$C$4,N(U9153),IF(COUNTIFS(①今日の在庫を貼る!$B$6:$B$10005,$B9154,①今日の在庫を貼る!$I$6:$I$10005,$I9154)&gt;0,N(U9153),N(U9153)+1))</f>
        <v>2</v>
      </c>
    </row>
    <row r="9155" customFormat="false" ht="15" hidden="false" customHeight="false" outlineLevel="0" collapsed="false">
      <c r="B9155" s="53"/>
      <c r="I9155" s="53"/>
      <c r="U9155" s="31" t="n">
        <f aca="false">IF($B9155&lt;&gt;'設定（最初に1回）'!$C$4,N(U9154),IF(COUNTIFS(①今日の在庫を貼る!$B$6:$B$10005,$B9155,①今日の在庫を貼る!$I$6:$I$10005,$I9155)&gt;0,N(U9154),N(U9154)+1))</f>
        <v>2</v>
      </c>
    </row>
    <row r="9156" customFormat="false" ht="15" hidden="false" customHeight="false" outlineLevel="0" collapsed="false">
      <c r="B9156" s="53"/>
      <c r="I9156" s="53"/>
      <c r="U9156" s="31" t="n">
        <f aca="false">IF($B9156&lt;&gt;'設定（最初に1回）'!$C$4,N(U9155),IF(COUNTIFS(①今日の在庫を貼る!$B$6:$B$10005,$B9156,①今日の在庫を貼る!$I$6:$I$10005,$I9156)&gt;0,N(U9155),N(U9155)+1))</f>
        <v>2</v>
      </c>
    </row>
    <row r="9157" customFormat="false" ht="15" hidden="false" customHeight="false" outlineLevel="0" collapsed="false">
      <c r="B9157" s="53"/>
      <c r="I9157" s="53"/>
      <c r="U9157" s="31" t="n">
        <f aca="false">IF($B9157&lt;&gt;'設定（最初に1回）'!$C$4,N(U9156),IF(COUNTIFS(①今日の在庫を貼る!$B$6:$B$10005,$B9157,①今日の在庫を貼る!$I$6:$I$10005,$I9157)&gt;0,N(U9156),N(U9156)+1))</f>
        <v>2</v>
      </c>
    </row>
    <row r="9158" customFormat="false" ht="15" hidden="false" customHeight="false" outlineLevel="0" collapsed="false">
      <c r="B9158" s="53"/>
      <c r="I9158" s="53"/>
      <c r="U9158" s="31" t="n">
        <f aca="false">IF($B9158&lt;&gt;'設定（最初に1回）'!$C$4,N(U9157),IF(COUNTIFS(①今日の在庫を貼る!$B$6:$B$10005,$B9158,①今日の在庫を貼る!$I$6:$I$10005,$I9158)&gt;0,N(U9157),N(U9157)+1))</f>
        <v>2</v>
      </c>
    </row>
    <row r="9159" customFormat="false" ht="15" hidden="false" customHeight="false" outlineLevel="0" collapsed="false">
      <c r="B9159" s="53"/>
      <c r="I9159" s="53"/>
      <c r="U9159" s="31" t="n">
        <f aca="false">IF($B9159&lt;&gt;'設定（最初に1回）'!$C$4,N(U9158),IF(COUNTIFS(①今日の在庫を貼る!$B$6:$B$10005,$B9159,①今日の在庫を貼る!$I$6:$I$10005,$I9159)&gt;0,N(U9158),N(U9158)+1))</f>
        <v>2</v>
      </c>
    </row>
    <row r="9160" customFormat="false" ht="15" hidden="false" customHeight="false" outlineLevel="0" collapsed="false">
      <c r="B9160" s="53"/>
      <c r="I9160" s="53"/>
      <c r="U9160" s="31" t="n">
        <f aca="false">IF($B9160&lt;&gt;'設定（最初に1回）'!$C$4,N(U9159),IF(COUNTIFS(①今日の在庫を貼る!$B$6:$B$10005,$B9160,①今日の在庫を貼る!$I$6:$I$10005,$I9160)&gt;0,N(U9159),N(U9159)+1))</f>
        <v>2</v>
      </c>
    </row>
    <row r="9161" customFormat="false" ht="15" hidden="false" customHeight="false" outlineLevel="0" collapsed="false">
      <c r="B9161" s="53"/>
      <c r="I9161" s="53"/>
      <c r="U9161" s="31" t="n">
        <f aca="false">IF($B9161&lt;&gt;'設定（最初に1回）'!$C$4,N(U9160),IF(COUNTIFS(①今日の在庫を貼る!$B$6:$B$10005,$B9161,①今日の在庫を貼る!$I$6:$I$10005,$I9161)&gt;0,N(U9160),N(U9160)+1))</f>
        <v>2</v>
      </c>
    </row>
    <row r="9162" customFormat="false" ht="15" hidden="false" customHeight="false" outlineLevel="0" collapsed="false">
      <c r="B9162" s="53"/>
      <c r="I9162" s="53"/>
      <c r="U9162" s="31" t="n">
        <f aca="false">IF($B9162&lt;&gt;'設定（最初に1回）'!$C$4,N(U9161),IF(COUNTIFS(①今日の在庫を貼る!$B$6:$B$10005,$B9162,①今日の在庫を貼る!$I$6:$I$10005,$I9162)&gt;0,N(U9161),N(U9161)+1))</f>
        <v>2</v>
      </c>
    </row>
    <row r="9163" customFormat="false" ht="15" hidden="false" customHeight="false" outlineLevel="0" collapsed="false">
      <c r="B9163" s="53"/>
      <c r="I9163" s="53"/>
      <c r="U9163" s="31" t="n">
        <f aca="false">IF($B9163&lt;&gt;'設定（最初に1回）'!$C$4,N(U9162),IF(COUNTIFS(①今日の在庫を貼る!$B$6:$B$10005,$B9163,①今日の在庫を貼る!$I$6:$I$10005,$I9163)&gt;0,N(U9162),N(U9162)+1))</f>
        <v>2</v>
      </c>
    </row>
    <row r="9164" customFormat="false" ht="15" hidden="false" customHeight="false" outlineLevel="0" collapsed="false">
      <c r="B9164" s="53"/>
      <c r="I9164" s="53"/>
      <c r="U9164" s="31" t="n">
        <f aca="false">IF($B9164&lt;&gt;'設定（最初に1回）'!$C$4,N(U9163),IF(COUNTIFS(①今日の在庫を貼る!$B$6:$B$10005,$B9164,①今日の在庫を貼る!$I$6:$I$10005,$I9164)&gt;0,N(U9163),N(U9163)+1))</f>
        <v>2</v>
      </c>
    </row>
    <row r="9165" customFormat="false" ht="15" hidden="false" customHeight="false" outlineLevel="0" collapsed="false">
      <c r="B9165" s="53"/>
      <c r="I9165" s="53"/>
      <c r="U9165" s="31" t="n">
        <f aca="false">IF($B9165&lt;&gt;'設定（最初に1回）'!$C$4,N(U9164),IF(COUNTIFS(①今日の在庫を貼る!$B$6:$B$10005,$B9165,①今日の在庫を貼る!$I$6:$I$10005,$I9165)&gt;0,N(U9164),N(U9164)+1))</f>
        <v>2</v>
      </c>
    </row>
    <row r="9166" customFormat="false" ht="15" hidden="false" customHeight="false" outlineLevel="0" collapsed="false">
      <c r="B9166" s="53"/>
      <c r="I9166" s="53"/>
      <c r="U9166" s="31" t="n">
        <f aca="false">IF($B9166&lt;&gt;'設定（最初に1回）'!$C$4,N(U9165),IF(COUNTIFS(①今日の在庫を貼る!$B$6:$B$10005,$B9166,①今日の在庫を貼る!$I$6:$I$10005,$I9166)&gt;0,N(U9165),N(U9165)+1))</f>
        <v>2</v>
      </c>
    </row>
    <row r="9167" customFormat="false" ht="15" hidden="false" customHeight="false" outlineLevel="0" collapsed="false">
      <c r="B9167" s="53"/>
      <c r="I9167" s="53"/>
      <c r="U9167" s="31" t="n">
        <f aca="false">IF($B9167&lt;&gt;'設定（最初に1回）'!$C$4,N(U9166),IF(COUNTIFS(①今日の在庫を貼る!$B$6:$B$10005,$B9167,①今日の在庫を貼る!$I$6:$I$10005,$I9167)&gt;0,N(U9166),N(U9166)+1))</f>
        <v>2</v>
      </c>
    </row>
    <row r="9168" customFormat="false" ht="15" hidden="false" customHeight="false" outlineLevel="0" collapsed="false">
      <c r="B9168" s="53"/>
      <c r="I9168" s="53"/>
      <c r="U9168" s="31" t="n">
        <f aca="false">IF($B9168&lt;&gt;'設定（最初に1回）'!$C$4,N(U9167),IF(COUNTIFS(①今日の在庫を貼る!$B$6:$B$10005,$B9168,①今日の在庫を貼る!$I$6:$I$10005,$I9168)&gt;0,N(U9167),N(U9167)+1))</f>
        <v>2</v>
      </c>
    </row>
    <row r="9169" customFormat="false" ht="15" hidden="false" customHeight="false" outlineLevel="0" collapsed="false">
      <c r="B9169" s="53"/>
      <c r="I9169" s="53"/>
      <c r="U9169" s="31" t="n">
        <f aca="false">IF($B9169&lt;&gt;'設定（最初に1回）'!$C$4,N(U9168),IF(COUNTIFS(①今日の在庫を貼る!$B$6:$B$10005,$B9169,①今日の在庫を貼る!$I$6:$I$10005,$I9169)&gt;0,N(U9168),N(U9168)+1))</f>
        <v>2</v>
      </c>
    </row>
    <row r="9170" customFormat="false" ht="15" hidden="false" customHeight="false" outlineLevel="0" collapsed="false">
      <c r="B9170" s="53"/>
      <c r="I9170" s="53"/>
      <c r="U9170" s="31" t="n">
        <f aca="false">IF($B9170&lt;&gt;'設定（最初に1回）'!$C$4,N(U9169),IF(COUNTIFS(①今日の在庫を貼る!$B$6:$B$10005,$B9170,①今日の在庫を貼る!$I$6:$I$10005,$I9170)&gt;0,N(U9169),N(U9169)+1))</f>
        <v>2</v>
      </c>
    </row>
    <row r="9171" customFormat="false" ht="15" hidden="false" customHeight="false" outlineLevel="0" collapsed="false">
      <c r="B9171" s="53"/>
      <c r="I9171" s="53"/>
      <c r="U9171" s="31" t="n">
        <f aca="false">IF($B9171&lt;&gt;'設定（最初に1回）'!$C$4,N(U9170),IF(COUNTIFS(①今日の在庫を貼る!$B$6:$B$10005,$B9171,①今日の在庫を貼る!$I$6:$I$10005,$I9171)&gt;0,N(U9170),N(U9170)+1))</f>
        <v>2</v>
      </c>
    </row>
    <row r="9172" customFormat="false" ht="15" hidden="false" customHeight="false" outlineLevel="0" collapsed="false">
      <c r="B9172" s="53"/>
      <c r="I9172" s="53"/>
      <c r="U9172" s="31" t="n">
        <f aca="false">IF($B9172&lt;&gt;'設定（最初に1回）'!$C$4,N(U9171),IF(COUNTIFS(①今日の在庫を貼る!$B$6:$B$10005,$B9172,①今日の在庫を貼る!$I$6:$I$10005,$I9172)&gt;0,N(U9171),N(U9171)+1))</f>
        <v>2</v>
      </c>
    </row>
    <row r="9173" customFormat="false" ht="15" hidden="false" customHeight="false" outlineLevel="0" collapsed="false">
      <c r="B9173" s="53"/>
      <c r="I9173" s="53"/>
      <c r="U9173" s="31" t="n">
        <f aca="false">IF($B9173&lt;&gt;'設定（最初に1回）'!$C$4,N(U9172),IF(COUNTIFS(①今日の在庫を貼る!$B$6:$B$10005,$B9173,①今日の在庫を貼る!$I$6:$I$10005,$I9173)&gt;0,N(U9172),N(U9172)+1))</f>
        <v>2</v>
      </c>
    </row>
    <row r="9174" customFormat="false" ht="15" hidden="false" customHeight="false" outlineLevel="0" collapsed="false">
      <c r="B9174" s="53"/>
      <c r="I9174" s="53"/>
      <c r="U9174" s="31" t="n">
        <f aca="false">IF($B9174&lt;&gt;'設定（最初に1回）'!$C$4,N(U9173),IF(COUNTIFS(①今日の在庫を貼る!$B$6:$B$10005,$B9174,①今日の在庫を貼る!$I$6:$I$10005,$I9174)&gt;0,N(U9173),N(U9173)+1))</f>
        <v>2</v>
      </c>
    </row>
    <row r="9175" customFormat="false" ht="15" hidden="false" customHeight="false" outlineLevel="0" collapsed="false">
      <c r="B9175" s="53"/>
      <c r="I9175" s="53"/>
      <c r="U9175" s="31" t="n">
        <f aca="false">IF($B9175&lt;&gt;'設定（最初に1回）'!$C$4,N(U9174),IF(COUNTIFS(①今日の在庫を貼る!$B$6:$B$10005,$B9175,①今日の在庫を貼る!$I$6:$I$10005,$I9175)&gt;0,N(U9174),N(U9174)+1))</f>
        <v>2</v>
      </c>
    </row>
    <row r="9176" customFormat="false" ht="15" hidden="false" customHeight="false" outlineLevel="0" collapsed="false">
      <c r="B9176" s="53"/>
      <c r="I9176" s="53"/>
      <c r="U9176" s="31" t="n">
        <f aca="false">IF($B9176&lt;&gt;'設定（最初に1回）'!$C$4,N(U9175),IF(COUNTIFS(①今日の在庫を貼る!$B$6:$B$10005,$B9176,①今日の在庫を貼る!$I$6:$I$10005,$I9176)&gt;0,N(U9175),N(U9175)+1))</f>
        <v>2</v>
      </c>
    </row>
    <row r="9177" customFormat="false" ht="15" hidden="false" customHeight="false" outlineLevel="0" collapsed="false">
      <c r="B9177" s="53"/>
      <c r="I9177" s="53"/>
      <c r="U9177" s="31" t="n">
        <f aca="false">IF($B9177&lt;&gt;'設定（最初に1回）'!$C$4,N(U9176),IF(COUNTIFS(①今日の在庫を貼る!$B$6:$B$10005,$B9177,①今日の在庫を貼る!$I$6:$I$10005,$I9177)&gt;0,N(U9176),N(U9176)+1))</f>
        <v>2</v>
      </c>
    </row>
    <row r="9178" customFormat="false" ht="15" hidden="false" customHeight="false" outlineLevel="0" collapsed="false">
      <c r="B9178" s="53"/>
      <c r="I9178" s="53"/>
      <c r="U9178" s="31" t="n">
        <f aca="false">IF($B9178&lt;&gt;'設定（最初に1回）'!$C$4,N(U9177),IF(COUNTIFS(①今日の在庫を貼る!$B$6:$B$10005,$B9178,①今日の在庫を貼る!$I$6:$I$10005,$I9178)&gt;0,N(U9177),N(U9177)+1))</f>
        <v>2</v>
      </c>
    </row>
    <row r="9179" customFormat="false" ht="15" hidden="false" customHeight="false" outlineLevel="0" collapsed="false">
      <c r="B9179" s="53"/>
      <c r="I9179" s="53"/>
      <c r="U9179" s="31" t="n">
        <f aca="false">IF($B9179&lt;&gt;'設定（最初に1回）'!$C$4,N(U9178),IF(COUNTIFS(①今日の在庫を貼る!$B$6:$B$10005,$B9179,①今日の在庫を貼る!$I$6:$I$10005,$I9179)&gt;0,N(U9178),N(U9178)+1))</f>
        <v>2</v>
      </c>
    </row>
    <row r="9180" customFormat="false" ht="15" hidden="false" customHeight="false" outlineLevel="0" collapsed="false">
      <c r="B9180" s="53"/>
      <c r="I9180" s="53"/>
      <c r="U9180" s="31" t="n">
        <f aca="false">IF($B9180&lt;&gt;'設定（最初に1回）'!$C$4,N(U9179),IF(COUNTIFS(①今日の在庫を貼る!$B$6:$B$10005,$B9180,①今日の在庫を貼る!$I$6:$I$10005,$I9180)&gt;0,N(U9179),N(U9179)+1))</f>
        <v>2</v>
      </c>
    </row>
    <row r="9181" customFormat="false" ht="15" hidden="false" customHeight="false" outlineLevel="0" collapsed="false">
      <c r="B9181" s="53"/>
      <c r="I9181" s="53"/>
      <c r="U9181" s="31" t="n">
        <f aca="false">IF($B9181&lt;&gt;'設定（最初に1回）'!$C$4,N(U9180),IF(COUNTIFS(①今日の在庫を貼る!$B$6:$B$10005,$B9181,①今日の在庫を貼る!$I$6:$I$10005,$I9181)&gt;0,N(U9180),N(U9180)+1))</f>
        <v>2</v>
      </c>
    </row>
    <row r="9182" customFormat="false" ht="15" hidden="false" customHeight="false" outlineLevel="0" collapsed="false">
      <c r="B9182" s="53"/>
      <c r="I9182" s="53"/>
      <c r="U9182" s="31" t="n">
        <f aca="false">IF($B9182&lt;&gt;'設定（最初に1回）'!$C$4,N(U9181),IF(COUNTIFS(①今日の在庫を貼る!$B$6:$B$10005,$B9182,①今日の在庫を貼る!$I$6:$I$10005,$I9182)&gt;0,N(U9181),N(U9181)+1))</f>
        <v>2</v>
      </c>
    </row>
    <row r="9183" customFormat="false" ht="15" hidden="false" customHeight="false" outlineLevel="0" collapsed="false">
      <c r="B9183" s="53"/>
      <c r="I9183" s="53"/>
      <c r="U9183" s="31" t="n">
        <f aca="false">IF($B9183&lt;&gt;'設定（最初に1回）'!$C$4,N(U9182),IF(COUNTIFS(①今日の在庫を貼る!$B$6:$B$10005,$B9183,①今日の在庫を貼る!$I$6:$I$10005,$I9183)&gt;0,N(U9182),N(U9182)+1))</f>
        <v>2</v>
      </c>
    </row>
    <row r="9184" customFormat="false" ht="15" hidden="false" customHeight="false" outlineLevel="0" collapsed="false">
      <c r="B9184" s="53"/>
      <c r="I9184" s="53"/>
      <c r="U9184" s="31" t="n">
        <f aca="false">IF($B9184&lt;&gt;'設定（最初に1回）'!$C$4,N(U9183),IF(COUNTIFS(①今日の在庫を貼る!$B$6:$B$10005,$B9184,①今日の在庫を貼る!$I$6:$I$10005,$I9184)&gt;0,N(U9183),N(U9183)+1))</f>
        <v>2</v>
      </c>
    </row>
    <row r="9185" customFormat="false" ht="15" hidden="false" customHeight="false" outlineLevel="0" collapsed="false">
      <c r="B9185" s="53"/>
      <c r="I9185" s="53"/>
      <c r="U9185" s="31" t="n">
        <f aca="false">IF($B9185&lt;&gt;'設定（最初に1回）'!$C$4,N(U9184),IF(COUNTIFS(①今日の在庫を貼る!$B$6:$B$10005,$B9185,①今日の在庫を貼る!$I$6:$I$10005,$I9185)&gt;0,N(U9184),N(U9184)+1))</f>
        <v>2</v>
      </c>
    </row>
    <row r="9186" customFormat="false" ht="15" hidden="false" customHeight="false" outlineLevel="0" collapsed="false">
      <c r="B9186" s="53"/>
      <c r="I9186" s="53"/>
      <c r="U9186" s="31" t="n">
        <f aca="false">IF($B9186&lt;&gt;'設定（最初に1回）'!$C$4,N(U9185),IF(COUNTIFS(①今日の在庫を貼る!$B$6:$B$10005,$B9186,①今日の在庫を貼る!$I$6:$I$10005,$I9186)&gt;0,N(U9185),N(U9185)+1))</f>
        <v>2</v>
      </c>
    </row>
    <row r="9187" customFormat="false" ht="15" hidden="false" customHeight="false" outlineLevel="0" collapsed="false">
      <c r="B9187" s="53"/>
      <c r="I9187" s="53"/>
      <c r="U9187" s="31" t="n">
        <f aca="false">IF($B9187&lt;&gt;'設定（最初に1回）'!$C$4,N(U9186),IF(COUNTIFS(①今日の在庫を貼る!$B$6:$B$10005,$B9187,①今日の在庫を貼る!$I$6:$I$10005,$I9187)&gt;0,N(U9186),N(U9186)+1))</f>
        <v>2</v>
      </c>
    </row>
    <row r="9188" customFormat="false" ht="15" hidden="false" customHeight="false" outlineLevel="0" collapsed="false">
      <c r="B9188" s="53"/>
      <c r="I9188" s="53"/>
      <c r="U9188" s="31" t="n">
        <f aca="false">IF($B9188&lt;&gt;'設定（最初に1回）'!$C$4,N(U9187),IF(COUNTIFS(①今日の在庫を貼る!$B$6:$B$10005,$B9188,①今日の在庫を貼る!$I$6:$I$10005,$I9188)&gt;0,N(U9187),N(U9187)+1))</f>
        <v>2</v>
      </c>
    </row>
    <row r="9189" customFormat="false" ht="15" hidden="false" customHeight="false" outlineLevel="0" collapsed="false">
      <c r="B9189" s="53"/>
      <c r="I9189" s="53"/>
      <c r="U9189" s="31" t="n">
        <f aca="false">IF($B9189&lt;&gt;'設定（最初に1回）'!$C$4,N(U9188),IF(COUNTIFS(①今日の在庫を貼る!$B$6:$B$10005,$B9189,①今日の在庫を貼る!$I$6:$I$10005,$I9189)&gt;0,N(U9188),N(U9188)+1))</f>
        <v>2</v>
      </c>
    </row>
    <row r="9190" customFormat="false" ht="15" hidden="false" customHeight="false" outlineLevel="0" collapsed="false">
      <c r="B9190" s="53"/>
      <c r="I9190" s="53"/>
      <c r="U9190" s="31" t="n">
        <f aca="false">IF($B9190&lt;&gt;'設定（最初に1回）'!$C$4,N(U9189),IF(COUNTIFS(①今日の在庫を貼る!$B$6:$B$10005,$B9190,①今日の在庫を貼る!$I$6:$I$10005,$I9190)&gt;0,N(U9189),N(U9189)+1))</f>
        <v>2</v>
      </c>
    </row>
    <row r="9191" customFormat="false" ht="15" hidden="false" customHeight="false" outlineLevel="0" collapsed="false">
      <c r="B9191" s="53"/>
      <c r="I9191" s="53"/>
      <c r="U9191" s="31" t="n">
        <f aca="false">IF($B9191&lt;&gt;'設定（最初に1回）'!$C$4,N(U9190),IF(COUNTIFS(①今日の在庫を貼る!$B$6:$B$10005,$B9191,①今日の在庫を貼る!$I$6:$I$10005,$I9191)&gt;0,N(U9190),N(U9190)+1))</f>
        <v>2</v>
      </c>
    </row>
    <row r="9192" customFormat="false" ht="15" hidden="false" customHeight="false" outlineLevel="0" collapsed="false">
      <c r="B9192" s="53"/>
      <c r="I9192" s="53"/>
      <c r="U9192" s="31" t="n">
        <f aca="false">IF($B9192&lt;&gt;'設定（最初に1回）'!$C$4,N(U9191),IF(COUNTIFS(①今日の在庫を貼る!$B$6:$B$10005,$B9192,①今日の在庫を貼る!$I$6:$I$10005,$I9192)&gt;0,N(U9191),N(U9191)+1))</f>
        <v>2</v>
      </c>
    </row>
    <row r="9193" customFormat="false" ht="15" hidden="false" customHeight="false" outlineLevel="0" collapsed="false">
      <c r="B9193" s="53"/>
      <c r="I9193" s="53"/>
      <c r="U9193" s="31" t="n">
        <f aca="false">IF($B9193&lt;&gt;'設定（最初に1回）'!$C$4,N(U9192),IF(COUNTIFS(①今日の在庫を貼る!$B$6:$B$10005,$B9193,①今日の在庫を貼る!$I$6:$I$10005,$I9193)&gt;0,N(U9192),N(U9192)+1))</f>
        <v>2</v>
      </c>
    </row>
    <row r="9194" customFormat="false" ht="15" hidden="false" customHeight="false" outlineLevel="0" collapsed="false">
      <c r="B9194" s="53"/>
      <c r="I9194" s="53"/>
      <c r="U9194" s="31" t="n">
        <f aca="false">IF($B9194&lt;&gt;'設定（最初に1回）'!$C$4,N(U9193),IF(COUNTIFS(①今日の在庫を貼る!$B$6:$B$10005,$B9194,①今日の在庫を貼る!$I$6:$I$10005,$I9194)&gt;0,N(U9193),N(U9193)+1))</f>
        <v>2</v>
      </c>
    </row>
    <row r="9195" customFormat="false" ht="15" hidden="false" customHeight="false" outlineLevel="0" collapsed="false">
      <c r="B9195" s="53"/>
      <c r="I9195" s="53"/>
      <c r="U9195" s="31" t="n">
        <f aca="false">IF($B9195&lt;&gt;'設定（最初に1回）'!$C$4,N(U9194),IF(COUNTIFS(①今日の在庫を貼る!$B$6:$B$10005,$B9195,①今日の在庫を貼る!$I$6:$I$10005,$I9195)&gt;0,N(U9194),N(U9194)+1))</f>
        <v>2</v>
      </c>
    </row>
    <row r="9196" customFormat="false" ht="15" hidden="false" customHeight="false" outlineLevel="0" collapsed="false">
      <c r="B9196" s="53"/>
      <c r="I9196" s="53"/>
      <c r="U9196" s="31" t="n">
        <f aca="false">IF($B9196&lt;&gt;'設定（最初に1回）'!$C$4,N(U9195),IF(COUNTIFS(①今日の在庫を貼る!$B$6:$B$10005,$B9196,①今日の在庫を貼る!$I$6:$I$10005,$I9196)&gt;0,N(U9195),N(U9195)+1))</f>
        <v>2</v>
      </c>
    </row>
    <row r="9197" customFormat="false" ht="15" hidden="false" customHeight="false" outlineLevel="0" collapsed="false">
      <c r="B9197" s="53"/>
      <c r="I9197" s="53"/>
      <c r="U9197" s="31" t="n">
        <f aca="false">IF($B9197&lt;&gt;'設定（最初に1回）'!$C$4,N(U9196),IF(COUNTIFS(①今日の在庫を貼る!$B$6:$B$10005,$B9197,①今日の在庫を貼る!$I$6:$I$10005,$I9197)&gt;0,N(U9196),N(U9196)+1))</f>
        <v>2</v>
      </c>
    </row>
    <row r="9198" customFormat="false" ht="15" hidden="false" customHeight="false" outlineLevel="0" collapsed="false">
      <c r="B9198" s="53"/>
      <c r="I9198" s="53"/>
      <c r="U9198" s="31" t="n">
        <f aca="false">IF($B9198&lt;&gt;'設定（最初に1回）'!$C$4,N(U9197),IF(COUNTIFS(①今日の在庫を貼る!$B$6:$B$10005,$B9198,①今日の在庫を貼る!$I$6:$I$10005,$I9198)&gt;0,N(U9197),N(U9197)+1))</f>
        <v>2</v>
      </c>
    </row>
    <row r="9199" customFormat="false" ht="15" hidden="false" customHeight="false" outlineLevel="0" collapsed="false">
      <c r="B9199" s="53"/>
      <c r="I9199" s="53"/>
      <c r="U9199" s="31" t="n">
        <f aca="false">IF($B9199&lt;&gt;'設定（最初に1回）'!$C$4,N(U9198),IF(COUNTIFS(①今日の在庫を貼る!$B$6:$B$10005,$B9199,①今日の在庫を貼る!$I$6:$I$10005,$I9199)&gt;0,N(U9198),N(U9198)+1))</f>
        <v>2</v>
      </c>
    </row>
    <row r="9200" customFormat="false" ht="15" hidden="false" customHeight="false" outlineLevel="0" collapsed="false">
      <c r="B9200" s="53"/>
      <c r="I9200" s="53"/>
      <c r="U9200" s="31" t="n">
        <f aca="false">IF($B9200&lt;&gt;'設定（最初に1回）'!$C$4,N(U9199),IF(COUNTIFS(①今日の在庫を貼る!$B$6:$B$10005,$B9200,①今日の在庫を貼る!$I$6:$I$10005,$I9200)&gt;0,N(U9199),N(U9199)+1))</f>
        <v>2</v>
      </c>
    </row>
    <row r="9201" customFormat="false" ht="15" hidden="false" customHeight="false" outlineLevel="0" collapsed="false">
      <c r="B9201" s="53"/>
      <c r="I9201" s="53"/>
      <c r="U9201" s="31" t="n">
        <f aca="false">IF($B9201&lt;&gt;'設定（最初に1回）'!$C$4,N(U9200),IF(COUNTIFS(①今日の在庫を貼る!$B$6:$B$10005,$B9201,①今日の在庫を貼る!$I$6:$I$10005,$I9201)&gt;0,N(U9200),N(U9200)+1))</f>
        <v>2</v>
      </c>
    </row>
    <row r="9202" customFormat="false" ht="15" hidden="false" customHeight="false" outlineLevel="0" collapsed="false">
      <c r="B9202" s="53"/>
      <c r="I9202" s="53"/>
      <c r="U9202" s="31" t="n">
        <f aca="false">IF($B9202&lt;&gt;'設定（最初に1回）'!$C$4,N(U9201),IF(COUNTIFS(①今日の在庫を貼る!$B$6:$B$10005,$B9202,①今日の在庫を貼る!$I$6:$I$10005,$I9202)&gt;0,N(U9201),N(U9201)+1))</f>
        <v>2</v>
      </c>
    </row>
    <row r="9203" customFormat="false" ht="15" hidden="false" customHeight="false" outlineLevel="0" collapsed="false">
      <c r="B9203" s="53"/>
      <c r="I9203" s="53"/>
      <c r="U9203" s="31" t="n">
        <f aca="false">IF($B9203&lt;&gt;'設定（最初に1回）'!$C$4,N(U9202),IF(COUNTIFS(①今日の在庫を貼る!$B$6:$B$10005,$B9203,①今日の在庫を貼る!$I$6:$I$10005,$I9203)&gt;0,N(U9202),N(U9202)+1))</f>
        <v>2</v>
      </c>
    </row>
    <row r="9204" customFormat="false" ht="15" hidden="false" customHeight="false" outlineLevel="0" collapsed="false">
      <c r="B9204" s="53"/>
      <c r="I9204" s="53"/>
      <c r="U9204" s="31" t="n">
        <f aca="false">IF($B9204&lt;&gt;'設定（最初に1回）'!$C$4,N(U9203),IF(COUNTIFS(①今日の在庫を貼る!$B$6:$B$10005,$B9204,①今日の在庫を貼る!$I$6:$I$10005,$I9204)&gt;0,N(U9203),N(U9203)+1))</f>
        <v>2</v>
      </c>
    </row>
    <row r="9205" customFormat="false" ht="15" hidden="false" customHeight="false" outlineLevel="0" collapsed="false">
      <c r="B9205" s="53"/>
      <c r="I9205" s="53"/>
      <c r="U9205" s="31" t="n">
        <f aca="false">IF($B9205&lt;&gt;'設定（最初に1回）'!$C$4,N(U9204),IF(COUNTIFS(①今日の在庫を貼る!$B$6:$B$10005,$B9205,①今日の在庫を貼る!$I$6:$I$10005,$I9205)&gt;0,N(U9204),N(U9204)+1))</f>
        <v>2</v>
      </c>
    </row>
    <row r="9206" customFormat="false" ht="15" hidden="false" customHeight="false" outlineLevel="0" collapsed="false">
      <c r="B9206" s="53"/>
      <c r="I9206" s="53"/>
      <c r="U9206" s="31" t="n">
        <f aca="false">IF($B9206&lt;&gt;'設定（最初に1回）'!$C$4,N(U9205),IF(COUNTIFS(①今日の在庫を貼る!$B$6:$B$10005,$B9206,①今日の在庫を貼る!$I$6:$I$10005,$I9206)&gt;0,N(U9205),N(U9205)+1))</f>
        <v>2</v>
      </c>
    </row>
    <row r="9207" customFormat="false" ht="15" hidden="false" customHeight="false" outlineLevel="0" collapsed="false">
      <c r="B9207" s="53"/>
      <c r="I9207" s="53"/>
      <c r="U9207" s="31" t="n">
        <f aca="false">IF($B9207&lt;&gt;'設定（最初に1回）'!$C$4,N(U9206),IF(COUNTIFS(①今日の在庫を貼る!$B$6:$B$10005,$B9207,①今日の在庫を貼る!$I$6:$I$10005,$I9207)&gt;0,N(U9206),N(U9206)+1))</f>
        <v>2</v>
      </c>
    </row>
    <row r="9208" customFormat="false" ht="15" hidden="false" customHeight="false" outlineLevel="0" collapsed="false">
      <c r="B9208" s="53"/>
      <c r="I9208" s="53"/>
      <c r="U9208" s="31" t="n">
        <f aca="false">IF($B9208&lt;&gt;'設定（最初に1回）'!$C$4,N(U9207),IF(COUNTIFS(①今日の在庫を貼る!$B$6:$B$10005,$B9208,①今日の在庫を貼る!$I$6:$I$10005,$I9208)&gt;0,N(U9207),N(U9207)+1))</f>
        <v>2</v>
      </c>
    </row>
    <row r="9209" customFormat="false" ht="15" hidden="false" customHeight="false" outlineLevel="0" collapsed="false">
      <c r="B9209" s="53"/>
      <c r="I9209" s="53"/>
      <c r="U9209" s="31" t="n">
        <f aca="false">IF($B9209&lt;&gt;'設定（最初に1回）'!$C$4,N(U9208),IF(COUNTIFS(①今日の在庫を貼る!$B$6:$B$10005,$B9209,①今日の在庫を貼る!$I$6:$I$10005,$I9209)&gt;0,N(U9208),N(U9208)+1))</f>
        <v>2</v>
      </c>
    </row>
    <row r="9210" customFormat="false" ht="15" hidden="false" customHeight="false" outlineLevel="0" collapsed="false">
      <c r="B9210" s="53"/>
      <c r="I9210" s="53"/>
      <c r="U9210" s="31" t="n">
        <f aca="false">IF($B9210&lt;&gt;'設定（最初に1回）'!$C$4,N(U9209),IF(COUNTIFS(①今日の在庫を貼る!$B$6:$B$10005,$B9210,①今日の在庫を貼る!$I$6:$I$10005,$I9210)&gt;0,N(U9209),N(U9209)+1))</f>
        <v>2</v>
      </c>
    </row>
    <row r="9211" customFormat="false" ht="15" hidden="false" customHeight="false" outlineLevel="0" collapsed="false">
      <c r="B9211" s="53"/>
      <c r="I9211" s="53"/>
      <c r="U9211" s="31" t="n">
        <f aca="false">IF($B9211&lt;&gt;'設定（最初に1回）'!$C$4,N(U9210),IF(COUNTIFS(①今日の在庫を貼る!$B$6:$B$10005,$B9211,①今日の在庫を貼る!$I$6:$I$10005,$I9211)&gt;0,N(U9210),N(U9210)+1))</f>
        <v>2</v>
      </c>
    </row>
    <row r="9212" customFormat="false" ht="15" hidden="false" customHeight="false" outlineLevel="0" collapsed="false">
      <c r="B9212" s="53"/>
      <c r="I9212" s="53"/>
      <c r="U9212" s="31" t="n">
        <f aca="false">IF($B9212&lt;&gt;'設定（最初に1回）'!$C$4,N(U9211),IF(COUNTIFS(①今日の在庫を貼る!$B$6:$B$10005,$B9212,①今日の在庫を貼る!$I$6:$I$10005,$I9212)&gt;0,N(U9211),N(U9211)+1))</f>
        <v>2</v>
      </c>
    </row>
    <row r="9213" customFormat="false" ht="15" hidden="false" customHeight="false" outlineLevel="0" collapsed="false">
      <c r="B9213" s="53"/>
      <c r="I9213" s="53"/>
      <c r="U9213" s="31" t="n">
        <f aca="false">IF($B9213&lt;&gt;'設定（最初に1回）'!$C$4,N(U9212),IF(COUNTIFS(①今日の在庫を貼る!$B$6:$B$10005,$B9213,①今日の在庫を貼る!$I$6:$I$10005,$I9213)&gt;0,N(U9212),N(U9212)+1))</f>
        <v>2</v>
      </c>
    </row>
    <row r="9214" customFormat="false" ht="15" hidden="false" customHeight="false" outlineLevel="0" collapsed="false">
      <c r="B9214" s="53"/>
      <c r="I9214" s="53"/>
      <c r="U9214" s="31" t="n">
        <f aca="false">IF($B9214&lt;&gt;'設定（最初に1回）'!$C$4,N(U9213),IF(COUNTIFS(①今日の在庫を貼る!$B$6:$B$10005,$B9214,①今日の在庫を貼る!$I$6:$I$10005,$I9214)&gt;0,N(U9213),N(U9213)+1))</f>
        <v>2</v>
      </c>
    </row>
    <row r="9215" customFormat="false" ht="15" hidden="false" customHeight="false" outlineLevel="0" collapsed="false">
      <c r="B9215" s="53"/>
      <c r="I9215" s="53"/>
      <c r="U9215" s="31" t="n">
        <f aca="false">IF($B9215&lt;&gt;'設定（最初に1回）'!$C$4,N(U9214),IF(COUNTIFS(①今日の在庫を貼る!$B$6:$B$10005,$B9215,①今日の在庫を貼る!$I$6:$I$10005,$I9215)&gt;0,N(U9214),N(U9214)+1))</f>
        <v>2</v>
      </c>
    </row>
    <row r="9216" customFormat="false" ht="15" hidden="false" customHeight="false" outlineLevel="0" collapsed="false">
      <c r="B9216" s="53"/>
      <c r="I9216" s="53"/>
      <c r="U9216" s="31" t="n">
        <f aca="false">IF($B9216&lt;&gt;'設定（最初に1回）'!$C$4,N(U9215),IF(COUNTIFS(①今日の在庫を貼る!$B$6:$B$10005,$B9216,①今日の在庫を貼る!$I$6:$I$10005,$I9216)&gt;0,N(U9215),N(U9215)+1))</f>
        <v>2</v>
      </c>
    </row>
    <row r="9217" customFormat="false" ht="15" hidden="false" customHeight="false" outlineLevel="0" collapsed="false">
      <c r="B9217" s="53"/>
      <c r="I9217" s="53"/>
      <c r="U9217" s="31" t="n">
        <f aca="false">IF($B9217&lt;&gt;'設定（最初に1回）'!$C$4,N(U9216),IF(COUNTIFS(①今日の在庫を貼る!$B$6:$B$10005,$B9217,①今日の在庫を貼る!$I$6:$I$10005,$I9217)&gt;0,N(U9216),N(U9216)+1))</f>
        <v>2</v>
      </c>
    </row>
    <row r="9218" customFormat="false" ht="15" hidden="false" customHeight="false" outlineLevel="0" collapsed="false">
      <c r="B9218" s="53"/>
      <c r="I9218" s="53"/>
      <c r="U9218" s="31" t="n">
        <f aca="false">IF($B9218&lt;&gt;'設定（最初に1回）'!$C$4,N(U9217),IF(COUNTIFS(①今日の在庫を貼る!$B$6:$B$10005,$B9218,①今日の在庫を貼る!$I$6:$I$10005,$I9218)&gt;0,N(U9217),N(U9217)+1))</f>
        <v>2</v>
      </c>
    </row>
    <row r="9219" customFormat="false" ht="15" hidden="false" customHeight="false" outlineLevel="0" collapsed="false">
      <c r="B9219" s="53"/>
      <c r="I9219" s="53"/>
      <c r="U9219" s="31" t="n">
        <f aca="false">IF($B9219&lt;&gt;'設定（最初に1回）'!$C$4,N(U9218),IF(COUNTIFS(①今日の在庫を貼る!$B$6:$B$10005,$B9219,①今日の在庫を貼る!$I$6:$I$10005,$I9219)&gt;0,N(U9218),N(U9218)+1))</f>
        <v>2</v>
      </c>
    </row>
    <row r="9220" customFormat="false" ht="15" hidden="false" customHeight="false" outlineLevel="0" collapsed="false">
      <c r="B9220" s="53"/>
      <c r="I9220" s="53"/>
      <c r="U9220" s="31" t="n">
        <f aca="false">IF($B9220&lt;&gt;'設定（最初に1回）'!$C$4,N(U9219),IF(COUNTIFS(①今日の在庫を貼る!$B$6:$B$10005,$B9220,①今日の在庫を貼る!$I$6:$I$10005,$I9220)&gt;0,N(U9219),N(U9219)+1))</f>
        <v>2</v>
      </c>
    </row>
    <row r="9221" customFormat="false" ht="15" hidden="false" customHeight="false" outlineLevel="0" collapsed="false">
      <c r="B9221" s="53"/>
      <c r="I9221" s="53"/>
      <c r="U9221" s="31" t="n">
        <f aca="false">IF($B9221&lt;&gt;'設定（最初に1回）'!$C$4,N(U9220),IF(COUNTIFS(①今日の在庫を貼る!$B$6:$B$10005,$B9221,①今日の在庫を貼る!$I$6:$I$10005,$I9221)&gt;0,N(U9220),N(U9220)+1))</f>
        <v>2</v>
      </c>
    </row>
    <row r="9222" customFormat="false" ht="15" hidden="false" customHeight="false" outlineLevel="0" collapsed="false">
      <c r="B9222" s="53"/>
      <c r="I9222" s="53"/>
      <c r="U9222" s="31" t="n">
        <f aca="false">IF($B9222&lt;&gt;'設定（最初に1回）'!$C$4,N(U9221),IF(COUNTIFS(①今日の在庫を貼る!$B$6:$B$10005,$B9222,①今日の在庫を貼る!$I$6:$I$10005,$I9222)&gt;0,N(U9221),N(U9221)+1))</f>
        <v>2</v>
      </c>
    </row>
    <row r="9223" customFormat="false" ht="15" hidden="false" customHeight="false" outlineLevel="0" collapsed="false">
      <c r="B9223" s="53"/>
      <c r="I9223" s="53"/>
      <c r="U9223" s="31" t="n">
        <f aca="false">IF($B9223&lt;&gt;'設定（最初に1回）'!$C$4,N(U9222),IF(COUNTIFS(①今日の在庫を貼る!$B$6:$B$10005,$B9223,①今日の在庫を貼る!$I$6:$I$10005,$I9223)&gt;0,N(U9222),N(U9222)+1))</f>
        <v>2</v>
      </c>
    </row>
    <row r="9224" customFormat="false" ht="15" hidden="false" customHeight="false" outlineLevel="0" collapsed="false">
      <c r="B9224" s="53"/>
      <c r="I9224" s="53"/>
      <c r="U9224" s="31" t="n">
        <f aca="false">IF($B9224&lt;&gt;'設定（最初に1回）'!$C$4,N(U9223),IF(COUNTIFS(①今日の在庫を貼る!$B$6:$B$10005,$B9224,①今日の在庫を貼る!$I$6:$I$10005,$I9224)&gt;0,N(U9223),N(U9223)+1))</f>
        <v>2</v>
      </c>
    </row>
    <row r="9225" customFormat="false" ht="15" hidden="false" customHeight="false" outlineLevel="0" collapsed="false">
      <c r="B9225" s="53"/>
      <c r="I9225" s="53"/>
      <c r="U9225" s="31" t="n">
        <f aca="false">IF($B9225&lt;&gt;'設定（最初に1回）'!$C$4,N(U9224),IF(COUNTIFS(①今日の在庫を貼る!$B$6:$B$10005,$B9225,①今日の在庫を貼る!$I$6:$I$10005,$I9225)&gt;0,N(U9224),N(U9224)+1))</f>
        <v>2</v>
      </c>
    </row>
    <row r="9226" customFormat="false" ht="15" hidden="false" customHeight="false" outlineLevel="0" collapsed="false">
      <c r="B9226" s="53"/>
      <c r="I9226" s="53"/>
      <c r="U9226" s="31" t="n">
        <f aca="false">IF($B9226&lt;&gt;'設定（最初に1回）'!$C$4,N(U9225),IF(COUNTIFS(①今日の在庫を貼る!$B$6:$B$10005,$B9226,①今日の在庫を貼る!$I$6:$I$10005,$I9226)&gt;0,N(U9225),N(U9225)+1))</f>
        <v>2</v>
      </c>
    </row>
    <row r="9227" customFormat="false" ht="15" hidden="false" customHeight="false" outlineLevel="0" collapsed="false">
      <c r="B9227" s="53"/>
      <c r="I9227" s="53"/>
      <c r="U9227" s="31" t="n">
        <f aca="false">IF($B9227&lt;&gt;'設定（最初に1回）'!$C$4,N(U9226),IF(COUNTIFS(①今日の在庫を貼る!$B$6:$B$10005,$B9227,①今日の在庫を貼る!$I$6:$I$10005,$I9227)&gt;0,N(U9226),N(U9226)+1))</f>
        <v>2</v>
      </c>
    </row>
    <row r="9228" customFormat="false" ht="15" hidden="false" customHeight="false" outlineLevel="0" collapsed="false">
      <c r="B9228" s="53"/>
      <c r="I9228" s="53"/>
      <c r="U9228" s="31" t="n">
        <f aca="false">IF($B9228&lt;&gt;'設定（最初に1回）'!$C$4,N(U9227),IF(COUNTIFS(①今日の在庫を貼る!$B$6:$B$10005,$B9228,①今日の在庫を貼る!$I$6:$I$10005,$I9228)&gt;0,N(U9227),N(U9227)+1))</f>
        <v>2</v>
      </c>
    </row>
    <row r="9229" customFormat="false" ht="15" hidden="false" customHeight="false" outlineLevel="0" collapsed="false">
      <c r="B9229" s="53"/>
      <c r="I9229" s="53"/>
      <c r="U9229" s="31" t="n">
        <f aca="false">IF($B9229&lt;&gt;'設定（最初に1回）'!$C$4,N(U9228),IF(COUNTIFS(①今日の在庫を貼る!$B$6:$B$10005,$B9229,①今日の在庫を貼る!$I$6:$I$10005,$I9229)&gt;0,N(U9228),N(U9228)+1))</f>
        <v>2</v>
      </c>
    </row>
    <row r="9230" customFormat="false" ht="15" hidden="false" customHeight="false" outlineLevel="0" collapsed="false">
      <c r="B9230" s="53"/>
      <c r="I9230" s="53"/>
      <c r="U9230" s="31" t="n">
        <f aca="false">IF($B9230&lt;&gt;'設定（最初に1回）'!$C$4,N(U9229),IF(COUNTIFS(①今日の在庫を貼る!$B$6:$B$10005,$B9230,①今日の在庫を貼る!$I$6:$I$10005,$I9230)&gt;0,N(U9229),N(U9229)+1))</f>
        <v>2</v>
      </c>
    </row>
    <row r="9231" customFormat="false" ht="15" hidden="false" customHeight="false" outlineLevel="0" collapsed="false">
      <c r="B9231" s="53"/>
      <c r="I9231" s="53"/>
      <c r="U9231" s="31" t="n">
        <f aca="false">IF($B9231&lt;&gt;'設定（最初に1回）'!$C$4,N(U9230),IF(COUNTIFS(①今日の在庫を貼る!$B$6:$B$10005,$B9231,①今日の在庫を貼る!$I$6:$I$10005,$I9231)&gt;0,N(U9230),N(U9230)+1))</f>
        <v>2</v>
      </c>
    </row>
    <row r="9232" customFormat="false" ht="15" hidden="false" customHeight="false" outlineLevel="0" collapsed="false">
      <c r="B9232" s="53"/>
      <c r="I9232" s="53"/>
      <c r="U9232" s="31" t="n">
        <f aca="false">IF($B9232&lt;&gt;'設定（最初に1回）'!$C$4,N(U9231),IF(COUNTIFS(①今日の在庫を貼る!$B$6:$B$10005,$B9232,①今日の在庫を貼る!$I$6:$I$10005,$I9232)&gt;0,N(U9231),N(U9231)+1))</f>
        <v>2</v>
      </c>
    </row>
    <row r="9233" customFormat="false" ht="15" hidden="false" customHeight="false" outlineLevel="0" collapsed="false">
      <c r="B9233" s="53"/>
      <c r="I9233" s="53"/>
      <c r="U9233" s="31" t="n">
        <f aca="false">IF($B9233&lt;&gt;'設定（最初に1回）'!$C$4,N(U9232),IF(COUNTIFS(①今日の在庫を貼る!$B$6:$B$10005,$B9233,①今日の在庫を貼る!$I$6:$I$10005,$I9233)&gt;0,N(U9232),N(U9232)+1))</f>
        <v>2</v>
      </c>
    </row>
    <row r="9234" customFormat="false" ht="15" hidden="false" customHeight="false" outlineLevel="0" collapsed="false">
      <c r="B9234" s="53"/>
      <c r="I9234" s="53"/>
      <c r="U9234" s="31" t="n">
        <f aca="false">IF($B9234&lt;&gt;'設定（最初に1回）'!$C$4,N(U9233),IF(COUNTIFS(①今日の在庫を貼る!$B$6:$B$10005,$B9234,①今日の在庫を貼る!$I$6:$I$10005,$I9234)&gt;0,N(U9233),N(U9233)+1))</f>
        <v>2</v>
      </c>
    </row>
    <row r="9235" customFormat="false" ht="15" hidden="false" customHeight="false" outlineLevel="0" collapsed="false">
      <c r="B9235" s="53"/>
      <c r="I9235" s="53"/>
      <c r="U9235" s="31" t="n">
        <f aca="false">IF($B9235&lt;&gt;'設定（最初に1回）'!$C$4,N(U9234),IF(COUNTIFS(①今日の在庫を貼る!$B$6:$B$10005,$B9235,①今日の在庫を貼る!$I$6:$I$10005,$I9235)&gt;0,N(U9234),N(U9234)+1))</f>
        <v>2</v>
      </c>
    </row>
    <row r="9236" customFormat="false" ht="15" hidden="false" customHeight="false" outlineLevel="0" collapsed="false">
      <c r="B9236" s="53"/>
      <c r="I9236" s="53"/>
      <c r="U9236" s="31" t="n">
        <f aca="false">IF($B9236&lt;&gt;'設定（最初に1回）'!$C$4,N(U9235),IF(COUNTIFS(①今日の在庫を貼る!$B$6:$B$10005,$B9236,①今日の在庫を貼る!$I$6:$I$10005,$I9236)&gt;0,N(U9235),N(U9235)+1))</f>
        <v>2</v>
      </c>
    </row>
    <row r="9237" customFormat="false" ht="15" hidden="false" customHeight="false" outlineLevel="0" collapsed="false">
      <c r="B9237" s="53"/>
      <c r="I9237" s="53"/>
      <c r="U9237" s="31" t="n">
        <f aca="false">IF($B9237&lt;&gt;'設定（最初に1回）'!$C$4,N(U9236),IF(COUNTIFS(①今日の在庫を貼る!$B$6:$B$10005,$B9237,①今日の在庫を貼る!$I$6:$I$10005,$I9237)&gt;0,N(U9236),N(U9236)+1))</f>
        <v>2</v>
      </c>
    </row>
    <row r="9238" customFormat="false" ht="15" hidden="false" customHeight="false" outlineLevel="0" collapsed="false">
      <c r="B9238" s="53"/>
      <c r="I9238" s="53"/>
      <c r="U9238" s="31" t="n">
        <f aca="false">IF($B9238&lt;&gt;'設定（最初に1回）'!$C$4,N(U9237),IF(COUNTIFS(①今日の在庫を貼る!$B$6:$B$10005,$B9238,①今日の在庫を貼る!$I$6:$I$10005,$I9238)&gt;0,N(U9237),N(U9237)+1))</f>
        <v>2</v>
      </c>
    </row>
    <row r="9239" customFormat="false" ht="15" hidden="false" customHeight="false" outlineLevel="0" collapsed="false">
      <c r="B9239" s="53"/>
      <c r="I9239" s="53"/>
      <c r="U9239" s="31" t="n">
        <f aca="false">IF($B9239&lt;&gt;'設定（最初に1回）'!$C$4,N(U9238),IF(COUNTIFS(①今日の在庫を貼る!$B$6:$B$10005,$B9239,①今日の在庫を貼る!$I$6:$I$10005,$I9239)&gt;0,N(U9238),N(U9238)+1))</f>
        <v>2</v>
      </c>
    </row>
    <row r="9240" customFormat="false" ht="15" hidden="false" customHeight="false" outlineLevel="0" collapsed="false">
      <c r="B9240" s="53"/>
      <c r="I9240" s="53"/>
      <c r="U9240" s="31" t="n">
        <f aca="false">IF($B9240&lt;&gt;'設定（最初に1回）'!$C$4,N(U9239),IF(COUNTIFS(①今日の在庫を貼る!$B$6:$B$10005,$B9240,①今日の在庫を貼る!$I$6:$I$10005,$I9240)&gt;0,N(U9239),N(U9239)+1))</f>
        <v>2</v>
      </c>
    </row>
    <row r="9241" customFormat="false" ht="15" hidden="false" customHeight="false" outlineLevel="0" collapsed="false">
      <c r="B9241" s="53"/>
      <c r="I9241" s="53"/>
      <c r="U9241" s="31" t="n">
        <f aca="false">IF($B9241&lt;&gt;'設定（最初に1回）'!$C$4,N(U9240),IF(COUNTIFS(①今日の在庫を貼る!$B$6:$B$10005,$B9241,①今日の在庫を貼る!$I$6:$I$10005,$I9241)&gt;0,N(U9240),N(U9240)+1))</f>
        <v>2</v>
      </c>
    </row>
    <row r="9242" customFormat="false" ht="15" hidden="false" customHeight="false" outlineLevel="0" collapsed="false">
      <c r="B9242" s="53"/>
      <c r="I9242" s="53"/>
      <c r="U9242" s="31" t="n">
        <f aca="false">IF($B9242&lt;&gt;'設定（最初に1回）'!$C$4,N(U9241),IF(COUNTIFS(①今日の在庫を貼る!$B$6:$B$10005,$B9242,①今日の在庫を貼る!$I$6:$I$10005,$I9242)&gt;0,N(U9241),N(U9241)+1))</f>
        <v>2</v>
      </c>
    </row>
    <row r="9243" customFormat="false" ht="15" hidden="false" customHeight="false" outlineLevel="0" collapsed="false">
      <c r="B9243" s="53"/>
      <c r="I9243" s="53"/>
      <c r="U9243" s="31" t="n">
        <f aca="false">IF($B9243&lt;&gt;'設定（最初に1回）'!$C$4,N(U9242),IF(COUNTIFS(①今日の在庫を貼る!$B$6:$B$10005,$B9243,①今日の在庫を貼る!$I$6:$I$10005,$I9243)&gt;0,N(U9242),N(U9242)+1))</f>
        <v>2</v>
      </c>
    </row>
    <row r="9244" customFormat="false" ht="15" hidden="false" customHeight="false" outlineLevel="0" collapsed="false">
      <c r="B9244" s="53"/>
      <c r="I9244" s="53"/>
      <c r="U9244" s="31" t="n">
        <f aca="false">IF($B9244&lt;&gt;'設定（最初に1回）'!$C$4,N(U9243),IF(COUNTIFS(①今日の在庫を貼る!$B$6:$B$10005,$B9244,①今日の在庫を貼る!$I$6:$I$10005,$I9244)&gt;0,N(U9243),N(U9243)+1))</f>
        <v>2</v>
      </c>
    </row>
    <row r="9245" customFormat="false" ht="15" hidden="false" customHeight="false" outlineLevel="0" collapsed="false">
      <c r="B9245" s="53"/>
      <c r="I9245" s="53"/>
      <c r="U9245" s="31" t="n">
        <f aca="false">IF($B9245&lt;&gt;'設定（最初に1回）'!$C$4,N(U9244),IF(COUNTIFS(①今日の在庫を貼る!$B$6:$B$10005,$B9245,①今日の在庫を貼る!$I$6:$I$10005,$I9245)&gt;0,N(U9244),N(U9244)+1))</f>
        <v>2</v>
      </c>
    </row>
    <row r="9246" customFormat="false" ht="15" hidden="false" customHeight="false" outlineLevel="0" collapsed="false">
      <c r="B9246" s="53"/>
      <c r="I9246" s="53"/>
      <c r="U9246" s="31" t="n">
        <f aca="false">IF($B9246&lt;&gt;'設定（最初に1回）'!$C$4,N(U9245),IF(COUNTIFS(①今日の在庫を貼る!$B$6:$B$10005,$B9246,①今日の在庫を貼る!$I$6:$I$10005,$I9246)&gt;0,N(U9245),N(U9245)+1))</f>
        <v>2</v>
      </c>
    </row>
    <row r="9247" customFormat="false" ht="15" hidden="false" customHeight="false" outlineLevel="0" collapsed="false">
      <c r="B9247" s="53"/>
      <c r="I9247" s="53"/>
      <c r="U9247" s="31" t="n">
        <f aca="false">IF($B9247&lt;&gt;'設定（最初に1回）'!$C$4,N(U9246),IF(COUNTIFS(①今日の在庫を貼る!$B$6:$B$10005,$B9247,①今日の在庫を貼る!$I$6:$I$10005,$I9247)&gt;0,N(U9246),N(U9246)+1))</f>
        <v>2</v>
      </c>
    </row>
    <row r="9248" customFormat="false" ht="15" hidden="false" customHeight="false" outlineLevel="0" collapsed="false">
      <c r="B9248" s="53"/>
      <c r="I9248" s="53"/>
      <c r="U9248" s="31" t="n">
        <f aca="false">IF($B9248&lt;&gt;'設定（最初に1回）'!$C$4,N(U9247),IF(COUNTIFS(①今日の在庫を貼る!$B$6:$B$10005,$B9248,①今日の在庫を貼る!$I$6:$I$10005,$I9248)&gt;0,N(U9247),N(U9247)+1))</f>
        <v>2</v>
      </c>
    </row>
    <row r="9249" customFormat="false" ht="15" hidden="false" customHeight="false" outlineLevel="0" collapsed="false">
      <c r="B9249" s="53"/>
      <c r="I9249" s="53"/>
      <c r="U9249" s="31" t="n">
        <f aca="false">IF($B9249&lt;&gt;'設定（最初に1回）'!$C$4,N(U9248),IF(COUNTIFS(①今日の在庫を貼る!$B$6:$B$10005,$B9249,①今日の在庫を貼る!$I$6:$I$10005,$I9249)&gt;0,N(U9248),N(U9248)+1))</f>
        <v>2</v>
      </c>
    </row>
    <row r="9250" customFormat="false" ht="15" hidden="false" customHeight="false" outlineLevel="0" collapsed="false">
      <c r="B9250" s="53"/>
      <c r="I9250" s="53"/>
      <c r="U9250" s="31" t="n">
        <f aca="false">IF($B9250&lt;&gt;'設定（最初に1回）'!$C$4,N(U9249),IF(COUNTIFS(①今日の在庫を貼る!$B$6:$B$10005,$B9250,①今日の在庫を貼る!$I$6:$I$10005,$I9250)&gt;0,N(U9249),N(U9249)+1))</f>
        <v>2</v>
      </c>
    </row>
    <row r="9251" customFormat="false" ht="15" hidden="false" customHeight="false" outlineLevel="0" collapsed="false">
      <c r="B9251" s="53"/>
      <c r="I9251" s="53"/>
      <c r="U9251" s="31" t="n">
        <f aca="false">IF($B9251&lt;&gt;'設定（最初に1回）'!$C$4,N(U9250),IF(COUNTIFS(①今日の在庫を貼る!$B$6:$B$10005,$B9251,①今日の在庫を貼る!$I$6:$I$10005,$I9251)&gt;0,N(U9250),N(U9250)+1))</f>
        <v>2</v>
      </c>
    </row>
    <row r="9252" customFormat="false" ht="15" hidden="false" customHeight="false" outlineLevel="0" collapsed="false">
      <c r="B9252" s="53"/>
      <c r="I9252" s="53"/>
      <c r="U9252" s="31" t="n">
        <f aca="false">IF($B9252&lt;&gt;'設定（最初に1回）'!$C$4,N(U9251),IF(COUNTIFS(①今日の在庫を貼る!$B$6:$B$10005,$B9252,①今日の在庫を貼る!$I$6:$I$10005,$I9252)&gt;0,N(U9251),N(U9251)+1))</f>
        <v>2</v>
      </c>
    </row>
    <row r="9253" customFormat="false" ht="15" hidden="false" customHeight="false" outlineLevel="0" collapsed="false">
      <c r="B9253" s="53"/>
      <c r="I9253" s="53"/>
      <c r="U9253" s="31" t="n">
        <f aca="false">IF($B9253&lt;&gt;'設定（最初に1回）'!$C$4,N(U9252),IF(COUNTIFS(①今日の在庫を貼る!$B$6:$B$10005,$B9253,①今日の在庫を貼る!$I$6:$I$10005,$I9253)&gt;0,N(U9252),N(U9252)+1))</f>
        <v>2</v>
      </c>
    </row>
    <row r="9254" customFormat="false" ht="15" hidden="false" customHeight="false" outlineLevel="0" collapsed="false">
      <c r="B9254" s="53"/>
      <c r="I9254" s="53"/>
      <c r="U9254" s="31" t="n">
        <f aca="false">IF($B9254&lt;&gt;'設定（最初に1回）'!$C$4,N(U9253),IF(COUNTIFS(①今日の在庫を貼る!$B$6:$B$10005,$B9254,①今日の在庫を貼る!$I$6:$I$10005,$I9254)&gt;0,N(U9253),N(U9253)+1))</f>
        <v>2</v>
      </c>
    </row>
    <row r="9255" customFormat="false" ht="15" hidden="false" customHeight="false" outlineLevel="0" collapsed="false">
      <c r="B9255" s="53"/>
      <c r="I9255" s="53"/>
      <c r="U9255" s="31" t="n">
        <f aca="false">IF($B9255&lt;&gt;'設定（最初に1回）'!$C$4,N(U9254),IF(COUNTIFS(①今日の在庫を貼る!$B$6:$B$10005,$B9255,①今日の在庫を貼る!$I$6:$I$10005,$I9255)&gt;0,N(U9254),N(U9254)+1))</f>
        <v>2</v>
      </c>
    </row>
    <row r="9256" customFormat="false" ht="15" hidden="false" customHeight="false" outlineLevel="0" collapsed="false">
      <c r="B9256" s="53"/>
      <c r="I9256" s="53"/>
      <c r="U9256" s="31" t="n">
        <f aca="false">IF($B9256&lt;&gt;'設定（最初に1回）'!$C$4,N(U9255),IF(COUNTIFS(①今日の在庫を貼る!$B$6:$B$10005,$B9256,①今日の在庫を貼る!$I$6:$I$10005,$I9256)&gt;0,N(U9255),N(U9255)+1))</f>
        <v>2</v>
      </c>
    </row>
    <row r="9257" customFormat="false" ht="15" hidden="false" customHeight="false" outlineLevel="0" collapsed="false">
      <c r="B9257" s="53"/>
      <c r="I9257" s="53"/>
      <c r="U9257" s="31" t="n">
        <f aca="false">IF($B9257&lt;&gt;'設定（最初に1回）'!$C$4,N(U9256),IF(COUNTIFS(①今日の在庫を貼る!$B$6:$B$10005,$B9257,①今日の在庫を貼る!$I$6:$I$10005,$I9257)&gt;0,N(U9256),N(U9256)+1))</f>
        <v>2</v>
      </c>
    </row>
    <row r="9258" customFormat="false" ht="15" hidden="false" customHeight="false" outlineLevel="0" collapsed="false">
      <c r="B9258" s="53"/>
      <c r="I9258" s="53"/>
      <c r="U9258" s="31" t="n">
        <f aca="false">IF($B9258&lt;&gt;'設定（最初に1回）'!$C$4,N(U9257),IF(COUNTIFS(①今日の在庫を貼る!$B$6:$B$10005,$B9258,①今日の在庫を貼る!$I$6:$I$10005,$I9258)&gt;0,N(U9257),N(U9257)+1))</f>
        <v>2</v>
      </c>
    </row>
    <row r="9259" customFormat="false" ht="15" hidden="false" customHeight="false" outlineLevel="0" collapsed="false">
      <c r="B9259" s="53"/>
      <c r="I9259" s="53"/>
      <c r="U9259" s="31" t="n">
        <f aca="false">IF($B9259&lt;&gt;'設定（最初に1回）'!$C$4,N(U9258),IF(COUNTIFS(①今日の在庫を貼る!$B$6:$B$10005,$B9259,①今日の在庫を貼る!$I$6:$I$10005,$I9259)&gt;0,N(U9258),N(U9258)+1))</f>
        <v>2</v>
      </c>
    </row>
    <row r="9260" customFormat="false" ht="15" hidden="false" customHeight="false" outlineLevel="0" collapsed="false">
      <c r="B9260" s="53"/>
      <c r="I9260" s="53"/>
      <c r="U9260" s="31" t="n">
        <f aca="false">IF($B9260&lt;&gt;'設定（最初に1回）'!$C$4,N(U9259),IF(COUNTIFS(①今日の在庫を貼る!$B$6:$B$10005,$B9260,①今日の在庫を貼る!$I$6:$I$10005,$I9260)&gt;0,N(U9259),N(U9259)+1))</f>
        <v>2</v>
      </c>
    </row>
    <row r="9261" customFormat="false" ht="15" hidden="false" customHeight="false" outlineLevel="0" collapsed="false">
      <c r="B9261" s="53"/>
      <c r="I9261" s="53"/>
      <c r="U9261" s="31" t="n">
        <f aca="false">IF($B9261&lt;&gt;'設定（最初に1回）'!$C$4,N(U9260),IF(COUNTIFS(①今日の在庫を貼る!$B$6:$B$10005,$B9261,①今日の在庫を貼る!$I$6:$I$10005,$I9261)&gt;0,N(U9260),N(U9260)+1))</f>
        <v>2</v>
      </c>
    </row>
    <row r="9262" customFormat="false" ht="15" hidden="false" customHeight="false" outlineLevel="0" collapsed="false">
      <c r="B9262" s="53"/>
      <c r="I9262" s="53"/>
      <c r="U9262" s="31" t="n">
        <f aca="false">IF($B9262&lt;&gt;'設定（最初に1回）'!$C$4,N(U9261),IF(COUNTIFS(①今日の在庫を貼る!$B$6:$B$10005,$B9262,①今日の在庫を貼る!$I$6:$I$10005,$I9262)&gt;0,N(U9261),N(U9261)+1))</f>
        <v>2</v>
      </c>
    </row>
    <row r="9263" customFormat="false" ht="15" hidden="false" customHeight="false" outlineLevel="0" collapsed="false">
      <c r="B9263" s="53"/>
      <c r="I9263" s="53"/>
      <c r="U9263" s="31" t="n">
        <f aca="false">IF($B9263&lt;&gt;'設定（最初に1回）'!$C$4,N(U9262),IF(COUNTIFS(①今日の在庫を貼る!$B$6:$B$10005,$B9263,①今日の在庫を貼る!$I$6:$I$10005,$I9263)&gt;0,N(U9262),N(U9262)+1))</f>
        <v>2</v>
      </c>
    </row>
    <row r="9264" customFormat="false" ht="15" hidden="false" customHeight="false" outlineLevel="0" collapsed="false">
      <c r="B9264" s="53"/>
      <c r="I9264" s="53"/>
      <c r="U9264" s="31" t="n">
        <f aca="false">IF($B9264&lt;&gt;'設定（最初に1回）'!$C$4,N(U9263),IF(COUNTIFS(①今日の在庫を貼る!$B$6:$B$10005,$B9264,①今日の在庫を貼る!$I$6:$I$10005,$I9264)&gt;0,N(U9263),N(U9263)+1))</f>
        <v>2</v>
      </c>
    </row>
    <row r="9265" customFormat="false" ht="15" hidden="false" customHeight="false" outlineLevel="0" collapsed="false">
      <c r="B9265" s="53"/>
      <c r="I9265" s="53"/>
      <c r="U9265" s="31" t="n">
        <f aca="false">IF($B9265&lt;&gt;'設定（最初に1回）'!$C$4,N(U9264),IF(COUNTIFS(①今日の在庫を貼る!$B$6:$B$10005,$B9265,①今日の在庫を貼る!$I$6:$I$10005,$I9265)&gt;0,N(U9264),N(U9264)+1))</f>
        <v>2</v>
      </c>
    </row>
    <row r="9266" customFormat="false" ht="15" hidden="false" customHeight="false" outlineLevel="0" collapsed="false">
      <c r="B9266" s="53"/>
      <c r="I9266" s="53"/>
      <c r="U9266" s="31" t="n">
        <f aca="false">IF($B9266&lt;&gt;'設定（最初に1回）'!$C$4,N(U9265),IF(COUNTIFS(①今日の在庫を貼る!$B$6:$B$10005,$B9266,①今日の在庫を貼る!$I$6:$I$10005,$I9266)&gt;0,N(U9265),N(U9265)+1))</f>
        <v>2</v>
      </c>
    </row>
    <row r="9267" customFormat="false" ht="15" hidden="false" customHeight="false" outlineLevel="0" collapsed="false">
      <c r="B9267" s="53"/>
      <c r="I9267" s="53"/>
      <c r="U9267" s="31" t="n">
        <f aca="false">IF($B9267&lt;&gt;'設定（最初に1回）'!$C$4,N(U9266),IF(COUNTIFS(①今日の在庫を貼る!$B$6:$B$10005,$B9267,①今日の在庫を貼る!$I$6:$I$10005,$I9267)&gt;0,N(U9266),N(U9266)+1))</f>
        <v>2</v>
      </c>
    </row>
    <row r="9268" customFormat="false" ht="15" hidden="false" customHeight="false" outlineLevel="0" collapsed="false">
      <c r="B9268" s="53"/>
      <c r="I9268" s="53"/>
      <c r="U9268" s="31" t="n">
        <f aca="false">IF($B9268&lt;&gt;'設定（最初に1回）'!$C$4,N(U9267),IF(COUNTIFS(①今日の在庫を貼る!$B$6:$B$10005,$B9268,①今日の在庫を貼る!$I$6:$I$10005,$I9268)&gt;0,N(U9267),N(U9267)+1))</f>
        <v>2</v>
      </c>
    </row>
    <row r="9269" customFormat="false" ht="15" hidden="false" customHeight="false" outlineLevel="0" collapsed="false">
      <c r="B9269" s="53"/>
      <c r="I9269" s="53"/>
      <c r="U9269" s="31" t="n">
        <f aca="false">IF($B9269&lt;&gt;'設定（最初に1回）'!$C$4,N(U9268),IF(COUNTIFS(①今日の在庫を貼る!$B$6:$B$10005,$B9269,①今日の在庫を貼る!$I$6:$I$10005,$I9269)&gt;0,N(U9268),N(U9268)+1))</f>
        <v>2</v>
      </c>
    </row>
    <row r="9270" customFormat="false" ht="15" hidden="false" customHeight="false" outlineLevel="0" collapsed="false">
      <c r="B9270" s="53"/>
      <c r="I9270" s="53"/>
      <c r="U9270" s="31" t="n">
        <f aca="false">IF($B9270&lt;&gt;'設定（最初に1回）'!$C$4,N(U9269),IF(COUNTIFS(①今日の在庫を貼る!$B$6:$B$10005,$B9270,①今日の在庫を貼る!$I$6:$I$10005,$I9270)&gt;0,N(U9269),N(U9269)+1))</f>
        <v>2</v>
      </c>
    </row>
    <row r="9271" customFormat="false" ht="15" hidden="false" customHeight="false" outlineLevel="0" collapsed="false">
      <c r="B9271" s="53"/>
      <c r="I9271" s="53"/>
      <c r="U9271" s="31" t="n">
        <f aca="false">IF($B9271&lt;&gt;'設定（最初に1回）'!$C$4,N(U9270),IF(COUNTIFS(①今日の在庫を貼る!$B$6:$B$10005,$B9271,①今日の在庫を貼る!$I$6:$I$10005,$I9271)&gt;0,N(U9270),N(U9270)+1))</f>
        <v>2</v>
      </c>
    </row>
    <row r="9272" customFormat="false" ht="15" hidden="false" customHeight="false" outlineLevel="0" collapsed="false">
      <c r="B9272" s="53"/>
      <c r="I9272" s="53"/>
      <c r="U9272" s="31" t="n">
        <f aca="false">IF($B9272&lt;&gt;'設定（最初に1回）'!$C$4,N(U9271),IF(COUNTIFS(①今日の在庫を貼る!$B$6:$B$10005,$B9272,①今日の在庫を貼る!$I$6:$I$10005,$I9272)&gt;0,N(U9271),N(U9271)+1))</f>
        <v>2</v>
      </c>
    </row>
    <row r="9273" customFormat="false" ht="15" hidden="false" customHeight="false" outlineLevel="0" collapsed="false">
      <c r="B9273" s="53"/>
      <c r="I9273" s="53"/>
      <c r="U9273" s="31" t="n">
        <f aca="false">IF($B9273&lt;&gt;'設定（最初に1回）'!$C$4,N(U9272),IF(COUNTIFS(①今日の在庫を貼る!$B$6:$B$10005,$B9273,①今日の在庫を貼る!$I$6:$I$10005,$I9273)&gt;0,N(U9272),N(U9272)+1))</f>
        <v>2</v>
      </c>
    </row>
    <row r="9274" customFormat="false" ht="15" hidden="false" customHeight="false" outlineLevel="0" collapsed="false">
      <c r="B9274" s="53"/>
      <c r="I9274" s="53"/>
      <c r="U9274" s="31" t="n">
        <f aca="false">IF($B9274&lt;&gt;'設定（最初に1回）'!$C$4,N(U9273),IF(COUNTIFS(①今日の在庫を貼る!$B$6:$B$10005,$B9274,①今日の在庫を貼る!$I$6:$I$10005,$I9274)&gt;0,N(U9273),N(U9273)+1))</f>
        <v>2</v>
      </c>
    </row>
    <row r="9275" customFormat="false" ht="15" hidden="false" customHeight="false" outlineLevel="0" collapsed="false">
      <c r="B9275" s="53"/>
      <c r="I9275" s="53"/>
      <c r="U9275" s="31" t="n">
        <f aca="false">IF($B9275&lt;&gt;'設定（最初に1回）'!$C$4,N(U9274),IF(COUNTIFS(①今日の在庫を貼る!$B$6:$B$10005,$B9275,①今日の在庫を貼る!$I$6:$I$10005,$I9275)&gt;0,N(U9274),N(U9274)+1))</f>
        <v>2</v>
      </c>
    </row>
    <row r="9276" customFormat="false" ht="15" hidden="false" customHeight="false" outlineLevel="0" collapsed="false">
      <c r="B9276" s="53"/>
      <c r="I9276" s="53"/>
      <c r="U9276" s="31" t="n">
        <f aca="false">IF($B9276&lt;&gt;'設定（最初に1回）'!$C$4,N(U9275),IF(COUNTIFS(①今日の在庫を貼る!$B$6:$B$10005,$B9276,①今日の在庫を貼る!$I$6:$I$10005,$I9276)&gt;0,N(U9275),N(U9275)+1))</f>
        <v>2</v>
      </c>
    </row>
    <row r="9277" customFormat="false" ht="15" hidden="false" customHeight="false" outlineLevel="0" collapsed="false">
      <c r="B9277" s="53"/>
      <c r="I9277" s="53"/>
      <c r="U9277" s="31" t="n">
        <f aca="false">IF($B9277&lt;&gt;'設定（最初に1回）'!$C$4,N(U9276),IF(COUNTIFS(①今日の在庫を貼る!$B$6:$B$10005,$B9277,①今日の在庫を貼る!$I$6:$I$10005,$I9277)&gt;0,N(U9276),N(U9276)+1))</f>
        <v>2</v>
      </c>
    </row>
    <row r="9278" customFormat="false" ht="15" hidden="false" customHeight="false" outlineLevel="0" collapsed="false">
      <c r="B9278" s="53"/>
      <c r="I9278" s="53"/>
      <c r="U9278" s="31" t="n">
        <f aca="false">IF($B9278&lt;&gt;'設定（最初に1回）'!$C$4,N(U9277),IF(COUNTIFS(①今日の在庫を貼る!$B$6:$B$10005,$B9278,①今日の在庫を貼る!$I$6:$I$10005,$I9278)&gt;0,N(U9277),N(U9277)+1))</f>
        <v>2</v>
      </c>
    </row>
    <row r="9279" customFormat="false" ht="15" hidden="false" customHeight="false" outlineLevel="0" collapsed="false">
      <c r="B9279" s="53"/>
      <c r="I9279" s="53"/>
      <c r="U9279" s="31" t="n">
        <f aca="false">IF($B9279&lt;&gt;'設定（最初に1回）'!$C$4,N(U9278),IF(COUNTIFS(①今日の在庫を貼る!$B$6:$B$10005,$B9279,①今日の在庫を貼る!$I$6:$I$10005,$I9279)&gt;0,N(U9278),N(U9278)+1))</f>
        <v>2</v>
      </c>
    </row>
    <row r="9280" customFormat="false" ht="15" hidden="false" customHeight="false" outlineLevel="0" collapsed="false">
      <c r="B9280" s="53"/>
      <c r="I9280" s="53"/>
      <c r="U9280" s="31" t="n">
        <f aca="false">IF($B9280&lt;&gt;'設定（最初に1回）'!$C$4,N(U9279),IF(COUNTIFS(①今日の在庫を貼る!$B$6:$B$10005,$B9280,①今日の在庫を貼る!$I$6:$I$10005,$I9280)&gt;0,N(U9279),N(U9279)+1))</f>
        <v>2</v>
      </c>
    </row>
    <row r="9281" customFormat="false" ht="15" hidden="false" customHeight="false" outlineLevel="0" collapsed="false">
      <c r="B9281" s="53"/>
      <c r="I9281" s="53"/>
      <c r="U9281" s="31" t="n">
        <f aca="false">IF($B9281&lt;&gt;'設定（最初に1回）'!$C$4,N(U9280),IF(COUNTIFS(①今日の在庫を貼る!$B$6:$B$10005,$B9281,①今日の在庫を貼る!$I$6:$I$10005,$I9281)&gt;0,N(U9280),N(U9280)+1))</f>
        <v>2</v>
      </c>
    </row>
    <row r="9282" customFormat="false" ht="15" hidden="false" customHeight="false" outlineLevel="0" collapsed="false">
      <c r="B9282" s="53"/>
      <c r="I9282" s="53"/>
      <c r="U9282" s="31" t="n">
        <f aca="false">IF($B9282&lt;&gt;'設定（最初に1回）'!$C$4,N(U9281),IF(COUNTIFS(①今日の在庫を貼る!$B$6:$B$10005,$B9282,①今日の在庫を貼る!$I$6:$I$10005,$I9282)&gt;0,N(U9281),N(U9281)+1))</f>
        <v>2</v>
      </c>
    </row>
    <row r="9283" customFormat="false" ht="15" hidden="false" customHeight="false" outlineLevel="0" collapsed="false">
      <c r="B9283" s="53"/>
      <c r="I9283" s="53"/>
      <c r="U9283" s="31" t="n">
        <f aca="false">IF($B9283&lt;&gt;'設定（最初に1回）'!$C$4,N(U9282),IF(COUNTIFS(①今日の在庫を貼る!$B$6:$B$10005,$B9283,①今日の在庫を貼る!$I$6:$I$10005,$I9283)&gt;0,N(U9282),N(U9282)+1))</f>
        <v>2</v>
      </c>
    </row>
    <row r="9284" customFormat="false" ht="15" hidden="false" customHeight="false" outlineLevel="0" collapsed="false">
      <c r="B9284" s="53"/>
      <c r="I9284" s="53"/>
      <c r="U9284" s="31" t="n">
        <f aca="false">IF($B9284&lt;&gt;'設定（最初に1回）'!$C$4,N(U9283),IF(COUNTIFS(①今日の在庫を貼る!$B$6:$B$10005,$B9284,①今日の在庫を貼る!$I$6:$I$10005,$I9284)&gt;0,N(U9283),N(U9283)+1))</f>
        <v>2</v>
      </c>
    </row>
    <row r="9285" customFormat="false" ht="15" hidden="false" customHeight="false" outlineLevel="0" collapsed="false">
      <c r="B9285" s="53"/>
      <c r="I9285" s="53"/>
      <c r="U9285" s="31" t="n">
        <f aca="false">IF($B9285&lt;&gt;'設定（最初に1回）'!$C$4,N(U9284),IF(COUNTIFS(①今日の在庫を貼る!$B$6:$B$10005,$B9285,①今日の在庫を貼る!$I$6:$I$10005,$I9285)&gt;0,N(U9284),N(U9284)+1))</f>
        <v>2</v>
      </c>
    </row>
    <row r="9286" customFormat="false" ht="15" hidden="false" customHeight="false" outlineLevel="0" collapsed="false">
      <c r="B9286" s="53"/>
      <c r="I9286" s="53"/>
      <c r="U9286" s="31" t="n">
        <f aca="false">IF($B9286&lt;&gt;'設定（最初に1回）'!$C$4,N(U9285),IF(COUNTIFS(①今日の在庫を貼る!$B$6:$B$10005,$B9286,①今日の在庫を貼る!$I$6:$I$10005,$I9286)&gt;0,N(U9285),N(U9285)+1))</f>
        <v>2</v>
      </c>
    </row>
    <row r="9287" customFormat="false" ht="15" hidden="false" customHeight="false" outlineLevel="0" collapsed="false">
      <c r="B9287" s="53"/>
      <c r="I9287" s="53"/>
      <c r="U9287" s="31" t="n">
        <f aca="false">IF($B9287&lt;&gt;'設定（最初に1回）'!$C$4,N(U9286),IF(COUNTIFS(①今日の在庫を貼る!$B$6:$B$10005,$B9287,①今日の在庫を貼る!$I$6:$I$10005,$I9287)&gt;0,N(U9286),N(U9286)+1))</f>
        <v>2</v>
      </c>
    </row>
    <row r="9288" customFormat="false" ht="15" hidden="false" customHeight="false" outlineLevel="0" collapsed="false">
      <c r="B9288" s="53"/>
      <c r="I9288" s="53"/>
      <c r="U9288" s="31" t="n">
        <f aca="false">IF($B9288&lt;&gt;'設定（最初に1回）'!$C$4,N(U9287),IF(COUNTIFS(①今日の在庫を貼る!$B$6:$B$10005,$B9288,①今日の在庫を貼る!$I$6:$I$10005,$I9288)&gt;0,N(U9287),N(U9287)+1))</f>
        <v>2</v>
      </c>
    </row>
    <row r="9289" customFormat="false" ht="15" hidden="false" customHeight="false" outlineLevel="0" collapsed="false">
      <c r="B9289" s="53"/>
      <c r="I9289" s="53"/>
      <c r="U9289" s="31" t="n">
        <f aca="false">IF($B9289&lt;&gt;'設定（最初に1回）'!$C$4,N(U9288),IF(COUNTIFS(①今日の在庫を貼る!$B$6:$B$10005,$B9289,①今日の在庫を貼る!$I$6:$I$10005,$I9289)&gt;0,N(U9288),N(U9288)+1))</f>
        <v>2</v>
      </c>
    </row>
    <row r="9290" customFormat="false" ht="15" hidden="false" customHeight="false" outlineLevel="0" collapsed="false">
      <c r="B9290" s="53"/>
      <c r="I9290" s="53"/>
      <c r="U9290" s="31" t="n">
        <f aca="false">IF($B9290&lt;&gt;'設定（最初に1回）'!$C$4,N(U9289),IF(COUNTIFS(①今日の在庫を貼る!$B$6:$B$10005,$B9290,①今日の在庫を貼る!$I$6:$I$10005,$I9290)&gt;0,N(U9289),N(U9289)+1))</f>
        <v>2</v>
      </c>
    </row>
    <row r="9291" customFormat="false" ht="15" hidden="false" customHeight="false" outlineLevel="0" collapsed="false">
      <c r="B9291" s="53"/>
      <c r="I9291" s="53"/>
      <c r="U9291" s="31" t="n">
        <f aca="false">IF($B9291&lt;&gt;'設定（最初に1回）'!$C$4,N(U9290),IF(COUNTIFS(①今日の在庫を貼る!$B$6:$B$10005,$B9291,①今日の在庫を貼る!$I$6:$I$10005,$I9291)&gt;0,N(U9290),N(U9290)+1))</f>
        <v>2</v>
      </c>
    </row>
    <row r="9292" customFormat="false" ht="15" hidden="false" customHeight="false" outlineLevel="0" collapsed="false">
      <c r="B9292" s="53"/>
      <c r="I9292" s="53"/>
      <c r="U9292" s="31" t="n">
        <f aca="false">IF($B9292&lt;&gt;'設定（最初に1回）'!$C$4,N(U9291),IF(COUNTIFS(①今日の在庫を貼る!$B$6:$B$10005,$B9292,①今日の在庫を貼る!$I$6:$I$10005,$I9292)&gt;0,N(U9291),N(U9291)+1))</f>
        <v>2</v>
      </c>
    </row>
    <row r="9293" customFormat="false" ht="15" hidden="false" customHeight="false" outlineLevel="0" collapsed="false">
      <c r="B9293" s="53"/>
      <c r="I9293" s="53"/>
      <c r="U9293" s="31" t="n">
        <f aca="false">IF($B9293&lt;&gt;'設定（最初に1回）'!$C$4,N(U9292),IF(COUNTIFS(①今日の在庫を貼る!$B$6:$B$10005,$B9293,①今日の在庫を貼る!$I$6:$I$10005,$I9293)&gt;0,N(U9292),N(U9292)+1))</f>
        <v>2</v>
      </c>
    </row>
    <row r="9294" customFormat="false" ht="15" hidden="false" customHeight="false" outlineLevel="0" collapsed="false">
      <c r="B9294" s="53"/>
      <c r="I9294" s="53"/>
      <c r="U9294" s="31" t="n">
        <f aca="false">IF($B9294&lt;&gt;'設定（最初に1回）'!$C$4,N(U9293),IF(COUNTIFS(①今日の在庫を貼る!$B$6:$B$10005,$B9294,①今日の在庫を貼る!$I$6:$I$10005,$I9294)&gt;0,N(U9293),N(U9293)+1))</f>
        <v>2</v>
      </c>
    </row>
    <row r="9295" customFormat="false" ht="15" hidden="false" customHeight="false" outlineLevel="0" collapsed="false">
      <c r="B9295" s="53"/>
      <c r="I9295" s="53"/>
      <c r="U9295" s="31" t="n">
        <f aca="false">IF($B9295&lt;&gt;'設定（最初に1回）'!$C$4,N(U9294),IF(COUNTIFS(①今日の在庫を貼る!$B$6:$B$10005,$B9295,①今日の在庫を貼る!$I$6:$I$10005,$I9295)&gt;0,N(U9294),N(U9294)+1))</f>
        <v>2</v>
      </c>
    </row>
    <row r="9296" customFormat="false" ht="15" hidden="false" customHeight="false" outlineLevel="0" collapsed="false">
      <c r="B9296" s="53"/>
      <c r="I9296" s="53"/>
      <c r="U9296" s="31" t="n">
        <f aca="false">IF($B9296&lt;&gt;'設定（最初に1回）'!$C$4,N(U9295),IF(COUNTIFS(①今日の在庫を貼る!$B$6:$B$10005,$B9296,①今日の在庫を貼る!$I$6:$I$10005,$I9296)&gt;0,N(U9295),N(U9295)+1))</f>
        <v>2</v>
      </c>
    </row>
    <row r="9297" customFormat="false" ht="15" hidden="false" customHeight="false" outlineLevel="0" collapsed="false">
      <c r="B9297" s="53"/>
      <c r="I9297" s="53"/>
      <c r="U9297" s="31" t="n">
        <f aca="false">IF($B9297&lt;&gt;'設定（最初に1回）'!$C$4,N(U9296),IF(COUNTIFS(①今日の在庫を貼る!$B$6:$B$10005,$B9297,①今日の在庫を貼る!$I$6:$I$10005,$I9297)&gt;0,N(U9296),N(U9296)+1))</f>
        <v>2</v>
      </c>
    </row>
    <row r="9298" customFormat="false" ht="15" hidden="false" customHeight="false" outlineLevel="0" collapsed="false">
      <c r="B9298" s="53"/>
      <c r="I9298" s="53"/>
      <c r="U9298" s="31" t="n">
        <f aca="false">IF($B9298&lt;&gt;'設定（最初に1回）'!$C$4,N(U9297),IF(COUNTIFS(①今日の在庫を貼る!$B$6:$B$10005,$B9298,①今日の在庫を貼る!$I$6:$I$10005,$I9298)&gt;0,N(U9297),N(U9297)+1))</f>
        <v>2</v>
      </c>
    </row>
    <row r="9299" customFormat="false" ht="15" hidden="false" customHeight="false" outlineLevel="0" collapsed="false">
      <c r="B9299" s="53"/>
      <c r="I9299" s="53"/>
      <c r="U9299" s="31" t="n">
        <f aca="false">IF($B9299&lt;&gt;'設定（最初に1回）'!$C$4,N(U9298),IF(COUNTIFS(①今日の在庫を貼る!$B$6:$B$10005,$B9299,①今日の在庫を貼る!$I$6:$I$10005,$I9299)&gt;0,N(U9298),N(U9298)+1))</f>
        <v>2</v>
      </c>
    </row>
    <row r="9300" customFormat="false" ht="15" hidden="false" customHeight="false" outlineLevel="0" collapsed="false">
      <c r="B9300" s="53"/>
      <c r="I9300" s="53"/>
      <c r="U9300" s="31" t="n">
        <f aca="false">IF($B9300&lt;&gt;'設定（最初に1回）'!$C$4,N(U9299),IF(COUNTIFS(①今日の在庫を貼る!$B$6:$B$10005,$B9300,①今日の在庫を貼る!$I$6:$I$10005,$I9300)&gt;0,N(U9299),N(U9299)+1))</f>
        <v>2</v>
      </c>
    </row>
    <row r="9301" customFormat="false" ht="15" hidden="false" customHeight="false" outlineLevel="0" collapsed="false">
      <c r="B9301" s="53"/>
      <c r="I9301" s="53"/>
      <c r="U9301" s="31" t="n">
        <f aca="false">IF($B9301&lt;&gt;'設定（最初に1回）'!$C$4,N(U9300),IF(COUNTIFS(①今日の在庫を貼る!$B$6:$B$10005,$B9301,①今日の在庫を貼る!$I$6:$I$10005,$I9301)&gt;0,N(U9300),N(U9300)+1))</f>
        <v>2</v>
      </c>
    </row>
    <row r="9302" customFormat="false" ht="15" hidden="false" customHeight="false" outlineLevel="0" collapsed="false">
      <c r="B9302" s="53"/>
      <c r="I9302" s="53"/>
      <c r="U9302" s="31" t="n">
        <f aca="false">IF($B9302&lt;&gt;'設定（最初に1回）'!$C$4,N(U9301),IF(COUNTIFS(①今日の在庫を貼る!$B$6:$B$10005,$B9302,①今日の在庫を貼る!$I$6:$I$10005,$I9302)&gt;0,N(U9301),N(U9301)+1))</f>
        <v>2</v>
      </c>
    </row>
    <row r="9303" customFormat="false" ht="15" hidden="false" customHeight="false" outlineLevel="0" collapsed="false">
      <c r="B9303" s="53"/>
      <c r="I9303" s="53"/>
      <c r="U9303" s="31" t="n">
        <f aca="false">IF($B9303&lt;&gt;'設定（最初に1回）'!$C$4,N(U9302),IF(COUNTIFS(①今日の在庫を貼る!$B$6:$B$10005,$B9303,①今日の在庫を貼る!$I$6:$I$10005,$I9303)&gt;0,N(U9302),N(U9302)+1))</f>
        <v>2</v>
      </c>
    </row>
    <row r="9304" customFormat="false" ht="15" hidden="false" customHeight="false" outlineLevel="0" collapsed="false">
      <c r="B9304" s="53"/>
      <c r="I9304" s="53"/>
      <c r="U9304" s="31" t="n">
        <f aca="false">IF($B9304&lt;&gt;'設定（最初に1回）'!$C$4,N(U9303),IF(COUNTIFS(①今日の在庫を貼る!$B$6:$B$10005,$B9304,①今日の在庫を貼る!$I$6:$I$10005,$I9304)&gt;0,N(U9303),N(U9303)+1))</f>
        <v>2</v>
      </c>
    </row>
    <row r="9305" customFormat="false" ht="15" hidden="false" customHeight="false" outlineLevel="0" collapsed="false">
      <c r="B9305" s="53"/>
      <c r="I9305" s="53"/>
      <c r="U9305" s="31" t="n">
        <f aca="false">IF($B9305&lt;&gt;'設定（最初に1回）'!$C$4,N(U9304),IF(COUNTIFS(①今日の在庫を貼る!$B$6:$B$10005,$B9305,①今日の在庫を貼る!$I$6:$I$10005,$I9305)&gt;0,N(U9304),N(U9304)+1))</f>
        <v>2</v>
      </c>
    </row>
    <row r="9306" customFormat="false" ht="15" hidden="false" customHeight="false" outlineLevel="0" collapsed="false">
      <c r="B9306" s="53"/>
      <c r="I9306" s="53"/>
      <c r="U9306" s="31" t="n">
        <f aca="false">IF($B9306&lt;&gt;'設定（最初に1回）'!$C$4,N(U9305),IF(COUNTIFS(①今日の在庫を貼る!$B$6:$B$10005,$B9306,①今日の在庫を貼る!$I$6:$I$10005,$I9306)&gt;0,N(U9305),N(U9305)+1))</f>
        <v>2</v>
      </c>
    </row>
    <row r="9307" customFormat="false" ht="15" hidden="false" customHeight="false" outlineLevel="0" collapsed="false">
      <c r="B9307" s="53"/>
      <c r="I9307" s="53"/>
      <c r="U9307" s="31" t="n">
        <f aca="false">IF($B9307&lt;&gt;'設定（最初に1回）'!$C$4,N(U9306),IF(COUNTIFS(①今日の在庫を貼る!$B$6:$B$10005,$B9307,①今日の在庫を貼る!$I$6:$I$10005,$I9307)&gt;0,N(U9306),N(U9306)+1))</f>
        <v>2</v>
      </c>
    </row>
    <row r="9308" customFormat="false" ht="15" hidden="false" customHeight="false" outlineLevel="0" collapsed="false">
      <c r="B9308" s="53"/>
      <c r="I9308" s="53"/>
      <c r="U9308" s="31" t="n">
        <f aca="false">IF($B9308&lt;&gt;'設定（最初に1回）'!$C$4,N(U9307),IF(COUNTIFS(①今日の在庫を貼る!$B$6:$B$10005,$B9308,①今日の在庫を貼る!$I$6:$I$10005,$I9308)&gt;0,N(U9307),N(U9307)+1))</f>
        <v>2</v>
      </c>
    </row>
    <row r="9309" customFormat="false" ht="15" hidden="false" customHeight="false" outlineLevel="0" collapsed="false">
      <c r="B9309" s="53"/>
      <c r="I9309" s="53"/>
      <c r="U9309" s="31" t="n">
        <f aca="false">IF($B9309&lt;&gt;'設定（最初に1回）'!$C$4,N(U9308),IF(COUNTIFS(①今日の在庫を貼る!$B$6:$B$10005,$B9309,①今日の在庫を貼る!$I$6:$I$10005,$I9309)&gt;0,N(U9308),N(U9308)+1))</f>
        <v>2</v>
      </c>
    </row>
    <row r="9310" customFormat="false" ht="15" hidden="false" customHeight="false" outlineLevel="0" collapsed="false">
      <c r="B9310" s="53"/>
      <c r="I9310" s="53"/>
      <c r="U9310" s="31" t="n">
        <f aca="false">IF($B9310&lt;&gt;'設定（最初に1回）'!$C$4,N(U9309),IF(COUNTIFS(①今日の在庫を貼る!$B$6:$B$10005,$B9310,①今日の在庫を貼る!$I$6:$I$10005,$I9310)&gt;0,N(U9309),N(U9309)+1))</f>
        <v>2</v>
      </c>
    </row>
    <row r="9311" customFormat="false" ht="15" hidden="false" customHeight="false" outlineLevel="0" collapsed="false">
      <c r="B9311" s="53"/>
      <c r="I9311" s="53"/>
      <c r="U9311" s="31" t="n">
        <f aca="false">IF($B9311&lt;&gt;'設定（最初に1回）'!$C$4,N(U9310),IF(COUNTIFS(①今日の在庫を貼る!$B$6:$B$10005,$B9311,①今日の在庫を貼る!$I$6:$I$10005,$I9311)&gt;0,N(U9310),N(U9310)+1))</f>
        <v>2</v>
      </c>
    </row>
    <row r="9312" customFormat="false" ht="15" hidden="false" customHeight="false" outlineLevel="0" collapsed="false">
      <c r="B9312" s="53"/>
      <c r="I9312" s="53"/>
      <c r="U9312" s="31" t="n">
        <f aca="false">IF($B9312&lt;&gt;'設定（最初に1回）'!$C$4,N(U9311),IF(COUNTIFS(①今日の在庫を貼る!$B$6:$B$10005,$B9312,①今日の在庫を貼る!$I$6:$I$10005,$I9312)&gt;0,N(U9311),N(U9311)+1))</f>
        <v>2</v>
      </c>
    </row>
    <row r="9313" customFormat="false" ht="15" hidden="false" customHeight="false" outlineLevel="0" collapsed="false">
      <c r="B9313" s="53"/>
      <c r="I9313" s="53"/>
      <c r="U9313" s="31" t="n">
        <f aca="false">IF($B9313&lt;&gt;'設定（最初に1回）'!$C$4,N(U9312),IF(COUNTIFS(①今日の在庫を貼る!$B$6:$B$10005,$B9313,①今日の在庫を貼る!$I$6:$I$10005,$I9313)&gt;0,N(U9312),N(U9312)+1))</f>
        <v>2</v>
      </c>
    </row>
    <row r="9314" customFormat="false" ht="15" hidden="false" customHeight="false" outlineLevel="0" collapsed="false">
      <c r="B9314" s="53"/>
      <c r="I9314" s="53"/>
      <c r="U9314" s="31" t="n">
        <f aca="false">IF($B9314&lt;&gt;'設定（最初に1回）'!$C$4,N(U9313),IF(COUNTIFS(①今日の在庫を貼る!$B$6:$B$10005,$B9314,①今日の在庫を貼る!$I$6:$I$10005,$I9314)&gt;0,N(U9313),N(U9313)+1))</f>
        <v>2</v>
      </c>
    </row>
    <row r="9315" customFormat="false" ht="15" hidden="false" customHeight="false" outlineLevel="0" collapsed="false">
      <c r="B9315" s="53"/>
      <c r="I9315" s="53"/>
      <c r="U9315" s="31" t="n">
        <f aca="false">IF($B9315&lt;&gt;'設定（最初に1回）'!$C$4,N(U9314),IF(COUNTIFS(①今日の在庫を貼る!$B$6:$B$10005,$B9315,①今日の在庫を貼る!$I$6:$I$10005,$I9315)&gt;0,N(U9314),N(U9314)+1))</f>
        <v>2</v>
      </c>
    </row>
    <row r="9316" customFormat="false" ht="15" hidden="false" customHeight="false" outlineLevel="0" collapsed="false">
      <c r="B9316" s="53"/>
      <c r="I9316" s="53"/>
      <c r="U9316" s="31" t="n">
        <f aca="false">IF($B9316&lt;&gt;'設定（最初に1回）'!$C$4,N(U9315),IF(COUNTIFS(①今日の在庫を貼る!$B$6:$B$10005,$B9316,①今日の在庫を貼る!$I$6:$I$10005,$I9316)&gt;0,N(U9315),N(U9315)+1))</f>
        <v>2</v>
      </c>
    </row>
    <row r="9317" customFormat="false" ht="15" hidden="false" customHeight="false" outlineLevel="0" collapsed="false">
      <c r="B9317" s="53"/>
      <c r="I9317" s="53"/>
      <c r="U9317" s="31" t="n">
        <f aca="false">IF($B9317&lt;&gt;'設定（最初に1回）'!$C$4,N(U9316),IF(COUNTIFS(①今日の在庫を貼る!$B$6:$B$10005,$B9317,①今日の在庫を貼る!$I$6:$I$10005,$I9317)&gt;0,N(U9316),N(U9316)+1))</f>
        <v>2</v>
      </c>
    </row>
    <row r="9318" customFormat="false" ht="15" hidden="false" customHeight="false" outlineLevel="0" collapsed="false">
      <c r="B9318" s="53"/>
      <c r="I9318" s="53"/>
      <c r="U9318" s="31" t="n">
        <f aca="false">IF($B9318&lt;&gt;'設定（最初に1回）'!$C$4,N(U9317),IF(COUNTIFS(①今日の在庫を貼る!$B$6:$B$10005,$B9318,①今日の在庫を貼る!$I$6:$I$10005,$I9318)&gt;0,N(U9317),N(U9317)+1))</f>
        <v>2</v>
      </c>
    </row>
    <row r="9319" customFormat="false" ht="15" hidden="false" customHeight="false" outlineLevel="0" collapsed="false">
      <c r="B9319" s="53"/>
      <c r="I9319" s="53"/>
      <c r="U9319" s="31" t="n">
        <f aca="false">IF($B9319&lt;&gt;'設定（最初に1回）'!$C$4,N(U9318),IF(COUNTIFS(①今日の在庫を貼る!$B$6:$B$10005,$B9319,①今日の在庫を貼る!$I$6:$I$10005,$I9319)&gt;0,N(U9318),N(U9318)+1))</f>
        <v>2</v>
      </c>
    </row>
    <row r="9320" customFormat="false" ht="15" hidden="false" customHeight="false" outlineLevel="0" collapsed="false">
      <c r="B9320" s="53"/>
      <c r="I9320" s="53"/>
      <c r="U9320" s="31" t="n">
        <f aca="false">IF($B9320&lt;&gt;'設定（最初に1回）'!$C$4,N(U9319),IF(COUNTIFS(①今日の在庫を貼る!$B$6:$B$10005,$B9320,①今日の在庫を貼る!$I$6:$I$10005,$I9320)&gt;0,N(U9319),N(U9319)+1))</f>
        <v>2</v>
      </c>
    </row>
    <row r="9321" customFormat="false" ht="15" hidden="false" customHeight="false" outlineLevel="0" collapsed="false">
      <c r="B9321" s="53"/>
      <c r="I9321" s="53"/>
      <c r="U9321" s="31" t="n">
        <f aca="false">IF($B9321&lt;&gt;'設定（最初に1回）'!$C$4,N(U9320),IF(COUNTIFS(①今日の在庫を貼る!$B$6:$B$10005,$B9321,①今日の在庫を貼る!$I$6:$I$10005,$I9321)&gt;0,N(U9320),N(U9320)+1))</f>
        <v>2</v>
      </c>
    </row>
    <row r="9322" customFormat="false" ht="15" hidden="false" customHeight="false" outlineLevel="0" collapsed="false">
      <c r="B9322" s="53"/>
      <c r="I9322" s="53"/>
      <c r="U9322" s="31" t="n">
        <f aca="false">IF($B9322&lt;&gt;'設定（最初に1回）'!$C$4,N(U9321),IF(COUNTIFS(①今日の在庫を貼る!$B$6:$B$10005,$B9322,①今日の在庫を貼る!$I$6:$I$10005,$I9322)&gt;0,N(U9321),N(U9321)+1))</f>
        <v>2</v>
      </c>
    </row>
    <row r="9323" customFormat="false" ht="15" hidden="false" customHeight="false" outlineLevel="0" collapsed="false">
      <c r="B9323" s="53"/>
      <c r="I9323" s="53"/>
      <c r="U9323" s="31" t="n">
        <f aca="false">IF($B9323&lt;&gt;'設定（最初に1回）'!$C$4,N(U9322),IF(COUNTIFS(①今日の在庫を貼る!$B$6:$B$10005,$B9323,①今日の在庫を貼る!$I$6:$I$10005,$I9323)&gt;0,N(U9322),N(U9322)+1))</f>
        <v>2</v>
      </c>
    </row>
    <row r="9324" customFormat="false" ht="15" hidden="false" customHeight="false" outlineLevel="0" collapsed="false">
      <c r="B9324" s="53"/>
      <c r="I9324" s="53"/>
      <c r="U9324" s="31" t="n">
        <f aca="false">IF($B9324&lt;&gt;'設定（最初に1回）'!$C$4,N(U9323),IF(COUNTIFS(①今日の在庫を貼る!$B$6:$B$10005,$B9324,①今日の在庫を貼る!$I$6:$I$10005,$I9324)&gt;0,N(U9323),N(U9323)+1))</f>
        <v>2</v>
      </c>
    </row>
    <row r="9325" customFormat="false" ht="15" hidden="false" customHeight="false" outlineLevel="0" collapsed="false">
      <c r="B9325" s="53"/>
      <c r="I9325" s="53"/>
      <c r="U9325" s="31" t="n">
        <f aca="false">IF($B9325&lt;&gt;'設定（最初に1回）'!$C$4,N(U9324),IF(COUNTIFS(①今日の在庫を貼る!$B$6:$B$10005,$B9325,①今日の在庫を貼る!$I$6:$I$10005,$I9325)&gt;0,N(U9324),N(U9324)+1))</f>
        <v>2</v>
      </c>
    </row>
    <row r="9326" customFormat="false" ht="15" hidden="false" customHeight="false" outlineLevel="0" collapsed="false">
      <c r="B9326" s="53"/>
      <c r="I9326" s="53"/>
      <c r="U9326" s="31" t="n">
        <f aca="false">IF($B9326&lt;&gt;'設定（最初に1回）'!$C$4,N(U9325),IF(COUNTIFS(①今日の在庫を貼る!$B$6:$B$10005,$B9326,①今日の在庫を貼る!$I$6:$I$10005,$I9326)&gt;0,N(U9325),N(U9325)+1))</f>
        <v>2</v>
      </c>
    </row>
    <row r="9327" customFormat="false" ht="15" hidden="false" customHeight="false" outlineLevel="0" collapsed="false">
      <c r="B9327" s="53"/>
      <c r="I9327" s="53"/>
      <c r="U9327" s="31" t="n">
        <f aca="false">IF($B9327&lt;&gt;'設定（最初に1回）'!$C$4,N(U9326),IF(COUNTIFS(①今日の在庫を貼る!$B$6:$B$10005,$B9327,①今日の在庫を貼る!$I$6:$I$10005,$I9327)&gt;0,N(U9326),N(U9326)+1))</f>
        <v>2</v>
      </c>
    </row>
    <row r="9328" customFormat="false" ht="15" hidden="false" customHeight="false" outlineLevel="0" collapsed="false">
      <c r="B9328" s="53"/>
      <c r="I9328" s="53"/>
      <c r="U9328" s="31" t="n">
        <f aca="false">IF($B9328&lt;&gt;'設定（最初に1回）'!$C$4,N(U9327),IF(COUNTIFS(①今日の在庫を貼る!$B$6:$B$10005,$B9328,①今日の在庫を貼る!$I$6:$I$10005,$I9328)&gt;0,N(U9327),N(U9327)+1))</f>
        <v>2</v>
      </c>
    </row>
    <row r="9329" customFormat="false" ht="15" hidden="false" customHeight="false" outlineLevel="0" collapsed="false">
      <c r="B9329" s="53"/>
      <c r="I9329" s="53"/>
      <c r="U9329" s="31" t="n">
        <f aca="false">IF($B9329&lt;&gt;'設定（最初に1回）'!$C$4,N(U9328),IF(COUNTIFS(①今日の在庫を貼る!$B$6:$B$10005,$B9329,①今日の在庫を貼る!$I$6:$I$10005,$I9329)&gt;0,N(U9328),N(U9328)+1))</f>
        <v>2</v>
      </c>
    </row>
    <row r="9330" customFormat="false" ht="15" hidden="false" customHeight="false" outlineLevel="0" collapsed="false">
      <c r="B9330" s="53"/>
      <c r="I9330" s="53"/>
      <c r="U9330" s="31" t="n">
        <f aca="false">IF($B9330&lt;&gt;'設定（最初に1回）'!$C$4,N(U9329),IF(COUNTIFS(①今日の在庫を貼る!$B$6:$B$10005,$B9330,①今日の在庫を貼る!$I$6:$I$10005,$I9330)&gt;0,N(U9329),N(U9329)+1))</f>
        <v>2</v>
      </c>
    </row>
    <row r="9331" customFormat="false" ht="15" hidden="false" customHeight="false" outlineLevel="0" collapsed="false">
      <c r="B9331" s="53"/>
      <c r="I9331" s="53"/>
      <c r="U9331" s="31" t="n">
        <f aca="false">IF($B9331&lt;&gt;'設定（最初に1回）'!$C$4,N(U9330),IF(COUNTIFS(①今日の在庫を貼る!$B$6:$B$10005,$B9331,①今日の在庫を貼る!$I$6:$I$10005,$I9331)&gt;0,N(U9330),N(U9330)+1))</f>
        <v>2</v>
      </c>
    </row>
    <row r="9332" customFormat="false" ht="15" hidden="false" customHeight="false" outlineLevel="0" collapsed="false">
      <c r="B9332" s="53"/>
      <c r="I9332" s="53"/>
      <c r="U9332" s="31" t="n">
        <f aca="false">IF($B9332&lt;&gt;'設定（最初に1回）'!$C$4,N(U9331),IF(COUNTIFS(①今日の在庫を貼る!$B$6:$B$10005,$B9332,①今日の在庫を貼る!$I$6:$I$10005,$I9332)&gt;0,N(U9331),N(U9331)+1))</f>
        <v>2</v>
      </c>
    </row>
    <row r="9333" customFormat="false" ht="15" hidden="false" customHeight="false" outlineLevel="0" collapsed="false">
      <c r="B9333" s="53"/>
      <c r="I9333" s="53"/>
      <c r="U9333" s="31" t="n">
        <f aca="false">IF($B9333&lt;&gt;'設定（最初に1回）'!$C$4,N(U9332),IF(COUNTIFS(①今日の在庫を貼る!$B$6:$B$10005,$B9333,①今日の在庫を貼る!$I$6:$I$10005,$I9333)&gt;0,N(U9332),N(U9332)+1))</f>
        <v>2</v>
      </c>
    </row>
    <row r="9334" customFormat="false" ht="15" hidden="false" customHeight="false" outlineLevel="0" collapsed="false">
      <c r="B9334" s="53"/>
      <c r="I9334" s="53"/>
      <c r="U9334" s="31" t="n">
        <f aca="false">IF($B9334&lt;&gt;'設定（最初に1回）'!$C$4,N(U9333),IF(COUNTIFS(①今日の在庫を貼る!$B$6:$B$10005,$B9334,①今日の在庫を貼る!$I$6:$I$10005,$I9334)&gt;0,N(U9333),N(U9333)+1))</f>
        <v>2</v>
      </c>
    </row>
    <row r="9335" customFormat="false" ht="15" hidden="false" customHeight="false" outlineLevel="0" collapsed="false">
      <c r="B9335" s="53"/>
      <c r="I9335" s="53"/>
      <c r="U9335" s="31" t="n">
        <f aca="false">IF($B9335&lt;&gt;'設定（最初に1回）'!$C$4,N(U9334),IF(COUNTIFS(①今日の在庫を貼る!$B$6:$B$10005,$B9335,①今日の在庫を貼る!$I$6:$I$10005,$I9335)&gt;0,N(U9334),N(U9334)+1))</f>
        <v>2</v>
      </c>
    </row>
    <row r="9336" customFormat="false" ht="15" hidden="false" customHeight="false" outlineLevel="0" collapsed="false">
      <c r="B9336" s="53"/>
      <c r="I9336" s="53"/>
      <c r="U9336" s="31" t="n">
        <f aca="false">IF($B9336&lt;&gt;'設定（最初に1回）'!$C$4,N(U9335),IF(COUNTIFS(①今日の在庫を貼る!$B$6:$B$10005,$B9336,①今日の在庫を貼る!$I$6:$I$10005,$I9336)&gt;0,N(U9335),N(U9335)+1))</f>
        <v>2</v>
      </c>
    </row>
    <row r="9337" customFormat="false" ht="15" hidden="false" customHeight="false" outlineLevel="0" collapsed="false">
      <c r="B9337" s="53"/>
      <c r="I9337" s="53"/>
      <c r="U9337" s="31" t="n">
        <f aca="false">IF($B9337&lt;&gt;'設定（最初に1回）'!$C$4,N(U9336),IF(COUNTIFS(①今日の在庫を貼る!$B$6:$B$10005,$B9337,①今日の在庫を貼る!$I$6:$I$10005,$I9337)&gt;0,N(U9336),N(U9336)+1))</f>
        <v>2</v>
      </c>
    </row>
    <row r="9338" customFormat="false" ht="15" hidden="false" customHeight="false" outlineLevel="0" collapsed="false">
      <c r="B9338" s="53"/>
      <c r="I9338" s="53"/>
      <c r="U9338" s="31" t="n">
        <f aca="false">IF($B9338&lt;&gt;'設定（最初に1回）'!$C$4,N(U9337),IF(COUNTIFS(①今日の在庫を貼る!$B$6:$B$10005,$B9338,①今日の在庫を貼る!$I$6:$I$10005,$I9338)&gt;0,N(U9337),N(U9337)+1))</f>
        <v>2</v>
      </c>
    </row>
    <row r="9339" customFormat="false" ht="15" hidden="false" customHeight="false" outlineLevel="0" collapsed="false">
      <c r="B9339" s="53"/>
      <c r="I9339" s="53"/>
      <c r="U9339" s="31" t="n">
        <f aca="false">IF($B9339&lt;&gt;'設定（最初に1回）'!$C$4,N(U9338),IF(COUNTIFS(①今日の在庫を貼る!$B$6:$B$10005,$B9339,①今日の在庫を貼る!$I$6:$I$10005,$I9339)&gt;0,N(U9338),N(U9338)+1))</f>
        <v>2</v>
      </c>
    </row>
    <row r="9340" customFormat="false" ht="15" hidden="false" customHeight="false" outlineLevel="0" collapsed="false">
      <c r="B9340" s="53"/>
      <c r="I9340" s="53"/>
      <c r="U9340" s="31" t="n">
        <f aca="false">IF($B9340&lt;&gt;'設定（最初に1回）'!$C$4,N(U9339),IF(COUNTIFS(①今日の在庫を貼る!$B$6:$B$10005,$B9340,①今日の在庫を貼る!$I$6:$I$10005,$I9340)&gt;0,N(U9339),N(U9339)+1))</f>
        <v>2</v>
      </c>
    </row>
    <row r="9341" customFormat="false" ht="15" hidden="false" customHeight="false" outlineLevel="0" collapsed="false">
      <c r="B9341" s="53"/>
      <c r="I9341" s="53"/>
      <c r="U9341" s="31" t="n">
        <f aca="false">IF($B9341&lt;&gt;'設定（最初に1回）'!$C$4,N(U9340),IF(COUNTIFS(①今日の在庫を貼る!$B$6:$B$10005,$B9341,①今日の在庫を貼る!$I$6:$I$10005,$I9341)&gt;0,N(U9340),N(U9340)+1))</f>
        <v>2</v>
      </c>
    </row>
    <row r="9342" customFormat="false" ht="15" hidden="false" customHeight="false" outlineLevel="0" collapsed="false">
      <c r="B9342" s="53"/>
      <c r="I9342" s="53"/>
      <c r="U9342" s="31" t="n">
        <f aca="false">IF($B9342&lt;&gt;'設定（最初に1回）'!$C$4,N(U9341),IF(COUNTIFS(①今日の在庫を貼る!$B$6:$B$10005,$B9342,①今日の在庫を貼る!$I$6:$I$10005,$I9342)&gt;0,N(U9341),N(U9341)+1))</f>
        <v>2</v>
      </c>
    </row>
    <row r="9343" customFormat="false" ht="15" hidden="false" customHeight="false" outlineLevel="0" collapsed="false">
      <c r="B9343" s="53"/>
      <c r="I9343" s="53"/>
      <c r="U9343" s="31" t="n">
        <f aca="false">IF($B9343&lt;&gt;'設定（最初に1回）'!$C$4,N(U9342),IF(COUNTIFS(①今日の在庫を貼る!$B$6:$B$10005,$B9343,①今日の在庫を貼る!$I$6:$I$10005,$I9343)&gt;0,N(U9342),N(U9342)+1))</f>
        <v>2</v>
      </c>
    </row>
    <row r="9344" customFormat="false" ht="15" hidden="false" customHeight="false" outlineLevel="0" collapsed="false">
      <c r="B9344" s="53"/>
      <c r="I9344" s="53"/>
      <c r="U9344" s="31" t="n">
        <f aca="false">IF($B9344&lt;&gt;'設定（最初に1回）'!$C$4,N(U9343),IF(COUNTIFS(①今日の在庫を貼る!$B$6:$B$10005,$B9344,①今日の在庫を貼る!$I$6:$I$10005,$I9344)&gt;0,N(U9343),N(U9343)+1))</f>
        <v>2</v>
      </c>
    </row>
    <row r="9345" customFormat="false" ht="15" hidden="false" customHeight="false" outlineLevel="0" collapsed="false">
      <c r="B9345" s="53"/>
      <c r="I9345" s="53"/>
      <c r="U9345" s="31" t="n">
        <f aca="false">IF($B9345&lt;&gt;'設定（最初に1回）'!$C$4,N(U9344),IF(COUNTIFS(①今日の在庫を貼る!$B$6:$B$10005,$B9345,①今日の在庫を貼る!$I$6:$I$10005,$I9345)&gt;0,N(U9344),N(U9344)+1))</f>
        <v>2</v>
      </c>
    </row>
    <row r="9346" customFormat="false" ht="15" hidden="false" customHeight="false" outlineLevel="0" collapsed="false">
      <c r="B9346" s="53"/>
      <c r="I9346" s="53"/>
      <c r="U9346" s="31" t="n">
        <f aca="false">IF($B9346&lt;&gt;'設定（最初に1回）'!$C$4,N(U9345),IF(COUNTIFS(①今日の在庫を貼る!$B$6:$B$10005,$B9346,①今日の在庫を貼る!$I$6:$I$10005,$I9346)&gt;0,N(U9345),N(U9345)+1))</f>
        <v>2</v>
      </c>
    </row>
    <row r="9347" customFormat="false" ht="15" hidden="false" customHeight="false" outlineLevel="0" collapsed="false">
      <c r="B9347" s="53"/>
      <c r="I9347" s="53"/>
      <c r="U9347" s="31" t="n">
        <f aca="false">IF($B9347&lt;&gt;'設定（最初に1回）'!$C$4,N(U9346),IF(COUNTIFS(①今日の在庫を貼る!$B$6:$B$10005,$B9347,①今日の在庫を貼る!$I$6:$I$10005,$I9347)&gt;0,N(U9346),N(U9346)+1))</f>
        <v>2</v>
      </c>
    </row>
    <row r="9348" customFormat="false" ht="15" hidden="false" customHeight="false" outlineLevel="0" collapsed="false">
      <c r="B9348" s="53"/>
      <c r="I9348" s="53"/>
      <c r="U9348" s="31" t="n">
        <f aca="false">IF($B9348&lt;&gt;'設定（最初に1回）'!$C$4,N(U9347),IF(COUNTIFS(①今日の在庫を貼る!$B$6:$B$10005,$B9348,①今日の在庫を貼る!$I$6:$I$10005,$I9348)&gt;0,N(U9347),N(U9347)+1))</f>
        <v>2</v>
      </c>
    </row>
    <row r="9349" customFormat="false" ht="15" hidden="false" customHeight="false" outlineLevel="0" collapsed="false">
      <c r="B9349" s="53"/>
      <c r="I9349" s="53"/>
      <c r="U9349" s="31" t="n">
        <f aca="false">IF($B9349&lt;&gt;'設定（最初に1回）'!$C$4,N(U9348),IF(COUNTIFS(①今日の在庫を貼る!$B$6:$B$10005,$B9349,①今日の在庫を貼る!$I$6:$I$10005,$I9349)&gt;0,N(U9348),N(U9348)+1))</f>
        <v>2</v>
      </c>
    </row>
    <row r="9350" customFormat="false" ht="15" hidden="false" customHeight="false" outlineLevel="0" collapsed="false">
      <c r="B9350" s="53"/>
      <c r="I9350" s="53"/>
      <c r="U9350" s="31" t="n">
        <f aca="false">IF($B9350&lt;&gt;'設定（最初に1回）'!$C$4,N(U9349),IF(COUNTIFS(①今日の在庫を貼る!$B$6:$B$10005,$B9350,①今日の在庫を貼る!$I$6:$I$10005,$I9350)&gt;0,N(U9349),N(U9349)+1))</f>
        <v>2</v>
      </c>
    </row>
    <row r="9351" customFormat="false" ht="15" hidden="false" customHeight="false" outlineLevel="0" collapsed="false">
      <c r="B9351" s="53"/>
      <c r="I9351" s="53"/>
      <c r="U9351" s="31" t="n">
        <f aca="false">IF($B9351&lt;&gt;'設定（最初に1回）'!$C$4,N(U9350),IF(COUNTIFS(①今日の在庫を貼る!$B$6:$B$10005,$B9351,①今日の在庫を貼る!$I$6:$I$10005,$I9351)&gt;0,N(U9350),N(U9350)+1))</f>
        <v>2</v>
      </c>
    </row>
    <row r="9352" customFormat="false" ht="15" hidden="false" customHeight="false" outlineLevel="0" collapsed="false">
      <c r="B9352" s="53"/>
      <c r="I9352" s="53"/>
      <c r="U9352" s="31" t="n">
        <f aca="false">IF($B9352&lt;&gt;'設定（最初に1回）'!$C$4,N(U9351),IF(COUNTIFS(①今日の在庫を貼る!$B$6:$B$10005,$B9352,①今日の在庫を貼る!$I$6:$I$10005,$I9352)&gt;0,N(U9351),N(U9351)+1))</f>
        <v>2</v>
      </c>
    </row>
    <row r="9353" customFormat="false" ht="15" hidden="false" customHeight="false" outlineLevel="0" collapsed="false">
      <c r="B9353" s="53"/>
      <c r="I9353" s="53"/>
      <c r="U9353" s="31" t="n">
        <f aca="false">IF($B9353&lt;&gt;'設定（最初に1回）'!$C$4,N(U9352),IF(COUNTIFS(①今日の在庫を貼る!$B$6:$B$10005,$B9353,①今日の在庫を貼る!$I$6:$I$10005,$I9353)&gt;0,N(U9352),N(U9352)+1))</f>
        <v>2</v>
      </c>
    </row>
    <row r="9354" customFormat="false" ht="15" hidden="false" customHeight="false" outlineLevel="0" collapsed="false">
      <c r="B9354" s="53"/>
      <c r="I9354" s="53"/>
      <c r="U9354" s="31" t="n">
        <f aca="false">IF($B9354&lt;&gt;'設定（最初に1回）'!$C$4,N(U9353),IF(COUNTIFS(①今日の在庫を貼る!$B$6:$B$10005,$B9354,①今日の在庫を貼る!$I$6:$I$10005,$I9354)&gt;0,N(U9353),N(U9353)+1))</f>
        <v>2</v>
      </c>
    </row>
    <row r="9355" customFormat="false" ht="15" hidden="false" customHeight="false" outlineLevel="0" collapsed="false">
      <c r="B9355" s="53"/>
      <c r="I9355" s="53"/>
      <c r="U9355" s="31" t="n">
        <f aca="false">IF($B9355&lt;&gt;'設定（最初に1回）'!$C$4,N(U9354),IF(COUNTIFS(①今日の在庫を貼る!$B$6:$B$10005,$B9355,①今日の在庫を貼る!$I$6:$I$10005,$I9355)&gt;0,N(U9354),N(U9354)+1))</f>
        <v>2</v>
      </c>
    </row>
    <row r="9356" customFormat="false" ht="15" hidden="false" customHeight="false" outlineLevel="0" collapsed="false">
      <c r="B9356" s="53"/>
      <c r="I9356" s="53"/>
      <c r="U9356" s="31" t="n">
        <f aca="false">IF($B9356&lt;&gt;'設定（最初に1回）'!$C$4,N(U9355),IF(COUNTIFS(①今日の在庫を貼る!$B$6:$B$10005,$B9356,①今日の在庫を貼る!$I$6:$I$10005,$I9356)&gt;0,N(U9355),N(U9355)+1))</f>
        <v>2</v>
      </c>
    </row>
    <row r="9357" customFormat="false" ht="15" hidden="false" customHeight="false" outlineLevel="0" collapsed="false">
      <c r="B9357" s="53"/>
      <c r="I9357" s="53"/>
      <c r="U9357" s="31" t="n">
        <f aca="false">IF($B9357&lt;&gt;'設定（最初に1回）'!$C$4,N(U9356),IF(COUNTIFS(①今日の在庫を貼る!$B$6:$B$10005,$B9357,①今日の在庫を貼る!$I$6:$I$10005,$I9357)&gt;0,N(U9356),N(U9356)+1))</f>
        <v>2</v>
      </c>
    </row>
    <row r="9358" customFormat="false" ht="15" hidden="false" customHeight="false" outlineLevel="0" collapsed="false">
      <c r="B9358" s="53"/>
      <c r="I9358" s="53"/>
      <c r="U9358" s="31" t="n">
        <f aca="false">IF($B9358&lt;&gt;'設定（最初に1回）'!$C$4,N(U9357),IF(COUNTIFS(①今日の在庫を貼る!$B$6:$B$10005,$B9358,①今日の在庫を貼る!$I$6:$I$10005,$I9358)&gt;0,N(U9357),N(U9357)+1))</f>
        <v>2</v>
      </c>
    </row>
    <row r="9359" customFormat="false" ht="15" hidden="false" customHeight="false" outlineLevel="0" collapsed="false">
      <c r="B9359" s="53"/>
      <c r="I9359" s="53"/>
      <c r="U9359" s="31" t="n">
        <f aca="false">IF($B9359&lt;&gt;'設定（最初に1回）'!$C$4,N(U9358),IF(COUNTIFS(①今日の在庫を貼る!$B$6:$B$10005,$B9359,①今日の在庫を貼る!$I$6:$I$10005,$I9359)&gt;0,N(U9358),N(U9358)+1))</f>
        <v>2</v>
      </c>
    </row>
    <row r="9360" customFormat="false" ht="15" hidden="false" customHeight="false" outlineLevel="0" collapsed="false">
      <c r="B9360" s="53"/>
      <c r="I9360" s="53"/>
      <c r="U9360" s="31" t="n">
        <f aca="false">IF($B9360&lt;&gt;'設定（最初に1回）'!$C$4,N(U9359),IF(COUNTIFS(①今日の在庫を貼る!$B$6:$B$10005,$B9360,①今日の在庫を貼る!$I$6:$I$10005,$I9360)&gt;0,N(U9359),N(U9359)+1))</f>
        <v>2</v>
      </c>
    </row>
    <row r="9361" customFormat="false" ht="15" hidden="false" customHeight="false" outlineLevel="0" collapsed="false">
      <c r="B9361" s="53"/>
      <c r="I9361" s="53"/>
      <c r="U9361" s="31" t="n">
        <f aca="false">IF($B9361&lt;&gt;'設定（最初に1回）'!$C$4,N(U9360),IF(COUNTIFS(①今日の在庫を貼る!$B$6:$B$10005,$B9361,①今日の在庫を貼る!$I$6:$I$10005,$I9361)&gt;0,N(U9360),N(U9360)+1))</f>
        <v>2</v>
      </c>
    </row>
    <row r="9362" customFormat="false" ht="15" hidden="false" customHeight="false" outlineLevel="0" collapsed="false">
      <c r="B9362" s="53"/>
      <c r="I9362" s="53"/>
      <c r="U9362" s="31" t="n">
        <f aca="false">IF($B9362&lt;&gt;'設定（最初に1回）'!$C$4,N(U9361),IF(COUNTIFS(①今日の在庫を貼る!$B$6:$B$10005,$B9362,①今日の在庫を貼る!$I$6:$I$10005,$I9362)&gt;0,N(U9361),N(U9361)+1))</f>
        <v>2</v>
      </c>
    </row>
    <row r="9363" customFormat="false" ht="15" hidden="false" customHeight="false" outlineLevel="0" collapsed="false">
      <c r="B9363" s="53"/>
      <c r="I9363" s="53"/>
      <c r="U9363" s="31" t="n">
        <f aca="false">IF($B9363&lt;&gt;'設定（最初に1回）'!$C$4,N(U9362),IF(COUNTIFS(①今日の在庫を貼る!$B$6:$B$10005,$B9363,①今日の在庫を貼る!$I$6:$I$10005,$I9363)&gt;0,N(U9362),N(U9362)+1))</f>
        <v>2</v>
      </c>
    </row>
    <row r="9364" customFormat="false" ht="15" hidden="false" customHeight="false" outlineLevel="0" collapsed="false">
      <c r="B9364" s="53"/>
      <c r="I9364" s="53"/>
      <c r="U9364" s="31" t="n">
        <f aca="false">IF($B9364&lt;&gt;'設定（最初に1回）'!$C$4,N(U9363),IF(COUNTIFS(①今日の在庫を貼る!$B$6:$B$10005,$B9364,①今日の在庫を貼る!$I$6:$I$10005,$I9364)&gt;0,N(U9363),N(U9363)+1))</f>
        <v>2</v>
      </c>
    </row>
    <row r="9365" customFormat="false" ht="15" hidden="false" customHeight="false" outlineLevel="0" collapsed="false">
      <c r="B9365" s="53"/>
      <c r="I9365" s="53"/>
      <c r="U9365" s="31" t="n">
        <f aca="false">IF($B9365&lt;&gt;'設定（最初に1回）'!$C$4,N(U9364),IF(COUNTIFS(①今日の在庫を貼る!$B$6:$B$10005,$B9365,①今日の在庫を貼る!$I$6:$I$10005,$I9365)&gt;0,N(U9364),N(U9364)+1))</f>
        <v>2</v>
      </c>
    </row>
    <row r="9366" customFormat="false" ht="15" hidden="false" customHeight="false" outlineLevel="0" collapsed="false">
      <c r="B9366" s="53"/>
      <c r="I9366" s="53"/>
      <c r="U9366" s="31" t="n">
        <f aca="false">IF($B9366&lt;&gt;'設定（最初に1回）'!$C$4,N(U9365),IF(COUNTIFS(①今日の在庫を貼る!$B$6:$B$10005,$B9366,①今日の在庫を貼る!$I$6:$I$10005,$I9366)&gt;0,N(U9365),N(U9365)+1))</f>
        <v>2</v>
      </c>
    </row>
    <row r="9367" customFormat="false" ht="15" hidden="false" customHeight="false" outlineLevel="0" collapsed="false">
      <c r="B9367" s="53"/>
      <c r="I9367" s="53"/>
      <c r="U9367" s="31" t="n">
        <f aca="false">IF($B9367&lt;&gt;'設定（最初に1回）'!$C$4,N(U9366),IF(COUNTIFS(①今日の在庫を貼る!$B$6:$B$10005,$B9367,①今日の在庫を貼る!$I$6:$I$10005,$I9367)&gt;0,N(U9366),N(U9366)+1))</f>
        <v>2</v>
      </c>
    </row>
    <row r="9368" customFormat="false" ht="15" hidden="false" customHeight="false" outlineLevel="0" collapsed="false">
      <c r="B9368" s="53"/>
      <c r="I9368" s="53"/>
      <c r="U9368" s="31" t="n">
        <f aca="false">IF($B9368&lt;&gt;'設定（最初に1回）'!$C$4,N(U9367),IF(COUNTIFS(①今日の在庫を貼る!$B$6:$B$10005,$B9368,①今日の在庫を貼る!$I$6:$I$10005,$I9368)&gt;0,N(U9367),N(U9367)+1))</f>
        <v>2</v>
      </c>
    </row>
    <row r="9369" customFormat="false" ht="15" hidden="false" customHeight="false" outlineLevel="0" collapsed="false">
      <c r="B9369" s="53"/>
      <c r="I9369" s="53"/>
      <c r="U9369" s="31" t="n">
        <f aca="false">IF($B9369&lt;&gt;'設定（最初に1回）'!$C$4,N(U9368),IF(COUNTIFS(①今日の在庫を貼る!$B$6:$B$10005,$B9369,①今日の在庫を貼る!$I$6:$I$10005,$I9369)&gt;0,N(U9368),N(U9368)+1))</f>
        <v>2</v>
      </c>
    </row>
    <row r="9370" customFormat="false" ht="15" hidden="false" customHeight="false" outlineLevel="0" collapsed="false">
      <c r="B9370" s="53"/>
      <c r="I9370" s="53"/>
      <c r="U9370" s="31" t="n">
        <f aca="false">IF($B9370&lt;&gt;'設定（最初に1回）'!$C$4,N(U9369),IF(COUNTIFS(①今日の在庫を貼る!$B$6:$B$10005,$B9370,①今日の在庫を貼る!$I$6:$I$10005,$I9370)&gt;0,N(U9369),N(U9369)+1))</f>
        <v>2</v>
      </c>
    </row>
    <row r="9371" customFormat="false" ht="15" hidden="false" customHeight="false" outlineLevel="0" collapsed="false">
      <c r="B9371" s="53"/>
      <c r="I9371" s="53"/>
      <c r="U9371" s="31" t="n">
        <f aca="false">IF($B9371&lt;&gt;'設定（最初に1回）'!$C$4,N(U9370),IF(COUNTIFS(①今日の在庫を貼る!$B$6:$B$10005,$B9371,①今日の在庫を貼る!$I$6:$I$10005,$I9371)&gt;0,N(U9370),N(U9370)+1))</f>
        <v>2</v>
      </c>
    </row>
    <row r="9372" customFormat="false" ht="15" hidden="false" customHeight="false" outlineLevel="0" collapsed="false">
      <c r="B9372" s="53"/>
      <c r="I9372" s="53"/>
      <c r="U9372" s="31" t="n">
        <f aca="false">IF($B9372&lt;&gt;'設定（最初に1回）'!$C$4,N(U9371),IF(COUNTIFS(①今日の在庫を貼る!$B$6:$B$10005,$B9372,①今日の在庫を貼る!$I$6:$I$10005,$I9372)&gt;0,N(U9371),N(U9371)+1))</f>
        <v>2</v>
      </c>
    </row>
    <row r="9373" customFormat="false" ht="15" hidden="false" customHeight="false" outlineLevel="0" collapsed="false">
      <c r="B9373" s="53"/>
      <c r="I9373" s="53"/>
      <c r="U9373" s="31" t="n">
        <f aca="false">IF($B9373&lt;&gt;'設定（最初に1回）'!$C$4,N(U9372),IF(COUNTIFS(①今日の在庫を貼る!$B$6:$B$10005,$B9373,①今日の在庫を貼る!$I$6:$I$10005,$I9373)&gt;0,N(U9372),N(U9372)+1))</f>
        <v>2</v>
      </c>
    </row>
    <row r="9374" customFormat="false" ht="15" hidden="false" customHeight="false" outlineLevel="0" collapsed="false">
      <c r="B9374" s="53"/>
      <c r="I9374" s="53"/>
      <c r="U9374" s="31" t="n">
        <f aca="false">IF($B9374&lt;&gt;'設定（最初に1回）'!$C$4,N(U9373),IF(COUNTIFS(①今日の在庫を貼る!$B$6:$B$10005,$B9374,①今日の在庫を貼る!$I$6:$I$10005,$I9374)&gt;0,N(U9373),N(U9373)+1))</f>
        <v>2</v>
      </c>
    </row>
    <row r="9375" customFormat="false" ht="15" hidden="false" customHeight="false" outlineLevel="0" collapsed="false">
      <c r="B9375" s="53"/>
      <c r="I9375" s="53"/>
      <c r="U9375" s="31" t="n">
        <f aca="false">IF($B9375&lt;&gt;'設定（最初に1回）'!$C$4,N(U9374),IF(COUNTIFS(①今日の在庫を貼る!$B$6:$B$10005,$B9375,①今日の在庫を貼る!$I$6:$I$10005,$I9375)&gt;0,N(U9374),N(U9374)+1))</f>
        <v>2</v>
      </c>
    </row>
    <row r="9376" customFormat="false" ht="15" hidden="false" customHeight="false" outlineLevel="0" collapsed="false">
      <c r="B9376" s="53"/>
      <c r="I9376" s="53"/>
      <c r="U9376" s="31" t="n">
        <f aca="false">IF($B9376&lt;&gt;'設定（最初に1回）'!$C$4,N(U9375),IF(COUNTIFS(①今日の在庫を貼る!$B$6:$B$10005,$B9376,①今日の在庫を貼る!$I$6:$I$10005,$I9376)&gt;0,N(U9375),N(U9375)+1))</f>
        <v>2</v>
      </c>
    </row>
    <row r="9377" customFormat="false" ht="15" hidden="false" customHeight="false" outlineLevel="0" collapsed="false">
      <c r="B9377" s="53"/>
      <c r="I9377" s="53"/>
      <c r="U9377" s="31" t="n">
        <f aca="false">IF($B9377&lt;&gt;'設定（最初に1回）'!$C$4,N(U9376),IF(COUNTIFS(①今日の在庫を貼る!$B$6:$B$10005,$B9377,①今日の在庫を貼る!$I$6:$I$10005,$I9377)&gt;0,N(U9376),N(U9376)+1))</f>
        <v>2</v>
      </c>
    </row>
    <row r="9378" customFormat="false" ht="15" hidden="false" customHeight="false" outlineLevel="0" collapsed="false">
      <c r="B9378" s="53"/>
      <c r="I9378" s="53"/>
      <c r="U9378" s="31" t="n">
        <f aca="false">IF($B9378&lt;&gt;'設定（最初に1回）'!$C$4,N(U9377),IF(COUNTIFS(①今日の在庫を貼る!$B$6:$B$10005,$B9378,①今日の在庫を貼る!$I$6:$I$10005,$I9378)&gt;0,N(U9377),N(U9377)+1))</f>
        <v>2</v>
      </c>
    </row>
    <row r="9379" customFormat="false" ht="15" hidden="false" customHeight="false" outlineLevel="0" collapsed="false">
      <c r="B9379" s="53"/>
      <c r="I9379" s="53"/>
      <c r="U9379" s="31" t="n">
        <f aca="false">IF($B9379&lt;&gt;'設定（最初に1回）'!$C$4,N(U9378),IF(COUNTIFS(①今日の在庫を貼る!$B$6:$B$10005,$B9379,①今日の在庫を貼る!$I$6:$I$10005,$I9379)&gt;0,N(U9378),N(U9378)+1))</f>
        <v>2</v>
      </c>
    </row>
    <row r="9380" customFormat="false" ht="15" hidden="false" customHeight="false" outlineLevel="0" collapsed="false">
      <c r="B9380" s="53"/>
      <c r="I9380" s="53"/>
      <c r="U9380" s="31" t="n">
        <f aca="false">IF($B9380&lt;&gt;'設定（最初に1回）'!$C$4,N(U9379),IF(COUNTIFS(①今日の在庫を貼る!$B$6:$B$10005,$B9380,①今日の在庫を貼る!$I$6:$I$10005,$I9380)&gt;0,N(U9379),N(U9379)+1))</f>
        <v>2</v>
      </c>
    </row>
    <row r="9381" customFormat="false" ht="15" hidden="false" customHeight="false" outlineLevel="0" collapsed="false">
      <c r="B9381" s="53"/>
      <c r="I9381" s="53"/>
      <c r="U9381" s="31" t="n">
        <f aca="false">IF($B9381&lt;&gt;'設定（最初に1回）'!$C$4,N(U9380),IF(COUNTIFS(①今日の在庫を貼る!$B$6:$B$10005,$B9381,①今日の在庫を貼る!$I$6:$I$10005,$I9381)&gt;0,N(U9380),N(U9380)+1))</f>
        <v>2</v>
      </c>
    </row>
    <row r="9382" customFormat="false" ht="15" hidden="false" customHeight="false" outlineLevel="0" collapsed="false">
      <c r="B9382" s="53"/>
      <c r="I9382" s="53"/>
      <c r="U9382" s="31" t="n">
        <f aca="false">IF($B9382&lt;&gt;'設定（最初に1回）'!$C$4,N(U9381),IF(COUNTIFS(①今日の在庫を貼る!$B$6:$B$10005,$B9382,①今日の在庫を貼る!$I$6:$I$10005,$I9382)&gt;0,N(U9381),N(U9381)+1))</f>
        <v>2</v>
      </c>
    </row>
    <row r="9383" customFormat="false" ht="15" hidden="false" customHeight="false" outlineLevel="0" collapsed="false">
      <c r="B9383" s="53"/>
      <c r="I9383" s="53"/>
      <c r="U9383" s="31" t="n">
        <f aca="false">IF($B9383&lt;&gt;'設定（最初に1回）'!$C$4,N(U9382),IF(COUNTIFS(①今日の在庫を貼る!$B$6:$B$10005,$B9383,①今日の在庫を貼る!$I$6:$I$10005,$I9383)&gt;0,N(U9382),N(U9382)+1))</f>
        <v>2</v>
      </c>
    </row>
    <row r="9384" customFormat="false" ht="15" hidden="false" customHeight="false" outlineLevel="0" collapsed="false">
      <c r="B9384" s="53"/>
      <c r="I9384" s="53"/>
      <c r="U9384" s="31" t="n">
        <f aca="false">IF($B9384&lt;&gt;'設定（最初に1回）'!$C$4,N(U9383),IF(COUNTIFS(①今日の在庫を貼る!$B$6:$B$10005,$B9384,①今日の在庫を貼る!$I$6:$I$10005,$I9384)&gt;0,N(U9383),N(U9383)+1))</f>
        <v>2</v>
      </c>
    </row>
    <row r="9385" customFormat="false" ht="15" hidden="false" customHeight="false" outlineLevel="0" collapsed="false">
      <c r="B9385" s="53"/>
      <c r="I9385" s="53"/>
      <c r="U9385" s="31" t="n">
        <f aca="false">IF($B9385&lt;&gt;'設定（最初に1回）'!$C$4,N(U9384),IF(COUNTIFS(①今日の在庫を貼る!$B$6:$B$10005,$B9385,①今日の在庫を貼る!$I$6:$I$10005,$I9385)&gt;0,N(U9384),N(U9384)+1))</f>
        <v>2</v>
      </c>
    </row>
    <row r="9386" customFormat="false" ht="15" hidden="false" customHeight="false" outlineLevel="0" collapsed="false">
      <c r="B9386" s="53"/>
      <c r="I9386" s="53"/>
      <c r="U9386" s="31" t="n">
        <f aca="false">IF($B9386&lt;&gt;'設定（最初に1回）'!$C$4,N(U9385),IF(COUNTIFS(①今日の在庫を貼る!$B$6:$B$10005,$B9386,①今日の在庫を貼る!$I$6:$I$10005,$I9386)&gt;0,N(U9385),N(U9385)+1))</f>
        <v>2</v>
      </c>
    </row>
    <row r="9387" customFormat="false" ht="15" hidden="false" customHeight="false" outlineLevel="0" collapsed="false">
      <c r="B9387" s="53"/>
      <c r="I9387" s="53"/>
      <c r="U9387" s="31" t="n">
        <f aca="false">IF($B9387&lt;&gt;'設定（最初に1回）'!$C$4,N(U9386),IF(COUNTIFS(①今日の在庫を貼る!$B$6:$B$10005,$B9387,①今日の在庫を貼る!$I$6:$I$10005,$I9387)&gt;0,N(U9386),N(U9386)+1))</f>
        <v>2</v>
      </c>
    </row>
    <row r="9388" customFormat="false" ht="15" hidden="false" customHeight="false" outlineLevel="0" collapsed="false">
      <c r="B9388" s="53"/>
      <c r="I9388" s="53"/>
      <c r="U9388" s="31" t="n">
        <f aca="false">IF($B9388&lt;&gt;'設定（最初に1回）'!$C$4,N(U9387),IF(COUNTIFS(①今日の在庫を貼る!$B$6:$B$10005,$B9388,①今日の在庫を貼る!$I$6:$I$10005,$I9388)&gt;0,N(U9387),N(U9387)+1))</f>
        <v>2</v>
      </c>
    </row>
    <row r="9389" customFormat="false" ht="15" hidden="false" customHeight="false" outlineLevel="0" collapsed="false">
      <c r="B9389" s="53"/>
      <c r="I9389" s="53"/>
      <c r="U9389" s="31" t="n">
        <f aca="false">IF($B9389&lt;&gt;'設定（最初に1回）'!$C$4,N(U9388),IF(COUNTIFS(①今日の在庫を貼る!$B$6:$B$10005,$B9389,①今日の在庫を貼る!$I$6:$I$10005,$I9389)&gt;0,N(U9388),N(U9388)+1))</f>
        <v>2</v>
      </c>
    </row>
    <row r="9390" customFormat="false" ht="15" hidden="false" customHeight="false" outlineLevel="0" collapsed="false">
      <c r="B9390" s="53"/>
      <c r="I9390" s="53"/>
      <c r="U9390" s="31" t="n">
        <f aca="false">IF($B9390&lt;&gt;'設定（最初に1回）'!$C$4,N(U9389),IF(COUNTIFS(①今日の在庫を貼る!$B$6:$B$10005,$B9390,①今日の在庫を貼る!$I$6:$I$10005,$I9390)&gt;0,N(U9389),N(U9389)+1))</f>
        <v>2</v>
      </c>
    </row>
    <row r="9391" customFormat="false" ht="15" hidden="false" customHeight="false" outlineLevel="0" collapsed="false">
      <c r="B9391" s="53"/>
      <c r="I9391" s="53"/>
      <c r="U9391" s="31" t="n">
        <f aca="false">IF($B9391&lt;&gt;'設定（最初に1回）'!$C$4,N(U9390),IF(COUNTIFS(①今日の在庫を貼る!$B$6:$B$10005,$B9391,①今日の在庫を貼る!$I$6:$I$10005,$I9391)&gt;0,N(U9390),N(U9390)+1))</f>
        <v>2</v>
      </c>
    </row>
    <row r="9392" customFormat="false" ht="15" hidden="false" customHeight="false" outlineLevel="0" collapsed="false">
      <c r="B9392" s="53"/>
      <c r="I9392" s="53"/>
      <c r="U9392" s="31" t="n">
        <f aca="false">IF($B9392&lt;&gt;'設定（最初に1回）'!$C$4,N(U9391),IF(COUNTIFS(①今日の在庫を貼る!$B$6:$B$10005,$B9392,①今日の在庫を貼る!$I$6:$I$10005,$I9392)&gt;0,N(U9391),N(U9391)+1))</f>
        <v>2</v>
      </c>
    </row>
    <row r="9393" customFormat="false" ht="15" hidden="false" customHeight="false" outlineLevel="0" collapsed="false">
      <c r="B9393" s="53"/>
      <c r="I9393" s="53"/>
      <c r="U9393" s="31" t="n">
        <f aca="false">IF($B9393&lt;&gt;'設定（最初に1回）'!$C$4,N(U9392),IF(COUNTIFS(①今日の在庫を貼る!$B$6:$B$10005,$B9393,①今日の在庫を貼る!$I$6:$I$10005,$I9393)&gt;0,N(U9392),N(U9392)+1))</f>
        <v>2</v>
      </c>
    </row>
    <row r="9394" customFormat="false" ht="15" hidden="false" customHeight="false" outlineLevel="0" collapsed="false">
      <c r="B9394" s="53"/>
      <c r="I9394" s="53"/>
      <c r="U9394" s="31" t="n">
        <f aca="false">IF($B9394&lt;&gt;'設定（最初に1回）'!$C$4,N(U9393),IF(COUNTIFS(①今日の在庫を貼る!$B$6:$B$10005,$B9394,①今日の在庫を貼る!$I$6:$I$10005,$I9394)&gt;0,N(U9393),N(U9393)+1))</f>
        <v>2</v>
      </c>
    </row>
    <row r="9395" customFormat="false" ht="15" hidden="false" customHeight="false" outlineLevel="0" collapsed="false">
      <c r="B9395" s="53"/>
      <c r="I9395" s="53"/>
      <c r="U9395" s="31" t="n">
        <f aca="false">IF($B9395&lt;&gt;'設定（最初に1回）'!$C$4,N(U9394),IF(COUNTIFS(①今日の在庫を貼る!$B$6:$B$10005,$B9395,①今日の在庫を貼る!$I$6:$I$10005,$I9395)&gt;0,N(U9394),N(U9394)+1))</f>
        <v>2</v>
      </c>
    </row>
    <row r="9396" customFormat="false" ht="15" hidden="false" customHeight="false" outlineLevel="0" collapsed="false">
      <c r="B9396" s="53"/>
      <c r="I9396" s="53"/>
      <c r="U9396" s="31" t="n">
        <f aca="false">IF($B9396&lt;&gt;'設定（最初に1回）'!$C$4,N(U9395),IF(COUNTIFS(①今日の在庫を貼る!$B$6:$B$10005,$B9396,①今日の在庫を貼る!$I$6:$I$10005,$I9396)&gt;0,N(U9395),N(U9395)+1))</f>
        <v>2</v>
      </c>
    </row>
    <row r="9397" customFormat="false" ht="15" hidden="false" customHeight="false" outlineLevel="0" collapsed="false">
      <c r="B9397" s="53"/>
      <c r="I9397" s="53"/>
      <c r="U9397" s="31" t="n">
        <f aca="false">IF($B9397&lt;&gt;'設定（最初に1回）'!$C$4,N(U9396),IF(COUNTIFS(①今日の在庫を貼る!$B$6:$B$10005,$B9397,①今日の在庫を貼る!$I$6:$I$10005,$I9397)&gt;0,N(U9396),N(U9396)+1))</f>
        <v>2</v>
      </c>
    </row>
    <row r="9398" customFormat="false" ht="15" hidden="false" customHeight="false" outlineLevel="0" collapsed="false">
      <c r="B9398" s="53"/>
      <c r="I9398" s="53"/>
      <c r="U9398" s="31" t="n">
        <f aca="false">IF($B9398&lt;&gt;'設定（最初に1回）'!$C$4,N(U9397),IF(COUNTIFS(①今日の在庫を貼る!$B$6:$B$10005,$B9398,①今日の在庫を貼る!$I$6:$I$10005,$I9398)&gt;0,N(U9397),N(U9397)+1))</f>
        <v>2</v>
      </c>
    </row>
    <row r="9399" customFormat="false" ht="15" hidden="false" customHeight="false" outlineLevel="0" collapsed="false">
      <c r="B9399" s="53"/>
      <c r="I9399" s="53"/>
      <c r="U9399" s="31" t="n">
        <f aca="false">IF($B9399&lt;&gt;'設定（最初に1回）'!$C$4,N(U9398),IF(COUNTIFS(①今日の在庫を貼る!$B$6:$B$10005,$B9399,①今日の在庫を貼る!$I$6:$I$10005,$I9399)&gt;0,N(U9398),N(U9398)+1))</f>
        <v>2</v>
      </c>
    </row>
    <row r="9400" customFormat="false" ht="15" hidden="false" customHeight="false" outlineLevel="0" collapsed="false">
      <c r="B9400" s="53"/>
      <c r="I9400" s="53"/>
      <c r="U9400" s="31" t="n">
        <f aca="false">IF($B9400&lt;&gt;'設定（最初に1回）'!$C$4,N(U9399),IF(COUNTIFS(①今日の在庫を貼る!$B$6:$B$10005,$B9400,①今日の在庫を貼る!$I$6:$I$10005,$I9400)&gt;0,N(U9399),N(U9399)+1))</f>
        <v>2</v>
      </c>
    </row>
    <row r="9401" customFormat="false" ht="15" hidden="false" customHeight="false" outlineLevel="0" collapsed="false">
      <c r="B9401" s="53"/>
      <c r="I9401" s="53"/>
      <c r="U9401" s="31" t="n">
        <f aca="false">IF($B9401&lt;&gt;'設定（最初に1回）'!$C$4,N(U9400),IF(COUNTIFS(①今日の在庫を貼る!$B$6:$B$10005,$B9401,①今日の在庫を貼る!$I$6:$I$10005,$I9401)&gt;0,N(U9400),N(U9400)+1))</f>
        <v>2</v>
      </c>
    </row>
    <row r="9402" customFormat="false" ht="15" hidden="false" customHeight="false" outlineLevel="0" collapsed="false">
      <c r="B9402" s="53"/>
      <c r="I9402" s="53"/>
      <c r="U9402" s="31" t="n">
        <f aca="false">IF($B9402&lt;&gt;'設定（最初に1回）'!$C$4,N(U9401),IF(COUNTIFS(①今日の在庫を貼る!$B$6:$B$10005,$B9402,①今日の在庫を貼る!$I$6:$I$10005,$I9402)&gt;0,N(U9401),N(U9401)+1))</f>
        <v>2</v>
      </c>
    </row>
    <row r="9403" customFormat="false" ht="15" hidden="false" customHeight="false" outlineLevel="0" collapsed="false">
      <c r="B9403" s="53"/>
      <c r="I9403" s="53"/>
      <c r="U9403" s="31" t="n">
        <f aca="false">IF($B9403&lt;&gt;'設定（最初に1回）'!$C$4,N(U9402),IF(COUNTIFS(①今日の在庫を貼る!$B$6:$B$10005,$B9403,①今日の在庫を貼る!$I$6:$I$10005,$I9403)&gt;0,N(U9402),N(U9402)+1))</f>
        <v>2</v>
      </c>
    </row>
    <row r="9404" customFormat="false" ht="15" hidden="false" customHeight="false" outlineLevel="0" collapsed="false">
      <c r="B9404" s="53"/>
      <c r="I9404" s="53"/>
      <c r="U9404" s="31" t="n">
        <f aca="false">IF($B9404&lt;&gt;'設定（最初に1回）'!$C$4,N(U9403),IF(COUNTIFS(①今日の在庫を貼る!$B$6:$B$10005,$B9404,①今日の在庫を貼る!$I$6:$I$10005,$I9404)&gt;0,N(U9403),N(U9403)+1))</f>
        <v>2</v>
      </c>
    </row>
    <row r="9405" customFormat="false" ht="15" hidden="false" customHeight="false" outlineLevel="0" collapsed="false">
      <c r="B9405" s="53"/>
      <c r="I9405" s="53"/>
      <c r="U9405" s="31" t="n">
        <f aca="false">IF($B9405&lt;&gt;'設定（最初に1回）'!$C$4,N(U9404),IF(COUNTIFS(①今日の在庫を貼る!$B$6:$B$10005,$B9405,①今日の在庫を貼る!$I$6:$I$10005,$I9405)&gt;0,N(U9404),N(U9404)+1))</f>
        <v>2</v>
      </c>
    </row>
    <row r="9406" customFormat="false" ht="15" hidden="false" customHeight="false" outlineLevel="0" collapsed="false">
      <c r="B9406" s="53"/>
      <c r="I9406" s="53"/>
      <c r="U9406" s="31" t="n">
        <f aca="false">IF($B9406&lt;&gt;'設定（最初に1回）'!$C$4,N(U9405),IF(COUNTIFS(①今日の在庫を貼る!$B$6:$B$10005,$B9406,①今日の在庫を貼る!$I$6:$I$10005,$I9406)&gt;0,N(U9405),N(U9405)+1))</f>
        <v>2</v>
      </c>
    </row>
    <row r="9407" customFormat="false" ht="15" hidden="false" customHeight="false" outlineLevel="0" collapsed="false">
      <c r="B9407" s="53"/>
      <c r="I9407" s="53"/>
      <c r="U9407" s="31" t="n">
        <f aca="false">IF($B9407&lt;&gt;'設定（最初に1回）'!$C$4,N(U9406),IF(COUNTIFS(①今日の在庫を貼る!$B$6:$B$10005,$B9407,①今日の在庫を貼る!$I$6:$I$10005,$I9407)&gt;0,N(U9406),N(U9406)+1))</f>
        <v>2</v>
      </c>
    </row>
    <row r="9408" customFormat="false" ht="15" hidden="false" customHeight="false" outlineLevel="0" collapsed="false">
      <c r="B9408" s="53"/>
      <c r="I9408" s="53"/>
      <c r="U9408" s="31" t="n">
        <f aca="false">IF($B9408&lt;&gt;'設定（最初に1回）'!$C$4,N(U9407),IF(COUNTIFS(①今日の在庫を貼る!$B$6:$B$10005,$B9408,①今日の在庫を貼る!$I$6:$I$10005,$I9408)&gt;0,N(U9407),N(U9407)+1))</f>
        <v>2</v>
      </c>
    </row>
    <row r="9409" customFormat="false" ht="15" hidden="false" customHeight="false" outlineLevel="0" collapsed="false">
      <c r="B9409" s="53"/>
      <c r="I9409" s="53"/>
      <c r="U9409" s="31" t="n">
        <f aca="false">IF($B9409&lt;&gt;'設定（最初に1回）'!$C$4,N(U9408),IF(COUNTIFS(①今日の在庫を貼る!$B$6:$B$10005,$B9409,①今日の在庫を貼る!$I$6:$I$10005,$I9409)&gt;0,N(U9408),N(U9408)+1))</f>
        <v>2</v>
      </c>
    </row>
    <row r="9410" customFormat="false" ht="15" hidden="false" customHeight="false" outlineLevel="0" collapsed="false">
      <c r="B9410" s="53"/>
      <c r="I9410" s="53"/>
      <c r="U9410" s="31" t="n">
        <f aca="false">IF($B9410&lt;&gt;'設定（最初に1回）'!$C$4,N(U9409),IF(COUNTIFS(①今日の在庫を貼る!$B$6:$B$10005,$B9410,①今日の在庫を貼る!$I$6:$I$10005,$I9410)&gt;0,N(U9409),N(U9409)+1))</f>
        <v>2</v>
      </c>
    </row>
    <row r="9411" customFormat="false" ht="15" hidden="false" customHeight="false" outlineLevel="0" collapsed="false">
      <c r="B9411" s="53"/>
      <c r="I9411" s="53"/>
      <c r="U9411" s="31" t="n">
        <f aca="false">IF($B9411&lt;&gt;'設定（最初に1回）'!$C$4,N(U9410),IF(COUNTIFS(①今日の在庫を貼る!$B$6:$B$10005,$B9411,①今日の在庫を貼る!$I$6:$I$10005,$I9411)&gt;0,N(U9410),N(U9410)+1))</f>
        <v>2</v>
      </c>
    </row>
    <row r="9412" customFormat="false" ht="15" hidden="false" customHeight="false" outlineLevel="0" collapsed="false">
      <c r="B9412" s="53"/>
      <c r="I9412" s="53"/>
      <c r="U9412" s="31" t="n">
        <f aca="false">IF($B9412&lt;&gt;'設定（最初に1回）'!$C$4,N(U9411),IF(COUNTIFS(①今日の在庫を貼る!$B$6:$B$10005,$B9412,①今日の在庫を貼る!$I$6:$I$10005,$I9412)&gt;0,N(U9411),N(U9411)+1))</f>
        <v>2</v>
      </c>
    </row>
    <row r="9413" customFormat="false" ht="15" hidden="false" customHeight="false" outlineLevel="0" collapsed="false">
      <c r="B9413" s="53"/>
      <c r="I9413" s="53"/>
      <c r="U9413" s="31" t="n">
        <f aca="false">IF($B9413&lt;&gt;'設定（最初に1回）'!$C$4,N(U9412),IF(COUNTIFS(①今日の在庫を貼る!$B$6:$B$10005,$B9413,①今日の在庫を貼る!$I$6:$I$10005,$I9413)&gt;0,N(U9412),N(U9412)+1))</f>
        <v>2</v>
      </c>
    </row>
    <row r="9414" customFormat="false" ht="15" hidden="false" customHeight="false" outlineLevel="0" collapsed="false">
      <c r="B9414" s="53"/>
      <c r="I9414" s="53"/>
      <c r="U9414" s="31" t="n">
        <f aca="false">IF($B9414&lt;&gt;'設定（最初に1回）'!$C$4,N(U9413),IF(COUNTIFS(①今日の在庫を貼る!$B$6:$B$10005,$B9414,①今日の在庫を貼る!$I$6:$I$10005,$I9414)&gt;0,N(U9413),N(U9413)+1))</f>
        <v>2</v>
      </c>
    </row>
    <row r="9415" customFormat="false" ht="15" hidden="false" customHeight="false" outlineLevel="0" collapsed="false">
      <c r="B9415" s="53"/>
      <c r="I9415" s="53"/>
      <c r="U9415" s="31" t="n">
        <f aca="false">IF($B9415&lt;&gt;'設定（最初に1回）'!$C$4,N(U9414),IF(COUNTIFS(①今日の在庫を貼る!$B$6:$B$10005,$B9415,①今日の在庫を貼る!$I$6:$I$10005,$I9415)&gt;0,N(U9414),N(U9414)+1))</f>
        <v>2</v>
      </c>
    </row>
    <row r="9416" customFormat="false" ht="15" hidden="false" customHeight="false" outlineLevel="0" collapsed="false">
      <c r="B9416" s="53"/>
      <c r="I9416" s="53"/>
      <c r="U9416" s="31" t="n">
        <f aca="false">IF($B9416&lt;&gt;'設定（最初に1回）'!$C$4,N(U9415),IF(COUNTIFS(①今日の在庫を貼る!$B$6:$B$10005,$B9416,①今日の在庫を貼る!$I$6:$I$10005,$I9416)&gt;0,N(U9415),N(U9415)+1))</f>
        <v>2</v>
      </c>
    </row>
    <row r="9417" customFormat="false" ht="15" hidden="false" customHeight="false" outlineLevel="0" collapsed="false">
      <c r="B9417" s="53"/>
      <c r="I9417" s="53"/>
      <c r="U9417" s="31" t="n">
        <f aca="false">IF($B9417&lt;&gt;'設定（最初に1回）'!$C$4,N(U9416),IF(COUNTIFS(①今日の在庫を貼る!$B$6:$B$10005,$B9417,①今日の在庫を貼る!$I$6:$I$10005,$I9417)&gt;0,N(U9416),N(U9416)+1))</f>
        <v>2</v>
      </c>
    </row>
    <row r="9418" customFormat="false" ht="15" hidden="false" customHeight="false" outlineLevel="0" collapsed="false">
      <c r="B9418" s="53"/>
      <c r="I9418" s="53"/>
      <c r="U9418" s="31" t="n">
        <f aca="false">IF($B9418&lt;&gt;'設定（最初に1回）'!$C$4,N(U9417),IF(COUNTIFS(①今日の在庫を貼る!$B$6:$B$10005,$B9418,①今日の在庫を貼る!$I$6:$I$10005,$I9418)&gt;0,N(U9417),N(U9417)+1))</f>
        <v>2</v>
      </c>
    </row>
    <row r="9419" customFormat="false" ht="15" hidden="false" customHeight="false" outlineLevel="0" collapsed="false">
      <c r="B9419" s="53"/>
      <c r="I9419" s="53"/>
      <c r="U9419" s="31" t="n">
        <f aca="false">IF($B9419&lt;&gt;'設定（最初に1回）'!$C$4,N(U9418),IF(COUNTIFS(①今日の在庫を貼る!$B$6:$B$10005,$B9419,①今日の在庫を貼る!$I$6:$I$10005,$I9419)&gt;0,N(U9418),N(U9418)+1))</f>
        <v>2</v>
      </c>
    </row>
    <row r="9420" customFormat="false" ht="15" hidden="false" customHeight="false" outlineLevel="0" collapsed="false">
      <c r="B9420" s="53"/>
      <c r="I9420" s="53"/>
      <c r="U9420" s="31" t="n">
        <f aca="false">IF($B9420&lt;&gt;'設定（最初に1回）'!$C$4,N(U9419),IF(COUNTIFS(①今日の在庫を貼る!$B$6:$B$10005,$B9420,①今日の在庫を貼る!$I$6:$I$10005,$I9420)&gt;0,N(U9419),N(U9419)+1))</f>
        <v>2</v>
      </c>
    </row>
    <row r="9421" customFormat="false" ht="15" hidden="false" customHeight="false" outlineLevel="0" collapsed="false">
      <c r="B9421" s="53"/>
      <c r="I9421" s="53"/>
      <c r="U9421" s="31" t="n">
        <f aca="false">IF($B9421&lt;&gt;'設定（最初に1回）'!$C$4,N(U9420),IF(COUNTIFS(①今日の在庫を貼る!$B$6:$B$10005,$B9421,①今日の在庫を貼る!$I$6:$I$10005,$I9421)&gt;0,N(U9420),N(U9420)+1))</f>
        <v>2</v>
      </c>
    </row>
    <row r="9422" customFormat="false" ht="15" hidden="false" customHeight="false" outlineLevel="0" collapsed="false">
      <c r="B9422" s="53"/>
      <c r="I9422" s="53"/>
      <c r="U9422" s="31" t="n">
        <f aca="false">IF($B9422&lt;&gt;'設定（最初に1回）'!$C$4,N(U9421),IF(COUNTIFS(①今日の在庫を貼る!$B$6:$B$10005,$B9422,①今日の在庫を貼る!$I$6:$I$10005,$I9422)&gt;0,N(U9421),N(U9421)+1))</f>
        <v>2</v>
      </c>
    </row>
    <row r="9423" customFormat="false" ht="15" hidden="false" customHeight="false" outlineLevel="0" collapsed="false">
      <c r="B9423" s="53"/>
      <c r="I9423" s="53"/>
      <c r="U9423" s="31" t="n">
        <f aca="false">IF($B9423&lt;&gt;'設定（最初に1回）'!$C$4,N(U9422),IF(COUNTIFS(①今日の在庫を貼る!$B$6:$B$10005,$B9423,①今日の在庫を貼る!$I$6:$I$10005,$I9423)&gt;0,N(U9422),N(U9422)+1))</f>
        <v>2</v>
      </c>
    </row>
    <row r="9424" customFormat="false" ht="15" hidden="false" customHeight="false" outlineLevel="0" collapsed="false">
      <c r="B9424" s="53"/>
      <c r="I9424" s="53"/>
      <c r="U9424" s="31" t="n">
        <f aca="false">IF($B9424&lt;&gt;'設定（最初に1回）'!$C$4,N(U9423),IF(COUNTIFS(①今日の在庫を貼る!$B$6:$B$10005,$B9424,①今日の在庫を貼る!$I$6:$I$10005,$I9424)&gt;0,N(U9423),N(U9423)+1))</f>
        <v>2</v>
      </c>
    </row>
    <row r="9425" customFormat="false" ht="15" hidden="false" customHeight="false" outlineLevel="0" collapsed="false">
      <c r="B9425" s="53"/>
      <c r="I9425" s="53"/>
      <c r="U9425" s="31" t="n">
        <f aca="false">IF($B9425&lt;&gt;'設定（最初に1回）'!$C$4,N(U9424),IF(COUNTIFS(①今日の在庫を貼る!$B$6:$B$10005,$B9425,①今日の在庫を貼る!$I$6:$I$10005,$I9425)&gt;0,N(U9424),N(U9424)+1))</f>
        <v>2</v>
      </c>
    </row>
    <row r="9426" customFormat="false" ht="15" hidden="false" customHeight="false" outlineLevel="0" collapsed="false">
      <c r="B9426" s="53"/>
      <c r="I9426" s="53"/>
      <c r="U9426" s="31" t="n">
        <f aca="false">IF($B9426&lt;&gt;'設定（最初に1回）'!$C$4,N(U9425),IF(COUNTIFS(①今日の在庫を貼る!$B$6:$B$10005,$B9426,①今日の在庫を貼る!$I$6:$I$10005,$I9426)&gt;0,N(U9425),N(U9425)+1))</f>
        <v>2</v>
      </c>
    </row>
    <row r="9427" customFormat="false" ht="15" hidden="false" customHeight="false" outlineLevel="0" collapsed="false">
      <c r="B9427" s="53"/>
      <c r="I9427" s="53"/>
      <c r="U9427" s="31" t="n">
        <f aca="false">IF($B9427&lt;&gt;'設定（最初に1回）'!$C$4,N(U9426),IF(COUNTIFS(①今日の在庫を貼る!$B$6:$B$10005,$B9427,①今日の在庫を貼る!$I$6:$I$10005,$I9427)&gt;0,N(U9426),N(U9426)+1))</f>
        <v>2</v>
      </c>
    </row>
    <row r="9428" customFormat="false" ht="15" hidden="false" customHeight="false" outlineLevel="0" collapsed="false">
      <c r="B9428" s="53"/>
      <c r="I9428" s="53"/>
      <c r="U9428" s="31" t="n">
        <f aca="false">IF($B9428&lt;&gt;'設定（最初に1回）'!$C$4,N(U9427),IF(COUNTIFS(①今日の在庫を貼る!$B$6:$B$10005,$B9428,①今日の在庫を貼る!$I$6:$I$10005,$I9428)&gt;0,N(U9427),N(U9427)+1))</f>
        <v>2</v>
      </c>
    </row>
    <row r="9429" customFormat="false" ht="15" hidden="false" customHeight="false" outlineLevel="0" collapsed="false">
      <c r="B9429" s="53"/>
      <c r="I9429" s="53"/>
      <c r="U9429" s="31" t="n">
        <f aca="false">IF($B9429&lt;&gt;'設定（最初に1回）'!$C$4,N(U9428),IF(COUNTIFS(①今日の在庫を貼る!$B$6:$B$10005,$B9429,①今日の在庫を貼る!$I$6:$I$10005,$I9429)&gt;0,N(U9428),N(U9428)+1))</f>
        <v>2</v>
      </c>
    </row>
    <row r="9430" customFormat="false" ht="15" hidden="false" customHeight="false" outlineLevel="0" collapsed="false">
      <c r="B9430" s="53"/>
      <c r="I9430" s="53"/>
      <c r="U9430" s="31" t="n">
        <f aca="false">IF($B9430&lt;&gt;'設定（最初に1回）'!$C$4,N(U9429),IF(COUNTIFS(①今日の在庫を貼る!$B$6:$B$10005,$B9430,①今日の在庫を貼る!$I$6:$I$10005,$I9430)&gt;0,N(U9429),N(U9429)+1))</f>
        <v>2</v>
      </c>
    </row>
    <row r="9431" customFormat="false" ht="15" hidden="false" customHeight="false" outlineLevel="0" collapsed="false">
      <c r="B9431" s="53"/>
      <c r="I9431" s="53"/>
      <c r="U9431" s="31" t="n">
        <f aca="false">IF($B9431&lt;&gt;'設定（最初に1回）'!$C$4,N(U9430),IF(COUNTIFS(①今日の在庫を貼る!$B$6:$B$10005,$B9431,①今日の在庫を貼る!$I$6:$I$10005,$I9431)&gt;0,N(U9430),N(U9430)+1))</f>
        <v>2</v>
      </c>
    </row>
    <row r="9432" customFormat="false" ht="15" hidden="false" customHeight="false" outlineLevel="0" collapsed="false">
      <c r="B9432" s="53"/>
      <c r="I9432" s="53"/>
      <c r="U9432" s="31" t="n">
        <f aca="false">IF($B9432&lt;&gt;'設定（最初に1回）'!$C$4,N(U9431),IF(COUNTIFS(①今日の在庫を貼る!$B$6:$B$10005,$B9432,①今日の在庫を貼る!$I$6:$I$10005,$I9432)&gt;0,N(U9431),N(U9431)+1))</f>
        <v>2</v>
      </c>
    </row>
    <row r="9433" customFormat="false" ht="15" hidden="false" customHeight="false" outlineLevel="0" collapsed="false">
      <c r="B9433" s="53"/>
      <c r="I9433" s="53"/>
      <c r="U9433" s="31" t="n">
        <f aca="false">IF($B9433&lt;&gt;'設定（最初に1回）'!$C$4,N(U9432),IF(COUNTIFS(①今日の在庫を貼る!$B$6:$B$10005,$B9433,①今日の在庫を貼る!$I$6:$I$10005,$I9433)&gt;0,N(U9432),N(U9432)+1))</f>
        <v>2</v>
      </c>
    </row>
    <row r="9434" customFormat="false" ht="15" hidden="false" customHeight="false" outlineLevel="0" collapsed="false">
      <c r="B9434" s="53"/>
      <c r="I9434" s="53"/>
      <c r="U9434" s="31" t="n">
        <f aca="false">IF($B9434&lt;&gt;'設定（最初に1回）'!$C$4,N(U9433),IF(COUNTIFS(①今日の在庫を貼る!$B$6:$B$10005,$B9434,①今日の在庫を貼る!$I$6:$I$10005,$I9434)&gt;0,N(U9433),N(U9433)+1))</f>
        <v>2</v>
      </c>
    </row>
    <row r="9435" customFormat="false" ht="15" hidden="false" customHeight="false" outlineLevel="0" collapsed="false">
      <c r="B9435" s="53"/>
      <c r="I9435" s="53"/>
      <c r="U9435" s="31" t="n">
        <f aca="false">IF($B9435&lt;&gt;'設定（最初に1回）'!$C$4,N(U9434),IF(COUNTIFS(①今日の在庫を貼る!$B$6:$B$10005,$B9435,①今日の在庫を貼る!$I$6:$I$10005,$I9435)&gt;0,N(U9434),N(U9434)+1))</f>
        <v>2</v>
      </c>
    </row>
    <row r="9436" customFormat="false" ht="15" hidden="false" customHeight="false" outlineLevel="0" collapsed="false">
      <c r="B9436" s="53"/>
      <c r="I9436" s="53"/>
      <c r="U9436" s="31" t="n">
        <f aca="false">IF($B9436&lt;&gt;'設定（最初に1回）'!$C$4,N(U9435),IF(COUNTIFS(①今日の在庫を貼る!$B$6:$B$10005,$B9436,①今日の在庫を貼る!$I$6:$I$10005,$I9436)&gt;0,N(U9435),N(U9435)+1))</f>
        <v>2</v>
      </c>
    </row>
    <row r="9437" customFormat="false" ht="15" hidden="false" customHeight="false" outlineLevel="0" collapsed="false">
      <c r="B9437" s="53"/>
      <c r="I9437" s="53"/>
      <c r="U9437" s="31" t="n">
        <f aca="false">IF($B9437&lt;&gt;'設定（最初に1回）'!$C$4,N(U9436),IF(COUNTIFS(①今日の在庫を貼る!$B$6:$B$10005,$B9437,①今日の在庫を貼る!$I$6:$I$10005,$I9437)&gt;0,N(U9436),N(U9436)+1))</f>
        <v>2</v>
      </c>
    </row>
    <row r="9438" customFormat="false" ht="15" hidden="false" customHeight="false" outlineLevel="0" collapsed="false">
      <c r="B9438" s="53"/>
      <c r="I9438" s="53"/>
      <c r="U9438" s="31" t="n">
        <f aca="false">IF($B9438&lt;&gt;'設定（最初に1回）'!$C$4,N(U9437),IF(COUNTIFS(①今日の在庫を貼る!$B$6:$B$10005,$B9438,①今日の在庫を貼る!$I$6:$I$10005,$I9438)&gt;0,N(U9437),N(U9437)+1))</f>
        <v>2</v>
      </c>
    </row>
    <row r="9439" customFormat="false" ht="15" hidden="false" customHeight="false" outlineLevel="0" collapsed="false">
      <c r="B9439" s="53"/>
      <c r="I9439" s="53"/>
      <c r="U9439" s="31" t="n">
        <f aca="false">IF($B9439&lt;&gt;'設定（最初に1回）'!$C$4,N(U9438),IF(COUNTIFS(①今日の在庫を貼る!$B$6:$B$10005,$B9439,①今日の在庫を貼る!$I$6:$I$10005,$I9439)&gt;0,N(U9438),N(U9438)+1))</f>
        <v>2</v>
      </c>
    </row>
    <row r="9440" customFormat="false" ht="15" hidden="false" customHeight="false" outlineLevel="0" collapsed="false">
      <c r="B9440" s="53"/>
      <c r="I9440" s="53"/>
      <c r="U9440" s="31" t="n">
        <f aca="false">IF($B9440&lt;&gt;'設定（最初に1回）'!$C$4,N(U9439),IF(COUNTIFS(①今日の在庫を貼る!$B$6:$B$10005,$B9440,①今日の在庫を貼る!$I$6:$I$10005,$I9440)&gt;0,N(U9439),N(U9439)+1))</f>
        <v>2</v>
      </c>
    </row>
    <row r="9441" customFormat="false" ht="15" hidden="false" customHeight="false" outlineLevel="0" collapsed="false">
      <c r="B9441" s="53"/>
      <c r="I9441" s="53"/>
      <c r="U9441" s="31" t="n">
        <f aca="false">IF($B9441&lt;&gt;'設定（最初に1回）'!$C$4,N(U9440),IF(COUNTIFS(①今日の在庫を貼る!$B$6:$B$10005,$B9441,①今日の在庫を貼る!$I$6:$I$10005,$I9441)&gt;0,N(U9440),N(U9440)+1))</f>
        <v>2</v>
      </c>
    </row>
    <row r="9442" customFormat="false" ht="15" hidden="false" customHeight="false" outlineLevel="0" collapsed="false">
      <c r="B9442" s="53"/>
      <c r="I9442" s="53"/>
      <c r="U9442" s="31" t="n">
        <f aca="false">IF($B9442&lt;&gt;'設定（最初に1回）'!$C$4,N(U9441),IF(COUNTIFS(①今日の在庫を貼る!$B$6:$B$10005,$B9442,①今日の在庫を貼る!$I$6:$I$10005,$I9442)&gt;0,N(U9441),N(U9441)+1))</f>
        <v>2</v>
      </c>
    </row>
    <row r="9443" customFormat="false" ht="15" hidden="false" customHeight="false" outlineLevel="0" collapsed="false">
      <c r="B9443" s="53"/>
      <c r="I9443" s="53"/>
      <c r="U9443" s="31" t="n">
        <f aca="false">IF($B9443&lt;&gt;'設定（最初に1回）'!$C$4,N(U9442),IF(COUNTIFS(①今日の在庫を貼る!$B$6:$B$10005,$B9443,①今日の在庫を貼る!$I$6:$I$10005,$I9443)&gt;0,N(U9442),N(U9442)+1))</f>
        <v>2</v>
      </c>
    </row>
    <row r="9444" customFormat="false" ht="15" hidden="false" customHeight="false" outlineLevel="0" collapsed="false">
      <c r="B9444" s="53"/>
      <c r="I9444" s="53"/>
      <c r="U9444" s="31" t="n">
        <f aca="false">IF($B9444&lt;&gt;'設定（最初に1回）'!$C$4,N(U9443),IF(COUNTIFS(①今日の在庫を貼る!$B$6:$B$10005,$B9444,①今日の在庫を貼る!$I$6:$I$10005,$I9444)&gt;0,N(U9443),N(U9443)+1))</f>
        <v>2</v>
      </c>
    </row>
    <row r="9445" customFormat="false" ht="15" hidden="false" customHeight="false" outlineLevel="0" collapsed="false">
      <c r="B9445" s="53"/>
      <c r="I9445" s="53"/>
      <c r="U9445" s="31" t="n">
        <f aca="false">IF($B9445&lt;&gt;'設定（最初に1回）'!$C$4,N(U9444),IF(COUNTIFS(①今日の在庫を貼る!$B$6:$B$10005,$B9445,①今日の在庫を貼る!$I$6:$I$10005,$I9445)&gt;0,N(U9444),N(U9444)+1))</f>
        <v>2</v>
      </c>
    </row>
    <row r="9446" customFormat="false" ht="15" hidden="false" customHeight="false" outlineLevel="0" collapsed="false">
      <c r="B9446" s="53"/>
      <c r="I9446" s="53"/>
      <c r="U9446" s="31" t="n">
        <f aca="false">IF($B9446&lt;&gt;'設定（最初に1回）'!$C$4,N(U9445),IF(COUNTIFS(①今日の在庫を貼る!$B$6:$B$10005,$B9446,①今日の在庫を貼る!$I$6:$I$10005,$I9446)&gt;0,N(U9445),N(U9445)+1))</f>
        <v>2</v>
      </c>
    </row>
    <row r="9447" customFormat="false" ht="15" hidden="false" customHeight="false" outlineLevel="0" collapsed="false">
      <c r="B9447" s="53"/>
      <c r="I9447" s="53"/>
      <c r="U9447" s="31" t="n">
        <f aca="false">IF($B9447&lt;&gt;'設定（最初に1回）'!$C$4,N(U9446),IF(COUNTIFS(①今日の在庫を貼る!$B$6:$B$10005,$B9447,①今日の在庫を貼る!$I$6:$I$10005,$I9447)&gt;0,N(U9446),N(U9446)+1))</f>
        <v>2</v>
      </c>
    </row>
    <row r="9448" customFormat="false" ht="15" hidden="false" customHeight="false" outlineLevel="0" collapsed="false">
      <c r="B9448" s="53"/>
      <c r="I9448" s="53"/>
      <c r="U9448" s="31" t="n">
        <f aca="false">IF($B9448&lt;&gt;'設定（最初に1回）'!$C$4,N(U9447),IF(COUNTIFS(①今日の在庫を貼る!$B$6:$B$10005,$B9448,①今日の在庫を貼る!$I$6:$I$10005,$I9448)&gt;0,N(U9447),N(U9447)+1))</f>
        <v>2</v>
      </c>
    </row>
    <row r="9449" customFormat="false" ht="15" hidden="false" customHeight="false" outlineLevel="0" collapsed="false">
      <c r="B9449" s="53"/>
      <c r="I9449" s="53"/>
      <c r="U9449" s="31" t="n">
        <f aca="false">IF($B9449&lt;&gt;'設定（最初に1回）'!$C$4,N(U9448),IF(COUNTIFS(①今日の在庫を貼る!$B$6:$B$10005,$B9449,①今日の在庫を貼る!$I$6:$I$10005,$I9449)&gt;0,N(U9448),N(U9448)+1))</f>
        <v>2</v>
      </c>
    </row>
    <row r="9450" customFormat="false" ht="15" hidden="false" customHeight="false" outlineLevel="0" collapsed="false">
      <c r="B9450" s="53"/>
      <c r="I9450" s="53"/>
      <c r="U9450" s="31" t="n">
        <f aca="false">IF($B9450&lt;&gt;'設定（最初に1回）'!$C$4,N(U9449),IF(COUNTIFS(①今日の在庫を貼る!$B$6:$B$10005,$B9450,①今日の在庫を貼る!$I$6:$I$10005,$I9450)&gt;0,N(U9449),N(U9449)+1))</f>
        <v>2</v>
      </c>
    </row>
    <row r="9451" customFormat="false" ht="15" hidden="false" customHeight="false" outlineLevel="0" collapsed="false">
      <c r="B9451" s="53"/>
      <c r="I9451" s="53"/>
      <c r="U9451" s="31" t="n">
        <f aca="false">IF($B9451&lt;&gt;'設定（最初に1回）'!$C$4,N(U9450),IF(COUNTIFS(①今日の在庫を貼る!$B$6:$B$10005,$B9451,①今日の在庫を貼る!$I$6:$I$10005,$I9451)&gt;0,N(U9450),N(U9450)+1))</f>
        <v>2</v>
      </c>
    </row>
    <row r="9452" customFormat="false" ht="15" hidden="false" customHeight="false" outlineLevel="0" collapsed="false">
      <c r="B9452" s="53"/>
      <c r="I9452" s="53"/>
      <c r="U9452" s="31" t="n">
        <f aca="false">IF($B9452&lt;&gt;'設定（最初に1回）'!$C$4,N(U9451),IF(COUNTIFS(①今日の在庫を貼る!$B$6:$B$10005,$B9452,①今日の在庫を貼る!$I$6:$I$10005,$I9452)&gt;0,N(U9451),N(U9451)+1))</f>
        <v>2</v>
      </c>
    </row>
    <row r="9453" customFormat="false" ht="15" hidden="false" customHeight="false" outlineLevel="0" collapsed="false">
      <c r="B9453" s="53"/>
      <c r="I9453" s="53"/>
      <c r="U9453" s="31" t="n">
        <f aca="false">IF($B9453&lt;&gt;'設定（最初に1回）'!$C$4,N(U9452),IF(COUNTIFS(①今日の在庫を貼る!$B$6:$B$10005,$B9453,①今日の在庫を貼る!$I$6:$I$10005,$I9453)&gt;0,N(U9452),N(U9452)+1))</f>
        <v>2</v>
      </c>
    </row>
    <row r="9454" customFormat="false" ht="15" hidden="false" customHeight="false" outlineLevel="0" collapsed="false">
      <c r="B9454" s="53"/>
      <c r="I9454" s="53"/>
      <c r="U9454" s="31" t="n">
        <f aca="false">IF($B9454&lt;&gt;'設定（最初に1回）'!$C$4,N(U9453),IF(COUNTIFS(①今日の在庫を貼る!$B$6:$B$10005,$B9454,①今日の在庫を貼る!$I$6:$I$10005,$I9454)&gt;0,N(U9453),N(U9453)+1))</f>
        <v>2</v>
      </c>
    </row>
    <row r="9455" customFormat="false" ht="15" hidden="false" customHeight="false" outlineLevel="0" collapsed="false">
      <c r="B9455" s="53"/>
      <c r="I9455" s="53"/>
      <c r="U9455" s="31" t="n">
        <f aca="false">IF($B9455&lt;&gt;'設定（最初に1回）'!$C$4,N(U9454),IF(COUNTIFS(①今日の在庫を貼る!$B$6:$B$10005,$B9455,①今日の在庫を貼る!$I$6:$I$10005,$I9455)&gt;0,N(U9454),N(U9454)+1))</f>
        <v>2</v>
      </c>
    </row>
    <row r="9456" customFormat="false" ht="15" hidden="false" customHeight="false" outlineLevel="0" collapsed="false">
      <c r="B9456" s="53"/>
      <c r="I9456" s="53"/>
      <c r="U9456" s="31" t="n">
        <f aca="false">IF($B9456&lt;&gt;'設定（最初に1回）'!$C$4,N(U9455),IF(COUNTIFS(①今日の在庫を貼る!$B$6:$B$10005,$B9456,①今日の在庫を貼る!$I$6:$I$10005,$I9456)&gt;0,N(U9455),N(U9455)+1))</f>
        <v>2</v>
      </c>
    </row>
    <row r="9457" customFormat="false" ht="15" hidden="false" customHeight="false" outlineLevel="0" collapsed="false">
      <c r="B9457" s="53"/>
      <c r="I9457" s="53"/>
      <c r="U9457" s="31" t="n">
        <f aca="false">IF($B9457&lt;&gt;'設定（最初に1回）'!$C$4,N(U9456),IF(COUNTIFS(①今日の在庫を貼る!$B$6:$B$10005,$B9457,①今日の在庫を貼る!$I$6:$I$10005,$I9457)&gt;0,N(U9456),N(U9456)+1))</f>
        <v>2</v>
      </c>
    </row>
    <row r="9458" customFormat="false" ht="15" hidden="false" customHeight="false" outlineLevel="0" collapsed="false">
      <c r="B9458" s="53"/>
      <c r="I9458" s="53"/>
      <c r="U9458" s="31" t="n">
        <f aca="false">IF($B9458&lt;&gt;'設定（最初に1回）'!$C$4,N(U9457),IF(COUNTIFS(①今日の在庫を貼る!$B$6:$B$10005,$B9458,①今日の在庫を貼る!$I$6:$I$10005,$I9458)&gt;0,N(U9457),N(U9457)+1))</f>
        <v>2</v>
      </c>
    </row>
    <row r="9459" customFormat="false" ht="15" hidden="false" customHeight="false" outlineLevel="0" collapsed="false">
      <c r="B9459" s="53"/>
      <c r="I9459" s="53"/>
      <c r="U9459" s="31" t="n">
        <f aca="false">IF($B9459&lt;&gt;'設定（最初に1回）'!$C$4,N(U9458),IF(COUNTIFS(①今日の在庫を貼る!$B$6:$B$10005,$B9459,①今日の在庫を貼る!$I$6:$I$10005,$I9459)&gt;0,N(U9458),N(U9458)+1))</f>
        <v>2</v>
      </c>
    </row>
    <row r="9460" customFormat="false" ht="15" hidden="false" customHeight="false" outlineLevel="0" collapsed="false">
      <c r="B9460" s="53"/>
      <c r="I9460" s="53"/>
      <c r="U9460" s="31" t="n">
        <f aca="false">IF($B9460&lt;&gt;'設定（最初に1回）'!$C$4,N(U9459),IF(COUNTIFS(①今日の在庫を貼る!$B$6:$B$10005,$B9460,①今日の在庫を貼る!$I$6:$I$10005,$I9460)&gt;0,N(U9459),N(U9459)+1))</f>
        <v>2</v>
      </c>
    </row>
    <row r="9461" customFormat="false" ht="15" hidden="false" customHeight="false" outlineLevel="0" collapsed="false">
      <c r="B9461" s="53"/>
      <c r="I9461" s="53"/>
      <c r="U9461" s="31" t="n">
        <f aca="false">IF($B9461&lt;&gt;'設定（最初に1回）'!$C$4,N(U9460),IF(COUNTIFS(①今日の在庫を貼る!$B$6:$B$10005,$B9461,①今日の在庫を貼る!$I$6:$I$10005,$I9461)&gt;0,N(U9460),N(U9460)+1))</f>
        <v>2</v>
      </c>
    </row>
    <row r="9462" customFormat="false" ht="15" hidden="false" customHeight="false" outlineLevel="0" collapsed="false">
      <c r="B9462" s="53"/>
      <c r="I9462" s="53"/>
      <c r="U9462" s="31" t="n">
        <f aca="false">IF($B9462&lt;&gt;'設定（最初に1回）'!$C$4,N(U9461),IF(COUNTIFS(①今日の在庫を貼る!$B$6:$B$10005,$B9462,①今日の在庫を貼る!$I$6:$I$10005,$I9462)&gt;0,N(U9461),N(U9461)+1))</f>
        <v>2</v>
      </c>
    </row>
    <row r="9463" customFormat="false" ht="15" hidden="false" customHeight="false" outlineLevel="0" collapsed="false">
      <c r="B9463" s="53"/>
      <c r="I9463" s="53"/>
      <c r="U9463" s="31" t="n">
        <f aca="false">IF($B9463&lt;&gt;'設定（最初に1回）'!$C$4,N(U9462),IF(COUNTIFS(①今日の在庫を貼る!$B$6:$B$10005,$B9463,①今日の在庫を貼る!$I$6:$I$10005,$I9463)&gt;0,N(U9462),N(U9462)+1))</f>
        <v>2</v>
      </c>
    </row>
    <row r="9464" customFormat="false" ht="15" hidden="false" customHeight="false" outlineLevel="0" collapsed="false">
      <c r="B9464" s="53"/>
      <c r="I9464" s="53"/>
      <c r="U9464" s="31" t="n">
        <f aca="false">IF($B9464&lt;&gt;'設定（最初に1回）'!$C$4,N(U9463),IF(COUNTIFS(①今日の在庫を貼る!$B$6:$B$10005,$B9464,①今日の在庫を貼る!$I$6:$I$10005,$I9464)&gt;0,N(U9463),N(U9463)+1))</f>
        <v>2</v>
      </c>
    </row>
    <row r="9465" customFormat="false" ht="15" hidden="false" customHeight="false" outlineLevel="0" collapsed="false">
      <c r="B9465" s="53"/>
      <c r="I9465" s="53"/>
      <c r="U9465" s="31" t="n">
        <f aca="false">IF($B9465&lt;&gt;'設定（最初に1回）'!$C$4,N(U9464),IF(COUNTIFS(①今日の在庫を貼る!$B$6:$B$10005,$B9465,①今日の在庫を貼る!$I$6:$I$10005,$I9465)&gt;0,N(U9464),N(U9464)+1))</f>
        <v>2</v>
      </c>
    </row>
    <row r="9466" customFormat="false" ht="15" hidden="false" customHeight="false" outlineLevel="0" collapsed="false">
      <c r="B9466" s="53"/>
      <c r="I9466" s="53"/>
      <c r="U9466" s="31" t="n">
        <f aca="false">IF($B9466&lt;&gt;'設定（最初に1回）'!$C$4,N(U9465),IF(COUNTIFS(①今日の在庫を貼る!$B$6:$B$10005,$B9466,①今日の在庫を貼る!$I$6:$I$10005,$I9466)&gt;0,N(U9465),N(U9465)+1))</f>
        <v>2</v>
      </c>
    </row>
    <row r="9467" customFormat="false" ht="15" hidden="false" customHeight="false" outlineLevel="0" collapsed="false">
      <c r="B9467" s="53"/>
      <c r="I9467" s="53"/>
      <c r="U9467" s="31" t="n">
        <f aca="false">IF($B9467&lt;&gt;'設定（最初に1回）'!$C$4,N(U9466),IF(COUNTIFS(①今日の在庫を貼る!$B$6:$B$10005,$B9467,①今日の在庫を貼る!$I$6:$I$10005,$I9467)&gt;0,N(U9466),N(U9466)+1))</f>
        <v>2</v>
      </c>
    </row>
    <row r="9468" customFormat="false" ht="15" hidden="false" customHeight="false" outlineLevel="0" collapsed="false">
      <c r="B9468" s="53"/>
      <c r="I9468" s="53"/>
      <c r="U9468" s="31" t="n">
        <f aca="false">IF($B9468&lt;&gt;'設定（最初に1回）'!$C$4,N(U9467),IF(COUNTIFS(①今日の在庫を貼る!$B$6:$B$10005,$B9468,①今日の在庫を貼る!$I$6:$I$10005,$I9468)&gt;0,N(U9467),N(U9467)+1))</f>
        <v>2</v>
      </c>
    </row>
    <row r="9469" customFormat="false" ht="15" hidden="false" customHeight="false" outlineLevel="0" collapsed="false">
      <c r="B9469" s="53"/>
      <c r="I9469" s="53"/>
      <c r="U9469" s="31" t="n">
        <f aca="false">IF($B9469&lt;&gt;'設定（最初に1回）'!$C$4,N(U9468),IF(COUNTIFS(①今日の在庫を貼る!$B$6:$B$10005,$B9469,①今日の在庫を貼る!$I$6:$I$10005,$I9469)&gt;0,N(U9468),N(U9468)+1))</f>
        <v>2</v>
      </c>
    </row>
    <row r="9470" customFormat="false" ht="15" hidden="false" customHeight="false" outlineLevel="0" collapsed="false">
      <c r="B9470" s="53"/>
      <c r="I9470" s="53"/>
      <c r="U9470" s="31" t="n">
        <f aca="false">IF($B9470&lt;&gt;'設定（最初に1回）'!$C$4,N(U9469),IF(COUNTIFS(①今日の在庫を貼る!$B$6:$B$10005,$B9470,①今日の在庫を貼る!$I$6:$I$10005,$I9470)&gt;0,N(U9469),N(U9469)+1))</f>
        <v>2</v>
      </c>
    </row>
    <row r="9471" customFormat="false" ht="15" hidden="false" customHeight="false" outlineLevel="0" collapsed="false">
      <c r="B9471" s="53"/>
      <c r="I9471" s="53"/>
      <c r="U9471" s="31" t="n">
        <f aca="false">IF($B9471&lt;&gt;'設定（最初に1回）'!$C$4,N(U9470),IF(COUNTIFS(①今日の在庫を貼る!$B$6:$B$10005,$B9471,①今日の在庫を貼る!$I$6:$I$10005,$I9471)&gt;0,N(U9470),N(U9470)+1))</f>
        <v>2</v>
      </c>
    </row>
    <row r="9472" customFormat="false" ht="15" hidden="false" customHeight="false" outlineLevel="0" collapsed="false">
      <c r="B9472" s="53"/>
      <c r="I9472" s="53"/>
      <c r="U9472" s="31" t="n">
        <f aca="false">IF($B9472&lt;&gt;'設定（最初に1回）'!$C$4,N(U9471),IF(COUNTIFS(①今日の在庫を貼る!$B$6:$B$10005,$B9472,①今日の在庫を貼る!$I$6:$I$10005,$I9472)&gt;0,N(U9471),N(U9471)+1))</f>
        <v>2</v>
      </c>
    </row>
    <row r="9473" customFormat="false" ht="15" hidden="false" customHeight="false" outlineLevel="0" collapsed="false">
      <c r="B9473" s="53"/>
      <c r="I9473" s="53"/>
      <c r="U9473" s="31" t="n">
        <f aca="false">IF($B9473&lt;&gt;'設定（最初に1回）'!$C$4,N(U9472),IF(COUNTIFS(①今日の在庫を貼る!$B$6:$B$10005,$B9473,①今日の在庫を貼る!$I$6:$I$10005,$I9473)&gt;0,N(U9472),N(U9472)+1))</f>
        <v>2</v>
      </c>
    </row>
    <row r="9474" customFormat="false" ht="15" hidden="false" customHeight="false" outlineLevel="0" collapsed="false">
      <c r="B9474" s="53"/>
      <c r="I9474" s="53"/>
      <c r="U9474" s="31" t="n">
        <f aca="false">IF($B9474&lt;&gt;'設定（最初に1回）'!$C$4,N(U9473),IF(COUNTIFS(①今日の在庫を貼る!$B$6:$B$10005,$B9474,①今日の在庫を貼る!$I$6:$I$10005,$I9474)&gt;0,N(U9473),N(U9473)+1))</f>
        <v>2</v>
      </c>
    </row>
    <row r="9475" customFormat="false" ht="15" hidden="false" customHeight="false" outlineLevel="0" collapsed="false">
      <c r="B9475" s="53"/>
      <c r="I9475" s="53"/>
      <c r="U9475" s="31" t="n">
        <f aca="false">IF($B9475&lt;&gt;'設定（最初に1回）'!$C$4,N(U9474),IF(COUNTIFS(①今日の在庫を貼る!$B$6:$B$10005,$B9475,①今日の在庫を貼る!$I$6:$I$10005,$I9475)&gt;0,N(U9474),N(U9474)+1))</f>
        <v>2</v>
      </c>
    </row>
    <row r="9476" customFormat="false" ht="15" hidden="false" customHeight="false" outlineLevel="0" collapsed="false">
      <c r="B9476" s="53"/>
      <c r="I9476" s="53"/>
      <c r="U9476" s="31" t="n">
        <f aca="false">IF($B9476&lt;&gt;'設定（最初に1回）'!$C$4,N(U9475),IF(COUNTIFS(①今日の在庫を貼る!$B$6:$B$10005,$B9476,①今日の在庫を貼る!$I$6:$I$10005,$I9476)&gt;0,N(U9475),N(U9475)+1))</f>
        <v>2</v>
      </c>
    </row>
    <row r="9477" customFormat="false" ht="15" hidden="false" customHeight="false" outlineLevel="0" collapsed="false">
      <c r="B9477" s="53"/>
      <c r="I9477" s="53"/>
      <c r="U9477" s="31" t="n">
        <f aca="false">IF($B9477&lt;&gt;'設定（最初に1回）'!$C$4,N(U9476),IF(COUNTIFS(①今日の在庫を貼る!$B$6:$B$10005,$B9477,①今日の在庫を貼る!$I$6:$I$10005,$I9477)&gt;0,N(U9476),N(U9476)+1))</f>
        <v>2</v>
      </c>
    </row>
    <row r="9478" customFormat="false" ht="15" hidden="false" customHeight="false" outlineLevel="0" collapsed="false">
      <c r="B9478" s="53"/>
      <c r="I9478" s="53"/>
      <c r="U9478" s="31" t="n">
        <f aca="false">IF($B9478&lt;&gt;'設定（最初に1回）'!$C$4,N(U9477),IF(COUNTIFS(①今日の在庫を貼る!$B$6:$B$10005,$B9478,①今日の在庫を貼る!$I$6:$I$10005,$I9478)&gt;0,N(U9477),N(U9477)+1))</f>
        <v>2</v>
      </c>
    </row>
    <row r="9479" customFormat="false" ht="15" hidden="false" customHeight="false" outlineLevel="0" collapsed="false">
      <c r="B9479" s="53"/>
      <c r="I9479" s="53"/>
      <c r="U9479" s="31" t="n">
        <f aca="false">IF($B9479&lt;&gt;'設定（最初に1回）'!$C$4,N(U9478),IF(COUNTIFS(①今日の在庫を貼る!$B$6:$B$10005,$B9479,①今日の在庫を貼る!$I$6:$I$10005,$I9479)&gt;0,N(U9478),N(U9478)+1))</f>
        <v>2</v>
      </c>
    </row>
    <row r="9480" customFormat="false" ht="15" hidden="false" customHeight="false" outlineLevel="0" collapsed="false">
      <c r="B9480" s="53"/>
      <c r="I9480" s="53"/>
      <c r="U9480" s="31" t="n">
        <f aca="false">IF($B9480&lt;&gt;'設定（最初に1回）'!$C$4,N(U9479),IF(COUNTIFS(①今日の在庫を貼る!$B$6:$B$10005,$B9480,①今日の在庫を貼る!$I$6:$I$10005,$I9480)&gt;0,N(U9479),N(U9479)+1))</f>
        <v>2</v>
      </c>
    </row>
    <row r="9481" customFormat="false" ht="15" hidden="false" customHeight="false" outlineLevel="0" collapsed="false">
      <c r="B9481" s="53"/>
      <c r="I9481" s="53"/>
      <c r="U9481" s="31" t="n">
        <f aca="false">IF($B9481&lt;&gt;'設定（最初に1回）'!$C$4,N(U9480),IF(COUNTIFS(①今日の在庫を貼る!$B$6:$B$10005,$B9481,①今日の在庫を貼る!$I$6:$I$10005,$I9481)&gt;0,N(U9480),N(U9480)+1))</f>
        <v>2</v>
      </c>
    </row>
    <row r="9482" customFormat="false" ht="15" hidden="false" customHeight="false" outlineLevel="0" collapsed="false">
      <c r="B9482" s="53"/>
      <c r="I9482" s="53"/>
      <c r="U9482" s="31" t="n">
        <f aca="false">IF($B9482&lt;&gt;'設定（最初に1回）'!$C$4,N(U9481),IF(COUNTIFS(①今日の在庫を貼る!$B$6:$B$10005,$B9482,①今日の在庫を貼る!$I$6:$I$10005,$I9482)&gt;0,N(U9481),N(U9481)+1))</f>
        <v>2</v>
      </c>
    </row>
    <row r="9483" customFormat="false" ht="15" hidden="false" customHeight="false" outlineLevel="0" collapsed="false">
      <c r="B9483" s="53"/>
      <c r="I9483" s="53"/>
      <c r="U9483" s="31" t="n">
        <f aca="false">IF($B9483&lt;&gt;'設定（最初に1回）'!$C$4,N(U9482),IF(COUNTIFS(①今日の在庫を貼る!$B$6:$B$10005,$B9483,①今日の在庫を貼る!$I$6:$I$10005,$I9483)&gt;0,N(U9482),N(U9482)+1))</f>
        <v>2</v>
      </c>
    </row>
    <row r="9484" customFormat="false" ht="15" hidden="false" customHeight="false" outlineLevel="0" collapsed="false">
      <c r="B9484" s="53"/>
      <c r="I9484" s="53"/>
      <c r="U9484" s="31" t="n">
        <f aca="false">IF($B9484&lt;&gt;'設定（最初に1回）'!$C$4,N(U9483),IF(COUNTIFS(①今日の在庫を貼る!$B$6:$B$10005,$B9484,①今日の在庫を貼る!$I$6:$I$10005,$I9484)&gt;0,N(U9483),N(U9483)+1))</f>
        <v>2</v>
      </c>
    </row>
    <row r="9485" customFormat="false" ht="15" hidden="false" customHeight="false" outlineLevel="0" collapsed="false">
      <c r="B9485" s="53"/>
      <c r="I9485" s="53"/>
      <c r="U9485" s="31" t="n">
        <f aca="false">IF($B9485&lt;&gt;'設定（最初に1回）'!$C$4,N(U9484),IF(COUNTIFS(①今日の在庫を貼る!$B$6:$B$10005,$B9485,①今日の在庫を貼る!$I$6:$I$10005,$I9485)&gt;0,N(U9484),N(U9484)+1))</f>
        <v>2</v>
      </c>
    </row>
    <row r="9486" customFormat="false" ht="15" hidden="false" customHeight="false" outlineLevel="0" collapsed="false">
      <c r="B9486" s="53"/>
      <c r="I9486" s="53"/>
      <c r="U9486" s="31" t="n">
        <f aca="false">IF($B9486&lt;&gt;'設定（最初に1回）'!$C$4,N(U9485),IF(COUNTIFS(①今日の在庫を貼る!$B$6:$B$10005,$B9486,①今日の在庫を貼る!$I$6:$I$10005,$I9486)&gt;0,N(U9485),N(U9485)+1))</f>
        <v>2</v>
      </c>
    </row>
    <row r="9487" customFormat="false" ht="15" hidden="false" customHeight="false" outlineLevel="0" collapsed="false">
      <c r="B9487" s="53"/>
      <c r="I9487" s="53"/>
      <c r="U9487" s="31" t="n">
        <f aca="false">IF($B9487&lt;&gt;'設定（最初に1回）'!$C$4,N(U9486),IF(COUNTIFS(①今日の在庫を貼る!$B$6:$B$10005,$B9487,①今日の在庫を貼る!$I$6:$I$10005,$I9487)&gt;0,N(U9486),N(U9486)+1))</f>
        <v>2</v>
      </c>
    </row>
    <row r="9488" customFormat="false" ht="15" hidden="false" customHeight="false" outlineLevel="0" collapsed="false">
      <c r="B9488" s="53"/>
      <c r="I9488" s="53"/>
      <c r="U9488" s="31" t="n">
        <f aca="false">IF($B9488&lt;&gt;'設定（最初に1回）'!$C$4,N(U9487),IF(COUNTIFS(①今日の在庫を貼る!$B$6:$B$10005,$B9488,①今日の在庫を貼る!$I$6:$I$10005,$I9488)&gt;0,N(U9487),N(U9487)+1))</f>
        <v>2</v>
      </c>
    </row>
    <row r="9489" customFormat="false" ht="15" hidden="false" customHeight="false" outlineLevel="0" collapsed="false">
      <c r="B9489" s="53"/>
      <c r="I9489" s="53"/>
      <c r="U9489" s="31" t="n">
        <f aca="false">IF($B9489&lt;&gt;'設定（最初に1回）'!$C$4,N(U9488),IF(COUNTIFS(①今日の在庫を貼る!$B$6:$B$10005,$B9489,①今日の在庫を貼る!$I$6:$I$10005,$I9489)&gt;0,N(U9488),N(U9488)+1))</f>
        <v>2</v>
      </c>
    </row>
    <row r="9490" customFormat="false" ht="15" hidden="false" customHeight="false" outlineLevel="0" collapsed="false">
      <c r="B9490" s="53"/>
      <c r="I9490" s="53"/>
      <c r="U9490" s="31" t="n">
        <f aca="false">IF($B9490&lt;&gt;'設定（最初に1回）'!$C$4,N(U9489),IF(COUNTIFS(①今日の在庫を貼る!$B$6:$B$10005,$B9490,①今日の在庫を貼る!$I$6:$I$10005,$I9490)&gt;0,N(U9489),N(U9489)+1))</f>
        <v>2</v>
      </c>
    </row>
    <row r="9491" customFormat="false" ht="15" hidden="false" customHeight="false" outlineLevel="0" collapsed="false">
      <c r="B9491" s="53"/>
      <c r="I9491" s="53"/>
      <c r="U9491" s="31" t="n">
        <f aca="false">IF($B9491&lt;&gt;'設定（最初に1回）'!$C$4,N(U9490),IF(COUNTIFS(①今日の在庫を貼る!$B$6:$B$10005,$B9491,①今日の在庫を貼る!$I$6:$I$10005,$I9491)&gt;0,N(U9490),N(U9490)+1))</f>
        <v>2</v>
      </c>
    </row>
    <row r="9492" customFormat="false" ht="15" hidden="false" customHeight="false" outlineLevel="0" collapsed="false">
      <c r="B9492" s="53"/>
      <c r="I9492" s="53"/>
      <c r="U9492" s="31" t="n">
        <f aca="false">IF($B9492&lt;&gt;'設定（最初に1回）'!$C$4,N(U9491),IF(COUNTIFS(①今日の在庫を貼る!$B$6:$B$10005,$B9492,①今日の在庫を貼る!$I$6:$I$10005,$I9492)&gt;0,N(U9491),N(U9491)+1))</f>
        <v>2</v>
      </c>
    </row>
    <row r="9493" customFormat="false" ht="15" hidden="false" customHeight="false" outlineLevel="0" collapsed="false">
      <c r="B9493" s="53"/>
      <c r="I9493" s="53"/>
      <c r="U9493" s="31" t="n">
        <f aca="false">IF($B9493&lt;&gt;'設定（最初に1回）'!$C$4,N(U9492),IF(COUNTIFS(①今日の在庫を貼る!$B$6:$B$10005,$B9493,①今日の在庫を貼る!$I$6:$I$10005,$I9493)&gt;0,N(U9492),N(U9492)+1))</f>
        <v>2</v>
      </c>
    </row>
    <row r="9494" customFormat="false" ht="15" hidden="false" customHeight="false" outlineLevel="0" collapsed="false">
      <c r="B9494" s="53"/>
      <c r="I9494" s="53"/>
      <c r="U9494" s="31" t="n">
        <f aca="false">IF($B9494&lt;&gt;'設定（最初に1回）'!$C$4,N(U9493),IF(COUNTIFS(①今日の在庫を貼る!$B$6:$B$10005,$B9494,①今日の在庫を貼る!$I$6:$I$10005,$I9494)&gt;0,N(U9493),N(U9493)+1))</f>
        <v>2</v>
      </c>
    </row>
    <row r="9495" customFormat="false" ht="15" hidden="false" customHeight="false" outlineLevel="0" collapsed="false">
      <c r="B9495" s="53"/>
      <c r="I9495" s="53"/>
      <c r="U9495" s="31" t="n">
        <f aca="false">IF($B9495&lt;&gt;'設定（最初に1回）'!$C$4,N(U9494),IF(COUNTIFS(①今日の在庫を貼る!$B$6:$B$10005,$B9495,①今日の在庫を貼る!$I$6:$I$10005,$I9495)&gt;0,N(U9494),N(U9494)+1))</f>
        <v>2</v>
      </c>
    </row>
    <row r="9496" customFormat="false" ht="15" hidden="false" customHeight="false" outlineLevel="0" collapsed="false">
      <c r="B9496" s="53"/>
      <c r="I9496" s="53"/>
      <c r="U9496" s="31" t="n">
        <f aca="false">IF($B9496&lt;&gt;'設定（最初に1回）'!$C$4,N(U9495),IF(COUNTIFS(①今日の在庫を貼る!$B$6:$B$10005,$B9496,①今日の在庫を貼る!$I$6:$I$10005,$I9496)&gt;0,N(U9495),N(U9495)+1))</f>
        <v>2</v>
      </c>
    </row>
    <row r="9497" customFormat="false" ht="15" hidden="false" customHeight="false" outlineLevel="0" collapsed="false">
      <c r="B9497" s="53"/>
      <c r="I9497" s="53"/>
      <c r="U9497" s="31" t="n">
        <f aca="false">IF($B9497&lt;&gt;'設定（最初に1回）'!$C$4,N(U9496),IF(COUNTIFS(①今日の在庫を貼る!$B$6:$B$10005,$B9497,①今日の在庫を貼る!$I$6:$I$10005,$I9497)&gt;0,N(U9496),N(U9496)+1))</f>
        <v>2</v>
      </c>
    </row>
    <row r="9498" customFormat="false" ht="15" hidden="false" customHeight="false" outlineLevel="0" collapsed="false">
      <c r="B9498" s="53"/>
      <c r="I9498" s="53"/>
      <c r="U9498" s="31" t="n">
        <f aca="false">IF($B9498&lt;&gt;'設定（最初に1回）'!$C$4,N(U9497),IF(COUNTIFS(①今日の在庫を貼る!$B$6:$B$10005,$B9498,①今日の在庫を貼る!$I$6:$I$10005,$I9498)&gt;0,N(U9497),N(U9497)+1))</f>
        <v>2</v>
      </c>
    </row>
    <row r="9499" customFormat="false" ht="15" hidden="false" customHeight="false" outlineLevel="0" collapsed="false">
      <c r="B9499" s="53"/>
      <c r="I9499" s="53"/>
      <c r="U9499" s="31" t="n">
        <f aca="false">IF($B9499&lt;&gt;'設定（最初に1回）'!$C$4,N(U9498),IF(COUNTIFS(①今日の在庫を貼る!$B$6:$B$10005,$B9499,①今日の在庫を貼る!$I$6:$I$10005,$I9499)&gt;0,N(U9498),N(U9498)+1))</f>
        <v>2</v>
      </c>
    </row>
    <row r="9500" customFormat="false" ht="15" hidden="false" customHeight="false" outlineLevel="0" collapsed="false">
      <c r="B9500" s="53"/>
      <c r="I9500" s="53"/>
      <c r="U9500" s="31" t="n">
        <f aca="false">IF($B9500&lt;&gt;'設定（最初に1回）'!$C$4,N(U9499),IF(COUNTIFS(①今日の在庫を貼る!$B$6:$B$10005,$B9500,①今日の在庫を貼る!$I$6:$I$10005,$I9500)&gt;0,N(U9499),N(U9499)+1))</f>
        <v>2</v>
      </c>
    </row>
    <row r="9501" customFormat="false" ht="15" hidden="false" customHeight="false" outlineLevel="0" collapsed="false">
      <c r="B9501" s="53"/>
      <c r="I9501" s="53"/>
      <c r="U9501" s="31" t="n">
        <f aca="false">IF($B9501&lt;&gt;'設定（最初に1回）'!$C$4,N(U9500),IF(COUNTIFS(①今日の在庫を貼る!$B$6:$B$10005,$B9501,①今日の在庫を貼る!$I$6:$I$10005,$I9501)&gt;0,N(U9500),N(U9500)+1))</f>
        <v>2</v>
      </c>
    </row>
    <row r="9502" customFormat="false" ht="15" hidden="false" customHeight="false" outlineLevel="0" collapsed="false">
      <c r="B9502" s="53"/>
      <c r="I9502" s="53"/>
      <c r="U9502" s="31" t="n">
        <f aca="false">IF($B9502&lt;&gt;'設定（最初に1回）'!$C$4,N(U9501),IF(COUNTIFS(①今日の在庫を貼る!$B$6:$B$10005,$B9502,①今日の在庫を貼る!$I$6:$I$10005,$I9502)&gt;0,N(U9501),N(U9501)+1))</f>
        <v>2</v>
      </c>
    </row>
    <row r="9503" customFormat="false" ht="15" hidden="false" customHeight="false" outlineLevel="0" collapsed="false">
      <c r="B9503" s="53"/>
      <c r="I9503" s="53"/>
      <c r="U9503" s="31" t="n">
        <f aca="false">IF($B9503&lt;&gt;'設定（最初に1回）'!$C$4,N(U9502),IF(COUNTIFS(①今日の在庫を貼る!$B$6:$B$10005,$B9503,①今日の在庫を貼る!$I$6:$I$10005,$I9503)&gt;0,N(U9502),N(U9502)+1))</f>
        <v>2</v>
      </c>
    </row>
    <row r="9504" customFormat="false" ht="15" hidden="false" customHeight="false" outlineLevel="0" collapsed="false">
      <c r="B9504" s="53"/>
      <c r="I9504" s="53"/>
      <c r="U9504" s="31" t="n">
        <f aca="false">IF($B9504&lt;&gt;'設定（最初に1回）'!$C$4,N(U9503),IF(COUNTIFS(①今日の在庫を貼る!$B$6:$B$10005,$B9504,①今日の在庫を貼る!$I$6:$I$10005,$I9504)&gt;0,N(U9503),N(U9503)+1))</f>
        <v>2</v>
      </c>
    </row>
    <row r="9505" customFormat="false" ht="15" hidden="false" customHeight="false" outlineLevel="0" collapsed="false">
      <c r="B9505" s="53"/>
      <c r="I9505" s="53"/>
      <c r="U9505" s="31" t="n">
        <f aca="false">IF($B9505&lt;&gt;'設定（最初に1回）'!$C$4,N(U9504),IF(COUNTIFS(①今日の在庫を貼る!$B$6:$B$10005,$B9505,①今日の在庫を貼る!$I$6:$I$10005,$I9505)&gt;0,N(U9504),N(U9504)+1))</f>
        <v>2</v>
      </c>
    </row>
    <row r="9506" customFormat="false" ht="15" hidden="false" customHeight="false" outlineLevel="0" collapsed="false">
      <c r="B9506" s="53"/>
      <c r="I9506" s="53"/>
      <c r="U9506" s="31" t="n">
        <f aca="false">IF($B9506&lt;&gt;'設定（最初に1回）'!$C$4,N(U9505),IF(COUNTIFS(①今日の在庫を貼る!$B$6:$B$10005,$B9506,①今日の在庫を貼る!$I$6:$I$10005,$I9506)&gt;0,N(U9505),N(U9505)+1))</f>
        <v>2</v>
      </c>
    </row>
    <row r="9507" customFormat="false" ht="15" hidden="false" customHeight="false" outlineLevel="0" collapsed="false">
      <c r="B9507" s="53"/>
      <c r="I9507" s="53"/>
      <c r="U9507" s="31" t="n">
        <f aca="false">IF($B9507&lt;&gt;'設定（最初に1回）'!$C$4,N(U9506),IF(COUNTIFS(①今日の在庫を貼る!$B$6:$B$10005,$B9507,①今日の在庫を貼る!$I$6:$I$10005,$I9507)&gt;0,N(U9506),N(U9506)+1))</f>
        <v>2</v>
      </c>
    </row>
    <row r="9508" customFormat="false" ht="15" hidden="false" customHeight="false" outlineLevel="0" collapsed="false">
      <c r="B9508" s="53"/>
      <c r="I9508" s="53"/>
      <c r="U9508" s="31" t="n">
        <f aca="false">IF($B9508&lt;&gt;'設定（最初に1回）'!$C$4,N(U9507),IF(COUNTIFS(①今日の在庫を貼る!$B$6:$B$10005,$B9508,①今日の在庫を貼る!$I$6:$I$10005,$I9508)&gt;0,N(U9507),N(U9507)+1))</f>
        <v>2</v>
      </c>
    </row>
    <row r="9509" customFormat="false" ht="15" hidden="false" customHeight="false" outlineLevel="0" collapsed="false">
      <c r="B9509" s="53"/>
      <c r="I9509" s="53"/>
      <c r="U9509" s="31" t="n">
        <f aca="false">IF($B9509&lt;&gt;'設定（最初に1回）'!$C$4,N(U9508),IF(COUNTIFS(①今日の在庫を貼る!$B$6:$B$10005,$B9509,①今日の在庫を貼る!$I$6:$I$10005,$I9509)&gt;0,N(U9508),N(U9508)+1))</f>
        <v>2</v>
      </c>
    </row>
    <row r="9510" customFormat="false" ht="15" hidden="false" customHeight="false" outlineLevel="0" collapsed="false">
      <c r="B9510" s="53"/>
      <c r="I9510" s="53"/>
      <c r="U9510" s="31" t="n">
        <f aca="false">IF($B9510&lt;&gt;'設定（最初に1回）'!$C$4,N(U9509),IF(COUNTIFS(①今日の在庫を貼る!$B$6:$B$10005,$B9510,①今日の在庫を貼る!$I$6:$I$10005,$I9510)&gt;0,N(U9509),N(U9509)+1))</f>
        <v>2</v>
      </c>
    </row>
    <row r="9511" customFormat="false" ht="15" hidden="false" customHeight="false" outlineLevel="0" collapsed="false">
      <c r="B9511" s="53"/>
      <c r="I9511" s="53"/>
      <c r="U9511" s="31" t="n">
        <f aca="false">IF($B9511&lt;&gt;'設定（最初に1回）'!$C$4,N(U9510),IF(COUNTIFS(①今日の在庫を貼る!$B$6:$B$10005,$B9511,①今日の在庫を貼る!$I$6:$I$10005,$I9511)&gt;0,N(U9510),N(U9510)+1))</f>
        <v>2</v>
      </c>
    </row>
    <row r="9512" customFormat="false" ht="15" hidden="false" customHeight="false" outlineLevel="0" collapsed="false">
      <c r="B9512" s="53"/>
      <c r="I9512" s="53"/>
      <c r="U9512" s="31" t="n">
        <f aca="false">IF($B9512&lt;&gt;'設定（最初に1回）'!$C$4,N(U9511),IF(COUNTIFS(①今日の在庫を貼る!$B$6:$B$10005,$B9512,①今日の在庫を貼る!$I$6:$I$10005,$I9512)&gt;0,N(U9511),N(U9511)+1))</f>
        <v>2</v>
      </c>
    </row>
    <row r="9513" customFormat="false" ht="15" hidden="false" customHeight="false" outlineLevel="0" collapsed="false">
      <c r="B9513" s="53"/>
      <c r="I9513" s="53"/>
      <c r="U9513" s="31" t="n">
        <f aca="false">IF($B9513&lt;&gt;'設定（最初に1回）'!$C$4,N(U9512),IF(COUNTIFS(①今日の在庫を貼る!$B$6:$B$10005,$B9513,①今日の在庫を貼る!$I$6:$I$10005,$I9513)&gt;0,N(U9512),N(U9512)+1))</f>
        <v>2</v>
      </c>
    </row>
    <row r="9514" customFormat="false" ht="15" hidden="false" customHeight="false" outlineLevel="0" collapsed="false">
      <c r="B9514" s="53"/>
      <c r="I9514" s="53"/>
      <c r="U9514" s="31" t="n">
        <f aca="false">IF($B9514&lt;&gt;'設定（最初に1回）'!$C$4,N(U9513),IF(COUNTIFS(①今日の在庫を貼る!$B$6:$B$10005,$B9514,①今日の在庫を貼る!$I$6:$I$10005,$I9514)&gt;0,N(U9513),N(U9513)+1))</f>
        <v>2</v>
      </c>
    </row>
    <row r="9515" customFormat="false" ht="15" hidden="false" customHeight="false" outlineLevel="0" collapsed="false">
      <c r="B9515" s="53"/>
      <c r="I9515" s="53"/>
      <c r="U9515" s="31" t="n">
        <f aca="false">IF($B9515&lt;&gt;'設定（最初に1回）'!$C$4,N(U9514),IF(COUNTIFS(①今日の在庫を貼る!$B$6:$B$10005,$B9515,①今日の在庫を貼る!$I$6:$I$10005,$I9515)&gt;0,N(U9514),N(U9514)+1))</f>
        <v>2</v>
      </c>
    </row>
    <row r="9516" customFormat="false" ht="15" hidden="false" customHeight="false" outlineLevel="0" collapsed="false">
      <c r="B9516" s="53"/>
      <c r="I9516" s="53"/>
      <c r="U9516" s="31" t="n">
        <f aca="false">IF($B9516&lt;&gt;'設定（最初に1回）'!$C$4,N(U9515),IF(COUNTIFS(①今日の在庫を貼る!$B$6:$B$10005,$B9516,①今日の在庫を貼る!$I$6:$I$10005,$I9516)&gt;0,N(U9515),N(U9515)+1))</f>
        <v>2</v>
      </c>
    </row>
    <row r="9517" customFormat="false" ht="15" hidden="false" customHeight="false" outlineLevel="0" collapsed="false">
      <c r="B9517" s="53"/>
      <c r="I9517" s="53"/>
      <c r="U9517" s="31" t="n">
        <f aca="false">IF($B9517&lt;&gt;'設定（最初に1回）'!$C$4,N(U9516),IF(COUNTIFS(①今日の在庫を貼る!$B$6:$B$10005,$B9517,①今日の在庫を貼る!$I$6:$I$10005,$I9517)&gt;0,N(U9516),N(U9516)+1))</f>
        <v>2</v>
      </c>
    </row>
    <row r="9518" customFormat="false" ht="15" hidden="false" customHeight="false" outlineLevel="0" collapsed="false">
      <c r="B9518" s="53"/>
      <c r="I9518" s="53"/>
      <c r="U9518" s="31" t="n">
        <f aca="false">IF($B9518&lt;&gt;'設定（最初に1回）'!$C$4,N(U9517),IF(COUNTIFS(①今日の在庫を貼る!$B$6:$B$10005,$B9518,①今日の在庫を貼る!$I$6:$I$10005,$I9518)&gt;0,N(U9517),N(U9517)+1))</f>
        <v>2</v>
      </c>
    </row>
    <row r="9519" customFormat="false" ht="15" hidden="false" customHeight="false" outlineLevel="0" collapsed="false">
      <c r="B9519" s="53"/>
      <c r="I9519" s="53"/>
      <c r="U9519" s="31" t="n">
        <f aca="false">IF($B9519&lt;&gt;'設定（最初に1回）'!$C$4,N(U9518),IF(COUNTIFS(①今日の在庫を貼る!$B$6:$B$10005,$B9519,①今日の在庫を貼る!$I$6:$I$10005,$I9519)&gt;0,N(U9518),N(U9518)+1))</f>
        <v>2</v>
      </c>
    </row>
    <row r="9520" customFormat="false" ht="15" hidden="false" customHeight="false" outlineLevel="0" collapsed="false">
      <c r="B9520" s="53"/>
      <c r="I9520" s="53"/>
      <c r="U9520" s="31" t="n">
        <f aca="false">IF($B9520&lt;&gt;'設定（最初に1回）'!$C$4,N(U9519),IF(COUNTIFS(①今日の在庫を貼る!$B$6:$B$10005,$B9520,①今日の在庫を貼る!$I$6:$I$10005,$I9520)&gt;0,N(U9519),N(U9519)+1))</f>
        <v>2</v>
      </c>
    </row>
    <row r="9521" customFormat="false" ht="15" hidden="false" customHeight="false" outlineLevel="0" collapsed="false">
      <c r="B9521" s="53"/>
      <c r="I9521" s="53"/>
      <c r="U9521" s="31" t="n">
        <f aca="false">IF($B9521&lt;&gt;'設定（最初に1回）'!$C$4,N(U9520),IF(COUNTIFS(①今日の在庫を貼る!$B$6:$B$10005,$B9521,①今日の在庫を貼る!$I$6:$I$10005,$I9521)&gt;0,N(U9520),N(U9520)+1))</f>
        <v>2</v>
      </c>
    </row>
    <row r="9522" customFormat="false" ht="15" hidden="false" customHeight="false" outlineLevel="0" collapsed="false">
      <c r="B9522" s="53"/>
      <c r="I9522" s="53"/>
      <c r="U9522" s="31" t="n">
        <f aca="false">IF($B9522&lt;&gt;'設定（最初に1回）'!$C$4,N(U9521),IF(COUNTIFS(①今日の在庫を貼る!$B$6:$B$10005,$B9522,①今日の在庫を貼る!$I$6:$I$10005,$I9522)&gt;0,N(U9521),N(U9521)+1))</f>
        <v>2</v>
      </c>
    </row>
    <row r="9523" customFormat="false" ht="15" hidden="false" customHeight="false" outlineLevel="0" collapsed="false">
      <c r="B9523" s="53"/>
      <c r="I9523" s="53"/>
      <c r="U9523" s="31" t="n">
        <f aca="false">IF($B9523&lt;&gt;'設定（最初に1回）'!$C$4,N(U9522),IF(COUNTIFS(①今日の在庫を貼る!$B$6:$B$10005,$B9523,①今日の在庫を貼る!$I$6:$I$10005,$I9523)&gt;0,N(U9522),N(U9522)+1))</f>
        <v>2</v>
      </c>
    </row>
    <row r="9524" customFormat="false" ht="15" hidden="false" customHeight="false" outlineLevel="0" collapsed="false">
      <c r="B9524" s="53"/>
      <c r="I9524" s="53"/>
      <c r="U9524" s="31" t="n">
        <f aca="false">IF($B9524&lt;&gt;'設定（最初に1回）'!$C$4,N(U9523),IF(COUNTIFS(①今日の在庫を貼る!$B$6:$B$10005,$B9524,①今日の在庫を貼る!$I$6:$I$10005,$I9524)&gt;0,N(U9523),N(U9523)+1))</f>
        <v>2</v>
      </c>
    </row>
    <row r="9525" customFormat="false" ht="15" hidden="false" customHeight="false" outlineLevel="0" collapsed="false">
      <c r="B9525" s="53"/>
      <c r="I9525" s="53"/>
      <c r="U9525" s="31" t="n">
        <f aca="false">IF($B9525&lt;&gt;'設定（最初に1回）'!$C$4,N(U9524),IF(COUNTIFS(①今日の在庫を貼る!$B$6:$B$10005,$B9525,①今日の在庫を貼る!$I$6:$I$10005,$I9525)&gt;0,N(U9524),N(U9524)+1))</f>
        <v>2</v>
      </c>
    </row>
    <row r="9526" customFormat="false" ht="15" hidden="false" customHeight="false" outlineLevel="0" collapsed="false">
      <c r="B9526" s="53"/>
      <c r="I9526" s="53"/>
      <c r="U9526" s="31" t="n">
        <f aca="false">IF($B9526&lt;&gt;'設定（最初に1回）'!$C$4,N(U9525),IF(COUNTIFS(①今日の在庫を貼る!$B$6:$B$10005,$B9526,①今日の在庫を貼る!$I$6:$I$10005,$I9526)&gt;0,N(U9525),N(U9525)+1))</f>
        <v>2</v>
      </c>
    </row>
    <row r="9527" customFormat="false" ht="15" hidden="false" customHeight="false" outlineLevel="0" collapsed="false">
      <c r="B9527" s="53"/>
      <c r="I9527" s="53"/>
      <c r="U9527" s="31" t="n">
        <f aca="false">IF($B9527&lt;&gt;'設定（最初に1回）'!$C$4,N(U9526),IF(COUNTIFS(①今日の在庫を貼る!$B$6:$B$10005,$B9527,①今日の在庫を貼る!$I$6:$I$10005,$I9527)&gt;0,N(U9526),N(U9526)+1))</f>
        <v>2</v>
      </c>
    </row>
    <row r="9528" customFormat="false" ht="15" hidden="false" customHeight="false" outlineLevel="0" collapsed="false">
      <c r="B9528" s="53"/>
      <c r="I9528" s="53"/>
      <c r="U9528" s="31" t="n">
        <f aca="false">IF($B9528&lt;&gt;'設定（最初に1回）'!$C$4,N(U9527),IF(COUNTIFS(①今日の在庫を貼る!$B$6:$B$10005,$B9528,①今日の在庫を貼る!$I$6:$I$10005,$I9528)&gt;0,N(U9527),N(U9527)+1))</f>
        <v>2</v>
      </c>
    </row>
    <row r="9529" customFormat="false" ht="15" hidden="false" customHeight="false" outlineLevel="0" collapsed="false">
      <c r="B9529" s="53"/>
      <c r="I9529" s="53"/>
      <c r="U9529" s="31" t="n">
        <f aca="false">IF($B9529&lt;&gt;'設定（最初に1回）'!$C$4,N(U9528),IF(COUNTIFS(①今日の在庫を貼る!$B$6:$B$10005,$B9529,①今日の在庫を貼る!$I$6:$I$10005,$I9529)&gt;0,N(U9528),N(U9528)+1))</f>
        <v>2</v>
      </c>
    </row>
    <row r="9530" customFormat="false" ht="15" hidden="false" customHeight="false" outlineLevel="0" collapsed="false">
      <c r="B9530" s="53"/>
      <c r="I9530" s="53"/>
      <c r="U9530" s="31" t="n">
        <f aca="false">IF($B9530&lt;&gt;'設定（最初に1回）'!$C$4,N(U9529),IF(COUNTIFS(①今日の在庫を貼る!$B$6:$B$10005,$B9530,①今日の在庫を貼る!$I$6:$I$10005,$I9530)&gt;0,N(U9529),N(U9529)+1))</f>
        <v>2</v>
      </c>
    </row>
    <row r="9531" customFormat="false" ht="15" hidden="false" customHeight="false" outlineLevel="0" collapsed="false">
      <c r="B9531" s="53"/>
      <c r="I9531" s="53"/>
      <c r="U9531" s="31" t="n">
        <f aca="false">IF($B9531&lt;&gt;'設定（最初に1回）'!$C$4,N(U9530),IF(COUNTIFS(①今日の在庫を貼る!$B$6:$B$10005,$B9531,①今日の在庫を貼る!$I$6:$I$10005,$I9531)&gt;0,N(U9530),N(U9530)+1))</f>
        <v>2</v>
      </c>
    </row>
    <row r="9532" customFormat="false" ht="15" hidden="false" customHeight="false" outlineLevel="0" collapsed="false">
      <c r="B9532" s="53"/>
      <c r="I9532" s="53"/>
      <c r="U9532" s="31" t="n">
        <f aca="false">IF($B9532&lt;&gt;'設定（最初に1回）'!$C$4,N(U9531),IF(COUNTIFS(①今日の在庫を貼る!$B$6:$B$10005,$B9532,①今日の在庫を貼る!$I$6:$I$10005,$I9532)&gt;0,N(U9531),N(U9531)+1))</f>
        <v>2</v>
      </c>
    </row>
    <row r="9533" customFormat="false" ht="15" hidden="false" customHeight="false" outlineLevel="0" collapsed="false">
      <c r="B9533" s="53"/>
      <c r="I9533" s="53"/>
      <c r="U9533" s="31" t="n">
        <f aca="false">IF($B9533&lt;&gt;'設定（最初に1回）'!$C$4,N(U9532),IF(COUNTIFS(①今日の在庫を貼る!$B$6:$B$10005,$B9533,①今日の在庫を貼る!$I$6:$I$10005,$I9533)&gt;0,N(U9532),N(U9532)+1))</f>
        <v>2</v>
      </c>
    </row>
    <row r="9534" customFormat="false" ht="15" hidden="false" customHeight="false" outlineLevel="0" collapsed="false">
      <c r="B9534" s="53"/>
      <c r="I9534" s="53"/>
      <c r="U9534" s="31" t="n">
        <f aca="false">IF($B9534&lt;&gt;'設定（最初に1回）'!$C$4,N(U9533),IF(COUNTIFS(①今日の在庫を貼る!$B$6:$B$10005,$B9534,①今日の在庫を貼る!$I$6:$I$10005,$I9534)&gt;0,N(U9533),N(U9533)+1))</f>
        <v>2</v>
      </c>
    </row>
    <row r="9535" customFormat="false" ht="15" hidden="false" customHeight="false" outlineLevel="0" collapsed="false">
      <c r="B9535" s="53"/>
      <c r="I9535" s="53"/>
      <c r="U9535" s="31" t="n">
        <f aca="false">IF($B9535&lt;&gt;'設定（最初に1回）'!$C$4,N(U9534),IF(COUNTIFS(①今日の在庫を貼る!$B$6:$B$10005,$B9535,①今日の在庫を貼る!$I$6:$I$10005,$I9535)&gt;0,N(U9534),N(U9534)+1))</f>
        <v>2</v>
      </c>
    </row>
    <row r="9536" customFormat="false" ht="15" hidden="false" customHeight="false" outlineLevel="0" collapsed="false">
      <c r="B9536" s="53"/>
      <c r="I9536" s="53"/>
      <c r="U9536" s="31" t="n">
        <f aca="false">IF($B9536&lt;&gt;'設定（最初に1回）'!$C$4,N(U9535),IF(COUNTIFS(①今日の在庫を貼る!$B$6:$B$10005,$B9536,①今日の在庫を貼る!$I$6:$I$10005,$I9536)&gt;0,N(U9535),N(U9535)+1))</f>
        <v>2</v>
      </c>
    </row>
    <row r="9537" customFormat="false" ht="15" hidden="false" customHeight="false" outlineLevel="0" collapsed="false">
      <c r="B9537" s="53"/>
      <c r="I9537" s="53"/>
      <c r="U9537" s="31" t="n">
        <f aca="false">IF($B9537&lt;&gt;'設定（最初に1回）'!$C$4,N(U9536),IF(COUNTIFS(①今日の在庫を貼る!$B$6:$B$10005,$B9537,①今日の在庫を貼る!$I$6:$I$10005,$I9537)&gt;0,N(U9536),N(U9536)+1))</f>
        <v>2</v>
      </c>
    </row>
    <row r="9538" customFormat="false" ht="15" hidden="false" customHeight="false" outlineLevel="0" collapsed="false">
      <c r="B9538" s="53"/>
      <c r="I9538" s="53"/>
      <c r="U9538" s="31" t="n">
        <f aca="false">IF($B9538&lt;&gt;'設定（最初に1回）'!$C$4,N(U9537),IF(COUNTIFS(①今日の在庫を貼る!$B$6:$B$10005,$B9538,①今日の在庫を貼る!$I$6:$I$10005,$I9538)&gt;0,N(U9537),N(U9537)+1))</f>
        <v>2</v>
      </c>
    </row>
    <row r="9539" customFormat="false" ht="15" hidden="false" customHeight="false" outlineLevel="0" collapsed="false">
      <c r="B9539" s="53"/>
      <c r="I9539" s="53"/>
      <c r="U9539" s="31" t="n">
        <f aca="false">IF($B9539&lt;&gt;'設定（最初に1回）'!$C$4,N(U9538),IF(COUNTIFS(①今日の在庫を貼る!$B$6:$B$10005,$B9539,①今日の在庫を貼る!$I$6:$I$10005,$I9539)&gt;0,N(U9538),N(U9538)+1))</f>
        <v>2</v>
      </c>
    </row>
    <row r="9540" customFormat="false" ht="15" hidden="false" customHeight="false" outlineLevel="0" collapsed="false">
      <c r="B9540" s="53"/>
      <c r="I9540" s="53"/>
      <c r="U9540" s="31" t="n">
        <f aca="false">IF($B9540&lt;&gt;'設定（最初に1回）'!$C$4,N(U9539),IF(COUNTIFS(①今日の在庫を貼る!$B$6:$B$10005,$B9540,①今日の在庫を貼る!$I$6:$I$10005,$I9540)&gt;0,N(U9539),N(U9539)+1))</f>
        <v>2</v>
      </c>
    </row>
    <row r="9541" customFormat="false" ht="15" hidden="false" customHeight="false" outlineLevel="0" collapsed="false">
      <c r="B9541" s="53"/>
      <c r="I9541" s="53"/>
      <c r="U9541" s="31" t="n">
        <f aca="false">IF($B9541&lt;&gt;'設定（最初に1回）'!$C$4,N(U9540),IF(COUNTIFS(①今日の在庫を貼る!$B$6:$B$10005,$B9541,①今日の在庫を貼る!$I$6:$I$10005,$I9541)&gt;0,N(U9540),N(U9540)+1))</f>
        <v>2</v>
      </c>
    </row>
    <row r="9542" customFormat="false" ht="15" hidden="false" customHeight="false" outlineLevel="0" collapsed="false">
      <c r="B9542" s="53"/>
      <c r="I9542" s="53"/>
      <c r="U9542" s="31" t="n">
        <f aca="false">IF($B9542&lt;&gt;'設定（最初に1回）'!$C$4,N(U9541),IF(COUNTIFS(①今日の在庫を貼る!$B$6:$B$10005,$B9542,①今日の在庫を貼る!$I$6:$I$10005,$I9542)&gt;0,N(U9541),N(U9541)+1))</f>
        <v>2</v>
      </c>
    </row>
    <row r="9543" customFormat="false" ht="15" hidden="false" customHeight="false" outlineLevel="0" collapsed="false">
      <c r="B9543" s="53"/>
      <c r="I9543" s="53"/>
      <c r="U9543" s="31" t="n">
        <f aca="false">IF($B9543&lt;&gt;'設定（最初に1回）'!$C$4,N(U9542),IF(COUNTIFS(①今日の在庫を貼る!$B$6:$B$10005,$B9543,①今日の在庫を貼る!$I$6:$I$10005,$I9543)&gt;0,N(U9542),N(U9542)+1))</f>
        <v>2</v>
      </c>
    </row>
    <row r="9544" customFormat="false" ht="15" hidden="false" customHeight="false" outlineLevel="0" collapsed="false">
      <c r="B9544" s="53"/>
      <c r="I9544" s="53"/>
      <c r="U9544" s="31" t="n">
        <f aca="false">IF($B9544&lt;&gt;'設定（最初に1回）'!$C$4,N(U9543),IF(COUNTIFS(①今日の在庫を貼る!$B$6:$B$10005,$B9544,①今日の在庫を貼る!$I$6:$I$10005,$I9544)&gt;0,N(U9543),N(U9543)+1))</f>
        <v>2</v>
      </c>
    </row>
    <row r="9545" customFormat="false" ht="15" hidden="false" customHeight="false" outlineLevel="0" collapsed="false">
      <c r="B9545" s="53"/>
      <c r="I9545" s="53"/>
      <c r="U9545" s="31" t="n">
        <f aca="false">IF($B9545&lt;&gt;'設定（最初に1回）'!$C$4,N(U9544),IF(COUNTIFS(①今日の在庫を貼る!$B$6:$B$10005,$B9545,①今日の在庫を貼る!$I$6:$I$10005,$I9545)&gt;0,N(U9544),N(U9544)+1))</f>
        <v>2</v>
      </c>
    </row>
    <row r="9546" customFormat="false" ht="15" hidden="false" customHeight="false" outlineLevel="0" collapsed="false">
      <c r="B9546" s="53"/>
      <c r="I9546" s="53"/>
      <c r="U9546" s="31" t="n">
        <f aca="false">IF($B9546&lt;&gt;'設定（最初に1回）'!$C$4,N(U9545),IF(COUNTIFS(①今日の在庫を貼る!$B$6:$B$10005,$B9546,①今日の在庫を貼る!$I$6:$I$10005,$I9546)&gt;0,N(U9545),N(U9545)+1))</f>
        <v>2</v>
      </c>
    </row>
    <row r="9547" customFormat="false" ht="15" hidden="false" customHeight="false" outlineLevel="0" collapsed="false">
      <c r="B9547" s="53"/>
      <c r="I9547" s="53"/>
      <c r="U9547" s="31" t="n">
        <f aca="false">IF($B9547&lt;&gt;'設定（最初に1回）'!$C$4,N(U9546),IF(COUNTIFS(①今日の在庫を貼る!$B$6:$B$10005,$B9547,①今日の在庫を貼る!$I$6:$I$10005,$I9547)&gt;0,N(U9546),N(U9546)+1))</f>
        <v>2</v>
      </c>
    </row>
    <row r="9548" customFormat="false" ht="15" hidden="false" customHeight="false" outlineLevel="0" collapsed="false">
      <c r="B9548" s="53"/>
      <c r="I9548" s="53"/>
      <c r="U9548" s="31" t="n">
        <f aca="false">IF($B9548&lt;&gt;'設定（最初に1回）'!$C$4,N(U9547),IF(COUNTIFS(①今日の在庫を貼る!$B$6:$B$10005,$B9548,①今日の在庫を貼る!$I$6:$I$10005,$I9548)&gt;0,N(U9547),N(U9547)+1))</f>
        <v>2</v>
      </c>
    </row>
    <row r="9549" customFormat="false" ht="15" hidden="false" customHeight="false" outlineLevel="0" collapsed="false">
      <c r="B9549" s="53"/>
      <c r="I9549" s="53"/>
      <c r="U9549" s="31" t="n">
        <f aca="false">IF($B9549&lt;&gt;'設定（最初に1回）'!$C$4,N(U9548),IF(COUNTIFS(①今日の在庫を貼る!$B$6:$B$10005,$B9549,①今日の在庫を貼る!$I$6:$I$10005,$I9549)&gt;0,N(U9548),N(U9548)+1))</f>
        <v>2</v>
      </c>
    </row>
    <row r="9550" customFormat="false" ht="15" hidden="false" customHeight="false" outlineLevel="0" collapsed="false">
      <c r="B9550" s="53"/>
      <c r="I9550" s="53"/>
      <c r="U9550" s="31" t="n">
        <f aca="false">IF($B9550&lt;&gt;'設定（最初に1回）'!$C$4,N(U9549),IF(COUNTIFS(①今日の在庫を貼る!$B$6:$B$10005,$B9550,①今日の在庫を貼る!$I$6:$I$10005,$I9550)&gt;0,N(U9549),N(U9549)+1))</f>
        <v>2</v>
      </c>
    </row>
    <row r="9551" customFormat="false" ht="15" hidden="false" customHeight="false" outlineLevel="0" collapsed="false">
      <c r="B9551" s="53"/>
      <c r="I9551" s="53"/>
      <c r="U9551" s="31" t="n">
        <f aca="false">IF($B9551&lt;&gt;'設定（最初に1回）'!$C$4,N(U9550),IF(COUNTIFS(①今日の在庫を貼る!$B$6:$B$10005,$B9551,①今日の在庫を貼る!$I$6:$I$10005,$I9551)&gt;0,N(U9550),N(U9550)+1))</f>
        <v>2</v>
      </c>
    </row>
    <row r="9552" customFormat="false" ht="15" hidden="false" customHeight="false" outlineLevel="0" collapsed="false">
      <c r="B9552" s="53"/>
      <c r="I9552" s="53"/>
      <c r="U9552" s="31" t="n">
        <f aca="false">IF($B9552&lt;&gt;'設定（最初に1回）'!$C$4,N(U9551),IF(COUNTIFS(①今日の在庫を貼る!$B$6:$B$10005,$B9552,①今日の在庫を貼る!$I$6:$I$10005,$I9552)&gt;0,N(U9551),N(U9551)+1))</f>
        <v>2</v>
      </c>
    </row>
    <row r="9553" customFormat="false" ht="15" hidden="false" customHeight="false" outlineLevel="0" collapsed="false">
      <c r="B9553" s="53"/>
      <c r="I9553" s="53"/>
      <c r="U9553" s="31" t="n">
        <f aca="false">IF($B9553&lt;&gt;'設定（最初に1回）'!$C$4,N(U9552),IF(COUNTIFS(①今日の在庫を貼る!$B$6:$B$10005,$B9553,①今日の在庫を貼る!$I$6:$I$10005,$I9553)&gt;0,N(U9552),N(U9552)+1))</f>
        <v>2</v>
      </c>
    </row>
    <row r="9554" customFormat="false" ht="15" hidden="false" customHeight="false" outlineLevel="0" collapsed="false">
      <c r="B9554" s="53"/>
      <c r="I9554" s="53"/>
      <c r="U9554" s="31" t="n">
        <f aca="false">IF($B9554&lt;&gt;'設定（最初に1回）'!$C$4,N(U9553),IF(COUNTIFS(①今日の在庫を貼る!$B$6:$B$10005,$B9554,①今日の在庫を貼る!$I$6:$I$10005,$I9554)&gt;0,N(U9553),N(U9553)+1))</f>
        <v>2</v>
      </c>
    </row>
    <row r="9555" customFormat="false" ht="15" hidden="false" customHeight="false" outlineLevel="0" collapsed="false">
      <c r="B9555" s="53"/>
      <c r="I9555" s="53"/>
      <c r="U9555" s="31" t="n">
        <f aca="false">IF($B9555&lt;&gt;'設定（最初に1回）'!$C$4,N(U9554),IF(COUNTIFS(①今日の在庫を貼る!$B$6:$B$10005,$B9555,①今日の在庫を貼る!$I$6:$I$10005,$I9555)&gt;0,N(U9554),N(U9554)+1))</f>
        <v>2</v>
      </c>
    </row>
    <row r="9556" customFormat="false" ht="15" hidden="false" customHeight="false" outlineLevel="0" collapsed="false">
      <c r="B9556" s="53"/>
      <c r="I9556" s="53"/>
      <c r="U9556" s="31" t="n">
        <f aca="false">IF($B9556&lt;&gt;'設定（最初に1回）'!$C$4,N(U9555),IF(COUNTIFS(①今日の在庫を貼る!$B$6:$B$10005,$B9556,①今日の在庫を貼る!$I$6:$I$10005,$I9556)&gt;0,N(U9555),N(U9555)+1))</f>
        <v>2</v>
      </c>
    </row>
    <row r="9557" customFormat="false" ht="15" hidden="false" customHeight="false" outlineLevel="0" collapsed="false">
      <c r="B9557" s="53"/>
      <c r="I9557" s="53"/>
      <c r="U9557" s="31" t="n">
        <f aca="false">IF($B9557&lt;&gt;'設定（最初に1回）'!$C$4,N(U9556),IF(COUNTIFS(①今日の在庫を貼る!$B$6:$B$10005,$B9557,①今日の在庫を貼る!$I$6:$I$10005,$I9557)&gt;0,N(U9556),N(U9556)+1))</f>
        <v>2</v>
      </c>
    </row>
    <row r="9558" customFormat="false" ht="15" hidden="false" customHeight="false" outlineLevel="0" collapsed="false">
      <c r="B9558" s="53"/>
      <c r="I9558" s="53"/>
      <c r="U9558" s="31" t="n">
        <f aca="false">IF($B9558&lt;&gt;'設定（最初に1回）'!$C$4,N(U9557),IF(COUNTIFS(①今日の在庫を貼る!$B$6:$B$10005,$B9558,①今日の在庫を貼る!$I$6:$I$10005,$I9558)&gt;0,N(U9557),N(U9557)+1))</f>
        <v>2</v>
      </c>
    </row>
    <row r="9559" customFormat="false" ht="15" hidden="false" customHeight="false" outlineLevel="0" collapsed="false">
      <c r="B9559" s="53"/>
      <c r="I9559" s="53"/>
      <c r="U9559" s="31" t="n">
        <f aca="false">IF($B9559&lt;&gt;'設定（最初に1回）'!$C$4,N(U9558),IF(COUNTIFS(①今日の在庫を貼る!$B$6:$B$10005,$B9559,①今日の在庫を貼る!$I$6:$I$10005,$I9559)&gt;0,N(U9558),N(U9558)+1))</f>
        <v>2</v>
      </c>
    </row>
    <row r="9560" customFormat="false" ht="15" hidden="false" customHeight="false" outlineLevel="0" collapsed="false">
      <c r="B9560" s="53"/>
      <c r="I9560" s="53"/>
      <c r="U9560" s="31" t="n">
        <f aca="false">IF($B9560&lt;&gt;'設定（最初に1回）'!$C$4,N(U9559),IF(COUNTIFS(①今日の在庫を貼る!$B$6:$B$10005,$B9560,①今日の在庫を貼る!$I$6:$I$10005,$I9560)&gt;0,N(U9559),N(U9559)+1))</f>
        <v>2</v>
      </c>
    </row>
    <row r="9561" customFormat="false" ht="15" hidden="false" customHeight="false" outlineLevel="0" collapsed="false">
      <c r="B9561" s="53"/>
      <c r="I9561" s="53"/>
      <c r="U9561" s="31" t="n">
        <f aca="false">IF($B9561&lt;&gt;'設定（最初に1回）'!$C$4,N(U9560),IF(COUNTIFS(①今日の在庫を貼る!$B$6:$B$10005,$B9561,①今日の在庫を貼る!$I$6:$I$10005,$I9561)&gt;0,N(U9560),N(U9560)+1))</f>
        <v>2</v>
      </c>
    </row>
    <row r="9562" customFormat="false" ht="15" hidden="false" customHeight="false" outlineLevel="0" collapsed="false">
      <c r="B9562" s="53"/>
      <c r="I9562" s="53"/>
      <c r="U9562" s="31" t="n">
        <f aca="false">IF($B9562&lt;&gt;'設定（最初に1回）'!$C$4,N(U9561),IF(COUNTIFS(①今日の在庫を貼る!$B$6:$B$10005,$B9562,①今日の在庫を貼る!$I$6:$I$10005,$I9562)&gt;0,N(U9561),N(U9561)+1))</f>
        <v>2</v>
      </c>
    </row>
    <row r="9563" customFormat="false" ht="15" hidden="false" customHeight="false" outlineLevel="0" collapsed="false">
      <c r="B9563" s="53"/>
      <c r="I9563" s="53"/>
      <c r="U9563" s="31" t="n">
        <f aca="false">IF($B9563&lt;&gt;'設定（最初に1回）'!$C$4,N(U9562),IF(COUNTIFS(①今日の在庫を貼る!$B$6:$B$10005,$B9563,①今日の在庫を貼る!$I$6:$I$10005,$I9563)&gt;0,N(U9562),N(U9562)+1))</f>
        <v>2</v>
      </c>
    </row>
    <row r="9564" customFormat="false" ht="15" hidden="false" customHeight="false" outlineLevel="0" collapsed="false">
      <c r="B9564" s="53"/>
      <c r="I9564" s="53"/>
      <c r="U9564" s="31" t="n">
        <f aca="false">IF($B9564&lt;&gt;'設定（最初に1回）'!$C$4,N(U9563),IF(COUNTIFS(①今日の在庫を貼る!$B$6:$B$10005,$B9564,①今日の在庫を貼る!$I$6:$I$10005,$I9564)&gt;0,N(U9563),N(U9563)+1))</f>
        <v>2</v>
      </c>
    </row>
    <row r="9565" customFormat="false" ht="15" hidden="false" customHeight="false" outlineLevel="0" collapsed="false">
      <c r="B9565" s="53"/>
      <c r="I9565" s="53"/>
      <c r="U9565" s="31" t="n">
        <f aca="false">IF($B9565&lt;&gt;'設定（最初に1回）'!$C$4,N(U9564),IF(COUNTIFS(①今日の在庫を貼る!$B$6:$B$10005,$B9565,①今日の在庫を貼る!$I$6:$I$10005,$I9565)&gt;0,N(U9564),N(U9564)+1))</f>
        <v>2</v>
      </c>
    </row>
    <row r="9566" customFormat="false" ht="15" hidden="false" customHeight="false" outlineLevel="0" collapsed="false">
      <c r="B9566" s="53"/>
      <c r="I9566" s="53"/>
      <c r="U9566" s="31" t="n">
        <f aca="false">IF($B9566&lt;&gt;'設定（最初に1回）'!$C$4,N(U9565),IF(COUNTIFS(①今日の在庫を貼る!$B$6:$B$10005,$B9566,①今日の在庫を貼る!$I$6:$I$10005,$I9566)&gt;0,N(U9565),N(U9565)+1))</f>
        <v>2</v>
      </c>
    </row>
    <row r="9567" customFormat="false" ht="15" hidden="false" customHeight="false" outlineLevel="0" collapsed="false">
      <c r="B9567" s="53"/>
      <c r="I9567" s="53"/>
      <c r="U9567" s="31" t="n">
        <f aca="false">IF($B9567&lt;&gt;'設定（最初に1回）'!$C$4,N(U9566),IF(COUNTIFS(①今日の在庫を貼る!$B$6:$B$10005,$B9567,①今日の在庫を貼る!$I$6:$I$10005,$I9567)&gt;0,N(U9566),N(U9566)+1))</f>
        <v>2</v>
      </c>
    </row>
    <row r="9568" customFormat="false" ht="15" hidden="false" customHeight="false" outlineLevel="0" collapsed="false">
      <c r="B9568" s="53"/>
      <c r="I9568" s="53"/>
      <c r="U9568" s="31" t="n">
        <f aca="false">IF($B9568&lt;&gt;'設定（最初に1回）'!$C$4,N(U9567),IF(COUNTIFS(①今日の在庫を貼る!$B$6:$B$10005,$B9568,①今日の在庫を貼る!$I$6:$I$10005,$I9568)&gt;0,N(U9567),N(U9567)+1))</f>
        <v>2</v>
      </c>
    </row>
    <row r="9569" customFormat="false" ht="15" hidden="false" customHeight="false" outlineLevel="0" collapsed="false">
      <c r="B9569" s="53"/>
      <c r="I9569" s="53"/>
      <c r="U9569" s="31" t="n">
        <f aca="false">IF($B9569&lt;&gt;'設定（最初に1回）'!$C$4,N(U9568),IF(COUNTIFS(①今日の在庫を貼る!$B$6:$B$10005,$B9569,①今日の在庫を貼る!$I$6:$I$10005,$I9569)&gt;0,N(U9568),N(U9568)+1))</f>
        <v>2</v>
      </c>
    </row>
    <row r="9570" customFormat="false" ht="15" hidden="false" customHeight="false" outlineLevel="0" collapsed="false">
      <c r="B9570" s="53"/>
      <c r="I9570" s="53"/>
      <c r="U9570" s="31" t="n">
        <f aca="false">IF($B9570&lt;&gt;'設定（最初に1回）'!$C$4,N(U9569),IF(COUNTIFS(①今日の在庫を貼る!$B$6:$B$10005,$B9570,①今日の在庫を貼る!$I$6:$I$10005,$I9570)&gt;0,N(U9569),N(U9569)+1))</f>
        <v>2</v>
      </c>
    </row>
    <row r="9571" customFormat="false" ht="15" hidden="false" customHeight="false" outlineLevel="0" collapsed="false">
      <c r="B9571" s="53"/>
      <c r="I9571" s="53"/>
      <c r="U9571" s="31" t="n">
        <f aca="false">IF($B9571&lt;&gt;'設定（最初に1回）'!$C$4,N(U9570),IF(COUNTIFS(①今日の在庫を貼る!$B$6:$B$10005,$B9571,①今日の在庫を貼る!$I$6:$I$10005,$I9571)&gt;0,N(U9570),N(U9570)+1))</f>
        <v>2</v>
      </c>
    </row>
    <row r="9572" customFormat="false" ht="15" hidden="false" customHeight="false" outlineLevel="0" collapsed="false">
      <c r="B9572" s="53"/>
      <c r="I9572" s="53"/>
      <c r="U9572" s="31" t="n">
        <f aca="false">IF($B9572&lt;&gt;'設定（最初に1回）'!$C$4,N(U9571),IF(COUNTIFS(①今日の在庫を貼る!$B$6:$B$10005,$B9572,①今日の在庫を貼る!$I$6:$I$10005,$I9572)&gt;0,N(U9571),N(U9571)+1))</f>
        <v>2</v>
      </c>
    </row>
    <row r="9573" customFormat="false" ht="15" hidden="false" customHeight="false" outlineLevel="0" collapsed="false">
      <c r="B9573" s="53"/>
      <c r="I9573" s="53"/>
      <c r="U9573" s="31" t="n">
        <f aca="false">IF($B9573&lt;&gt;'設定（最初に1回）'!$C$4,N(U9572),IF(COUNTIFS(①今日の在庫を貼る!$B$6:$B$10005,$B9573,①今日の在庫を貼る!$I$6:$I$10005,$I9573)&gt;0,N(U9572),N(U9572)+1))</f>
        <v>2</v>
      </c>
    </row>
    <row r="9574" customFormat="false" ht="15" hidden="false" customHeight="false" outlineLevel="0" collapsed="false">
      <c r="B9574" s="53"/>
      <c r="I9574" s="53"/>
      <c r="U9574" s="31" t="n">
        <f aca="false">IF($B9574&lt;&gt;'設定（最初に1回）'!$C$4,N(U9573),IF(COUNTIFS(①今日の在庫を貼る!$B$6:$B$10005,$B9574,①今日の在庫を貼る!$I$6:$I$10005,$I9574)&gt;0,N(U9573),N(U9573)+1))</f>
        <v>2</v>
      </c>
    </row>
    <row r="9575" customFormat="false" ht="15" hidden="false" customHeight="false" outlineLevel="0" collapsed="false">
      <c r="B9575" s="53"/>
      <c r="I9575" s="53"/>
      <c r="U9575" s="31" t="n">
        <f aca="false">IF($B9575&lt;&gt;'設定（最初に1回）'!$C$4,N(U9574),IF(COUNTIFS(①今日の在庫を貼る!$B$6:$B$10005,$B9575,①今日の在庫を貼る!$I$6:$I$10005,$I9575)&gt;0,N(U9574),N(U9574)+1))</f>
        <v>2</v>
      </c>
    </row>
    <row r="9576" customFormat="false" ht="15" hidden="false" customHeight="false" outlineLevel="0" collapsed="false">
      <c r="B9576" s="53"/>
      <c r="I9576" s="53"/>
      <c r="U9576" s="31" t="n">
        <f aca="false">IF($B9576&lt;&gt;'設定（最初に1回）'!$C$4,N(U9575),IF(COUNTIFS(①今日の在庫を貼る!$B$6:$B$10005,$B9576,①今日の在庫を貼る!$I$6:$I$10005,$I9576)&gt;0,N(U9575),N(U9575)+1))</f>
        <v>2</v>
      </c>
    </row>
    <row r="9577" customFormat="false" ht="15" hidden="false" customHeight="false" outlineLevel="0" collapsed="false">
      <c r="B9577" s="53"/>
      <c r="I9577" s="53"/>
      <c r="U9577" s="31" t="n">
        <f aca="false">IF($B9577&lt;&gt;'設定（最初に1回）'!$C$4,N(U9576),IF(COUNTIFS(①今日の在庫を貼る!$B$6:$B$10005,$B9577,①今日の在庫を貼る!$I$6:$I$10005,$I9577)&gt;0,N(U9576),N(U9576)+1))</f>
        <v>2</v>
      </c>
    </row>
    <row r="9578" customFormat="false" ht="15" hidden="false" customHeight="false" outlineLevel="0" collapsed="false">
      <c r="B9578" s="53"/>
      <c r="I9578" s="53"/>
      <c r="U9578" s="31" t="n">
        <f aca="false">IF($B9578&lt;&gt;'設定（最初に1回）'!$C$4,N(U9577),IF(COUNTIFS(①今日の在庫を貼る!$B$6:$B$10005,$B9578,①今日の在庫を貼る!$I$6:$I$10005,$I9578)&gt;0,N(U9577),N(U9577)+1))</f>
        <v>2</v>
      </c>
    </row>
    <row r="9579" customFormat="false" ht="15" hidden="false" customHeight="false" outlineLevel="0" collapsed="false">
      <c r="B9579" s="53"/>
      <c r="I9579" s="53"/>
      <c r="U9579" s="31" t="n">
        <f aca="false">IF($B9579&lt;&gt;'設定（最初に1回）'!$C$4,N(U9578),IF(COUNTIFS(①今日の在庫を貼る!$B$6:$B$10005,$B9579,①今日の在庫を貼る!$I$6:$I$10005,$I9579)&gt;0,N(U9578),N(U9578)+1))</f>
        <v>2</v>
      </c>
    </row>
    <row r="9580" customFormat="false" ht="15" hidden="false" customHeight="false" outlineLevel="0" collapsed="false">
      <c r="B9580" s="53"/>
      <c r="I9580" s="53"/>
      <c r="U9580" s="31" t="n">
        <f aca="false">IF($B9580&lt;&gt;'設定（最初に1回）'!$C$4,N(U9579),IF(COUNTIFS(①今日の在庫を貼る!$B$6:$B$10005,$B9580,①今日の在庫を貼る!$I$6:$I$10005,$I9580)&gt;0,N(U9579),N(U9579)+1))</f>
        <v>2</v>
      </c>
    </row>
    <row r="9581" customFormat="false" ht="15" hidden="false" customHeight="false" outlineLevel="0" collapsed="false">
      <c r="B9581" s="53"/>
      <c r="I9581" s="53"/>
      <c r="U9581" s="31" t="n">
        <f aca="false">IF($B9581&lt;&gt;'設定（最初に1回）'!$C$4,N(U9580),IF(COUNTIFS(①今日の在庫を貼る!$B$6:$B$10005,$B9581,①今日の在庫を貼る!$I$6:$I$10005,$I9581)&gt;0,N(U9580),N(U9580)+1))</f>
        <v>2</v>
      </c>
    </row>
    <row r="9582" customFormat="false" ht="15" hidden="false" customHeight="false" outlineLevel="0" collapsed="false">
      <c r="B9582" s="53"/>
      <c r="I9582" s="53"/>
      <c r="U9582" s="31" t="n">
        <f aca="false">IF($B9582&lt;&gt;'設定（最初に1回）'!$C$4,N(U9581),IF(COUNTIFS(①今日の在庫を貼る!$B$6:$B$10005,$B9582,①今日の在庫を貼る!$I$6:$I$10005,$I9582)&gt;0,N(U9581),N(U9581)+1))</f>
        <v>2</v>
      </c>
    </row>
    <row r="9583" customFormat="false" ht="15" hidden="false" customHeight="false" outlineLevel="0" collapsed="false">
      <c r="B9583" s="53"/>
      <c r="I9583" s="53"/>
      <c r="U9583" s="31" t="n">
        <f aca="false">IF($B9583&lt;&gt;'設定（最初に1回）'!$C$4,N(U9582),IF(COUNTIFS(①今日の在庫を貼る!$B$6:$B$10005,$B9583,①今日の在庫を貼る!$I$6:$I$10005,$I9583)&gt;0,N(U9582),N(U9582)+1))</f>
        <v>2</v>
      </c>
    </row>
    <row r="9584" customFormat="false" ht="15" hidden="false" customHeight="false" outlineLevel="0" collapsed="false">
      <c r="B9584" s="53"/>
      <c r="I9584" s="53"/>
      <c r="U9584" s="31" t="n">
        <f aca="false">IF($B9584&lt;&gt;'設定（最初に1回）'!$C$4,N(U9583),IF(COUNTIFS(①今日の在庫を貼る!$B$6:$B$10005,$B9584,①今日の在庫を貼る!$I$6:$I$10005,$I9584)&gt;0,N(U9583),N(U9583)+1))</f>
        <v>2</v>
      </c>
    </row>
    <row r="9585" customFormat="false" ht="15" hidden="false" customHeight="false" outlineLevel="0" collapsed="false">
      <c r="B9585" s="53"/>
      <c r="I9585" s="53"/>
      <c r="U9585" s="31" t="n">
        <f aca="false">IF($B9585&lt;&gt;'設定（最初に1回）'!$C$4,N(U9584),IF(COUNTIFS(①今日の在庫を貼る!$B$6:$B$10005,$B9585,①今日の在庫を貼る!$I$6:$I$10005,$I9585)&gt;0,N(U9584),N(U9584)+1))</f>
        <v>2</v>
      </c>
    </row>
    <row r="9586" customFormat="false" ht="15" hidden="false" customHeight="false" outlineLevel="0" collapsed="false">
      <c r="B9586" s="53"/>
      <c r="I9586" s="53"/>
      <c r="U9586" s="31" t="n">
        <f aca="false">IF($B9586&lt;&gt;'設定（最初に1回）'!$C$4,N(U9585),IF(COUNTIFS(①今日の在庫を貼る!$B$6:$B$10005,$B9586,①今日の在庫を貼る!$I$6:$I$10005,$I9586)&gt;0,N(U9585),N(U9585)+1))</f>
        <v>2</v>
      </c>
    </row>
    <row r="9587" customFormat="false" ht="15" hidden="false" customHeight="false" outlineLevel="0" collapsed="false">
      <c r="B9587" s="53"/>
      <c r="I9587" s="53"/>
      <c r="U9587" s="31" t="n">
        <f aca="false">IF($B9587&lt;&gt;'設定（最初に1回）'!$C$4,N(U9586),IF(COUNTIFS(①今日の在庫を貼る!$B$6:$B$10005,$B9587,①今日の在庫を貼る!$I$6:$I$10005,$I9587)&gt;0,N(U9586),N(U9586)+1))</f>
        <v>2</v>
      </c>
    </row>
    <row r="9588" customFormat="false" ht="15" hidden="false" customHeight="false" outlineLevel="0" collapsed="false">
      <c r="B9588" s="53"/>
      <c r="I9588" s="53"/>
      <c r="U9588" s="31" t="n">
        <f aca="false">IF($B9588&lt;&gt;'設定（最初に1回）'!$C$4,N(U9587),IF(COUNTIFS(①今日の在庫を貼る!$B$6:$B$10005,$B9588,①今日の在庫を貼る!$I$6:$I$10005,$I9588)&gt;0,N(U9587),N(U9587)+1))</f>
        <v>2</v>
      </c>
    </row>
    <row r="9589" customFormat="false" ht="15" hidden="false" customHeight="false" outlineLevel="0" collapsed="false">
      <c r="B9589" s="53"/>
      <c r="I9589" s="53"/>
      <c r="U9589" s="31" t="n">
        <f aca="false">IF($B9589&lt;&gt;'設定（最初に1回）'!$C$4,N(U9588),IF(COUNTIFS(①今日の在庫を貼る!$B$6:$B$10005,$B9589,①今日の在庫を貼る!$I$6:$I$10005,$I9589)&gt;0,N(U9588),N(U9588)+1))</f>
        <v>2</v>
      </c>
    </row>
    <row r="9590" customFormat="false" ht="15" hidden="false" customHeight="false" outlineLevel="0" collapsed="false">
      <c r="B9590" s="53"/>
      <c r="I9590" s="53"/>
      <c r="U9590" s="31" t="n">
        <f aca="false">IF($B9590&lt;&gt;'設定（最初に1回）'!$C$4,N(U9589),IF(COUNTIFS(①今日の在庫を貼る!$B$6:$B$10005,$B9590,①今日の在庫を貼る!$I$6:$I$10005,$I9590)&gt;0,N(U9589),N(U9589)+1))</f>
        <v>2</v>
      </c>
    </row>
    <row r="9591" customFormat="false" ht="15" hidden="false" customHeight="false" outlineLevel="0" collapsed="false">
      <c r="B9591" s="53"/>
      <c r="I9591" s="53"/>
      <c r="U9591" s="31" t="n">
        <f aca="false">IF($B9591&lt;&gt;'設定（最初に1回）'!$C$4,N(U9590),IF(COUNTIFS(①今日の在庫を貼る!$B$6:$B$10005,$B9591,①今日の在庫を貼る!$I$6:$I$10005,$I9591)&gt;0,N(U9590),N(U9590)+1))</f>
        <v>2</v>
      </c>
    </row>
    <row r="9592" customFormat="false" ht="15" hidden="false" customHeight="false" outlineLevel="0" collapsed="false">
      <c r="B9592" s="53"/>
      <c r="I9592" s="53"/>
      <c r="U9592" s="31" t="n">
        <f aca="false">IF($B9592&lt;&gt;'設定（最初に1回）'!$C$4,N(U9591),IF(COUNTIFS(①今日の在庫を貼る!$B$6:$B$10005,$B9592,①今日の在庫を貼る!$I$6:$I$10005,$I9592)&gt;0,N(U9591),N(U9591)+1))</f>
        <v>2</v>
      </c>
    </row>
    <row r="9593" customFormat="false" ht="15" hidden="false" customHeight="false" outlineLevel="0" collapsed="false">
      <c r="B9593" s="53"/>
      <c r="I9593" s="53"/>
      <c r="U9593" s="31" t="n">
        <f aca="false">IF($B9593&lt;&gt;'設定（最初に1回）'!$C$4,N(U9592),IF(COUNTIFS(①今日の在庫を貼る!$B$6:$B$10005,$B9593,①今日の在庫を貼る!$I$6:$I$10005,$I9593)&gt;0,N(U9592),N(U9592)+1))</f>
        <v>2</v>
      </c>
    </row>
    <row r="9594" customFormat="false" ht="15" hidden="false" customHeight="false" outlineLevel="0" collapsed="false">
      <c r="B9594" s="53"/>
      <c r="I9594" s="53"/>
      <c r="U9594" s="31" t="n">
        <f aca="false">IF($B9594&lt;&gt;'設定（最初に1回）'!$C$4,N(U9593),IF(COUNTIFS(①今日の在庫を貼る!$B$6:$B$10005,$B9594,①今日の在庫を貼る!$I$6:$I$10005,$I9594)&gt;0,N(U9593),N(U9593)+1))</f>
        <v>2</v>
      </c>
    </row>
    <row r="9595" customFormat="false" ht="15" hidden="false" customHeight="false" outlineLevel="0" collapsed="false">
      <c r="B9595" s="53"/>
      <c r="I9595" s="53"/>
      <c r="U9595" s="31" t="n">
        <f aca="false">IF($B9595&lt;&gt;'設定（最初に1回）'!$C$4,N(U9594),IF(COUNTIFS(①今日の在庫を貼る!$B$6:$B$10005,$B9595,①今日の在庫を貼る!$I$6:$I$10005,$I9595)&gt;0,N(U9594),N(U9594)+1))</f>
        <v>2</v>
      </c>
    </row>
    <row r="9596" customFormat="false" ht="15" hidden="false" customHeight="false" outlineLevel="0" collapsed="false">
      <c r="B9596" s="53"/>
      <c r="I9596" s="53"/>
      <c r="U9596" s="31" t="n">
        <f aca="false">IF($B9596&lt;&gt;'設定（最初に1回）'!$C$4,N(U9595),IF(COUNTIFS(①今日の在庫を貼る!$B$6:$B$10005,$B9596,①今日の在庫を貼る!$I$6:$I$10005,$I9596)&gt;0,N(U9595),N(U9595)+1))</f>
        <v>2</v>
      </c>
    </row>
    <row r="9597" customFormat="false" ht="15" hidden="false" customHeight="false" outlineLevel="0" collapsed="false">
      <c r="B9597" s="53"/>
      <c r="I9597" s="53"/>
      <c r="U9597" s="31" t="n">
        <f aca="false">IF($B9597&lt;&gt;'設定（最初に1回）'!$C$4,N(U9596),IF(COUNTIFS(①今日の在庫を貼る!$B$6:$B$10005,$B9597,①今日の在庫を貼る!$I$6:$I$10005,$I9597)&gt;0,N(U9596),N(U9596)+1))</f>
        <v>2</v>
      </c>
    </row>
    <row r="9598" customFormat="false" ht="15" hidden="false" customHeight="false" outlineLevel="0" collapsed="false">
      <c r="B9598" s="53"/>
      <c r="I9598" s="53"/>
      <c r="U9598" s="31" t="n">
        <f aca="false">IF($B9598&lt;&gt;'設定（最初に1回）'!$C$4,N(U9597),IF(COUNTIFS(①今日の在庫を貼る!$B$6:$B$10005,$B9598,①今日の在庫を貼る!$I$6:$I$10005,$I9598)&gt;0,N(U9597),N(U9597)+1))</f>
        <v>2</v>
      </c>
    </row>
    <row r="9599" customFormat="false" ht="15" hidden="false" customHeight="false" outlineLevel="0" collapsed="false">
      <c r="B9599" s="53"/>
      <c r="I9599" s="53"/>
      <c r="U9599" s="31" t="n">
        <f aca="false">IF($B9599&lt;&gt;'設定（最初に1回）'!$C$4,N(U9598),IF(COUNTIFS(①今日の在庫を貼る!$B$6:$B$10005,$B9599,①今日の在庫を貼る!$I$6:$I$10005,$I9599)&gt;0,N(U9598),N(U9598)+1))</f>
        <v>2</v>
      </c>
    </row>
    <row r="9600" customFormat="false" ht="15" hidden="false" customHeight="false" outlineLevel="0" collapsed="false">
      <c r="B9600" s="53"/>
      <c r="I9600" s="53"/>
      <c r="U9600" s="31" t="n">
        <f aca="false">IF($B9600&lt;&gt;'設定（最初に1回）'!$C$4,N(U9599),IF(COUNTIFS(①今日の在庫を貼る!$B$6:$B$10005,$B9600,①今日の在庫を貼る!$I$6:$I$10005,$I9600)&gt;0,N(U9599),N(U9599)+1))</f>
        <v>2</v>
      </c>
    </row>
    <row r="9601" customFormat="false" ht="15" hidden="false" customHeight="false" outlineLevel="0" collapsed="false">
      <c r="B9601" s="53"/>
      <c r="I9601" s="53"/>
      <c r="U9601" s="31" t="n">
        <f aca="false">IF($B9601&lt;&gt;'設定（最初に1回）'!$C$4,N(U9600),IF(COUNTIFS(①今日の在庫を貼る!$B$6:$B$10005,$B9601,①今日の在庫を貼る!$I$6:$I$10005,$I9601)&gt;0,N(U9600),N(U9600)+1))</f>
        <v>2</v>
      </c>
    </row>
    <row r="9602" customFormat="false" ht="15" hidden="false" customHeight="false" outlineLevel="0" collapsed="false">
      <c r="B9602" s="53"/>
      <c r="I9602" s="53"/>
      <c r="U9602" s="31" t="n">
        <f aca="false">IF($B9602&lt;&gt;'設定（最初に1回）'!$C$4,N(U9601),IF(COUNTIFS(①今日の在庫を貼る!$B$6:$B$10005,$B9602,①今日の在庫を貼る!$I$6:$I$10005,$I9602)&gt;0,N(U9601),N(U9601)+1))</f>
        <v>2</v>
      </c>
    </row>
    <row r="9603" customFormat="false" ht="15" hidden="false" customHeight="false" outlineLevel="0" collapsed="false">
      <c r="B9603" s="53"/>
      <c r="I9603" s="53"/>
      <c r="U9603" s="31" t="n">
        <f aca="false">IF($B9603&lt;&gt;'設定（最初に1回）'!$C$4,N(U9602),IF(COUNTIFS(①今日の在庫を貼る!$B$6:$B$10005,$B9603,①今日の在庫を貼る!$I$6:$I$10005,$I9603)&gt;0,N(U9602),N(U9602)+1))</f>
        <v>2</v>
      </c>
    </row>
    <row r="9604" customFormat="false" ht="15" hidden="false" customHeight="false" outlineLevel="0" collapsed="false">
      <c r="B9604" s="53"/>
      <c r="I9604" s="53"/>
      <c r="U9604" s="31" t="n">
        <f aca="false">IF($B9604&lt;&gt;'設定（最初に1回）'!$C$4,N(U9603),IF(COUNTIFS(①今日の在庫を貼る!$B$6:$B$10005,$B9604,①今日の在庫を貼る!$I$6:$I$10005,$I9604)&gt;0,N(U9603),N(U9603)+1))</f>
        <v>2</v>
      </c>
    </row>
    <row r="9605" customFormat="false" ht="15" hidden="false" customHeight="false" outlineLevel="0" collapsed="false">
      <c r="B9605" s="53"/>
      <c r="I9605" s="53"/>
      <c r="U9605" s="31" t="n">
        <f aca="false">IF($B9605&lt;&gt;'設定（最初に1回）'!$C$4,N(U9604),IF(COUNTIFS(①今日の在庫を貼る!$B$6:$B$10005,$B9605,①今日の在庫を貼る!$I$6:$I$10005,$I9605)&gt;0,N(U9604),N(U9604)+1))</f>
        <v>2</v>
      </c>
    </row>
    <row r="9606" customFormat="false" ht="15" hidden="false" customHeight="false" outlineLevel="0" collapsed="false">
      <c r="B9606" s="53"/>
      <c r="I9606" s="53"/>
      <c r="U9606" s="31" t="n">
        <f aca="false">IF($B9606&lt;&gt;'設定（最初に1回）'!$C$4,N(U9605),IF(COUNTIFS(①今日の在庫を貼る!$B$6:$B$10005,$B9606,①今日の在庫を貼る!$I$6:$I$10005,$I9606)&gt;0,N(U9605),N(U9605)+1))</f>
        <v>2</v>
      </c>
    </row>
    <row r="9607" customFormat="false" ht="15" hidden="false" customHeight="false" outlineLevel="0" collapsed="false">
      <c r="B9607" s="53"/>
      <c r="I9607" s="53"/>
      <c r="U9607" s="31" t="n">
        <f aca="false">IF($B9607&lt;&gt;'設定（最初に1回）'!$C$4,N(U9606),IF(COUNTIFS(①今日の在庫を貼る!$B$6:$B$10005,$B9607,①今日の在庫を貼る!$I$6:$I$10005,$I9607)&gt;0,N(U9606),N(U9606)+1))</f>
        <v>2</v>
      </c>
    </row>
    <row r="9608" customFormat="false" ht="15" hidden="false" customHeight="false" outlineLevel="0" collapsed="false">
      <c r="B9608" s="53"/>
      <c r="I9608" s="53"/>
      <c r="U9608" s="31" t="n">
        <f aca="false">IF($B9608&lt;&gt;'設定（最初に1回）'!$C$4,N(U9607),IF(COUNTIFS(①今日の在庫を貼る!$B$6:$B$10005,$B9608,①今日の在庫を貼る!$I$6:$I$10005,$I9608)&gt;0,N(U9607),N(U9607)+1))</f>
        <v>2</v>
      </c>
    </row>
    <row r="9609" customFormat="false" ht="15" hidden="false" customHeight="false" outlineLevel="0" collapsed="false">
      <c r="B9609" s="53"/>
      <c r="I9609" s="53"/>
      <c r="U9609" s="31" t="n">
        <f aca="false">IF($B9609&lt;&gt;'設定（最初に1回）'!$C$4,N(U9608),IF(COUNTIFS(①今日の在庫を貼る!$B$6:$B$10005,$B9609,①今日の在庫を貼る!$I$6:$I$10005,$I9609)&gt;0,N(U9608),N(U9608)+1))</f>
        <v>2</v>
      </c>
    </row>
    <row r="9610" customFormat="false" ht="15" hidden="false" customHeight="false" outlineLevel="0" collapsed="false">
      <c r="B9610" s="53"/>
      <c r="I9610" s="53"/>
      <c r="U9610" s="31" t="n">
        <f aca="false">IF($B9610&lt;&gt;'設定（最初に1回）'!$C$4,N(U9609),IF(COUNTIFS(①今日の在庫を貼る!$B$6:$B$10005,$B9610,①今日の在庫を貼る!$I$6:$I$10005,$I9610)&gt;0,N(U9609),N(U9609)+1))</f>
        <v>2</v>
      </c>
    </row>
    <row r="9611" customFormat="false" ht="15" hidden="false" customHeight="false" outlineLevel="0" collapsed="false">
      <c r="B9611" s="53"/>
      <c r="I9611" s="53"/>
      <c r="U9611" s="31" t="n">
        <f aca="false">IF($B9611&lt;&gt;'設定（最初に1回）'!$C$4,N(U9610),IF(COUNTIFS(①今日の在庫を貼る!$B$6:$B$10005,$B9611,①今日の在庫を貼る!$I$6:$I$10005,$I9611)&gt;0,N(U9610),N(U9610)+1))</f>
        <v>2</v>
      </c>
    </row>
    <row r="9612" customFormat="false" ht="15" hidden="false" customHeight="false" outlineLevel="0" collapsed="false">
      <c r="B9612" s="53"/>
      <c r="I9612" s="53"/>
      <c r="U9612" s="31" t="n">
        <f aca="false">IF($B9612&lt;&gt;'設定（最初に1回）'!$C$4,N(U9611),IF(COUNTIFS(①今日の在庫を貼る!$B$6:$B$10005,$B9612,①今日の在庫を貼る!$I$6:$I$10005,$I9612)&gt;0,N(U9611),N(U9611)+1))</f>
        <v>2</v>
      </c>
    </row>
    <row r="9613" customFormat="false" ht="15" hidden="false" customHeight="false" outlineLevel="0" collapsed="false">
      <c r="B9613" s="53"/>
      <c r="I9613" s="53"/>
      <c r="U9613" s="31" t="n">
        <f aca="false">IF($B9613&lt;&gt;'設定（最初に1回）'!$C$4,N(U9612),IF(COUNTIFS(①今日の在庫を貼る!$B$6:$B$10005,$B9613,①今日の在庫を貼る!$I$6:$I$10005,$I9613)&gt;0,N(U9612),N(U9612)+1))</f>
        <v>2</v>
      </c>
    </row>
    <row r="9614" customFormat="false" ht="15" hidden="false" customHeight="false" outlineLevel="0" collapsed="false">
      <c r="B9614" s="53"/>
      <c r="I9614" s="53"/>
      <c r="U9614" s="31" t="n">
        <f aca="false">IF($B9614&lt;&gt;'設定（最初に1回）'!$C$4,N(U9613),IF(COUNTIFS(①今日の在庫を貼る!$B$6:$B$10005,$B9614,①今日の在庫を貼る!$I$6:$I$10005,$I9614)&gt;0,N(U9613),N(U9613)+1))</f>
        <v>2</v>
      </c>
    </row>
    <row r="9615" customFormat="false" ht="15" hidden="false" customHeight="false" outlineLevel="0" collapsed="false">
      <c r="B9615" s="53"/>
      <c r="I9615" s="53"/>
      <c r="U9615" s="31" t="n">
        <f aca="false">IF($B9615&lt;&gt;'設定（最初に1回）'!$C$4,N(U9614),IF(COUNTIFS(①今日の在庫を貼る!$B$6:$B$10005,$B9615,①今日の在庫を貼る!$I$6:$I$10005,$I9615)&gt;0,N(U9614),N(U9614)+1))</f>
        <v>2</v>
      </c>
    </row>
    <row r="9616" customFormat="false" ht="15" hidden="false" customHeight="false" outlineLevel="0" collapsed="false">
      <c r="B9616" s="53"/>
      <c r="I9616" s="53"/>
      <c r="U9616" s="31" t="n">
        <f aca="false">IF($B9616&lt;&gt;'設定（最初に1回）'!$C$4,N(U9615),IF(COUNTIFS(①今日の在庫を貼る!$B$6:$B$10005,$B9616,①今日の在庫を貼る!$I$6:$I$10005,$I9616)&gt;0,N(U9615),N(U9615)+1))</f>
        <v>2</v>
      </c>
    </row>
    <row r="9617" customFormat="false" ht="15" hidden="false" customHeight="false" outlineLevel="0" collapsed="false">
      <c r="B9617" s="53"/>
      <c r="I9617" s="53"/>
      <c r="U9617" s="31" t="n">
        <f aca="false">IF($B9617&lt;&gt;'設定（最初に1回）'!$C$4,N(U9616),IF(COUNTIFS(①今日の在庫を貼る!$B$6:$B$10005,$B9617,①今日の在庫を貼る!$I$6:$I$10005,$I9617)&gt;0,N(U9616),N(U9616)+1))</f>
        <v>2</v>
      </c>
    </row>
    <row r="9618" customFormat="false" ht="15" hidden="false" customHeight="false" outlineLevel="0" collapsed="false">
      <c r="B9618" s="53"/>
      <c r="I9618" s="53"/>
      <c r="U9618" s="31" t="n">
        <f aca="false">IF($B9618&lt;&gt;'設定（最初に1回）'!$C$4,N(U9617),IF(COUNTIFS(①今日の在庫を貼る!$B$6:$B$10005,$B9618,①今日の在庫を貼る!$I$6:$I$10005,$I9618)&gt;0,N(U9617),N(U9617)+1))</f>
        <v>2</v>
      </c>
    </row>
    <row r="9619" customFormat="false" ht="15" hidden="false" customHeight="false" outlineLevel="0" collapsed="false">
      <c r="B9619" s="53"/>
      <c r="I9619" s="53"/>
      <c r="U9619" s="31" t="n">
        <f aca="false">IF($B9619&lt;&gt;'設定（最初に1回）'!$C$4,N(U9618),IF(COUNTIFS(①今日の在庫を貼る!$B$6:$B$10005,$B9619,①今日の在庫を貼る!$I$6:$I$10005,$I9619)&gt;0,N(U9618),N(U9618)+1))</f>
        <v>2</v>
      </c>
    </row>
    <row r="9620" customFormat="false" ht="15" hidden="false" customHeight="false" outlineLevel="0" collapsed="false">
      <c r="B9620" s="53"/>
      <c r="I9620" s="53"/>
      <c r="U9620" s="31" t="n">
        <f aca="false">IF($B9620&lt;&gt;'設定（最初に1回）'!$C$4,N(U9619),IF(COUNTIFS(①今日の在庫を貼る!$B$6:$B$10005,$B9620,①今日の在庫を貼る!$I$6:$I$10005,$I9620)&gt;0,N(U9619),N(U9619)+1))</f>
        <v>2</v>
      </c>
    </row>
    <row r="9621" customFormat="false" ht="15" hidden="false" customHeight="false" outlineLevel="0" collapsed="false">
      <c r="B9621" s="53"/>
      <c r="I9621" s="53"/>
      <c r="U9621" s="31" t="n">
        <f aca="false">IF($B9621&lt;&gt;'設定（最初に1回）'!$C$4,N(U9620),IF(COUNTIFS(①今日の在庫を貼る!$B$6:$B$10005,$B9621,①今日の在庫を貼る!$I$6:$I$10005,$I9621)&gt;0,N(U9620),N(U9620)+1))</f>
        <v>2</v>
      </c>
    </row>
    <row r="9622" customFormat="false" ht="15" hidden="false" customHeight="false" outlineLevel="0" collapsed="false">
      <c r="B9622" s="53"/>
      <c r="I9622" s="53"/>
      <c r="U9622" s="31" t="n">
        <f aca="false">IF($B9622&lt;&gt;'設定（最初に1回）'!$C$4,N(U9621),IF(COUNTIFS(①今日の在庫を貼る!$B$6:$B$10005,$B9622,①今日の在庫を貼る!$I$6:$I$10005,$I9622)&gt;0,N(U9621),N(U9621)+1))</f>
        <v>2</v>
      </c>
    </row>
    <row r="9623" customFormat="false" ht="15" hidden="false" customHeight="false" outlineLevel="0" collapsed="false">
      <c r="B9623" s="53"/>
      <c r="I9623" s="53"/>
      <c r="U9623" s="31" t="n">
        <f aca="false">IF($B9623&lt;&gt;'設定（最初に1回）'!$C$4,N(U9622),IF(COUNTIFS(①今日の在庫を貼る!$B$6:$B$10005,$B9623,①今日の在庫を貼る!$I$6:$I$10005,$I9623)&gt;0,N(U9622),N(U9622)+1))</f>
        <v>2</v>
      </c>
    </row>
    <row r="9624" customFormat="false" ht="15" hidden="false" customHeight="false" outlineLevel="0" collapsed="false">
      <c r="B9624" s="53"/>
      <c r="I9624" s="53"/>
      <c r="U9624" s="31" t="n">
        <f aca="false">IF($B9624&lt;&gt;'設定（最初に1回）'!$C$4,N(U9623),IF(COUNTIFS(①今日の在庫を貼る!$B$6:$B$10005,$B9624,①今日の在庫を貼る!$I$6:$I$10005,$I9624)&gt;0,N(U9623),N(U9623)+1))</f>
        <v>2</v>
      </c>
    </row>
    <row r="9625" customFormat="false" ht="15" hidden="false" customHeight="false" outlineLevel="0" collapsed="false">
      <c r="B9625" s="53"/>
      <c r="I9625" s="53"/>
      <c r="U9625" s="31" t="n">
        <f aca="false">IF($B9625&lt;&gt;'設定（最初に1回）'!$C$4,N(U9624),IF(COUNTIFS(①今日の在庫を貼る!$B$6:$B$10005,$B9625,①今日の在庫を貼る!$I$6:$I$10005,$I9625)&gt;0,N(U9624),N(U9624)+1))</f>
        <v>2</v>
      </c>
    </row>
    <row r="9626" customFormat="false" ht="15" hidden="false" customHeight="false" outlineLevel="0" collapsed="false">
      <c r="B9626" s="53"/>
      <c r="I9626" s="53"/>
      <c r="U9626" s="31" t="n">
        <f aca="false">IF($B9626&lt;&gt;'設定（最初に1回）'!$C$4,N(U9625),IF(COUNTIFS(①今日の在庫を貼る!$B$6:$B$10005,$B9626,①今日の在庫を貼る!$I$6:$I$10005,$I9626)&gt;0,N(U9625),N(U9625)+1))</f>
        <v>2</v>
      </c>
    </row>
    <row r="9627" customFormat="false" ht="15" hidden="false" customHeight="false" outlineLevel="0" collapsed="false">
      <c r="B9627" s="53"/>
      <c r="I9627" s="53"/>
      <c r="U9627" s="31" t="n">
        <f aca="false">IF($B9627&lt;&gt;'設定（最初に1回）'!$C$4,N(U9626),IF(COUNTIFS(①今日の在庫を貼る!$B$6:$B$10005,$B9627,①今日の在庫を貼る!$I$6:$I$10005,$I9627)&gt;0,N(U9626),N(U9626)+1))</f>
        <v>2</v>
      </c>
    </row>
    <row r="9628" customFormat="false" ht="15" hidden="false" customHeight="false" outlineLevel="0" collapsed="false">
      <c r="B9628" s="53"/>
      <c r="I9628" s="53"/>
      <c r="U9628" s="31" t="n">
        <f aca="false">IF($B9628&lt;&gt;'設定（最初に1回）'!$C$4,N(U9627),IF(COUNTIFS(①今日の在庫を貼る!$B$6:$B$10005,$B9628,①今日の在庫を貼る!$I$6:$I$10005,$I9628)&gt;0,N(U9627),N(U9627)+1))</f>
        <v>2</v>
      </c>
    </row>
    <row r="9629" customFormat="false" ht="15" hidden="false" customHeight="false" outlineLevel="0" collapsed="false">
      <c r="B9629" s="53"/>
      <c r="I9629" s="53"/>
      <c r="U9629" s="31" t="n">
        <f aca="false">IF($B9629&lt;&gt;'設定（最初に1回）'!$C$4,N(U9628),IF(COUNTIFS(①今日の在庫を貼る!$B$6:$B$10005,$B9629,①今日の在庫を貼る!$I$6:$I$10005,$I9629)&gt;0,N(U9628),N(U9628)+1))</f>
        <v>2</v>
      </c>
    </row>
    <row r="9630" customFormat="false" ht="15" hidden="false" customHeight="false" outlineLevel="0" collapsed="false">
      <c r="B9630" s="53"/>
      <c r="I9630" s="53"/>
      <c r="U9630" s="31" t="n">
        <f aca="false">IF($B9630&lt;&gt;'設定（最初に1回）'!$C$4,N(U9629),IF(COUNTIFS(①今日の在庫を貼る!$B$6:$B$10005,$B9630,①今日の在庫を貼る!$I$6:$I$10005,$I9630)&gt;0,N(U9629),N(U9629)+1))</f>
        <v>2</v>
      </c>
    </row>
    <row r="9631" customFormat="false" ht="15" hidden="false" customHeight="false" outlineLevel="0" collapsed="false">
      <c r="B9631" s="53"/>
      <c r="I9631" s="53"/>
      <c r="U9631" s="31" t="n">
        <f aca="false">IF($B9631&lt;&gt;'設定（最初に1回）'!$C$4,N(U9630),IF(COUNTIFS(①今日の在庫を貼る!$B$6:$B$10005,$B9631,①今日の在庫を貼る!$I$6:$I$10005,$I9631)&gt;0,N(U9630),N(U9630)+1))</f>
        <v>2</v>
      </c>
    </row>
    <row r="9632" customFormat="false" ht="15" hidden="false" customHeight="false" outlineLevel="0" collapsed="false">
      <c r="B9632" s="53"/>
      <c r="I9632" s="53"/>
      <c r="U9632" s="31" t="n">
        <f aca="false">IF($B9632&lt;&gt;'設定（最初に1回）'!$C$4,N(U9631),IF(COUNTIFS(①今日の在庫を貼る!$B$6:$B$10005,$B9632,①今日の在庫を貼る!$I$6:$I$10005,$I9632)&gt;0,N(U9631),N(U9631)+1))</f>
        <v>2</v>
      </c>
    </row>
    <row r="9633" customFormat="false" ht="15" hidden="false" customHeight="false" outlineLevel="0" collapsed="false">
      <c r="B9633" s="53"/>
      <c r="I9633" s="53"/>
      <c r="U9633" s="31" t="n">
        <f aca="false">IF($B9633&lt;&gt;'設定（最初に1回）'!$C$4,N(U9632),IF(COUNTIFS(①今日の在庫を貼る!$B$6:$B$10005,$B9633,①今日の在庫を貼る!$I$6:$I$10005,$I9633)&gt;0,N(U9632),N(U9632)+1))</f>
        <v>2</v>
      </c>
    </row>
    <row r="9634" customFormat="false" ht="15" hidden="false" customHeight="false" outlineLevel="0" collapsed="false">
      <c r="B9634" s="53"/>
      <c r="I9634" s="53"/>
      <c r="U9634" s="31" t="n">
        <f aca="false">IF($B9634&lt;&gt;'設定（最初に1回）'!$C$4,N(U9633),IF(COUNTIFS(①今日の在庫を貼る!$B$6:$B$10005,$B9634,①今日の在庫を貼る!$I$6:$I$10005,$I9634)&gt;0,N(U9633),N(U9633)+1))</f>
        <v>2</v>
      </c>
    </row>
    <row r="9635" customFormat="false" ht="15" hidden="false" customHeight="false" outlineLevel="0" collapsed="false">
      <c r="B9635" s="53"/>
      <c r="I9635" s="53"/>
      <c r="U9635" s="31" t="n">
        <f aca="false">IF($B9635&lt;&gt;'設定（最初に1回）'!$C$4,N(U9634),IF(COUNTIFS(①今日の在庫を貼る!$B$6:$B$10005,$B9635,①今日の在庫を貼る!$I$6:$I$10005,$I9635)&gt;0,N(U9634),N(U9634)+1))</f>
        <v>2</v>
      </c>
    </row>
    <row r="9636" customFormat="false" ht="15" hidden="false" customHeight="false" outlineLevel="0" collapsed="false">
      <c r="B9636" s="53"/>
      <c r="I9636" s="53"/>
      <c r="U9636" s="31" t="n">
        <f aca="false">IF($B9636&lt;&gt;'設定（最初に1回）'!$C$4,N(U9635),IF(COUNTIFS(①今日の在庫を貼る!$B$6:$B$10005,$B9636,①今日の在庫を貼る!$I$6:$I$10005,$I9636)&gt;0,N(U9635),N(U9635)+1))</f>
        <v>2</v>
      </c>
    </row>
    <row r="9637" customFormat="false" ht="15" hidden="false" customHeight="false" outlineLevel="0" collapsed="false">
      <c r="B9637" s="53"/>
      <c r="I9637" s="53"/>
      <c r="U9637" s="31" t="n">
        <f aca="false">IF($B9637&lt;&gt;'設定（最初に1回）'!$C$4,N(U9636),IF(COUNTIFS(①今日の在庫を貼る!$B$6:$B$10005,$B9637,①今日の在庫を貼る!$I$6:$I$10005,$I9637)&gt;0,N(U9636),N(U9636)+1))</f>
        <v>2</v>
      </c>
    </row>
    <row r="9638" customFormat="false" ht="15" hidden="false" customHeight="false" outlineLevel="0" collapsed="false">
      <c r="B9638" s="53"/>
      <c r="I9638" s="53"/>
      <c r="U9638" s="31" t="n">
        <f aca="false">IF($B9638&lt;&gt;'設定（最初に1回）'!$C$4,N(U9637),IF(COUNTIFS(①今日の在庫を貼る!$B$6:$B$10005,$B9638,①今日の在庫を貼る!$I$6:$I$10005,$I9638)&gt;0,N(U9637),N(U9637)+1))</f>
        <v>2</v>
      </c>
    </row>
    <row r="9639" customFormat="false" ht="15" hidden="false" customHeight="false" outlineLevel="0" collapsed="false">
      <c r="B9639" s="53"/>
      <c r="I9639" s="53"/>
      <c r="U9639" s="31" t="n">
        <f aca="false">IF($B9639&lt;&gt;'設定（最初に1回）'!$C$4,N(U9638),IF(COUNTIFS(①今日の在庫を貼る!$B$6:$B$10005,$B9639,①今日の在庫を貼る!$I$6:$I$10005,$I9639)&gt;0,N(U9638),N(U9638)+1))</f>
        <v>2</v>
      </c>
    </row>
    <row r="9640" customFormat="false" ht="15" hidden="false" customHeight="false" outlineLevel="0" collapsed="false">
      <c r="B9640" s="53"/>
      <c r="I9640" s="53"/>
      <c r="U9640" s="31" t="n">
        <f aca="false">IF($B9640&lt;&gt;'設定（最初に1回）'!$C$4,N(U9639),IF(COUNTIFS(①今日の在庫を貼る!$B$6:$B$10005,$B9640,①今日の在庫を貼る!$I$6:$I$10005,$I9640)&gt;0,N(U9639),N(U9639)+1))</f>
        <v>2</v>
      </c>
    </row>
    <row r="9641" customFormat="false" ht="15" hidden="false" customHeight="false" outlineLevel="0" collapsed="false">
      <c r="B9641" s="53"/>
      <c r="I9641" s="53"/>
      <c r="U9641" s="31" t="n">
        <f aca="false">IF($B9641&lt;&gt;'設定（最初に1回）'!$C$4,N(U9640),IF(COUNTIFS(①今日の在庫を貼る!$B$6:$B$10005,$B9641,①今日の在庫を貼る!$I$6:$I$10005,$I9641)&gt;0,N(U9640),N(U9640)+1))</f>
        <v>2</v>
      </c>
    </row>
    <row r="9642" customFormat="false" ht="15" hidden="false" customHeight="false" outlineLevel="0" collapsed="false">
      <c r="B9642" s="53"/>
      <c r="I9642" s="53"/>
      <c r="U9642" s="31" t="n">
        <f aca="false">IF($B9642&lt;&gt;'設定（最初に1回）'!$C$4,N(U9641),IF(COUNTIFS(①今日の在庫を貼る!$B$6:$B$10005,$B9642,①今日の在庫を貼る!$I$6:$I$10005,$I9642)&gt;0,N(U9641),N(U9641)+1))</f>
        <v>2</v>
      </c>
    </row>
    <row r="9643" customFormat="false" ht="15" hidden="false" customHeight="false" outlineLevel="0" collapsed="false">
      <c r="B9643" s="53"/>
      <c r="I9643" s="53"/>
      <c r="U9643" s="31" t="n">
        <f aca="false">IF($B9643&lt;&gt;'設定（最初に1回）'!$C$4,N(U9642),IF(COUNTIFS(①今日の在庫を貼る!$B$6:$B$10005,$B9643,①今日の在庫を貼る!$I$6:$I$10005,$I9643)&gt;0,N(U9642),N(U9642)+1))</f>
        <v>2</v>
      </c>
    </row>
    <row r="9644" customFormat="false" ht="15" hidden="false" customHeight="false" outlineLevel="0" collapsed="false">
      <c r="B9644" s="53"/>
      <c r="I9644" s="53"/>
      <c r="U9644" s="31" t="n">
        <f aca="false">IF($B9644&lt;&gt;'設定（最初に1回）'!$C$4,N(U9643),IF(COUNTIFS(①今日の在庫を貼る!$B$6:$B$10005,$B9644,①今日の在庫を貼る!$I$6:$I$10005,$I9644)&gt;0,N(U9643),N(U9643)+1))</f>
        <v>2</v>
      </c>
    </row>
    <row r="9645" customFormat="false" ht="15" hidden="false" customHeight="false" outlineLevel="0" collapsed="false">
      <c r="B9645" s="53"/>
      <c r="I9645" s="53"/>
      <c r="U9645" s="31" t="n">
        <f aca="false">IF($B9645&lt;&gt;'設定（最初に1回）'!$C$4,N(U9644),IF(COUNTIFS(①今日の在庫を貼る!$B$6:$B$10005,$B9645,①今日の在庫を貼る!$I$6:$I$10005,$I9645)&gt;0,N(U9644),N(U9644)+1))</f>
        <v>2</v>
      </c>
    </row>
    <row r="9646" customFormat="false" ht="15" hidden="false" customHeight="false" outlineLevel="0" collapsed="false">
      <c r="B9646" s="53"/>
      <c r="I9646" s="53"/>
      <c r="U9646" s="31" t="n">
        <f aca="false">IF($B9646&lt;&gt;'設定（最初に1回）'!$C$4,N(U9645),IF(COUNTIFS(①今日の在庫を貼る!$B$6:$B$10005,$B9646,①今日の在庫を貼る!$I$6:$I$10005,$I9646)&gt;0,N(U9645),N(U9645)+1))</f>
        <v>2</v>
      </c>
    </row>
    <row r="9647" customFormat="false" ht="15" hidden="false" customHeight="false" outlineLevel="0" collapsed="false">
      <c r="B9647" s="53"/>
      <c r="I9647" s="53"/>
      <c r="U9647" s="31" t="n">
        <f aca="false">IF($B9647&lt;&gt;'設定（最初に1回）'!$C$4,N(U9646),IF(COUNTIFS(①今日の在庫を貼る!$B$6:$B$10005,$B9647,①今日の在庫を貼る!$I$6:$I$10005,$I9647)&gt;0,N(U9646),N(U9646)+1))</f>
        <v>2</v>
      </c>
    </row>
    <row r="9648" customFormat="false" ht="15" hidden="false" customHeight="false" outlineLevel="0" collapsed="false">
      <c r="B9648" s="53"/>
      <c r="I9648" s="53"/>
      <c r="U9648" s="31" t="n">
        <f aca="false">IF($B9648&lt;&gt;'設定（最初に1回）'!$C$4,N(U9647),IF(COUNTIFS(①今日の在庫を貼る!$B$6:$B$10005,$B9648,①今日の在庫を貼る!$I$6:$I$10005,$I9648)&gt;0,N(U9647),N(U9647)+1))</f>
        <v>2</v>
      </c>
    </row>
    <row r="9649" customFormat="false" ht="15" hidden="false" customHeight="false" outlineLevel="0" collapsed="false">
      <c r="B9649" s="53"/>
      <c r="I9649" s="53"/>
      <c r="U9649" s="31" t="n">
        <f aca="false">IF($B9649&lt;&gt;'設定（最初に1回）'!$C$4,N(U9648),IF(COUNTIFS(①今日の在庫を貼る!$B$6:$B$10005,$B9649,①今日の在庫を貼る!$I$6:$I$10005,$I9649)&gt;0,N(U9648),N(U9648)+1))</f>
        <v>2</v>
      </c>
    </row>
    <row r="9650" customFormat="false" ht="15" hidden="false" customHeight="false" outlineLevel="0" collapsed="false">
      <c r="B9650" s="53"/>
      <c r="I9650" s="53"/>
      <c r="U9650" s="31" t="n">
        <f aca="false">IF($B9650&lt;&gt;'設定（最初に1回）'!$C$4,N(U9649),IF(COUNTIFS(①今日の在庫を貼る!$B$6:$B$10005,$B9650,①今日の在庫を貼る!$I$6:$I$10005,$I9650)&gt;0,N(U9649),N(U9649)+1))</f>
        <v>2</v>
      </c>
    </row>
    <row r="9651" customFormat="false" ht="15" hidden="false" customHeight="false" outlineLevel="0" collapsed="false">
      <c r="B9651" s="53"/>
      <c r="I9651" s="53"/>
      <c r="U9651" s="31" t="n">
        <f aca="false">IF($B9651&lt;&gt;'設定（最初に1回）'!$C$4,N(U9650),IF(COUNTIFS(①今日の在庫を貼る!$B$6:$B$10005,$B9651,①今日の在庫を貼る!$I$6:$I$10005,$I9651)&gt;0,N(U9650),N(U9650)+1))</f>
        <v>2</v>
      </c>
    </row>
    <row r="9652" customFormat="false" ht="15" hidden="false" customHeight="false" outlineLevel="0" collapsed="false">
      <c r="B9652" s="53"/>
      <c r="I9652" s="53"/>
      <c r="U9652" s="31" t="n">
        <f aca="false">IF($B9652&lt;&gt;'設定（最初に1回）'!$C$4,N(U9651),IF(COUNTIFS(①今日の在庫を貼る!$B$6:$B$10005,$B9652,①今日の在庫を貼る!$I$6:$I$10005,$I9652)&gt;0,N(U9651),N(U9651)+1))</f>
        <v>2</v>
      </c>
    </row>
    <row r="9653" customFormat="false" ht="15" hidden="false" customHeight="false" outlineLevel="0" collapsed="false">
      <c r="B9653" s="53"/>
      <c r="I9653" s="53"/>
      <c r="U9653" s="31" t="n">
        <f aca="false">IF($B9653&lt;&gt;'設定（最初に1回）'!$C$4,N(U9652),IF(COUNTIFS(①今日の在庫を貼る!$B$6:$B$10005,$B9653,①今日の在庫を貼る!$I$6:$I$10005,$I9653)&gt;0,N(U9652),N(U9652)+1))</f>
        <v>2</v>
      </c>
    </row>
    <row r="9654" customFormat="false" ht="15" hidden="false" customHeight="false" outlineLevel="0" collapsed="false">
      <c r="B9654" s="53"/>
      <c r="I9654" s="53"/>
      <c r="U9654" s="31" t="n">
        <f aca="false">IF($B9654&lt;&gt;'設定（最初に1回）'!$C$4,N(U9653),IF(COUNTIFS(①今日の在庫を貼る!$B$6:$B$10005,$B9654,①今日の在庫を貼る!$I$6:$I$10005,$I9654)&gt;0,N(U9653),N(U9653)+1))</f>
        <v>2</v>
      </c>
    </row>
    <row r="9655" customFormat="false" ht="15" hidden="false" customHeight="false" outlineLevel="0" collapsed="false">
      <c r="B9655" s="53"/>
      <c r="I9655" s="53"/>
      <c r="U9655" s="31" t="n">
        <f aca="false">IF($B9655&lt;&gt;'設定（最初に1回）'!$C$4,N(U9654),IF(COUNTIFS(①今日の在庫を貼る!$B$6:$B$10005,$B9655,①今日の在庫を貼る!$I$6:$I$10005,$I9655)&gt;0,N(U9654),N(U9654)+1))</f>
        <v>2</v>
      </c>
    </row>
    <row r="9656" customFormat="false" ht="15" hidden="false" customHeight="false" outlineLevel="0" collapsed="false">
      <c r="B9656" s="53"/>
      <c r="I9656" s="53"/>
      <c r="U9656" s="31" t="n">
        <f aca="false">IF($B9656&lt;&gt;'設定（最初に1回）'!$C$4,N(U9655),IF(COUNTIFS(①今日の在庫を貼る!$B$6:$B$10005,$B9656,①今日の在庫を貼る!$I$6:$I$10005,$I9656)&gt;0,N(U9655),N(U9655)+1))</f>
        <v>2</v>
      </c>
    </row>
    <row r="9657" customFormat="false" ht="15" hidden="false" customHeight="false" outlineLevel="0" collapsed="false">
      <c r="B9657" s="53"/>
      <c r="I9657" s="53"/>
      <c r="U9657" s="31" t="n">
        <f aca="false">IF($B9657&lt;&gt;'設定（最初に1回）'!$C$4,N(U9656),IF(COUNTIFS(①今日の在庫を貼る!$B$6:$B$10005,$B9657,①今日の在庫を貼る!$I$6:$I$10005,$I9657)&gt;0,N(U9656),N(U9656)+1))</f>
        <v>2</v>
      </c>
    </row>
    <row r="9658" customFormat="false" ht="15" hidden="false" customHeight="false" outlineLevel="0" collapsed="false">
      <c r="B9658" s="53"/>
      <c r="I9658" s="53"/>
      <c r="U9658" s="31" t="n">
        <f aca="false">IF($B9658&lt;&gt;'設定（最初に1回）'!$C$4,N(U9657),IF(COUNTIFS(①今日の在庫を貼る!$B$6:$B$10005,$B9658,①今日の在庫を貼る!$I$6:$I$10005,$I9658)&gt;0,N(U9657),N(U9657)+1))</f>
        <v>2</v>
      </c>
    </row>
    <row r="9659" customFormat="false" ht="15" hidden="false" customHeight="false" outlineLevel="0" collapsed="false">
      <c r="B9659" s="53"/>
      <c r="I9659" s="53"/>
      <c r="U9659" s="31" t="n">
        <f aca="false">IF($B9659&lt;&gt;'設定（最初に1回）'!$C$4,N(U9658),IF(COUNTIFS(①今日の在庫を貼る!$B$6:$B$10005,$B9659,①今日の在庫を貼る!$I$6:$I$10005,$I9659)&gt;0,N(U9658),N(U9658)+1))</f>
        <v>2</v>
      </c>
    </row>
    <row r="9660" customFormat="false" ht="15" hidden="false" customHeight="false" outlineLevel="0" collapsed="false">
      <c r="B9660" s="53"/>
      <c r="I9660" s="53"/>
      <c r="U9660" s="31" t="n">
        <f aca="false">IF($B9660&lt;&gt;'設定（最初に1回）'!$C$4,N(U9659),IF(COUNTIFS(①今日の在庫を貼る!$B$6:$B$10005,$B9660,①今日の在庫を貼る!$I$6:$I$10005,$I9660)&gt;0,N(U9659),N(U9659)+1))</f>
        <v>2</v>
      </c>
    </row>
    <row r="9661" customFormat="false" ht="15" hidden="false" customHeight="false" outlineLevel="0" collapsed="false">
      <c r="B9661" s="53"/>
      <c r="I9661" s="53"/>
      <c r="U9661" s="31" t="n">
        <f aca="false">IF($B9661&lt;&gt;'設定（最初に1回）'!$C$4,N(U9660),IF(COUNTIFS(①今日の在庫を貼る!$B$6:$B$10005,$B9661,①今日の在庫を貼る!$I$6:$I$10005,$I9661)&gt;0,N(U9660),N(U9660)+1))</f>
        <v>2</v>
      </c>
    </row>
    <row r="9662" customFormat="false" ht="15" hidden="false" customHeight="false" outlineLevel="0" collapsed="false">
      <c r="B9662" s="53"/>
      <c r="I9662" s="53"/>
      <c r="U9662" s="31" t="n">
        <f aca="false">IF($B9662&lt;&gt;'設定（最初に1回）'!$C$4,N(U9661),IF(COUNTIFS(①今日の在庫を貼る!$B$6:$B$10005,$B9662,①今日の在庫を貼る!$I$6:$I$10005,$I9662)&gt;0,N(U9661),N(U9661)+1))</f>
        <v>2</v>
      </c>
    </row>
    <row r="9663" customFormat="false" ht="15" hidden="false" customHeight="false" outlineLevel="0" collapsed="false">
      <c r="B9663" s="53"/>
      <c r="I9663" s="53"/>
      <c r="U9663" s="31" t="n">
        <f aca="false">IF($B9663&lt;&gt;'設定（最初に1回）'!$C$4,N(U9662),IF(COUNTIFS(①今日の在庫を貼る!$B$6:$B$10005,$B9663,①今日の在庫を貼る!$I$6:$I$10005,$I9663)&gt;0,N(U9662),N(U9662)+1))</f>
        <v>2</v>
      </c>
    </row>
    <row r="9664" customFormat="false" ht="15" hidden="false" customHeight="false" outlineLevel="0" collapsed="false">
      <c r="B9664" s="53"/>
      <c r="I9664" s="53"/>
      <c r="U9664" s="31" t="n">
        <f aca="false">IF($B9664&lt;&gt;'設定（最初に1回）'!$C$4,N(U9663),IF(COUNTIFS(①今日の在庫を貼る!$B$6:$B$10005,$B9664,①今日の在庫を貼る!$I$6:$I$10005,$I9664)&gt;0,N(U9663),N(U9663)+1))</f>
        <v>2</v>
      </c>
    </row>
    <row r="9665" customFormat="false" ht="15" hidden="false" customHeight="false" outlineLevel="0" collapsed="false">
      <c r="B9665" s="53"/>
      <c r="I9665" s="53"/>
      <c r="U9665" s="31" t="n">
        <f aca="false">IF($B9665&lt;&gt;'設定（最初に1回）'!$C$4,N(U9664),IF(COUNTIFS(①今日の在庫を貼る!$B$6:$B$10005,$B9665,①今日の在庫を貼る!$I$6:$I$10005,$I9665)&gt;0,N(U9664),N(U9664)+1))</f>
        <v>2</v>
      </c>
    </row>
    <row r="9666" customFormat="false" ht="15" hidden="false" customHeight="false" outlineLevel="0" collapsed="false">
      <c r="B9666" s="53"/>
      <c r="I9666" s="53"/>
      <c r="U9666" s="31" t="n">
        <f aca="false">IF($B9666&lt;&gt;'設定（最初に1回）'!$C$4,N(U9665),IF(COUNTIFS(①今日の在庫を貼る!$B$6:$B$10005,$B9666,①今日の在庫を貼る!$I$6:$I$10005,$I9666)&gt;0,N(U9665),N(U9665)+1))</f>
        <v>2</v>
      </c>
    </row>
    <row r="9667" customFormat="false" ht="15" hidden="false" customHeight="false" outlineLevel="0" collapsed="false">
      <c r="B9667" s="53"/>
      <c r="I9667" s="53"/>
      <c r="U9667" s="31" t="n">
        <f aca="false">IF($B9667&lt;&gt;'設定（最初に1回）'!$C$4,N(U9666),IF(COUNTIFS(①今日の在庫を貼る!$B$6:$B$10005,$B9667,①今日の在庫を貼る!$I$6:$I$10005,$I9667)&gt;0,N(U9666),N(U9666)+1))</f>
        <v>2</v>
      </c>
    </row>
    <row r="9668" customFormat="false" ht="15" hidden="false" customHeight="false" outlineLevel="0" collapsed="false">
      <c r="B9668" s="53"/>
      <c r="I9668" s="53"/>
      <c r="U9668" s="31" t="n">
        <f aca="false">IF($B9668&lt;&gt;'設定（最初に1回）'!$C$4,N(U9667),IF(COUNTIFS(①今日の在庫を貼る!$B$6:$B$10005,$B9668,①今日の在庫を貼る!$I$6:$I$10005,$I9668)&gt;0,N(U9667),N(U9667)+1))</f>
        <v>2</v>
      </c>
    </row>
    <row r="9669" customFormat="false" ht="15" hidden="false" customHeight="false" outlineLevel="0" collapsed="false">
      <c r="B9669" s="53"/>
      <c r="I9669" s="53"/>
      <c r="U9669" s="31" t="n">
        <f aca="false">IF($B9669&lt;&gt;'設定（最初に1回）'!$C$4,N(U9668),IF(COUNTIFS(①今日の在庫を貼る!$B$6:$B$10005,$B9669,①今日の在庫を貼る!$I$6:$I$10005,$I9669)&gt;0,N(U9668),N(U9668)+1))</f>
        <v>2</v>
      </c>
    </row>
    <row r="9670" customFormat="false" ht="15" hidden="false" customHeight="false" outlineLevel="0" collapsed="false">
      <c r="B9670" s="53"/>
      <c r="I9670" s="53"/>
      <c r="U9670" s="31" t="n">
        <f aca="false">IF($B9670&lt;&gt;'設定（最初に1回）'!$C$4,N(U9669),IF(COUNTIFS(①今日の在庫を貼る!$B$6:$B$10005,$B9670,①今日の在庫を貼る!$I$6:$I$10005,$I9670)&gt;0,N(U9669),N(U9669)+1))</f>
        <v>2</v>
      </c>
    </row>
    <row r="9671" customFormat="false" ht="15" hidden="false" customHeight="false" outlineLevel="0" collapsed="false">
      <c r="B9671" s="53"/>
      <c r="I9671" s="53"/>
      <c r="U9671" s="31" t="n">
        <f aca="false">IF($B9671&lt;&gt;'設定（最初に1回）'!$C$4,N(U9670),IF(COUNTIFS(①今日の在庫を貼る!$B$6:$B$10005,$B9671,①今日の在庫を貼る!$I$6:$I$10005,$I9671)&gt;0,N(U9670),N(U9670)+1))</f>
        <v>2</v>
      </c>
    </row>
    <row r="9672" customFormat="false" ht="15" hidden="false" customHeight="false" outlineLevel="0" collapsed="false">
      <c r="B9672" s="53"/>
      <c r="I9672" s="53"/>
      <c r="U9672" s="31" t="n">
        <f aca="false">IF($B9672&lt;&gt;'設定（最初に1回）'!$C$4,N(U9671),IF(COUNTIFS(①今日の在庫を貼る!$B$6:$B$10005,$B9672,①今日の在庫を貼る!$I$6:$I$10005,$I9672)&gt;0,N(U9671),N(U9671)+1))</f>
        <v>2</v>
      </c>
    </row>
    <row r="9673" customFormat="false" ht="15" hidden="false" customHeight="false" outlineLevel="0" collapsed="false">
      <c r="B9673" s="53"/>
      <c r="I9673" s="53"/>
      <c r="U9673" s="31" t="n">
        <f aca="false">IF($B9673&lt;&gt;'設定（最初に1回）'!$C$4,N(U9672),IF(COUNTIFS(①今日の在庫を貼る!$B$6:$B$10005,$B9673,①今日の在庫を貼る!$I$6:$I$10005,$I9673)&gt;0,N(U9672),N(U9672)+1))</f>
        <v>2</v>
      </c>
    </row>
    <row r="9674" customFormat="false" ht="15" hidden="false" customHeight="false" outlineLevel="0" collapsed="false">
      <c r="B9674" s="53"/>
      <c r="I9674" s="53"/>
      <c r="U9674" s="31" t="n">
        <f aca="false">IF($B9674&lt;&gt;'設定（最初に1回）'!$C$4,N(U9673),IF(COUNTIFS(①今日の在庫を貼る!$B$6:$B$10005,$B9674,①今日の在庫を貼る!$I$6:$I$10005,$I9674)&gt;0,N(U9673),N(U9673)+1))</f>
        <v>2</v>
      </c>
    </row>
    <row r="9675" customFormat="false" ht="15" hidden="false" customHeight="false" outlineLevel="0" collapsed="false">
      <c r="B9675" s="53"/>
      <c r="I9675" s="53"/>
      <c r="U9675" s="31" t="n">
        <f aca="false">IF($B9675&lt;&gt;'設定（最初に1回）'!$C$4,N(U9674),IF(COUNTIFS(①今日の在庫を貼る!$B$6:$B$10005,$B9675,①今日の在庫を貼る!$I$6:$I$10005,$I9675)&gt;0,N(U9674),N(U9674)+1))</f>
        <v>2</v>
      </c>
    </row>
    <row r="9676" customFormat="false" ht="15" hidden="false" customHeight="false" outlineLevel="0" collapsed="false">
      <c r="B9676" s="53"/>
      <c r="I9676" s="53"/>
      <c r="U9676" s="31" t="n">
        <f aca="false">IF($B9676&lt;&gt;'設定（最初に1回）'!$C$4,N(U9675),IF(COUNTIFS(①今日の在庫を貼る!$B$6:$B$10005,$B9676,①今日の在庫を貼る!$I$6:$I$10005,$I9676)&gt;0,N(U9675),N(U9675)+1))</f>
        <v>2</v>
      </c>
    </row>
    <row r="9677" customFormat="false" ht="15" hidden="false" customHeight="false" outlineLevel="0" collapsed="false">
      <c r="B9677" s="53"/>
      <c r="I9677" s="53"/>
      <c r="U9677" s="31" t="n">
        <f aca="false">IF($B9677&lt;&gt;'設定（最初に1回）'!$C$4,N(U9676),IF(COUNTIFS(①今日の在庫を貼る!$B$6:$B$10005,$B9677,①今日の在庫を貼る!$I$6:$I$10005,$I9677)&gt;0,N(U9676),N(U9676)+1))</f>
        <v>2</v>
      </c>
    </row>
    <row r="9678" customFormat="false" ht="15" hidden="false" customHeight="false" outlineLevel="0" collapsed="false">
      <c r="B9678" s="53"/>
      <c r="I9678" s="53"/>
      <c r="U9678" s="31" t="n">
        <f aca="false">IF($B9678&lt;&gt;'設定（最初に1回）'!$C$4,N(U9677),IF(COUNTIFS(①今日の在庫を貼る!$B$6:$B$10005,$B9678,①今日の在庫を貼る!$I$6:$I$10005,$I9678)&gt;0,N(U9677),N(U9677)+1))</f>
        <v>2</v>
      </c>
    </row>
    <row r="9679" customFormat="false" ht="15" hidden="false" customHeight="false" outlineLevel="0" collapsed="false">
      <c r="B9679" s="53"/>
      <c r="I9679" s="53"/>
      <c r="U9679" s="31" t="n">
        <f aca="false">IF($B9679&lt;&gt;'設定（最初に1回）'!$C$4,N(U9678),IF(COUNTIFS(①今日の在庫を貼る!$B$6:$B$10005,$B9679,①今日の在庫を貼る!$I$6:$I$10005,$I9679)&gt;0,N(U9678),N(U9678)+1))</f>
        <v>2</v>
      </c>
    </row>
    <row r="9680" customFormat="false" ht="15" hidden="false" customHeight="false" outlineLevel="0" collapsed="false">
      <c r="B9680" s="53"/>
      <c r="I9680" s="53"/>
      <c r="U9680" s="31" t="n">
        <f aca="false">IF($B9680&lt;&gt;'設定（最初に1回）'!$C$4,N(U9679),IF(COUNTIFS(①今日の在庫を貼る!$B$6:$B$10005,$B9680,①今日の在庫を貼る!$I$6:$I$10005,$I9680)&gt;0,N(U9679),N(U9679)+1))</f>
        <v>2</v>
      </c>
    </row>
    <row r="9681" customFormat="false" ht="15" hidden="false" customHeight="false" outlineLevel="0" collapsed="false">
      <c r="B9681" s="53"/>
      <c r="I9681" s="53"/>
      <c r="U9681" s="31" t="n">
        <f aca="false">IF($B9681&lt;&gt;'設定（最初に1回）'!$C$4,N(U9680),IF(COUNTIFS(①今日の在庫を貼る!$B$6:$B$10005,$B9681,①今日の在庫を貼る!$I$6:$I$10005,$I9681)&gt;0,N(U9680),N(U9680)+1))</f>
        <v>2</v>
      </c>
    </row>
    <row r="9682" customFormat="false" ht="15" hidden="false" customHeight="false" outlineLevel="0" collapsed="false">
      <c r="B9682" s="53"/>
      <c r="I9682" s="53"/>
      <c r="U9682" s="31" t="n">
        <f aca="false">IF($B9682&lt;&gt;'設定（最初に1回）'!$C$4,N(U9681),IF(COUNTIFS(①今日の在庫を貼る!$B$6:$B$10005,$B9682,①今日の在庫を貼る!$I$6:$I$10005,$I9682)&gt;0,N(U9681),N(U9681)+1))</f>
        <v>2</v>
      </c>
    </row>
    <row r="9683" customFormat="false" ht="15" hidden="false" customHeight="false" outlineLevel="0" collapsed="false">
      <c r="B9683" s="53"/>
      <c r="I9683" s="53"/>
      <c r="U9683" s="31" t="n">
        <f aca="false">IF($B9683&lt;&gt;'設定（最初に1回）'!$C$4,N(U9682),IF(COUNTIFS(①今日の在庫を貼る!$B$6:$B$10005,$B9683,①今日の在庫を貼る!$I$6:$I$10005,$I9683)&gt;0,N(U9682),N(U9682)+1))</f>
        <v>2</v>
      </c>
    </row>
    <row r="9684" customFormat="false" ht="15" hidden="false" customHeight="false" outlineLevel="0" collapsed="false">
      <c r="B9684" s="53"/>
      <c r="I9684" s="53"/>
      <c r="U9684" s="31" t="n">
        <f aca="false">IF($B9684&lt;&gt;'設定（最初に1回）'!$C$4,N(U9683),IF(COUNTIFS(①今日の在庫を貼る!$B$6:$B$10005,$B9684,①今日の在庫を貼る!$I$6:$I$10005,$I9684)&gt;0,N(U9683),N(U9683)+1))</f>
        <v>2</v>
      </c>
    </row>
    <row r="9685" customFormat="false" ht="15" hidden="false" customHeight="false" outlineLevel="0" collapsed="false">
      <c r="B9685" s="53"/>
      <c r="I9685" s="53"/>
      <c r="U9685" s="31" t="n">
        <f aca="false">IF($B9685&lt;&gt;'設定（最初に1回）'!$C$4,N(U9684),IF(COUNTIFS(①今日の在庫を貼る!$B$6:$B$10005,$B9685,①今日の在庫を貼る!$I$6:$I$10005,$I9685)&gt;0,N(U9684),N(U9684)+1))</f>
        <v>2</v>
      </c>
    </row>
    <row r="9686" customFormat="false" ht="15" hidden="false" customHeight="false" outlineLevel="0" collapsed="false">
      <c r="B9686" s="53"/>
      <c r="I9686" s="53"/>
      <c r="U9686" s="31" t="n">
        <f aca="false">IF($B9686&lt;&gt;'設定（最初に1回）'!$C$4,N(U9685),IF(COUNTIFS(①今日の在庫を貼る!$B$6:$B$10005,$B9686,①今日の在庫を貼る!$I$6:$I$10005,$I9686)&gt;0,N(U9685),N(U9685)+1))</f>
        <v>2</v>
      </c>
    </row>
    <row r="9687" customFormat="false" ht="15" hidden="false" customHeight="false" outlineLevel="0" collapsed="false">
      <c r="B9687" s="53"/>
      <c r="I9687" s="53"/>
      <c r="U9687" s="31" t="n">
        <f aca="false">IF($B9687&lt;&gt;'設定（最初に1回）'!$C$4,N(U9686),IF(COUNTIFS(①今日の在庫を貼る!$B$6:$B$10005,$B9687,①今日の在庫を貼る!$I$6:$I$10005,$I9687)&gt;0,N(U9686),N(U9686)+1))</f>
        <v>2</v>
      </c>
    </row>
    <row r="9688" customFormat="false" ht="15" hidden="false" customHeight="false" outlineLevel="0" collapsed="false">
      <c r="B9688" s="53"/>
      <c r="I9688" s="53"/>
      <c r="U9688" s="31" t="n">
        <f aca="false">IF($B9688&lt;&gt;'設定（最初に1回）'!$C$4,N(U9687),IF(COUNTIFS(①今日の在庫を貼る!$B$6:$B$10005,$B9688,①今日の在庫を貼る!$I$6:$I$10005,$I9688)&gt;0,N(U9687),N(U9687)+1))</f>
        <v>2</v>
      </c>
    </row>
    <row r="9689" customFormat="false" ht="15" hidden="false" customHeight="false" outlineLevel="0" collapsed="false">
      <c r="B9689" s="53"/>
      <c r="I9689" s="53"/>
      <c r="U9689" s="31" t="n">
        <f aca="false">IF($B9689&lt;&gt;'設定（最初に1回）'!$C$4,N(U9688),IF(COUNTIFS(①今日の在庫を貼る!$B$6:$B$10005,$B9689,①今日の在庫を貼る!$I$6:$I$10005,$I9689)&gt;0,N(U9688),N(U9688)+1))</f>
        <v>2</v>
      </c>
    </row>
    <row r="9690" customFormat="false" ht="15" hidden="false" customHeight="false" outlineLevel="0" collapsed="false">
      <c r="B9690" s="53"/>
      <c r="I9690" s="53"/>
      <c r="U9690" s="31" t="n">
        <f aca="false">IF($B9690&lt;&gt;'設定（最初に1回）'!$C$4,N(U9689),IF(COUNTIFS(①今日の在庫を貼る!$B$6:$B$10005,$B9690,①今日の在庫を貼る!$I$6:$I$10005,$I9690)&gt;0,N(U9689),N(U9689)+1))</f>
        <v>2</v>
      </c>
    </row>
    <row r="9691" customFormat="false" ht="15" hidden="false" customHeight="false" outlineLevel="0" collapsed="false">
      <c r="B9691" s="53"/>
      <c r="I9691" s="53"/>
      <c r="U9691" s="31" t="n">
        <f aca="false">IF($B9691&lt;&gt;'設定（最初に1回）'!$C$4,N(U9690),IF(COUNTIFS(①今日の在庫を貼る!$B$6:$B$10005,$B9691,①今日の在庫を貼る!$I$6:$I$10005,$I9691)&gt;0,N(U9690),N(U9690)+1))</f>
        <v>2</v>
      </c>
    </row>
    <row r="9692" customFormat="false" ht="15" hidden="false" customHeight="false" outlineLevel="0" collapsed="false">
      <c r="B9692" s="53"/>
      <c r="I9692" s="53"/>
      <c r="U9692" s="31" t="n">
        <f aca="false">IF($B9692&lt;&gt;'設定（最初に1回）'!$C$4,N(U9691),IF(COUNTIFS(①今日の在庫を貼る!$B$6:$B$10005,$B9692,①今日の在庫を貼る!$I$6:$I$10005,$I9692)&gt;0,N(U9691),N(U9691)+1))</f>
        <v>2</v>
      </c>
    </row>
    <row r="9693" customFormat="false" ht="15" hidden="false" customHeight="false" outlineLevel="0" collapsed="false">
      <c r="B9693" s="53"/>
      <c r="I9693" s="53"/>
      <c r="U9693" s="31" t="n">
        <f aca="false">IF($B9693&lt;&gt;'設定（最初に1回）'!$C$4,N(U9692),IF(COUNTIFS(①今日の在庫を貼る!$B$6:$B$10005,$B9693,①今日の在庫を貼る!$I$6:$I$10005,$I9693)&gt;0,N(U9692),N(U9692)+1))</f>
        <v>2</v>
      </c>
    </row>
    <row r="9694" customFormat="false" ht="15" hidden="false" customHeight="false" outlineLevel="0" collapsed="false">
      <c r="B9694" s="53"/>
      <c r="I9694" s="53"/>
      <c r="U9694" s="31" t="n">
        <f aca="false">IF($B9694&lt;&gt;'設定（最初に1回）'!$C$4,N(U9693),IF(COUNTIFS(①今日の在庫を貼る!$B$6:$B$10005,$B9694,①今日の在庫を貼る!$I$6:$I$10005,$I9694)&gt;0,N(U9693),N(U9693)+1))</f>
        <v>2</v>
      </c>
    </row>
    <row r="9695" customFormat="false" ht="15" hidden="false" customHeight="false" outlineLevel="0" collapsed="false">
      <c r="B9695" s="53"/>
      <c r="I9695" s="53"/>
      <c r="U9695" s="31" t="n">
        <f aca="false">IF($B9695&lt;&gt;'設定（最初に1回）'!$C$4,N(U9694),IF(COUNTIFS(①今日の在庫を貼る!$B$6:$B$10005,$B9695,①今日の在庫を貼る!$I$6:$I$10005,$I9695)&gt;0,N(U9694),N(U9694)+1))</f>
        <v>2</v>
      </c>
    </row>
    <row r="9696" customFormat="false" ht="15" hidden="false" customHeight="false" outlineLevel="0" collapsed="false">
      <c r="B9696" s="53"/>
      <c r="I9696" s="53"/>
      <c r="U9696" s="31" t="n">
        <f aca="false">IF($B9696&lt;&gt;'設定（最初に1回）'!$C$4,N(U9695),IF(COUNTIFS(①今日の在庫を貼る!$B$6:$B$10005,$B9696,①今日の在庫を貼る!$I$6:$I$10005,$I9696)&gt;0,N(U9695),N(U9695)+1))</f>
        <v>2</v>
      </c>
    </row>
    <row r="9697" customFormat="false" ht="15" hidden="false" customHeight="false" outlineLevel="0" collapsed="false">
      <c r="B9697" s="53"/>
      <c r="I9697" s="53"/>
      <c r="U9697" s="31" t="n">
        <f aca="false">IF($B9697&lt;&gt;'設定（最初に1回）'!$C$4,N(U9696),IF(COUNTIFS(①今日の在庫を貼る!$B$6:$B$10005,$B9697,①今日の在庫を貼る!$I$6:$I$10005,$I9697)&gt;0,N(U9696),N(U9696)+1))</f>
        <v>2</v>
      </c>
    </row>
    <row r="9698" customFormat="false" ht="15" hidden="false" customHeight="false" outlineLevel="0" collapsed="false">
      <c r="B9698" s="53"/>
      <c r="I9698" s="53"/>
      <c r="U9698" s="31" t="n">
        <f aca="false">IF($B9698&lt;&gt;'設定（最初に1回）'!$C$4,N(U9697),IF(COUNTIFS(①今日の在庫を貼る!$B$6:$B$10005,$B9698,①今日の在庫を貼る!$I$6:$I$10005,$I9698)&gt;0,N(U9697),N(U9697)+1))</f>
        <v>2</v>
      </c>
    </row>
    <row r="9699" customFormat="false" ht="15" hidden="false" customHeight="false" outlineLevel="0" collapsed="false">
      <c r="B9699" s="53"/>
      <c r="I9699" s="53"/>
      <c r="U9699" s="31" t="n">
        <f aca="false">IF($B9699&lt;&gt;'設定（最初に1回）'!$C$4,N(U9698),IF(COUNTIFS(①今日の在庫を貼る!$B$6:$B$10005,$B9699,①今日の在庫を貼る!$I$6:$I$10005,$I9699)&gt;0,N(U9698),N(U9698)+1))</f>
        <v>2</v>
      </c>
    </row>
    <row r="9700" customFormat="false" ht="15" hidden="false" customHeight="false" outlineLevel="0" collapsed="false">
      <c r="B9700" s="53"/>
      <c r="I9700" s="53"/>
      <c r="U9700" s="31" t="n">
        <f aca="false">IF($B9700&lt;&gt;'設定（最初に1回）'!$C$4,N(U9699),IF(COUNTIFS(①今日の在庫を貼る!$B$6:$B$10005,$B9700,①今日の在庫を貼る!$I$6:$I$10005,$I9700)&gt;0,N(U9699),N(U9699)+1))</f>
        <v>2</v>
      </c>
    </row>
    <row r="9701" customFormat="false" ht="15" hidden="false" customHeight="false" outlineLevel="0" collapsed="false">
      <c r="B9701" s="53"/>
      <c r="I9701" s="53"/>
      <c r="U9701" s="31" t="n">
        <f aca="false">IF($B9701&lt;&gt;'設定（最初に1回）'!$C$4,N(U9700),IF(COUNTIFS(①今日の在庫を貼る!$B$6:$B$10005,$B9701,①今日の在庫を貼る!$I$6:$I$10005,$I9701)&gt;0,N(U9700),N(U9700)+1))</f>
        <v>2</v>
      </c>
    </row>
    <row r="9702" customFormat="false" ht="15" hidden="false" customHeight="false" outlineLevel="0" collapsed="false">
      <c r="B9702" s="53"/>
      <c r="I9702" s="53"/>
      <c r="U9702" s="31" t="n">
        <f aca="false">IF($B9702&lt;&gt;'設定（最初に1回）'!$C$4,N(U9701),IF(COUNTIFS(①今日の在庫を貼る!$B$6:$B$10005,$B9702,①今日の在庫を貼る!$I$6:$I$10005,$I9702)&gt;0,N(U9701),N(U9701)+1))</f>
        <v>2</v>
      </c>
    </row>
    <row r="9703" customFormat="false" ht="15" hidden="false" customHeight="false" outlineLevel="0" collapsed="false">
      <c r="B9703" s="53"/>
      <c r="I9703" s="53"/>
      <c r="U9703" s="31" t="n">
        <f aca="false">IF($B9703&lt;&gt;'設定（最初に1回）'!$C$4,N(U9702),IF(COUNTIFS(①今日の在庫を貼る!$B$6:$B$10005,$B9703,①今日の在庫を貼る!$I$6:$I$10005,$I9703)&gt;0,N(U9702),N(U9702)+1))</f>
        <v>2</v>
      </c>
    </row>
    <row r="9704" customFormat="false" ht="15" hidden="false" customHeight="false" outlineLevel="0" collapsed="false">
      <c r="B9704" s="53"/>
      <c r="I9704" s="53"/>
      <c r="U9704" s="31" t="n">
        <f aca="false">IF($B9704&lt;&gt;'設定（最初に1回）'!$C$4,N(U9703),IF(COUNTIFS(①今日の在庫を貼る!$B$6:$B$10005,$B9704,①今日の在庫を貼る!$I$6:$I$10005,$I9704)&gt;0,N(U9703),N(U9703)+1))</f>
        <v>2</v>
      </c>
    </row>
    <row r="9705" customFormat="false" ht="15" hidden="false" customHeight="false" outlineLevel="0" collapsed="false">
      <c r="B9705" s="53"/>
      <c r="I9705" s="53"/>
      <c r="U9705" s="31" t="n">
        <f aca="false">IF($B9705&lt;&gt;'設定（最初に1回）'!$C$4,N(U9704),IF(COUNTIFS(①今日の在庫を貼る!$B$6:$B$10005,$B9705,①今日の在庫を貼る!$I$6:$I$10005,$I9705)&gt;0,N(U9704),N(U9704)+1))</f>
        <v>2</v>
      </c>
    </row>
    <row r="9706" customFormat="false" ht="15" hidden="false" customHeight="false" outlineLevel="0" collapsed="false">
      <c r="B9706" s="53"/>
      <c r="I9706" s="53"/>
      <c r="U9706" s="31" t="n">
        <f aca="false">IF($B9706&lt;&gt;'設定（最初に1回）'!$C$4,N(U9705),IF(COUNTIFS(①今日の在庫を貼る!$B$6:$B$10005,$B9706,①今日の在庫を貼る!$I$6:$I$10005,$I9706)&gt;0,N(U9705),N(U9705)+1))</f>
        <v>2</v>
      </c>
    </row>
    <row r="9707" customFormat="false" ht="15" hidden="false" customHeight="false" outlineLevel="0" collapsed="false">
      <c r="B9707" s="53"/>
      <c r="I9707" s="53"/>
      <c r="U9707" s="31" t="n">
        <f aca="false">IF($B9707&lt;&gt;'設定（最初に1回）'!$C$4,N(U9706),IF(COUNTIFS(①今日の在庫を貼る!$B$6:$B$10005,$B9707,①今日の在庫を貼る!$I$6:$I$10005,$I9707)&gt;0,N(U9706),N(U9706)+1))</f>
        <v>2</v>
      </c>
    </row>
    <row r="9708" customFormat="false" ht="15" hidden="false" customHeight="false" outlineLevel="0" collapsed="false">
      <c r="B9708" s="53"/>
      <c r="I9708" s="53"/>
      <c r="U9708" s="31" t="n">
        <f aca="false">IF($B9708&lt;&gt;'設定（最初に1回）'!$C$4,N(U9707),IF(COUNTIFS(①今日の在庫を貼る!$B$6:$B$10005,$B9708,①今日の在庫を貼る!$I$6:$I$10005,$I9708)&gt;0,N(U9707),N(U9707)+1))</f>
        <v>2</v>
      </c>
    </row>
    <row r="9709" customFormat="false" ht="15" hidden="false" customHeight="false" outlineLevel="0" collapsed="false">
      <c r="B9709" s="53"/>
      <c r="I9709" s="53"/>
      <c r="U9709" s="31" t="n">
        <f aca="false">IF($B9709&lt;&gt;'設定（最初に1回）'!$C$4,N(U9708),IF(COUNTIFS(①今日の在庫を貼る!$B$6:$B$10005,$B9709,①今日の在庫を貼る!$I$6:$I$10005,$I9709)&gt;0,N(U9708),N(U9708)+1))</f>
        <v>2</v>
      </c>
    </row>
    <row r="9710" customFormat="false" ht="15" hidden="false" customHeight="false" outlineLevel="0" collapsed="false">
      <c r="B9710" s="53"/>
      <c r="I9710" s="53"/>
      <c r="U9710" s="31" t="n">
        <f aca="false">IF($B9710&lt;&gt;'設定（最初に1回）'!$C$4,N(U9709),IF(COUNTIFS(①今日の在庫を貼る!$B$6:$B$10005,$B9710,①今日の在庫を貼る!$I$6:$I$10005,$I9710)&gt;0,N(U9709),N(U9709)+1))</f>
        <v>2</v>
      </c>
    </row>
    <row r="9711" customFormat="false" ht="15" hidden="false" customHeight="false" outlineLevel="0" collapsed="false">
      <c r="B9711" s="53"/>
      <c r="I9711" s="53"/>
      <c r="U9711" s="31" t="n">
        <f aca="false">IF($B9711&lt;&gt;'設定（最初に1回）'!$C$4,N(U9710),IF(COUNTIFS(①今日の在庫を貼る!$B$6:$B$10005,$B9711,①今日の在庫を貼る!$I$6:$I$10005,$I9711)&gt;0,N(U9710),N(U9710)+1))</f>
        <v>2</v>
      </c>
    </row>
    <row r="9712" customFormat="false" ht="15" hidden="false" customHeight="false" outlineLevel="0" collapsed="false">
      <c r="B9712" s="53"/>
      <c r="I9712" s="53"/>
      <c r="U9712" s="31" t="n">
        <f aca="false">IF($B9712&lt;&gt;'設定（最初に1回）'!$C$4,N(U9711),IF(COUNTIFS(①今日の在庫を貼る!$B$6:$B$10005,$B9712,①今日の在庫を貼る!$I$6:$I$10005,$I9712)&gt;0,N(U9711),N(U9711)+1))</f>
        <v>2</v>
      </c>
    </row>
    <row r="9713" customFormat="false" ht="15" hidden="false" customHeight="false" outlineLevel="0" collapsed="false">
      <c r="B9713" s="53"/>
      <c r="I9713" s="53"/>
      <c r="U9713" s="31" t="n">
        <f aca="false">IF($B9713&lt;&gt;'設定（最初に1回）'!$C$4,N(U9712),IF(COUNTIFS(①今日の在庫を貼る!$B$6:$B$10005,$B9713,①今日の在庫を貼る!$I$6:$I$10005,$I9713)&gt;0,N(U9712),N(U9712)+1))</f>
        <v>2</v>
      </c>
    </row>
    <row r="9714" customFormat="false" ht="15" hidden="false" customHeight="false" outlineLevel="0" collapsed="false">
      <c r="B9714" s="53"/>
      <c r="I9714" s="53"/>
      <c r="U9714" s="31" t="n">
        <f aca="false">IF($B9714&lt;&gt;'設定（最初に1回）'!$C$4,N(U9713),IF(COUNTIFS(①今日の在庫を貼る!$B$6:$B$10005,$B9714,①今日の在庫を貼る!$I$6:$I$10005,$I9714)&gt;0,N(U9713),N(U9713)+1))</f>
        <v>2</v>
      </c>
    </row>
    <row r="9715" customFormat="false" ht="15" hidden="false" customHeight="false" outlineLevel="0" collapsed="false">
      <c r="B9715" s="53"/>
      <c r="I9715" s="53"/>
      <c r="U9715" s="31" t="n">
        <f aca="false">IF($B9715&lt;&gt;'設定（最初に1回）'!$C$4,N(U9714),IF(COUNTIFS(①今日の在庫を貼る!$B$6:$B$10005,$B9715,①今日の在庫を貼る!$I$6:$I$10005,$I9715)&gt;0,N(U9714),N(U9714)+1))</f>
        <v>2</v>
      </c>
    </row>
    <row r="9716" customFormat="false" ht="15" hidden="false" customHeight="false" outlineLevel="0" collapsed="false">
      <c r="B9716" s="53"/>
      <c r="I9716" s="53"/>
      <c r="U9716" s="31" t="n">
        <f aca="false">IF($B9716&lt;&gt;'設定（最初に1回）'!$C$4,N(U9715),IF(COUNTIFS(①今日の在庫を貼る!$B$6:$B$10005,$B9716,①今日の在庫を貼る!$I$6:$I$10005,$I9716)&gt;0,N(U9715),N(U9715)+1))</f>
        <v>2</v>
      </c>
    </row>
    <row r="9717" customFormat="false" ht="15" hidden="false" customHeight="false" outlineLevel="0" collapsed="false">
      <c r="B9717" s="53"/>
      <c r="I9717" s="53"/>
      <c r="U9717" s="31" t="n">
        <f aca="false">IF($B9717&lt;&gt;'設定（最初に1回）'!$C$4,N(U9716),IF(COUNTIFS(①今日の在庫を貼る!$B$6:$B$10005,$B9717,①今日の在庫を貼る!$I$6:$I$10005,$I9717)&gt;0,N(U9716),N(U9716)+1))</f>
        <v>2</v>
      </c>
    </row>
    <row r="9718" customFormat="false" ht="15" hidden="false" customHeight="false" outlineLevel="0" collapsed="false">
      <c r="B9718" s="53"/>
      <c r="I9718" s="53"/>
      <c r="U9718" s="31" t="n">
        <f aca="false">IF($B9718&lt;&gt;'設定（最初に1回）'!$C$4,N(U9717),IF(COUNTIFS(①今日の在庫を貼る!$B$6:$B$10005,$B9718,①今日の在庫を貼る!$I$6:$I$10005,$I9718)&gt;0,N(U9717),N(U9717)+1))</f>
        <v>2</v>
      </c>
    </row>
    <row r="9719" customFormat="false" ht="15" hidden="false" customHeight="false" outlineLevel="0" collapsed="false">
      <c r="B9719" s="53"/>
      <c r="I9719" s="53"/>
      <c r="U9719" s="31" t="n">
        <f aca="false">IF($B9719&lt;&gt;'設定（最初に1回）'!$C$4,N(U9718),IF(COUNTIFS(①今日の在庫を貼る!$B$6:$B$10005,$B9719,①今日の在庫を貼る!$I$6:$I$10005,$I9719)&gt;0,N(U9718),N(U9718)+1))</f>
        <v>2</v>
      </c>
    </row>
    <row r="9720" customFormat="false" ht="15" hidden="false" customHeight="false" outlineLevel="0" collapsed="false">
      <c r="B9720" s="53"/>
      <c r="I9720" s="53"/>
      <c r="U9720" s="31" t="n">
        <f aca="false">IF($B9720&lt;&gt;'設定（最初に1回）'!$C$4,N(U9719),IF(COUNTIFS(①今日の在庫を貼る!$B$6:$B$10005,$B9720,①今日の在庫を貼る!$I$6:$I$10005,$I9720)&gt;0,N(U9719),N(U9719)+1))</f>
        <v>2</v>
      </c>
    </row>
    <row r="9721" customFormat="false" ht="15" hidden="false" customHeight="false" outlineLevel="0" collapsed="false">
      <c r="B9721" s="53"/>
      <c r="I9721" s="53"/>
      <c r="U9721" s="31" t="n">
        <f aca="false">IF($B9721&lt;&gt;'設定（最初に1回）'!$C$4,N(U9720),IF(COUNTIFS(①今日の在庫を貼る!$B$6:$B$10005,$B9721,①今日の在庫を貼る!$I$6:$I$10005,$I9721)&gt;0,N(U9720),N(U9720)+1))</f>
        <v>2</v>
      </c>
    </row>
    <row r="9722" customFormat="false" ht="15" hidden="false" customHeight="false" outlineLevel="0" collapsed="false">
      <c r="B9722" s="53"/>
      <c r="I9722" s="53"/>
      <c r="U9722" s="31" t="n">
        <f aca="false">IF($B9722&lt;&gt;'設定（最初に1回）'!$C$4,N(U9721),IF(COUNTIFS(①今日の在庫を貼る!$B$6:$B$10005,$B9722,①今日の在庫を貼る!$I$6:$I$10005,$I9722)&gt;0,N(U9721),N(U9721)+1))</f>
        <v>2</v>
      </c>
    </row>
    <row r="9723" customFormat="false" ht="15" hidden="false" customHeight="false" outlineLevel="0" collapsed="false">
      <c r="B9723" s="53"/>
      <c r="I9723" s="53"/>
      <c r="U9723" s="31" t="n">
        <f aca="false">IF($B9723&lt;&gt;'設定（最初に1回）'!$C$4,N(U9722),IF(COUNTIFS(①今日の在庫を貼る!$B$6:$B$10005,$B9723,①今日の在庫を貼る!$I$6:$I$10005,$I9723)&gt;0,N(U9722),N(U9722)+1))</f>
        <v>2</v>
      </c>
    </row>
    <row r="9724" customFormat="false" ht="15" hidden="false" customHeight="false" outlineLevel="0" collapsed="false">
      <c r="B9724" s="53"/>
      <c r="I9724" s="53"/>
      <c r="U9724" s="31" t="n">
        <f aca="false">IF($B9724&lt;&gt;'設定（最初に1回）'!$C$4,N(U9723),IF(COUNTIFS(①今日の在庫を貼る!$B$6:$B$10005,$B9724,①今日の在庫を貼る!$I$6:$I$10005,$I9724)&gt;0,N(U9723),N(U9723)+1))</f>
        <v>2</v>
      </c>
    </row>
    <row r="9725" customFormat="false" ht="15" hidden="false" customHeight="false" outlineLevel="0" collapsed="false">
      <c r="B9725" s="53"/>
      <c r="I9725" s="53"/>
      <c r="U9725" s="31" t="n">
        <f aca="false">IF($B9725&lt;&gt;'設定（最初に1回）'!$C$4,N(U9724),IF(COUNTIFS(①今日の在庫を貼る!$B$6:$B$10005,$B9725,①今日の在庫を貼る!$I$6:$I$10005,$I9725)&gt;0,N(U9724),N(U9724)+1))</f>
        <v>2</v>
      </c>
    </row>
    <row r="9726" customFormat="false" ht="15" hidden="false" customHeight="false" outlineLevel="0" collapsed="false">
      <c r="B9726" s="53"/>
      <c r="I9726" s="53"/>
      <c r="U9726" s="31" t="n">
        <f aca="false">IF($B9726&lt;&gt;'設定（最初に1回）'!$C$4,N(U9725),IF(COUNTIFS(①今日の在庫を貼る!$B$6:$B$10005,$B9726,①今日の在庫を貼る!$I$6:$I$10005,$I9726)&gt;0,N(U9725),N(U9725)+1))</f>
        <v>2</v>
      </c>
    </row>
    <row r="9727" customFormat="false" ht="15" hidden="false" customHeight="false" outlineLevel="0" collapsed="false">
      <c r="B9727" s="53"/>
      <c r="I9727" s="53"/>
      <c r="U9727" s="31" t="n">
        <f aca="false">IF($B9727&lt;&gt;'設定（最初に1回）'!$C$4,N(U9726),IF(COUNTIFS(①今日の在庫を貼る!$B$6:$B$10005,$B9727,①今日の在庫を貼る!$I$6:$I$10005,$I9727)&gt;0,N(U9726),N(U9726)+1))</f>
        <v>2</v>
      </c>
    </row>
    <row r="9728" customFormat="false" ht="15" hidden="false" customHeight="false" outlineLevel="0" collapsed="false">
      <c r="B9728" s="53"/>
      <c r="I9728" s="53"/>
      <c r="U9728" s="31" t="n">
        <f aca="false">IF($B9728&lt;&gt;'設定（最初に1回）'!$C$4,N(U9727),IF(COUNTIFS(①今日の在庫を貼る!$B$6:$B$10005,$B9728,①今日の在庫を貼る!$I$6:$I$10005,$I9728)&gt;0,N(U9727),N(U9727)+1))</f>
        <v>2</v>
      </c>
    </row>
    <row r="9729" customFormat="false" ht="15" hidden="false" customHeight="false" outlineLevel="0" collapsed="false">
      <c r="B9729" s="53"/>
      <c r="I9729" s="53"/>
      <c r="U9729" s="31" t="n">
        <f aca="false">IF($B9729&lt;&gt;'設定（最初に1回）'!$C$4,N(U9728),IF(COUNTIFS(①今日の在庫を貼る!$B$6:$B$10005,$B9729,①今日の在庫を貼る!$I$6:$I$10005,$I9729)&gt;0,N(U9728),N(U9728)+1))</f>
        <v>2</v>
      </c>
    </row>
    <row r="9730" customFormat="false" ht="15" hidden="false" customHeight="false" outlineLevel="0" collapsed="false">
      <c r="B9730" s="53"/>
      <c r="I9730" s="53"/>
      <c r="U9730" s="31" t="n">
        <f aca="false">IF($B9730&lt;&gt;'設定（最初に1回）'!$C$4,N(U9729),IF(COUNTIFS(①今日の在庫を貼る!$B$6:$B$10005,$B9730,①今日の在庫を貼る!$I$6:$I$10005,$I9730)&gt;0,N(U9729),N(U9729)+1))</f>
        <v>2</v>
      </c>
    </row>
    <row r="9731" customFormat="false" ht="15" hidden="false" customHeight="false" outlineLevel="0" collapsed="false">
      <c r="B9731" s="53"/>
      <c r="I9731" s="53"/>
      <c r="U9731" s="31" t="n">
        <f aca="false">IF($B9731&lt;&gt;'設定（最初に1回）'!$C$4,N(U9730),IF(COUNTIFS(①今日の在庫を貼る!$B$6:$B$10005,$B9731,①今日の在庫を貼る!$I$6:$I$10005,$I9731)&gt;0,N(U9730),N(U9730)+1))</f>
        <v>2</v>
      </c>
    </row>
    <row r="9732" customFormat="false" ht="15" hidden="false" customHeight="false" outlineLevel="0" collapsed="false">
      <c r="B9732" s="53"/>
      <c r="I9732" s="53"/>
      <c r="U9732" s="31" t="n">
        <f aca="false">IF($B9732&lt;&gt;'設定（最初に1回）'!$C$4,N(U9731),IF(COUNTIFS(①今日の在庫を貼る!$B$6:$B$10005,$B9732,①今日の在庫を貼る!$I$6:$I$10005,$I9732)&gt;0,N(U9731),N(U9731)+1))</f>
        <v>2</v>
      </c>
    </row>
    <row r="9733" customFormat="false" ht="15" hidden="false" customHeight="false" outlineLevel="0" collapsed="false">
      <c r="B9733" s="53"/>
      <c r="I9733" s="53"/>
      <c r="U9733" s="31" t="n">
        <f aca="false">IF($B9733&lt;&gt;'設定（最初に1回）'!$C$4,N(U9732),IF(COUNTIFS(①今日の在庫を貼る!$B$6:$B$10005,$B9733,①今日の在庫を貼る!$I$6:$I$10005,$I9733)&gt;0,N(U9732),N(U9732)+1))</f>
        <v>2</v>
      </c>
    </row>
    <row r="9734" customFormat="false" ht="15" hidden="false" customHeight="false" outlineLevel="0" collapsed="false">
      <c r="B9734" s="53"/>
      <c r="I9734" s="53"/>
      <c r="U9734" s="31" t="n">
        <f aca="false">IF($B9734&lt;&gt;'設定（最初に1回）'!$C$4,N(U9733),IF(COUNTIFS(①今日の在庫を貼る!$B$6:$B$10005,$B9734,①今日の在庫を貼る!$I$6:$I$10005,$I9734)&gt;0,N(U9733),N(U9733)+1))</f>
        <v>2</v>
      </c>
    </row>
    <row r="9735" customFormat="false" ht="15" hidden="false" customHeight="false" outlineLevel="0" collapsed="false">
      <c r="B9735" s="53"/>
      <c r="I9735" s="53"/>
      <c r="U9735" s="31" t="n">
        <f aca="false">IF($B9735&lt;&gt;'設定（最初に1回）'!$C$4,N(U9734),IF(COUNTIFS(①今日の在庫を貼る!$B$6:$B$10005,$B9735,①今日の在庫を貼る!$I$6:$I$10005,$I9735)&gt;0,N(U9734),N(U9734)+1))</f>
        <v>2</v>
      </c>
    </row>
    <row r="9736" customFormat="false" ht="15" hidden="false" customHeight="false" outlineLevel="0" collapsed="false">
      <c r="B9736" s="53"/>
      <c r="I9736" s="53"/>
      <c r="U9736" s="31" t="n">
        <f aca="false">IF($B9736&lt;&gt;'設定（最初に1回）'!$C$4,N(U9735),IF(COUNTIFS(①今日の在庫を貼る!$B$6:$B$10005,$B9736,①今日の在庫を貼る!$I$6:$I$10005,$I9736)&gt;0,N(U9735),N(U9735)+1))</f>
        <v>2</v>
      </c>
    </row>
    <row r="9737" customFormat="false" ht="15" hidden="false" customHeight="false" outlineLevel="0" collapsed="false">
      <c r="B9737" s="53"/>
      <c r="I9737" s="53"/>
      <c r="U9737" s="31" t="n">
        <f aca="false">IF($B9737&lt;&gt;'設定（最初に1回）'!$C$4,N(U9736),IF(COUNTIFS(①今日の在庫を貼る!$B$6:$B$10005,$B9737,①今日の在庫を貼る!$I$6:$I$10005,$I9737)&gt;0,N(U9736),N(U9736)+1))</f>
        <v>2</v>
      </c>
    </row>
    <row r="9738" customFormat="false" ht="15" hidden="false" customHeight="false" outlineLevel="0" collapsed="false">
      <c r="B9738" s="53"/>
      <c r="I9738" s="53"/>
      <c r="U9738" s="31" t="n">
        <f aca="false">IF($B9738&lt;&gt;'設定（最初に1回）'!$C$4,N(U9737),IF(COUNTIFS(①今日の在庫を貼る!$B$6:$B$10005,$B9738,①今日の在庫を貼る!$I$6:$I$10005,$I9738)&gt;0,N(U9737),N(U9737)+1))</f>
        <v>2</v>
      </c>
    </row>
    <row r="9739" customFormat="false" ht="15" hidden="false" customHeight="false" outlineLevel="0" collapsed="false">
      <c r="B9739" s="53"/>
      <c r="I9739" s="53"/>
      <c r="U9739" s="31" t="n">
        <f aca="false">IF($B9739&lt;&gt;'設定（最初に1回）'!$C$4,N(U9738),IF(COUNTIFS(①今日の在庫を貼る!$B$6:$B$10005,$B9739,①今日の在庫を貼る!$I$6:$I$10005,$I9739)&gt;0,N(U9738),N(U9738)+1))</f>
        <v>2</v>
      </c>
    </row>
    <row r="9740" customFormat="false" ht="15" hidden="false" customHeight="false" outlineLevel="0" collapsed="false">
      <c r="B9740" s="53"/>
      <c r="I9740" s="53"/>
      <c r="U9740" s="31" t="n">
        <f aca="false">IF($B9740&lt;&gt;'設定（最初に1回）'!$C$4,N(U9739),IF(COUNTIFS(①今日の在庫を貼る!$B$6:$B$10005,$B9740,①今日の在庫を貼る!$I$6:$I$10005,$I9740)&gt;0,N(U9739),N(U9739)+1))</f>
        <v>2</v>
      </c>
    </row>
    <row r="9741" customFormat="false" ht="15" hidden="false" customHeight="false" outlineLevel="0" collapsed="false">
      <c r="B9741" s="53"/>
      <c r="I9741" s="53"/>
      <c r="U9741" s="31" t="n">
        <f aca="false">IF($B9741&lt;&gt;'設定（最初に1回）'!$C$4,N(U9740),IF(COUNTIFS(①今日の在庫を貼る!$B$6:$B$10005,$B9741,①今日の在庫を貼る!$I$6:$I$10005,$I9741)&gt;0,N(U9740),N(U9740)+1))</f>
        <v>2</v>
      </c>
    </row>
    <row r="9742" customFormat="false" ht="15" hidden="false" customHeight="false" outlineLevel="0" collapsed="false">
      <c r="B9742" s="53"/>
      <c r="I9742" s="53"/>
      <c r="U9742" s="31" t="n">
        <f aca="false">IF($B9742&lt;&gt;'設定（最初に1回）'!$C$4,N(U9741),IF(COUNTIFS(①今日の在庫を貼る!$B$6:$B$10005,$B9742,①今日の在庫を貼る!$I$6:$I$10005,$I9742)&gt;0,N(U9741),N(U9741)+1))</f>
        <v>2</v>
      </c>
    </row>
    <row r="9743" customFormat="false" ht="15" hidden="false" customHeight="false" outlineLevel="0" collapsed="false">
      <c r="B9743" s="53"/>
      <c r="I9743" s="53"/>
      <c r="U9743" s="31" t="n">
        <f aca="false">IF($B9743&lt;&gt;'設定（最初に1回）'!$C$4,N(U9742),IF(COUNTIFS(①今日の在庫を貼る!$B$6:$B$10005,$B9743,①今日の在庫を貼る!$I$6:$I$10005,$I9743)&gt;0,N(U9742),N(U9742)+1))</f>
        <v>2</v>
      </c>
    </row>
    <row r="9744" customFormat="false" ht="15" hidden="false" customHeight="false" outlineLevel="0" collapsed="false">
      <c r="B9744" s="53"/>
      <c r="I9744" s="53"/>
      <c r="U9744" s="31" t="n">
        <f aca="false">IF($B9744&lt;&gt;'設定（最初に1回）'!$C$4,N(U9743),IF(COUNTIFS(①今日の在庫を貼る!$B$6:$B$10005,$B9744,①今日の在庫を貼る!$I$6:$I$10005,$I9744)&gt;0,N(U9743),N(U9743)+1))</f>
        <v>2</v>
      </c>
    </row>
    <row r="9745" customFormat="false" ht="15" hidden="false" customHeight="false" outlineLevel="0" collapsed="false">
      <c r="B9745" s="53"/>
      <c r="I9745" s="53"/>
      <c r="U9745" s="31" t="n">
        <f aca="false">IF($B9745&lt;&gt;'設定（最初に1回）'!$C$4,N(U9744),IF(COUNTIFS(①今日の在庫を貼る!$B$6:$B$10005,$B9745,①今日の在庫を貼る!$I$6:$I$10005,$I9745)&gt;0,N(U9744),N(U9744)+1))</f>
        <v>2</v>
      </c>
    </row>
    <row r="9746" customFormat="false" ht="15" hidden="false" customHeight="false" outlineLevel="0" collapsed="false">
      <c r="B9746" s="53"/>
      <c r="I9746" s="53"/>
      <c r="U9746" s="31" t="n">
        <f aca="false">IF($B9746&lt;&gt;'設定（最初に1回）'!$C$4,N(U9745),IF(COUNTIFS(①今日の在庫を貼る!$B$6:$B$10005,$B9746,①今日の在庫を貼る!$I$6:$I$10005,$I9746)&gt;0,N(U9745),N(U9745)+1))</f>
        <v>2</v>
      </c>
    </row>
    <row r="9747" customFormat="false" ht="15" hidden="false" customHeight="false" outlineLevel="0" collapsed="false">
      <c r="B9747" s="53"/>
      <c r="I9747" s="53"/>
      <c r="U9747" s="31" t="n">
        <f aca="false">IF($B9747&lt;&gt;'設定（最初に1回）'!$C$4,N(U9746),IF(COUNTIFS(①今日の在庫を貼る!$B$6:$B$10005,$B9747,①今日の在庫を貼る!$I$6:$I$10005,$I9747)&gt;0,N(U9746),N(U9746)+1))</f>
        <v>2</v>
      </c>
    </row>
    <row r="9748" customFormat="false" ht="15" hidden="false" customHeight="false" outlineLevel="0" collapsed="false">
      <c r="B9748" s="53"/>
      <c r="I9748" s="53"/>
      <c r="U9748" s="31" t="n">
        <f aca="false">IF($B9748&lt;&gt;'設定（最初に1回）'!$C$4,N(U9747),IF(COUNTIFS(①今日の在庫を貼る!$B$6:$B$10005,$B9748,①今日の在庫を貼る!$I$6:$I$10005,$I9748)&gt;0,N(U9747),N(U9747)+1))</f>
        <v>2</v>
      </c>
    </row>
    <row r="9749" customFormat="false" ht="15" hidden="false" customHeight="false" outlineLevel="0" collapsed="false">
      <c r="B9749" s="53"/>
      <c r="I9749" s="53"/>
      <c r="U9749" s="31" t="n">
        <f aca="false">IF($B9749&lt;&gt;'設定（最初に1回）'!$C$4,N(U9748),IF(COUNTIFS(①今日の在庫を貼る!$B$6:$B$10005,$B9749,①今日の在庫を貼る!$I$6:$I$10005,$I9749)&gt;0,N(U9748),N(U9748)+1))</f>
        <v>2</v>
      </c>
    </row>
    <row r="9750" customFormat="false" ht="15" hidden="false" customHeight="false" outlineLevel="0" collapsed="false">
      <c r="B9750" s="53"/>
      <c r="I9750" s="53"/>
      <c r="U9750" s="31" t="n">
        <f aca="false">IF($B9750&lt;&gt;'設定（最初に1回）'!$C$4,N(U9749),IF(COUNTIFS(①今日の在庫を貼る!$B$6:$B$10005,$B9750,①今日の在庫を貼る!$I$6:$I$10005,$I9750)&gt;0,N(U9749),N(U9749)+1))</f>
        <v>2</v>
      </c>
    </row>
    <row r="9751" customFormat="false" ht="15" hidden="false" customHeight="false" outlineLevel="0" collapsed="false">
      <c r="B9751" s="53"/>
      <c r="I9751" s="53"/>
      <c r="U9751" s="31" t="n">
        <f aca="false">IF($B9751&lt;&gt;'設定（最初に1回）'!$C$4,N(U9750),IF(COUNTIFS(①今日の在庫を貼る!$B$6:$B$10005,$B9751,①今日の在庫を貼る!$I$6:$I$10005,$I9751)&gt;0,N(U9750),N(U9750)+1))</f>
        <v>2</v>
      </c>
    </row>
    <row r="9752" customFormat="false" ht="15" hidden="false" customHeight="false" outlineLevel="0" collapsed="false">
      <c r="B9752" s="53"/>
      <c r="I9752" s="53"/>
      <c r="U9752" s="31" t="n">
        <f aca="false">IF($B9752&lt;&gt;'設定（最初に1回）'!$C$4,N(U9751),IF(COUNTIFS(①今日の在庫を貼る!$B$6:$B$10005,$B9752,①今日の在庫を貼る!$I$6:$I$10005,$I9752)&gt;0,N(U9751),N(U9751)+1))</f>
        <v>2</v>
      </c>
    </row>
    <row r="9753" customFormat="false" ht="15" hidden="false" customHeight="false" outlineLevel="0" collapsed="false">
      <c r="B9753" s="53"/>
      <c r="I9753" s="53"/>
      <c r="U9753" s="31" t="n">
        <f aca="false">IF($B9753&lt;&gt;'設定（最初に1回）'!$C$4,N(U9752),IF(COUNTIFS(①今日の在庫を貼る!$B$6:$B$10005,$B9753,①今日の在庫を貼る!$I$6:$I$10005,$I9753)&gt;0,N(U9752),N(U9752)+1))</f>
        <v>2</v>
      </c>
    </row>
    <row r="9754" customFormat="false" ht="15" hidden="false" customHeight="false" outlineLevel="0" collapsed="false">
      <c r="B9754" s="53"/>
      <c r="I9754" s="53"/>
      <c r="U9754" s="31" t="n">
        <f aca="false">IF($B9754&lt;&gt;'設定（最初に1回）'!$C$4,N(U9753),IF(COUNTIFS(①今日の在庫を貼る!$B$6:$B$10005,$B9754,①今日の在庫を貼る!$I$6:$I$10005,$I9754)&gt;0,N(U9753),N(U9753)+1))</f>
        <v>2</v>
      </c>
    </row>
    <row r="9755" customFormat="false" ht="15" hidden="false" customHeight="false" outlineLevel="0" collapsed="false">
      <c r="B9755" s="53"/>
      <c r="I9755" s="53"/>
      <c r="U9755" s="31" t="n">
        <f aca="false">IF($B9755&lt;&gt;'設定（最初に1回）'!$C$4,N(U9754),IF(COUNTIFS(①今日の在庫を貼る!$B$6:$B$10005,$B9755,①今日の在庫を貼る!$I$6:$I$10005,$I9755)&gt;0,N(U9754),N(U9754)+1))</f>
        <v>2</v>
      </c>
    </row>
    <row r="9756" customFormat="false" ht="15" hidden="false" customHeight="false" outlineLevel="0" collapsed="false">
      <c r="B9756" s="53"/>
      <c r="I9756" s="53"/>
      <c r="U9756" s="31" t="n">
        <f aca="false">IF($B9756&lt;&gt;'設定（最初に1回）'!$C$4,N(U9755),IF(COUNTIFS(①今日の在庫を貼る!$B$6:$B$10005,$B9756,①今日の在庫を貼る!$I$6:$I$10005,$I9756)&gt;0,N(U9755),N(U9755)+1))</f>
        <v>2</v>
      </c>
    </row>
    <row r="9757" customFormat="false" ht="15" hidden="false" customHeight="false" outlineLevel="0" collapsed="false">
      <c r="B9757" s="53"/>
      <c r="I9757" s="53"/>
      <c r="U9757" s="31" t="n">
        <f aca="false">IF($B9757&lt;&gt;'設定（最初に1回）'!$C$4,N(U9756),IF(COUNTIFS(①今日の在庫を貼る!$B$6:$B$10005,$B9757,①今日の在庫を貼る!$I$6:$I$10005,$I9757)&gt;0,N(U9756),N(U9756)+1))</f>
        <v>2</v>
      </c>
    </row>
    <row r="9758" customFormat="false" ht="15" hidden="false" customHeight="false" outlineLevel="0" collapsed="false">
      <c r="B9758" s="53"/>
      <c r="I9758" s="53"/>
      <c r="U9758" s="31" t="n">
        <f aca="false">IF($B9758&lt;&gt;'設定（最初に1回）'!$C$4,N(U9757),IF(COUNTIFS(①今日の在庫を貼る!$B$6:$B$10005,$B9758,①今日の在庫を貼る!$I$6:$I$10005,$I9758)&gt;0,N(U9757),N(U9757)+1))</f>
        <v>2</v>
      </c>
    </row>
    <row r="9759" customFormat="false" ht="15" hidden="false" customHeight="false" outlineLevel="0" collapsed="false">
      <c r="B9759" s="53"/>
      <c r="I9759" s="53"/>
      <c r="U9759" s="31" t="n">
        <f aca="false">IF($B9759&lt;&gt;'設定（最初に1回）'!$C$4,N(U9758),IF(COUNTIFS(①今日の在庫を貼る!$B$6:$B$10005,$B9759,①今日の在庫を貼る!$I$6:$I$10005,$I9759)&gt;0,N(U9758),N(U9758)+1))</f>
        <v>2</v>
      </c>
    </row>
    <row r="9760" customFormat="false" ht="15" hidden="false" customHeight="false" outlineLevel="0" collapsed="false">
      <c r="B9760" s="53"/>
      <c r="I9760" s="53"/>
      <c r="U9760" s="31" t="n">
        <f aca="false">IF($B9760&lt;&gt;'設定（最初に1回）'!$C$4,N(U9759),IF(COUNTIFS(①今日の在庫を貼る!$B$6:$B$10005,$B9760,①今日の在庫を貼る!$I$6:$I$10005,$I9760)&gt;0,N(U9759),N(U9759)+1))</f>
        <v>2</v>
      </c>
    </row>
    <row r="9761" customFormat="false" ht="15" hidden="false" customHeight="false" outlineLevel="0" collapsed="false">
      <c r="B9761" s="53"/>
      <c r="I9761" s="53"/>
      <c r="U9761" s="31" t="n">
        <f aca="false">IF($B9761&lt;&gt;'設定（最初に1回）'!$C$4,N(U9760),IF(COUNTIFS(①今日の在庫を貼る!$B$6:$B$10005,$B9761,①今日の在庫を貼る!$I$6:$I$10005,$I9761)&gt;0,N(U9760),N(U9760)+1))</f>
        <v>2</v>
      </c>
    </row>
    <row r="9762" customFormat="false" ht="15" hidden="false" customHeight="false" outlineLevel="0" collapsed="false">
      <c r="B9762" s="53"/>
      <c r="I9762" s="53"/>
      <c r="U9762" s="31" t="n">
        <f aca="false">IF($B9762&lt;&gt;'設定（最初に1回）'!$C$4,N(U9761),IF(COUNTIFS(①今日の在庫を貼る!$B$6:$B$10005,$B9762,①今日の在庫を貼る!$I$6:$I$10005,$I9762)&gt;0,N(U9761),N(U9761)+1))</f>
        <v>2</v>
      </c>
    </row>
    <row r="9763" customFormat="false" ht="15" hidden="false" customHeight="false" outlineLevel="0" collapsed="false">
      <c r="B9763" s="53"/>
      <c r="I9763" s="53"/>
      <c r="U9763" s="31" t="n">
        <f aca="false">IF($B9763&lt;&gt;'設定（最初に1回）'!$C$4,N(U9762),IF(COUNTIFS(①今日の在庫を貼る!$B$6:$B$10005,$B9763,①今日の在庫を貼る!$I$6:$I$10005,$I9763)&gt;0,N(U9762),N(U9762)+1))</f>
        <v>2</v>
      </c>
    </row>
    <row r="9764" customFormat="false" ht="15" hidden="false" customHeight="false" outlineLevel="0" collapsed="false">
      <c r="B9764" s="53"/>
      <c r="I9764" s="53"/>
      <c r="U9764" s="31" t="n">
        <f aca="false">IF($B9764&lt;&gt;'設定（最初に1回）'!$C$4,N(U9763),IF(COUNTIFS(①今日の在庫を貼る!$B$6:$B$10005,$B9764,①今日の在庫を貼る!$I$6:$I$10005,$I9764)&gt;0,N(U9763),N(U9763)+1))</f>
        <v>2</v>
      </c>
    </row>
    <row r="9765" customFormat="false" ht="15" hidden="false" customHeight="false" outlineLevel="0" collapsed="false">
      <c r="B9765" s="53"/>
      <c r="I9765" s="53"/>
      <c r="U9765" s="31" t="n">
        <f aca="false">IF($B9765&lt;&gt;'設定（最初に1回）'!$C$4,N(U9764),IF(COUNTIFS(①今日の在庫を貼る!$B$6:$B$10005,$B9765,①今日の在庫を貼る!$I$6:$I$10005,$I9765)&gt;0,N(U9764),N(U9764)+1))</f>
        <v>2</v>
      </c>
    </row>
    <row r="9766" customFormat="false" ht="15" hidden="false" customHeight="false" outlineLevel="0" collapsed="false">
      <c r="B9766" s="53"/>
      <c r="I9766" s="53"/>
      <c r="U9766" s="31" t="n">
        <f aca="false">IF($B9766&lt;&gt;'設定（最初に1回）'!$C$4,N(U9765),IF(COUNTIFS(①今日の在庫を貼る!$B$6:$B$10005,$B9766,①今日の在庫を貼る!$I$6:$I$10005,$I9766)&gt;0,N(U9765),N(U9765)+1))</f>
        <v>2</v>
      </c>
    </row>
    <row r="9767" customFormat="false" ht="15" hidden="false" customHeight="false" outlineLevel="0" collapsed="false">
      <c r="B9767" s="53"/>
      <c r="I9767" s="53"/>
      <c r="U9767" s="31" t="n">
        <f aca="false">IF($B9767&lt;&gt;'設定（最初に1回）'!$C$4,N(U9766),IF(COUNTIFS(①今日の在庫を貼る!$B$6:$B$10005,$B9767,①今日の在庫を貼る!$I$6:$I$10005,$I9767)&gt;0,N(U9766),N(U9766)+1))</f>
        <v>2</v>
      </c>
    </row>
    <row r="9768" customFormat="false" ht="15" hidden="false" customHeight="false" outlineLevel="0" collapsed="false">
      <c r="B9768" s="53"/>
      <c r="I9768" s="53"/>
      <c r="U9768" s="31" t="n">
        <f aca="false">IF($B9768&lt;&gt;'設定（最初に1回）'!$C$4,N(U9767),IF(COUNTIFS(①今日の在庫を貼る!$B$6:$B$10005,$B9768,①今日の在庫を貼る!$I$6:$I$10005,$I9768)&gt;0,N(U9767),N(U9767)+1))</f>
        <v>2</v>
      </c>
    </row>
    <row r="9769" customFormat="false" ht="15" hidden="false" customHeight="false" outlineLevel="0" collapsed="false">
      <c r="B9769" s="53"/>
      <c r="I9769" s="53"/>
      <c r="U9769" s="31" t="n">
        <f aca="false">IF($B9769&lt;&gt;'設定（最初に1回）'!$C$4,N(U9768),IF(COUNTIFS(①今日の在庫を貼る!$B$6:$B$10005,$B9769,①今日の在庫を貼る!$I$6:$I$10005,$I9769)&gt;0,N(U9768),N(U9768)+1))</f>
        <v>2</v>
      </c>
    </row>
    <row r="9770" customFormat="false" ht="15" hidden="false" customHeight="false" outlineLevel="0" collapsed="false">
      <c r="B9770" s="53"/>
      <c r="I9770" s="53"/>
      <c r="U9770" s="31" t="n">
        <f aca="false">IF($B9770&lt;&gt;'設定（最初に1回）'!$C$4,N(U9769),IF(COUNTIFS(①今日の在庫を貼る!$B$6:$B$10005,$B9770,①今日の在庫を貼る!$I$6:$I$10005,$I9770)&gt;0,N(U9769),N(U9769)+1))</f>
        <v>2</v>
      </c>
    </row>
    <row r="9771" customFormat="false" ht="15" hidden="false" customHeight="false" outlineLevel="0" collapsed="false">
      <c r="B9771" s="53"/>
      <c r="I9771" s="53"/>
      <c r="U9771" s="31" t="n">
        <f aca="false">IF($B9771&lt;&gt;'設定（最初に1回）'!$C$4,N(U9770),IF(COUNTIFS(①今日の在庫を貼る!$B$6:$B$10005,$B9771,①今日の在庫を貼る!$I$6:$I$10005,$I9771)&gt;0,N(U9770),N(U9770)+1))</f>
        <v>2</v>
      </c>
    </row>
    <row r="9772" customFormat="false" ht="15" hidden="false" customHeight="false" outlineLevel="0" collapsed="false">
      <c r="B9772" s="53"/>
      <c r="I9772" s="53"/>
      <c r="U9772" s="31" t="n">
        <f aca="false">IF($B9772&lt;&gt;'設定（最初に1回）'!$C$4,N(U9771),IF(COUNTIFS(①今日の在庫を貼る!$B$6:$B$10005,$B9772,①今日の在庫を貼る!$I$6:$I$10005,$I9772)&gt;0,N(U9771),N(U9771)+1))</f>
        <v>2</v>
      </c>
    </row>
    <row r="9773" customFormat="false" ht="15" hidden="false" customHeight="false" outlineLevel="0" collapsed="false">
      <c r="B9773" s="53"/>
      <c r="I9773" s="53"/>
      <c r="U9773" s="31" t="n">
        <f aca="false">IF($B9773&lt;&gt;'設定（最初に1回）'!$C$4,N(U9772),IF(COUNTIFS(①今日の在庫を貼る!$B$6:$B$10005,$B9773,①今日の在庫を貼る!$I$6:$I$10005,$I9773)&gt;0,N(U9772),N(U9772)+1))</f>
        <v>2</v>
      </c>
    </row>
    <row r="9774" customFormat="false" ht="15" hidden="false" customHeight="false" outlineLevel="0" collapsed="false">
      <c r="B9774" s="53"/>
      <c r="I9774" s="53"/>
      <c r="U9774" s="31" t="n">
        <f aca="false">IF($B9774&lt;&gt;'設定（最初に1回）'!$C$4,N(U9773),IF(COUNTIFS(①今日の在庫を貼る!$B$6:$B$10005,$B9774,①今日の在庫を貼る!$I$6:$I$10005,$I9774)&gt;0,N(U9773),N(U9773)+1))</f>
        <v>2</v>
      </c>
    </row>
    <row r="9775" customFormat="false" ht="15" hidden="false" customHeight="false" outlineLevel="0" collapsed="false">
      <c r="B9775" s="53"/>
      <c r="I9775" s="53"/>
      <c r="U9775" s="31" t="n">
        <f aca="false">IF($B9775&lt;&gt;'設定（最初に1回）'!$C$4,N(U9774),IF(COUNTIFS(①今日の在庫を貼る!$B$6:$B$10005,$B9775,①今日の在庫を貼る!$I$6:$I$10005,$I9775)&gt;0,N(U9774),N(U9774)+1))</f>
        <v>2</v>
      </c>
    </row>
    <row r="9776" customFormat="false" ht="15" hidden="false" customHeight="false" outlineLevel="0" collapsed="false">
      <c r="B9776" s="53"/>
      <c r="I9776" s="53"/>
      <c r="U9776" s="31" t="n">
        <f aca="false">IF($B9776&lt;&gt;'設定（最初に1回）'!$C$4,N(U9775),IF(COUNTIFS(①今日の在庫を貼る!$B$6:$B$10005,$B9776,①今日の在庫を貼る!$I$6:$I$10005,$I9776)&gt;0,N(U9775),N(U9775)+1))</f>
        <v>2</v>
      </c>
    </row>
    <row r="9777" customFormat="false" ht="15" hidden="false" customHeight="false" outlineLevel="0" collapsed="false">
      <c r="B9777" s="53"/>
      <c r="I9777" s="53"/>
      <c r="U9777" s="31" t="n">
        <f aca="false">IF($B9777&lt;&gt;'設定（最初に1回）'!$C$4,N(U9776),IF(COUNTIFS(①今日の在庫を貼る!$B$6:$B$10005,$B9777,①今日の在庫を貼る!$I$6:$I$10005,$I9777)&gt;0,N(U9776),N(U9776)+1))</f>
        <v>2</v>
      </c>
    </row>
    <row r="9778" customFormat="false" ht="15" hidden="false" customHeight="false" outlineLevel="0" collapsed="false">
      <c r="B9778" s="53"/>
      <c r="I9778" s="53"/>
      <c r="U9778" s="31" t="n">
        <f aca="false">IF($B9778&lt;&gt;'設定（最初に1回）'!$C$4,N(U9777),IF(COUNTIFS(①今日の在庫を貼る!$B$6:$B$10005,$B9778,①今日の在庫を貼る!$I$6:$I$10005,$I9778)&gt;0,N(U9777),N(U9777)+1))</f>
        <v>2</v>
      </c>
    </row>
    <row r="9779" customFormat="false" ht="15" hidden="false" customHeight="false" outlineLevel="0" collapsed="false">
      <c r="B9779" s="53"/>
      <c r="I9779" s="53"/>
      <c r="U9779" s="31" t="n">
        <f aca="false">IF($B9779&lt;&gt;'設定（最初に1回）'!$C$4,N(U9778),IF(COUNTIFS(①今日の在庫を貼る!$B$6:$B$10005,$B9779,①今日の在庫を貼る!$I$6:$I$10005,$I9779)&gt;0,N(U9778),N(U9778)+1))</f>
        <v>2</v>
      </c>
    </row>
    <row r="9780" customFormat="false" ht="15" hidden="false" customHeight="false" outlineLevel="0" collapsed="false">
      <c r="B9780" s="53"/>
      <c r="I9780" s="53"/>
      <c r="U9780" s="31" t="n">
        <f aca="false">IF($B9780&lt;&gt;'設定（最初に1回）'!$C$4,N(U9779),IF(COUNTIFS(①今日の在庫を貼る!$B$6:$B$10005,$B9780,①今日の在庫を貼る!$I$6:$I$10005,$I9780)&gt;0,N(U9779),N(U9779)+1))</f>
        <v>2</v>
      </c>
    </row>
    <row r="9781" customFormat="false" ht="15" hidden="false" customHeight="false" outlineLevel="0" collapsed="false">
      <c r="B9781" s="53"/>
      <c r="I9781" s="53"/>
      <c r="U9781" s="31" t="n">
        <f aca="false">IF($B9781&lt;&gt;'設定（最初に1回）'!$C$4,N(U9780),IF(COUNTIFS(①今日の在庫を貼る!$B$6:$B$10005,$B9781,①今日の在庫を貼る!$I$6:$I$10005,$I9781)&gt;0,N(U9780),N(U9780)+1))</f>
        <v>2</v>
      </c>
    </row>
    <row r="9782" customFormat="false" ht="15" hidden="false" customHeight="false" outlineLevel="0" collapsed="false">
      <c r="B9782" s="53"/>
      <c r="I9782" s="53"/>
      <c r="U9782" s="31" t="n">
        <f aca="false">IF($B9782&lt;&gt;'設定（最初に1回）'!$C$4,N(U9781),IF(COUNTIFS(①今日の在庫を貼る!$B$6:$B$10005,$B9782,①今日の在庫を貼る!$I$6:$I$10005,$I9782)&gt;0,N(U9781),N(U9781)+1))</f>
        <v>2</v>
      </c>
    </row>
    <row r="9783" customFormat="false" ht="15" hidden="false" customHeight="false" outlineLevel="0" collapsed="false">
      <c r="B9783" s="53"/>
      <c r="I9783" s="53"/>
      <c r="U9783" s="31" t="n">
        <f aca="false">IF($B9783&lt;&gt;'設定（最初に1回）'!$C$4,N(U9782),IF(COUNTIFS(①今日の在庫を貼る!$B$6:$B$10005,$B9783,①今日の在庫を貼る!$I$6:$I$10005,$I9783)&gt;0,N(U9782),N(U9782)+1))</f>
        <v>2</v>
      </c>
    </row>
    <row r="9784" customFormat="false" ht="15" hidden="false" customHeight="false" outlineLevel="0" collapsed="false">
      <c r="B9784" s="53"/>
      <c r="I9784" s="53"/>
      <c r="U9784" s="31" t="n">
        <f aca="false">IF($B9784&lt;&gt;'設定（最初に1回）'!$C$4,N(U9783),IF(COUNTIFS(①今日の在庫を貼る!$B$6:$B$10005,$B9784,①今日の在庫を貼る!$I$6:$I$10005,$I9784)&gt;0,N(U9783),N(U9783)+1))</f>
        <v>2</v>
      </c>
    </row>
    <row r="9785" customFormat="false" ht="15" hidden="false" customHeight="false" outlineLevel="0" collapsed="false">
      <c r="B9785" s="53"/>
      <c r="I9785" s="53"/>
      <c r="U9785" s="31" t="n">
        <f aca="false">IF($B9785&lt;&gt;'設定（最初に1回）'!$C$4,N(U9784),IF(COUNTIFS(①今日の在庫を貼る!$B$6:$B$10005,$B9785,①今日の在庫を貼る!$I$6:$I$10005,$I9785)&gt;0,N(U9784),N(U9784)+1))</f>
        <v>2</v>
      </c>
    </row>
    <row r="9786" customFormat="false" ht="15" hidden="false" customHeight="false" outlineLevel="0" collapsed="false">
      <c r="B9786" s="53"/>
      <c r="I9786" s="53"/>
      <c r="U9786" s="31" t="n">
        <f aca="false">IF($B9786&lt;&gt;'設定（最初に1回）'!$C$4,N(U9785),IF(COUNTIFS(①今日の在庫を貼る!$B$6:$B$10005,$B9786,①今日の在庫を貼る!$I$6:$I$10005,$I9786)&gt;0,N(U9785),N(U9785)+1))</f>
        <v>2</v>
      </c>
    </row>
    <row r="9787" customFormat="false" ht="15" hidden="false" customHeight="false" outlineLevel="0" collapsed="false">
      <c r="B9787" s="53"/>
      <c r="I9787" s="53"/>
      <c r="U9787" s="31" t="n">
        <f aca="false">IF($B9787&lt;&gt;'設定（最初に1回）'!$C$4,N(U9786),IF(COUNTIFS(①今日の在庫を貼る!$B$6:$B$10005,$B9787,①今日の在庫を貼る!$I$6:$I$10005,$I9787)&gt;0,N(U9786),N(U9786)+1))</f>
        <v>2</v>
      </c>
    </row>
    <row r="9788" customFormat="false" ht="15" hidden="false" customHeight="false" outlineLevel="0" collapsed="false">
      <c r="B9788" s="53"/>
      <c r="I9788" s="53"/>
      <c r="U9788" s="31" t="n">
        <f aca="false">IF($B9788&lt;&gt;'設定（最初に1回）'!$C$4,N(U9787),IF(COUNTIFS(①今日の在庫を貼る!$B$6:$B$10005,$B9788,①今日の在庫を貼る!$I$6:$I$10005,$I9788)&gt;0,N(U9787),N(U9787)+1))</f>
        <v>2</v>
      </c>
    </row>
    <row r="9789" customFormat="false" ht="15" hidden="false" customHeight="false" outlineLevel="0" collapsed="false">
      <c r="B9789" s="53"/>
      <c r="I9789" s="53"/>
      <c r="U9789" s="31" t="n">
        <f aca="false">IF($B9789&lt;&gt;'設定（最初に1回）'!$C$4,N(U9788),IF(COUNTIFS(①今日の在庫を貼る!$B$6:$B$10005,$B9789,①今日の在庫を貼る!$I$6:$I$10005,$I9789)&gt;0,N(U9788),N(U9788)+1))</f>
        <v>2</v>
      </c>
    </row>
    <row r="9790" customFormat="false" ht="15" hidden="false" customHeight="false" outlineLevel="0" collapsed="false">
      <c r="B9790" s="53"/>
      <c r="I9790" s="53"/>
      <c r="U9790" s="31" t="n">
        <f aca="false">IF($B9790&lt;&gt;'設定（最初に1回）'!$C$4,N(U9789),IF(COUNTIFS(①今日の在庫を貼る!$B$6:$B$10005,$B9790,①今日の在庫を貼る!$I$6:$I$10005,$I9790)&gt;0,N(U9789),N(U9789)+1))</f>
        <v>2</v>
      </c>
    </row>
    <row r="9791" customFormat="false" ht="15" hidden="false" customHeight="false" outlineLevel="0" collapsed="false">
      <c r="B9791" s="53"/>
      <c r="I9791" s="53"/>
      <c r="U9791" s="31" t="n">
        <f aca="false">IF($B9791&lt;&gt;'設定（最初に1回）'!$C$4,N(U9790),IF(COUNTIFS(①今日の在庫を貼る!$B$6:$B$10005,$B9791,①今日の在庫を貼る!$I$6:$I$10005,$I9791)&gt;0,N(U9790),N(U9790)+1))</f>
        <v>2</v>
      </c>
    </row>
    <row r="9792" customFormat="false" ht="15" hidden="false" customHeight="false" outlineLevel="0" collapsed="false">
      <c r="B9792" s="53"/>
      <c r="I9792" s="53"/>
      <c r="U9792" s="31" t="n">
        <f aca="false">IF($B9792&lt;&gt;'設定（最初に1回）'!$C$4,N(U9791),IF(COUNTIFS(①今日の在庫を貼る!$B$6:$B$10005,$B9792,①今日の在庫を貼る!$I$6:$I$10005,$I9792)&gt;0,N(U9791),N(U9791)+1))</f>
        <v>2</v>
      </c>
    </row>
    <row r="9793" customFormat="false" ht="15" hidden="false" customHeight="false" outlineLevel="0" collapsed="false">
      <c r="B9793" s="53"/>
      <c r="I9793" s="53"/>
      <c r="U9793" s="31" t="n">
        <f aca="false">IF($B9793&lt;&gt;'設定（最初に1回）'!$C$4,N(U9792),IF(COUNTIFS(①今日の在庫を貼る!$B$6:$B$10005,$B9793,①今日の在庫を貼る!$I$6:$I$10005,$I9793)&gt;0,N(U9792),N(U9792)+1))</f>
        <v>2</v>
      </c>
    </row>
    <row r="9794" customFormat="false" ht="15" hidden="false" customHeight="false" outlineLevel="0" collapsed="false">
      <c r="B9794" s="53"/>
      <c r="I9794" s="53"/>
      <c r="U9794" s="31" t="n">
        <f aca="false">IF($B9794&lt;&gt;'設定（最初に1回）'!$C$4,N(U9793),IF(COUNTIFS(①今日の在庫を貼る!$B$6:$B$10005,$B9794,①今日の在庫を貼る!$I$6:$I$10005,$I9794)&gt;0,N(U9793),N(U9793)+1))</f>
        <v>2</v>
      </c>
    </row>
    <row r="9795" customFormat="false" ht="15" hidden="false" customHeight="false" outlineLevel="0" collapsed="false">
      <c r="B9795" s="53"/>
      <c r="I9795" s="53"/>
      <c r="U9795" s="31" t="n">
        <f aca="false">IF($B9795&lt;&gt;'設定（最初に1回）'!$C$4,N(U9794),IF(COUNTIFS(①今日の在庫を貼る!$B$6:$B$10005,$B9795,①今日の在庫を貼る!$I$6:$I$10005,$I9795)&gt;0,N(U9794),N(U9794)+1))</f>
        <v>2</v>
      </c>
    </row>
    <row r="9796" customFormat="false" ht="15" hidden="false" customHeight="false" outlineLevel="0" collapsed="false">
      <c r="B9796" s="53"/>
      <c r="I9796" s="53"/>
      <c r="U9796" s="31" t="n">
        <f aca="false">IF($B9796&lt;&gt;'設定（最初に1回）'!$C$4,N(U9795),IF(COUNTIFS(①今日の在庫を貼る!$B$6:$B$10005,$B9796,①今日の在庫を貼る!$I$6:$I$10005,$I9796)&gt;0,N(U9795),N(U9795)+1))</f>
        <v>2</v>
      </c>
    </row>
    <row r="9797" customFormat="false" ht="15" hidden="false" customHeight="false" outlineLevel="0" collapsed="false">
      <c r="B9797" s="53"/>
      <c r="I9797" s="53"/>
      <c r="U9797" s="31" t="n">
        <f aca="false">IF($B9797&lt;&gt;'設定（最初に1回）'!$C$4,N(U9796),IF(COUNTIFS(①今日の在庫を貼る!$B$6:$B$10005,$B9797,①今日の在庫を貼る!$I$6:$I$10005,$I9797)&gt;0,N(U9796),N(U9796)+1))</f>
        <v>2</v>
      </c>
    </row>
    <row r="9798" customFormat="false" ht="15" hidden="false" customHeight="false" outlineLevel="0" collapsed="false">
      <c r="B9798" s="53"/>
      <c r="I9798" s="53"/>
      <c r="U9798" s="31" t="n">
        <f aca="false">IF($B9798&lt;&gt;'設定（最初に1回）'!$C$4,N(U9797),IF(COUNTIFS(①今日の在庫を貼る!$B$6:$B$10005,$B9798,①今日の在庫を貼る!$I$6:$I$10005,$I9798)&gt;0,N(U9797),N(U9797)+1))</f>
        <v>2</v>
      </c>
    </row>
    <row r="9799" customFormat="false" ht="15" hidden="false" customHeight="false" outlineLevel="0" collapsed="false">
      <c r="B9799" s="53"/>
      <c r="I9799" s="53"/>
      <c r="U9799" s="31" t="n">
        <f aca="false">IF($B9799&lt;&gt;'設定（最初に1回）'!$C$4,N(U9798),IF(COUNTIFS(①今日の在庫を貼る!$B$6:$B$10005,$B9799,①今日の在庫を貼る!$I$6:$I$10005,$I9799)&gt;0,N(U9798),N(U9798)+1))</f>
        <v>2</v>
      </c>
    </row>
    <row r="9800" customFormat="false" ht="15" hidden="false" customHeight="false" outlineLevel="0" collapsed="false">
      <c r="B9800" s="53"/>
      <c r="I9800" s="53"/>
      <c r="U9800" s="31" t="n">
        <f aca="false">IF($B9800&lt;&gt;'設定（最初に1回）'!$C$4,N(U9799),IF(COUNTIFS(①今日の在庫を貼る!$B$6:$B$10005,$B9800,①今日の在庫を貼る!$I$6:$I$10005,$I9800)&gt;0,N(U9799),N(U9799)+1))</f>
        <v>2</v>
      </c>
    </row>
    <row r="9801" customFormat="false" ht="15" hidden="false" customHeight="false" outlineLevel="0" collapsed="false">
      <c r="B9801" s="53"/>
      <c r="I9801" s="53"/>
      <c r="U9801" s="31" t="n">
        <f aca="false">IF($B9801&lt;&gt;'設定（最初に1回）'!$C$4,N(U9800),IF(COUNTIFS(①今日の在庫を貼る!$B$6:$B$10005,$B9801,①今日の在庫を貼る!$I$6:$I$10005,$I9801)&gt;0,N(U9800),N(U9800)+1))</f>
        <v>2</v>
      </c>
    </row>
    <row r="9802" customFormat="false" ht="15" hidden="false" customHeight="false" outlineLevel="0" collapsed="false">
      <c r="B9802" s="53"/>
      <c r="I9802" s="53"/>
      <c r="U9802" s="31" t="n">
        <f aca="false">IF($B9802&lt;&gt;'設定（最初に1回）'!$C$4,N(U9801),IF(COUNTIFS(①今日の在庫を貼る!$B$6:$B$10005,$B9802,①今日の在庫を貼る!$I$6:$I$10005,$I9802)&gt;0,N(U9801),N(U9801)+1))</f>
        <v>2</v>
      </c>
    </row>
    <row r="9803" customFormat="false" ht="15" hidden="false" customHeight="false" outlineLevel="0" collapsed="false">
      <c r="B9803" s="53"/>
      <c r="I9803" s="53"/>
      <c r="U9803" s="31" t="n">
        <f aca="false">IF($B9803&lt;&gt;'設定（最初に1回）'!$C$4,N(U9802),IF(COUNTIFS(①今日の在庫を貼る!$B$6:$B$10005,$B9803,①今日の在庫を貼る!$I$6:$I$10005,$I9803)&gt;0,N(U9802),N(U9802)+1))</f>
        <v>2</v>
      </c>
    </row>
    <row r="9804" customFormat="false" ht="15" hidden="false" customHeight="false" outlineLevel="0" collapsed="false">
      <c r="B9804" s="53"/>
      <c r="I9804" s="53"/>
      <c r="U9804" s="31" t="n">
        <f aca="false">IF($B9804&lt;&gt;'設定（最初に1回）'!$C$4,N(U9803),IF(COUNTIFS(①今日の在庫を貼る!$B$6:$B$10005,$B9804,①今日の在庫を貼る!$I$6:$I$10005,$I9804)&gt;0,N(U9803),N(U9803)+1))</f>
        <v>2</v>
      </c>
    </row>
    <row r="9805" customFormat="false" ht="15" hidden="false" customHeight="false" outlineLevel="0" collapsed="false">
      <c r="B9805" s="53"/>
      <c r="I9805" s="53"/>
      <c r="U9805" s="31" t="n">
        <f aca="false">IF($B9805&lt;&gt;'設定（最初に1回）'!$C$4,N(U9804),IF(COUNTIFS(①今日の在庫を貼る!$B$6:$B$10005,$B9805,①今日の在庫を貼る!$I$6:$I$10005,$I9805)&gt;0,N(U9804),N(U9804)+1))</f>
        <v>2</v>
      </c>
    </row>
    <row r="9806" customFormat="false" ht="15" hidden="false" customHeight="false" outlineLevel="0" collapsed="false">
      <c r="B9806" s="53"/>
      <c r="I9806" s="53"/>
      <c r="U9806" s="31" t="n">
        <f aca="false">IF($B9806&lt;&gt;'設定（最初に1回）'!$C$4,N(U9805),IF(COUNTIFS(①今日の在庫を貼る!$B$6:$B$10005,$B9806,①今日の在庫を貼る!$I$6:$I$10005,$I9806)&gt;0,N(U9805),N(U9805)+1))</f>
        <v>2</v>
      </c>
    </row>
    <row r="9807" customFormat="false" ht="15" hidden="false" customHeight="false" outlineLevel="0" collapsed="false">
      <c r="B9807" s="53"/>
      <c r="I9807" s="53"/>
      <c r="U9807" s="31" t="n">
        <f aca="false">IF($B9807&lt;&gt;'設定（最初に1回）'!$C$4,N(U9806),IF(COUNTIFS(①今日の在庫を貼る!$B$6:$B$10005,$B9807,①今日の在庫を貼る!$I$6:$I$10005,$I9807)&gt;0,N(U9806),N(U9806)+1))</f>
        <v>2</v>
      </c>
    </row>
    <row r="9808" customFormat="false" ht="15" hidden="false" customHeight="false" outlineLevel="0" collapsed="false">
      <c r="B9808" s="53"/>
      <c r="I9808" s="53"/>
      <c r="U9808" s="31" t="n">
        <f aca="false">IF($B9808&lt;&gt;'設定（最初に1回）'!$C$4,N(U9807),IF(COUNTIFS(①今日の在庫を貼る!$B$6:$B$10005,$B9808,①今日の在庫を貼る!$I$6:$I$10005,$I9808)&gt;0,N(U9807),N(U9807)+1))</f>
        <v>2</v>
      </c>
    </row>
    <row r="9809" customFormat="false" ht="15" hidden="false" customHeight="false" outlineLevel="0" collapsed="false">
      <c r="B9809" s="53"/>
      <c r="I9809" s="53"/>
      <c r="U9809" s="31" t="n">
        <f aca="false">IF($B9809&lt;&gt;'設定（最初に1回）'!$C$4,N(U9808),IF(COUNTIFS(①今日の在庫を貼る!$B$6:$B$10005,$B9809,①今日の在庫を貼る!$I$6:$I$10005,$I9809)&gt;0,N(U9808),N(U9808)+1))</f>
        <v>2</v>
      </c>
    </row>
    <row r="9810" customFormat="false" ht="15" hidden="false" customHeight="false" outlineLevel="0" collapsed="false">
      <c r="B9810" s="53"/>
      <c r="I9810" s="53"/>
      <c r="U9810" s="31" t="n">
        <f aca="false">IF($B9810&lt;&gt;'設定（最初に1回）'!$C$4,N(U9809),IF(COUNTIFS(①今日の在庫を貼る!$B$6:$B$10005,$B9810,①今日の在庫を貼る!$I$6:$I$10005,$I9810)&gt;0,N(U9809),N(U9809)+1))</f>
        <v>2</v>
      </c>
    </row>
    <row r="9811" customFormat="false" ht="15" hidden="false" customHeight="false" outlineLevel="0" collapsed="false">
      <c r="B9811" s="53"/>
      <c r="I9811" s="53"/>
      <c r="U9811" s="31" t="n">
        <f aca="false">IF($B9811&lt;&gt;'設定（最初に1回）'!$C$4,N(U9810),IF(COUNTIFS(①今日の在庫を貼る!$B$6:$B$10005,$B9811,①今日の在庫を貼る!$I$6:$I$10005,$I9811)&gt;0,N(U9810),N(U9810)+1))</f>
        <v>2</v>
      </c>
    </row>
    <row r="9812" customFormat="false" ht="15" hidden="false" customHeight="false" outlineLevel="0" collapsed="false">
      <c r="B9812" s="53"/>
      <c r="I9812" s="53"/>
      <c r="U9812" s="31" t="n">
        <f aca="false">IF($B9812&lt;&gt;'設定（最初に1回）'!$C$4,N(U9811),IF(COUNTIFS(①今日の在庫を貼る!$B$6:$B$10005,$B9812,①今日の在庫を貼る!$I$6:$I$10005,$I9812)&gt;0,N(U9811),N(U9811)+1))</f>
        <v>2</v>
      </c>
    </row>
    <row r="9813" customFormat="false" ht="15" hidden="false" customHeight="false" outlineLevel="0" collapsed="false">
      <c r="B9813" s="53"/>
      <c r="I9813" s="53"/>
      <c r="U9813" s="31" t="n">
        <f aca="false">IF($B9813&lt;&gt;'設定（最初に1回）'!$C$4,N(U9812),IF(COUNTIFS(①今日の在庫を貼る!$B$6:$B$10005,$B9813,①今日の在庫を貼る!$I$6:$I$10005,$I9813)&gt;0,N(U9812),N(U9812)+1))</f>
        <v>2</v>
      </c>
    </row>
    <row r="9814" customFormat="false" ht="15" hidden="false" customHeight="false" outlineLevel="0" collapsed="false">
      <c r="B9814" s="53"/>
      <c r="I9814" s="53"/>
      <c r="U9814" s="31" t="n">
        <f aca="false">IF($B9814&lt;&gt;'設定（最初に1回）'!$C$4,N(U9813),IF(COUNTIFS(①今日の在庫を貼る!$B$6:$B$10005,$B9814,①今日の在庫を貼る!$I$6:$I$10005,$I9814)&gt;0,N(U9813),N(U9813)+1))</f>
        <v>2</v>
      </c>
    </row>
    <row r="9815" customFormat="false" ht="15" hidden="false" customHeight="false" outlineLevel="0" collapsed="false">
      <c r="B9815" s="53"/>
      <c r="I9815" s="53"/>
      <c r="U9815" s="31" t="n">
        <f aca="false">IF($B9815&lt;&gt;'設定（最初に1回）'!$C$4,N(U9814),IF(COUNTIFS(①今日の在庫を貼る!$B$6:$B$10005,$B9815,①今日の在庫を貼る!$I$6:$I$10005,$I9815)&gt;0,N(U9814),N(U9814)+1))</f>
        <v>2</v>
      </c>
    </row>
    <row r="9816" customFormat="false" ht="15" hidden="false" customHeight="false" outlineLevel="0" collapsed="false">
      <c r="B9816" s="53"/>
      <c r="I9816" s="53"/>
      <c r="U9816" s="31" t="n">
        <f aca="false">IF($B9816&lt;&gt;'設定（最初に1回）'!$C$4,N(U9815),IF(COUNTIFS(①今日の在庫を貼る!$B$6:$B$10005,$B9816,①今日の在庫を貼る!$I$6:$I$10005,$I9816)&gt;0,N(U9815),N(U9815)+1))</f>
        <v>2</v>
      </c>
    </row>
    <row r="9817" customFormat="false" ht="15" hidden="false" customHeight="false" outlineLevel="0" collapsed="false">
      <c r="B9817" s="53"/>
      <c r="I9817" s="53"/>
      <c r="U9817" s="31" t="n">
        <f aca="false">IF($B9817&lt;&gt;'設定（最初に1回）'!$C$4,N(U9816),IF(COUNTIFS(①今日の在庫を貼る!$B$6:$B$10005,$B9817,①今日の在庫を貼る!$I$6:$I$10005,$I9817)&gt;0,N(U9816),N(U9816)+1))</f>
        <v>2</v>
      </c>
    </row>
    <row r="9818" customFormat="false" ht="15" hidden="false" customHeight="false" outlineLevel="0" collapsed="false">
      <c r="B9818" s="53"/>
      <c r="I9818" s="53"/>
      <c r="U9818" s="31" t="n">
        <f aca="false">IF($B9818&lt;&gt;'設定（最初に1回）'!$C$4,N(U9817),IF(COUNTIFS(①今日の在庫を貼る!$B$6:$B$10005,$B9818,①今日の在庫を貼る!$I$6:$I$10005,$I9818)&gt;0,N(U9817),N(U9817)+1))</f>
        <v>2</v>
      </c>
    </row>
    <row r="9819" customFormat="false" ht="15" hidden="false" customHeight="false" outlineLevel="0" collapsed="false">
      <c r="B9819" s="53"/>
      <c r="I9819" s="53"/>
      <c r="U9819" s="31" t="n">
        <f aca="false">IF($B9819&lt;&gt;'設定（最初に1回）'!$C$4,N(U9818),IF(COUNTIFS(①今日の在庫を貼る!$B$6:$B$10005,$B9819,①今日の在庫を貼る!$I$6:$I$10005,$I9819)&gt;0,N(U9818),N(U9818)+1))</f>
        <v>2</v>
      </c>
    </row>
    <row r="9820" customFormat="false" ht="15" hidden="false" customHeight="false" outlineLevel="0" collapsed="false">
      <c r="B9820" s="53"/>
      <c r="I9820" s="53"/>
      <c r="U9820" s="31" t="n">
        <f aca="false">IF($B9820&lt;&gt;'設定（最初に1回）'!$C$4,N(U9819),IF(COUNTIFS(①今日の在庫を貼る!$B$6:$B$10005,$B9820,①今日の在庫を貼る!$I$6:$I$10005,$I9820)&gt;0,N(U9819),N(U9819)+1))</f>
        <v>2</v>
      </c>
    </row>
    <row r="9821" customFormat="false" ht="15" hidden="false" customHeight="false" outlineLevel="0" collapsed="false">
      <c r="B9821" s="53"/>
      <c r="I9821" s="53"/>
      <c r="U9821" s="31" t="n">
        <f aca="false">IF($B9821&lt;&gt;'設定（最初に1回）'!$C$4,N(U9820),IF(COUNTIFS(①今日の在庫を貼る!$B$6:$B$10005,$B9821,①今日の在庫を貼る!$I$6:$I$10005,$I9821)&gt;0,N(U9820),N(U9820)+1))</f>
        <v>2</v>
      </c>
    </row>
    <row r="9822" customFormat="false" ht="15" hidden="false" customHeight="false" outlineLevel="0" collapsed="false">
      <c r="B9822" s="53"/>
      <c r="I9822" s="53"/>
      <c r="U9822" s="31" t="n">
        <f aca="false">IF($B9822&lt;&gt;'設定（最初に1回）'!$C$4,N(U9821),IF(COUNTIFS(①今日の在庫を貼る!$B$6:$B$10005,$B9822,①今日の在庫を貼る!$I$6:$I$10005,$I9822)&gt;0,N(U9821),N(U9821)+1))</f>
        <v>2</v>
      </c>
    </row>
    <row r="9823" customFormat="false" ht="15" hidden="false" customHeight="false" outlineLevel="0" collapsed="false">
      <c r="B9823" s="53"/>
      <c r="I9823" s="53"/>
      <c r="U9823" s="31" t="n">
        <f aca="false">IF($B9823&lt;&gt;'設定（最初に1回）'!$C$4,N(U9822),IF(COUNTIFS(①今日の在庫を貼る!$B$6:$B$10005,$B9823,①今日の在庫を貼る!$I$6:$I$10005,$I9823)&gt;0,N(U9822),N(U9822)+1))</f>
        <v>2</v>
      </c>
    </row>
    <row r="9824" customFormat="false" ht="15" hidden="false" customHeight="false" outlineLevel="0" collapsed="false">
      <c r="B9824" s="53"/>
      <c r="I9824" s="53"/>
      <c r="U9824" s="31" t="n">
        <f aca="false">IF($B9824&lt;&gt;'設定（最初に1回）'!$C$4,N(U9823),IF(COUNTIFS(①今日の在庫を貼る!$B$6:$B$10005,$B9824,①今日の在庫を貼る!$I$6:$I$10005,$I9824)&gt;0,N(U9823),N(U9823)+1))</f>
        <v>2</v>
      </c>
    </row>
    <row r="9825" customFormat="false" ht="15" hidden="false" customHeight="false" outlineLevel="0" collapsed="false">
      <c r="B9825" s="53"/>
      <c r="I9825" s="53"/>
      <c r="U9825" s="31" t="n">
        <f aca="false">IF($B9825&lt;&gt;'設定（最初に1回）'!$C$4,N(U9824),IF(COUNTIFS(①今日の在庫を貼る!$B$6:$B$10005,$B9825,①今日の在庫を貼る!$I$6:$I$10005,$I9825)&gt;0,N(U9824),N(U9824)+1))</f>
        <v>2</v>
      </c>
    </row>
    <row r="9826" customFormat="false" ht="15" hidden="false" customHeight="false" outlineLevel="0" collapsed="false">
      <c r="B9826" s="53"/>
      <c r="I9826" s="53"/>
      <c r="U9826" s="31" t="n">
        <f aca="false">IF($B9826&lt;&gt;'設定（最初に1回）'!$C$4,N(U9825),IF(COUNTIFS(①今日の在庫を貼る!$B$6:$B$10005,$B9826,①今日の在庫を貼る!$I$6:$I$10005,$I9826)&gt;0,N(U9825),N(U9825)+1))</f>
        <v>2</v>
      </c>
    </row>
    <row r="9827" customFormat="false" ht="15" hidden="false" customHeight="false" outlineLevel="0" collapsed="false">
      <c r="B9827" s="53"/>
      <c r="I9827" s="53"/>
      <c r="U9827" s="31" t="n">
        <f aca="false">IF($B9827&lt;&gt;'設定（最初に1回）'!$C$4,N(U9826),IF(COUNTIFS(①今日の在庫を貼る!$B$6:$B$10005,$B9827,①今日の在庫を貼る!$I$6:$I$10005,$I9827)&gt;0,N(U9826),N(U9826)+1))</f>
        <v>2</v>
      </c>
    </row>
    <row r="9828" customFormat="false" ht="15" hidden="false" customHeight="false" outlineLevel="0" collapsed="false">
      <c r="B9828" s="53"/>
      <c r="I9828" s="53"/>
      <c r="U9828" s="31" t="n">
        <f aca="false">IF($B9828&lt;&gt;'設定（最初に1回）'!$C$4,N(U9827),IF(COUNTIFS(①今日の在庫を貼る!$B$6:$B$10005,$B9828,①今日の在庫を貼る!$I$6:$I$10005,$I9828)&gt;0,N(U9827),N(U9827)+1))</f>
        <v>2</v>
      </c>
    </row>
    <row r="9829" customFormat="false" ht="15" hidden="false" customHeight="false" outlineLevel="0" collapsed="false">
      <c r="B9829" s="53"/>
      <c r="I9829" s="53"/>
      <c r="U9829" s="31" t="n">
        <f aca="false">IF($B9829&lt;&gt;'設定（最初に1回）'!$C$4,N(U9828),IF(COUNTIFS(①今日の在庫を貼る!$B$6:$B$10005,$B9829,①今日の在庫を貼る!$I$6:$I$10005,$I9829)&gt;0,N(U9828),N(U9828)+1))</f>
        <v>2</v>
      </c>
    </row>
    <row r="9830" customFormat="false" ht="15" hidden="false" customHeight="false" outlineLevel="0" collapsed="false">
      <c r="B9830" s="53"/>
      <c r="I9830" s="53"/>
      <c r="U9830" s="31" t="n">
        <f aca="false">IF($B9830&lt;&gt;'設定（最初に1回）'!$C$4,N(U9829),IF(COUNTIFS(①今日の在庫を貼る!$B$6:$B$10005,$B9830,①今日の在庫を貼る!$I$6:$I$10005,$I9830)&gt;0,N(U9829),N(U9829)+1))</f>
        <v>2</v>
      </c>
    </row>
    <row r="9831" customFormat="false" ht="15" hidden="false" customHeight="false" outlineLevel="0" collapsed="false">
      <c r="B9831" s="53"/>
      <c r="I9831" s="53"/>
      <c r="U9831" s="31" t="n">
        <f aca="false">IF($B9831&lt;&gt;'設定（最初に1回）'!$C$4,N(U9830),IF(COUNTIFS(①今日の在庫を貼る!$B$6:$B$10005,$B9831,①今日の在庫を貼る!$I$6:$I$10005,$I9831)&gt;0,N(U9830),N(U9830)+1))</f>
        <v>2</v>
      </c>
    </row>
    <row r="9832" customFormat="false" ht="15" hidden="false" customHeight="false" outlineLevel="0" collapsed="false">
      <c r="B9832" s="53"/>
      <c r="I9832" s="53"/>
      <c r="U9832" s="31" t="n">
        <f aca="false">IF($B9832&lt;&gt;'設定（最初に1回）'!$C$4,N(U9831),IF(COUNTIFS(①今日の在庫を貼る!$B$6:$B$10005,$B9832,①今日の在庫を貼る!$I$6:$I$10005,$I9832)&gt;0,N(U9831),N(U9831)+1))</f>
        <v>2</v>
      </c>
    </row>
    <row r="9833" customFormat="false" ht="15" hidden="false" customHeight="false" outlineLevel="0" collapsed="false">
      <c r="B9833" s="53"/>
      <c r="I9833" s="53"/>
      <c r="U9833" s="31" t="n">
        <f aca="false">IF($B9833&lt;&gt;'設定（最初に1回）'!$C$4,N(U9832),IF(COUNTIFS(①今日の在庫を貼る!$B$6:$B$10005,$B9833,①今日の在庫を貼る!$I$6:$I$10005,$I9833)&gt;0,N(U9832),N(U9832)+1))</f>
        <v>2</v>
      </c>
    </row>
    <row r="9834" customFormat="false" ht="15" hidden="false" customHeight="false" outlineLevel="0" collapsed="false">
      <c r="B9834" s="53"/>
      <c r="I9834" s="53"/>
      <c r="U9834" s="31" t="n">
        <f aca="false">IF($B9834&lt;&gt;'設定（最初に1回）'!$C$4,N(U9833),IF(COUNTIFS(①今日の在庫を貼る!$B$6:$B$10005,$B9834,①今日の在庫を貼る!$I$6:$I$10005,$I9834)&gt;0,N(U9833),N(U9833)+1))</f>
        <v>2</v>
      </c>
    </row>
    <row r="9835" customFormat="false" ht="15" hidden="false" customHeight="false" outlineLevel="0" collapsed="false">
      <c r="B9835" s="53"/>
      <c r="I9835" s="53"/>
      <c r="U9835" s="31" t="n">
        <f aca="false">IF($B9835&lt;&gt;'設定（最初に1回）'!$C$4,N(U9834),IF(COUNTIFS(①今日の在庫を貼る!$B$6:$B$10005,$B9835,①今日の在庫を貼る!$I$6:$I$10005,$I9835)&gt;0,N(U9834),N(U9834)+1))</f>
        <v>2</v>
      </c>
    </row>
    <row r="9836" customFormat="false" ht="15" hidden="false" customHeight="false" outlineLevel="0" collapsed="false">
      <c r="B9836" s="53"/>
      <c r="I9836" s="53"/>
      <c r="U9836" s="31" t="n">
        <f aca="false">IF($B9836&lt;&gt;'設定（最初に1回）'!$C$4,N(U9835),IF(COUNTIFS(①今日の在庫を貼る!$B$6:$B$10005,$B9836,①今日の在庫を貼る!$I$6:$I$10005,$I9836)&gt;0,N(U9835),N(U9835)+1))</f>
        <v>2</v>
      </c>
    </row>
    <row r="9837" customFormat="false" ht="15" hidden="false" customHeight="false" outlineLevel="0" collapsed="false">
      <c r="B9837" s="53"/>
      <c r="I9837" s="53"/>
      <c r="U9837" s="31" t="n">
        <f aca="false">IF($B9837&lt;&gt;'設定（最初に1回）'!$C$4,N(U9836),IF(COUNTIFS(①今日の在庫を貼る!$B$6:$B$10005,$B9837,①今日の在庫を貼る!$I$6:$I$10005,$I9837)&gt;0,N(U9836),N(U9836)+1))</f>
        <v>2</v>
      </c>
    </row>
    <row r="9838" customFormat="false" ht="15" hidden="false" customHeight="false" outlineLevel="0" collapsed="false">
      <c r="B9838" s="53"/>
      <c r="I9838" s="53"/>
      <c r="U9838" s="31" t="n">
        <f aca="false">IF($B9838&lt;&gt;'設定（最初に1回）'!$C$4,N(U9837),IF(COUNTIFS(①今日の在庫を貼る!$B$6:$B$10005,$B9838,①今日の在庫を貼る!$I$6:$I$10005,$I9838)&gt;0,N(U9837),N(U9837)+1))</f>
        <v>2</v>
      </c>
    </row>
    <row r="9839" customFormat="false" ht="15" hidden="false" customHeight="false" outlineLevel="0" collapsed="false">
      <c r="B9839" s="53"/>
      <c r="I9839" s="53"/>
      <c r="U9839" s="31" t="n">
        <f aca="false">IF($B9839&lt;&gt;'設定（最初に1回）'!$C$4,N(U9838),IF(COUNTIFS(①今日の在庫を貼る!$B$6:$B$10005,$B9839,①今日の在庫を貼る!$I$6:$I$10005,$I9839)&gt;0,N(U9838),N(U9838)+1))</f>
        <v>2</v>
      </c>
    </row>
    <row r="9840" customFormat="false" ht="15" hidden="false" customHeight="false" outlineLevel="0" collapsed="false">
      <c r="B9840" s="53"/>
      <c r="I9840" s="53"/>
      <c r="U9840" s="31" t="n">
        <f aca="false">IF($B9840&lt;&gt;'設定（最初に1回）'!$C$4,N(U9839),IF(COUNTIFS(①今日の在庫を貼る!$B$6:$B$10005,$B9840,①今日の在庫を貼る!$I$6:$I$10005,$I9840)&gt;0,N(U9839),N(U9839)+1))</f>
        <v>2</v>
      </c>
    </row>
    <row r="9841" customFormat="false" ht="15" hidden="false" customHeight="false" outlineLevel="0" collapsed="false">
      <c r="B9841" s="53"/>
      <c r="I9841" s="53"/>
      <c r="U9841" s="31" t="n">
        <f aca="false">IF($B9841&lt;&gt;'設定（最初に1回）'!$C$4,N(U9840),IF(COUNTIFS(①今日の在庫を貼る!$B$6:$B$10005,$B9841,①今日の在庫を貼る!$I$6:$I$10005,$I9841)&gt;0,N(U9840),N(U9840)+1))</f>
        <v>2</v>
      </c>
    </row>
    <row r="9842" customFormat="false" ht="15" hidden="false" customHeight="false" outlineLevel="0" collapsed="false">
      <c r="B9842" s="53"/>
      <c r="I9842" s="53"/>
      <c r="U9842" s="31" t="n">
        <f aca="false">IF($B9842&lt;&gt;'設定（最初に1回）'!$C$4,N(U9841),IF(COUNTIFS(①今日の在庫を貼る!$B$6:$B$10005,$B9842,①今日の在庫を貼る!$I$6:$I$10005,$I9842)&gt;0,N(U9841),N(U9841)+1))</f>
        <v>2</v>
      </c>
    </row>
    <row r="9843" customFormat="false" ht="15" hidden="false" customHeight="false" outlineLevel="0" collapsed="false">
      <c r="B9843" s="53"/>
      <c r="I9843" s="53"/>
      <c r="U9843" s="31" t="n">
        <f aca="false">IF($B9843&lt;&gt;'設定（最初に1回）'!$C$4,N(U9842),IF(COUNTIFS(①今日の在庫を貼る!$B$6:$B$10005,$B9843,①今日の在庫を貼る!$I$6:$I$10005,$I9843)&gt;0,N(U9842),N(U9842)+1))</f>
        <v>2</v>
      </c>
    </row>
    <row r="9844" customFormat="false" ht="15" hidden="false" customHeight="false" outlineLevel="0" collapsed="false">
      <c r="B9844" s="53"/>
      <c r="I9844" s="53"/>
      <c r="U9844" s="31" t="n">
        <f aca="false">IF($B9844&lt;&gt;'設定（最初に1回）'!$C$4,N(U9843),IF(COUNTIFS(①今日の在庫を貼る!$B$6:$B$10005,$B9844,①今日の在庫を貼る!$I$6:$I$10005,$I9844)&gt;0,N(U9843),N(U9843)+1))</f>
        <v>2</v>
      </c>
    </row>
    <row r="9845" customFormat="false" ht="15" hidden="false" customHeight="false" outlineLevel="0" collapsed="false">
      <c r="B9845" s="53"/>
      <c r="I9845" s="53"/>
      <c r="U9845" s="31" t="n">
        <f aca="false">IF($B9845&lt;&gt;'設定（最初に1回）'!$C$4,N(U9844),IF(COUNTIFS(①今日の在庫を貼る!$B$6:$B$10005,$B9845,①今日の在庫を貼る!$I$6:$I$10005,$I9845)&gt;0,N(U9844),N(U9844)+1))</f>
        <v>2</v>
      </c>
    </row>
    <row r="9846" customFormat="false" ht="15" hidden="false" customHeight="false" outlineLevel="0" collapsed="false">
      <c r="B9846" s="53"/>
      <c r="I9846" s="53"/>
      <c r="U9846" s="31" t="n">
        <f aca="false">IF($B9846&lt;&gt;'設定（最初に1回）'!$C$4,N(U9845),IF(COUNTIFS(①今日の在庫を貼る!$B$6:$B$10005,$B9846,①今日の在庫を貼る!$I$6:$I$10005,$I9846)&gt;0,N(U9845),N(U9845)+1))</f>
        <v>2</v>
      </c>
    </row>
    <row r="9847" customFormat="false" ht="15" hidden="false" customHeight="false" outlineLevel="0" collapsed="false">
      <c r="B9847" s="53"/>
      <c r="I9847" s="53"/>
      <c r="U9847" s="31" t="n">
        <f aca="false">IF($B9847&lt;&gt;'設定（最初に1回）'!$C$4,N(U9846),IF(COUNTIFS(①今日の在庫を貼る!$B$6:$B$10005,$B9847,①今日の在庫を貼る!$I$6:$I$10005,$I9847)&gt;0,N(U9846),N(U9846)+1))</f>
        <v>2</v>
      </c>
    </row>
    <row r="9848" customFormat="false" ht="15" hidden="false" customHeight="false" outlineLevel="0" collapsed="false">
      <c r="B9848" s="53"/>
      <c r="I9848" s="53"/>
      <c r="U9848" s="31" t="n">
        <f aca="false">IF($B9848&lt;&gt;'設定（最初に1回）'!$C$4,N(U9847),IF(COUNTIFS(①今日の在庫を貼る!$B$6:$B$10005,$B9848,①今日の在庫を貼る!$I$6:$I$10005,$I9848)&gt;0,N(U9847),N(U9847)+1))</f>
        <v>2</v>
      </c>
    </row>
    <row r="9849" customFormat="false" ht="15" hidden="false" customHeight="false" outlineLevel="0" collapsed="false">
      <c r="B9849" s="53"/>
      <c r="I9849" s="53"/>
      <c r="U9849" s="31" t="n">
        <f aca="false">IF($B9849&lt;&gt;'設定（最初に1回）'!$C$4,N(U9848),IF(COUNTIFS(①今日の在庫を貼る!$B$6:$B$10005,$B9849,①今日の在庫を貼る!$I$6:$I$10005,$I9849)&gt;0,N(U9848),N(U9848)+1))</f>
        <v>2</v>
      </c>
    </row>
    <row r="9850" customFormat="false" ht="15" hidden="false" customHeight="false" outlineLevel="0" collapsed="false">
      <c r="B9850" s="53"/>
      <c r="I9850" s="53"/>
      <c r="U9850" s="31" t="n">
        <f aca="false">IF($B9850&lt;&gt;'設定（最初に1回）'!$C$4,N(U9849),IF(COUNTIFS(①今日の在庫を貼る!$B$6:$B$10005,$B9850,①今日の在庫を貼る!$I$6:$I$10005,$I9850)&gt;0,N(U9849),N(U9849)+1))</f>
        <v>2</v>
      </c>
    </row>
    <row r="9851" customFormat="false" ht="15" hidden="false" customHeight="false" outlineLevel="0" collapsed="false">
      <c r="B9851" s="53"/>
      <c r="I9851" s="53"/>
      <c r="U9851" s="31" t="n">
        <f aca="false">IF($B9851&lt;&gt;'設定（最初に1回）'!$C$4,N(U9850),IF(COUNTIFS(①今日の在庫を貼る!$B$6:$B$10005,$B9851,①今日の在庫を貼る!$I$6:$I$10005,$I9851)&gt;0,N(U9850),N(U9850)+1))</f>
        <v>2</v>
      </c>
    </row>
    <row r="9852" customFormat="false" ht="15" hidden="false" customHeight="false" outlineLevel="0" collapsed="false">
      <c r="B9852" s="53"/>
      <c r="I9852" s="53"/>
      <c r="U9852" s="31" t="n">
        <f aca="false">IF($B9852&lt;&gt;'設定（最初に1回）'!$C$4,N(U9851),IF(COUNTIFS(①今日の在庫を貼る!$B$6:$B$10005,$B9852,①今日の在庫を貼る!$I$6:$I$10005,$I9852)&gt;0,N(U9851),N(U9851)+1))</f>
        <v>2</v>
      </c>
    </row>
    <row r="9853" customFormat="false" ht="15" hidden="false" customHeight="false" outlineLevel="0" collapsed="false">
      <c r="B9853" s="53"/>
      <c r="I9853" s="53"/>
      <c r="U9853" s="31" t="n">
        <f aca="false">IF($B9853&lt;&gt;'設定（最初に1回）'!$C$4,N(U9852),IF(COUNTIFS(①今日の在庫を貼る!$B$6:$B$10005,$B9853,①今日の在庫を貼る!$I$6:$I$10005,$I9853)&gt;0,N(U9852),N(U9852)+1))</f>
        <v>2</v>
      </c>
    </row>
    <row r="9854" customFormat="false" ht="15" hidden="false" customHeight="false" outlineLevel="0" collapsed="false">
      <c r="B9854" s="53"/>
      <c r="I9854" s="53"/>
      <c r="U9854" s="31" t="n">
        <f aca="false">IF($B9854&lt;&gt;'設定（最初に1回）'!$C$4,N(U9853),IF(COUNTIFS(①今日の在庫を貼る!$B$6:$B$10005,$B9854,①今日の在庫を貼る!$I$6:$I$10005,$I9854)&gt;0,N(U9853),N(U9853)+1))</f>
        <v>2</v>
      </c>
    </row>
    <row r="9855" customFormat="false" ht="15" hidden="false" customHeight="false" outlineLevel="0" collapsed="false">
      <c r="B9855" s="53"/>
      <c r="I9855" s="53"/>
      <c r="U9855" s="31" t="n">
        <f aca="false">IF($B9855&lt;&gt;'設定（最初に1回）'!$C$4,N(U9854),IF(COUNTIFS(①今日の在庫を貼る!$B$6:$B$10005,$B9855,①今日の在庫を貼る!$I$6:$I$10005,$I9855)&gt;0,N(U9854),N(U9854)+1))</f>
        <v>2</v>
      </c>
    </row>
    <row r="9856" customFormat="false" ht="15" hidden="false" customHeight="false" outlineLevel="0" collapsed="false">
      <c r="B9856" s="53"/>
      <c r="I9856" s="53"/>
      <c r="U9856" s="31" t="n">
        <f aca="false">IF($B9856&lt;&gt;'設定（最初に1回）'!$C$4,N(U9855),IF(COUNTIFS(①今日の在庫を貼る!$B$6:$B$10005,$B9856,①今日の在庫を貼る!$I$6:$I$10005,$I9856)&gt;0,N(U9855),N(U9855)+1))</f>
        <v>2</v>
      </c>
    </row>
    <row r="9857" customFormat="false" ht="15" hidden="false" customHeight="false" outlineLevel="0" collapsed="false">
      <c r="B9857" s="53"/>
      <c r="I9857" s="53"/>
      <c r="U9857" s="31" t="n">
        <f aca="false">IF($B9857&lt;&gt;'設定（最初に1回）'!$C$4,N(U9856),IF(COUNTIFS(①今日の在庫を貼る!$B$6:$B$10005,$B9857,①今日の在庫を貼る!$I$6:$I$10005,$I9857)&gt;0,N(U9856),N(U9856)+1))</f>
        <v>2</v>
      </c>
    </row>
    <row r="9858" customFormat="false" ht="15" hidden="false" customHeight="false" outlineLevel="0" collapsed="false">
      <c r="B9858" s="53"/>
      <c r="I9858" s="53"/>
      <c r="U9858" s="31" t="n">
        <f aca="false">IF($B9858&lt;&gt;'設定（最初に1回）'!$C$4,N(U9857),IF(COUNTIFS(①今日の在庫を貼る!$B$6:$B$10005,$B9858,①今日の在庫を貼る!$I$6:$I$10005,$I9858)&gt;0,N(U9857),N(U9857)+1))</f>
        <v>2</v>
      </c>
    </row>
    <row r="9859" customFormat="false" ht="15" hidden="false" customHeight="false" outlineLevel="0" collapsed="false">
      <c r="B9859" s="53"/>
      <c r="I9859" s="53"/>
      <c r="U9859" s="31" t="n">
        <f aca="false">IF($B9859&lt;&gt;'設定（最初に1回）'!$C$4,N(U9858),IF(COUNTIFS(①今日の在庫を貼る!$B$6:$B$10005,$B9859,①今日の在庫を貼る!$I$6:$I$10005,$I9859)&gt;0,N(U9858),N(U9858)+1))</f>
        <v>2</v>
      </c>
    </row>
    <row r="9860" customFormat="false" ht="15" hidden="false" customHeight="false" outlineLevel="0" collapsed="false">
      <c r="B9860" s="53"/>
      <c r="I9860" s="53"/>
      <c r="U9860" s="31" t="n">
        <f aca="false">IF($B9860&lt;&gt;'設定（最初に1回）'!$C$4,N(U9859),IF(COUNTIFS(①今日の在庫を貼る!$B$6:$B$10005,$B9860,①今日の在庫を貼る!$I$6:$I$10005,$I9860)&gt;0,N(U9859),N(U9859)+1))</f>
        <v>2</v>
      </c>
    </row>
    <row r="9861" customFormat="false" ht="15" hidden="false" customHeight="false" outlineLevel="0" collapsed="false">
      <c r="B9861" s="53"/>
      <c r="I9861" s="53"/>
      <c r="U9861" s="31" t="n">
        <f aca="false">IF($B9861&lt;&gt;'設定（最初に1回）'!$C$4,N(U9860),IF(COUNTIFS(①今日の在庫を貼る!$B$6:$B$10005,$B9861,①今日の在庫を貼る!$I$6:$I$10005,$I9861)&gt;0,N(U9860),N(U9860)+1))</f>
        <v>2</v>
      </c>
    </row>
    <row r="9862" customFormat="false" ht="15" hidden="false" customHeight="false" outlineLevel="0" collapsed="false">
      <c r="B9862" s="53"/>
      <c r="I9862" s="53"/>
      <c r="U9862" s="31" t="n">
        <f aca="false">IF($B9862&lt;&gt;'設定（最初に1回）'!$C$4,N(U9861),IF(COUNTIFS(①今日の在庫を貼る!$B$6:$B$10005,$B9862,①今日の在庫を貼る!$I$6:$I$10005,$I9862)&gt;0,N(U9861),N(U9861)+1))</f>
        <v>2</v>
      </c>
    </row>
    <row r="9863" customFormat="false" ht="15" hidden="false" customHeight="false" outlineLevel="0" collapsed="false">
      <c r="B9863" s="53"/>
      <c r="I9863" s="53"/>
      <c r="U9863" s="31" t="n">
        <f aca="false">IF($B9863&lt;&gt;'設定（最初に1回）'!$C$4,N(U9862),IF(COUNTIFS(①今日の在庫を貼る!$B$6:$B$10005,$B9863,①今日の在庫を貼る!$I$6:$I$10005,$I9863)&gt;0,N(U9862),N(U9862)+1))</f>
        <v>2</v>
      </c>
    </row>
    <row r="9864" customFormat="false" ht="15" hidden="false" customHeight="false" outlineLevel="0" collapsed="false">
      <c r="B9864" s="53"/>
      <c r="I9864" s="53"/>
      <c r="U9864" s="31" t="n">
        <f aca="false">IF($B9864&lt;&gt;'設定（最初に1回）'!$C$4,N(U9863),IF(COUNTIFS(①今日の在庫を貼る!$B$6:$B$10005,$B9864,①今日の在庫を貼る!$I$6:$I$10005,$I9864)&gt;0,N(U9863),N(U9863)+1))</f>
        <v>2</v>
      </c>
    </row>
    <row r="9865" customFormat="false" ht="15" hidden="false" customHeight="false" outlineLevel="0" collapsed="false">
      <c r="B9865" s="53"/>
      <c r="I9865" s="53"/>
      <c r="U9865" s="31" t="n">
        <f aca="false">IF($B9865&lt;&gt;'設定（最初に1回）'!$C$4,N(U9864),IF(COUNTIFS(①今日の在庫を貼る!$B$6:$B$10005,$B9865,①今日の在庫を貼る!$I$6:$I$10005,$I9865)&gt;0,N(U9864),N(U9864)+1))</f>
        <v>2</v>
      </c>
    </row>
    <row r="9866" customFormat="false" ht="15" hidden="false" customHeight="false" outlineLevel="0" collapsed="false">
      <c r="B9866" s="53"/>
      <c r="I9866" s="53"/>
      <c r="U9866" s="31" t="n">
        <f aca="false">IF($B9866&lt;&gt;'設定（最初に1回）'!$C$4,N(U9865),IF(COUNTIFS(①今日の在庫を貼る!$B$6:$B$10005,$B9866,①今日の在庫を貼る!$I$6:$I$10005,$I9866)&gt;0,N(U9865),N(U9865)+1))</f>
        <v>2</v>
      </c>
    </row>
    <row r="9867" customFormat="false" ht="15" hidden="false" customHeight="false" outlineLevel="0" collapsed="false">
      <c r="B9867" s="53"/>
      <c r="I9867" s="53"/>
      <c r="U9867" s="31" t="n">
        <f aca="false">IF($B9867&lt;&gt;'設定（最初に1回）'!$C$4,N(U9866),IF(COUNTIFS(①今日の在庫を貼る!$B$6:$B$10005,$B9867,①今日の在庫を貼る!$I$6:$I$10005,$I9867)&gt;0,N(U9866),N(U9866)+1))</f>
        <v>2</v>
      </c>
    </row>
    <row r="9868" customFormat="false" ht="15" hidden="false" customHeight="false" outlineLevel="0" collapsed="false">
      <c r="B9868" s="53"/>
      <c r="I9868" s="53"/>
      <c r="U9868" s="31" t="n">
        <f aca="false">IF($B9868&lt;&gt;'設定（最初に1回）'!$C$4,N(U9867),IF(COUNTIFS(①今日の在庫を貼る!$B$6:$B$10005,$B9868,①今日の在庫を貼る!$I$6:$I$10005,$I9868)&gt;0,N(U9867),N(U9867)+1))</f>
        <v>2</v>
      </c>
    </row>
    <row r="9869" customFormat="false" ht="15" hidden="false" customHeight="false" outlineLevel="0" collapsed="false">
      <c r="B9869" s="53"/>
      <c r="I9869" s="53"/>
      <c r="U9869" s="31" t="n">
        <f aca="false">IF($B9869&lt;&gt;'設定（最初に1回）'!$C$4,N(U9868),IF(COUNTIFS(①今日の在庫を貼る!$B$6:$B$10005,$B9869,①今日の在庫を貼る!$I$6:$I$10005,$I9869)&gt;0,N(U9868),N(U9868)+1))</f>
        <v>2</v>
      </c>
    </row>
    <row r="9870" customFormat="false" ht="15" hidden="false" customHeight="false" outlineLevel="0" collapsed="false">
      <c r="B9870" s="53"/>
      <c r="I9870" s="53"/>
      <c r="U9870" s="31" t="n">
        <f aca="false">IF($B9870&lt;&gt;'設定（最初に1回）'!$C$4,N(U9869),IF(COUNTIFS(①今日の在庫を貼る!$B$6:$B$10005,$B9870,①今日の在庫を貼る!$I$6:$I$10005,$I9870)&gt;0,N(U9869),N(U9869)+1))</f>
        <v>2</v>
      </c>
    </row>
    <row r="9871" customFormat="false" ht="15" hidden="false" customHeight="false" outlineLevel="0" collapsed="false">
      <c r="B9871" s="53"/>
      <c r="I9871" s="53"/>
      <c r="U9871" s="31" t="n">
        <f aca="false">IF($B9871&lt;&gt;'設定（最初に1回）'!$C$4,N(U9870),IF(COUNTIFS(①今日の在庫を貼る!$B$6:$B$10005,$B9871,①今日の在庫を貼る!$I$6:$I$10005,$I9871)&gt;0,N(U9870),N(U9870)+1))</f>
        <v>2</v>
      </c>
    </row>
    <row r="9872" customFormat="false" ht="15" hidden="false" customHeight="false" outlineLevel="0" collapsed="false">
      <c r="B9872" s="53"/>
      <c r="I9872" s="53"/>
      <c r="U9872" s="31" t="n">
        <f aca="false">IF($B9872&lt;&gt;'設定（最初に1回）'!$C$4,N(U9871),IF(COUNTIFS(①今日の在庫を貼る!$B$6:$B$10005,$B9872,①今日の在庫を貼る!$I$6:$I$10005,$I9872)&gt;0,N(U9871),N(U9871)+1))</f>
        <v>2</v>
      </c>
    </row>
    <row r="9873" customFormat="false" ht="15" hidden="false" customHeight="false" outlineLevel="0" collapsed="false">
      <c r="B9873" s="53"/>
      <c r="I9873" s="53"/>
      <c r="U9873" s="31" t="n">
        <f aca="false">IF($B9873&lt;&gt;'設定（最初に1回）'!$C$4,N(U9872),IF(COUNTIFS(①今日の在庫を貼る!$B$6:$B$10005,$B9873,①今日の在庫を貼る!$I$6:$I$10005,$I9873)&gt;0,N(U9872),N(U9872)+1))</f>
        <v>2</v>
      </c>
    </row>
    <row r="9874" customFormat="false" ht="15" hidden="false" customHeight="false" outlineLevel="0" collapsed="false">
      <c r="B9874" s="53"/>
      <c r="I9874" s="53"/>
      <c r="U9874" s="31" t="n">
        <f aca="false">IF($B9874&lt;&gt;'設定（最初に1回）'!$C$4,N(U9873),IF(COUNTIFS(①今日の在庫を貼る!$B$6:$B$10005,$B9874,①今日の在庫を貼る!$I$6:$I$10005,$I9874)&gt;0,N(U9873),N(U9873)+1))</f>
        <v>2</v>
      </c>
    </row>
    <row r="9875" customFormat="false" ht="15" hidden="false" customHeight="false" outlineLevel="0" collapsed="false">
      <c r="B9875" s="53"/>
      <c r="I9875" s="53"/>
      <c r="U9875" s="31" t="n">
        <f aca="false">IF($B9875&lt;&gt;'設定（最初に1回）'!$C$4,N(U9874),IF(COUNTIFS(①今日の在庫を貼る!$B$6:$B$10005,$B9875,①今日の在庫を貼る!$I$6:$I$10005,$I9875)&gt;0,N(U9874),N(U9874)+1))</f>
        <v>2</v>
      </c>
    </row>
    <row r="9876" customFormat="false" ht="15" hidden="false" customHeight="false" outlineLevel="0" collapsed="false">
      <c r="B9876" s="53"/>
      <c r="I9876" s="53"/>
      <c r="U9876" s="31" t="n">
        <f aca="false">IF($B9876&lt;&gt;'設定（最初に1回）'!$C$4,N(U9875),IF(COUNTIFS(①今日の在庫を貼る!$B$6:$B$10005,$B9876,①今日の在庫を貼る!$I$6:$I$10005,$I9876)&gt;0,N(U9875),N(U9875)+1))</f>
        <v>2</v>
      </c>
    </row>
    <row r="9877" customFormat="false" ht="15" hidden="false" customHeight="false" outlineLevel="0" collapsed="false">
      <c r="B9877" s="53"/>
      <c r="I9877" s="53"/>
      <c r="U9877" s="31" t="n">
        <f aca="false">IF($B9877&lt;&gt;'設定（最初に1回）'!$C$4,N(U9876),IF(COUNTIFS(①今日の在庫を貼る!$B$6:$B$10005,$B9877,①今日の在庫を貼る!$I$6:$I$10005,$I9877)&gt;0,N(U9876),N(U9876)+1))</f>
        <v>2</v>
      </c>
    </row>
    <row r="9878" customFormat="false" ht="15" hidden="false" customHeight="false" outlineLevel="0" collapsed="false">
      <c r="B9878" s="53"/>
      <c r="I9878" s="53"/>
      <c r="U9878" s="31" t="n">
        <f aca="false">IF($B9878&lt;&gt;'設定（最初に1回）'!$C$4,N(U9877),IF(COUNTIFS(①今日の在庫を貼る!$B$6:$B$10005,$B9878,①今日の在庫を貼る!$I$6:$I$10005,$I9878)&gt;0,N(U9877),N(U9877)+1))</f>
        <v>2</v>
      </c>
    </row>
    <row r="9879" customFormat="false" ht="15" hidden="false" customHeight="false" outlineLevel="0" collapsed="false">
      <c r="B9879" s="53"/>
      <c r="I9879" s="53"/>
      <c r="U9879" s="31" t="n">
        <f aca="false">IF($B9879&lt;&gt;'設定（最初に1回）'!$C$4,N(U9878),IF(COUNTIFS(①今日の在庫を貼る!$B$6:$B$10005,$B9879,①今日の在庫を貼る!$I$6:$I$10005,$I9879)&gt;0,N(U9878),N(U9878)+1))</f>
        <v>2</v>
      </c>
    </row>
    <row r="9880" customFormat="false" ht="15" hidden="false" customHeight="false" outlineLevel="0" collapsed="false">
      <c r="B9880" s="53"/>
      <c r="I9880" s="53"/>
      <c r="U9880" s="31" t="n">
        <f aca="false">IF($B9880&lt;&gt;'設定（最初に1回）'!$C$4,N(U9879),IF(COUNTIFS(①今日の在庫を貼る!$B$6:$B$10005,$B9880,①今日の在庫を貼る!$I$6:$I$10005,$I9880)&gt;0,N(U9879),N(U9879)+1))</f>
        <v>2</v>
      </c>
    </row>
    <row r="9881" customFormat="false" ht="15" hidden="false" customHeight="false" outlineLevel="0" collapsed="false">
      <c r="B9881" s="53"/>
      <c r="I9881" s="53"/>
      <c r="U9881" s="31" t="n">
        <f aca="false">IF($B9881&lt;&gt;'設定（最初に1回）'!$C$4,N(U9880),IF(COUNTIFS(①今日の在庫を貼る!$B$6:$B$10005,$B9881,①今日の在庫を貼る!$I$6:$I$10005,$I9881)&gt;0,N(U9880),N(U9880)+1))</f>
        <v>2</v>
      </c>
    </row>
    <row r="9882" customFormat="false" ht="15" hidden="false" customHeight="false" outlineLevel="0" collapsed="false">
      <c r="B9882" s="53"/>
      <c r="I9882" s="53"/>
      <c r="U9882" s="31" t="n">
        <f aca="false">IF($B9882&lt;&gt;'設定（最初に1回）'!$C$4,N(U9881),IF(COUNTIFS(①今日の在庫を貼る!$B$6:$B$10005,$B9882,①今日の在庫を貼る!$I$6:$I$10005,$I9882)&gt;0,N(U9881),N(U9881)+1))</f>
        <v>2</v>
      </c>
    </row>
    <row r="9883" customFormat="false" ht="15" hidden="false" customHeight="false" outlineLevel="0" collapsed="false">
      <c r="B9883" s="53"/>
      <c r="I9883" s="53"/>
      <c r="U9883" s="31" t="n">
        <f aca="false">IF($B9883&lt;&gt;'設定（最初に1回）'!$C$4,N(U9882),IF(COUNTIFS(①今日の在庫を貼る!$B$6:$B$10005,$B9883,①今日の在庫を貼る!$I$6:$I$10005,$I9883)&gt;0,N(U9882),N(U9882)+1))</f>
        <v>2</v>
      </c>
    </row>
    <row r="9884" customFormat="false" ht="15" hidden="false" customHeight="false" outlineLevel="0" collapsed="false">
      <c r="B9884" s="53"/>
      <c r="I9884" s="53"/>
      <c r="U9884" s="31" t="n">
        <f aca="false">IF($B9884&lt;&gt;'設定（最初に1回）'!$C$4,N(U9883),IF(COUNTIFS(①今日の在庫を貼る!$B$6:$B$10005,$B9884,①今日の在庫を貼る!$I$6:$I$10005,$I9884)&gt;0,N(U9883),N(U9883)+1))</f>
        <v>2</v>
      </c>
    </row>
    <row r="9885" customFormat="false" ht="15" hidden="false" customHeight="false" outlineLevel="0" collapsed="false">
      <c r="B9885" s="53"/>
      <c r="I9885" s="53"/>
      <c r="U9885" s="31" t="n">
        <f aca="false">IF($B9885&lt;&gt;'設定（最初に1回）'!$C$4,N(U9884),IF(COUNTIFS(①今日の在庫を貼る!$B$6:$B$10005,$B9885,①今日の在庫を貼る!$I$6:$I$10005,$I9885)&gt;0,N(U9884),N(U9884)+1))</f>
        <v>2</v>
      </c>
    </row>
    <row r="9886" customFormat="false" ht="15" hidden="false" customHeight="false" outlineLevel="0" collapsed="false">
      <c r="B9886" s="53"/>
      <c r="I9886" s="53"/>
      <c r="U9886" s="31" t="n">
        <f aca="false">IF($B9886&lt;&gt;'設定（最初に1回）'!$C$4,N(U9885),IF(COUNTIFS(①今日の在庫を貼る!$B$6:$B$10005,$B9886,①今日の在庫を貼る!$I$6:$I$10005,$I9886)&gt;0,N(U9885),N(U9885)+1))</f>
        <v>2</v>
      </c>
    </row>
    <row r="9887" customFormat="false" ht="15" hidden="false" customHeight="false" outlineLevel="0" collapsed="false">
      <c r="B9887" s="53"/>
      <c r="I9887" s="53"/>
      <c r="U9887" s="31" t="n">
        <f aca="false">IF($B9887&lt;&gt;'設定（最初に1回）'!$C$4,N(U9886),IF(COUNTIFS(①今日の在庫を貼る!$B$6:$B$10005,$B9887,①今日の在庫を貼る!$I$6:$I$10005,$I9887)&gt;0,N(U9886),N(U9886)+1))</f>
        <v>2</v>
      </c>
    </row>
    <row r="9888" customFormat="false" ht="15" hidden="false" customHeight="false" outlineLevel="0" collapsed="false">
      <c r="B9888" s="53"/>
      <c r="I9888" s="53"/>
      <c r="U9888" s="31" t="n">
        <f aca="false">IF($B9888&lt;&gt;'設定（最初に1回）'!$C$4,N(U9887),IF(COUNTIFS(①今日の在庫を貼る!$B$6:$B$10005,$B9888,①今日の在庫を貼る!$I$6:$I$10005,$I9888)&gt;0,N(U9887),N(U9887)+1))</f>
        <v>2</v>
      </c>
    </row>
    <row r="9889" customFormat="false" ht="15" hidden="false" customHeight="false" outlineLevel="0" collapsed="false">
      <c r="B9889" s="53"/>
      <c r="I9889" s="53"/>
      <c r="U9889" s="31" t="n">
        <f aca="false">IF($B9889&lt;&gt;'設定（最初に1回）'!$C$4,N(U9888),IF(COUNTIFS(①今日の在庫を貼る!$B$6:$B$10005,$B9889,①今日の在庫を貼る!$I$6:$I$10005,$I9889)&gt;0,N(U9888),N(U9888)+1))</f>
        <v>2</v>
      </c>
    </row>
    <row r="9890" customFormat="false" ht="15" hidden="false" customHeight="false" outlineLevel="0" collapsed="false">
      <c r="B9890" s="53"/>
      <c r="I9890" s="53"/>
      <c r="U9890" s="31" t="n">
        <f aca="false">IF($B9890&lt;&gt;'設定（最初に1回）'!$C$4,N(U9889),IF(COUNTIFS(①今日の在庫を貼る!$B$6:$B$10005,$B9890,①今日の在庫を貼る!$I$6:$I$10005,$I9890)&gt;0,N(U9889),N(U9889)+1))</f>
        <v>2</v>
      </c>
    </row>
    <row r="9891" customFormat="false" ht="15" hidden="false" customHeight="false" outlineLevel="0" collapsed="false">
      <c r="B9891" s="53"/>
      <c r="I9891" s="53"/>
      <c r="U9891" s="31" t="n">
        <f aca="false">IF($B9891&lt;&gt;'設定（最初に1回）'!$C$4,N(U9890),IF(COUNTIFS(①今日の在庫を貼る!$B$6:$B$10005,$B9891,①今日の在庫を貼る!$I$6:$I$10005,$I9891)&gt;0,N(U9890),N(U9890)+1))</f>
        <v>2</v>
      </c>
    </row>
    <row r="9892" customFormat="false" ht="15" hidden="false" customHeight="false" outlineLevel="0" collapsed="false">
      <c r="B9892" s="53"/>
      <c r="I9892" s="53"/>
      <c r="U9892" s="31" t="n">
        <f aca="false">IF($B9892&lt;&gt;'設定（最初に1回）'!$C$4,N(U9891),IF(COUNTIFS(①今日の在庫を貼る!$B$6:$B$10005,$B9892,①今日の在庫を貼る!$I$6:$I$10005,$I9892)&gt;0,N(U9891),N(U9891)+1))</f>
        <v>2</v>
      </c>
    </row>
    <row r="9893" customFormat="false" ht="15" hidden="false" customHeight="false" outlineLevel="0" collapsed="false">
      <c r="B9893" s="53"/>
      <c r="I9893" s="53"/>
      <c r="U9893" s="31" t="n">
        <f aca="false">IF($B9893&lt;&gt;'設定（最初に1回）'!$C$4,N(U9892),IF(COUNTIFS(①今日の在庫を貼る!$B$6:$B$10005,$B9893,①今日の在庫を貼る!$I$6:$I$10005,$I9893)&gt;0,N(U9892),N(U9892)+1))</f>
        <v>2</v>
      </c>
    </row>
    <row r="9894" customFormat="false" ht="15" hidden="false" customHeight="false" outlineLevel="0" collapsed="false">
      <c r="B9894" s="53"/>
      <c r="I9894" s="53"/>
      <c r="U9894" s="31" t="n">
        <f aca="false">IF($B9894&lt;&gt;'設定（最初に1回）'!$C$4,N(U9893),IF(COUNTIFS(①今日の在庫を貼る!$B$6:$B$10005,$B9894,①今日の在庫を貼る!$I$6:$I$10005,$I9894)&gt;0,N(U9893),N(U9893)+1))</f>
        <v>2</v>
      </c>
    </row>
    <row r="9895" customFormat="false" ht="15" hidden="false" customHeight="false" outlineLevel="0" collapsed="false">
      <c r="B9895" s="53"/>
      <c r="I9895" s="53"/>
      <c r="U9895" s="31" t="n">
        <f aca="false">IF($B9895&lt;&gt;'設定（最初に1回）'!$C$4,N(U9894),IF(COUNTIFS(①今日の在庫を貼る!$B$6:$B$10005,$B9895,①今日の在庫を貼る!$I$6:$I$10005,$I9895)&gt;0,N(U9894),N(U9894)+1))</f>
        <v>2</v>
      </c>
    </row>
    <row r="9896" customFormat="false" ht="15" hidden="false" customHeight="false" outlineLevel="0" collapsed="false">
      <c r="B9896" s="53"/>
      <c r="I9896" s="53"/>
      <c r="U9896" s="31" t="n">
        <f aca="false">IF($B9896&lt;&gt;'設定（最初に1回）'!$C$4,N(U9895),IF(COUNTIFS(①今日の在庫を貼る!$B$6:$B$10005,$B9896,①今日の在庫を貼る!$I$6:$I$10005,$I9896)&gt;0,N(U9895),N(U9895)+1))</f>
        <v>2</v>
      </c>
    </row>
    <row r="9897" customFormat="false" ht="15" hidden="false" customHeight="false" outlineLevel="0" collapsed="false">
      <c r="B9897" s="53"/>
      <c r="I9897" s="53"/>
      <c r="U9897" s="31" t="n">
        <f aca="false">IF($B9897&lt;&gt;'設定（最初に1回）'!$C$4,N(U9896),IF(COUNTIFS(①今日の在庫を貼る!$B$6:$B$10005,$B9897,①今日の在庫を貼る!$I$6:$I$10005,$I9897)&gt;0,N(U9896),N(U9896)+1))</f>
        <v>2</v>
      </c>
    </row>
    <row r="9898" customFormat="false" ht="15" hidden="false" customHeight="false" outlineLevel="0" collapsed="false">
      <c r="B9898" s="53"/>
      <c r="I9898" s="53"/>
      <c r="U9898" s="31" t="n">
        <f aca="false">IF($B9898&lt;&gt;'設定（最初に1回）'!$C$4,N(U9897),IF(COUNTIFS(①今日の在庫を貼る!$B$6:$B$10005,$B9898,①今日の在庫を貼る!$I$6:$I$10005,$I9898)&gt;0,N(U9897),N(U9897)+1))</f>
        <v>2</v>
      </c>
    </row>
    <row r="9899" customFormat="false" ht="15" hidden="false" customHeight="false" outlineLevel="0" collapsed="false">
      <c r="B9899" s="53"/>
      <c r="I9899" s="53"/>
      <c r="U9899" s="31" t="n">
        <f aca="false">IF($B9899&lt;&gt;'設定（最初に1回）'!$C$4,N(U9898),IF(COUNTIFS(①今日の在庫を貼る!$B$6:$B$10005,$B9899,①今日の在庫を貼る!$I$6:$I$10005,$I9899)&gt;0,N(U9898),N(U9898)+1))</f>
        <v>2</v>
      </c>
    </row>
    <row r="9900" customFormat="false" ht="15" hidden="false" customHeight="false" outlineLevel="0" collapsed="false">
      <c r="B9900" s="53"/>
      <c r="I9900" s="53"/>
      <c r="U9900" s="31" t="n">
        <f aca="false">IF($B9900&lt;&gt;'設定（最初に1回）'!$C$4,N(U9899),IF(COUNTIFS(①今日の在庫を貼る!$B$6:$B$10005,$B9900,①今日の在庫を貼る!$I$6:$I$10005,$I9900)&gt;0,N(U9899),N(U9899)+1))</f>
        <v>2</v>
      </c>
    </row>
    <row r="9901" customFormat="false" ht="15" hidden="false" customHeight="false" outlineLevel="0" collapsed="false">
      <c r="B9901" s="53"/>
      <c r="I9901" s="53"/>
      <c r="U9901" s="31" t="n">
        <f aca="false">IF($B9901&lt;&gt;'設定（最初に1回）'!$C$4,N(U9900),IF(COUNTIFS(①今日の在庫を貼る!$B$6:$B$10005,$B9901,①今日の在庫を貼る!$I$6:$I$10005,$I9901)&gt;0,N(U9900),N(U9900)+1))</f>
        <v>2</v>
      </c>
    </row>
    <row r="9902" customFormat="false" ht="15" hidden="false" customHeight="false" outlineLevel="0" collapsed="false">
      <c r="B9902" s="53"/>
      <c r="I9902" s="53"/>
      <c r="U9902" s="31" t="n">
        <f aca="false">IF($B9902&lt;&gt;'設定（最初に1回）'!$C$4,N(U9901),IF(COUNTIFS(①今日の在庫を貼る!$B$6:$B$10005,$B9902,①今日の在庫を貼る!$I$6:$I$10005,$I9902)&gt;0,N(U9901),N(U9901)+1))</f>
        <v>2</v>
      </c>
    </row>
    <row r="9903" customFormat="false" ht="15" hidden="false" customHeight="false" outlineLevel="0" collapsed="false">
      <c r="B9903" s="53"/>
      <c r="I9903" s="53"/>
      <c r="U9903" s="31" t="n">
        <f aca="false">IF($B9903&lt;&gt;'設定（最初に1回）'!$C$4,N(U9902),IF(COUNTIFS(①今日の在庫を貼る!$B$6:$B$10005,$B9903,①今日の在庫を貼る!$I$6:$I$10005,$I9903)&gt;0,N(U9902),N(U9902)+1))</f>
        <v>2</v>
      </c>
    </row>
    <row r="9904" customFormat="false" ht="15" hidden="false" customHeight="false" outlineLevel="0" collapsed="false">
      <c r="B9904" s="53"/>
      <c r="I9904" s="53"/>
      <c r="U9904" s="31" t="n">
        <f aca="false">IF($B9904&lt;&gt;'設定（最初に1回）'!$C$4,N(U9903),IF(COUNTIFS(①今日の在庫を貼る!$B$6:$B$10005,$B9904,①今日の在庫を貼る!$I$6:$I$10005,$I9904)&gt;0,N(U9903),N(U9903)+1))</f>
        <v>2</v>
      </c>
    </row>
    <row r="9905" customFormat="false" ht="15" hidden="false" customHeight="false" outlineLevel="0" collapsed="false">
      <c r="B9905" s="53"/>
      <c r="I9905" s="53"/>
      <c r="U9905" s="31" t="n">
        <f aca="false">IF($B9905&lt;&gt;'設定（最初に1回）'!$C$4,N(U9904),IF(COUNTIFS(①今日の在庫を貼る!$B$6:$B$10005,$B9905,①今日の在庫を貼る!$I$6:$I$10005,$I9905)&gt;0,N(U9904),N(U9904)+1))</f>
        <v>2</v>
      </c>
    </row>
    <row r="9906" customFormat="false" ht="15" hidden="false" customHeight="false" outlineLevel="0" collapsed="false">
      <c r="B9906" s="53"/>
      <c r="I9906" s="53"/>
      <c r="U9906" s="31" t="n">
        <f aca="false">IF($B9906&lt;&gt;'設定（最初に1回）'!$C$4,N(U9905),IF(COUNTIFS(①今日の在庫を貼る!$B$6:$B$10005,$B9906,①今日の在庫を貼る!$I$6:$I$10005,$I9906)&gt;0,N(U9905),N(U9905)+1))</f>
        <v>2</v>
      </c>
    </row>
    <row r="9907" customFormat="false" ht="15" hidden="false" customHeight="false" outlineLevel="0" collapsed="false">
      <c r="B9907" s="53"/>
      <c r="I9907" s="53"/>
      <c r="U9907" s="31" t="n">
        <f aca="false">IF($B9907&lt;&gt;'設定（最初に1回）'!$C$4,N(U9906),IF(COUNTIFS(①今日の在庫を貼る!$B$6:$B$10005,$B9907,①今日の在庫を貼る!$I$6:$I$10005,$I9907)&gt;0,N(U9906),N(U9906)+1))</f>
        <v>2</v>
      </c>
    </row>
    <row r="9908" customFormat="false" ht="15" hidden="false" customHeight="false" outlineLevel="0" collapsed="false">
      <c r="B9908" s="53"/>
      <c r="I9908" s="53"/>
      <c r="U9908" s="31" t="n">
        <f aca="false">IF($B9908&lt;&gt;'設定（最初に1回）'!$C$4,N(U9907),IF(COUNTIFS(①今日の在庫を貼る!$B$6:$B$10005,$B9908,①今日の在庫を貼る!$I$6:$I$10005,$I9908)&gt;0,N(U9907),N(U9907)+1))</f>
        <v>2</v>
      </c>
    </row>
    <row r="9909" customFormat="false" ht="15" hidden="false" customHeight="false" outlineLevel="0" collapsed="false">
      <c r="B9909" s="53"/>
      <c r="I9909" s="53"/>
      <c r="U9909" s="31" t="n">
        <f aca="false">IF($B9909&lt;&gt;'設定（最初に1回）'!$C$4,N(U9908),IF(COUNTIFS(①今日の在庫を貼る!$B$6:$B$10005,$B9909,①今日の在庫を貼る!$I$6:$I$10005,$I9909)&gt;0,N(U9908),N(U9908)+1))</f>
        <v>2</v>
      </c>
    </row>
    <row r="9910" customFormat="false" ht="15" hidden="false" customHeight="false" outlineLevel="0" collapsed="false">
      <c r="B9910" s="53"/>
      <c r="I9910" s="53"/>
      <c r="U9910" s="31" t="n">
        <f aca="false">IF($B9910&lt;&gt;'設定（最初に1回）'!$C$4,N(U9909),IF(COUNTIFS(①今日の在庫を貼る!$B$6:$B$10005,$B9910,①今日の在庫を貼る!$I$6:$I$10005,$I9910)&gt;0,N(U9909),N(U9909)+1))</f>
        <v>2</v>
      </c>
    </row>
    <row r="9911" customFormat="false" ht="15" hidden="false" customHeight="false" outlineLevel="0" collapsed="false">
      <c r="B9911" s="53"/>
      <c r="I9911" s="53"/>
      <c r="U9911" s="31" t="n">
        <f aca="false">IF($B9911&lt;&gt;'設定（最初に1回）'!$C$4,N(U9910),IF(COUNTIFS(①今日の在庫を貼る!$B$6:$B$10005,$B9911,①今日の在庫を貼る!$I$6:$I$10005,$I9911)&gt;0,N(U9910),N(U9910)+1))</f>
        <v>2</v>
      </c>
    </row>
    <row r="9912" customFormat="false" ht="15" hidden="false" customHeight="false" outlineLevel="0" collapsed="false">
      <c r="B9912" s="53"/>
      <c r="I9912" s="53"/>
      <c r="U9912" s="31" t="n">
        <f aca="false">IF($B9912&lt;&gt;'設定（最初に1回）'!$C$4,N(U9911),IF(COUNTIFS(①今日の在庫を貼る!$B$6:$B$10005,$B9912,①今日の在庫を貼る!$I$6:$I$10005,$I9912)&gt;0,N(U9911),N(U9911)+1))</f>
        <v>2</v>
      </c>
    </row>
    <row r="9913" customFormat="false" ht="15" hidden="false" customHeight="false" outlineLevel="0" collapsed="false">
      <c r="B9913" s="53"/>
      <c r="I9913" s="53"/>
      <c r="U9913" s="31" t="n">
        <f aca="false">IF($B9913&lt;&gt;'設定（最初に1回）'!$C$4,N(U9912),IF(COUNTIFS(①今日の在庫を貼る!$B$6:$B$10005,$B9913,①今日の在庫を貼る!$I$6:$I$10005,$I9913)&gt;0,N(U9912),N(U9912)+1))</f>
        <v>2</v>
      </c>
    </row>
    <row r="9914" customFormat="false" ht="15" hidden="false" customHeight="false" outlineLevel="0" collapsed="false">
      <c r="B9914" s="53"/>
      <c r="I9914" s="53"/>
      <c r="U9914" s="31" t="n">
        <f aca="false">IF($B9914&lt;&gt;'設定（最初に1回）'!$C$4,N(U9913),IF(COUNTIFS(①今日の在庫を貼る!$B$6:$B$10005,$B9914,①今日の在庫を貼る!$I$6:$I$10005,$I9914)&gt;0,N(U9913),N(U9913)+1))</f>
        <v>2</v>
      </c>
    </row>
    <row r="9915" customFormat="false" ht="15" hidden="false" customHeight="false" outlineLevel="0" collapsed="false">
      <c r="B9915" s="53"/>
      <c r="I9915" s="53"/>
      <c r="U9915" s="31" t="n">
        <f aca="false">IF($B9915&lt;&gt;'設定（最初に1回）'!$C$4,N(U9914),IF(COUNTIFS(①今日の在庫を貼る!$B$6:$B$10005,$B9915,①今日の在庫を貼る!$I$6:$I$10005,$I9915)&gt;0,N(U9914),N(U9914)+1))</f>
        <v>2</v>
      </c>
    </row>
    <row r="9916" customFormat="false" ht="15" hidden="false" customHeight="false" outlineLevel="0" collapsed="false">
      <c r="B9916" s="53"/>
      <c r="I9916" s="53"/>
      <c r="U9916" s="31" t="n">
        <f aca="false">IF($B9916&lt;&gt;'設定（最初に1回）'!$C$4,N(U9915),IF(COUNTIFS(①今日の在庫を貼る!$B$6:$B$10005,$B9916,①今日の在庫を貼る!$I$6:$I$10005,$I9916)&gt;0,N(U9915),N(U9915)+1))</f>
        <v>2</v>
      </c>
    </row>
    <row r="9917" customFormat="false" ht="15" hidden="false" customHeight="false" outlineLevel="0" collapsed="false">
      <c r="B9917" s="53"/>
      <c r="I9917" s="53"/>
      <c r="U9917" s="31" t="n">
        <f aca="false">IF($B9917&lt;&gt;'設定（最初に1回）'!$C$4,N(U9916),IF(COUNTIFS(①今日の在庫を貼る!$B$6:$B$10005,$B9917,①今日の在庫を貼る!$I$6:$I$10005,$I9917)&gt;0,N(U9916),N(U9916)+1))</f>
        <v>2</v>
      </c>
    </row>
    <row r="9918" customFormat="false" ht="15" hidden="false" customHeight="false" outlineLevel="0" collapsed="false">
      <c r="B9918" s="53"/>
      <c r="I9918" s="53"/>
      <c r="U9918" s="31" t="n">
        <f aca="false">IF($B9918&lt;&gt;'設定（最初に1回）'!$C$4,N(U9917),IF(COUNTIFS(①今日の在庫を貼る!$B$6:$B$10005,$B9918,①今日の在庫を貼る!$I$6:$I$10005,$I9918)&gt;0,N(U9917),N(U9917)+1))</f>
        <v>2</v>
      </c>
    </row>
    <row r="9919" customFormat="false" ht="15" hidden="false" customHeight="false" outlineLevel="0" collapsed="false">
      <c r="B9919" s="53"/>
      <c r="I9919" s="53"/>
      <c r="U9919" s="31" t="n">
        <f aca="false">IF($B9919&lt;&gt;'設定（最初に1回）'!$C$4,N(U9918),IF(COUNTIFS(①今日の在庫を貼る!$B$6:$B$10005,$B9919,①今日の在庫を貼る!$I$6:$I$10005,$I9919)&gt;0,N(U9918),N(U9918)+1))</f>
        <v>2</v>
      </c>
    </row>
    <row r="9920" customFormat="false" ht="15" hidden="false" customHeight="false" outlineLevel="0" collapsed="false">
      <c r="B9920" s="53"/>
      <c r="I9920" s="53"/>
      <c r="U9920" s="31" t="n">
        <f aca="false">IF($B9920&lt;&gt;'設定（最初に1回）'!$C$4,N(U9919),IF(COUNTIFS(①今日の在庫を貼る!$B$6:$B$10005,$B9920,①今日の在庫を貼る!$I$6:$I$10005,$I9920)&gt;0,N(U9919),N(U9919)+1))</f>
        <v>2</v>
      </c>
    </row>
    <row r="9921" customFormat="false" ht="15" hidden="false" customHeight="false" outlineLevel="0" collapsed="false">
      <c r="B9921" s="53"/>
      <c r="I9921" s="53"/>
      <c r="U9921" s="31" t="n">
        <f aca="false">IF($B9921&lt;&gt;'設定（最初に1回）'!$C$4,N(U9920),IF(COUNTIFS(①今日の在庫を貼る!$B$6:$B$10005,$B9921,①今日の在庫を貼る!$I$6:$I$10005,$I9921)&gt;0,N(U9920),N(U9920)+1))</f>
        <v>2</v>
      </c>
    </row>
    <row r="9922" customFormat="false" ht="15" hidden="false" customHeight="false" outlineLevel="0" collapsed="false">
      <c r="B9922" s="53"/>
      <c r="I9922" s="53"/>
      <c r="U9922" s="31" t="n">
        <f aca="false">IF($B9922&lt;&gt;'設定（最初に1回）'!$C$4,N(U9921),IF(COUNTIFS(①今日の在庫を貼る!$B$6:$B$10005,$B9922,①今日の在庫を貼る!$I$6:$I$10005,$I9922)&gt;0,N(U9921),N(U9921)+1))</f>
        <v>2</v>
      </c>
    </row>
    <row r="9923" customFormat="false" ht="15" hidden="false" customHeight="false" outlineLevel="0" collapsed="false">
      <c r="B9923" s="53"/>
      <c r="I9923" s="53"/>
      <c r="U9923" s="31" t="n">
        <f aca="false">IF($B9923&lt;&gt;'設定（最初に1回）'!$C$4,N(U9922),IF(COUNTIFS(①今日の在庫を貼る!$B$6:$B$10005,$B9923,①今日の在庫を貼る!$I$6:$I$10005,$I9923)&gt;0,N(U9922),N(U9922)+1))</f>
        <v>2</v>
      </c>
    </row>
    <row r="9924" customFormat="false" ht="15" hidden="false" customHeight="false" outlineLevel="0" collapsed="false">
      <c r="B9924" s="53"/>
      <c r="I9924" s="53"/>
      <c r="U9924" s="31" t="n">
        <f aca="false">IF($B9924&lt;&gt;'設定（最初に1回）'!$C$4,N(U9923),IF(COUNTIFS(①今日の在庫を貼る!$B$6:$B$10005,$B9924,①今日の在庫を貼る!$I$6:$I$10005,$I9924)&gt;0,N(U9923),N(U9923)+1))</f>
        <v>2</v>
      </c>
    </row>
    <row r="9925" customFormat="false" ht="15" hidden="false" customHeight="false" outlineLevel="0" collapsed="false">
      <c r="B9925" s="53"/>
      <c r="I9925" s="53"/>
      <c r="U9925" s="31" t="n">
        <f aca="false">IF($B9925&lt;&gt;'設定（最初に1回）'!$C$4,N(U9924),IF(COUNTIFS(①今日の在庫を貼る!$B$6:$B$10005,$B9925,①今日の在庫を貼る!$I$6:$I$10005,$I9925)&gt;0,N(U9924),N(U9924)+1))</f>
        <v>2</v>
      </c>
    </row>
    <row r="9926" customFormat="false" ht="15" hidden="false" customHeight="false" outlineLevel="0" collapsed="false">
      <c r="B9926" s="53"/>
      <c r="I9926" s="53"/>
      <c r="U9926" s="31" t="n">
        <f aca="false">IF($B9926&lt;&gt;'設定（最初に1回）'!$C$4,N(U9925),IF(COUNTIFS(①今日の在庫を貼る!$B$6:$B$10005,$B9926,①今日の在庫を貼る!$I$6:$I$10005,$I9926)&gt;0,N(U9925),N(U9925)+1))</f>
        <v>2</v>
      </c>
    </row>
    <row r="9927" customFormat="false" ht="15" hidden="false" customHeight="false" outlineLevel="0" collapsed="false">
      <c r="B9927" s="53"/>
      <c r="I9927" s="53"/>
      <c r="U9927" s="31" t="n">
        <f aca="false">IF($B9927&lt;&gt;'設定（最初に1回）'!$C$4,N(U9926),IF(COUNTIFS(①今日の在庫を貼る!$B$6:$B$10005,$B9927,①今日の在庫を貼る!$I$6:$I$10005,$I9927)&gt;0,N(U9926),N(U9926)+1))</f>
        <v>2</v>
      </c>
    </row>
    <row r="9928" customFormat="false" ht="15" hidden="false" customHeight="false" outlineLevel="0" collapsed="false">
      <c r="B9928" s="53"/>
      <c r="I9928" s="53"/>
      <c r="U9928" s="31" t="n">
        <f aca="false">IF($B9928&lt;&gt;'設定（最初に1回）'!$C$4,N(U9927),IF(COUNTIFS(①今日の在庫を貼る!$B$6:$B$10005,$B9928,①今日の在庫を貼る!$I$6:$I$10005,$I9928)&gt;0,N(U9927),N(U9927)+1))</f>
        <v>2</v>
      </c>
    </row>
    <row r="9929" customFormat="false" ht="15" hidden="false" customHeight="false" outlineLevel="0" collapsed="false">
      <c r="B9929" s="53"/>
      <c r="I9929" s="53"/>
      <c r="U9929" s="31" t="n">
        <f aca="false">IF($B9929&lt;&gt;'設定（最初に1回）'!$C$4,N(U9928),IF(COUNTIFS(①今日の在庫を貼る!$B$6:$B$10005,$B9929,①今日の在庫を貼る!$I$6:$I$10005,$I9929)&gt;0,N(U9928),N(U9928)+1))</f>
        <v>2</v>
      </c>
    </row>
    <row r="9930" customFormat="false" ht="15" hidden="false" customHeight="false" outlineLevel="0" collapsed="false">
      <c r="B9930" s="53"/>
      <c r="I9930" s="53"/>
      <c r="U9930" s="31" t="n">
        <f aca="false">IF($B9930&lt;&gt;'設定（最初に1回）'!$C$4,N(U9929),IF(COUNTIFS(①今日の在庫を貼る!$B$6:$B$10005,$B9930,①今日の在庫を貼る!$I$6:$I$10005,$I9930)&gt;0,N(U9929),N(U9929)+1))</f>
        <v>2</v>
      </c>
    </row>
    <row r="9931" customFormat="false" ht="15" hidden="false" customHeight="false" outlineLevel="0" collapsed="false">
      <c r="B9931" s="53"/>
      <c r="I9931" s="53"/>
      <c r="U9931" s="31" t="n">
        <f aca="false">IF($B9931&lt;&gt;'設定（最初に1回）'!$C$4,N(U9930),IF(COUNTIFS(①今日の在庫を貼る!$B$6:$B$10005,$B9931,①今日の在庫を貼る!$I$6:$I$10005,$I9931)&gt;0,N(U9930),N(U9930)+1))</f>
        <v>2</v>
      </c>
    </row>
    <row r="9932" customFormat="false" ht="15" hidden="false" customHeight="false" outlineLevel="0" collapsed="false">
      <c r="B9932" s="53"/>
      <c r="I9932" s="53"/>
      <c r="U9932" s="31" t="n">
        <f aca="false">IF($B9932&lt;&gt;'設定（最初に1回）'!$C$4,N(U9931),IF(COUNTIFS(①今日の在庫を貼る!$B$6:$B$10005,$B9932,①今日の在庫を貼る!$I$6:$I$10005,$I9932)&gt;0,N(U9931),N(U9931)+1))</f>
        <v>2</v>
      </c>
    </row>
    <row r="9933" customFormat="false" ht="15" hidden="false" customHeight="false" outlineLevel="0" collapsed="false">
      <c r="B9933" s="53"/>
      <c r="I9933" s="53"/>
      <c r="U9933" s="31" t="n">
        <f aca="false">IF($B9933&lt;&gt;'設定（最初に1回）'!$C$4,N(U9932),IF(COUNTIFS(①今日の在庫を貼る!$B$6:$B$10005,$B9933,①今日の在庫を貼る!$I$6:$I$10005,$I9933)&gt;0,N(U9932),N(U9932)+1))</f>
        <v>2</v>
      </c>
    </row>
    <row r="9934" customFormat="false" ht="15" hidden="false" customHeight="false" outlineLevel="0" collapsed="false">
      <c r="B9934" s="53"/>
      <c r="I9934" s="53"/>
      <c r="U9934" s="31" t="n">
        <f aca="false">IF($B9934&lt;&gt;'設定（最初に1回）'!$C$4,N(U9933),IF(COUNTIFS(①今日の在庫を貼る!$B$6:$B$10005,$B9934,①今日の在庫を貼る!$I$6:$I$10005,$I9934)&gt;0,N(U9933),N(U9933)+1))</f>
        <v>2</v>
      </c>
    </row>
    <row r="9935" customFormat="false" ht="15" hidden="false" customHeight="false" outlineLevel="0" collapsed="false">
      <c r="B9935" s="53"/>
      <c r="I9935" s="53"/>
      <c r="U9935" s="31" t="n">
        <f aca="false">IF($B9935&lt;&gt;'設定（最初に1回）'!$C$4,N(U9934),IF(COUNTIFS(①今日の在庫を貼る!$B$6:$B$10005,$B9935,①今日の在庫を貼る!$I$6:$I$10005,$I9935)&gt;0,N(U9934),N(U9934)+1))</f>
        <v>2</v>
      </c>
    </row>
    <row r="9936" customFormat="false" ht="15" hidden="false" customHeight="false" outlineLevel="0" collapsed="false">
      <c r="B9936" s="53"/>
      <c r="I9936" s="53"/>
      <c r="U9936" s="31" t="n">
        <f aca="false">IF($B9936&lt;&gt;'設定（最初に1回）'!$C$4,N(U9935),IF(COUNTIFS(①今日の在庫を貼る!$B$6:$B$10005,$B9936,①今日の在庫を貼る!$I$6:$I$10005,$I9936)&gt;0,N(U9935),N(U9935)+1))</f>
        <v>2</v>
      </c>
    </row>
    <row r="9937" customFormat="false" ht="15" hidden="false" customHeight="false" outlineLevel="0" collapsed="false">
      <c r="B9937" s="53"/>
      <c r="I9937" s="53"/>
      <c r="U9937" s="31" t="n">
        <f aca="false">IF($B9937&lt;&gt;'設定（最初に1回）'!$C$4,N(U9936),IF(COUNTIFS(①今日の在庫を貼る!$B$6:$B$10005,$B9937,①今日の在庫を貼る!$I$6:$I$10005,$I9937)&gt;0,N(U9936),N(U9936)+1))</f>
        <v>2</v>
      </c>
    </row>
    <row r="9938" customFormat="false" ht="15" hidden="false" customHeight="false" outlineLevel="0" collapsed="false">
      <c r="B9938" s="53"/>
      <c r="I9938" s="53"/>
      <c r="U9938" s="31" t="n">
        <f aca="false">IF($B9938&lt;&gt;'設定（最初に1回）'!$C$4,N(U9937),IF(COUNTIFS(①今日の在庫を貼る!$B$6:$B$10005,$B9938,①今日の在庫を貼る!$I$6:$I$10005,$I9938)&gt;0,N(U9937),N(U9937)+1))</f>
        <v>2</v>
      </c>
    </row>
    <row r="9939" customFormat="false" ht="15" hidden="false" customHeight="false" outlineLevel="0" collapsed="false">
      <c r="B9939" s="53"/>
      <c r="I9939" s="53"/>
      <c r="U9939" s="31" t="n">
        <f aca="false">IF($B9939&lt;&gt;'設定（最初に1回）'!$C$4,N(U9938),IF(COUNTIFS(①今日の在庫を貼る!$B$6:$B$10005,$B9939,①今日の在庫を貼る!$I$6:$I$10005,$I9939)&gt;0,N(U9938),N(U9938)+1))</f>
        <v>2</v>
      </c>
    </row>
    <row r="9940" customFormat="false" ht="15" hidden="false" customHeight="false" outlineLevel="0" collapsed="false">
      <c r="B9940" s="53"/>
      <c r="I9940" s="53"/>
      <c r="U9940" s="31" t="n">
        <f aca="false">IF($B9940&lt;&gt;'設定（最初に1回）'!$C$4,N(U9939),IF(COUNTIFS(①今日の在庫を貼る!$B$6:$B$10005,$B9940,①今日の在庫を貼る!$I$6:$I$10005,$I9940)&gt;0,N(U9939),N(U9939)+1))</f>
        <v>2</v>
      </c>
    </row>
    <row r="9941" customFormat="false" ht="15" hidden="false" customHeight="false" outlineLevel="0" collapsed="false">
      <c r="B9941" s="53"/>
      <c r="I9941" s="53"/>
      <c r="U9941" s="31" t="n">
        <f aca="false">IF($B9941&lt;&gt;'設定（最初に1回）'!$C$4,N(U9940),IF(COUNTIFS(①今日の在庫を貼る!$B$6:$B$10005,$B9941,①今日の在庫を貼る!$I$6:$I$10005,$I9941)&gt;0,N(U9940),N(U9940)+1))</f>
        <v>2</v>
      </c>
    </row>
    <row r="9942" customFormat="false" ht="15" hidden="false" customHeight="false" outlineLevel="0" collapsed="false">
      <c r="B9942" s="53"/>
      <c r="I9942" s="53"/>
      <c r="U9942" s="31" t="n">
        <f aca="false">IF($B9942&lt;&gt;'設定（最初に1回）'!$C$4,N(U9941),IF(COUNTIFS(①今日の在庫を貼る!$B$6:$B$10005,$B9942,①今日の在庫を貼る!$I$6:$I$10005,$I9942)&gt;0,N(U9941),N(U9941)+1))</f>
        <v>2</v>
      </c>
    </row>
    <row r="9943" customFormat="false" ht="15" hidden="false" customHeight="false" outlineLevel="0" collapsed="false">
      <c r="B9943" s="53"/>
      <c r="I9943" s="53"/>
      <c r="U9943" s="31" t="n">
        <f aca="false">IF($B9943&lt;&gt;'設定（最初に1回）'!$C$4,N(U9942),IF(COUNTIFS(①今日の在庫を貼る!$B$6:$B$10005,$B9943,①今日の在庫を貼る!$I$6:$I$10005,$I9943)&gt;0,N(U9942),N(U9942)+1))</f>
        <v>2</v>
      </c>
    </row>
    <row r="9944" customFormat="false" ht="15" hidden="false" customHeight="false" outlineLevel="0" collapsed="false">
      <c r="B9944" s="53"/>
      <c r="I9944" s="53"/>
      <c r="U9944" s="31" t="n">
        <f aca="false">IF($B9944&lt;&gt;'設定（最初に1回）'!$C$4,N(U9943),IF(COUNTIFS(①今日の在庫を貼る!$B$6:$B$10005,$B9944,①今日の在庫を貼る!$I$6:$I$10005,$I9944)&gt;0,N(U9943),N(U9943)+1))</f>
        <v>2</v>
      </c>
    </row>
    <row r="9945" customFormat="false" ht="15" hidden="false" customHeight="false" outlineLevel="0" collapsed="false">
      <c r="B9945" s="53"/>
      <c r="I9945" s="53"/>
      <c r="U9945" s="31" t="n">
        <f aca="false">IF($B9945&lt;&gt;'設定（最初に1回）'!$C$4,N(U9944),IF(COUNTIFS(①今日の在庫を貼る!$B$6:$B$10005,$B9945,①今日の在庫を貼る!$I$6:$I$10005,$I9945)&gt;0,N(U9944),N(U9944)+1))</f>
        <v>2</v>
      </c>
    </row>
    <row r="9946" customFormat="false" ht="15" hidden="false" customHeight="false" outlineLevel="0" collapsed="false">
      <c r="B9946" s="53"/>
      <c r="I9946" s="53"/>
      <c r="U9946" s="31" t="n">
        <f aca="false">IF($B9946&lt;&gt;'設定（最初に1回）'!$C$4,N(U9945),IF(COUNTIFS(①今日の在庫を貼る!$B$6:$B$10005,$B9946,①今日の在庫を貼る!$I$6:$I$10005,$I9946)&gt;0,N(U9945),N(U9945)+1))</f>
        <v>2</v>
      </c>
    </row>
    <row r="9947" customFormat="false" ht="15" hidden="false" customHeight="false" outlineLevel="0" collapsed="false">
      <c r="B9947" s="53"/>
      <c r="I9947" s="53"/>
      <c r="U9947" s="31" t="n">
        <f aca="false">IF($B9947&lt;&gt;'設定（最初に1回）'!$C$4,N(U9946),IF(COUNTIFS(①今日の在庫を貼る!$B$6:$B$10005,$B9947,①今日の在庫を貼る!$I$6:$I$10005,$I9947)&gt;0,N(U9946),N(U9946)+1))</f>
        <v>2</v>
      </c>
    </row>
    <row r="9948" customFormat="false" ht="15" hidden="false" customHeight="false" outlineLevel="0" collapsed="false">
      <c r="B9948" s="53"/>
      <c r="I9948" s="53"/>
      <c r="U9948" s="31" t="n">
        <f aca="false">IF($B9948&lt;&gt;'設定（最初に1回）'!$C$4,N(U9947),IF(COUNTIFS(①今日の在庫を貼る!$B$6:$B$10005,$B9948,①今日の在庫を貼る!$I$6:$I$10005,$I9948)&gt;0,N(U9947),N(U9947)+1))</f>
        <v>2</v>
      </c>
    </row>
    <row r="9949" customFormat="false" ht="15" hidden="false" customHeight="false" outlineLevel="0" collapsed="false">
      <c r="B9949" s="53"/>
      <c r="I9949" s="53"/>
      <c r="U9949" s="31" t="n">
        <f aca="false">IF($B9949&lt;&gt;'設定（最初に1回）'!$C$4,N(U9948),IF(COUNTIFS(①今日の在庫を貼る!$B$6:$B$10005,$B9949,①今日の在庫を貼る!$I$6:$I$10005,$I9949)&gt;0,N(U9948),N(U9948)+1))</f>
        <v>2</v>
      </c>
    </row>
    <row r="9950" customFormat="false" ht="15" hidden="false" customHeight="false" outlineLevel="0" collapsed="false">
      <c r="B9950" s="53"/>
      <c r="I9950" s="53"/>
      <c r="U9950" s="31" t="n">
        <f aca="false">IF($B9950&lt;&gt;'設定（最初に1回）'!$C$4,N(U9949),IF(COUNTIFS(①今日の在庫を貼る!$B$6:$B$10005,$B9950,①今日の在庫を貼る!$I$6:$I$10005,$I9950)&gt;0,N(U9949),N(U9949)+1))</f>
        <v>2</v>
      </c>
    </row>
    <row r="9951" customFormat="false" ht="15" hidden="false" customHeight="false" outlineLevel="0" collapsed="false">
      <c r="B9951" s="53"/>
      <c r="I9951" s="53"/>
      <c r="U9951" s="31" t="n">
        <f aca="false">IF($B9951&lt;&gt;'設定（最初に1回）'!$C$4,N(U9950),IF(COUNTIFS(①今日の在庫を貼る!$B$6:$B$10005,$B9951,①今日の在庫を貼る!$I$6:$I$10005,$I9951)&gt;0,N(U9950),N(U9950)+1))</f>
        <v>2</v>
      </c>
    </row>
    <row r="9952" customFormat="false" ht="15" hidden="false" customHeight="false" outlineLevel="0" collapsed="false">
      <c r="B9952" s="53"/>
      <c r="I9952" s="53"/>
      <c r="U9952" s="31" t="n">
        <f aca="false">IF($B9952&lt;&gt;'設定（最初に1回）'!$C$4,N(U9951),IF(COUNTIFS(①今日の在庫を貼る!$B$6:$B$10005,$B9952,①今日の在庫を貼る!$I$6:$I$10005,$I9952)&gt;0,N(U9951),N(U9951)+1))</f>
        <v>2</v>
      </c>
    </row>
    <row r="9953" customFormat="false" ht="15" hidden="false" customHeight="false" outlineLevel="0" collapsed="false">
      <c r="B9953" s="53"/>
      <c r="I9953" s="53"/>
      <c r="U9953" s="31" t="n">
        <f aca="false">IF($B9953&lt;&gt;'設定（最初に1回）'!$C$4,N(U9952),IF(COUNTIFS(①今日の在庫を貼る!$B$6:$B$10005,$B9953,①今日の在庫を貼る!$I$6:$I$10005,$I9953)&gt;0,N(U9952),N(U9952)+1))</f>
        <v>2</v>
      </c>
    </row>
    <row r="9954" customFormat="false" ht="15" hidden="false" customHeight="false" outlineLevel="0" collapsed="false">
      <c r="B9954" s="53"/>
      <c r="I9954" s="53"/>
      <c r="U9954" s="31" t="n">
        <f aca="false">IF($B9954&lt;&gt;'設定（最初に1回）'!$C$4,N(U9953),IF(COUNTIFS(①今日の在庫を貼る!$B$6:$B$10005,$B9954,①今日の在庫を貼る!$I$6:$I$10005,$I9954)&gt;0,N(U9953),N(U9953)+1))</f>
        <v>2</v>
      </c>
    </row>
    <row r="9955" customFormat="false" ht="15" hidden="false" customHeight="false" outlineLevel="0" collapsed="false">
      <c r="B9955" s="53"/>
      <c r="I9955" s="53"/>
      <c r="U9955" s="31" t="n">
        <f aca="false">IF($B9955&lt;&gt;'設定（最初に1回）'!$C$4,N(U9954),IF(COUNTIFS(①今日の在庫を貼る!$B$6:$B$10005,$B9955,①今日の在庫を貼る!$I$6:$I$10005,$I9955)&gt;0,N(U9954),N(U9954)+1))</f>
        <v>2</v>
      </c>
    </row>
    <row r="9956" customFormat="false" ht="15" hidden="false" customHeight="false" outlineLevel="0" collapsed="false">
      <c r="B9956" s="53"/>
      <c r="I9956" s="53"/>
      <c r="U9956" s="31" t="n">
        <f aca="false">IF($B9956&lt;&gt;'設定（最初に1回）'!$C$4,N(U9955),IF(COUNTIFS(①今日の在庫を貼る!$B$6:$B$10005,$B9956,①今日の在庫を貼る!$I$6:$I$10005,$I9956)&gt;0,N(U9955),N(U9955)+1))</f>
        <v>2</v>
      </c>
    </row>
    <row r="9957" customFormat="false" ht="15" hidden="false" customHeight="false" outlineLevel="0" collapsed="false">
      <c r="B9957" s="53"/>
      <c r="I9957" s="53"/>
      <c r="U9957" s="31" t="n">
        <f aca="false">IF($B9957&lt;&gt;'設定（最初に1回）'!$C$4,N(U9956),IF(COUNTIFS(①今日の在庫を貼る!$B$6:$B$10005,$B9957,①今日の在庫を貼る!$I$6:$I$10005,$I9957)&gt;0,N(U9956),N(U9956)+1))</f>
        <v>2</v>
      </c>
    </row>
    <row r="9958" customFormat="false" ht="15" hidden="false" customHeight="false" outlineLevel="0" collapsed="false">
      <c r="B9958" s="53"/>
      <c r="I9958" s="53"/>
      <c r="U9958" s="31" t="n">
        <f aca="false">IF($B9958&lt;&gt;'設定（最初に1回）'!$C$4,N(U9957),IF(COUNTIFS(①今日の在庫を貼る!$B$6:$B$10005,$B9958,①今日の在庫を貼る!$I$6:$I$10005,$I9958)&gt;0,N(U9957),N(U9957)+1))</f>
        <v>2</v>
      </c>
    </row>
    <row r="9959" customFormat="false" ht="15" hidden="false" customHeight="false" outlineLevel="0" collapsed="false">
      <c r="B9959" s="53"/>
      <c r="I9959" s="53"/>
      <c r="U9959" s="31" t="n">
        <f aca="false">IF($B9959&lt;&gt;'設定（最初に1回）'!$C$4,N(U9958),IF(COUNTIFS(①今日の在庫を貼る!$B$6:$B$10005,$B9959,①今日の在庫を貼る!$I$6:$I$10005,$I9959)&gt;0,N(U9958),N(U9958)+1))</f>
        <v>2</v>
      </c>
    </row>
    <row r="9960" customFormat="false" ht="15" hidden="false" customHeight="false" outlineLevel="0" collapsed="false">
      <c r="B9960" s="53"/>
      <c r="I9960" s="53"/>
      <c r="U9960" s="31" t="n">
        <f aca="false">IF($B9960&lt;&gt;'設定（最初に1回）'!$C$4,N(U9959),IF(COUNTIFS(①今日の在庫を貼る!$B$6:$B$10005,$B9960,①今日の在庫を貼る!$I$6:$I$10005,$I9960)&gt;0,N(U9959),N(U9959)+1))</f>
        <v>2</v>
      </c>
    </row>
    <row r="9961" customFormat="false" ht="15" hidden="false" customHeight="false" outlineLevel="0" collapsed="false">
      <c r="B9961" s="53"/>
      <c r="I9961" s="53"/>
      <c r="U9961" s="31" t="n">
        <f aca="false">IF($B9961&lt;&gt;'設定（最初に1回）'!$C$4,N(U9960),IF(COUNTIFS(①今日の在庫を貼る!$B$6:$B$10005,$B9961,①今日の在庫を貼る!$I$6:$I$10005,$I9961)&gt;0,N(U9960),N(U9960)+1))</f>
        <v>2</v>
      </c>
    </row>
    <row r="9962" customFormat="false" ht="15" hidden="false" customHeight="false" outlineLevel="0" collapsed="false">
      <c r="B9962" s="53"/>
      <c r="I9962" s="53"/>
      <c r="U9962" s="31" t="n">
        <f aca="false">IF($B9962&lt;&gt;'設定（最初に1回）'!$C$4,N(U9961),IF(COUNTIFS(①今日の在庫を貼る!$B$6:$B$10005,$B9962,①今日の在庫を貼る!$I$6:$I$10005,$I9962)&gt;0,N(U9961),N(U9961)+1))</f>
        <v>2</v>
      </c>
    </row>
    <row r="9963" customFormat="false" ht="15" hidden="false" customHeight="false" outlineLevel="0" collapsed="false">
      <c r="B9963" s="53"/>
      <c r="I9963" s="53"/>
      <c r="U9963" s="31" t="n">
        <f aca="false">IF($B9963&lt;&gt;'設定（最初に1回）'!$C$4,N(U9962),IF(COUNTIFS(①今日の在庫を貼る!$B$6:$B$10005,$B9963,①今日の在庫を貼る!$I$6:$I$10005,$I9963)&gt;0,N(U9962),N(U9962)+1))</f>
        <v>2</v>
      </c>
    </row>
    <row r="9964" customFormat="false" ht="15" hidden="false" customHeight="false" outlineLevel="0" collapsed="false">
      <c r="B9964" s="53"/>
      <c r="I9964" s="53"/>
      <c r="U9964" s="31" t="n">
        <f aca="false">IF($B9964&lt;&gt;'設定（最初に1回）'!$C$4,N(U9963),IF(COUNTIFS(①今日の在庫を貼る!$B$6:$B$10005,$B9964,①今日の在庫を貼る!$I$6:$I$10005,$I9964)&gt;0,N(U9963),N(U9963)+1))</f>
        <v>2</v>
      </c>
    </row>
    <row r="9965" customFormat="false" ht="15" hidden="false" customHeight="false" outlineLevel="0" collapsed="false">
      <c r="B9965" s="53"/>
      <c r="I9965" s="53"/>
      <c r="U9965" s="31" t="n">
        <f aca="false">IF($B9965&lt;&gt;'設定（最初に1回）'!$C$4,N(U9964),IF(COUNTIFS(①今日の在庫を貼る!$B$6:$B$10005,$B9965,①今日の在庫を貼る!$I$6:$I$10005,$I9965)&gt;0,N(U9964),N(U9964)+1))</f>
        <v>2</v>
      </c>
    </row>
    <row r="9966" customFormat="false" ht="15" hidden="false" customHeight="false" outlineLevel="0" collapsed="false">
      <c r="B9966" s="53"/>
      <c r="I9966" s="53"/>
      <c r="U9966" s="31" t="n">
        <f aca="false">IF($B9966&lt;&gt;'設定（最初に1回）'!$C$4,N(U9965),IF(COUNTIFS(①今日の在庫を貼る!$B$6:$B$10005,$B9966,①今日の在庫を貼る!$I$6:$I$10005,$I9966)&gt;0,N(U9965),N(U9965)+1))</f>
        <v>2</v>
      </c>
    </row>
    <row r="9967" customFormat="false" ht="15" hidden="false" customHeight="false" outlineLevel="0" collapsed="false">
      <c r="B9967" s="53"/>
      <c r="I9967" s="53"/>
      <c r="U9967" s="31" t="n">
        <f aca="false">IF($B9967&lt;&gt;'設定（最初に1回）'!$C$4,N(U9966),IF(COUNTIFS(①今日の在庫を貼る!$B$6:$B$10005,$B9967,①今日の在庫を貼る!$I$6:$I$10005,$I9967)&gt;0,N(U9966),N(U9966)+1))</f>
        <v>2</v>
      </c>
    </row>
    <row r="9968" customFormat="false" ht="15" hidden="false" customHeight="false" outlineLevel="0" collapsed="false">
      <c r="B9968" s="53"/>
      <c r="I9968" s="53"/>
      <c r="U9968" s="31" t="n">
        <f aca="false">IF($B9968&lt;&gt;'設定（最初に1回）'!$C$4,N(U9967),IF(COUNTIFS(①今日の在庫を貼る!$B$6:$B$10005,$B9968,①今日の在庫を貼る!$I$6:$I$10005,$I9968)&gt;0,N(U9967),N(U9967)+1))</f>
        <v>2</v>
      </c>
    </row>
    <row r="9969" customFormat="false" ht="15" hidden="false" customHeight="false" outlineLevel="0" collapsed="false">
      <c r="B9969" s="53"/>
      <c r="I9969" s="53"/>
      <c r="U9969" s="31" t="n">
        <f aca="false">IF($B9969&lt;&gt;'設定（最初に1回）'!$C$4,N(U9968),IF(COUNTIFS(①今日の在庫を貼る!$B$6:$B$10005,$B9969,①今日の在庫を貼る!$I$6:$I$10005,$I9969)&gt;0,N(U9968),N(U9968)+1))</f>
        <v>2</v>
      </c>
    </row>
    <row r="9970" customFormat="false" ht="15" hidden="false" customHeight="false" outlineLevel="0" collapsed="false">
      <c r="B9970" s="53"/>
      <c r="I9970" s="53"/>
      <c r="U9970" s="31" t="n">
        <f aca="false">IF($B9970&lt;&gt;'設定（最初に1回）'!$C$4,N(U9969),IF(COUNTIFS(①今日の在庫を貼る!$B$6:$B$10005,$B9970,①今日の在庫を貼る!$I$6:$I$10005,$I9970)&gt;0,N(U9969),N(U9969)+1))</f>
        <v>2</v>
      </c>
    </row>
    <row r="9971" customFormat="false" ht="15" hidden="false" customHeight="false" outlineLevel="0" collapsed="false">
      <c r="B9971" s="53"/>
      <c r="I9971" s="53"/>
      <c r="U9971" s="31" t="n">
        <f aca="false">IF($B9971&lt;&gt;'設定（最初に1回）'!$C$4,N(U9970),IF(COUNTIFS(①今日の在庫を貼る!$B$6:$B$10005,$B9971,①今日の在庫を貼る!$I$6:$I$10005,$I9971)&gt;0,N(U9970),N(U9970)+1))</f>
        <v>2</v>
      </c>
    </row>
    <row r="9972" customFormat="false" ht="15" hidden="false" customHeight="false" outlineLevel="0" collapsed="false">
      <c r="B9972" s="53"/>
      <c r="I9972" s="53"/>
      <c r="U9972" s="31" t="n">
        <f aca="false">IF($B9972&lt;&gt;'設定（最初に1回）'!$C$4,N(U9971),IF(COUNTIFS(①今日の在庫を貼る!$B$6:$B$10005,$B9972,①今日の在庫を貼る!$I$6:$I$10005,$I9972)&gt;0,N(U9971),N(U9971)+1))</f>
        <v>2</v>
      </c>
    </row>
    <row r="9973" customFormat="false" ht="15" hidden="false" customHeight="false" outlineLevel="0" collapsed="false">
      <c r="B9973" s="53"/>
      <c r="I9973" s="53"/>
      <c r="U9973" s="31" t="n">
        <f aca="false">IF($B9973&lt;&gt;'設定（最初に1回）'!$C$4,N(U9972),IF(COUNTIFS(①今日の在庫を貼る!$B$6:$B$10005,$B9973,①今日の在庫を貼る!$I$6:$I$10005,$I9973)&gt;0,N(U9972),N(U9972)+1))</f>
        <v>2</v>
      </c>
    </row>
    <row r="9974" customFormat="false" ht="15" hidden="false" customHeight="false" outlineLevel="0" collapsed="false">
      <c r="B9974" s="53"/>
      <c r="I9974" s="53"/>
      <c r="U9974" s="31" t="n">
        <f aca="false">IF($B9974&lt;&gt;'設定（最初に1回）'!$C$4,N(U9973),IF(COUNTIFS(①今日の在庫を貼る!$B$6:$B$10005,$B9974,①今日の在庫を貼る!$I$6:$I$10005,$I9974)&gt;0,N(U9973),N(U9973)+1))</f>
        <v>2</v>
      </c>
    </row>
    <row r="9975" customFormat="false" ht="15" hidden="false" customHeight="false" outlineLevel="0" collapsed="false">
      <c r="B9975" s="53"/>
      <c r="I9975" s="53"/>
      <c r="U9975" s="31" t="n">
        <f aca="false">IF($B9975&lt;&gt;'設定（最初に1回）'!$C$4,N(U9974),IF(COUNTIFS(①今日の在庫を貼る!$B$6:$B$10005,$B9975,①今日の在庫を貼る!$I$6:$I$10005,$I9975)&gt;0,N(U9974),N(U9974)+1))</f>
        <v>2</v>
      </c>
    </row>
    <row r="9976" customFormat="false" ht="15" hidden="false" customHeight="false" outlineLevel="0" collapsed="false">
      <c r="B9976" s="53"/>
      <c r="I9976" s="53"/>
      <c r="U9976" s="31" t="n">
        <f aca="false">IF($B9976&lt;&gt;'設定（最初に1回）'!$C$4,N(U9975),IF(COUNTIFS(①今日の在庫を貼る!$B$6:$B$10005,$B9976,①今日の在庫を貼る!$I$6:$I$10005,$I9976)&gt;0,N(U9975),N(U9975)+1))</f>
        <v>2</v>
      </c>
    </row>
    <row r="9977" customFormat="false" ht="15" hidden="false" customHeight="false" outlineLevel="0" collapsed="false">
      <c r="B9977" s="53"/>
      <c r="I9977" s="53"/>
      <c r="U9977" s="31" t="n">
        <f aca="false">IF($B9977&lt;&gt;'設定（最初に1回）'!$C$4,N(U9976),IF(COUNTIFS(①今日の在庫を貼る!$B$6:$B$10005,$B9977,①今日の在庫を貼る!$I$6:$I$10005,$I9977)&gt;0,N(U9976),N(U9976)+1))</f>
        <v>2</v>
      </c>
    </row>
    <row r="9978" customFormat="false" ht="15" hidden="false" customHeight="false" outlineLevel="0" collapsed="false">
      <c r="B9978" s="53"/>
      <c r="I9978" s="53"/>
      <c r="U9978" s="31" t="n">
        <f aca="false">IF($B9978&lt;&gt;'設定（最初に1回）'!$C$4,N(U9977),IF(COUNTIFS(①今日の在庫を貼る!$B$6:$B$10005,$B9978,①今日の在庫を貼る!$I$6:$I$10005,$I9978)&gt;0,N(U9977),N(U9977)+1))</f>
        <v>2</v>
      </c>
    </row>
    <row r="9979" customFormat="false" ht="15" hidden="false" customHeight="false" outlineLevel="0" collapsed="false">
      <c r="B9979" s="53"/>
      <c r="I9979" s="53"/>
      <c r="U9979" s="31" t="n">
        <f aca="false">IF($B9979&lt;&gt;'設定（最初に1回）'!$C$4,N(U9978),IF(COUNTIFS(①今日の在庫を貼る!$B$6:$B$10005,$B9979,①今日の在庫を貼る!$I$6:$I$10005,$I9979)&gt;0,N(U9978),N(U9978)+1))</f>
        <v>2</v>
      </c>
    </row>
    <row r="9980" customFormat="false" ht="15" hidden="false" customHeight="false" outlineLevel="0" collapsed="false">
      <c r="B9980" s="53"/>
      <c r="I9980" s="53"/>
      <c r="U9980" s="31" t="n">
        <f aca="false">IF($B9980&lt;&gt;'設定（最初に1回）'!$C$4,N(U9979),IF(COUNTIFS(①今日の在庫を貼る!$B$6:$B$10005,$B9980,①今日の在庫を貼る!$I$6:$I$10005,$I9980)&gt;0,N(U9979),N(U9979)+1))</f>
        <v>2</v>
      </c>
    </row>
    <row r="9981" customFormat="false" ht="15" hidden="false" customHeight="false" outlineLevel="0" collapsed="false">
      <c r="B9981" s="53"/>
      <c r="I9981" s="53"/>
      <c r="U9981" s="31" t="n">
        <f aca="false">IF($B9981&lt;&gt;'設定（最初に1回）'!$C$4,N(U9980),IF(COUNTIFS(①今日の在庫を貼る!$B$6:$B$10005,$B9981,①今日の在庫を貼る!$I$6:$I$10005,$I9981)&gt;0,N(U9980),N(U9980)+1))</f>
        <v>2</v>
      </c>
    </row>
    <row r="9982" customFormat="false" ht="15" hidden="false" customHeight="false" outlineLevel="0" collapsed="false">
      <c r="B9982" s="53"/>
      <c r="I9982" s="53"/>
      <c r="U9982" s="31" t="n">
        <f aca="false">IF($B9982&lt;&gt;'設定（最初に1回）'!$C$4,N(U9981),IF(COUNTIFS(①今日の在庫を貼る!$B$6:$B$10005,$B9982,①今日の在庫を貼る!$I$6:$I$10005,$I9982)&gt;0,N(U9981),N(U9981)+1))</f>
        <v>2</v>
      </c>
    </row>
    <row r="9983" customFormat="false" ht="15" hidden="false" customHeight="false" outlineLevel="0" collapsed="false">
      <c r="B9983" s="53"/>
      <c r="I9983" s="53"/>
      <c r="U9983" s="31" t="n">
        <f aca="false">IF($B9983&lt;&gt;'設定（最初に1回）'!$C$4,N(U9982),IF(COUNTIFS(①今日の在庫を貼る!$B$6:$B$10005,$B9983,①今日の在庫を貼る!$I$6:$I$10005,$I9983)&gt;0,N(U9982),N(U9982)+1))</f>
        <v>2</v>
      </c>
    </row>
    <row r="9984" customFormat="false" ht="15" hidden="false" customHeight="false" outlineLevel="0" collapsed="false">
      <c r="B9984" s="53"/>
      <c r="I9984" s="53"/>
      <c r="U9984" s="31" t="n">
        <f aca="false">IF($B9984&lt;&gt;'設定（最初に1回）'!$C$4,N(U9983),IF(COUNTIFS(①今日の在庫を貼る!$B$6:$B$10005,$B9984,①今日の在庫を貼る!$I$6:$I$10005,$I9984)&gt;0,N(U9983),N(U9983)+1))</f>
        <v>2</v>
      </c>
    </row>
    <row r="9985" customFormat="false" ht="15" hidden="false" customHeight="false" outlineLevel="0" collapsed="false">
      <c r="B9985" s="53"/>
      <c r="I9985" s="53"/>
      <c r="U9985" s="31" t="n">
        <f aca="false">IF($B9985&lt;&gt;'設定（最初に1回）'!$C$4,N(U9984),IF(COUNTIFS(①今日の在庫を貼る!$B$6:$B$10005,$B9985,①今日の在庫を貼る!$I$6:$I$10005,$I9985)&gt;0,N(U9984),N(U9984)+1))</f>
        <v>2</v>
      </c>
    </row>
    <row r="9986" customFormat="false" ht="15" hidden="false" customHeight="false" outlineLevel="0" collapsed="false">
      <c r="B9986" s="53"/>
      <c r="I9986" s="53"/>
      <c r="U9986" s="31" t="n">
        <f aca="false">IF($B9986&lt;&gt;'設定（最初に1回）'!$C$4,N(U9985),IF(COUNTIFS(①今日の在庫を貼る!$B$6:$B$10005,$B9986,①今日の在庫を貼る!$I$6:$I$10005,$I9986)&gt;0,N(U9985),N(U9985)+1))</f>
        <v>2</v>
      </c>
    </row>
    <row r="9987" customFormat="false" ht="15" hidden="false" customHeight="false" outlineLevel="0" collapsed="false">
      <c r="B9987" s="53"/>
      <c r="I9987" s="53"/>
      <c r="U9987" s="31" t="n">
        <f aca="false">IF($B9987&lt;&gt;'設定（最初に1回）'!$C$4,N(U9986),IF(COUNTIFS(①今日の在庫を貼る!$B$6:$B$10005,$B9987,①今日の在庫を貼る!$I$6:$I$10005,$I9987)&gt;0,N(U9986),N(U9986)+1))</f>
        <v>2</v>
      </c>
    </row>
    <row r="9988" customFormat="false" ht="15" hidden="false" customHeight="false" outlineLevel="0" collapsed="false">
      <c r="B9988" s="53"/>
      <c r="I9988" s="53"/>
      <c r="U9988" s="31" t="n">
        <f aca="false">IF($B9988&lt;&gt;'設定（最初に1回）'!$C$4,N(U9987),IF(COUNTIFS(①今日の在庫を貼る!$B$6:$B$10005,$B9988,①今日の在庫を貼る!$I$6:$I$10005,$I9988)&gt;0,N(U9987),N(U9987)+1))</f>
        <v>2</v>
      </c>
    </row>
    <row r="9989" customFormat="false" ht="15" hidden="false" customHeight="false" outlineLevel="0" collapsed="false">
      <c r="B9989" s="53"/>
      <c r="I9989" s="53"/>
      <c r="U9989" s="31" t="n">
        <f aca="false">IF($B9989&lt;&gt;'設定（最初に1回）'!$C$4,N(U9988),IF(COUNTIFS(①今日の在庫を貼る!$B$6:$B$10005,$B9989,①今日の在庫を貼る!$I$6:$I$10005,$I9989)&gt;0,N(U9988),N(U9988)+1))</f>
        <v>2</v>
      </c>
    </row>
    <row r="9990" customFormat="false" ht="15" hidden="false" customHeight="false" outlineLevel="0" collapsed="false">
      <c r="B9990" s="53"/>
      <c r="I9990" s="53"/>
      <c r="U9990" s="31" t="n">
        <f aca="false">IF($B9990&lt;&gt;'設定（最初に1回）'!$C$4,N(U9989),IF(COUNTIFS(①今日の在庫を貼る!$B$6:$B$10005,$B9990,①今日の在庫を貼る!$I$6:$I$10005,$I9990)&gt;0,N(U9989),N(U9989)+1))</f>
        <v>2</v>
      </c>
    </row>
    <row r="9991" customFormat="false" ht="15" hidden="false" customHeight="false" outlineLevel="0" collapsed="false">
      <c r="B9991" s="53"/>
      <c r="I9991" s="53"/>
      <c r="U9991" s="31" t="n">
        <f aca="false">IF($B9991&lt;&gt;'設定（最初に1回）'!$C$4,N(U9990),IF(COUNTIFS(①今日の在庫を貼る!$B$6:$B$10005,$B9991,①今日の在庫を貼る!$I$6:$I$10005,$I9991)&gt;0,N(U9990),N(U9990)+1))</f>
        <v>2</v>
      </c>
    </row>
    <row r="9992" customFormat="false" ht="15" hidden="false" customHeight="false" outlineLevel="0" collapsed="false">
      <c r="B9992" s="53"/>
      <c r="I9992" s="53"/>
      <c r="U9992" s="31" t="n">
        <f aca="false">IF($B9992&lt;&gt;'設定（最初に1回）'!$C$4,N(U9991),IF(COUNTIFS(①今日の在庫を貼る!$B$6:$B$10005,$B9992,①今日の在庫を貼る!$I$6:$I$10005,$I9992)&gt;0,N(U9991),N(U9991)+1))</f>
        <v>2</v>
      </c>
    </row>
    <row r="9993" customFormat="false" ht="15" hidden="false" customHeight="false" outlineLevel="0" collapsed="false">
      <c r="B9993" s="53"/>
      <c r="I9993" s="53"/>
      <c r="U9993" s="31" t="n">
        <f aca="false">IF($B9993&lt;&gt;'設定（最初に1回）'!$C$4,N(U9992),IF(COUNTIFS(①今日の在庫を貼る!$B$6:$B$10005,$B9993,①今日の在庫を貼る!$I$6:$I$10005,$I9993)&gt;0,N(U9992),N(U9992)+1))</f>
        <v>2</v>
      </c>
    </row>
    <row r="9994" customFormat="false" ht="15" hidden="false" customHeight="false" outlineLevel="0" collapsed="false">
      <c r="B9994" s="53"/>
      <c r="I9994" s="53"/>
      <c r="U9994" s="31" t="n">
        <f aca="false">IF($B9994&lt;&gt;'設定（最初に1回）'!$C$4,N(U9993),IF(COUNTIFS(①今日の在庫を貼る!$B$6:$B$10005,$B9994,①今日の在庫を貼る!$I$6:$I$10005,$I9994)&gt;0,N(U9993),N(U9993)+1))</f>
        <v>2</v>
      </c>
    </row>
    <row r="9995" customFormat="false" ht="15" hidden="false" customHeight="false" outlineLevel="0" collapsed="false">
      <c r="B9995" s="53"/>
      <c r="I9995" s="53"/>
      <c r="U9995" s="31" t="n">
        <f aca="false">IF($B9995&lt;&gt;'設定（最初に1回）'!$C$4,N(U9994),IF(COUNTIFS(①今日の在庫を貼る!$B$6:$B$10005,$B9995,①今日の在庫を貼る!$I$6:$I$10005,$I9995)&gt;0,N(U9994),N(U9994)+1))</f>
        <v>2</v>
      </c>
    </row>
    <row r="9996" customFormat="false" ht="15" hidden="false" customHeight="false" outlineLevel="0" collapsed="false">
      <c r="B9996" s="53"/>
      <c r="I9996" s="53"/>
      <c r="U9996" s="31" t="n">
        <f aca="false">IF($B9996&lt;&gt;'設定（最初に1回）'!$C$4,N(U9995),IF(COUNTIFS(①今日の在庫を貼る!$B$6:$B$10005,$B9996,①今日の在庫を貼る!$I$6:$I$10005,$I9996)&gt;0,N(U9995),N(U9995)+1))</f>
        <v>2</v>
      </c>
    </row>
    <row r="9997" customFormat="false" ht="15" hidden="false" customHeight="false" outlineLevel="0" collapsed="false">
      <c r="B9997" s="53"/>
      <c r="I9997" s="53"/>
      <c r="U9997" s="31" t="n">
        <f aca="false">IF($B9997&lt;&gt;'設定（最初に1回）'!$C$4,N(U9996),IF(COUNTIFS(①今日の在庫を貼る!$B$6:$B$10005,$B9997,①今日の在庫を貼る!$I$6:$I$10005,$I9997)&gt;0,N(U9996),N(U9996)+1))</f>
        <v>2</v>
      </c>
    </row>
    <row r="9998" customFormat="false" ht="15" hidden="false" customHeight="false" outlineLevel="0" collapsed="false">
      <c r="B9998" s="53"/>
      <c r="I9998" s="53"/>
      <c r="U9998" s="31" t="n">
        <f aca="false">IF($B9998&lt;&gt;'設定（最初に1回）'!$C$4,N(U9997),IF(COUNTIFS(①今日の在庫を貼る!$B$6:$B$10005,$B9998,①今日の在庫を貼る!$I$6:$I$10005,$I9998)&gt;0,N(U9997),N(U9997)+1))</f>
        <v>2</v>
      </c>
    </row>
    <row r="9999" customFormat="false" ht="15" hidden="false" customHeight="false" outlineLevel="0" collapsed="false">
      <c r="B9999" s="53"/>
      <c r="I9999" s="53"/>
      <c r="U9999" s="31" t="n">
        <f aca="false">IF($B9999&lt;&gt;'設定（最初に1回）'!$C$4,N(U9998),IF(COUNTIFS(①今日の在庫を貼る!$B$6:$B$10005,$B9999,①今日の在庫を貼る!$I$6:$I$10005,$I9999)&gt;0,N(U9998),N(U9998)+1))</f>
        <v>2</v>
      </c>
    </row>
    <row r="10000" customFormat="false" ht="15" hidden="false" customHeight="false" outlineLevel="0" collapsed="false">
      <c r="B10000" s="53"/>
      <c r="I10000" s="53"/>
      <c r="U10000" s="31" t="n">
        <f aca="false">IF($B10000&lt;&gt;'設定（最初に1回）'!$C$4,N(U9999),IF(COUNTIFS(①今日の在庫を貼る!$B$6:$B$10005,$B10000,①今日の在庫を貼る!$I$6:$I$10005,$I10000)&gt;0,N(U9999),N(U9999)+1))</f>
        <v>2</v>
      </c>
    </row>
    <row r="10001" customFormat="false" ht="15" hidden="false" customHeight="false" outlineLevel="0" collapsed="false">
      <c r="B10001" s="53"/>
      <c r="I10001" s="53"/>
      <c r="U10001" s="31" t="n">
        <f aca="false">IF($B10001&lt;&gt;'設定（最初に1回）'!$C$4,N(U10000),IF(COUNTIFS(①今日の在庫を貼る!$B$6:$B$10005,$B10001,①今日の在庫を貼る!$I$6:$I$10005,$I10001)&gt;0,N(U10000),N(U10000)+1))</f>
        <v>2</v>
      </c>
    </row>
    <row r="10002" customFormat="false" ht="15" hidden="false" customHeight="false" outlineLevel="0" collapsed="false">
      <c r="B10002" s="53"/>
      <c r="I10002" s="53"/>
      <c r="U10002" s="31" t="n">
        <f aca="false">IF($B10002&lt;&gt;'設定（最初に1回）'!$C$4,N(U10001),IF(COUNTIFS(①今日の在庫を貼る!$B$6:$B$10005,$B10002,①今日の在庫を貼る!$I$6:$I$10005,$I10002)&gt;0,N(U10001),N(U10001)+1))</f>
        <v>2</v>
      </c>
    </row>
    <row r="10003" customFormat="false" ht="15" hidden="false" customHeight="false" outlineLevel="0" collapsed="false">
      <c r="B10003" s="53"/>
      <c r="I10003" s="53"/>
      <c r="U10003" s="31" t="n">
        <f aca="false">IF($B10003&lt;&gt;'設定（最初に1回）'!$C$4,N(U10002),IF(COUNTIFS(①今日の在庫を貼る!$B$6:$B$10005,$B10003,①今日の在庫を貼る!$I$6:$I$10005,$I10003)&gt;0,N(U10002),N(U10002)+1))</f>
        <v>2</v>
      </c>
    </row>
    <row r="10004" customFormat="false" ht="15" hidden="false" customHeight="false" outlineLevel="0" collapsed="false">
      <c r="B10004" s="53"/>
      <c r="I10004" s="53"/>
      <c r="U10004" s="31" t="n">
        <f aca="false">IF($B10004&lt;&gt;'設定（最初に1回）'!$C$4,N(U10003),IF(COUNTIFS(①今日の在庫を貼る!$B$6:$B$10005,$B10004,①今日の在庫を貼る!$I$6:$I$10005,$I10004)&gt;0,N(U10003),N(U10003)+1))</f>
        <v>2</v>
      </c>
    </row>
    <row r="10005" customFormat="false" ht="15" hidden="false" customHeight="false" outlineLevel="0" collapsed="false">
      <c r="B10005" s="53"/>
      <c r="I10005" s="53"/>
      <c r="U10005" s="31" t="n">
        <f aca="false">IF($B10005&lt;&gt;'設定（最初に1回）'!$C$4,N(U10004),IF(COUNTIFS(①今日の在庫を貼る!$B$6:$B$10005,$B10005,①今日の在庫を貼る!$I$6:$I$10005,$I10005)&gt;0,N(U10004),N(U10004)+1))</f>
        <v>2</v>
      </c>
    </row>
  </sheetData>
  <conditionalFormatting sqref="H2">
    <cfRule type="expression" priority="2" aboveAverage="0" equalAverage="0" bottom="0" percent="0" rank="0" text="" dxfId="3">
      <formula>COUNTIF($B$6:$B$10005,'設定（最初に1回）'!$C$4)=0</formula>
    </cfRule>
    <cfRule type="expression" priority="3" aboveAverage="0" equalAverage="0" bottom="0" percent="0" rank="0" text="" dxfId="4">
      <formul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2" min="2" style="0" width="14"/>
    <col collapsed="false" customWidth="true" hidden="false" outlineLevel="0" max="3" min="3" style="0" width="6"/>
    <col collapsed="false" customWidth="true" hidden="false" outlineLevel="0" max="4" min="4" style="0" width="14"/>
    <col collapsed="false" customWidth="true" hidden="false" outlineLevel="0" max="5" min="5" style="0" width="40"/>
    <col collapsed="false" customWidth="true" hidden="false" outlineLevel="0" max="6" min="6" style="0" width="10"/>
    <col collapsed="false" customWidth="true" hidden="false" outlineLevel="0" max="7" min="7" style="0" width="14"/>
    <col collapsed="false" customWidth="true" hidden="false" outlineLevel="0" max="9" min="9" style="0" width="12"/>
  </cols>
  <sheetData>
    <row r="2" customFormat="false" ht="18.55" hidden="false" customHeight="false" outlineLevel="0" collapsed="false">
      <c r="B2" s="1" t="s">
        <v>548</v>
      </c>
    </row>
    <row r="3" customFormat="false" ht="15" hidden="false" customHeight="false" outlineLevel="0" collapsed="false">
      <c r="B3" s="31" t="s">
        <v>549</v>
      </c>
    </row>
    <row r="4" customFormat="false" ht="15" hidden="false" customHeight="false" outlineLevel="0" collapsed="false">
      <c r="B4" s="5" t="s">
        <v>550</v>
      </c>
    </row>
    <row r="5" customFormat="false" ht="15" hidden="false" customHeight="false" outlineLevel="0" collapsed="false">
      <c r="B5" s="31" t="s">
        <v>551</v>
      </c>
    </row>
    <row r="6" customFormat="false" ht="15" hidden="false" customHeight="false" outlineLevel="0" collapsed="false">
      <c r="B6" s="63" t="s">
        <v>502</v>
      </c>
      <c r="C6" s="63" t="s">
        <v>502</v>
      </c>
      <c r="D6" s="63" t="s">
        <v>503</v>
      </c>
      <c r="E6" s="63" t="s">
        <v>503</v>
      </c>
      <c r="F6" s="63" t="s">
        <v>502</v>
      </c>
      <c r="G6" s="63" t="s">
        <v>502</v>
      </c>
    </row>
    <row r="7" customFormat="false" ht="15" hidden="false" customHeight="false" outlineLevel="0" collapsed="false">
      <c r="B7" s="18" t="s">
        <v>552</v>
      </c>
      <c r="C7" s="18" t="s">
        <v>553</v>
      </c>
      <c r="D7" s="18" t="s">
        <v>554</v>
      </c>
      <c r="E7" s="18" t="s">
        <v>555</v>
      </c>
      <c r="F7" s="18" t="s">
        <v>556</v>
      </c>
      <c r="G7" s="18" t="s">
        <v>557</v>
      </c>
      <c r="I7" s="31" t="s">
        <v>558</v>
      </c>
    </row>
    <row r="8" customFormat="false" ht="15" hidden="false" customHeight="false" outlineLevel="0" collapsed="false">
      <c r="B8" s="87" t="n">
        <f aca="false">IF('設定（最初に1回）'!$C$6="","",'設定（最初に1回）'!$C$6+0)</f>
        <v>46143</v>
      </c>
      <c r="C8" s="68" t="str">
        <f aca="false">IF($B8="","",CHOOSE(WEEKDAY($B8),"日","月","火","水","木","金","土"))</f>
        <v>金</v>
      </c>
      <c r="D8" s="70" t="n">
        <v>2871</v>
      </c>
      <c r="E8" s="88" t="s">
        <v>559</v>
      </c>
      <c r="F8" s="89" t="n">
        <f aca="false">IF($B8="","",IF(SUMPRODUCT(MAX((定数マスタ!$X$6:$X$25&lt;=$B8)*(定数マスタ!$Y$6:$Y$25&gt;=$B8)*定数マスタ!$Z$6:$Z$25))=0,IFERROR(INDEX(定数マスタ!$U$6:$U$17,MONTH($B8)),1),SUMPRODUCT(MAX((定数マスタ!$X$6:$X$25&lt;=$B8)*(定数マスタ!$Y$6:$Y$25&gt;=$B8)*定数マスタ!$Z$6:$Z$25))))</f>
        <v>1.45</v>
      </c>
      <c r="G8" s="69" t="n">
        <f aca="false">IF($B8="","",ROUND(IF(ISNUMBER($D8),$D8,N('設定（最初に1回）'!$C$14))*N($F8),0))</f>
        <v>4163</v>
      </c>
      <c r="I8" s="31" t="str">
        <f aca="false">IF($B8="","",TEXT($B8,"m/d")&amp;"("&amp;$C8&amp;")")</f>
        <v>5/1(金)</v>
      </c>
    </row>
    <row r="9" customFormat="false" ht="15" hidden="false" customHeight="false" outlineLevel="0" collapsed="false">
      <c r="B9" s="87" t="n">
        <f aca="false">IF('設定（最初に1回）'!$C$6="","",'設定（最初に1回）'!$C$6+1)</f>
        <v>46144</v>
      </c>
      <c r="C9" s="68" t="str">
        <f aca="false">IF($B9="","",CHOOSE(WEEKDAY($B9),"日","月","火","水","木","金","土"))</f>
        <v>土</v>
      </c>
      <c r="D9" s="70" t="n">
        <v>3417</v>
      </c>
      <c r="E9" s="88" t="s">
        <v>560</v>
      </c>
      <c r="F9" s="89" t="n">
        <f aca="false">IF($B9="","",IF(SUMPRODUCT(MAX((定数マスタ!$X$6:$X$25&lt;=$B9)*(定数マスタ!$Y$6:$Y$25&gt;=$B9)*定数マスタ!$Z$6:$Z$25))=0,IFERROR(INDEX(定数マスタ!$U$6:$U$17,MONTH($B9)),1),SUMPRODUCT(MAX((定数マスタ!$X$6:$X$25&lt;=$B9)*(定数マスタ!$Y$6:$Y$25&gt;=$B9)*定数マスタ!$Z$6:$Z$25))))</f>
        <v>1.45</v>
      </c>
      <c r="G9" s="69" t="n">
        <f aca="false">IF($B9="","",ROUND(IF(ISNUMBER($D9),$D9,N('設定（最初に1回）'!$C$14))*N($F9),0))</f>
        <v>4955</v>
      </c>
      <c r="I9" s="31" t="str">
        <f aca="false">IF($B9="","",TEXT($B9,"m/d")&amp;"("&amp;$C9&amp;")")</f>
        <v>5/2(土)</v>
      </c>
    </row>
    <row r="10" customFormat="false" ht="15" hidden="false" customHeight="false" outlineLevel="0" collapsed="false">
      <c r="B10" s="87" t="n">
        <f aca="false">IF('設定（最初に1回）'!$C$6="","",'設定（最初に1回）'!$C$6+2)</f>
        <v>46145</v>
      </c>
      <c r="C10" s="68" t="str">
        <f aca="false">IF($B10="","",CHOOSE(WEEKDAY($B10),"日","月","火","水","木","金","土"))</f>
        <v>日</v>
      </c>
      <c r="D10" s="70" t="n">
        <v>5467</v>
      </c>
      <c r="E10" s="88" t="s">
        <v>560</v>
      </c>
      <c r="F10" s="89" t="n">
        <f aca="false">IF($B10="","",IF(SUMPRODUCT(MAX((定数マスタ!$X$6:$X$25&lt;=$B10)*(定数マスタ!$Y$6:$Y$25&gt;=$B10)*定数マスタ!$Z$6:$Z$25))=0,IFERROR(INDEX(定数マスタ!$U$6:$U$17,MONTH($B10)),1),SUMPRODUCT(MAX((定数マスタ!$X$6:$X$25&lt;=$B10)*(定数マスタ!$Y$6:$Y$25&gt;=$B10)*定数マスタ!$Z$6:$Z$25))))</f>
        <v>1.45</v>
      </c>
      <c r="G10" s="69" t="n">
        <f aca="false">IF($B10="","",ROUND(IF(ISNUMBER($D10),$D10,N('設定（最初に1回）'!$C$14))*N($F10),0))</f>
        <v>7927</v>
      </c>
      <c r="I10" s="31" t="str">
        <f aca="false">IF($B10="","",TEXT($B10,"m/d")&amp;"("&amp;$C10&amp;")")</f>
        <v>5/3(日)</v>
      </c>
    </row>
    <row r="11" customFormat="false" ht="15" hidden="false" customHeight="false" outlineLevel="0" collapsed="false">
      <c r="B11" s="87" t="n">
        <f aca="false">IF('設定（最初に1回）'!$C$6="","",'設定（最初に1回）'!$C$6+3)</f>
        <v>46146</v>
      </c>
      <c r="C11" s="68" t="str">
        <f aca="false">IF($B11="","",CHOOSE(WEEKDAY($B11),"日","月","火","水","木","金","土"))</f>
        <v>月</v>
      </c>
      <c r="D11" s="70" t="n">
        <v>5837</v>
      </c>
      <c r="E11" s="88" t="s">
        <v>560</v>
      </c>
      <c r="F11" s="89" t="n">
        <f aca="false">IF($B11="","",IF(SUMPRODUCT(MAX((定数マスタ!$X$6:$X$25&lt;=$B11)*(定数マスタ!$Y$6:$Y$25&gt;=$B11)*定数マスタ!$Z$6:$Z$25))=0,IFERROR(INDEX(定数マスタ!$U$6:$U$17,MONTH($B11)),1),SUMPRODUCT(MAX((定数マスタ!$X$6:$X$25&lt;=$B11)*(定数マスタ!$Y$6:$Y$25&gt;=$B11)*定数マスタ!$Z$6:$Z$25))))</f>
        <v>1.45</v>
      </c>
      <c r="G11" s="69" t="n">
        <f aca="false">IF($B11="","",ROUND(IF(ISNUMBER($D11),$D11,N('設定（最初に1回）'!$C$14))*N($F11),0))</f>
        <v>8464</v>
      </c>
      <c r="I11" s="31" t="str">
        <f aca="false">IF($B11="","",TEXT($B11,"m/d")&amp;"("&amp;$C11&amp;")")</f>
        <v>5/4(月)</v>
      </c>
    </row>
    <row r="12" customFormat="false" ht="15" hidden="false" customHeight="false" outlineLevel="0" collapsed="false">
      <c r="B12" s="87" t="n">
        <f aca="false">IF('設定（最初に1回）'!$C$6="","",'設定（最初に1回）'!$C$6+4)</f>
        <v>46147</v>
      </c>
      <c r="C12" s="68" t="str">
        <f aca="false">IF($B12="","",CHOOSE(WEEKDAY($B12),"日","月","火","水","木","金","土"))</f>
        <v>火</v>
      </c>
      <c r="D12" s="70" t="n">
        <v>1751</v>
      </c>
      <c r="E12" s="88" t="s">
        <v>561</v>
      </c>
      <c r="F12" s="89" t="n">
        <f aca="false">IF($B12="","",IF(SUMPRODUCT(MAX((定数マスタ!$X$6:$X$25&lt;=$B12)*(定数マスタ!$Y$6:$Y$25&gt;=$B12)*定数マスタ!$Z$6:$Z$25))=0,IFERROR(INDEX(定数マスタ!$U$6:$U$17,MONTH($B12)),1),SUMPRODUCT(MAX((定数マスタ!$X$6:$X$25&lt;=$B12)*(定数マスタ!$Y$6:$Y$25&gt;=$B12)*定数マスタ!$Z$6:$Z$25))))</f>
        <v>1.45</v>
      </c>
      <c r="G12" s="69" t="n">
        <f aca="false">IF($B12="","",ROUND(IF(ISNUMBER($D12),$D12,N('設定（最初に1回）'!$C$14))*N($F12),0))</f>
        <v>2539</v>
      </c>
      <c r="I12" s="31" t="str">
        <f aca="false">IF($B12="","",TEXT($B12,"m/d")&amp;"("&amp;$C12&amp;")")</f>
        <v>5/5(火)</v>
      </c>
    </row>
    <row r="13" customFormat="false" ht="15" hidden="false" customHeight="false" outlineLevel="0" collapsed="false">
      <c r="B13" s="87" t="n">
        <f aca="false">IF('設定（最初に1回）'!$C$6="","",'設定（最初に1回）'!$C$6+5)</f>
        <v>46148</v>
      </c>
      <c r="C13" s="68" t="str">
        <f aca="false">IF($B13="","",CHOOSE(WEEKDAY($B13),"日","月","火","水","木","金","土"))</f>
        <v>水</v>
      </c>
      <c r="D13" s="70" t="n">
        <v>924</v>
      </c>
      <c r="E13" s="88"/>
      <c r="F13" s="89" t="n">
        <f aca="false">IF($B13="","",IF(SUMPRODUCT(MAX((定数マスタ!$X$6:$X$25&lt;=$B13)*(定数マスタ!$Y$6:$Y$25&gt;=$B13)*定数マスタ!$Z$6:$Z$25))=0,IFERROR(INDEX(定数マスタ!$U$6:$U$17,MONTH($B13)),1),SUMPRODUCT(MAX((定数マスタ!$X$6:$X$25&lt;=$B13)*(定数マスタ!$Y$6:$Y$25&gt;=$B13)*定数マスタ!$Z$6:$Z$25))))</f>
        <v>1.45</v>
      </c>
      <c r="G13" s="69" t="n">
        <f aca="false">IF($B13="","",ROUND(IF(ISNUMBER($D13),$D13,N('設定（最初に1回）'!$C$14))*N($F13),0))</f>
        <v>1340</v>
      </c>
      <c r="I13" s="31" t="str">
        <f aca="false">IF($B13="","",TEXT($B13,"m/d")&amp;"("&amp;$C13&amp;")")</f>
        <v>5/6(水)</v>
      </c>
    </row>
    <row r="14" customFormat="false" ht="15" hidden="false" customHeight="false" outlineLevel="0" collapsed="false">
      <c r="B14" s="87" t="n">
        <f aca="false">IF('設定（最初に1回）'!$C$6="","",'設定（最初に1回）'!$C$6+6)</f>
        <v>46149</v>
      </c>
      <c r="C14" s="68" t="str">
        <f aca="false">IF($B14="","",CHOOSE(WEEKDAY($B14),"日","月","火","水","木","金","土"))</f>
        <v>木</v>
      </c>
      <c r="D14" s="70" t="n">
        <v>1271</v>
      </c>
      <c r="E14" s="88"/>
      <c r="F14" s="89" t="n">
        <f aca="false">IF($B14="","",IF(SUMPRODUCT(MAX((定数マスタ!$X$6:$X$25&lt;=$B14)*(定数マスタ!$Y$6:$Y$25&gt;=$B14)*定数マスタ!$Z$6:$Z$25))=0,IFERROR(INDEX(定数マスタ!$U$6:$U$17,MONTH($B14)),1),SUMPRODUCT(MAX((定数マスタ!$X$6:$X$25&lt;=$B14)*(定数マスタ!$Y$6:$Y$25&gt;=$B14)*定数マスタ!$Z$6:$Z$25))))</f>
        <v>1.2</v>
      </c>
      <c r="G14" s="69" t="n">
        <f aca="false">IF($B14="","",ROUND(IF(ISNUMBER($D14),$D14,N('設定（最初に1回）'!$C$14))*N($F14),0))</f>
        <v>1525</v>
      </c>
      <c r="I14" s="31" t="str">
        <f aca="false">IF($B14="","",TEXT($B14,"m/d")&amp;"("&amp;$C14&amp;")")</f>
        <v>5/7(木)</v>
      </c>
    </row>
    <row r="15" customFormat="false" ht="15" hidden="false" customHeight="false" outlineLevel="0" collapsed="false">
      <c r="B15" s="87" t="n">
        <f aca="false">IF('設定（最初に1回）'!$C$6="","",'設定（最初に1回）'!$C$6+7)</f>
        <v>46150</v>
      </c>
      <c r="C15" s="68" t="str">
        <f aca="false">IF($B15="","",CHOOSE(WEEKDAY($B15),"日","月","火","水","木","金","土"))</f>
        <v>金</v>
      </c>
      <c r="D15" s="70" t="n">
        <v>1277</v>
      </c>
      <c r="E15" s="88"/>
      <c r="F15" s="89" t="n">
        <f aca="false">IF($B15="","",IF(SUMPRODUCT(MAX((定数マスタ!$X$6:$X$25&lt;=$B15)*(定数マスタ!$Y$6:$Y$25&gt;=$B15)*定数マスタ!$Z$6:$Z$25))=0,IFERROR(INDEX(定数マスタ!$U$6:$U$17,MONTH($B15)),1),SUMPRODUCT(MAX((定数マスタ!$X$6:$X$25&lt;=$B15)*(定数マスタ!$Y$6:$Y$25&gt;=$B15)*定数マスタ!$Z$6:$Z$25))))</f>
        <v>1.2</v>
      </c>
      <c r="G15" s="69" t="n">
        <f aca="false">IF($B15="","",ROUND(IF(ISNUMBER($D15),$D15,N('設定（最初に1回）'!$C$14))*N($F15),0))</f>
        <v>1532</v>
      </c>
      <c r="I15" s="31" t="str">
        <f aca="false">IF($B15="","",TEXT($B15,"m/d")&amp;"("&amp;$C15&amp;")")</f>
        <v>5/8(金)</v>
      </c>
    </row>
    <row r="16" customFormat="false" ht="15" hidden="false" customHeight="false" outlineLevel="0" collapsed="false">
      <c r="B16" s="87" t="n">
        <f aca="false">IF('設定（最初に1回）'!$C$6="","",'設定（最初に1回）'!$C$6+8)</f>
        <v>46151</v>
      </c>
      <c r="C16" s="68" t="str">
        <f aca="false">IF($B16="","",CHOOSE(WEEKDAY($B16),"日","月","火","水","木","金","土"))</f>
        <v>土</v>
      </c>
      <c r="D16" s="70" t="n">
        <v>1772</v>
      </c>
      <c r="E16" s="88"/>
      <c r="F16" s="89" t="n">
        <f aca="false">IF($B16="","",IF(SUMPRODUCT(MAX((定数マスタ!$X$6:$X$25&lt;=$B16)*(定数マスタ!$Y$6:$Y$25&gt;=$B16)*定数マスタ!$Z$6:$Z$25))=0,IFERROR(INDEX(定数マスタ!$U$6:$U$17,MONTH($B16)),1),SUMPRODUCT(MAX((定数マスタ!$X$6:$X$25&lt;=$B16)*(定数マスタ!$Y$6:$Y$25&gt;=$B16)*定数マスタ!$Z$6:$Z$25))))</f>
        <v>1.2</v>
      </c>
      <c r="G16" s="69" t="n">
        <f aca="false">IF($B16="","",ROUND(IF(ISNUMBER($D16),$D16,N('設定（最初に1回）'!$C$14))*N($F16),0))</f>
        <v>2126</v>
      </c>
      <c r="I16" s="31" t="str">
        <f aca="false">IF($B16="","",TEXT($B16,"m/d")&amp;"("&amp;$C16&amp;")")</f>
        <v>5/9(土)</v>
      </c>
    </row>
    <row r="17" customFormat="false" ht="15" hidden="false" customHeight="false" outlineLevel="0" collapsed="false">
      <c r="B17" s="87" t="n">
        <f aca="false">IF('設定（最初に1回）'!$C$6="","",'設定（最初に1回）'!$C$6+9)</f>
        <v>46152</v>
      </c>
      <c r="C17" s="68" t="str">
        <f aca="false">IF($B17="","",CHOOSE(WEEKDAY($B17),"日","月","火","水","木","金","土"))</f>
        <v>日</v>
      </c>
      <c r="D17" s="70" t="n">
        <v>2909</v>
      </c>
      <c r="E17" s="88"/>
      <c r="F17" s="89" t="n">
        <f aca="false">IF($B17="","",IF(SUMPRODUCT(MAX((定数マスタ!$X$6:$X$25&lt;=$B17)*(定数マスタ!$Y$6:$Y$25&gt;=$B17)*定数マスタ!$Z$6:$Z$25))=0,IFERROR(INDEX(定数マスタ!$U$6:$U$17,MONTH($B17)),1),SUMPRODUCT(MAX((定数マスタ!$X$6:$X$25&lt;=$B17)*(定数マスタ!$Y$6:$Y$25&gt;=$B17)*定数マスタ!$Z$6:$Z$25))))</f>
        <v>1.2</v>
      </c>
      <c r="G17" s="69" t="n">
        <f aca="false">IF($B17="","",ROUND(IF(ISNUMBER($D17),$D17,N('設定（最初に1回）'!$C$14))*N($F17),0))</f>
        <v>3491</v>
      </c>
      <c r="I17" s="31" t="str">
        <f aca="false">IF($B17="","",TEXT($B17,"m/d")&amp;"("&amp;$C17&amp;")")</f>
        <v>5/10(日)</v>
      </c>
    </row>
    <row r="18" customFormat="false" ht="15" hidden="false" customHeight="false" outlineLevel="0" collapsed="false">
      <c r="B18" s="87" t="n">
        <f aca="false">IF('設定（最初に1回）'!$C$6="","",'設定（最初に1回）'!$C$6+10)</f>
        <v>46153</v>
      </c>
      <c r="C18" s="68" t="str">
        <f aca="false">IF($B18="","",CHOOSE(WEEKDAY($B18),"日","月","火","水","木","金","土"))</f>
        <v>月</v>
      </c>
      <c r="D18" s="70" t="n">
        <v>2570</v>
      </c>
      <c r="E18" s="88"/>
      <c r="F18" s="89" t="n">
        <f aca="false">IF($B18="","",IF(SUMPRODUCT(MAX((定数マスタ!$X$6:$X$25&lt;=$B18)*(定数マスタ!$Y$6:$Y$25&gt;=$B18)*定数マスタ!$Z$6:$Z$25))=0,IFERROR(INDEX(定数マスタ!$U$6:$U$17,MONTH($B18)),1),SUMPRODUCT(MAX((定数マスタ!$X$6:$X$25&lt;=$B18)*(定数マスタ!$Y$6:$Y$25&gt;=$B18)*定数マスタ!$Z$6:$Z$25))))</f>
        <v>1.2</v>
      </c>
      <c r="G18" s="69" t="n">
        <f aca="false">IF($B18="","",ROUND(IF(ISNUMBER($D18),$D18,N('設定（最初に1回）'!$C$14))*N($F18),0))</f>
        <v>3084</v>
      </c>
      <c r="I18" s="31" t="str">
        <f aca="false">IF($B18="","",TEXT($B18,"m/d")&amp;"("&amp;$C18&amp;")")</f>
        <v>5/11(月)</v>
      </c>
    </row>
    <row r="19" customFormat="false" ht="15" hidden="false" customHeight="false" outlineLevel="0" collapsed="false">
      <c r="B19" s="87" t="n">
        <f aca="false">IF('設定（最初に1回）'!$C$6="","",'設定（最初に1回）'!$C$6+11)</f>
        <v>46154</v>
      </c>
      <c r="C19" s="68" t="str">
        <f aca="false">IF($B19="","",CHOOSE(WEEKDAY($B19),"日","月","火","水","木","金","土"))</f>
        <v>火</v>
      </c>
      <c r="D19" s="70" t="n">
        <v>1104</v>
      </c>
      <c r="E19" s="88"/>
      <c r="F19" s="89" t="n">
        <f aca="false">IF($B19="","",IF(SUMPRODUCT(MAX((定数マスタ!$X$6:$X$25&lt;=$B19)*(定数マスタ!$Y$6:$Y$25&gt;=$B19)*定数マスタ!$Z$6:$Z$25))=0,IFERROR(INDEX(定数マスタ!$U$6:$U$17,MONTH($B19)),1),SUMPRODUCT(MAX((定数マスタ!$X$6:$X$25&lt;=$B19)*(定数マスタ!$Y$6:$Y$25&gt;=$B19)*定数マスタ!$Z$6:$Z$25))))</f>
        <v>1.2</v>
      </c>
      <c r="G19" s="69" t="n">
        <f aca="false">IF($B19="","",ROUND(IF(ISNUMBER($D19),$D19,N('設定（最初に1回）'!$C$14))*N($F19),0))</f>
        <v>1325</v>
      </c>
      <c r="I19" s="31" t="str">
        <f aca="false">IF($B19="","",TEXT($B19,"m/d")&amp;"("&amp;$C19&amp;")")</f>
        <v>5/12(火)</v>
      </c>
    </row>
    <row r="20" customFormat="false" ht="15" hidden="false" customHeight="false" outlineLevel="0" collapsed="false">
      <c r="B20" s="87" t="n">
        <f aca="false">IF('設定（最初に1回）'!$C$6="","",'設定（最初に1回）'!$C$6+12)</f>
        <v>46155</v>
      </c>
      <c r="C20" s="68" t="str">
        <f aca="false">IF($B20="","",CHOOSE(WEEKDAY($B20),"日","月","火","水","木","金","土"))</f>
        <v>水</v>
      </c>
      <c r="D20" s="70" t="n">
        <v>1014</v>
      </c>
      <c r="E20" s="88"/>
      <c r="F20" s="89" t="n">
        <f aca="false">IF($B20="","",IF(SUMPRODUCT(MAX((定数マスタ!$X$6:$X$25&lt;=$B20)*(定数マスタ!$Y$6:$Y$25&gt;=$B20)*定数マスタ!$Z$6:$Z$25))=0,IFERROR(INDEX(定数マスタ!$U$6:$U$17,MONTH($B20)),1),SUMPRODUCT(MAX((定数マスタ!$X$6:$X$25&lt;=$B20)*(定数マスタ!$Y$6:$Y$25&gt;=$B20)*定数マスタ!$Z$6:$Z$25))))</f>
        <v>1.2</v>
      </c>
      <c r="G20" s="69" t="n">
        <f aca="false">IF($B20="","",ROUND(IF(ISNUMBER($D20),$D20,N('設定（最初に1回）'!$C$14))*N($F20),0))</f>
        <v>1217</v>
      </c>
      <c r="I20" s="31" t="str">
        <f aca="false">IF($B20="","",TEXT($B20,"m/d")&amp;"("&amp;$C20&amp;")")</f>
        <v>5/13(水)</v>
      </c>
    </row>
    <row r="21" customFormat="false" ht="15" hidden="false" customHeight="false" outlineLevel="0" collapsed="false">
      <c r="B21" s="87" t="n">
        <f aca="false">IF('設定（最初に1回）'!$C$6="","",'設定（最初に1回）'!$C$6+13)</f>
        <v>46156</v>
      </c>
      <c r="C21" s="68" t="str">
        <f aca="false">IF($B21="","",CHOOSE(WEEKDAY($B21),"日","月","火","水","木","金","土"))</f>
        <v>木</v>
      </c>
      <c r="D21" s="70" t="n">
        <v>1172</v>
      </c>
      <c r="E21" s="88"/>
      <c r="F21" s="89" t="n">
        <f aca="false">IF($B21="","",IF(SUMPRODUCT(MAX((定数マスタ!$X$6:$X$25&lt;=$B21)*(定数マスタ!$Y$6:$Y$25&gt;=$B21)*定数マスタ!$Z$6:$Z$25))=0,IFERROR(INDEX(定数マスタ!$U$6:$U$17,MONTH($B21)),1),SUMPRODUCT(MAX((定数マスタ!$X$6:$X$25&lt;=$B21)*(定数マスタ!$Y$6:$Y$25&gt;=$B21)*定数マスタ!$Z$6:$Z$25))))</f>
        <v>1.2</v>
      </c>
      <c r="G21" s="69" t="n">
        <f aca="false">IF($B21="","",ROUND(IF(ISNUMBER($D21),$D21,N('設定（最初に1回）'!$C$14))*N($F21),0))</f>
        <v>1406</v>
      </c>
      <c r="I21" s="31" t="str">
        <f aca="false">IF($B21="","",TEXT($B21,"m/d")&amp;"("&amp;$C21&amp;")")</f>
        <v>5/14(木)</v>
      </c>
    </row>
    <row r="22" customFormat="false" ht="15" hidden="false" customHeight="false" outlineLevel="0" collapsed="false">
      <c r="B22" s="87" t="n">
        <f aca="false">IF('設定（最初に1回）'!$C$6="","",'設定（最初に1回）'!$C$6+14)</f>
        <v>46157</v>
      </c>
      <c r="C22" s="68" t="str">
        <f aca="false">IF($B22="","",CHOOSE(WEEKDAY($B22),"日","月","火","水","木","金","土"))</f>
        <v>金</v>
      </c>
      <c r="D22" s="70" t="n">
        <v>2802</v>
      </c>
      <c r="E22" s="80" t="s">
        <v>562</v>
      </c>
      <c r="F22" s="89" t="n">
        <f aca="false">IF($B22="","",IF(SUMPRODUCT(MAX((定数マスタ!$X$6:$X$25&lt;=$B22)*(定数マスタ!$Y$6:$Y$25&gt;=$B22)*定数マスタ!$Z$6:$Z$25))=0,IFERROR(INDEX(定数マスタ!$U$6:$U$17,MONTH($B22)),1),SUMPRODUCT(MAX((定数マスタ!$X$6:$X$25&lt;=$B22)*(定数マスタ!$Y$6:$Y$25&gt;=$B22)*定数マスタ!$Z$6:$Z$25))))</f>
        <v>1.6</v>
      </c>
      <c r="G22" s="69" t="n">
        <f aca="false">IF($B22="","",ROUND(IF(ISNUMBER($D22),$D22,N('設定（最初に1回）'!$C$14))*N($F22),0))</f>
        <v>4483</v>
      </c>
      <c r="I22" s="31" t="str">
        <f aca="false">IF($B22="","",TEXT($B22,"m/d")&amp;"("&amp;$C22&amp;")")</f>
        <v>5/15(金)</v>
      </c>
    </row>
    <row r="23" customFormat="false" ht="15" hidden="false" customHeight="false" outlineLevel="0" collapsed="false">
      <c r="B23" s="87" t="n">
        <f aca="false">IF('設定（最初に1回）'!$C$6="","",'設定（最初に1回）'!$C$6+15)</f>
        <v>46158</v>
      </c>
      <c r="C23" s="68" t="str">
        <f aca="false">IF($B23="","",CHOOSE(WEEKDAY($B23),"日","月","火","水","木","金","土"))</f>
        <v>土</v>
      </c>
      <c r="D23" s="70" t="n">
        <v>3465</v>
      </c>
      <c r="E23" s="80" t="s">
        <v>563</v>
      </c>
      <c r="F23" s="89" t="n">
        <f aca="false">IF($B23="","",IF(SUMPRODUCT(MAX((定数マスタ!$X$6:$X$25&lt;=$B23)*(定数マスタ!$Y$6:$Y$25&gt;=$B23)*定数マスタ!$Z$6:$Z$25))=0,IFERROR(INDEX(定数マスタ!$U$6:$U$17,MONTH($B23)),1),SUMPRODUCT(MAX((定数マスタ!$X$6:$X$25&lt;=$B23)*(定数マスタ!$Y$6:$Y$25&gt;=$B23)*定数マスタ!$Z$6:$Z$25))))</f>
        <v>1.6</v>
      </c>
      <c r="G23" s="69" t="n">
        <f aca="false">IF($B23="","",ROUND(IF(ISNUMBER($D23),$D23,N('設定（最初に1回）'!$C$14))*N($F23),0))</f>
        <v>5544</v>
      </c>
      <c r="I23" s="31" t="str">
        <f aca="false">IF($B23="","",TEXT($B23,"m/d")&amp;"("&amp;$C23&amp;")")</f>
        <v>5/16(土)</v>
      </c>
    </row>
    <row r="24" customFormat="false" ht="15" hidden="false" customHeight="false" outlineLevel="0" collapsed="false">
      <c r="B24" s="87" t="n">
        <f aca="false">IF('設定（最初に1回）'!$C$6="","",'設定（最初に1回）'!$C$6+16)</f>
        <v>46159</v>
      </c>
      <c r="C24" s="68" t="str">
        <f aca="false">IF($B24="","",CHOOSE(WEEKDAY($B24),"日","月","火","水","木","金","土"))</f>
        <v>日</v>
      </c>
      <c r="D24" s="70" t="n">
        <v>5409</v>
      </c>
      <c r="E24" s="80" t="s">
        <v>564</v>
      </c>
      <c r="F24" s="89" t="n">
        <f aca="false">IF($B24="","",IF(SUMPRODUCT(MAX((定数マスタ!$X$6:$X$25&lt;=$B24)*(定数マスタ!$Y$6:$Y$25&gt;=$B24)*定数マスタ!$Z$6:$Z$25))=0,IFERROR(INDEX(定数マスタ!$U$6:$U$17,MONTH($B24)),1),SUMPRODUCT(MAX((定数マスタ!$X$6:$X$25&lt;=$B24)*(定数マスタ!$Y$6:$Y$25&gt;=$B24)*定数マスタ!$Z$6:$Z$25))))</f>
        <v>1.6</v>
      </c>
      <c r="G24" s="69" t="n">
        <f aca="false">IF($B24="","",ROUND(IF(ISNUMBER($D24),$D24,N('設定（最初に1回）'!$C$14))*N($F24),0))</f>
        <v>8654</v>
      </c>
      <c r="I24" s="31" t="str">
        <f aca="false">IF($B24="","",TEXT($B24,"m/d")&amp;"("&amp;$C24&amp;")")</f>
        <v>5/17(日)</v>
      </c>
    </row>
    <row r="25" customFormat="false" ht="15" hidden="false" customHeight="false" outlineLevel="0" collapsed="false">
      <c r="B25" s="87" t="n">
        <f aca="false">IF('設定（最初に1回）'!$C$6="","",'設定（最初に1回）'!$C$6+17)</f>
        <v>46160</v>
      </c>
      <c r="C25" s="68" t="str">
        <f aca="false">IF($B25="","",CHOOSE(WEEKDAY($B25),"日","月","火","水","木","金","土"))</f>
        <v>月</v>
      </c>
      <c r="D25" s="70" t="n">
        <v>2815</v>
      </c>
      <c r="E25" s="88"/>
      <c r="F25" s="89" t="n">
        <f aca="false">IF($B25="","",IF(SUMPRODUCT(MAX((定数マスタ!$X$6:$X$25&lt;=$B25)*(定数マスタ!$Y$6:$Y$25&gt;=$B25)*定数マスタ!$Z$6:$Z$25))=0,IFERROR(INDEX(定数マスタ!$U$6:$U$17,MONTH($B25)),1),SUMPRODUCT(MAX((定数マスタ!$X$6:$X$25&lt;=$B25)*(定数マスタ!$Y$6:$Y$25&gt;=$B25)*定数マスタ!$Z$6:$Z$25))))</f>
        <v>1.6</v>
      </c>
      <c r="G25" s="69" t="n">
        <f aca="false">IF($B25="","",ROUND(IF(ISNUMBER($D25),$D25,N('設定（最初に1回）'!$C$14))*N($F25),0))</f>
        <v>4504</v>
      </c>
      <c r="I25" s="31" t="str">
        <f aca="false">IF($B25="","",TEXT($B25,"m/d")&amp;"("&amp;$C25&amp;")")</f>
        <v>5/18(月)</v>
      </c>
    </row>
    <row r="26" customFormat="false" ht="15" hidden="false" customHeight="false" outlineLevel="0" collapsed="false">
      <c r="B26" s="87" t="n">
        <f aca="false">IF('設定（最初に1回）'!$C$6="","",'設定（最初に1回）'!$C$6+18)</f>
        <v>46161</v>
      </c>
      <c r="C26" s="68" t="str">
        <f aca="false">IF($B26="","",CHOOSE(WEEKDAY($B26),"日","月","火","水","木","金","土"))</f>
        <v>火</v>
      </c>
      <c r="D26" s="70" t="n">
        <v>953</v>
      </c>
      <c r="E26" s="88"/>
      <c r="F26" s="89" t="n">
        <f aca="false">IF($B26="","",IF(SUMPRODUCT(MAX((定数マスタ!$X$6:$X$25&lt;=$B26)*(定数マスタ!$Y$6:$Y$25&gt;=$B26)*定数マスタ!$Z$6:$Z$25))=0,IFERROR(INDEX(定数マスタ!$U$6:$U$17,MONTH($B26)),1),SUMPRODUCT(MAX((定数マスタ!$X$6:$X$25&lt;=$B26)*(定数マスタ!$Y$6:$Y$25&gt;=$B26)*定数マスタ!$Z$6:$Z$25))))</f>
        <v>1.6</v>
      </c>
      <c r="G26" s="69" t="n">
        <f aca="false">IF($B26="","",ROUND(IF(ISNUMBER($D26),$D26,N('設定（最初に1回）'!$C$14))*N($F26),0))</f>
        <v>1525</v>
      </c>
      <c r="I26" s="31" t="str">
        <f aca="false">IF($B26="","",TEXT($B26,"m/d")&amp;"("&amp;$C26&amp;")")</f>
        <v>5/19(火)</v>
      </c>
    </row>
    <row r="27" customFormat="false" ht="15" hidden="false" customHeight="false" outlineLevel="0" collapsed="false">
      <c r="B27" s="87" t="n">
        <f aca="false">IF('設定（最初に1回）'!$C$6="","",'設定（最初に1回）'!$C$6+19)</f>
        <v>46162</v>
      </c>
      <c r="C27" s="68" t="str">
        <f aca="false">IF($B27="","",CHOOSE(WEEKDAY($B27),"日","月","火","水","木","金","土"))</f>
        <v>水</v>
      </c>
      <c r="D27" s="70" t="n">
        <v>994</v>
      </c>
      <c r="E27" s="88"/>
      <c r="F27" s="89" t="n">
        <f aca="false">IF($B27="","",IF(SUMPRODUCT(MAX((定数マスタ!$X$6:$X$25&lt;=$B27)*(定数マスタ!$Y$6:$Y$25&gt;=$B27)*定数マスタ!$Z$6:$Z$25))=0,IFERROR(INDEX(定数マスタ!$U$6:$U$17,MONTH($B27)),1),SUMPRODUCT(MAX((定数マスタ!$X$6:$X$25&lt;=$B27)*(定数マスタ!$Y$6:$Y$25&gt;=$B27)*定数マスタ!$Z$6:$Z$25))))</f>
        <v>1.6</v>
      </c>
      <c r="G27" s="69" t="n">
        <f aca="false">IF($B27="","",ROUND(IF(ISNUMBER($D27),$D27,N('設定（最初に1回）'!$C$14))*N($F27),0))</f>
        <v>1590</v>
      </c>
      <c r="I27" s="31" t="str">
        <f aca="false">IF($B27="","",TEXT($B27,"m/d")&amp;"("&amp;$C27&amp;")")</f>
        <v>5/20(水)</v>
      </c>
    </row>
    <row r="28" customFormat="false" ht="15" hidden="false" customHeight="false" outlineLevel="0" collapsed="false">
      <c r="B28" s="87" t="n">
        <f aca="false">IF('設定（最初に1回）'!$C$6="","",'設定（最初に1回）'!$C$6+20)</f>
        <v>46163</v>
      </c>
      <c r="C28" s="68" t="str">
        <f aca="false">IF($B28="","",CHOOSE(WEEKDAY($B28),"日","月","火","水","木","金","土"))</f>
        <v>木</v>
      </c>
      <c r="D28" s="70" t="n">
        <v>1044</v>
      </c>
      <c r="E28" s="88"/>
      <c r="F28" s="89" t="n">
        <f aca="false">IF($B28="","",IF(SUMPRODUCT(MAX((定数マスタ!$X$6:$X$25&lt;=$B28)*(定数マスタ!$Y$6:$Y$25&gt;=$B28)*定数マスタ!$Z$6:$Z$25))=0,IFERROR(INDEX(定数マスタ!$U$6:$U$17,MONTH($B28)),1),SUMPRODUCT(MAX((定数マスタ!$X$6:$X$25&lt;=$B28)*(定数マスタ!$Y$6:$Y$25&gt;=$B28)*定数マスタ!$Z$6:$Z$25))))</f>
        <v>1.6</v>
      </c>
      <c r="G28" s="69" t="n">
        <f aca="false">IF($B28="","",ROUND(IF(ISNUMBER($D28),$D28,N('設定（最初に1回）'!$C$14))*N($F28),0))</f>
        <v>1670</v>
      </c>
      <c r="I28" s="31" t="str">
        <f aca="false">IF($B28="","",TEXT($B28,"m/d")&amp;"("&amp;$C28&amp;")")</f>
        <v>5/21(木)</v>
      </c>
    </row>
    <row r="29" customFormat="false" ht="15" hidden="false" customHeight="false" outlineLevel="0" collapsed="false">
      <c r="B29" s="87" t="n">
        <f aca="false">IF('設定（最初に1回）'!$C$6="","",'設定（最初に1回）'!$C$6+21)</f>
        <v>46164</v>
      </c>
      <c r="C29" s="68" t="str">
        <f aca="false">IF($B29="","",CHOOSE(WEEKDAY($B29),"日","月","火","水","木","金","土"))</f>
        <v>金</v>
      </c>
      <c r="D29" s="70" t="n">
        <v>2733</v>
      </c>
      <c r="E29" s="80" t="s">
        <v>565</v>
      </c>
      <c r="F29" s="89" t="n">
        <f aca="false">IF($B29="","",IF(SUMPRODUCT(MAX((定数マスタ!$X$6:$X$25&lt;=$B29)*(定数マスタ!$Y$6:$Y$25&gt;=$B29)*定数マスタ!$Z$6:$Z$25))=0,IFERROR(INDEX(定数マスタ!$U$6:$U$17,MONTH($B29)),1),SUMPRODUCT(MAX((定数マスタ!$X$6:$X$25&lt;=$B29)*(定数マスタ!$Y$6:$Y$25&gt;=$B29)*定数マスタ!$Z$6:$Z$25))))</f>
        <v>1.2</v>
      </c>
      <c r="G29" s="69" t="n">
        <f aca="false">IF($B29="","",ROUND(IF(ISNUMBER($D29),$D29,N('設定（最初に1回）'!$C$14))*N($F29),0))</f>
        <v>3280</v>
      </c>
      <c r="I29" s="31" t="str">
        <f aca="false">IF($B29="","",TEXT($B29,"m/d")&amp;"("&amp;$C29&amp;")")</f>
        <v>5/22(金)</v>
      </c>
    </row>
    <row r="30" customFormat="false" ht="15" hidden="false" customHeight="false" outlineLevel="0" collapsed="false">
      <c r="B30" s="87" t="n">
        <f aca="false">IF('設定（最初に1回）'!$C$6="","",'設定（最初に1回）'!$C$6+22)</f>
        <v>46165</v>
      </c>
      <c r="C30" s="68" t="str">
        <f aca="false">IF($B30="","",CHOOSE(WEEKDAY($B30),"日","月","火","水","木","金","土"))</f>
        <v>土</v>
      </c>
      <c r="D30" s="70"/>
      <c r="E30" s="88"/>
      <c r="F30" s="89" t="n">
        <f aca="false">IF($B30="","",IF(SUMPRODUCT(MAX((定数マスタ!$X$6:$X$25&lt;=$B30)*(定数マスタ!$Y$6:$Y$25&gt;=$B30)*定数マスタ!$Z$6:$Z$25))=0,IFERROR(INDEX(定数マスタ!$U$6:$U$17,MONTH($B30)),1),SUMPRODUCT(MAX((定数マスタ!$X$6:$X$25&lt;=$B30)*(定数マスタ!$Y$6:$Y$25&gt;=$B30)*定数マスタ!$Z$6:$Z$25))))</f>
        <v>1.2</v>
      </c>
      <c r="G30" s="69" t="n">
        <f aca="false">IF($B30="","",ROUND(IF(ISNUMBER($D30),$D30,N('設定（最初に1回）'!$C$14))*N($F30),0))</f>
        <v>3600</v>
      </c>
      <c r="I30" s="31" t="str">
        <f aca="false">IF($B30="","",TEXT($B30,"m/d")&amp;"("&amp;$C30&amp;")")</f>
        <v>5/23(土)</v>
      </c>
    </row>
    <row r="31" customFormat="false" ht="15" hidden="false" customHeight="false" outlineLevel="0" collapsed="false">
      <c r="B31" s="87" t="n">
        <f aca="false">IF('設定（最初に1回）'!$C$6="","",'設定（最初に1回）'!$C$6+23)</f>
        <v>46166</v>
      </c>
      <c r="C31" s="68" t="str">
        <f aca="false">IF($B31="","",CHOOSE(WEEKDAY($B31),"日","月","火","水","木","金","土"))</f>
        <v>日</v>
      </c>
      <c r="D31" s="70"/>
      <c r="E31" s="88"/>
      <c r="F31" s="89" t="n">
        <f aca="false">IF($B31="","",IF(SUMPRODUCT(MAX((定数マスタ!$X$6:$X$25&lt;=$B31)*(定数マスタ!$Y$6:$Y$25&gt;=$B31)*定数マスタ!$Z$6:$Z$25))=0,IFERROR(INDEX(定数マスタ!$U$6:$U$17,MONTH($B31)),1),SUMPRODUCT(MAX((定数マスタ!$X$6:$X$25&lt;=$B31)*(定数マスタ!$Y$6:$Y$25&gt;=$B31)*定数マスタ!$Z$6:$Z$25))))</f>
        <v>1.2</v>
      </c>
      <c r="G31" s="69" t="n">
        <f aca="false">IF($B31="","",ROUND(IF(ISNUMBER($D31),$D31,N('設定（最初に1回）'!$C$14))*N($F31),0))</f>
        <v>3600</v>
      </c>
      <c r="I31" s="31" t="str">
        <f aca="false">IF($B31="","",TEXT($B31,"m/d")&amp;"("&amp;$C31&amp;")")</f>
        <v>5/24(日)</v>
      </c>
    </row>
    <row r="32" customFormat="false" ht="15" hidden="false" customHeight="false" outlineLevel="0" collapsed="false">
      <c r="B32" s="87" t="n">
        <f aca="false">IF('設定（最初に1回）'!$C$6="","",'設定（最初に1回）'!$C$6+24)</f>
        <v>46167</v>
      </c>
      <c r="C32" s="68" t="str">
        <f aca="false">IF($B32="","",CHOOSE(WEEKDAY($B32),"日","月","火","水","木","金","土"))</f>
        <v>月</v>
      </c>
      <c r="D32" s="70"/>
      <c r="E32" s="88"/>
      <c r="F32" s="89" t="n">
        <f aca="false">IF($B32="","",IF(SUMPRODUCT(MAX((定数マスタ!$X$6:$X$25&lt;=$B32)*(定数マスタ!$Y$6:$Y$25&gt;=$B32)*定数マスタ!$Z$6:$Z$25))=0,IFERROR(INDEX(定数マスタ!$U$6:$U$17,MONTH($B32)),1),SUMPRODUCT(MAX((定数マスタ!$X$6:$X$25&lt;=$B32)*(定数マスタ!$Y$6:$Y$25&gt;=$B32)*定数マスタ!$Z$6:$Z$25))))</f>
        <v>1.2</v>
      </c>
      <c r="G32" s="69" t="n">
        <f aca="false">IF($B32="","",ROUND(IF(ISNUMBER($D32),$D32,N('設定（最初に1回）'!$C$14))*N($F32),0))</f>
        <v>3600</v>
      </c>
      <c r="I32" s="31" t="str">
        <f aca="false">IF($B32="","",TEXT($B32,"m/d")&amp;"("&amp;$C32&amp;")")</f>
        <v>5/25(月)</v>
      </c>
    </row>
    <row r="33" customFormat="false" ht="15" hidden="false" customHeight="false" outlineLevel="0" collapsed="false">
      <c r="B33" s="87" t="n">
        <f aca="false">IF('設定（最初に1回）'!$C$6="","",'設定（最初に1回）'!$C$6+25)</f>
        <v>46168</v>
      </c>
      <c r="C33" s="68" t="str">
        <f aca="false">IF($B33="","",CHOOSE(WEEKDAY($B33),"日","月","火","水","木","金","土"))</f>
        <v>火</v>
      </c>
      <c r="D33" s="70"/>
      <c r="E33" s="88"/>
      <c r="F33" s="89" t="n">
        <f aca="false">IF($B33="","",IF(SUMPRODUCT(MAX((定数マスタ!$X$6:$X$25&lt;=$B33)*(定数マスタ!$Y$6:$Y$25&gt;=$B33)*定数マスタ!$Z$6:$Z$25))=0,IFERROR(INDEX(定数マスタ!$U$6:$U$17,MONTH($B33)),1),SUMPRODUCT(MAX((定数マスタ!$X$6:$X$25&lt;=$B33)*(定数マスタ!$Y$6:$Y$25&gt;=$B33)*定数マスタ!$Z$6:$Z$25))))</f>
        <v>1.2</v>
      </c>
      <c r="G33" s="69" t="n">
        <f aca="false">IF($B33="","",ROUND(IF(ISNUMBER($D33),$D33,N('設定（最初に1回）'!$C$14))*N($F33),0))</f>
        <v>3600</v>
      </c>
      <c r="I33" s="31" t="str">
        <f aca="false">IF($B33="","",TEXT($B33,"m/d")&amp;"("&amp;$C33&amp;")")</f>
        <v>5/26(火)</v>
      </c>
    </row>
    <row r="34" customFormat="false" ht="15" hidden="false" customHeight="false" outlineLevel="0" collapsed="false">
      <c r="B34" s="87" t="n">
        <f aca="false">IF('設定（最初に1回）'!$C$6="","",'設定（最初に1回）'!$C$6+26)</f>
        <v>46169</v>
      </c>
      <c r="C34" s="68" t="str">
        <f aca="false">IF($B34="","",CHOOSE(WEEKDAY($B34),"日","月","火","水","木","金","土"))</f>
        <v>水</v>
      </c>
      <c r="D34" s="70"/>
      <c r="E34" s="88"/>
      <c r="F34" s="89" t="n">
        <f aca="false">IF($B34="","",IF(SUMPRODUCT(MAX((定数マスタ!$X$6:$X$25&lt;=$B34)*(定数マスタ!$Y$6:$Y$25&gt;=$B34)*定数マスタ!$Z$6:$Z$25))=0,IFERROR(INDEX(定数マスタ!$U$6:$U$17,MONTH($B34)),1),SUMPRODUCT(MAX((定数マスタ!$X$6:$X$25&lt;=$B34)*(定数マスタ!$Y$6:$Y$25&gt;=$B34)*定数マスタ!$Z$6:$Z$25))))</f>
        <v>1.2</v>
      </c>
      <c r="G34" s="69" t="n">
        <f aca="false">IF($B34="","",ROUND(IF(ISNUMBER($D34),$D34,N('設定（最初に1回）'!$C$14))*N($F34),0))</f>
        <v>3600</v>
      </c>
      <c r="I34" s="31" t="str">
        <f aca="false">IF($B34="","",TEXT($B34,"m/d")&amp;"("&amp;$C34&amp;")")</f>
        <v>5/27(水)</v>
      </c>
    </row>
    <row r="35" customFormat="false" ht="15" hidden="false" customHeight="false" outlineLevel="0" collapsed="false">
      <c r="B35" s="87" t="n">
        <f aca="false">IF('設定（最初に1回）'!$C$6="","",'設定（最初に1回）'!$C$6+27)</f>
        <v>46170</v>
      </c>
      <c r="C35" s="68" t="str">
        <f aca="false">IF($B35="","",CHOOSE(WEEKDAY($B35),"日","月","火","水","木","金","土"))</f>
        <v>木</v>
      </c>
      <c r="D35" s="70"/>
      <c r="E35" s="88"/>
      <c r="F35" s="89" t="n">
        <f aca="false">IF($B35="","",IF(SUMPRODUCT(MAX((定数マスタ!$X$6:$X$25&lt;=$B35)*(定数マスタ!$Y$6:$Y$25&gt;=$B35)*定数マスタ!$Z$6:$Z$25))=0,IFERROR(INDEX(定数マスタ!$U$6:$U$17,MONTH($B35)),1),SUMPRODUCT(MAX((定数マスタ!$X$6:$X$25&lt;=$B35)*(定数マスタ!$Y$6:$Y$25&gt;=$B35)*定数マスタ!$Z$6:$Z$25))))</f>
        <v>1.2</v>
      </c>
      <c r="G35" s="69" t="n">
        <f aca="false">IF($B35="","",ROUND(IF(ISNUMBER($D35),$D35,N('設定（最初に1回）'!$C$14))*N($F35),0))</f>
        <v>3600</v>
      </c>
      <c r="I35" s="31" t="str">
        <f aca="false">IF($B35="","",TEXT($B35,"m/d")&amp;"("&amp;$C35&amp;")")</f>
        <v>5/28(木)</v>
      </c>
    </row>
    <row r="36" customFormat="false" ht="15" hidden="false" customHeight="false" outlineLevel="0" collapsed="false">
      <c r="B36" s="87" t="n">
        <f aca="false">IF('設定（最初に1回）'!$C$6="","",'設定（最初に1回）'!$C$6+28)</f>
        <v>46171</v>
      </c>
      <c r="C36" s="68" t="str">
        <f aca="false">IF($B36="","",CHOOSE(WEEKDAY($B36),"日","月","火","水","木","金","土"))</f>
        <v>金</v>
      </c>
      <c r="D36" s="70"/>
      <c r="E36" s="88"/>
      <c r="F36" s="89" t="n">
        <f aca="false">IF($B36="","",IF(SUMPRODUCT(MAX((定数マスタ!$X$6:$X$25&lt;=$B36)*(定数マスタ!$Y$6:$Y$25&gt;=$B36)*定数マスタ!$Z$6:$Z$25))=0,IFERROR(INDEX(定数マスタ!$U$6:$U$17,MONTH($B36)),1),SUMPRODUCT(MAX((定数マスタ!$X$6:$X$25&lt;=$B36)*(定数マスタ!$Y$6:$Y$25&gt;=$B36)*定数マスタ!$Z$6:$Z$25))))</f>
        <v>1.2</v>
      </c>
      <c r="G36" s="69" t="n">
        <f aca="false">IF($B36="","",ROUND(IF(ISNUMBER($D36),$D36,N('設定（最初に1回）'!$C$14))*N($F36),0))</f>
        <v>3600</v>
      </c>
      <c r="I36" s="31" t="str">
        <f aca="false">IF($B36="","",TEXT($B36,"m/d")&amp;"("&amp;$C36&amp;")")</f>
        <v>5/29(金)</v>
      </c>
    </row>
    <row r="37" customFormat="false" ht="15" hidden="false" customHeight="false" outlineLevel="0" collapsed="false">
      <c r="B37" s="87" t="n">
        <f aca="false">IF('設定（最初に1回）'!$C$6="","",'設定（最初に1回）'!$C$6+29)</f>
        <v>46172</v>
      </c>
      <c r="C37" s="68" t="str">
        <f aca="false">IF($B37="","",CHOOSE(WEEKDAY($B37),"日","月","火","水","木","金","土"))</f>
        <v>土</v>
      </c>
      <c r="D37" s="70"/>
      <c r="E37" s="88"/>
      <c r="F37" s="89" t="n">
        <f aca="false">IF($B37="","",IF(SUMPRODUCT(MAX((定数マスタ!$X$6:$X$25&lt;=$B37)*(定数マスタ!$Y$6:$Y$25&gt;=$B37)*定数マスタ!$Z$6:$Z$25))=0,IFERROR(INDEX(定数マスタ!$U$6:$U$17,MONTH($B37)),1),SUMPRODUCT(MAX((定数マスタ!$X$6:$X$25&lt;=$B37)*(定数マスタ!$Y$6:$Y$25&gt;=$B37)*定数マスタ!$Z$6:$Z$25))))</f>
        <v>1.2</v>
      </c>
      <c r="G37" s="69" t="n">
        <f aca="false">IF($B37="","",ROUND(IF(ISNUMBER($D37),$D37,N('設定（最初に1回）'!$C$14))*N($F37),0))</f>
        <v>3600</v>
      </c>
      <c r="I37" s="31" t="str">
        <f aca="false">IF($B37="","",TEXT($B37,"m/d")&amp;"("&amp;$C37&amp;")")</f>
        <v>5/30(土)</v>
      </c>
    </row>
    <row r="38" customFormat="false" ht="15" hidden="false" customHeight="false" outlineLevel="0" collapsed="false">
      <c r="B38" s="87" t="n">
        <f aca="false">IF('設定（最初に1回）'!$C$6="","",'設定（最初に1回）'!$C$6+30)</f>
        <v>46173</v>
      </c>
      <c r="C38" s="68" t="str">
        <f aca="false">IF($B38="","",CHOOSE(WEEKDAY($B38),"日","月","火","水","木","金","土"))</f>
        <v>日</v>
      </c>
      <c r="D38" s="70"/>
      <c r="E38" s="88"/>
      <c r="F38" s="89" t="n">
        <f aca="false">IF($B38="","",IF(SUMPRODUCT(MAX((定数マスタ!$X$6:$X$25&lt;=$B38)*(定数マスタ!$Y$6:$Y$25&gt;=$B38)*定数マスタ!$Z$6:$Z$25))=0,IFERROR(INDEX(定数マスタ!$U$6:$U$17,MONTH($B38)),1),SUMPRODUCT(MAX((定数マスタ!$X$6:$X$25&lt;=$B38)*(定数マスタ!$Y$6:$Y$25&gt;=$B38)*定数マスタ!$Z$6:$Z$25))))</f>
        <v>1.2</v>
      </c>
      <c r="G38" s="69" t="n">
        <f aca="false">IF($B38="","",ROUND(IF(ISNUMBER($D38),$D38,N('設定（最初に1回）'!$C$14))*N($F38),0))</f>
        <v>3600</v>
      </c>
      <c r="I38" s="31" t="str">
        <f aca="false">IF($B38="","",TEXT($B38,"m/d")&amp;"("&amp;$C38&amp;")")</f>
        <v>5/31(日)</v>
      </c>
    </row>
    <row r="39" customFormat="false" ht="15" hidden="false" customHeight="false" outlineLevel="0" collapsed="false">
      <c r="B39" s="87" t="n">
        <f aca="false">IF('設定（最初に1回）'!$C$6="","",'設定（最初に1回）'!$C$6+31)</f>
        <v>46174</v>
      </c>
      <c r="C39" s="68" t="str">
        <f aca="false">IF($B39="","",CHOOSE(WEEKDAY($B39),"日","月","火","水","木","金","土"))</f>
        <v>月</v>
      </c>
      <c r="D39" s="70"/>
      <c r="E39" s="88"/>
      <c r="F39" s="89" t="n">
        <f aca="false">IF($B39="","",IF(SUMPRODUCT(MAX((定数マスタ!$X$6:$X$25&lt;=$B39)*(定数マスタ!$Y$6:$Y$25&gt;=$B39)*定数マスタ!$Z$6:$Z$25))=0,IFERROR(INDEX(定数マスタ!$U$6:$U$17,MONTH($B39)),1),SUMPRODUCT(MAX((定数マスタ!$X$6:$X$25&lt;=$B39)*(定数マスタ!$Y$6:$Y$25&gt;=$B39)*定数マスタ!$Z$6:$Z$25))))</f>
        <v>0.85</v>
      </c>
      <c r="G39" s="69" t="n">
        <f aca="false">IF($B39="","",ROUND(IF(ISNUMBER($D39),$D39,N('設定（最初に1回）'!$C$14))*N($F39),0))</f>
        <v>2550</v>
      </c>
      <c r="I39" s="31" t="str">
        <f aca="false">IF($B39="","",TEXT($B39,"m/d")&amp;"("&amp;$C39&amp;")")</f>
        <v>6/1(月)</v>
      </c>
    </row>
    <row r="40" customFormat="false" ht="15" hidden="false" customHeight="false" outlineLevel="0" collapsed="false">
      <c r="B40" s="87" t="n">
        <f aca="false">IF('設定（最初に1回）'!$C$6="","",'設定（最初に1回）'!$C$6+32)</f>
        <v>46175</v>
      </c>
      <c r="C40" s="68" t="str">
        <f aca="false">IF($B40="","",CHOOSE(WEEKDAY($B40),"日","月","火","水","木","金","土"))</f>
        <v>火</v>
      </c>
      <c r="D40" s="70"/>
      <c r="E40" s="88"/>
      <c r="F40" s="89" t="n">
        <f aca="false">IF($B40="","",IF(SUMPRODUCT(MAX((定数マスタ!$X$6:$X$25&lt;=$B40)*(定数マスタ!$Y$6:$Y$25&gt;=$B40)*定数マスタ!$Z$6:$Z$25))=0,IFERROR(INDEX(定数マスタ!$U$6:$U$17,MONTH($B40)),1),SUMPRODUCT(MAX((定数マスタ!$X$6:$X$25&lt;=$B40)*(定数マスタ!$Y$6:$Y$25&gt;=$B40)*定数マスタ!$Z$6:$Z$25))))</f>
        <v>0.85</v>
      </c>
      <c r="G40" s="69" t="n">
        <f aca="false">IF($B40="","",ROUND(IF(ISNUMBER($D40),$D40,N('設定（最初に1回）'!$C$14))*N($F40),0))</f>
        <v>2550</v>
      </c>
      <c r="I40" s="31" t="str">
        <f aca="false">IF($B40="","",TEXT($B40,"m/d")&amp;"("&amp;$C40&amp;")")</f>
        <v>6/2(火)</v>
      </c>
    </row>
    <row r="41" customFormat="false" ht="15" hidden="false" customHeight="false" outlineLevel="0" collapsed="false">
      <c r="B41" s="87" t="n">
        <f aca="false">IF('設定（最初に1回）'!$C$6="","",'設定（最初に1回）'!$C$6+33)</f>
        <v>46176</v>
      </c>
      <c r="C41" s="68" t="str">
        <f aca="false">IF($B41="","",CHOOSE(WEEKDAY($B41),"日","月","火","水","木","金","土"))</f>
        <v>水</v>
      </c>
      <c r="D41" s="70" t="n">
        <v>1835</v>
      </c>
      <c r="E41" s="80" t="s">
        <v>566</v>
      </c>
      <c r="F41" s="89" t="n">
        <f aca="false">IF($B41="","",IF(SUMPRODUCT(MAX((定数マスタ!$X$6:$X$25&lt;=$B41)*(定数マスタ!$Y$6:$Y$25&gt;=$B41)*定数マスタ!$Z$6:$Z$25))=0,IFERROR(INDEX(定数マスタ!$U$6:$U$17,MONTH($B41)),1),SUMPRODUCT(MAX((定数マスタ!$X$6:$X$25&lt;=$B41)*(定数マスタ!$Y$6:$Y$25&gt;=$B41)*定数マスタ!$Z$6:$Z$25))))</f>
        <v>0.85</v>
      </c>
      <c r="G41" s="69" t="n">
        <f aca="false">IF($B41="","",ROUND(IF(ISNUMBER($D41),$D41,N('設定（最初に1回）'!$C$14))*N($F41),0))</f>
        <v>1560</v>
      </c>
      <c r="I41" s="31" t="str">
        <f aca="false">IF($B41="","",TEXT($B41,"m/d")&amp;"("&amp;$C41&amp;")")</f>
        <v>6/3(水)</v>
      </c>
    </row>
    <row r="42" customFormat="false" ht="15" hidden="false" customHeight="false" outlineLevel="0" collapsed="false">
      <c r="B42" s="87" t="n">
        <f aca="false">IF('設定（最初に1回）'!$C$6="","",'設定（最初に1回）'!$C$6+34)</f>
        <v>46177</v>
      </c>
      <c r="C42" s="68" t="str">
        <f aca="false">IF($B42="","",CHOOSE(WEEKDAY($B42),"日","月","火","水","木","金","土"))</f>
        <v>木</v>
      </c>
      <c r="D42" s="70"/>
      <c r="E42" s="88"/>
      <c r="F42" s="89" t="n">
        <f aca="false">IF($B42="","",IF(SUMPRODUCT(MAX((定数マスタ!$X$6:$X$25&lt;=$B42)*(定数マスタ!$Y$6:$Y$25&gt;=$B42)*定数マスタ!$Z$6:$Z$25))=0,IFERROR(INDEX(定数マスタ!$U$6:$U$17,MONTH($B42)),1),SUMPRODUCT(MAX((定数マスタ!$X$6:$X$25&lt;=$B42)*(定数マスタ!$Y$6:$Y$25&gt;=$B42)*定数マスタ!$Z$6:$Z$25))))</f>
        <v>0.85</v>
      </c>
      <c r="G42" s="69" t="n">
        <f aca="false">IF($B42="","",ROUND(IF(ISNUMBER($D42),$D42,N('設定（最初に1回）'!$C$14))*N($F42),0))</f>
        <v>2550</v>
      </c>
      <c r="I42" s="31" t="str">
        <f aca="false">IF($B42="","",TEXT($B42,"m/d")&amp;"("&amp;$C42&amp;")")</f>
        <v>6/4(木)</v>
      </c>
    </row>
    <row r="43" customFormat="false" ht="15" hidden="false" customHeight="false" outlineLevel="0" collapsed="false">
      <c r="B43" s="87" t="n">
        <f aca="false">IF('設定（最初に1回）'!$C$6="","",'設定（最初に1回）'!$C$6+35)</f>
        <v>46178</v>
      </c>
      <c r="C43" s="68" t="str">
        <f aca="false">IF($B43="","",CHOOSE(WEEKDAY($B43),"日","月","火","水","木","金","土"))</f>
        <v>金</v>
      </c>
      <c r="D43" s="70"/>
      <c r="E43" s="88"/>
      <c r="F43" s="89" t="n">
        <f aca="false">IF($B43="","",IF(SUMPRODUCT(MAX((定数マスタ!$X$6:$X$25&lt;=$B43)*(定数マスタ!$Y$6:$Y$25&gt;=$B43)*定数マスタ!$Z$6:$Z$25))=0,IFERROR(INDEX(定数マスタ!$U$6:$U$17,MONTH($B43)),1),SUMPRODUCT(MAX((定数マスタ!$X$6:$X$25&lt;=$B43)*(定数マスタ!$Y$6:$Y$25&gt;=$B43)*定数マスタ!$Z$6:$Z$25))))</f>
        <v>0.85</v>
      </c>
      <c r="G43" s="69" t="n">
        <f aca="false">IF($B43="","",ROUND(IF(ISNUMBER($D43),$D43,N('設定（最初に1回）'!$C$14))*N($F43),0))</f>
        <v>2550</v>
      </c>
      <c r="I43" s="31" t="str">
        <f aca="false">IF($B43="","",TEXT($B43,"m/d")&amp;"("&amp;$C43&amp;")")</f>
        <v>6/5(金)</v>
      </c>
    </row>
    <row r="44" customFormat="false" ht="15" hidden="false" customHeight="false" outlineLevel="0" collapsed="false">
      <c r="B44" s="87" t="n">
        <f aca="false">IF('設定（最初に1回）'!$C$6="","",'設定（最初に1回）'!$C$6+36)</f>
        <v>46179</v>
      </c>
      <c r="C44" s="68" t="str">
        <f aca="false">IF($B44="","",CHOOSE(WEEKDAY($B44),"日","月","火","水","木","金","土"))</f>
        <v>土</v>
      </c>
      <c r="D44" s="70"/>
      <c r="E44" s="88"/>
      <c r="F44" s="89" t="n">
        <f aca="false">IF($B44="","",IF(SUMPRODUCT(MAX((定数マスタ!$X$6:$X$25&lt;=$B44)*(定数マスタ!$Y$6:$Y$25&gt;=$B44)*定数マスタ!$Z$6:$Z$25))=0,IFERROR(INDEX(定数マスタ!$U$6:$U$17,MONTH($B44)),1),SUMPRODUCT(MAX((定数マスタ!$X$6:$X$25&lt;=$B44)*(定数マスタ!$Y$6:$Y$25&gt;=$B44)*定数マスタ!$Z$6:$Z$25))))</f>
        <v>0.85</v>
      </c>
      <c r="G44" s="69" t="n">
        <f aca="false">IF($B44="","",ROUND(IF(ISNUMBER($D44),$D44,N('設定（最初に1回）'!$C$14))*N($F44),0))</f>
        <v>2550</v>
      </c>
      <c r="I44" s="31" t="str">
        <f aca="false">IF($B44="","",TEXT($B44,"m/d")&amp;"("&amp;$C44&amp;")")</f>
        <v>6/6(土)</v>
      </c>
    </row>
    <row r="45" customFormat="false" ht="15" hidden="false" customHeight="false" outlineLevel="0" collapsed="false">
      <c r="B45" s="87" t="n">
        <f aca="false">IF('設定（最初に1回）'!$C$6="","",'設定（最初に1回）'!$C$6+37)</f>
        <v>46180</v>
      </c>
      <c r="C45" s="68" t="str">
        <f aca="false">IF($B45="","",CHOOSE(WEEKDAY($B45),"日","月","火","水","木","金","土"))</f>
        <v>日</v>
      </c>
      <c r="D45" s="70"/>
      <c r="E45" s="88"/>
      <c r="F45" s="89" t="n">
        <f aca="false">IF($B45="","",IF(SUMPRODUCT(MAX((定数マスタ!$X$6:$X$25&lt;=$B45)*(定数マスタ!$Y$6:$Y$25&gt;=$B45)*定数マスタ!$Z$6:$Z$25))=0,IFERROR(INDEX(定数マスタ!$U$6:$U$17,MONTH($B45)),1),SUMPRODUCT(MAX((定数マスタ!$X$6:$X$25&lt;=$B45)*(定数マスタ!$Y$6:$Y$25&gt;=$B45)*定数マスタ!$Z$6:$Z$25))))</f>
        <v>0.85</v>
      </c>
      <c r="G45" s="69" t="n">
        <f aca="false">IF($B45="","",ROUND(IF(ISNUMBER($D45),$D45,N('設定（最初に1回）'!$C$14))*N($F45),0))</f>
        <v>2550</v>
      </c>
      <c r="I45" s="31" t="str">
        <f aca="false">IF($B45="","",TEXT($B45,"m/d")&amp;"("&amp;$C45&amp;")")</f>
        <v>6/7(日)</v>
      </c>
    </row>
    <row r="46" customFormat="false" ht="15" hidden="false" customHeight="false" outlineLevel="0" collapsed="false">
      <c r="B46" s="87" t="n">
        <f aca="false">IF('設定（最初に1回）'!$C$6="","",'設定（最初に1回）'!$C$6+38)</f>
        <v>46181</v>
      </c>
      <c r="C46" s="68" t="str">
        <f aca="false">IF($B46="","",CHOOSE(WEEKDAY($B46),"日","月","火","水","木","金","土"))</f>
        <v>月</v>
      </c>
      <c r="D46" s="70"/>
      <c r="E46" s="88"/>
      <c r="F46" s="89" t="n">
        <f aca="false">IF($B46="","",IF(SUMPRODUCT(MAX((定数マスタ!$X$6:$X$25&lt;=$B46)*(定数マスタ!$Y$6:$Y$25&gt;=$B46)*定数マスタ!$Z$6:$Z$25))=0,IFERROR(INDEX(定数マスタ!$U$6:$U$17,MONTH($B46)),1),SUMPRODUCT(MAX((定数マスタ!$X$6:$X$25&lt;=$B46)*(定数マスタ!$Y$6:$Y$25&gt;=$B46)*定数マスタ!$Z$6:$Z$25))))</f>
        <v>0.8</v>
      </c>
      <c r="G46" s="69" t="n">
        <f aca="false">IF($B46="","",ROUND(IF(ISNUMBER($D46),$D46,N('設定（最初に1回）'!$C$14))*N($F46),0))</f>
        <v>2400</v>
      </c>
      <c r="I46" s="31" t="str">
        <f aca="false">IF($B46="","",TEXT($B46,"m/d")&amp;"("&amp;$C46&amp;")")</f>
        <v>6/8(月)</v>
      </c>
    </row>
    <row r="47" customFormat="false" ht="15" hidden="false" customHeight="false" outlineLevel="0" collapsed="false">
      <c r="B47" s="87" t="n">
        <f aca="false">IF('設定（最初に1回）'!$C$6="","",'設定（最初に1回）'!$C$6+39)</f>
        <v>46182</v>
      </c>
      <c r="C47" s="68" t="str">
        <f aca="false">IF($B47="","",CHOOSE(WEEKDAY($B47),"日","月","火","水","木","金","土"))</f>
        <v>火</v>
      </c>
      <c r="D47" s="70"/>
      <c r="E47" s="88"/>
      <c r="F47" s="89" t="n">
        <f aca="false">IF($B47="","",IF(SUMPRODUCT(MAX((定数マスタ!$X$6:$X$25&lt;=$B47)*(定数マスタ!$Y$6:$Y$25&gt;=$B47)*定数マスタ!$Z$6:$Z$25))=0,IFERROR(INDEX(定数マスタ!$U$6:$U$17,MONTH($B47)),1),SUMPRODUCT(MAX((定数マスタ!$X$6:$X$25&lt;=$B47)*(定数マスタ!$Y$6:$Y$25&gt;=$B47)*定数マスタ!$Z$6:$Z$25))))</f>
        <v>0.8</v>
      </c>
      <c r="G47" s="69" t="n">
        <f aca="false">IF($B47="","",ROUND(IF(ISNUMBER($D47),$D47,N('設定（最初に1回）'!$C$14))*N($F47),0))</f>
        <v>2400</v>
      </c>
      <c r="I47" s="31" t="str">
        <f aca="false">IF($B47="","",TEXT($B47,"m/d")&amp;"("&amp;$C47&amp;")")</f>
        <v>6/9(火)</v>
      </c>
    </row>
    <row r="48" customFormat="false" ht="15" hidden="false" customHeight="false" outlineLevel="0" collapsed="false">
      <c r="B48" s="87" t="n">
        <f aca="false">IF('設定（最初に1回）'!$C$6="","",'設定（最初に1回）'!$C$6+40)</f>
        <v>46183</v>
      </c>
      <c r="C48" s="68" t="str">
        <f aca="false">IF($B48="","",CHOOSE(WEEKDAY($B48),"日","月","火","水","木","金","土"))</f>
        <v>水</v>
      </c>
      <c r="D48" s="70"/>
      <c r="E48" s="88"/>
      <c r="F48" s="89" t="n">
        <f aca="false">IF($B48="","",IF(SUMPRODUCT(MAX((定数マスタ!$X$6:$X$25&lt;=$B48)*(定数マスタ!$Y$6:$Y$25&gt;=$B48)*定数マスタ!$Z$6:$Z$25))=0,IFERROR(INDEX(定数マスタ!$U$6:$U$17,MONTH($B48)),1),SUMPRODUCT(MAX((定数マスタ!$X$6:$X$25&lt;=$B48)*(定数マスタ!$Y$6:$Y$25&gt;=$B48)*定数マスタ!$Z$6:$Z$25))))</f>
        <v>0.8</v>
      </c>
      <c r="G48" s="69" t="n">
        <f aca="false">IF($B48="","",ROUND(IF(ISNUMBER($D48),$D48,N('設定（最初に1回）'!$C$14))*N($F48),0))</f>
        <v>2400</v>
      </c>
      <c r="I48" s="31" t="str">
        <f aca="false">IF($B48="","",TEXT($B48,"m/d")&amp;"("&amp;$C48&amp;")")</f>
        <v>6/10(水)</v>
      </c>
    </row>
    <row r="49" customFormat="false" ht="15" hidden="false" customHeight="false" outlineLevel="0" collapsed="false">
      <c r="B49" s="87" t="n">
        <f aca="false">IF('設定（最初に1回）'!$C$6="","",'設定（最初に1回）'!$C$6+41)</f>
        <v>46184</v>
      </c>
      <c r="C49" s="68" t="str">
        <f aca="false">IF($B49="","",CHOOSE(WEEKDAY($B49),"日","月","火","水","木","金","土"))</f>
        <v>木</v>
      </c>
      <c r="D49" s="70"/>
      <c r="E49" s="88"/>
      <c r="F49" s="89" t="n">
        <f aca="false">IF($B49="","",IF(SUMPRODUCT(MAX((定数マスタ!$X$6:$X$25&lt;=$B49)*(定数マスタ!$Y$6:$Y$25&gt;=$B49)*定数マスタ!$Z$6:$Z$25))=0,IFERROR(INDEX(定数マスタ!$U$6:$U$17,MONTH($B49)),1),SUMPRODUCT(MAX((定数マスタ!$X$6:$X$25&lt;=$B49)*(定数マスタ!$Y$6:$Y$25&gt;=$B49)*定数マスタ!$Z$6:$Z$25))))</f>
        <v>0.8</v>
      </c>
      <c r="G49" s="69" t="n">
        <f aca="false">IF($B49="","",ROUND(IF(ISNUMBER($D49),$D49,N('設定（最初に1回）'!$C$14))*N($F49),0))</f>
        <v>2400</v>
      </c>
      <c r="I49" s="31" t="str">
        <f aca="false">IF($B49="","",TEXT($B49,"m/d")&amp;"("&amp;$C49&amp;")")</f>
        <v>6/11(木)</v>
      </c>
    </row>
    <row r="50" customFormat="false" ht="15" hidden="false" customHeight="false" outlineLevel="0" collapsed="false">
      <c r="B50" s="87" t="n">
        <f aca="false">IF('設定（最初に1回）'!$C$6="","",'設定（最初に1回）'!$C$6+42)</f>
        <v>46185</v>
      </c>
      <c r="C50" s="68" t="str">
        <f aca="false">IF($B50="","",CHOOSE(WEEKDAY($B50),"日","月","火","水","木","金","土"))</f>
        <v>金</v>
      </c>
      <c r="D50" s="70"/>
      <c r="E50" s="88"/>
      <c r="F50" s="89" t="n">
        <f aca="false">IF($B50="","",IF(SUMPRODUCT(MAX((定数マスタ!$X$6:$X$25&lt;=$B50)*(定数マスタ!$Y$6:$Y$25&gt;=$B50)*定数マスタ!$Z$6:$Z$25))=0,IFERROR(INDEX(定数マスタ!$U$6:$U$17,MONTH($B50)),1),SUMPRODUCT(MAX((定数マスタ!$X$6:$X$25&lt;=$B50)*(定数マスタ!$Y$6:$Y$25&gt;=$B50)*定数マスタ!$Z$6:$Z$25))))</f>
        <v>0.8</v>
      </c>
      <c r="G50" s="69" t="n">
        <f aca="false">IF($B50="","",ROUND(IF(ISNUMBER($D50),$D50,N('設定（最初に1回）'!$C$14))*N($F50),0))</f>
        <v>2400</v>
      </c>
      <c r="I50" s="31" t="str">
        <f aca="false">IF($B50="","",TEXT($B50,"m/d")&amp;"("&amp;$C50&amp;")")</f>
        <v>6/12(金)</v>
      </c>
    </row>
    <row r="51" customFormat="false" ht="15" hidden="false" customHeight="false" outlineLevel="0" collapsed="false">
      <c r="B51" s="87" t="n">
        <f aca="false">IF('設定（最初に1回）'!$C$6="","",'設定（最初に1回）'!$C$6+43)</f>
        <v>46186</v>
      </c>
      <c r="C51" s="68" t="str">
        <f aca="false">IF($B51="","",CHOOSE(WEEKDAY($B51),"日","月","火","水","木","金","土"))</f>
        <v>土</v>
      </c>
      <c r="D51" s="70"/>
      <c r="E51" s="88"/>
      <c r="F51" s="89" t="n">
        <f aca="false">IF($B51="","",IF(SUMPRODUCT(MAX((定数マスタ!$X$6:$X$25&lt;=$B51)*(定数マスタ!$Y$6:$Y$25&gt;=$B51)*定数マスタ!$Z$6:$Z$25))=0,IFERROR(INDEX(定数マスタ!$U$6:$U$17,MONTH($B51)),1),SUMPRODUCT(MAX((定数マスタ!$X$6:$X$25&lt;=$B51)*(定数マスタ!$Y$6:$Y$25&gt;=$B51)*定数マスタ!$Z$6:$Z$25))))</f>
        <v>0.8</v>
      </c>
      <c r="G51" s="69" t="n">
        <f aca="false">IF($B51="","",ROUND(IF(ISNUMBER($D51),$D51,N('設定（最初に1回）'!$C$14))*N($F51),0))</f>
        <v>2400</v>
      </c>
      <c r="I51" s="31" t="str">
        <f aca="false">IF($B51="","",TEXT($B51,"m/d")&amp;"("&amp;$C51&amp;")")</f>
        <v>6/13(土)</v>
      </c>
    </row>
    <row r="52" customFormat="false" ht="15" hidden="false" customHeight="false" outlineLevel="0" collapsed="false">
      <c r="B52" s="87" t="n">
        <f aca="false">IF('設定（最初に1回）'!$C$6="","",'設定（最初に1回）'!$C$6+44)</f>
        <v>46187</v>
      </c>
      <c r="C52" s="68" t="str">
        <f aca="false">IF($B52="","",CHOOSE(WEEKDAY($B52),"日","月","火","水","木","金","土"))</f>
        <v>日</v>
      </c>
      <c r="D52" s="70"/>
      <c r="E52" s="88"/>
      <c r="F52" s="89" t="n">
        <f aca="false">IF($B52="","",IF(SUMPRODUCT(MAX((定数マスタ!$X$6:$X$25&lt;=$B52)*(定数マスタ!$Y$6:$Y$25&gt;=$B52)*定数マスタ!$Z$6:$Z$25))=0,IFERROR(INDEX(定数マスタ!$U$6:$U$17,MONTH($B52)),1),SUMPRODUCT(MAX((定数マスタ!$X$6:$X$25&lt;=$B52)*(定数マスタ!$Y$6:$Y$25&gt;=$B52)*定数マスタ!$Z$6:$Z$25))))</f>
        <v>0.8</v>
      </c>
      <c r="G52" s="69" t="n">
        <f aca="false">IF($B52="","",ROUND(IF(ISNUMBER($D52),$D52,N('設定（最初に1回）'!$C$14))*N($F52),0))</f>
        <v>2400</v>
      </c>
      <c r="I52" s="31" t="str">
        <f aca="false">IF($B52="","",TEXT($B52,"m/d")&amp;"("&amp;$C52&amp;")")</f>
        <v>6/14(日)</v>
      </c>
    </row>
    <row r="53" customFormat="false" ht="15" hidden="false" customHeight="false" outlineLevel="0" collapsed="false">
      <c r="B53" s="87" t="n">
        <f aca="false">IF('設定（最初に1回）'!$C$6="","",'設定（最初に1回）'!$C$6+45)</f>
        <v>46188</v>
      </c>
      <c r="C53" s="68" t="str">
        <f aca="false">IF($B53="","",CHOOSE(WEEKDAY($B53),"日","月","火","水","木","金","土"))</f>
        <v>月</v>
      </c>
      <c r="D53" s="70"/>
      <c r="E53" s="88"/>
      <c r="F53" s="89" t="n">
        <f aca="false">IF($B53="","",IF(SUMPRODUCT(MAX((定数マスタ!$X$6:$X$25&lt;=$B53)*(定数マスタ!$Y$6:$Y$25&gt;=$B53)*定数マスタ!$Z$6:$Z$25))=0,IFERROR(INDEX(定数マスタ!$U$6:$U$17,MONTH($B53)),1),SUMPRODUCT(MAX((定数マスタ!$X$6:$X$25&lt;=$B53)*(定数マスタ!$Y$6:$Y$25&gt;=$B53)*定数マスタ!$Z$6:$Z$25))))</f>
        <v>0.8</v>
      </c>
      <c r="G53" s="69" t="n">
        <f aca="false">IF($B53="","",ROUND(IF(ISNUMBER($D53),$D53,N('設定（最初に1回）'!$C$14))*N($F53),0))</f>
        <v>2400</v>
      </c>
      <c r="I53" s="31" t="str">
        <f aca="false">IF($B53="","",TEXT($B53,"m/d")&amp;"("&amp;$C53&amp;")")</f>
        <v>6/15(月)</v>
      </c>
    </row>
    <row r="54" customFormat="false" ht="15" hidden="false" customHeight="false" outlineLevel="0" collapsed="false">
      <c r="B54" s="87" t="n">
        <f aca="false">IF('設定（最初に1回）'!$C$6="","",'設定（最初に1回）'!$C$6+46)</f>
        <v>46189</v>
      </c>
      <c r="C54" s="68" t="str">
        <f aca="false">IF($B54="","",CHOOSE(WEEKDAY($B54),"日","月","火","水","木","金","土"))</f>
        <v>火</v>
      </c>
      <c r="D54" s="70"/>
      <c r="E54" s="88"/>
      <c r="F54" s="89" t="n">
        <f aca="false">IF($B54="","",IF(SUMPRODUCT(MAX((定数マスタ!$X$6:$X$25&lt;=$B54)*(定数マスタ!$Y$6:$Y$25&gt;=$B54)*定数マスタ!$Z$6:$Z$25))=0,IFERROR(INDEX(定数マスタ!$U$6:$U$17,MONTH($B54)),1),SUMPRODUCT(MAX((定数マスタ!$X$6:$X$25&lt;=$B54)*(定数マスタ!$Y$6:$Y$25&gt;=$B54)*定数マスタ!$Z$6:$Z$25))))</f>
        <v>0.8</v>
      </c>
      <c r="G54" s="69" t="n">
        <f aca="false">IF($B54="","",ROUND(IF(ISNUMBER($D54),$D54,N('設定（最初に1回）'!$C$14))*N($F54),0))</f>
        <v>2400</v>
      </c>
      <c r="I54" s="31" t="str">
        <f aca="false">IF($B54="","",TEXT($B54,"m/d")&amp;"("&amp;$C54&amp;")")</f>
        <v>6/16(火)</v>
      </c>
    </row>
    <row r="55" customFormat="false" ht="15" hidden="false" customHeight="false" outlineLevel="0" collapsed="false">
      <c r="B55" s="87" t="n">
        <f aca="false">IF('設定（最初に1回）'!$C$6="","",'設定（最初に1回）'!$C$6+47)</f>
        <v>46190</v>
      </c>
      <c r="C55" s="68" t="str">
        <f aca="false">IF($B55="","",CHOOSE(WEEKDAY($B55),"日","月","火","水","木","金","土"))</f>
        <v>水</v>
      </c>
      <c r="D55" s="70"/>
      <c r="E55" s="88"/>
      <c r="F55" s="89" t="n">
        <f aca="false">IF($B55="","",IF(SUMPRODUCT(MAX((定数マスタ!$X$6:$X$25&lt;=$B55)*(定数マスタ!$Y$6:$Y$25&gt;=$B55)*定数マスタ!$Z$6:$Z$25))=0,IFERROR(INDEX(定数マスタ!$U$6:$U$17,MONTH($B55)),1),SUMPRODUCT(MAX((定数マスタ!$X$6:$X$25&lt;=$B55)*(定数マスタ!$Y$6:$Y$25&gt;=$B55)*定数マスタ!$Z$6:$Z$25))))</f>
        <v>0.8</v>
      </c>
      <c r="G55" s="69" t="n">
        <f aca="false">IF($B55="","",ROUND(IF(ISNUMBER($D55),$D55,N('設定（最初に1回）'!$C$14))*N($F55),0))</f>
        <v>2400</v>
      </c>
      <c r="I55" s="31" t="str">
        <f aca="false">IF($B55="","",TEXT($B55,"m/d")&amp;"("&amp;$C55&amp;")")</f>
        <v>6/17(水)</v>
      </c>
    </row>
    <row r="56" customFormat="false" ht="15" hidden="false" customHeight="false" outlineLevel="0" collapsed="false">
      <c r="B56" s="87" t="n">
        <f aca="false">IF('設定（最初に1回）'!$C$6="","",'設定（最初に1回）'!$C$6+48)</f>
        <v>46191</v>
      </c>
      <c r="C56" s="68" t="str">
        <f aca="false">IF($B56="","",CHOOSE(WEEKDAY($B56),"日","月","火","水","木","金","土"))</f>
        <v>木</v>
      </c>
      <c r="D56" s="70"/>
      <c r="E56" s="88"/>
      <c r="F56" s="89" t="n">
        <f aca="false">IF($B56="","",IF(SUMPRODUCT(MAX((定数マスタ!$X$6:$X$25&lt;=$B56)*(定数マスタ!$Y$6:$Y$25&gt;=$B56)*定数マスタ!$Z$6:$Z$25))=0,IFERROR(INDEX(定数マスタ!$U$6:$U$17,MONTH($B56)),1),SUMPRODUCT(MAX((定数マスタ!$X$6:$X$25&lt;=$B56)*(定数マスタ!$Y$6:$Y$25&gt;=$B56)*定数マスタ!$Z$6:$Z$25))))</f>
        <v>0.8</v>
      </c>
      <c r="G56" s="69" t="n">
        <f aca="false">IF($B56="","",ROUND(IF(ISNUMBER($D56),$D56,N('設定（最初に1回）'!$C$14))*N($F56),0))</f>
        <v>2400</v>
      </c>
      <c r="I56" s="31" t="str">
        <f aca="false">IF($B56="","",TEXT($B56,"m/d")&amp;"("&amp;$C56&amp;")")</f>
        <v>6/18(木)</v>
      </c>
    </row>
    <row r="57" customFormat="false" ht="15" hidden="false" customHeight="false" outlineLevel="0" collapsed="false">
      <c r="B57" s="87" t="n">
        <f aca="false">IF('設定（最初に1回）'!$C$6="","",'設定（最初に1回）'!$C$6+49)</f>
        <v>46192</v>
      </c>
      <c r="C57" s="68" t="str">
        <f aca="false">IF($B57="","",CHOOSE(WEEKDAY($B57),"日","月","火","水","木","金","土"))</f>
        <v>金</v>
      </c>
      <c r="D57" s="70"/>
      <c r="E57" s="88"/>
      <c r="F57" s="89" t="n">
        <f aca="false">IF($B57="","",IF(SUMPRODUCT(MAX((定数マスタ!$X$6:$X$25&lt;=$B57)*(定数マスタ!$Y$6:$Y$25&gt;=$B57)*定数マスタ!$Z$6:$Z$25))=0,IFERROR(INDEX(定数マスタ!$U$6:$U$17,MONTH($B57)),1),SUMPRODUCT(MAX((定数マスタ!$X$6:$X$25&lt;=$B57)*(定数マスタ!$Y$6:$Y$25&gt;=$B57)*定数マスタ!$Z$6:$Z$25))))</f>
        <v>0.8</v>
      </c>
      <c r="G57" s="69" t="n">
        <f aca="false">IF($B57="","",ROUND(IF(ISNUMBER($D57),$D57,N('設定（最初に1回）'!$C$14))*N($F57),0))</f>
        <v>2400</v>
      </c>
      <c r="I57" s="31" t="str">
        <f aca="false">IF($B57="","",TEXT($B57,"m/d")&amp;"("&amp;$C57&amp;")")</f>
        <v>6/19(金)</v>
      </c>
    </row>
    <row r="58" customFormat="false" ht="15" hidden="false" customHeight="false" outlineLevel="0" collapsed="false">
      <c r="B58" s="87" t="n">
        <f aca="false">IF('設定（最初に1回）'!$C$6="","",'設定（最初に1回）'!$C$6+50)</f>
        <v>46193</v>
      </c>
      <c r="C58" s="68" t="str">
        <f aca="false">IF($B58="","",CHOOSE(WEEKDAY($B58),"日","月","火","水","木","金","土"))</f>
        <v>土</v>
      </c>
      <c r="D58" s="70"/>
      <c r="E58" s="88"/>
      <c r="F58" s="89" t="n">
        <f aca="false">IF($B58="","",IF(SUMPRODUCT(MAX((定数マスタ!$X$6:$X$25&lt;=$B58)*(定数マスタ!$Y$6:$Y$25&gt;=$B58)*定数マスタ!$Z$6:$Z$25))=0,IFERROR(INDEX(定数マスタ!$U$6:$U$17,MONTH($B58)),1),SUMPRODUCT(MAX((定数マスタ!$X$6:$X$25&lt;=$B58)*(定数マスタ!$Y$6:$Y$25&gt;=$B58)*定数マスタ!$Z$6:$Z$25))))</f>
        <v>0.85</v>
      </c>
      <c r="G58" s="69" t="n">
        <f aca="false">IF($B58="","",ROUND(IF(ISNUMBER($D58),$D58,N('設定（最初に1回）'!$C$14))*N($F58),0))</f>
        <v>2550</v>
      </c>
      <c r="I58" s="31" t="str">
        <f aca="false">IF($B58="","",TEXT($B58,"m/d")&amp;"("&amp;$C58&amp;")")</f>
        <v>6/20(土)</v>
      </c>
    </row>
    <row r="59" customFormat="false" ht="15" hidden="false" customHeight="false" outlineLevel="0" collapsed="false">
      <c r="B59" s="87" t="n">
        <f aca="false">IF('設定（最初に1回）'!$C$6="","",'設定（最初に1回）'!$C$6+51)</f>
        <v>46194</v>
      </c>
      <c r="C59" s="68" t="str">
        <f aca="false">IF($B59="","",CHOOSE(WEEKDAY($B59),"日","月","火","水","木","金","土"))</f>
        <v>日</v>
      </c>
      <c r="D59" s="70"/>
      <c r="E59" s="88"/>
      <c r="F59" s="89" t="n">
        <f aca="false">IF($B59="","",IF(SUMPRODUCT(MAX((定数マスタ!$X$6:$X$25&lt;=$B59)*(定数マスタ!$Y$6:$Y$25&gt;=$B59)*定数マスタ!$Z$6:$Z$25))=0,IFERROR(INDEX(定数マスタ!$U$6:$U$17,MONTH($B59)),1),SUMPRODUCT(MAX((定数マスタ!$X$6:$X$25&lt;=$B59)*(定数マスタ!$Y$6:$Y$25&gt;=$B59)*定数マスタ!$Z$6:$Z$25))))</f>
        <v>0.85</v>
      </c>
      <c r="G59" s="69" t="n">
        <f aca="false">IF($B59="","",ROUND(IF(ISNUMBER($D59),$D59,N('設定（最初に1回）'!$C$14))*N($F59),0))</f>
        <v>2550</v>
      </c>
      <c r="I59" s="31" t="str">
        <f aca="false">IF($B59="","",TEXT($B59,"m/d")&amp;"("&amp;$C59&amp;")")</f>
        <v>6/21(日)</v>
      </c>
    </row>
    <row r="60" customFormat="false" ht="15" hidden="false" customHeight="false" outlineLevel="0" collapsed="false">
      <c r="B60" s="87" t="n">
        <f aca="false">IF('設定（最初に1回）'!$C$6="","",'設定（最初に1回）'!$C$6+52)</f>
        <v>46195</v>
      </c>
      <c r="C60" s="68" t="str">
        <f aca="false">IF($B60="","",CHOOSE(WEEKDAY($B60),"日","月","火","水","木","金","土"))</f>
        <v>月</v>
      </c>
      <c r="D60" s="70"/>
      <c r="E60" s="88"/>
      <c r="F60" s="89" t="n">
        <f aca="false">IF($B60="","",IF(SUMPRODUCT(MAX((定数マスタ!$X$6:$X$25&lt;=$B60)*(定数マスタ!$Y$6:$Y$25&gt;=$B60)*定数マスタ!$Z$6:$Z$25))=0,IFERROR(INDEX(定数マスタ!$U$6:$U$17,MONTH($B60)),1),SUMPRODUCT(MAX((定数マスタ!$X$6:$X$25&lt;=$B60)*(定数マスタ!$Y$6:$Y$25&gt;=$B60)*定数マスタ!$Z$6:$Z$25))))</f>
        <v>0.85</v>
      </c>
      <c r="G60" s="69" t="n">
        <f aca="false">IF($B60="","",ROUND(IF(ISNUMBER($D60),$D60,N('設定（最初に1回）'!$C$14))*N($F60),0))</f>
        <v>2550</v>
      </c>
      <c r="I60" s="31" t="str">
        <f aca="false">IF($B60="","",TEXT($B60,"m/d")&amp;"("&amp;$C60&amp;")")</f>
        <v>6/22(月)</v>
      </c>
    </row>
    <row r="61" customFormat="false" ht="15" hidden="false" customHeight="false" outlineLevel="0" collapsed="false">
      <c r="B61" s="87" t="n">
        <f aca="false">IF('設定（最初に1回）'!$C$6="","",'設定（最初に1回）'!$C$6+53)</f>
        <v>46196</v>
      </c>
      <c r="C61" s="68" t="str">
        <f aca="false">IF($B61="","",CHOOSE(WEEKDAY($B61),"日","月","火","水","木","金","土"))</f>
        <v>火</v>
      </c>
      <c r="D61" s="70"/>
      <c r="E61" s="88"/>
      <c r="F61" s="89" t="n">
        <f aca="false">IF($B61="","",IF(SUMPRODUCT(MAX((定数マスタ!$X$6:$X$25&lt;=$B61)*(定数マスタ!$Y$6:$Y$25&gt;=$B61)*定数マスタ!$Z$6:$Z$25))=0,IFERROR(INDEX(定数マスタ!$U$6:$U$17,MONTH($B61)),1),SUMPRODUCT(MAX((定数マスタ!$X$6:$X$25&lt;=$B61)*(定数マスタ!$Y$6:$Y$25&gt;=$B61)*定数マスタ!$Z$6:$Z$25))))</f>
        <v>0.85</v>
      </c>
      <c r="G61" s="69" t="n">
        <f aca="false">IF($B61="","",ROUND(IF(ISNUMBER($D61),$D61,N('設定（最初に1回）'!$C$14))*N($F61),0))</f>
        <v>2550</v>
      </c>
      <c r="I61" s="31" t="str">
        <f aca="false">IF($B61="","",TEXT($B61,"m/d")&amp;"("&amp;$C61&amp;")")</f>
        <v>6/23(火)</v>
      </c>
    </row>
    <row r="62" customFormat="false" ht="15" hidden="false" customHeight="false" outlineLevel="0" collapsed="false">
      <c r="B62" s="87" t="n">
        <f aca="false">IF('設定（最初に1回）'!$C$6="","",'設定（最初に1回）'!$C$6+54)</f>
        <v>46197</v>
      </c>
      <c r="C62" s="68" t="str">
        <f aca="false">IF($B62="","",CHOOSE(WEEKDAY($B62),"日","月","火","水","木","金","土"))</f>
        <v>水</v>
      </c>
      <c r="D62" s="70"/>
      <c r="E62" s="88"/>
      <c r="F62" s="89" t="n">
        <f aca="false">IF($B62="","",IF(SUMPRODUCT(MAX((定数マスタ!$X$6:$X$25&lt;=$B62)*(定数マスタ!$Y$6:$Y$25&gt;=$B62)*定数マスタ!$Z$6:$Z$25))=0,IFERROR(INDEX(定数マスタ!$U$6:$U$17,MONTH($B62)),1),SUMPRODUCT(MAX((定数マスタ!$X$6:$X$25&lt;=$B62)*(定数マスタ!$Y$6:$Y$25&gt;=$B62)*定数マスタ!$Z$6:$Z$25))))</f>
        <v>0.85</v>
      </c>
      <c r="G62" s="69" t="n">
        <f aca="false">IF($B62="","",ROUND(IF(ISNUMBER($D62),$D62,N('設定（最初に1回）'!$C$14))*N($F62),0))</f>
        <v>2550</v>
      </c>
      <c r="I62" s="31" t="str">
        <f aca="false">IF($B62="","",TEXT($B62,"m/d")&amp;"("&amp;$C62&amp;")")</f>
        <v>6/24(水)</v>
      </c>
    </row>
    <row r="63" customFormat="false" ht="15" hidden="false" customHeight="false" outlineLevel="0" collapsed="false">
      <c r="B63" s="87" t="n">
        <f aca="false">IF('設定（最初に1回）'!$C$6="","",'設定（最初に1回）'!$C$6+55)</f>
        <v>46198</v>
      </c>
      <c r="C63" s="68" t="str">
        <f aca="false">IF($B63="","",CHOOSE(WEEKDAY($B63),"日","月","火","水","木","金","土"))</f>
        <v>木</v>
      </c>
      <c r="D63" s="70"/>
      <c r="E63" s="88"/>
      <c r="F63" s="89" t="n">
        <f aca="false">IF($B63="","",IF(SUMPRODUCT(MAX((定数マスタ!$X$6:$X$25&lt;=$B63)*(定数マスタ!$Y$6:$Y$25&gt;=$B63)*定数マスタ!$Z$6:$Z$25))=0,IFERROR(INDEX(定数マスタ!$U$6:$U$17,MONTH($B63)),1),SUMPRODUCT(MAX((定数マスタ!$X$6:$X$25&lt;=$B63)*(定数マスタ!$Y$6:$Y$25&gt;=$B63)*定数マスタ!$Z$6:$Z$25))))</f>
        <v>0.85</v>
      </c>
      <c r="G63" s="69" t="n">
        <f aca="false">IF($B63="","",ROUND(IF(ISNUMBER($D63),$D63,N('設定（最初に1回）'!$C$14))*N($F63),0))</f>
        <v>2550</v>
      </c>
      <c r="I63" s="31" t="str">
        <f aca="false">IF($B63="","",TEXT($B63,"m/d")&amp;"("&amp;$C63&amp;")")</f>
        <v>6/25(木)</v>
      </c>
    </row>
    <row r="64" customFormat="false" ht="15" hidden="false" customHeight="false" outlineLevel="0" collapsed="false">
      <c r="B64" s="87" t="n">
        <f aca="false">IF('設定（最初に1回）'!$C$6="","",'設定（最初に1回）'!$C$6+56)</f>
        <v>46199</v>
      </c>
      <c r="C64" s="68" t="str">
        <f aca="false">IF($B64="","",CHOOSE(WEEKDAY($B64),"日","月","火","水","木","金","土"))</f>
        <v>金</v>
      </c>
      <c r="D64" s="70"/>
      <c r="E64" s="88"/>
      <c r="F64" s="89" t="n">
        <f aca="false">IF($B64="","",IF(SUMPRODUCT(MAX((定数マスタ!$X$6:$X$25&lt;=$B64)*(定数マスタ!$Y$6:$Y$25&gt;=$B64)*定数マスタ!$Z$6:$Z$25))=0,IFERROR(INDEX(定数マスタ!$U$6:$U$17,MONTH($B64)),1),SUMPRODUCT(MAX((定数マスタ!$X$6:$X$25&lt;=$B64)*(定数マスタ!$Y$6:$Y$25&gt;=$B64)*定数マスタ!$Z$6:$Z$25))))</f>
        <v>0.85</v>
      </c>
      <c r="G64" s="69" t="n">
        <f aca="false">IF($B64="","",ROUND(IF(ISNUMBER($D64),$D64,N('設定（最初に1回）'!$C$14))*N($F64),0))</f>
        <v>2550</v>
      </c>
      <c r="I64" s="31" t="str">
        <f aca="false">IF($B64="","",TEXT($B64,"m/d")&amp;"("&amp;$C64&amp;")")</f>
        <v>6/26(金)</v>
      </c>
    </row>
    <row r="65" customFormat="false" ht="15" hidden="false" customHeight="false" outlineLevel="0" collapsed="false">
      <c r="B65" s="87" t="n">
        <f aca="false">IF('設定（最初に1回）'!$C$6="","",'設定（最初に1回）'!$C$6+57)</f>
        <v>46200</v>
      </c>
      <c r="C65" s="68" t="str">
        <f aca="false">IF($B65="","",CHOOSE(WEEKDAY($B65),"日","月","火","水","木","金","土"))</f>
        <v>土</v>
      </c>
      <c r="D65" s="70"/>
      <c r="E65" s="88"/>
      <c r="F65" s="89" t="n">
        <f aca="false">IF($B65="","",IF(SUMPRODUCT(MAX((定数マスタ!$X$6:$X$25&lt;=$B65)*(定数マスタ!$Y$6:$Y$25&gt;=$B65)*定数マスタ!$Z$6:$Z$25))=0,IFERROR(INDEX(定数マスタ!$U$6:$U$17,MONTH($B65)),1),SUMPRODUCT(MAX((定数マスタ!$X$6:$X$25&lt;=$B65)*(定数マスタ!$Y$6:$Y$25&gt;=$B65)*定数マスタ!$Z$6:$Z$25))))</f>
        <v>0.85</v>
      </c>
      <c r="G65" s="69" t="n">
        <f aca="false">IF($B65="","",ROUND(IF(ISNUMBER($D65),$D65,N('設定（最初に1回）'!$C$14))*N($F65),0))</f>
        <v>2550</v>
      </c>
      <c r="I65" s="31" t="str">
        <f aca="false">IF($B65="","",TEXT($B65,"m/d")&amp;"("&amp;$C65&amp;")")</f>
        <v>6/27(土)</v>
      </c>
    </row>
    <row r="66" customFormat="false" ht="15" hidden="false" customHeight="false" outlineLevel="0" collapsed="false">
      <c r="B66" s="87" t="n">
        <f aca="false">IF('設定（最初に1回）'!$C$6="","",'設定（最初に1回）'!$C$6+58)</f>
        <v>46201</v>
      </c>
      <c r="C66" s="68" t="str">
        <f aca="false">IF($B66="","",CHOOSE(WEEKDAY($B66),"日","月","火","水","木","金","土"))</f>
        <v>日</v>
      </c>
      <c r="D66" s="70"/>
      <c r="E66" s="88"/>
      <c r="F66" s="89" t="n">
        <f aca="false">IF($B66="","",IF(SUMPRODUCT(MAX((定数マスタ!$X$6:$X$25&lt;=$B66)*(定数マスタ!$Y$6:$Y$25&gt;=$B66)*定数マスタ!$Z$6:$Z$25))=0,IFERROR(INDEX(定数マスタ!$U$6:$U$17,MONTH($B66)),1),SUMPRODUCT(MAX((定数マスタ!$X$6:$X$25&lt;=$B66)*(定数マスタ!$Y$6:$Y$25&gt;=$B66)*定数マスタ!$Z$6:$Z$25))))</f>
        <v>0.85</v>
      </c>
      <c r="G66" s="69" t="n">
        <f aca="false">IF($B66="","",ROUND(IF(ISNUMBER($D66),$D66,N('設定（最初に1回）'!$C$14))*N($F66),0))</f>
        <v>2550</v>
      </c>
      <c r="I66" s="31" t="str">
        <f aca="false">IF($B66="","",TEXT($B66,"m/d")&amp;"("&amp;$C66&amp;")")</f>
        <v>6/28(日)</v>
      </c>
    </row>
    <row r="67" customFormat="false" ht="15" hidden="false" customHeight="false" outlineLevel="0" collapsed="false">
      <c r="B67" s="87" t="n">
        <f aca="false">IF('設定（最初に1回）'!$C$6="","",'設定（最初に1回）'!$C$6+59)</f>
        <v>46202</v>
      </c>
      <c r="C67" s="68" t="str">
        <f aca="false">IF($B67="","",CHOOSE(WEEKDAY($B67),"日","月","火","水","木","金","土"))</f>
        <v>月</v>
      </c>
      <c r="D67" s="70"/>
      <c r="E67" s="88"/>
      <c r="F67" s="89" t="n">
        <f aca="false">IF($B67="","",IF(SUMPRODUCT(MAX((定数マスタ!$X$6:$X$25&lt;=$B67)*(定数マスタ!$Y$6:$Y$25&gt;=$B67)*定数マスタ!$Z$6:$Z$25))=0,IFERROR(INDEX(定数マスタ!$U$6:$U$17,MONTH($B67)),1),SUMPRODUCT(MAX((定数マスタ!$X$6:$X$25&lt;=$B67)*(定数マスタ!$Y$6:$Y$25&gt;=$B67)*定数マスタ!$Z$6:$Z$25))))</f>
        <v>0.85</v>
      </c>
      <c r="G67" s="69" t="n">
        <f aca="false">IF($B67="","",ROUND(IF(ISNUMBER($D67),$D67,N('設定（最初に1回）'!$C$14))*N($F67),0))</f>
        <v>2550</v>
      </c>
      <c r="I67" s="31" t="str">
        <f aca="false">IF($B67="","",TEXT($B67,"m/d")&amp;"("&amp;$C67&amp;")")</f>
        <v>6/29(月)</v>
      </c>
    </row>
    <row r="68" customFormat="false" ht="15" hidden="false" customHeight="false" outlineLevel="0" collapsed="false">
      <c r="B68" s="87" t="n">
        <f aca="false">IF('設定（最初に1回）'!$C$6="","",'設定（最初に1回）'!$C$6+60)</f>
        <v>46203</v>
      </c>
      <c r="C68" s="68" t="str">
        <f aca="false">IF($B68="","",CHOOSE(WEEKDAY($B68),"日","月","火","水","木","金","土"))</f>
        <v>火</v>
      </c>
      <c r="D68" s="70"/>
      <c r="E68" s="88"/>
      <c r="F68" s="89" t="n">
        <f aca="false">IF($B68="","",IF(SUMPRODUCT(MAX((定数マスタ!$X$6:$X$25&lt;=$B68)*(定数マスタ!$Y$6:$Y$25&gt;=$B68)*定数マスタ!$Z$6:$Z$25))=0,IFERROR(INDEX(定数マスタ!$U$6:$U$17,MONTH($B68)),1),SUMPRODUCT(MAX((定数マスタ!$X$6:$X$25&lt;=$B68)*(定数マスタ!$Y$6:$Y$25&gt;=$B68)*定数マスタ!$Z$6:$Z$25))))</f>
        <v>0.85</v>
      </c>
      <c r="G68" s="69" t="n">
        <f aca="false">IF($B68="","",ROUND(IF(ISNUMBER($D68),$D68,N('設定（最初に1回）'!$C$14))*N($F68),0))</f>
        <v>2550</v>
      </c>
      <c r="I68" s="31" t="str">
        <f aca="false">IF($B68="","",TEXT($B68,"m/d")&amp;"("&amp;$C68&amp;")")</f>
        <v>6/30(火)</v>
      </c>
    </row>
    <row r="69" customFormat="false" ht="15" hidden="false" customHeight="false" outlineLevel="0" collapsed="false">
      <c r="B69" s="87" t="n">
        <f aca="false">IF('設定（最初に1回）'!$C$6="","",'設定（最初に1回）'!$C$6+61)</f>
        <v>46204</v>
      </c>
      <c r="C69" s="68" t="str">
        <f aca="false">IF($B69="","",CHOOSE(WEEKDAY($B69),"日","月","火","水","木","金","土"))</f>
        <v>水</v>
      </c>
      <c r="D69" s="70"/>
      <c r="E69" s="88"/>
      <c r="F69" s="89" t="n">
        <f aca="false">IF($B69="","",IF(SUMPRODUCT(MAX((定数マスタ!$X$6:$X$25&lt;=$B69)*(定数マスタ!$Y$6:$Y$25&gt;=$B69)*定数マスタ!$Z$6:$Z$25))=0,IFERROR(INDEX(定数マスタ!$U$6:$U$17,MONTH($B69)),1),SUMPRODUCT(MAX((定数マスタ!$X$6:$X$25&lt;=$B69)*(定数マスタ!$Y$6:$Y$25&gt;=$B69)*定数マスタ!$Z$6:$Z$25))))</f>
        <v>1.25</v>
      </c>
      <c r="G69" s="69" t="n">
        <f aca="false">IF($B69="","",ROUND(IF(ISNUMBER($D69),$D69,N('設定（最初に1回）'!$C$14))*N($F69),0))</f>
        <v>3750</v>
      </c>
      <c r="I69" s="31" t="str">
        <f aca="false">IF($B69="","",TEXT($B69,"m/d")&amp;"("&amp;$C69&amp;")")</f>
        <v>7/1(水)</v>
      </c>
    </row>
    <row r="70" customFormat="false" ht="15" hidden="false" customHeight="false" outlineLevel="0" collapsed="false">
      <c r="B70" s="87" t="n">
        <f aca="false">IF('設定（最初に1回）'!$C$6="","",'設定（最初に1回）'!$C$6+62)</f>
        <v>46205</v>
      </c>
      <c r="C70" s="68" t="str">
        <f aca="false">IF($B70="","",CHOOSE(WEEKDAY($B70),"日","月","火","水","木","金","土"))</f>
        <v>木</v>
      </c>
      <c r="D70" s="70"/>
      <c r="E70" s="88"/>
      <c r="F70" s="89" t="n">
        <f aca="false">IF($B70="","",IF(SUMPRODUCT(MAX((定数マスタ!$X$6:$X$25&lt;=$B70)*(定数マスタ!$Y$6:$Y$25&gt;=$B70)*定数マスタ!$Z$6:$Z$25))=0,IFERROR(INDEX(定数マスタ!$U$6:$U$17,MONTH($B70)),1),SUMPRODUCT(MAX((定数マスタ!$X$6:$X$25&lt;=$B70)*(定数マスタ!$Y$6:$Y$25&gt;=$B70)*定数マスタ!$Z$6:$Z$25))))</f>
        <v>1.25</v>
      </c>
      <c r="G70" s="69" t="n">
        <f aca="false">IF($B70="","",ROUND(IF(ISNUMBER($D70),$D70,N('設定（最初に1回）'!$C$14))*N($F70),0))</f>
        <v>3750</v>
      </c>
      <c r="I70" s="31" t="str">
        <f aca="false">IF($B70="","",TEXT($B70,"m/d")&amp;"("&amp;$C70&amp;")")</f>
        <v>7/2(木)</v>
      </c>
    </row>
    <row r="71" customFormat="false" ht="15" hidden="false" customHeight="false" outlineLevel="0" collapsed="false">
      <c r="B71" s="87" t="n">
        <f aca="false">IF('設定（最初に1回）'!$C$6="","",'設定（最初に1回）'!$C$6+63)</f>
        <v>46206</v>
      </c>
      <c r="C71" s="68" t="str">
        <f aca="false">IF($B71="","",CHOOSE(WEEKDAY($B71),"日","月","火","水","木","金","土"))</f>
        <v>金</v>
      </c>
      <c r="D71" s="70"/>
      <c r="E71" s="88"/>
      <c r="F71" s="89" t="n">
        <f aca="false">IF($B71="","",IF(SUMPRODUCT(MAX((定数マスタ!$X$6:$X$25&lt;=$B71)*(定数マスタ!$Y$6:$Y$25&gt;=$B71)*定数マスタ!$Z$6:$Z$25))=0,IFERROR(INDEX(定数マスタ!$U$6:$U$17,MONTH($B71)),1),SUMPRODUCT(MAX((定数マスタ!$X$6:$X$25&lt;=$B71)*(定数マスタ!$Y$6:$Y$25&gt;=$B71)*定数マスタ!$Z$6:$Z$25))))</f>
        <v>1.25</v>
      </c>
      <c r="G71" s="69" t="n">
        <f aca="false">IF($B71="","",ROUND(IF(ISNUMBER($D71),$D71,N('設定（最初に1回）'!$C$14))*N($F71),0))</f>
        <v>3750</v>
      </c>
      <c r="I71" s="31" t="str">
        <f aca="false">IF($B71="","",TEXT($B71,"m/d")&amp;"("&amp;$C71&amp;")")</f>
        <v>7/3(金)</v>
      </c>
    </row>
    <row r="72" customFormat="false" ht="15" hidden="false" customHeight="false" outlineLevel="0" collapsed="false">
      <c r="B72" s="87" t="n">
        <f aca="false">IF('設定（最初に1回）'!$C$6="","",'設定（最初に1回）'!$C$6+64)</f>
        <v>46207</v>
      </c>
      <c r="C72" s="68" t="str">
        <f aca="false">IF($B72="","",CHOOSE(WEEKDAY($B72),"日","月","火","水","木","金","土"))</f>
        <v>土</v>
      </c>
      <c r="D72" s="70"/>
      <c r="E72" s="88"/>
      <c r="F72" s="89" t="n">
        <f aca="false">IF($B72="","",IF(SUMPRODUCT(MAX((定数マスタ!$X$6:$X$25&lt;=$B72)*(定数マスタ!$Y$6:$Y$25&gt;=$B72)*定数マスタ!$Z$6:$Z$25))=0,IFERROR(INDEX(定数マスタ!$U$6:$U$17,MONTH($B72)),1),SUMPRODUCT(MAX((定数マスタ!$X$6:$X$25&lt;=$B72)*(定数マスタ!$Y$6:$Y$25&gt;=$B72)*定数マスタ!$Z$6:$Z$25))))</f>
        <v>1.25</v>
      </c>
      <c r="G72" s="69" t="n">
        <f aca="false">IF($B72="","",ROUND(IF(ISNUMBER($D72),$D72,N('設定（最初に1回）'!$C$14))*N($F72),0))</f>
        <v>3750</v>
      </c>
      <c r="I72" s="31" t="str">
        <f aca="false">IF($B72="","",TEXT($B72,"m/d")&amp;"("&amp;$C72&amp;")")</f>
        <v>7/4(土)</v>
      </c>
    </row>
    <row r="73" customFormat="false" ht="15" hidden="false" customHeight="false" outlineLevel="0" collapsed="false">
      <c r="B73" s="87" t="n">
        <f aca="false">IF('設定（最初に1回）'!$C$6="","",'設定（最初に1回）'!$C$6+65)</f>
        <v>46208</v>
      </c>
      <c r="C73" s="68" t="str">
        <f aca="false">IF($B73="","",CHOOSE(WEEKDAY($B73),"日","月","火","水","木","金","土"))</f>
        <v>日</v>
      </c>
      <c r="D73" s="70"/>
      <c r="E73" s="88"/>
      <c r="F73" s="89" t="n">
        <f aca="false">IF($B73="","",IF(SUMPRODUCT(MAX((定数マスタ!$X$6:$X$25&lt;=$B73)*(定数マスタ!$Y$6:$Y$25&gt;=$B73)*定数マスタ!$Z$6:$Z$25))=0,IFERROR(INDEX(定数マスタ!$U$6:$U$17,MONTH($B73)),1),SUMPRODUCT(MAX((定数マスタ!$X$6:$X$25&lt;=$B73)*(定数マスタ!$Y$6:$Y$25&gt;=$B73)*定数マスタ!$Z$6:$Z$25))))</f>
        <v>1.25</v>
      </c>
      <c r="G73" s="69" t="n">
        <f aca="false">IF($B73="","",ROUND(IF(ISNUMBER($D73),$D73,N('設定（最初に1回）'!$C$14))*N($F73),0))</f>
        <v>3750</v>
      </c>
      <c r="I73" s="31" t="str">
        <f aca="false">IF($B73="","",TEXT($B73,"m/d")&amp;"("&amp;$C73&amp;")")</f>
        <v>7/5(日)</v>
      </c>
    </row>
    <row r="74" customFormat="false" ht="15" hidden="false" customHeight="false" outlineLevel="0" collapsed="false">
      <c r="B74" s="87" t="n">
        <f aca="false">IF('設定（最初に1回）'!$C$6="","",'設定（最初に1回）'!$C$6+66)</f>
        <v>46209</v>
      </c>
      <c r="C74" s="68" t="str">
        <f aca="false">IF($B74="","",CHOOSE(WEEKDAY($B74),"日","月","火","水","木","金","土"))</f>
        <v>月</v>
      </c>
      <c r="D74" s="70"/>
      <c r="E74" s="88"/>
      <c r="F74" s="89" t="n">
        <f aca="false">IF($B74="","",IF(SUMPRODUCT(MAX((定数マスタ!$X$6:$X$25&lt;=$B74)*(定数マスタ!$Y$6:$Y$25&gt;=$B74)*定数マスタ!$Z$6:$Z$25))=0,IFERROR(INDEX(定数マスタ!$U$6:$U$17,MONTH($B74)),1),SUMPRODUCT(MAX((定数マスタ!$X$6:$X$25&lt;=$B74)*(定数マスタ!$Y$6:$Y$25&gt;=$B74)*定数マスタ!$Z$6:$Z$25))))</f>
        <v>1.25</v>
      </c>
      <c r="G74" s="69" t="n">
        <f aca="false">IF($B74="","",ROUND(IF(ISNUMBER($D74),$D74,N('設定（最初に1回）'!$C$14))*N($F74),0))</f>
        <v>3750</v>
      </c>
      <c r="I74" s="31" t="str">
        <f aca="false">IF($B74="","",TEXT($B74,"m/d")&amp;"("&amp;$C74&amp;")")</f>
        <v>7/6(月)</v>
      </c>
    </row>
    <row r="75" customFormat="false" ht="15" hidden="false" customHeight="false" outlineLevel="0" collapsed="false">
      <c r="B75" s="87" t="n">
        <f aca="false">IF('設定（最初に1回）'!$C$6="","",'設定（最初に1回）'!$C$6+67)</f>
        <v>46210</v>
      </c>
      <c r="C75" s="68" t="str">
        <f aca="false">IF($B75="","",CHOOSE(WEEKDAY($B75),"日","月","火","水","木","金","土"))</f>
        <v>火</v>
      </c>
      <c r="D75" s="70"/>
      <c r="E75" s="88"/>
      <c r="F75" s="89" t="n">
        <f aca="false">IF($B75="","",IF(SUMPRODUCT(MAX((定数マスタ!$X$6:$X$25&lt;=$B75)*(定数マスタ!$Y$6:$Y$25&gt;=$B75)*定数マスタ!$Z$6:$Z$25))=0,IFERROR(INDEX(定数マスタ!$U$6:$U$17,MONTH($B75)),1),SUMPRODUCT(MAX((定数マスタ!$X$6:$X$25&lt;=$B75)*(定数マスタ!$Y$6:$Y$25&gt;=$B75)*定数マスタ!$Z$6:$Z$25))))</f>
        <v>1.25</v>
      </c>
      <c r="G75" s="69" t="n">
        <f aca="false">IF($B75="","",ROUND(IF(ISNUMBER($D75),$D75,N('設定（最初に1回）'!$C$14))*N($F75),0))</f>
        <v>3750</v>
      </c>
      <c r="I75" s="31" t="str">
        <f aca="false">IF($B75="","",TEXT($B75,"m/d")&amp;"("&amp;$C75&amp;")")</f>
        <v>7/7(火)</v>
      </c>
    </row>
    <row r="76" customFormat="false" ht="15" hidden="false" customHeight="false" outlineLevel="0" collapsed="false">
      <c r="B76" s="87" t="n">
        <f aca="false">IF('設定（最初に1回）'!$C$6="","",'設定（最初に1回）'!$C$6+68)</f>
        <v>46211</v>
      </c>
      <c r="C76" s="68" t="str">
        <f aca="false">IF($B76="","",CHOOSE(WEEKDAY($B76),"日","月","火","水","木","金","土"))</f>
        <v>水</v>
      </c>
      <c r="D76" s="70"/>
      <c r="E76" s="88"/>
      <c r="F76" s="89" t="n">
        <f aca="false">IF($B76="","",IF(SUMPRODUCT(MAX((定数マスタ!$X$6:$X$25&lt;=$B76)*(定数マスタ!$Y$6:$Y$25&gt;=$B76)*定数マスタ!$Z$6:$Z$25))=0,IFERROR(INDEX(定数マスタ!$U$6:$U$17,MONTH($B76)),1),SUMPRODUCT(MAX((定数マスタ!$X$6:$X$25&lt;=$B76)*(定数マスタ!$Y$6:$Y$25&gt;=$B76)*定数マスタ!$Z$6:$Z$25))))</f>
        <v>1.25</v>
      </c>
      <c r="G76" s="69" t="n">
        <f aca="false">IF($B76="","",ROUND(IF(ISNUMBER($D76),$D76,N('設定（最初に1回）'!$C$14))*N($F76),0))</f>
        <v>3750</v>
      </c>
      <c r="I76" s="31" t="str">
        <f aca="false">IF($B76="","",TEXT($B76,"m/d")&amp;"("&amp;$C76&amp;")")</f>
        <v>7/8(水)</v>
      </c>
    </row>
    <row r="77" customFormat="false" ht="15" hidden="false" customHeight="false" outlineLevel="0" collapsed="false">
      <c r="B77" s="87" t="n">
        <f aca="false">IF('設定（最初に1回）'!$C$6="","",'設定（最初に1回）'!$C$6+69)</f>
        <v>46212</v>
      </c>
      <c r="C77" s="68" t="str">
        <f aca="false">IF($B77="","",CHOOSE(WEEKDAY($B77),"日","月","火","水","木","金","土"))</f>
        <v>木</v>
      </c>
      <c r="D77" s="70"/>
      <c r="E77" s="88"/>
      <c r="F77" s="89" t="n">
        <f aca="false">IF($B77="","",IF(SUMPRODUCT(MAX((定数マスタ!$X$6:$X$25&lt;=$B77)*(定数マスタ!$Y$6:$Y$25&gt;=$B77)*定数マスタ!$Z$6:$Z$25))=0,IFERROR(INDEX(定数マスタ!$U$6:$U$17,MONTH($B77)),1),SUMPRODUCT(MAX((定数マスタ!$X$6:$X$25&lt;=$B77)*(定数マスタ!$Y$6:$Y$25&gt;=$B77)*定数マスタ!$Z$6:$Z$25))))</f>
        <v>1.25</v>
      </c>
      <c r="G77" s="69" t="n">
        <f aca="false">IF($B77="","",ROUND(IF(ISNUMBER($D77),$D77,N('設定（最初に1回）'!$C$14))*N($F77),0))</f>
        <v>3750</v>
      </c>
      <c r="I77" s="31" t="str">
        <f aca="false">IF($B77="","",TEXT($B77,"m/d")&amp;"("&amp;$C77&amp;")")</f>
        <v>7/9(木)</v>
      </c>
    </row>
    <row r="78" customFormat="false" ht="15" hidden="false" customHeight="false" outlineLevel="0" collapsed="false">
      <c r="B78" s="87" t="n">
        <f aca="false">IF('設定（最初に1回）'!$C$6="","",'設定（最初に1回）'!$C$6+70)</f>
        <v>46213</v>
      </c>
      <c r="C78" s="68" t="str">
        <f aca="false">IF($B78="","",CHOOSE(WEEKDAY($B78),"日","月","火","水","木","金","土"))</f>
        <v>金</v>
      </c>
      <c r="D78" s="70"/>
      <c r="E78" s="88"/>
      <c r="F78" s="89" t="n">
        <f aca="false">IF($B78="","",IF(SUMPRODUCT(MAX((定数マスタ!$X$6:$X$25&lt;=$B78)*(定数マスタ!$Y$6:$Y$25&gt;=$B78)*定数マスタ!$Z$6:$Z$25))=0,IFERROR(INDEX(定数マスタ!$U$6:$U$17,MONTH($B78)),1),SUMPRODUCT(MAX((定数マスタ!$X$6:$X$25&lt;=$B78)*(定数マスタ!$Y$6:$Y$25&gt;=$B78)*定数マスタ!$Z$6:$Z$25))))</f>
        <v>1.25</v>
      </c>
      <c r="G78" s="69" t="n">
        <f aca="false">IF($B78="","",ROUND(IF(ISNUMBER($D78),$D78,N('設定（最初に1回）'!$C$14))*N($F78),0))</f>
        <v>3750</v>
      </c>
      <c r="I78" s="31" t="str">
        <f aca="false">IF($B78="","",TEXT($B78,"m/d")&amp;"("&amp;$C78&amp;")")</f>
        <v>7/10(金)</v>
      </c>
    </row>
    <row r="79" customFormat="false" ht="15" hidden="false" customHeight="false" outlineLevel="0" collapsed="false">
      <c r="B79" s="87" t="n">
        <f aca="false">IF('設定（最初に1回）'!$C$6="","",'設定（最初に1回）'!$C$6+71)</f>
        <v>46214</v>
      </c>
      <c r="C79" s="68" t="str">
        <f aca="false">IF($B79="","",CHOOSE(WEEKDAY($B79),"日","月","火","水","木","金","土"))</f>
        <v>土</v>
      </c>
      <c r="D79" s="70"/>
      <c r="E79" s="88"/>
      <c r="F79" s="89" t="n">
        <f aca="false">IF($B79="","",IF(SUMPRODUCT(MAX((定数マスタ!$X$6:$X$25&lt;=$B79)*(定数マスタ!$Y$6:$Y$25&gt;=$B79)*定数マスタ!$Z$6:$Z$25))=0,IFERROR(INDEX(定数マスタ!$U$6:$U$17,MONTH($B79)),1),SUMPRODUCT(MAX((定数マスタ!$X$6:$X$25&lt;=$B79)*(定数マスタ!$Y$6:$Y$25&gt;=$B79)*定数マスタ!$Z$6:$Z$25))))</f>
        <v>1.25</v>
      </c>
      <c r="G79" s="69" t="n">
        <f aca="false">IF($B79="","",ROUND(IF(ISNUMBER($D79),$D79,N('設定（最初に1回）'!$C$14))*N($F79),0))</f>
        <v>3750</v>
      </c>
      <c r="I79" s="31" t="str">
        <f aca="false">IF($B79="","",TEXT($B79,"m/d")&amp;"("&amp;$C79&amp;")")</f>
        <v>7/11(土)</v>
      </c>
    </row>
    <row r="80" customFormat="false" ht="15" hidden="false" customHeight="false" outlineLevel="0" collapsed="false">
      <c r="B80" s="87" t="n">
        <f aca="false">IF('設定（最初に1回）'!$C$6="","",'設定（最初に1回）'!$C$6+72)</f>
        <v>46215</v>
      </c>
      <c r="C80" s="68" t="str">
        <f aca="false">IF($B80="","",CHOOSE(WEEKDAY($B80),"日","月","火","水","木","金","土"))</f>
        <v>日</v>
      </c>
      <c r="D80" s="70"/>
      <c r="E80" s="88"/>
      <c r="F80" s="89" t="n">
        <f aca="false">IF($B80="","",IF(SUMPRODUCT(MAX((定数マスタ!$X$6:$X$25&lt;=$B80)*(定数マスタ!$Y$6:$Y$25&gt;=$B80)*定数マスタ!$Z$6:$Z$25))=0,IFERROR(INDEX(定数マスタ!$U$6:$U$17,MONTH($B80)),1),SUMPRODUCT(MAX((定数マスタ!$X$6:$X$25&lt;=$B80)*(定数マスタ!$Y$6:$Y$25&gt;=$B80)*定数マスタ!$Z$6:$Z$25))))</f>
        <v>1.25</v>
      </c>
      <c r="G80" s="69" t="n">
        <f aca="false">IF($B80="","",ROUND(IF(ISNUMBER($D80),$D80,N('設定（最初に1回）'!$C$14))*N($F80),0))</f>
        <v>3750</v>
      </c>
      <c r="I80" s="31" t="str">
        <f aca="false">IF($B80="","",TEXT($B80,"m/d")&amp;"("&amp;$C80&amp;")")</f>
        <v>7/12(日)</v>
      </c>
    </row>
    <row r="81" customFormat="false" ht="15" hidden="false" customHeight="false" outlineLevel="0" collapsed="false">
      <c r="B81" s="87" t="n">
        <f aca="false">IF('設定（最初に1回）'!$C$6="","",'設定（最初に1回）'!$C$6+73)</f>
        <v>46216</v>
      </c>
      <c r="C81" s="68" t="str">
        <f aca="false">IF($B81="","",CHOOSE(WEEKDAY($B81),"日","月","火","水","木","金","土"))</f>
        <v>月</v>
      </c>
      <c r="D81" s="70"/>
      <c r="E81" s="88"/>
      <c r="F81" s="89" t="n">
        <f aca="false">IF($B81="","",IF(SUMPRODUCT(MAX((定数マスタ!$X$6:$X$25&lt;=$B81)*(定数マスタ!$Y$6:$Y$25&gt;=$B81)*定数マスタ!$Z$6:$Z$25))=0,IFERROR(INDEX(定数マスタ!$U$6:$U$17,MONTH($B81)),1),SUMPRODUCT(MAX((定数マスタ!$X$6:$X$25&lt;=$B81)*(定数マスタ!$Y$6:$Y$25&gt;=$B81)*定数マスタ!$Z$6:$Z$25))))</f>
        <v>1.25</v>
      </c>
      <c r="G81" s="69" t="n">
        <f aca="false">IF($B81="","",ROUND(IF(ISNUMBER($D81),$D81,N('設定（最初に1回）'!$C$14))*N($F81),0))</f>
        <v>3750</v>
      </c>
      <c r="I81" s="31" t="str">
        <f aca="false">IF($B81="","",TEXT($B81,"m/d")&amp;"("&amp;$C81&amp;")")</f>
        <v>7/13(月)</v>
      </c>
    </row>
    <row r="82" customFormat="false" ht="15" hidden="false" customHeight="false" outlineLevel="0" collapsed="false">
      <c r="B82" s="87" t="n">
        <f aca="false">IF('設定（最初に1回）'!$C$6="","",'設定（最初に1回）'!$C$6+74)</f>
        <v>46217</v>
      </c>
      <c r="C82" s="68" t="str">
        <f aca="false">IF($B82="","",CHOOSE(WEEKDAY($B82),"日","月","火","水","木","金","土"))</f>
        <v>火</v>
      </c>
      <c r="D82" s="70"/>
      <c r="E82" s="88"/>
      <c r="F82" s="89" t="n">
        <f aca="false">IF($B82="","",IF(SUMPRODUCT(MAX((定数マスタ!$X$6:$X$25&lt;=$B82)*(定数マスタ!$Y$6:$Y$25&gt;=$B82)*定数マスタ!$Z$6:$Z$25))=0,IFERROR(INDEX(定数マスタ!$U$6:$U$17,MONTH($B82)),1),SUMPRODUCT(MAX((定数マスタ!$X$6:$X$25&lt;=$B82)*(定数マスタ!$Y$6:$Y$25&gt;=$B82)*定数マスタ!$Z$6:$Z$25))))</f>
        <v>1.25</v>
      </c>
      <c r="G82" s="69" t="n">
        <f aca="false">IF($B82="","",ROUND(IF(ISNUMBER($D82),$D82,N('設定（最初に1回）'!$C$14))*N($F82),0))</f>
        <v>3750</v>
      </c>
      <c r="I82" s="31" t="str">
        <f aca="false">IF($B82="","",TEXT($B82,"m/d")&amp;"("&amp;$C82&amp;")")</f>
        <v>7/14(火)</v>
      </c>
    </row>
    <row r="83" customFormat="false" ht="15" hidden="false" customHeight="false" outlineLevel="0" collapsed="false">
      <c r="B83" s="87" t="n">
        <f aca="false">IF('設定（最初に1回）'!$C$6="","",'設定（最初に1回）'!$C$6+75)</f>
        <v>46218</v>
      </c>
      <c r="C83" s="68" t="str">
        <f aca="false">IF($B83="","",CHOOSE(WEEKDAY($B83),"日","月","火","水","木","金","土"))</f>
        <v>水</v>
      </c>
      <c r="D83" s="70"/>
      <c r="E83" s="88"/>
      <c r="F83" s="89" t="n">
        <f aca="false">IF($B83="","",IF(SUMPRODUCT(MAX((定数マスタ!$X$6:$X$25&lt;=$B83)*(定数マスタ!$Y$6:$Y$25&gt;=$B83)*定数マスタ!$Z$6:$Z$25))=0,IFERROR(INDEX(定数マスタ!$U$6:$U$17,MONTH($B83)),1),SUMPRODUCT(MAX((定数マスタ!$X$6:$X$25&lt;=$B83)*(定数マスタ!$Y$6:$Y$25&gt;=$B83)*定数マスタ!$Z$6:$Z$25))))</f>
        <v>1.25</v>
      </c>
      <c r="G83" s="69" t="n">
        <f aca="false">IF($B83="","",ROUND(IF(ISNUMBER($D83),$D83,N('設定（最初に1回）'!$C$14))*N($F83),0))</f>
        <v>3750</v>
      </c>
      <c r="I83" s="31" t="str">
        <f aca="false">IF($B83="","",TEXT($B83,"m/d")&amp;"("&amp;$C83&amp;")")</f>
        <v>7/15(水)</v>
      </c>
    </row>
    <row r="84" customFormat="false" ht="15" hidden="false" customHeight="false" outlineLevel="0" collapsed="false">
      <c r="B84" s="87" t="n">
        <f aca="false">IF('設定（最初に1回）'!$C$6="","",'設定（最初に1回）'!$C$6+76)</f>
        <v>46219</v>
      </c>
      <c r="C84" s="68" t="str">
        <f aca="false">IF($B84="","",CHOOSE(WEEKDAY($B84),"日","月","火","水","木","金","土"))</f>
        <v>木</v>
      </c>
      <c r="D84" s="70"/>
      <c r="E84" s="88"/>
      <c r="F84" s="89" t="n">
        <f aca="false">IF($B84="","",IF(SUMPRODUCT(MAX((定数マスタ!$X$6:$X$25&lt;=$B84)*(定数マスタ!$Y$6:$Y$25&gt;=$B84)*定数マスタ!$Z$6:$Z$25))=0,IFERROR(INDEX(定数マスタ!$U$6:$U$17,MONTH($B84)),1),SUMPRODUCT(MAX((定数マスタ!$X$6:$X$25&lt;=$B84)*(定数マスタ!$Y$6:$Y$25&gt;=$B84)*定数マスタ!$Z$6:$Z$25))))</f>
        <v>1.25</v>
      </c>
      <c r="G84" s="69" t="n">
        <f aca="false">IF($B84="","",ROUND(IF(ISNUMBER($D84),$D84,N('設定（最初に1回）'!$C$14))*N($F84),0))</f>
        <v>3750</v>
      </c>
      <c r="I84" s="31" t="str">
        <f aca="false">IF($B84="","",TEXT($B84,"m/d")&amp;"("&amp;$C84&amp;")")</f>
        <v>7/16(木)</v>
      </c>
    </row>
    <row r="85" customFormat="false" ht="15" hidden="false" customHeight="false" outlineLevel="0" collapsed="false">
      <c r="B85" s="87" t="n">
        <f aca="false">IF('設定（最初に1回）'!$C$6="","",'設定（最初に1回）'!$C$6+77)</f>
        <v>46220</v>
      </c>
      <c r="C85" s="68" t="str">
        <f aca="false">IF($B85="","",CHOOSE(WEEKDAY($B85),"日","月","火","水","木","金","土"))</f>
        <v>金</v>
      </c>
      <c r="D85" s="70"/>
      <c r="E85" s="88"/>
      <c r="F85" s="89" t="n">
        <f aca="false">IF($B85="","",IF(SUMPRODUCT(MAX((定数マスタ!$X$6:$X$25&lt;=$B85)*(定数マスタ!$Y$6:$Y$25&gt;=$B85)*定数マスタ!$Z$6:$Z$25))=0,IFERROR(INDEX(定数マスタ!$U$6:$U$17,MONTH($B85)),1),SUMPRODUCT(MAX((定数マスタ!$X$6:$X$25&lt;=$B85)*(定数マスタ!$Y$6:$Y$25&gt;=$B85)*定数マスタ!$Z$6:$Z$25))))</f>
        <v>1.25</v>
      </c>
      <c r="G85" s="69" t="n">
        <f aca="false">IF($B85="","",ROUND(IF(ISNUMBER($D85),$D85,N('設定（最初に1回）'!$C$14))*N($F85),0))</f>
        <v>3750</v>
      </c>
      <c r="I85" s="31" t="str">
        <f aca="false">IF($B85="","",TEXT($B85,"m/d")&amp;"("&amp;$C85&amp;")")</f>
        <v>7/17(金)</v>
      </c>
    </row>
    <row r="86" customFormat="false" ht="15" hidden="false" customHeight="false" outlineLevel="0" collapsed="false">
      <c r="B86" s="87" t="n">
        <f aca="false">IF('設定（最初に1回）'!$C$6="","",'設定（最初に1回）'!$C$6+78)</f>
        <v>46221</v>
      </c>
      <c r="C86" s="68" t="str">
        <f aca="false">IF($B86="","",CHOOSE(WEEKDAY($B86),"日","月","火","水","木","金","土"))</f>
        <v>土</v>
      </c>
      <c r="D86" s="70"/>
      <c r="E86" s="88"/>
      <c r="F86" s="89" t="n">
        <f aca="false">IF($B86="","",IF(SUMPRODUCT(MAX((定数マスタ!$X$6:$X$25&lt;=$B86)*(定数マスタ!$Y$6:$Y$25&gt;=$B86)*定数マスタ!$Z$6:$Z$25))=0,IFERROR(INDEX(定数マスタ!$U$6:$U$17,MONTH($B86)),1),SUMPRODUCT(MAX((定数マスタ!$X$6:$X$25&lt;=$B86)*(定数マスタ!$Y$6:$Y$25&gt;=$B86)*定数マスタ!$Z$6:$Z$25))))</f>
        <v>1.25</v>
      </c>
      <c r="G86" s="69" t="n">
        <f aca="false">IF($B86="","",ROUND(IF(ISNUMBER($D86),$D86,N('設定（最初に1回）'!$C$14))*N($F86),0))</f>
        <v>3750</v>
      </c>
      <c r="I86" s="31" t="str">
        <f aca="false">IF($B86="","",TEXT($B86,"m/d")&amp;"("&amp;$C86&amp;")")</f>
        <v>7/18(土)</v>
      </c>
    </row>
    <row r="87" customFormat="false" ht="15" hidden="false" customHeight="false" outlineLevel="0" collapsed="false">
      <c r="B87" s="87" t="n">
        <f aca="false">IF('設定（最初に1回）'!$C$6="","",'設定（最初に1回）'!$C$6+79)</f>
        <v>46222</v>
      </c>
      <c r="C87" s="68" t="str">
        <f aca="false">IF($B87="","",CHOOSE(WEEKDAY($B87),"日","月","火","水","木","金","土"))</f>
        <v>日</v>
      </c>
      <c r="D87" s="70"/>
      <c r="E87" s="88"/>
      <c r="F87" s="89" t="n">
        <f aca="false">IF($B87="","",IF(SUMPRODUCT(MAX((定数マスタ!$X$6:$X$25&lt;=$B87)*(定数マスタ!$Y$6:$Y$25&gt;=$B87)*定数マスタ!$Z$6:$Z$25))=0,IFERROR(INDEX(定数マスタ!$U$6:$U$17,MONTH($B87)),1),SUMPRODUCT(MAX((定数マスタ!$X$6:$X$25&lt;=$B87)*(定数マスタ!$Y$6:$Y$25&gt;=$B87)*定数マスタ!$Z$6:$Z$25))))</f>
        <v>1.25</v>
      </c>
      <c r="G87" s="69" t="n">
        <f aca="false">IF($B87="","",ROUND(IF(ISNUMBER($D87),$D87,N('設定（最初に1回）'!$C$14))*N($F87),0))</f>
        <v>3750</v>
      </c>
      <c r="I87" s="31" t="str">
        <f aca="false">IF($B87="","",TEXT($B87,"m/d")&amp;"("&amp;$C87&amp;")")</f>
        <v>7/19(日)</v>
      </c>
    </row>
    <row r="88" customFormat="false" ht="15" hidden="false" customHeight="false" outlineLevel="0" collapsed="false">
      <c r="B88" s="87" t="n">
        <f aca="false">IF('設定（最初に1回）'!$C$6="","",'設定（最初に1回）'!$C$6+80)</f>
        <v>46223</v>
      </c>
      <c r="C88" s="68" t="str">
        <f aca="false">IF($B88="","",CHOOSE(WEEKDAY($B88),"日","月","火","水","木","金","土"))</f>
        <v>月</v>
      </c>
      <c r="D88" s="70"/>
      <c r="E88" s="88"/>
      <c r="F88" s="89" t="n">
        <f aca="false">IF($B88="","",IF(SUMPRODUCT(MAX((定数マスタ!$X$6:$X$25&lt;=$B88)*(定数マスタ!$Y$6:$Y$25&gt;=$B88)*定数マスタ!$Z$6:$Z$25))=0,IFERROR(INDEX(定数マスタ!$U$6:$U$17,MONTH($B88)),1),SUMPRODUCT(MAX((定数マスタ!$X$6:$X$25&lt;=$B88)*(定数マスタ!$Y$6:$Y$25&gt;=$B88)*定数マスタ!$Z$6:$Z$25))))</f>
        <v>1.25</v>
      </c>
      <c r="G88" s="69" t="n">
        <f aca="false">IF($B88="","",ROUND(IF(ISNUMBER($D88),$D88,N('設定（最初に1回）'!$C$14))*N($F88),0))</f>
        <v>3750</v>
      </c>
      <c r="I88" s="31" t="str">
        <f aca="false">IF($B88="","",TEXT($B88,"m/d")&amp;"("&amp;$C88&amp;")")</f>
        <v>7/20(月)</v>
      </c>
    </row>
    <row r="89" customFormat="false" ht="15" hidden="false" customHeight="false" outlineLevel="0" collapsed="false">
      <c r="B89" s="87" t="n">
        <f aca="false">IF('設定（最初に1回）'!$C$6="","",'設定（最初に1回）'!$C$6+81)</f>
        <v>46224</v>
      </c>
      <c r="C89" s="68" t="str">
        <f aca="false">IF($B89="","",CHOOSE(WEEKDAY($B89),"日","月","火","水","木","金","土"))</f>
        <v>火</v>
      </c>
      <c r="D89" s="70"/>
      <c r="E89" s="88"/>
      <c r="F89" s="89" t="n">
        <f aca="false">IF($B89="","",IF(SUMPRODUCT(MAX((定数マスタ!$X$6:$X$25&lt;=$B89)*(定数マスタ!$Y$6:$Y$25&gt;=$B89)*定数マスタ!$Z$6:$Z$25))=0,IFERROR(INDEX(定数マスタ!$U$6:$U$17,MONTH($B89)),1),SUMPRODUCT(MAX((定数マスタ!$X$6:$X$25&lt;=$B89)*(定数マスタ!$Y$6:$Y$25&gt;=$B89)*定数マスタ!$Z$6:$Z$25))))</f>
        <v>1.25</v>
      </c>
      <c r="G89" s="69" t="n">
        <f aca="false">IF($B89="","",ROUND(IF(ISNUMBER($D89),$D89,N('設定（最初に1回）'!$C$14))*N($F89),0))</f>
        <v>3750</v>
      </c>
      <c r="I89" s="31" t="str">
        <f aca="false">IF($B89="","",TEXT($B89,"m/d")&amp;"("&amp;$C89&amp;")")</f>
        <v>7/21(火)</v>
      </c>
    </row>
    <row r="90" customFormat="false" ht="15" hidden="false" customHeight="false" outlineLevel="0" collapsed="false">
      <c r="B90" s="87" t="n">
        <f aca="false">IF('設定（最初に1回）'!$C$6="","",'設定（最初に1回）'!$C$6+82)</f>
        <v>46225</v>
      </c>
      <c r="C90" s="68" t="str">
        <f aca="false">IF($B90="","",CHOOSE(WEEKDAY($B90),"日","月","火","水","木","金","土"))</f>
        <v>水</v>
      </c>
      <c r="D90" s="70"/>
      <c r="E90" s="88"/>
      <c r="F90" s="89" t="n">
        <f aca="false">IF($B90="","",IF(SUMPRODUCT(MAX((定数マスタ!$X$6:$X$25&lt;=$B90)*(定数マスタ!$Y$6:$Y$25&gt;=$B90)*定数マスタ!$Z$6:$Z$25))=0,IFERROR(INDEX(定数マスタ!$U$6:$U$17,MONTH($B90)),1),SUMPRODUCT(MAX((定数マスタ!$X$6:$X$25&lt;=$B90)*(定数マスタ!$Y$6:$Y$25&gt;=$B90)*定数マスタ!$Z$6:$Z$25))))</f>
        <v>1.25</v>
      </c>
      <c r="G90" s="69" t="n">
        <f aca="false">IF($B90="","",ROUND(IF(ISNUMBER($D90),$D90,N('設定（最初に1回）'!$C$14))*N($F90),0))</f>
        <v>3750</v>
      </c>
      <c r="I90" s="31" t="str">
        <f aca="false">IF($B90="","",TEXT($B90,"m/d")&amp;"("&amp;$C90&amp;")")</f>
        <v>7/22(水)</v>
      </c>
    </row>
    <row r="91" customFormat="false" ht="15" hidden="false" customHeight="false" outlineLevel="0" collapsed="false">
      <c r="B91" s="87" t="n">
        <f aca="false">IF('設定（最初に1回）'!$C$6="","",'設定（最初に1回）'!$C$6+83)</f>
        <v>46226</v>
      </c>
      <c r="C91" s="68" t="str">
        <f aca="false">IF($B91="","",CHOOSE(WEEKDAY($B91),"日","月","火","水","木","金","土"))</f>
        <v>木</v>
      </c>
      <c r="D91" s="70"/>
      <c r="E91" s="88"/>
      <c r="F91" s="89" t="n">
        <f aca="false">IF($B91="","",IF(SUMPRODUCT(MAX((定数マスタ!$X$6:$X$25&lt;=$B91)*(定数マスタ!$Y$6:$Y$25&gt;=$B91)*定数マスタ!$Z$6:$Z$25))=0,IFERROR(INDEX(定数マスタ!$U$6:$U$17,MONTH($B91)),1),SUMPRODUCT(MAX((定数マスタ!$X$6:$X$25&lt;=$B91)*(定数マスタ!$Y$6:$Y$25&gt;=$B91)*定数マスタ!$Z$6:$Z$25))))</f>
        <v>1.25</v>
      </c>
      <c r="G91" s="69" t="n">
        <f aca="false">IF($B91="","",ROUND(IF(ISNUMBER($D91),$D91,N('設定（最初に1回）'!$C$14))*N($F91),0))</f>
        <v>3750</v>
      </c>
      <c r="I91" s="31" t="str">
        <f aca="false">IF($B91="","",TEXT($B91,"m/d")&amp;"("&amp;$C91&amp;")")</f>
        <v>7/23(木)</v>
      </c>
    </row>
    <row r="92" customFormat="false" ht="15" hidden="false" customHeight="false" outlineLevel="0" collapsed="false">
      <c r="B92" s="87" t="n">
        <f aca="false">IF('設定（最初に1回）'!$C$6="","",'設定（最初に1回）'!$C$6+84)</f>
        <v>46227</v>
      </c>
      <c r="C92" s="68" t="str">
        <f aca="false">IF($B92="","",CHOOSE(WEEKDAY($B92),"日","月","火","水","木","金","土"))</f>
        <v>金</v>
      </c>
      <c r="D92" s="70"/>
      <c r="E92" s="88"/>
      <c r="F92" s="89" t="n">
        <f aca="false">IF($B92="","",IF(SUMPRODUCT(MAX((定数マスタ!$X$6:$X$25&lt;=$B92)*(定数マスタ!$Y$6:$Y$25&gt;=$B92)*定数マスタ!$Z$6:$Z$25))=0,IFERROR(INDEX(定数マスタ!$U$6:$U$17,MONTH($B92)),1),SUMPRODUCT(MAX((定数マスタ!$X$6:$X$25&lt;=$B92)*(定数マスタ!$Y$6:$Y$25&gt;=$B92)*定数マスタ!$Z$6:$Z$25))))</f>
        <v>1.25</v>
      </c>
      <c r="G92" s="69" t="n">
        <f aca="false">IF($B92="","",ROUND(IF(ISNUMBER($D92),$D92,N('設定（最初に1回）'!$C$14))*N($F92),0))</f>
        <v>3750</v>
      </c>
      <c r="I92" s="31" t="str">
        <f aca="false">IF($B92="","",TEXT($B92,"m/d")&amp;"("&amp;$C92&amp;")")</f>
        <v>7/24(金)</v>
      </c>
    </row>
    <row r="93" customFormat="false" ht="15" hidden="false" customHeight="false" outlineLevel="0" collapsed="false">
      <c r="B93" s="87" t="n">
        <f aca="false">IF('設定（最初に1回）'!$C$6="","",'設定（最初に1回）'!$C$6+85)</f>
        <v>46228</v>
      </c>
      <c r="C93" s="68" t="str">
        <f aca="false">IF($B93="","",CHOOSE(WEEKDAY($B93),"日","月","火","水","木","金","土"))</f>
        <v>土</v>
      </c>
      <c r="D93" s="70"/>
      <c r="E93" s="88"/>
      <c r="F93" s="89" t="n">
        <f aca="false">IF($B93="","",IF(SUMPRODUCT(MAX((定数マスタ!$X$6:$X$25&lt;=$B93)*(定数マスタ!$Y$6:$Y$25&gt;=$B93)*定数マスタ!$Z$6:$Z$25))=0,IFERROR(INDEX(定数マスタ!$U$6:$U$17,MONTH($B93)),1),SUMPRODUCT(MAX((定数マスタ!$X$6:$X$25&lt;=$B93)*(定数マスタ!$Y$6:$Y$25&gt;=$B93)*定数マスタ!$Z$6:$Z$25))))</f>
        <v>1.25</v>
      </c>
      <c r="G93" s="69" t="n">
        <f aca="false">IF($B93="","",ROUND(IF(ISNUMBER($D93),$D93,N('設定（最初に1回）'!$C$14))*N($F93),0))</f>
        <v>3750</v>
      </c>
      <c r="I93" s="31" t="str">
        <f aca="false">IF($B93="","",TEXT($B93,"m/d")&amp;"("&amp;$C93&amp;")")</f>
        <v>7/25(土)</v>
      </c>
    </row>
    <row r="94" customFormat="false" ht="15" hidden="false" customHeight="false" outlineLevel="0" collapsed="false">
      <c r="B94" s="87" t="n">
        <f aca="false">IF('設定（最初に1回）'!$C$6="","",'設定（最初に1回）'!$C$6+86)</f>
        <v>46229</v>
      </c>
      <c r="C94" s="68" t="str">
        <f aca="false">IF($B94="","",CHOOSE(WEEKDAY($B94),"日","月","火","水","木","金","土"))</f>
        <v>日</v>
      </c>
      <c r="D94" s="70"/>
      <c r="E94" s="88"/>
      <c r="F94" s="89" t="n">
        <f aca="false">IF($B94="","",IF(SUMPRODUCT(MAX((定数マスタ!$X$6:$X$25&lt;=$B94)*(定数マスタ!$Y$6:$Y$25&gt;=$B94)*定数マスタ!$Z$6:$Z$25))=0,IFERROR(INDEX(定数マスタ!$U$6:$U$17,MONTH($B94)),1),SUMPRODUCT(MAX((定数マスタ!$X$6:$X$25&lt;=$B94)*(定数マスタ!$Y$6:$Y$25&gt;=$B94)*定数マスタ!$Z$6:$Z$25))))</f>
        <v>1.25</v>
      </c>
      <c r="G94" s="69" t="n">
        <f aca="false">IF($B94="","",ROUND(IF(ISNUMBER($D94),$D94,N('設定（最初に1回）'!$C$14))*N($F94),0))</f>
        <v>3750</v>
      </c>
      <c r="I94" s="31" t="str">
        <f aca="false">IF($B94="","",TEXT($B94,"m/d")&amp;"("&amp;$C94&amp;")")</f>
        <v>7/26(日)</v>
      </c>
    </row>
    <row r="95" customFormat="false" ht="15" hidden="false" customHeight="false" outlineLevel="0" collapsed="false">
      <c r="B95" s="87" t="n">
        <f aca="false">IF('設定（最初に1回）'!$C$6="","",'設定（最初に1回）'!$C$6+87)</f>
        <v>46230</v>
      </c>
      <c r="C95" s="68" t="str">
        <f aca="false">IF($B95="","",CHOOSE(WEEKDAY($B95),"日","月","火","水","木","金","土"))</f>
        <v>月</v>
      </c>
      <c r="D95" s="70"/>
      <c r="E95" s="88"/>
      <c r="F95" s="89" t="n">
        <f aca="false">IF($B95="","",IF(SUMPRODUCT(MAX((定数マスタ!$X$6:$X$25&lt;=$B95)*(定数マスタ!$Y$6:$Y$25&gt;=$B95)*定数マスタ!$Z$6:$Z$25))=0,IFERROR(INDEX(定数マスタ!$U$6:$U$17,MONTH($B95)),1),SUMPRODUCT(MAX((定数マスタ!$X$6:$X$25&lt;=$B95)*(定数マスタ!$Y$6:$Y$25&gt;=$B95)*定数マスタ!$Z$6:$Z$25))))</f>
        <v>1.25</v>
      </c>
      <c r="G95" s="69" t="n">
        <f aca="false">IF($B95="","",ROUND(IF(ISNUMBER($D95),$D95,N('設定（最初に1回）'!$C$14))*N($F95),0))</f>
        <v>3750</v>
      </c>
      <c r="I95" s="31" t="str">
        <f aca="false">IF($B95="","",TEXT($B95,"m/d")&amp;"("&amp;$C95&amp;")")</f>
        <v>7/27(月)</v>
      </c>
    </row>
    <row r="96" customFormat="false" ht="15" hidden="false" customHeight="false" outlineLevel="0" collapsed="false">
      <c r="B96" s="87" t="n">
        <f aca="false">IF('設定（最初に1回）'!$C$6="","",'設定（最初に1回）'!$C$6+88)</f>
        <v>46231</v>
      </c>
      <c r="C96" s="68" t="str">
        <f aca="false">IF($B96="","",CHOOSE(WEEKDAY($B96),"日","月","火","水","木","金","土"))</f>
        <v>火</v>
      </c>
      <c r="D96" s="70"/>
      <c r="E96" s="88"/>
      <c r="F96" s="89" t="n">
        <f aca="false">IF($B96="","",IF(SUMPRODUCT(MAX((定数マスタ!$X$6:$X$25&lt;=$B96)*(定数マスタ!$Y$6:$Y$25&gt;=$B96)*定数マスタ!$Z$6:$Z$25))=0,IFERROR(INDEX(定数マスタ!$U$6:$U$17,MONTH($B96)),1),SUMPRODUCT(MAX((定数マスタ!$X$6:$X$25&lt;=$B96)*(定数マスタ!$Y$6:$Y$25&gt;=$B96)*定数マスタ!$Z$6:$Z$25))))</f>
        <v>1.25</v>
      </c>
      <c r="G96" s="69" t="n">
        <f aca="false">IF($B96="","",ROUND(IF(ISNUMBER($D96),$D96,N('設定（最初に1回）'!$C$14))*N($F96),0))</f>
        <v>3750</v>
      </c>
      <c r="I96" s="31" t="str">
        <f aca="false">IF($B96="","",TEXT($B96,"m/d")&amp;"("&amp;$C96&amp;")")</f>
        <v>7/28(火)</v>
      </c>
    </row>
    <row r="97" customFormat="false" ht="15" hidden="false" customHeight="false" outlineLevel="0" collapsed="false">
      <c r="B97" s="87" t="n">
        <f aca="false">IF('設定（最初に1回）'!$C$6="","",'設定（最初に1回）'!$C$6+89)</f>
        <v>46232</v>
      </c>
      <c r="C97" s="68" t="str">
        <f aca="false">IF($B97="","",CHOOSE(WEEKDAY($B97),"日","月","火","水","木","金","土"))</f>
        <v>水</v>
      </c>
      <c r="D97" s="70"/>
      <c r="E97" s="88"/>
      <c r="F97" s="89" t="n">
        <f aca="false">IF($B97="","",IF(SUMPRODUCT(MAX((定数マスタ!$X$6:$X$25&lt;=$B97)*(定数マスタ!$Y$6:$Y$25&gt;=$B97)*定数マスタ!$Z$6:$Z$25))=0,IFERROR(INDEX(定数マスタ!$U$6:$U$17,MONTH($B97)),1),SUMPRODUCT(MAX((定数マスタ!$X$6:$X$25&lt;=$B97)*(定数マスタ!$Y$6:$Y$25&gt;=$B97)*定数マスタ!$Z$6:$Z$25))))</f>
        <v>1.25</v>
      </c>
      <c r="G97" s="69" t="n">
        <f aca="false">IF($B97="","",ROUND(IF(ISNUMBER($D97),$D97,N('設定（最初に1回）'!$C$14))*N($F97),0))</f>
        <v>3750</v>
      </c>
      <c r="I97" s="31" t="str">
        <f aca="false">IF($B97="","",TEXT($B97,"m/d")&amp;"("&amp;$C97&amp;")")</f>
        <v>7/29(水)</v>
      </c>
    </row>
  </sheetData>
  <conditionalFormatting sqref="B8:G97">
    <cfRule type="expression" priority="2" aboveAverage="0" equalAverage="0" bottom="0" percent="0" rank="0" text="" dxfId="16">
      <formula>OR(WEEKDAY($B8)=1,WEEKDAY($B8)=7)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AF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31" min="2" style="0" width="3.3"/>
  </cols>
  <sheetData>
    <row r="2" customFormat="false" ht="18.55" hidden="false" customHeight="false" outlineLevel="0" collapsed="false">
      <c r="B2" s="90" t="s">
        <v>37</v>
      </c>
      <c r="C2" s="90"/>
      <c r="D2" s="90"/>
      <c r="E2" s="90"/>
      <c r="F2" s="90"/>
      <c r="G2" s="90"/>
      <c r="H2" s="90"/>
      <c r="I2" s="90"/>
      <c r="J2" s="90"/>
      <c r="K2" s="90"/>
      <c r="L2" s="90"/>
      <c r="M2" s="90"/>
      <c r="N2" s="90"/>
    </row>
    <row r="3" customFormat="false" ht="15" hidden="false" customHeight="false" outlineLevel="0" collapsed="false">
      <c r="B3" s="91" t="str">
        <f aca="false">IF('設定（最初に1回）'!$C$4="","設定シートで対象劇場を選んでください。",'設定（最初に1回）'!$C$4&amp;"　"&amp;'設定（最初に1回）'!$C$5&amp;"　／　基準日 "&amp;TEXT('設定（最初に1回）'!$C$6,"yyyy/m/d")&amp;"　／　算出基準 "&amp;'設定（最初に1回）'!$C$9)</f>
        <v>0761　新宿　／　基準日 2026/5/1　／　算出基準 実績消費</v>
      </c>
      <c r="C3" s="91"/>
      <c r="D3" s="91"/>
      <c r="E3" s="91"/>
      <c r="F3" s="91"/>
      <c r="G3" s="91"/>
      <c r="H3" s="91"/>
      <c r="I3" s="91"/>
      <c r="J3" s="91"/>
      <c r="K3" s="91"/>
      <c r="L3" s="91"/>
      <c r="M3" s="91"/>
      <c r="N3" s="91"/>
    </row>
    <row r="5" customFormat="false" ht="15.75" hidden="false" customHeight="true" outlineLevel="0" collapsed="false">
      <c r="B5" s="92" t="s">
        <v>567</v>
      </c>
      <c r="C5" s="92"/>
      <c r="D5" s="92"/>
      <c r="E5" s="92"/>
      <c r="F5" s="92"/>
      <c r="G5" s="92"/>
      <c r="I5" s="93" t="s">
        <v>568</v>
      </c>
      <c r="J5" s="93"/>
      <c r="K5" s="93"/>
      <c r="L5" s="93"/>
      <c r="M5" s="93"/>
      <c r="N5" s="93"/>
      <c r="P5" s="94" t="s">
        <v>569</v>
      </c>
      <c r="Q5" s="94"/>
      <c r="R5" s="94"/>
      <c r="S5" s="94"/>
      <c r="T5" s="94"/>
      <c r="U5" s="94"/>
      <c r="W5" s="95" t="s">
        <v>570</v>
      </c>
      <c r="X5" s="95"/>
      <c r="Y5" s="95"/>
      <c r="Z5" s="95"/>
      <c r="AA5" s="95"/>
      <c r="AB5" s="95"/>
    </row>
    <row r="6" customFormat="false" ht="15" hidden="false" customHeight="true" outlineLevel="0" collapsed="false">
      <c r="B6" s="96" t="n">
        <f aca="false">COUNTIF(②発注数を決める!$G$10:$G$409,"今日が期限")</f>
        <v>36</v>
      </c>
      <c r="C6" s="96"/>
      <c r="D6" s="96"/>
      <c r="E6" s="96"/>
      <c r="F6" s="96"/>
      <c r="G6" s="96"/>
      <c r="I6" s="97" t="n">
        <f aca="false">COUNTIF(②発注数を決める!$G$10:$G$409,"要発注")</f>
        <v>9</v>
      </c>
      <c r="J6" s="97"/>
      <c r="K6" s="97"/>
      <c r="L6" s="97"/>
      <c r="M6" s="97"/>
      <c r="N6" s="97"/>
      <c r="P6" s="98" t="n">
        <f aca="false">COUNTIF(②発注数を決める!$G$10:$G$409,"余裕")</f>
        <v>88</v>
      </c>
      <c r="Q6" s="98"/>
      <c r="R6" s="98"/>
      <c r="S6" s="98"/>
      <c r="T6" s="98"/>
      <c r="U6" s="98"/>
      <c r="W6" s="99" t="n">
        <f aca="false">SUM(発注計算!$AC$6:$AC$405)</f>
        <v>1493771.82</v>
      </c>
      <c r="X6" s="99"/>
      <c r="Y6" s="99"/>
      <c r="Z6" s="99"/>
      <c r="AA6" s="99"/>
      <c r="AB6" s="99"/>
    </row>
    <row r="7" customFormat="false" ht="15" hidden="false" customHeight="true" outlineLevel="0" collapsed="false">
      <c r="B7" s="96"/>
      <c r="C7" s="96"/>
      <c r="D7" s="96"/>
      <c r="E7" s="96"/>
      <c r="F7" s="96"/>
      <c r="G7" s="96"/>
      <c r="I7" s="97"/>
      <c r="J7" s="97"/>
      <c r="K7" s="97"/>
      <c r="L7" s="97"/>
      <c r="M7" s="97"/>
      <c r="N7" s="97"/>
      <c r="P7" s="98"/>
      <c r="Q7" s="98"/>
      <c r="R7" s="98"/>
      <c r="S7" s="98"/>
      <c r="T7" s="98"/>
      <c r="U7" s="98"/>
      <c r="W7" s="99"/>
      <c r="X7" s="99"/>
      <c r="Y7" s="99"/>
      <c r="Z7" s="99"/>
      <c r="AA7" s="99"/>
      <c r="AB7" s="99"/>
    </row>
    <row r="8" customFormat="false" ht="15" hidden="false" customHeight="true" outlineLevel="0" collapsed="false">
      <c r="B8" s="96"/>
      <c r="C8" s="96"/>
      <c r="D8" s="96"/>
      <c r="E8" s="96"/>
      <c r="F8" s="96"/>
      <c r="G8" s="96"/>
      <c r="I8" s="97"/>
      <c r="J8" s="97"/>
      <c r="K8" s="97"/>
      <c r="L8" s="97"/>
      <c r="M8" s="97"/>
      <c r="N8" s="97"/>
      <c r="P8" s="98"/>
      <c r="Q8" s="98"/>
      <c r="R8" s="98"/>
      <c r="S8" s="98"/>
      <c r="T8" s="98"/>
      <c r="U8" s="98"/>
      <c r="W8" s="99"/>
      <c r="X8" s="99"/>
      <c r="Y8" s="99"/>
      <c r="Z8" s="99"/>
      <c r="AA8" s="99"/>
      <c r="AB8" s="99"/>
    </row>
    <row r="9" customFormat="false" ht="15.75" hidden="false" customHeight="true" outlineLevel="0" collapsed="false">
      <c r="B9" s="100" t="s">
        <v>571</v>
      </c>
      <c r="C9" s="100"/>
      <c r="D9" s="100"/>
      <c r="E9" s="100"/>
      <c r="F9" s="100"/>
      <c r="G9" s="100"/>
      <c r="I9" s="101" t="s">
        <v>572</v>
      </c>
      <c r="J9" s="101"/>
      <c r="K9" s="101"/>
      <c r="L9" s="101"/>
      <c r="M9" s="101"/>
      <c r="N9" s="101"/>
      <c r="P9" s="102" t="s">
        <v>573</v>
      </c>
      <c r="Q9" s="102"/>
      <c r="R9" s="102"/>
      <c r="S9" s="102"/>
      <c r="T9" s="102"/>
      <c r="U9" s="102"/>
      <c r="W9" s="103" t="str">
        <f aca="false">"在庫金額 "&amp;TEXT(SUM(発注計算!$AA$6:$AA$405),"¥#,##0")</f>
        <v>在庫金額 ¥12,601,415</v>
      </c>
      <c r="X9" s="103"/>
      <c r="Y9" s="103"/>
      <c r="Z9" s="103"/>
      <c r="AA9" s="103"/>
      <c r="AB9" s="103"/>
    </row>
    <row r="11" customFormat="false" ht="15" hidden="false" customHeight="false" outlineLevel="0" collapsed="false">
      <c r="B11" s="5" t="s">
        <v>574</v>
      </c>
      <c r="M11" s="5" t="s">
        <v>575</v>
      </c>
    </row>
    <row r="12" customFormat="false" ht="15" hidden="false" customHeight="false" outlineLevel="0" collapsed="false">
      <c r="B12" s="104" t="s">
        <v>576</v>
      </c>
    </row>
    <row r="13" customFormat="false" ht="15" hidden="false" customHeight="false" outlineLevel="0" collapsed="false">
      <c r="AE13" s="31" t="s">
        <v>577</v>
      </c>
      <c r="AF13" s="31" t="n">
        <f aca="false">IFERROR(COUNTIF(②発注数を決める!$G$10:$G$409,"今日が期限")/$AF$18*100,0)</f>
        <v>26.4705882352941</v>
      </c>
    </row>
    <row r="14" customFormat="false" ht="15" hidden="false" customHeight="true" outlineLevel="0" collapsed="false">
      <c r="B14" s="105" t="n">
        <v>1</v>
      </c>
      <c r="C14" s="105" t="n">
        <v>2</v>
      </c>
      <c r="D14" s="105" t="n">
        <v>3</v>
      </c>
      <c r="E14" s="105" t="n">
        <v>4</v>
      </c>
      <c r="F14" s="105" t="n">
        <v>5</v>
      </c>
      <c r="G14" s="105" t="n">
        <v>6</v>
      </c>
      <c r="H14" s="105" t="n">
        <v>7</v>
      </c>
      <c r="I14" s="105" t="n">
        <v>8</v>
      </c>
      <c r="J14" s="105" t="n">
        <v>9</v>
      </c>
      <c r="K14" s="105" t="n">
        <v>10</v>
      </c>
      <c r="AE14" s="31" t="s">
        <v>578</v>
      </c>
      <c r="AF14" s="31" t="n">
        <f aca="false">$AF$13+IFERROR(COUNTIF(②発注数を決める!$G$10:$G$409,"要発注")/$AF$18*100,0)</f>
        <v>33.0882352941177</v>
      </c>
    </row>
    <row r="15" customFormat="false" ht="15" hidden="false" customHeight="true" outlineLevel="0" collapsed="false">
      <c r="B15" s="105" t="n">
        <v>11</v>
      </c>
      <c r="C15" s="105" t="n">
        <v>12</v>
      </c>
      <c r="D15" s="105" t="n">
        <v>13</v>
      </c>
      <c r="E15" s="105" t="n">
        <v>14</v>
      </c>
      <c r="F15" s="105" t="n">
        <v>15</v>
      </c>
      <c r="G15" s="105" t="n">
        <v>16</v>
      </c>
      <c r="H15" s="105" t="n">
        <v>17</v>
      </c>
      <c r="I15" s="105" t="n">
        <v>18</v>
      </c>
      <c r="J15" s="105" t="n">
        <v>19</v>
      </c>
      <c r="K15" s="105" t="n">
        <v>20</v>
      </c>
      <c r="AE15" s="31" t="s">
        <v>579</v>
      </c>
      <c r="AF15" s="31" t="n">
        <f aca="false">$AF$14+IFERROR(COUNTIF(②発注数を決める!$G$10:$G$409,"余裕")/$AF$18*100,0)</f>
        <v>97.7941176470588</v>
      </c>
    </row>
    <row r="16" customFormat="false" ht="15" hidden="false" customHeight="true" outlineLevel="0" collapsed="false">
      <c r="B16" s="105" t="n">
        <v>21</v>
      </c>
      <c r="C16" s="105" t="n">
        <v>22</v>
      </c>
      <c r="D16" s="105" t="n">
        <v>23</v>
      </c>
      <c r="E16" s="105" t="n">
        <v>24</v>
      </c>
      <c r="F16" s="105" t="n">
        <v>25</v>
      </c>
      <c r="G16" s="105" t="n">
        <v>26</v>
      </c>
      <c r="H16" s="105" t="n">
        <v>27</v>
      </c>
      <c r="I16" s="105" t="n">
        <v>28</v>
      </c>
      <c r="J16" s="105" t="n">
        <v>29</v>
      </c>
      <c r="K16" s="105" t="n">
        <v>30</v>
      </c>
    </row>
    <row r="17" customFormat="false" ht="15" hidden="false" customHeight="true" outlineLevel="0" collapsed="false">
      <c r="B17" s="105" t="n">
        <v>31</v>
      </c>
      <c r="C17" s="105" t="n">
        <v>32</v>
      </c>
      <c r="D17" s="105" t="n">
        <v>33</v>
      </c>
      <c r="E17" s="105" t="n">
        <v>34</v>
      </c>
      <c r="F17" s="105" t="n">
        <v>35</v>
      </c>
      <c r="G17" s="105" t="n">
        <v>36</v>
      </c>
      <c r="H17" s="105" t="n">
        <v>37</v>
      </c>
      <c r="I17" s="105" t="n">
        <v>38</v>
      </c>
      <c r="J17" s="105" t="n">
        <v>39</v>
      </c>
      <c r="K17" s="105" t="n">
        <v>40</v>
      </c>
    </row>
    <row r="18" customFormat="false" ht="15" hidden="false" customHeight="true" outlineLevel="0" collapsed="false">
      <c r="B18" s="105" t="n">
        <v>41</v>
      </c>
      <c r="C18" s="105" t="n">
        <v>42</v>
      </c>
      <c r="D18" s="105" t="n">
        <v>43</v>
      </c>
      <c r="E18" s="105" t="n">
        <v>44</v>
      </c>
      <c r="F18" s="105" t="n">
        <v>45</v>
      </c>
      <c r="G18" s="105" t="n">
        <v>46</v>
      </c>
      <c r="H18" s="105" t="n">
        <v>47</v>
      </c>
      <c r="I18" s="105" t="n">
        <v>48</v>
      </c>
      <c r="J18" s="105" t="n">
        <v>49</v>
      </c>
      <c r="K18" s="105" t="n">
        <v>50</v>
      </c>
      <c r="AE18" s="31" t="s">
        <v>580</v>
      </c>
      <c r="AF18" s="31" t="n">
        <f aca="false">COUNTIF(②発注数を決める!$G$10:$G$409,"?*")</f>
        <v>136</v>
      </c>
    </row>
    <row r="19" customFormat="false" ht="15" hidden="false" customHeight="true" outlineLevel="0" collapsed="false">
      <c r="B19" s="105" t="n">
        <v>51</v>
      </c>
      <c r="C19" s="105" t="n">
        <v>52</v>
      </c>
      <c r="D19" s="105" t="n">
        <v>53</v>
      </c>
      <c r="E19" s="105" t="n">
        <v>54</v>
      </c>
      <c r="F19" s="105" t="n">
        <v>55</v>
      </c>
      <c r="G19" s="105" t="n">
        <v>56</v>
      </c>
      <c r="H19" s="105" t="n">
        <v>57</v>
      </c>
      <c r="I19" s="105" t="n">
        <v>58</v>
      </c>
      <c r="J19" s="105" t="n">
        <v>59</v>
      </c>
      <c r="K19" s="105" t="n">
        <v>60</v>
      </c>
    </row>
    <row r="20" customFormat="false" ht="15" hidden="false" customHeight="true" outlineLevel="0" collapsed="false">
      <c r="B20" s="105" t="n">
        <v>61</v>
      </c>
      <c r="C20" s="105" t="n">
        <v>62</v>
      </c>
      <c r="D20" s="105" t="n">
        <v>63</v>
      </c>
      <c r="E20" s="105" t="n">
        <v>64</v>
      </c>
      <c r="F20" s="105" t="n">
        <v>65</v>
      </c>
      <c r="G20" s="105" t="n">
        <v>66</v>
      </c>
      <c r="H20" s="105" t="n">
        <v>67</v>
      </c>
      <c r="I20" s="105" t="n">
        <v>68</v>
      </c>
      <c r="J20" s="105" t="n">
        <v>69</v>
      </c>
      <c r="K20" s="105" t="n">
        <v>70</v>
      </c>
    </row>
    <row r="21" customFormat="false" ht="15" hidden="false" customHeight="true" outlineLevel="0" collapsed="false">
      <c r="B21" s="105" t="n">
        <v>71</v>
      </c>
      <c r="C21" s="105" t="n">
        <v>72</v>
      </c>
      <c r="D21" s="105" t="n">
        <v>73</v>
      </c>
      <c r="E21" s="105" t="n">
        <v>74</v>
      </c>
      <c r="F21" s="105" t="n">
        <v>75</v>
      </c>
      <c r="G21" s="105" t="n">
        <v>76</v>
      </c>
      <c r="H21" s="105" t="n">
        <v>77</v>
      </c>
      <c r="I21" s="105" t="n">
        <v>78</v>
      </c>
      <c r="J21" s="105" t="n">
        <v>79</v>
      </c>
      <c r="K21" s="105" t="n">
        <v>80</v>
      </c>
      <c r="AE21" s="54" t="s">
        <v>581</v>
      </c>
      <c r="AF21" s="54" t="s">
        <v>582</v>
      </c>
    </row>
    <row r="22" customFormat="false" ht="15" hidden="false" customHeight="true" outlineLevel="0" collapsed="false">
      <c r="B22" s="105" t="n">
        <v>81</v>
      </c>
      <c r="C22" s="105" t="n">
        <v>82</v>
      </c>
      <c r="D22" s="105" t="n">
        <v>83</v>
      </c>
      <c r="E22" s="105" t="n">
        <v>84</v>
      </c>
      <c r="F22" s="105" t="n">
        <v>85</v>
      </c>
      <c r="G22" s="105" t="n">
        <v>86</v>
      </c>
      <c r="H22" s="105" t="n">
        <v>87</v>
      </c>
      <c r="I22" s="105" t="n">
        <v>88</v>
      </c>
      <c r="J22" s="105" t="n">
        <v>89</v>
      </c>
      <c r="K22" s="105" t="n">
        <v>90</v>
      </c>
      <c r="AE22" s="104" t="s">
        <v>583</v>
      </c>
      <c r="AF22" s="31" t="n">
        <f aca="false">COUNTIFS(②発注数を決める!$E$10:$E$409,"&gt;14")</f>
        <v>80</v>
      </c>
    </row>
    <row r="23" customFormat="false" ht="15" hidden="false" customHeight="true" outlineLevel="0" collapsed="false">
      <c r="B23" s="105" t="n">
        <v>91</v>
      </c>
      <c r="C23" s="105" t="n">
        <v>92</v>
      </c>
      <c r="D23" s="105" t="n">
        <v>93</v>
      </c>
      <c r="E23" s="105" t="n">
        <v>94</v>
      </c>
      <c r="F23" s="105" t="n">
        <v>95</v>
      </c>
      <c r="G23" s="105" t="n">
        <v>96</v>
      </c>
      <c r="H23" s="105" t="n">
        <v>97</v>
      </c>
      <c r="I23" s="105" t="n">
        <v>98</v>
      </c>
      <c r="J23" s="105" t="n">
        <v>99</v>
      </c>
      <c r="K23" s="105" t="n">
        <v>100</v>
      </c>
      <c r="AE23" s="104" t="s">
        <v>584</v>
      </c>
      <c r="AF23" s="31" t="n">
        <f aca="false">COUNTIFS(②発注数を決める!$E$10:$E$409,"&gt;7",②発注数を決める!$E$10:$E$409,"&lt;=14")</f>
        <v>13</v>
      </c>
    </row>
    <row r="24" customFormat="false" ht="15" hidden="false" customHeight="false" outlineLevel="0" collapsed="false">
      <c r="AE24" s="104" t="s">
        <v>585</v>
      </c>
      <c r="AF24" s="31" t="n">
        <f aca="false">COUNTIFS(②発注数を決める!$E$10:$E$409,"&gt;3",②発注数を決める!$E$10:$E$409,"&lt;=7")</f>
        <v>6</v>
      </c>
    </row>
    <row r="25" customFormat="false" ht="15" hidden="false" customHeight="false" outlineLevel="0" collapsed="false">
      <c r="B25" s="73"/>
      <c r="C25" s="106" t="s">
        <v>567</v>
      </c>
      <c r="E25" s="74"/>
      <c r="F25" s="106" t="s">
        <v>568</v>
      </c>
      <c r="H25" s="75"/>
      <c r="I25" s="106" t="s">
        <v>516</v>
      </c>
      <c r="K25" s="107"/>
      <c r="L25" s="106" t="s">
        <v>586</v>
      </c>
      <c r="AE25" s="104" t="s">
        <v>587</v>
      </c>
      <c r="AF25" s="31" t="n">
        <f aca="false">COUNTIFS(②発注数を決める!$E$10:$E$409,"&gt;1",②発注数を決める!$E$10:$E$409,"&lt;=3")</f>
        <v>12</v>
      </c>
    </row>
    <row r="26" customFormat="false" ht="15" hidden="false" customHeight="false" outlineLevel="0" collapsed="false">
      <c r="AE26" s="104" t="s">
        <v>588</v>
      </c>
      <c r="AF26" s="31" t="n">
        <f aca="false">COUNTIFS(②発注数を決める!$E$10:$E$409,"&gt;0",②発注数を決める!$E$10:$E$409,"&lt;=1")</f>
        <v>1</v>
      </c>
    </row>
    <row r="27" customFormat="false" ht="15" hidden="false" customHeight="false" outlineLevel="0" collapsed="false">
      <c r="B27" s="5" t="s">
        <v>589</v>
      </c>
      <c r="S27" s="5" t="s">
        <v>590</v>
      </c>
      <c r="AE27" s="31" t="s">
        <v>591</v>
      </c>
      <c r="AF27" s="31" t="n">
        <f aca="false">COUNTIFS(②発注数を決める!$E$10:$E$409,"&lt;=0")</f>
        <v>21</v>
      </c>
    </row>
    <row r="28" customFormat="false" ht="15" hidden="false" customHeight="false" outlineLevel="0" collapsed="false">
      <c r="B28" s="108" t="s">
        <v>592</v>
      </c>
      <c r="C28" s="108"/>
      <c r="D28" s="108"/>
      <c r="E28" s="108"/>
      <c r="F28" s="108"/>
      <c r="G28" s="108"/>
      <c r="H28" s="109" t="s">
        <v>593</v>
      </c>
      <c r="I28" s="109"/>
      <c r="J28" s="110" t="s">
        <v>568</v>
      </c>
      <c r="K28" s="110"/>
      <c r="L28" s="111" t="s">
        <v>516</v>
      </c>
      <c r="M28" s="111"/>
      <c r="N28" s="108" t="s">
        <v>594</v>
      </c>
      <c r="O28" s="108"/>
      <c r="P28" s="108"/>
    </row>
    <row r="29" customFormat="false" ht="13.5" hidden="false" customHeight="true" outlineLevel="0" collapsed="false">
      <c r="B29" s="112" t="s">
        <v>177</v>
      </c>
      <c r="C29" s="112"/>
      <c r="D29" s="112"/>
      <c r="E29" s="112"/>
      <c r="F29" s="112"/>
      <c r="G29" s="112"/>
      <c r="H29" s="113" t="n">
        <f aca="false">COUNTIFS(②発注数を決める!$D$10:$D$409,$B29,②発注数を決める!$G$10:$G$409,"今日が期限")</f>
        <v>5</v>
      </c>
      <c r="I29" s="113"/>
      <c r="J29" s="113" t="n">
        <f aca="false">COUNTIFS(②発注数を決める!$D$10:$D$409,$B29,②発注数を決める!$G$10:$G$409,"要発注")</f>
        <v>1</v>
      </c>
      <c r="K29" s="113"/>
      <c r="L29" s="113" t="n">
        <f aca="false">COUNTIFS(②発注数を決める!$D$10:$D$409,$B29,②発注数を決める!$G$10:$G$409,"余裕")</f>
        <v>3</v>
      </c>
      <c r="M29" s="113"/>
      <c r="N29" s="114" t="n">
        <f aca="false">SUMIF(発注計算!$E$6:$E$405,$B29,発注計算!$AA$6:$AA$405)</f>
        <v>122902</v>
      </c>
      <c r="O29" s="114"/>
      <c r="P29" s="114"/>
    </row>
    <row r="30" customFormat="false" ht="13.5" hidden="false" customHeight="true" outlineLevel="0" collapsed="false">
      <c r="B30" s="112" t="s">
        <v>193</v>
      </c>
      <c r="C30" s="112"/>
      <c r="D30" s="112"/>
      <c r="E30" s="112"/>
      <c r="F30" s="112"/>
      <c r="G30" s="112"/>
      <c r="H30" s="113" t="n">
        <f aca="false">COUNTIFS(②発注数を決める!$D$10:$D$409,$B30,②発注数を決める!$G$10:$G$409,"今日が期限")</f>
        <v>5</v>
      </c>
      <c r="I30" s="113"/>
      <c r="J30" s="113" t="n">
        <f aca="false">COUNTIFS(②発注数を決める!$D$10:$D$409,$B30,②発注数を決める!$G$10:$G$409,"要発注")</f>
        <v>0</v>
      </c>
      <c r="K30" s="113"/>
      <c r="L30" s="113" t="n">
        <f aca="false">COUNTIFS(②発注数を決める!$D$10:$D$409,$B30,②発注数を決める!$G$10:$G$409,"余裕")</f>
        <v>6</v>
      </c>
      <c r="M30" s="113"/>
      <c r="N30" s="114" t="n">
        <f aca="false">SUMIF(発注計算!$E$6:$E$405,$B30,発注計算!$AA$6:$AA$405)</f>
        <v>2980478</v>
      </c>
      <c r="O30" s="114"/>
      <c r="P30" s="114"/>
    </row>
    <row r="31" customFormat="false" ht="13.5" hidden="false" customHeight="true" outlineLevel="0" collapsed="false">
      <c r="B31" s="112" t="s">
        <v>217</v>
      </c>
      <c r="C31" s="112"/>
      <c r="D31" s="112"/>
      <c r="E31" s="112"/>
      <c r="F31" s="112"/>
      <c r="G31" s="112"/>
      <c r="H31" s="113" t="n">
        <f aca="false">COUNTIFS(②発注数を決める!$D$10:$D$409,$B31,②発注数を決める!$G$10:$G$409,"今日が期限")</f>
        <v>0</v>
      </c>
      <c r="I31" s="113"/>
      <c r="J31" s="113" t="n">
        <f aca="false">COUNTIFS(②発注数を決める!$D$10:$D$409,$B31,②発注数を決める!$G$10:$G$409,"要発注")</f>
        <v>1</v>
      </c>
      <c r="K31" s="113"/>
      <c r="L31" s="113" t="n">
        <f aca="false">COUNTIFS(②発注数を決める!$D$10:$D$409,$B31,②発注数を決める!$G$10:$G$409,"余裕")</f>
        <v>1</v>
      </c>
      <c r="M31" s="113"/>
      <c r="N31" s="114" t="n">
        <f aca="false">SUMIF(発注計算!$E$6:$E$405,$B31,発注計算!$AA$6:$AA$405)</f>
        <v>570800.8</v>
      </c>
      <c r="O31" s="114"/>
      <c r="P31" s="114"/>
      <c r="AE31" s="54" t="s">
        <v>531</v>
      </c>
      <c r="AF31" s="54" t="s">
        <v>595</v>
      </c>
    </row>
    <row r="32" customFormat="false" ht="13.5" hidden="false" customHeight="true" outlineLevel="0" collapsed="false">
      <c r="B32" s="112" t="s">
        <v>223</v>
      </c>
      <c r="C32" s="112"/>
      <c r="D32" s="112"/>
      <c r="E32" s="112"/>
      <c r="F32" s="112"/>
      <c r="G32" s="112"/>
      <c r="H32" s="113" t="n">
        <f aca="false">COUNTIFS(②発注数を決める!$D$10:$D$409,$B32,②発注数を決める!$G$10:$G$409,"今日が期限")</f>
        <v>0</v>
      </c>
      <c r="I32" s="113"/>
      <c r="J32" s="113" t="n">
        <f aca="false">COUNTIFS(②発注数を決める!$D$10:$D$409,$B32,②発注数を決める!$G$10:$G$409,"要発注")</f>
        <v>0</v>
      </c>
      <c r="K32" s="113"/>
      <c r="L32" s="113" t="n">
        <f aca="false">COUNTIFS(②発注数を決める!$D$10:$D$409,$B32,②発注数を決める!$G$10:$G$409,"余裕")</f>
        <v>3</v>
      </c>
      <c r="M32" s="113"/>
      <c r="N32" s="114" t="n">
        <f aca="false">SUMIF(発注計算!$E$6:$E$405,$B32,発注計算!$AA$6:$AA$405)</f>
        <v>300371</v>
      </c>
      <c r="O32" s="114"/>
      <c r="P32" s="114"/>
      <c r="AE32" s="31" t="s">
        <v>192</v>
      </c>
      <c r="AF32" s="115" t="n">
        <f aca="false">SUMIF(発注計算!$F$6:$F$405,$AE$32,発注計算!$AC$6:$AC$405)</f>
        <v>1239046.62</v>
      </c>
    </row>
    <row r="33" customFormat="false" ht="13.5" hidden="false" customHeight="true" outlineLevel="0" collapsed="false">
      <c r="B33" s="112" t="s">
        <v>231</v>
      </c>
      <c r="C33" s="112"/>
      <c r="D33" s="112"/>
      <c r="E33" s="112"/>
      <c r="F33" s="112"/>
      <c r="G33" s="112"/>
      <c r="H33" s="113" t="n">
        <f aca="false">COUNTIFS(②発注数を決める!$D$10:$D$409,$B33,②発注数を決める!$G$10:$G$409,"今日が期限")</f>
        <v>2</v>
      </c>
      <c r="I33" s="113"/>
      <c r="J33" s="113" t="n">
        <f aca="false">COUNTIFS(②発注数を決める!$D$10:$D$409,$B33,②発注数を決める!$G$10:$G$409,"要発注")</f>
        <v>0</v>
      </c>
      <c r="K33" s="113"/>
      <c r="L33" s="113" t="n">
        <f aca="false">COUNTIFS(②発注数を決める!$D$10:$D$409,$B33,②発注数を決める!$G$10:$G$409,"余裕")</f>
        <v>8</v>
      </c>
      <c r="M33" s="113"/>
      <c r="N33" s="114" t="n">
        <f aca="false">SUMIF(発注計算!$E$6:$E$405,$B33,発注計算!$AA$6:$AA$405)</f>
        <v>713710</v>
      </c>
      <c r="O33" s="114"/>
      <c r="P33" s="114"/>
      <c r="AE33" s="31" t="s">
        <v>174</v>
      </c>
      <c r="AF33" s="115" t="n">
        <f aca="false">SUMIF(発注計算!$F$6:$F$405,$AE$33,発注計算!$AC$6:$AC$405)</f>
        <v>233016</v>
      </c>
    </row>
    <row r="34" customFormat="false" ht="13.5" hidden="false" customHeight="true" outlineLevel="0" collapsed="false">
      <c r="B34" s="112" t="s">
        <v>253</v>
      </c>
      <c r="C34" s="112"/>
      <c r="D34" s="112"/>
      <c r="E34" s="112"/>
      <c r="F34" s="112"/>
      <c r="G34" s="112"/>
      <c r="H34" s="113" t="n">
        <f aca="false">COUNTIFS(②発注数を決める!$D$10:$D$409,$B34,②発注数を決める!$G$10:$G$409,"今日が期限")</f>
        <v>3</v>
      </c>
      <c r="I34" s="113"/>
      <c r="J34" s="113" t="n">
        <f aca="false">COUNTIFS(②発注数を決める!$D$10:$D$409,$B34,②発注数を決める!$G$10:$G$409,"要発注")</f>
        <v>1</v>
      </c>
      <c r="K34" s="113"/>
      <c r="L34" s="113" t="n">
        <f aca="false">COUNTIFS(②発注数を決める!$D$10:$D$409,$B34,②発注数を決める!$G$10:$G$409,"余裕")</f>
        <v>9</v>
      </c>
      <c r="M34" s="113"/>
      <c r="N34" s="114" t="n">
        <f aca="false">SUMIF(発注計算!$E$6:$E$405,$B34,発注計算!$AA$6:$AA$405)</f>
        <v>3969554</v>
      </c>
      <c r="O34" s="114"/>
      <c r="P34" s="114"/>
      <c r="AE34" s="31" t="s">
        <v>467</v>
      </c>
      <c r="AF34" s="115" t="n">
        <f aca="false">SUMIF(発注計算!$F$6:$F$405,$AE$34,発注計算!$AC$6:$AC$405)</f>
        <v>7950</v>
      </c>
    </row>
    <row r="35" customFormat="false" ht="13.5" hidden="false" customHeight="true" outlineLevel="0" collapsed="false">
      <c r="B35" s="112" t="s">
        <v>281</v>
      </c>
      <c r="C35" s="112"/>
      <c r="D35" s="112"/>
      <c r="E35" s="112"/>
      <c r="F35" s="112"/>
      <c r="G35" s="112"/>
      <c r="H35" s="113" t="n">
        <f aca="false">COUNTIFS(②発注数を決める!$D$10:$D$409,$B35,②発注数を決める!$G$10:$G$409,"今日が期限")</f>
        <v>1</v>
      </c>
      <c r="I35" s="113"/>
      <c r="J35" s="113" t="n">
        <f aca="false">COUNTIFS(②発注数を決める!$D$10:$D$409,$B35,②発注数を決める!$G$10:$G$409,"要発注")</f>
        <v>0</v>
      </c>
      <c r="K35" s="113"/>
      <c r="L35" s="113" t="n">
        <f aca="false">COUNTIFS(②発注数を決める!$D$10:$D$409,$B35,②発注数を決める!$G$10:$G$409,"余裕")</f>
        <v>3</v>
      </c>
      <c r="M35" s="113"/>
      <c r="N35" s="114" t="n">
        <f aca="false">SUMIF(発注計算!$E$6:$E$405,$B35,発注計算!$AA$6:$AA$405)</f>
        <v>327082</v>
      </c>
      <c r="O35" s="114"/>
      <c r="P35" s="114"/>
      <c r="AE35" s="31" t="s">
        <v>447</v>
      </c>
      <c r="AF35" s="115" t="n">
        <f aca="false">SUMIF(発注計算!$F$6:$F$405,$AE$35,発注計算!$AC$6:$AC$405)</f>
        <v>1182</v>
      </c>
    </row>
    <row r="36" customFormat="false" ht="13.5" hidden="false" customHeight="true" outlineLevel="0" collapsed="false">
      <c r="B36" s="112" t="s">
        <v>291</v>
      </c>
      <c r="C36" s="112"/>
      <c r="D36" s="112"/>
      <c r="E36" s="112"/>
      <c r="F36" s="112"/>
      <c r="G36" s="112"/>
      <c r="H36" s="113" t="n">
        <f aca="false">COUNTIFS(②発注数を決める!$D$10:$D$409,$B36,②発注数を決める!$G$10:$G$409,"今日が期限")</f>
        <v>0</v>
      </c>
      <c r="I36" s="113"/>
      <c r="J36" s="113" t="n">
        <f aca="false">COUNTIFS(②発注数を決める!$D$10:$D$409,$B36,②発注数を決める!$G$10:$G$409,"要発注")</f>
        <v>0</v>
      </c>
      <c r="K36" s="113"/>
      <c r="L36" s="113" t="n">
        <f aca="false">COUNTIFS(②発注数を決める!$D$10:$D$409,$B36,②発注数を決める!$G$10:$G$409,"余裕")</f>
        <v>3</v>
      </c>
      <c r="M36" s="113"/>
      <c r="N36" s="114" t="n">
        <f aca="false">SUMIF(発注計算!$E$6:$E$405,$B36,発注計算!$AA$6:$AA$405)</f>
        <v>210032.75</v>
      </c>
      <c r="O36" s="114"/>
      <c r="P36" s="114"/>
      <c r="AE36" s="31" t="s">
        <v>451</v>
      </c>
      <c r="AF36" s="115" t="n">
        <f aca="false">SUMIF(発注計算!$F$6:$F$405,$AE$36,発注計算!$AC$6:$AC$405)</f>
        <v>3750</v>
      </c>
    </row>
    <row r="37" customFormat="false" ht="13.5" hidden="false" customHeight="true" outlineLevel="0" collapsed="false">
      <c r="B37" s="112" t="s">
        <v>299</v>
      </c>
      <c r="C37" s="112"/>
      <c r="D37" s="112"/>
      <c r="E37" s="112"/>
      <c r="F37" s="112"/>
      <c r="G37" s="112"/>
      <c r="H37" s="113" t="n">
        <f aca="false">COUNTIFS(②発注数を決める!$D$10:$D$409,$B37,②発注数を決める!$G$10:$G$409,"今日が期限")</f>
        <v>2</v>
      </c>
      <c r="I37" s="113"/>
      <c r="J37" s="113" t="n">
        <f aca="false">COUNTIFS(②発注数を決める!$D$10:$D$409,$B37,②発注数を決める!$G$10:$G$409,"要発注")</f>
        <v>0</v>
      </c>
      <c r="K37" s="113"/>
      <c r="L37" s="113" t="n">
        <f aca="false">COUNTIFS(②発注数を決める!$D$10:$D$409,$B37,②発注数を決める!$G$10:$G$409,"余裕")</f>
        <v>10</v>
      </c>
      <c r="M37" s="113"/>
      <c r="N37" s="114" t="n">
        <f aca="false">SUMIF(発注計算!$E$6:$E$405,$B37,発注計算!$AA$6:$AA$405)</f>
        <v>376908</v>
      </c>
      <c r="O37" s="114"/>
      <c r="P37" s="114"/>
      <c r="AE37" s="31" t="s">
        <v>455</v>
      </c>
      <c r="AF37" s="115" t="n">
        <f aca="false">SUMIF(発注計算!$F$6:$F$405,$AE$37,発注計算!$AC$6:$AC$405)</f>
        <v>5250</v>
      </c>
    </row>
    <row r="38" customFormat="false" ht="13.5" hidden="false" customHeight="true" outlineLevel="0" collapsed="false">
      <c r="B38" s="112" t="s">
        <v>325</v>
      </c>
      <c r="C38" s="112"/>
      <c r="D38" s="112"/>
      <c r="E38" s="112"/>
      <c r="F38" s="112"/>
      <c r="G38" s="112"/>
      <c r="H38" s="113" t="n">
        <f aca="false">COUNTIFS(②発注数を決める!$D$10:$D$409,$B38,②発注数を決める!$G$10:$G$409,"今日が期限")</f>
        <v>1</v>
      </c>
      <c r="I38" s="113"/>
      <c r="J38" s="113" t="n">
        <f aca="false">COUNTIFS(②発注数を決める!$D$10:$D$409,$B38,②発注数を決める!$G$10:$G$409,"要発注")</f>
        <v>0</v>
      </c>
      <c r="K38" s="113"/>
      <c r="L38" s="113" t="n">
        <f aca="false">COUNTIFS(②発注数を決める!$D$10:$D$409,$B38,②発注数を決める!$G$10:$G$409,"余裕")</f>
        <v>1</v>
      </c>
      <c r="M38" s="113"/>
      <c r="N38" s="114" t="n">
        <f aca="false">SUMIF(発注計算!$E$6:$E$405,$B38,発注計算!$AA$6:$AA$405)</f>
        <v>98664</v>
      </c>
      <c r="O38" s="114"/>
      <c r="P38" s="114"/>
      <c r="AE38" s="31" t="s">
        <v>459</v>
      </c>
      <c r="AF38" s="115" t="n">
        <f aca="false">SUMIF(発注計算!$F$6:$F$405,$AE$38,発注計算!$AC$6:$AC$405)</f>
        <v>1800</v>
      </c>
    </row>
    <row r="39" customFormat="false" ht="13.5" hidden="false" customHeight="true" outlineLevel="0" collapsed="false">
      <c r="B39" s="112" t="s">
        <v>331</v>
      </c>
      <c r="C39" s="112"/>
      <c r="D39" s="112"/>
      <c r="E39" s="112"/>
      <c r="F39" s="112"/>
      <c r="G39" s="112"/>
      <c r="H39" s="113" t="n">
        <f aca="false">COUNTIFS(②発注数を決める!$D$10:$D$409,$B39,②発注数を決める!$G$10:$G$409,"今日が期限")</f>
        <v>0</v>
      </c>
      <c r="I39" s="113"/>
      <c r="J39" s="113" t="n">
        <f aca="false">COUNTIFS(②発注数を決める!$D$10:$D$409,$B39,②発注数を決める!$G$10:$G$409,"要発注")</f>
        <v>0</v>
      </c>
      <c r="K39" s="113"/>
      <c r="L39" s="113" t="n">
        <f aca="false">COUNTIFS(②発注数を決める!$D$10:$D$409,$B39,②発注数を決める!$G$10:$G$409,"余裕")</f>
        <v>4</v>
      </c>
      <c r="M39" s="113"/>
      <c r="N39" s="114" t="n">
        <f aca="false">SUMIF(発注計算!$E$6:$E$405,$B39,発注計算!$AA$6:$AA$405)</f>
        <v>72959</v>
      </c>
      <c r="O39" s="114"/>
      <c r="P39" s="114"/>
      <c r="AE39" s="31" t="s">
        <v>463</v>
      </c>
      <c r="AF39" s="115" t="n">
        <f aca="false">SUMIF(発注計算!$F$6:$F$405,$AE$39,発注計算!$AC$6:$AC$405)</f>
        <v>680</v>
      </c>
    </row>
    <row r="40" customFormat="false" ht="13.5" hidden="false" customHeight="true" outlineLevel="0" collapsed="false">
      <c r="B40" s="112" t="s">
        <v>341</v>
      </c>
      <c r="C40" s="112"/>
      <c r="D40" s="112"/>
      <c r="E40" s="112"/>
      <c r="F40" s="112"/>
      <c r="G40" s="112"/>
      <c r="H40" s="113" t="n">
        <f aca="false">COUNTIFS(②発注数を決める!$D$10:$D$409,$B40,②発注数を決める!$G$10:$G$409,"今日が期限")</f>
        <v>5</v>
      </c>
      <c r="I40" s="113"/>
      <c r="J40" s="113" t="n">
        <f aca="false">COUNTIFS(②発注数を決める!$D$10:$D$409,$B40,②発注数を決める!$G$10:$G$409,"要発注")</f>
        <v>2</v>
      </c>
      <c r="K40" s="113"/>
      <c r="L40" s="113" t="n">
        <f aca="false">COUNTIFS(②発注数を決める!$D$10:$D$409,$B40,②発注数を決める!$G$10:$G$409,"余裕")</f>
        <v>5</v>
      </c>
      <c r="M40" s="113"/>
      <c r="N40" s="114" t="n">
        <f aca="false">SUMIF(発注計算!$E$6:$E$405,$B40,発注計算!$AA$6:$AA$405)</f>
        <v>440919</v>
      </c>
      <c r="O40" s="114"/>
      <c r="P40" s="114"/>
      <c r="AE40" s="31" t="s">
        <v>479</v>
      </c>
      <c r="AF40" s="115" t="n">
        <f aca="false">SUMIF(発注計算!$F$6:$F$405,$AE$40,発注計算!$AC$6:$AC$405)</f>
        <v>1097.2</v>
      </c>
    </row>
    <row r="41" customFormat="false" ht="13.5" hidden="false" customHeight="true" outlineLevel="0" collapsed="false">
      <c r="B41" s="112" t="s">
        <v>347</v>
      </c>
      <c r="C41" s="112"/>
      <c r="D41" s="112"/>
      <c r="E41" s="112"/>
      <c r="F41" s="112"/>
      <c r="G41" s="112"/>
      <c r="H41" s="113" t="n">
        <f aca="false">COUNTIFS(②発注数を決める!$D$10:$D$409,$B41,②発注数を決める!$G$10:$G$409,"今日が期限")</f>
        <v>12</v>
      </c>
      <c r="I41" s="113"/>
      <c r="J41" s="113" t="n">
        <f aca="false">COUNTIFS(②発注数を決める!$D$10:$D$409,$B41,②発注数を決める!$G$10:$G$409,"要発注")</f>
        <v>4</v>
      </c>
      <c r="K41" s="113"/>
      <c r="L41" s="113" t="n">
        <f aca="false">COUNTIFS(②発注数を決める!$D$10:$D$409,$B41,②発注数を決める!$G$10:$G$409,"余裕")</f>
        <v>32</v>
      </c>
      <c r="M41" s="113"/>
      <c r="N41" s="114" t="n">
        <f aca="false">SUMIF(発注計算!$E$6:$E$405,$B41,発注計算!$AA$6:$AA$405)</f>
        <v>2417034.09</v>
      </c>
      <c r="O41" s="114"/>
      <c r="P41" s="114"/>
    </row>
    <row r="44" customFormat="false" ht="15" hidden="false" customHeight="false" outlineLevel="0" collapsed="false">
      <c r="B44" s="5" t="s">
        <v>596</v>
      </c>
    </row>
    <row r="45" customFormat="false" ht="15" hidden="false" customHeight="false" outlineLevel="0" collapsed="false">
      <c r="B45" s="31" t="s">
        <v>597</v>
      </c>
    </row>
    <row r="46" customFormat="false" ht="15" hidden="false" customHeight="false" outlineLevel="0" collapsed="false">
      <c r="B46" s="116" t="n">
        <f aca="false">IF('設定（最初に1回）'!$C$6="","",'設定（最初に1回）'!$C$6+0)</f>
        <v>46143</v>
      </c>
      <c r="C46" s="116"/>
      <c r="D46" s="116" t="n">
        <f aca="false">IF('設定（最初に1回）'!$C$6="","",'設定（最初に1回）'!$C$6+1)</f>
        <v>46144</v>
      </c>
      <c r="E46" s="116"/>
      <c r="F46" s="116" t="n">
        <f aca="false">IF('設定（最初に1回）'!$C$6="","",'設定（最初に1回）'!$C$6+2)</f>
        <v>46145</v>
      </c>
      <c r="G46" s="116"/>
      <c r="H46" s="116" t="n">
        <f aca="false">IF('設定（最初に1回）'!$C$6="","",'設定（最初に1回）'!$C$6+3)</f>
        <v>46146</v>
      </c>
      <c r="I46" s="116"/>
      <c r="J46" s="116" t="n">
        <f aca="false">IF('設定（最初に1回）'!$C$6="","",'設定（最初に1回）'!$C$6+4)</f>
        <v>46147</v>
      </c>
      <c r="K46" s="116"/>
      <c r="L46" s="116" t="n">
        <f aca="false">IF('設定（最初に1回）'!$C$6="","",'設定（最初に1回）'!$C$6+5)</f>
        <v>46148</v>
      </c>
      <c r="M46" s="116"/>
      <c r="N46" s="116" t="n">
        <f aca="false">IF('設定（最初に1回）'!$C$6="","",'設定（最初に1回）'!$C$6+6)</f>
        <v>46149</v>
      </c>
      <c r="O46" s="116"/>
      <c r="P46" s="116" t="n">
        <f aca="false">IF('設定（最初に1回）'!$C$6="","",'設定（最初に1回）'!$C$6+7)</f>
        <v>46150</v>
      </c>
      <c r="Q46" s="116"/>
      <c r="R46" s="116" t="n">
        <f aca="false">IF('設定（最初に1回）'!$C$6="","",'設定（最初に1回）'!$C$6+8)</f>
        <v>46151</v>
      </c>
      <c r="S46" s="116"/>
      <c r="T46" s="116" t="n">
        <f aca="false">IF('設定（最初に1回）'!$C$6="","",'設定（最初に1回）'!$C$6+9)</f>
        <v>46152</v>
      </c>
      <c r="U46" s="116"/>
      <c r="V46" s="116" t="n">
        <f aca="false">IF('設定（最初に1回）'!$C$6="","",'設定（最初に1回）'!$C$6+10)</f>
        <v>46153</v>
      </c>
      <c r="W46" s="116"/>
      <c r="X46" s="116" t="n">
        <f aca="false">IF('設定（最初に1回）'!$C$6="","",'設定（最初に1回）'!$C$6+11)</f>
        <v>46154</v>
      </c>
      <c r="Y46" s="116"/>
      <c r="Z46" s="116" t="n">
        <f aca="false">IF('設定（最初に1回）'!$C$6="","",'設定（最初に1回）'!$C$6+12)</f>
        <v>46155</v>
      </c>
      <c r="AA46" s="116"/>
      <c r="AB46" s="116" t="n">
        <f aca="false">IF('設定（最初に1回）'!$C$6="","",'設定（最初に1回）'!$C$6+13)</f>
        <v>46156</v>
      </c>
      <c r="AC46" s="116"/>
    </row>
    <row r="47" customFormat="false" ht="25.5" hidden="false" customHeight="true" outlineLevel="0" collapsed="false">
      <c r="B47" s="117" t="n">
        <f aca="false">IF('設定（最初に1回）'!$C$6="",0,SUMIFS(発注管理!$N$6:$N$1005,発注管理!$C$6:$C$1005,'設定（最初に1回）'!$C$4,発注管理!$P$6:$P$1005,'設定（最初に1回）'!$C$6+0,発注管理!$Q$6:$Q$1005,"発注済"))</f>
        <v>0</v>
      </c>
      <c r="C47" s="117"/>
      <c r="D47" s="117" t="n">
        <f aca="false">IF('設定（最初に1回）'!$C$6="",0,SUMIFS(発注管理!$N$6:$N$1005,発注管理!$C$6:$C$1005,'設定（最初に1回）'!$C$4,発注管理!$P$6:$P$1005,'設定（最初に1回）'!$C$6+1,発注管理!$Q$6:$Q$1005,"発注済"))</f>
        <v>0</v>
      </c>
      <c r="E47" s="117"/>
      <c r="F47" s="117" t="n">
        <f aca="false">IF('設定（最初に1回）'!$C$6="",0,SUMIFS(発注管理!$N$6:$N$1005,発注管理!$C$6:$C$1005,'設定（最初に1回）'!$C$4,発注管理!$P$6:$P$1005,'設定（最初に1回）'!$C$6+2,発注管理!$Q$6:$Q$1005,"発注済"))</f>
        <v>0</v>
      </c>
      <c r="G47" s="117"/>
      <c r="H47" s="117" t="n">
        <f aca="false">IF('設定（最初に1回）'!$C$6="",0,SUMIFS(発注管理!$N$6:$N$1005,発注管理!$C$6:$C$1005,'設定（最初に1回）'!$C$4,発注管理!$P$6:$P$1005,'設定（最初に1回）'!$C$6+3,発注管理!$Q$6:$Q$1005,"発注済"))</f>
        <v>13084</v>
      </c>
      <c r="I47" s="117"/>
      <c r="J47" s="117" t="n">
        <f aca="false">IF('設定（最初に1回）'!$C$6="",0,SUMIFS(発注管理!$N$6:$N$1005,発注管理!$C$6:$C$1005,'設定（最初に1回）'!$C$4,発注管理!$P$6:$P$1005,'設定（最初に1回）'!$C$6+4,発注管理!$Q$6:$Q$1005,"発注済"))</f>
        <v>0</v>
      </c>
      <c r="K47" s="117"/>
      <c r="L47" s="117" t="n">
        <f aca="false">IF('設定（最初に1回）'!$C$6="",0,SUMIFS(発注管理!$N$6:$N$1005,発注管理!$C$6:$C$1005,'設定（最初に1回）'!$C$4,発注管理!$P$6:$P$1005,'設定（最初に1回）'!$C$6+5,発注管理!$Q$6:$Q$1005,"発注済"))</f>
        <v>0</v>
      </c>
      <c r="M47" s="117"/>
      <c r="N47" s="117" t="n">
        <f aca="false">IF('設定（最初に1回）'!$C$6="",0,SUMIFS(発注管理!$N$6:$N$1005,発注管理!$C$6:$C$1005,'設定（最初に1回）'!$C$4,発注管理!$P$6:$P$1005,'設定（最初に1回）'!$C$6+6,発注管理!$Q$6:$Q$1005,"発注済"))</f>
        <v>0</v>
      </c>
      <c r="O47" s="117"/>
      <c r="P47" s="117" t="n">
        <f aca="false">IF('設定（最初に1回）'!$C$6="",0,SUMIFS(発注管理!$N$6:$N$1005,発注管理!$C$6:$C$1005,'設定（最初に1回）'!$C$4,発注管理!$P$6:$P$1005,'設定（最初に1回）'!$C$6+7,発注管理!$Q$6:$Q$1005,"発注済"))</f>
        <v>0</v>
      </c>
      <c r="Q47" s="117"/>
      <c r="R47" s="117" t="n">
        <f aca="false">IF('設定（最初に1回）'!$C$6="",0,SUMIFS(発注管理!$N$6:$N$1005,発注管理!$C$6:$C$1005,'設定（最初に1回）'!$C$4,発注管理!$P$6:$P$1005,'設定（最初に1回）'!$C$6+8,発注管理!$Q$6:$Q$1005,"発注済"))</f>
        <v>0</v>
      </c>
      <c r="S47" s="117"/>
      <c r="T47" s="117" t="n">
        <f aca="false">IF('設定（最初に1回）'!$C$6="",0,SUMIFS(発注管理!$N$6:$N$1005,発注管理!$C$6:$C$1005,'設定（最初に1回）'!$C$4,発注管理!$P$6:$P$1005,'設定（最初に1回）'!$C$6+9,発注管理!$Q$6:$Q$1005,"発注済"))</f>
        <v>0</v>
      </c>
      <c r="U47" s="117"/>
      <c r="V47" s="117" t="n">
        <f aca="false">IF('設定（最初に1回）'!$C$6="",0,SUMIFS(発注管理!$N$6:$N$1005,発注管理!$C$6:$C$1005,'設定（最初に1回）'!$C$4,発注管理!$P$6:$P$1005,'設定（最初に1回）'!$C$6+10,発注管理!$Q$6:$Q$1005,"発注済"))</f>
        <v>0</v>
      </c>
      <c r="W47" s="117"/>
      <c r="X47" s="117" t="n">
        <f aca="false">IF('設定（最初に1回）'!$C$6="",0,SUMIFS(発注管理!$N$6:$N$1005,発注管理!$C$6:$C$1005,'設定（最初に1回）'!$C$4,発注管理!$P$6:$P$1005,'設定（最初に1回）'!$C$6+11,発注管理!$Q$6:$Q$1005,"発注済"))</f>
        <v>0</v>
      </c>
      <c r="Y47" s="117"/>
      <c r="Z47" s="117" t="n">
        <f aca="false">IF('設定（最初に1回）'!$C$6="",0,SUMIFS(発注管理!$N$6:$N$1005,発注管理!$C$6:$C$1005,'設定（最初に1回）'!$C$4,発注管理!$P$6:$P$1005,'設定（最初に1回）'!$C$6+12,発注管理!$Q$6:$Q$1005,"発注済"))</f>
        <v>0</v>
      </c>
      <c r="AA47" s="117"/>
      <c r="AB47" s="117" t="n">
        <f aca="false">IF('設定（最初に1回）'!$C$6="",0,SUMIFS(発注管理!$N$6:$N$1005,発注管理!$C$6:$C$1005,'設定（最初に1回）'!$C$4,発注管理!$P$6:$P$1005,'設定（最初に1回）'!$C$6+13,発注管理!$Q$6:$Q$1005,"発注済"))</f>
        <v>0</v>
      </c>
      <c r="AC47" s="117"/>
    </row>
    <row r="50" customFormat="false" ht="15" hidden="false" customHeight="false" outlineLevel="0" collapsed="false">
      <c r="B50" s="5" t="s">
        <v>598</v>
      </c>
      <c r="T50" s="5" t="s">
        <v>599</v>
      </c>
    </row>
    <row r="51" customFormat="false" ht="15" hidden="false" customHeight="false" outlineLevel="0" collapsed="false">
      <c r="B51" s="31" t="s">
        <v>600</v>
      </c>
      <c r="T51" s="104" t="s">
        <v>601</v>
      </c>
    </row>
    <row r="52" customFormat="false" ht="17.35" hidden="false" customHeight="false" outlineLevel="0" collapsed="false">
      <c r="T52" s="118" t="s">
        <v>602</v>
      </c>
      <c r="U52" s="118"/>
      <c r="V52" s="118"/>
      <c r="W52" s="118"/>
      <c r="X52" s="118"/>
      <c r="Y52" s="119" t="n">
        <f aca="false">COUNTIF(発注計算!$AB$6:$AB$405,"*新商品*")</f>
        <v>2</v>
      </c>
      <c r="Z52" s="119"/>
    </row>
    <row r="53" customFormat="false" ht="15" hidden="false" customHeight="false" outlineLevel="0" collapsed="false">
      <c r="T53" s="120" t="s">
        <v>603</v>
      </c>
      <c r="U53" s="120"/>
      <c r="V53" s="120"/>
      <c r="W53" s="120"/>
      <c r="X53" s="120"/>
      <c r="Y53" s="120"/>
      <c r="Z53" s="120"/>
    </row>
    <row r="54" customFormat="false" ht="17.35" hidden="false" customHeight="false" outlineLevel="0" collapsed="false">
      <c r="T54" s="121" t="s">
        <v>604</v>
      </c>
      <c r="U54" s="121"/>
      <c r="V54" s="121"/>
      <c r="W54" s="121"/>
      <c r="X54" s="121"/>
      <c r="Y54" s="122" t="n">
        <f aca="false">COUNTIF(発注計算!$AB$6:$AB$405,"*終売候補*")</f>
        <v>2</v>
      </c>
      <c r="Z54" s="122"/>
    </row>
    <row r="55" customFormat="false" ht="15" hidden="false" customHeight="false" outlineLevel="0" collapsed="false">
      <c r="T55" s="123" t="s">
        <v>605</v>
      </c>
      <c r="U55" s="123"/>
      <c r="V55" s="123"/>
      <c r="W55" s="123"/>
      <c r="X55" s="123"/>
      <c r="Y55" s="123"/>
      <c r="Z55" s="123"/>
    </row>
    <row r="56" customFormat="false" ht="17.35" hidden="false" customHeight="false" outlineLevel="0" collapsed="false">
      <c r="T56" s="124" t="s">
        <v>606</v>
      </c>
      <c r="U56" s="124"/>
      <c r="V56" s="124"/>
      <c r="W56" s="124"/>
      <c r="X56" s="124"/>
      <c r="Y56" s="125" t="n">
        <f aca="false">COUNTIF(発注計算!$AB$6:$AB$405,"*マスタ未登録*")</f>
        <v>4</v>
      </c>
      <c r="Z56" s="125"/>
    </row>
    <row r="57" customFormat="false" ht="15" hidden="false" customHeight="false" outlineLevel="0" collapsed="false">
      <c r="T57" s="123" t="s">
        <v>607</v>
      </c>
      <c r="U57" s="123"/>
      <c r="V57" s="123"/>
      <c r="W57" s="123"/>
      <c r="X57" s="123"/>
      <c r="Y57" s="123"/>
      <c r="Z57" s="123"/>
    </row>
    <row r="58" customFormat="false" ht="17.35" hidden="false" customHeight="false" outlineLevel="0" collapsed="false">
      <c r="T58" s="126" t="s">
        <v>608</v>
      </c>
      <c r="U58" s="126"/>
      <c r="V58" s="126"/>
      <c r="W58" s="126"/>
      <c r="X58" s="126"/>
      <c r="Y58" s="127" t="n">
        <f aca="false">COUNTIF(発注計算!$AB$6:$AB$405,"*在庫マイナス*")</f>
        <v>7</v>
      </c>
      <c r="Z58" s="127"/>
    </row>
    <row r="59" customFormat="false" ht="15" hidden="false" customHeight="false" outlineLevel="0" collapsed="false">
      <c r="T59" s="120" t="s">
        <v>609</v>
      </c>
      <c r="U59" s="120"/>
      <c r="V59" s="120"/>
      <c r="W59" s="120"/>
      <c r="X59" s="120"/>
      <c r="Y59" s="120"/>
      <c r="Z59" s="120"/>
    </row>
    <row r="60" customFormat="false" ht="17.35" hidden="false" customHeight="false" outlineLevel="0" collapsed="false">
      <c r="T60" s="128" t="s">
        <v>610</v>
      </c>
      <c r="U60" s="128"/>
      <c r="V60" s="128"/>
      <c r="W60" s="128"/>
      <c r="X60" s="128"/>
      <c r="Y60" s="129" t="n">
        <f aca="false">COUNTIF(発注計算!$AB$6:$AB$405,"*PI値未設定*")</f>
        <v>0</v>
      </c>
      <c r="Z60" s="129"/>
    </row>
    <row r="61" customFormat="false" ht="15" hidden="false" customHeight="false" outlineLevel="0" collapsed="false">
      <c r="T61" s="123" t="s">
        <v>611</v>
      </c>
      <c r="U61" s="123"/>
      <c r="V61" s="123"/>
      <c r="W61" s="123"/>
      <c r="X61" s="123"/>
      <c r="Y61" s="123"/>
      <c r="Z61" s="123"/>
    </row>
    <row r="62" customFormat="false" ht="15" hidden="false" customHeight="false" outlineLevel="0" collapsed="false">
      <c r="B62" s="31" t="s">
        <v>612</v>
      </c>
    </row>
    <row r="63" customFormat="false" ht="15" hidden="false" customHeight="false" outlineLevel="0" collapsed="false">
      <c r="B63" s="31" t="s">
        <v>613</v>
      </c>
    </row>
  </sheetData>
  <mergeCells count="127">
    <mergeCell ref="B2:N2"/>
    <mergeCell ref="B3:N3"/>
    <mergeCell ref="B5:G5"/>
    <mergeCell ref="I5:N5"/>
    <mergeCell ref="P5:U5"/>
    <mergeCell ref="W5:AB5"/>
    <mergeCell ref="B6:G8"/>
    <mergeCell ref="I6:N8"/>
    <mergeCell ref="P6:U8"/>
    <mergeCell ref="W6:AB8"/>
    <mergeCell ref="B9:G9"/>
    <mergeCell ref="I9:N9"/>
    <mergeCell ref="P9:U9"/>
    <mergeCell ref="W9:AB9"/>
    <mergeCell ref="B28:G28"/>
    <mergeCell ref="H28:I28"/>
    <mergeCell ref="J28:K28"/>
    <mergeCell ref="L28:M28"/>
    <mergeCell ref="N28:P28"/>
    <mergeCell ref="B29:G29"/>
    <mergeCell ref="H29:I29"/>
    <mergeCell ref="J29:K29"/>
    <mergeCell ref="L29:M29"/>
    <mergeCell ref="N29:P29"/>
    <mergeCell ref="B30:G30"/>
    <mergeCell ref="H30:I30"/>
    <mergeCell ref="J30:K30"/>
    <mergeCell ref="L30:M30"/>
    <mergeCell ref="N30:P30"/>
    <mergeCell ref="B31:G31"/>
    <mergeCell ref="H31:I31"/>
    <mergeCell ref="J31:K31"/>
    <mergeCell ref="L31:M31"/>
    <mergeCell ref="N31:P31"/>
    <mergeCell ref="B32:G32"/>
    <mergeCell ref="H32:I32"/>
    <mergeCell ref="J32:K32"/>
    <mergeCell ref="L32:M32"/>
    <mergeCell ref="N32:P32"/>
    <mergeCell ref="B33:G33"/>
    <mergeCell ref="H33:I33"/>
    <mergeCell ref="J33:K33"/>
    <mergeCell ref="L33:M33"/>
    <mergeCell ref="N33:P33"/>
    <mergeCell ref="B34:G34"/>
    <mergeCell ref="H34:I34"/>
    <mergeCell ref="J34:K34"/>
    <mergeCell ref="L34:M34"/>
    <mergeCell ref="N34:P34"/>
    <mergeCell ref="B35:G35"/>
    <mergeCell ref="H35:I35"/>
    <mergeCell ref="J35:K35"/>
    <mergeCell ref="L35:M35"/>
    <mergeCell ref="N35:P35"/>
    <mergeCell ref="B36:G36"/>
    <mergeCell ref="H36:I36"/>
    <mergeCell ref="J36:K36"/>
    <mergeCell ref="L36:M36"/>
    <mergeCell ref="N36:P36"/>
    <mergeCell ref="B37:G37"/>
    <mergeCell ref="H37:I37"/>
    <mergeCell ref="J37:K37"/>
    <mergeCell ref="L37:M37"/>
    <mergeCell ref="N37:P37"/>
    <mergeCell ref="B38:G38"/>
    <mergeCell ref="H38:I38"/>
    <mergeCell ref="J38:K38"/>
    <mergeCell ref="L38:M38"/>
    <mergeCell ref="N38:P38"/>
    <mergeCell ref="B39:G39"/>
    <mergeCell ref="H39:I39"/>
    <mergeCell ref="J39:K39"/>
    <mergeCell ref="L39:M39"/>
    <mergeCell ref="N39:P39"/>
    <mergeCell ref="B40:G40"/>
    <mergeCell ref="H40:I40"/>
    <mergeCell ref="J40:K40"/>
    <mergeCell ref="L40:M40"/>
    <mergeCell ref="N40:P40"/>
    <mergeCell ref="B41:G41"/>
    <mergeCell ref="H41:I41"/>
    <mergeCell ref="J41:K41"/>
    <mergeCell ref="L41:M41"/>
    <mergeCell ref="N41:P41"/>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C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T52:X52"/>
    <mergeCell ref="Y52:Z52"/>
    <mergeCell ref="T53:Z53"/>
    <mergeCell ref="T54:X54"/>
    <mergeCell ref="Y54:Z54"/>
    <mergeCell ref="T55:Z55"/>
    <mergeCell ref="T56:X56"/>
    <mergeCell ref="Y56:Z56"/>
    <mergeCell ref="T57:Z57"/>
    <mergeCell ref="T58:X58"/>
    <mergeCell ref="Y58:Z58"/>
    <mergeCell ref="T59:Z59"/>
    <mergeCell ref="T60:X60"/>
    <mergeCell ref="Y60:Z60"/>
    <mergeCell ref="T61:Z61"/>
  </mergeCells>
  <conditionalFormatting sqref="B14:K23">
    <cfRule type="expression" priority="2" aboveAverage="0" equalAverage="0" bottom="0" percent="0" rank="0" text="" dxfId="8">
      <formula>B14&lt;=$AF$13</formula>
    </cfRule>
    <cfRule type="expression" priority="3" aboveAverage="0" equalAverage="0" bottom="0" percent="0" rank="0" text="" dxfId="9">
      <formula>B14&lt;=$AF$14</formula>
    </cfRule>
    <cfRule type="expression" priority="4" aboveAverage="0" equalAverage="0" bottom="0" percent="0" rank="0" text="" dxfId="10">
      <formula>B14&lt;=$AF$15</formula>
    </cfRule>
    <cfRule type="expression" priority="5" aboveAverage="0" equalAverage="0" bottom="0" percent="0" rank="0" text="" dxfId="17">
      <formula>1</formula>
    </cfRule>
  </conditionalFormatting>
  <conditionalFormatting sqref="H29:I41">
    <cfRule type="colorScale" priority="6">
      <colorScale>
        <cfvo type="num" val="0"/>
        <cfvo type="max" val="0"/>
        <color rgb="FFFFFFFF"/>
        <color rgb="FFA32A3C"/>
      </colorScale>
    </cfRule>
  </conditionalFormatting>
  <conditionalFormatting sqref="J29:K41">
    <cfRule type="colorScale" priority="7">
      <colorScale>
        <cfvo type="num" val="0"/>
        <cfvo type="max" val="0"/>
        <color rgb="FFFFFFFF"/>
        <color rgb="FFC9761A"/>
      </colorScale>
    </cfRule>
  </conditionalFormatting>
  <conditionalFormatting sqref="L29:M41">
    <cfRule type="colorScale" priority="8">
      <colorScale>
        <cfvo type="num" val="0"/>
        <cfvo type="max" val="0"/>
        <color rgb="FFFFFFFF"/>
        <color rgb="FF00795A"/>
      </colorScale>
    </cfRule>
  </conditionalFormatting>
  <conditionalFormatting sqref="N29:P41">
    <cfRule type="dataBar" priority="9">
      <dataBar showValue="1" minLength="10" maxLength="90">
        <cfvo type="num" val="0"/>
        <cfvo type="max" val="0"/>
        <color rgb="FFE8B44A"/>
      </dataBar>
      <extLst>
        <ext xmlns:x14="http://schemas.microsoft.com/office/spreadsheetml/2009/9/main" uri="{B025F937-C7B1-47D3-B67F-A62EFF666E3E}">
          <x14:id>{ECC47139-8155-4093-B9E9-25D2D48BDF2C}</x14:id>
        </ext>
      </extLst>
    </cfRule>
  </conditionalFormatting>
  <conditionalFormatting sqref="B47:AC47">
    <cfRule type="colorScale" priority="10">
      <colorScale>
        <cfvo type="num" val="0"/>
        <cfvo type="max" val="0"/>
        <color rgb="FFFFFFFF"/>
        <color rgb="FFE8B44A"/>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ECC47139-8155-4093-B9E9-25D2D48BDF2C}">
            <x14:dataBar minLength="10" maxLength="90" axisPosition="none" gradient="true">
              <x14:cfvo type="num">
                <xm:f>0</xm:f>
              </x14:cfvo>
              <x14:cfvo type="max"/>
              <x14:negativeFillColor rgb="FFE8B44A"/>
              <x14:axisColor rgb="FF000000"/>
            </x14:dataBar>
          </x14:cfRule>
          <xm:sqref>N29:P41</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U10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2" min="2" style="0" width="18"/>
    <col collapsed="false" customWidth="true" hidden="false" outlineLevel="0" max="3" min="3" style="0" width="12"/>
    <col collapsed="false" customWidth="true" hidden="false" outlineLevel="0" max="5" min="4" style="0" width="14"/>
    <col collapsed="false" customWidth="true" hidden="false" outlineLevel="0" max="6" min="6" style="0" width="16"/>
    <col collapsed="false" customWidth="true" hidden="false" outlineLevel="0" max="7" min="7" style="0" width="28"/>
    <col collapsed="false" customWidth="true" hidden="false" outlineLevel="0" max="8" min="8" style="0" width="22"/>
    <col collapsed="false" customWidth="true" hidden="false" outlineLevel="0" max="9" min="9" style="0" width="8"/>
    <col collapsed="false" customWidth="true" hidden="false" outlineLevel="0" max="11" min="10" style="0" width="17"/>
    <col collapsed="false" customWidth="true" hidden="false" outlineLevel="0" max="12" min="12" style="0" width="15"/>
    <col collapsed="false" customWidth="true" hidden="false" outlineLevel="0" max="13" min="13" style="0" width="11"/>
    <col collapsed="false" customWidth="true" hidden="false" outlineLevel="0" max="14" min="14" style="0" width="13"/>
    <col collapsed="false" customWidth="true" hidden="false" outlineLevel="0" max="15" min="15" style="0" width="9"/>
    <col collapsed="false" customWidth="true" hidden="false" outlineLevel="0" max="16" min="16" style="0" width="14"/>
    <col collapsed="false" customWidth="true" hidden="false" outlineLevel="0" max="17" min="17" style="0" width="12"/>
    <col collapsed="false" customWidth="true" hidden="false" outlineLevel="0" max="18" min="18" style="0" width="14"/>
    <col collapsed="false" customWidth="true" hidden="false" outlineLevel="0" max="19" min="19" style="0" width="15"/>
    <col collapsed="false" customWidth="true" hidden="false" outlineLevel="0" max="20" min="20" style="0" width="12"/>
    <col collapsed="false" customWidth="true" hidden="false" outlineLevel="0" max="21" min="21" style="0" width="24"/>
  </cols>
  <sheetData>
    <row r="2" customFormat="false" ht="18.55" hidden="false" customHeight="false" outlineLevel="0" collapsed="false">
      <c r="B2" s="1" t="s">
        <v>614</v>
      </c>
    </row>
    <row r="3" customFormat="false" ht="15" hidden="false" customHeight="false" outlineLevel="0" collapsed="false">
      <c r="B3" s="31" t="s">
        <v>615</v>
      </c>
    </row>
    <row r="4" customFormat="false" ht="15" hidden="false" customHeight="false" outlineLevel="0" collapsed="false">
      <c r="B4" s="63" t="s">
        <v>502</v>
      </c>
      <c r="C4" s="63" t="s">
        <v>503</v>
      </c>
      <c r="D4" s="63" t="s">
        <v>502</v>
      </c>
      <c r="E4" s="63" t="s">
        <v>503</v>
      </c>
      <c r="F4" s="63" t="s">
        <v>503</v>
      </c>
      <c r="G4" s="63" t="s">
        <v>502</v>
      </c>
      <c r="H4" s="63" t="s">
        <v>502</v>
      </c>
      <c r="I4" s="63" t="s">
        <v>502</v>
      </c>
      <c r="J4" s="63" t="s">
        <v>502</v>
      </c>
      <c r="K4" s="63" t="s">
        <v>503</v>
      </c>
      <c r="L4" s="63" t="s">
        <v>502</v>
      </c>
      <c r="M4" s="63" t="s">
        <v>502</v>
      </c>
      <c r="N4" s="63" t="s">
        <v>502</v>
      </c>
      <c r="O4" s="63" t="s">
        <v>502</v>
      </c>
      <c r="P4" s="63" t="s">
        <v>502</v>
      </c>
      <c r="Q4" s="63" t="s">
        <v>616</v>
      </c>
      <c r="R4" s="63" t="s">
        <v>503</v>
      </c>
      <c r="S4" s="63" t="s">
        <v>502</v>
      </c>
      <c r="T4" s="63" t="s">
        <v>503</v>
      </c>
      <c r="U4" s="63" t="s">
        <v>503</v>
      </c>
    </row>
    <row r="5" customFormat="false" ht="15" hidden="false" customHeight="false" outlineLevel="0" collapsed="false">
      <c r="B5" s="18" t="s">
        <v>617</v>
      </c>
      <c r="C5" s="18" t="s">
        <v>152</v>
      </c>
      <c r="D5" s="18" t="s">
        <v>153</v>
      </c>
      <c r="E5" s="18" t="s">
        <v>528</v>
      </c>
      <c r="F5" s="18" t="s">
        <v>159</v>
      </c>
      <c r="G5" s="18" t="s">
        <v>160</v>
      </c>
      <c r="H5" s="18" t="s">
        <v>155</v>
      </c>
      <c r="I5" s="18" t="s">
        <v>161</v>
      </c>
      <c r="J5" s="18" t="s">
        <v>618</v>
      </c>
      <c r="K5" s="18" t="s">
        <v>619</v>
      </c>
      <c r="L5" s="18" t="s">
        <v>620</v>
      </c>
      <c r="M5" s="18" t="s">
        <v>167</v>
      </c>
      <c r="N5" s="18" t="s">
        <v>621</v>
      </c>
      <c r="O5" s="32" t="s">
        <v>622</v>
      </c>
      <c r="P5" s="18" t="s">
        <v>623</v>
      </c>
      <c r="Q5" s="18" t="s">
        <v>624</v>
      </c>
      <c r="R5" s="18" t="s">
        <v>625</v>
      </c>
      <c r="S5" s="18" t="s">
        <v>626</v>
      </c>
      <c r="T5" s="18" t="s">
        <v>530</v>
      </c>
      <c r="U5" s="18" t="s">
        <v>627</v>
      </c>
    </row>
    <row r="6" customFormat="false" ht="15" hidden="false" customHeight="false" outlineLevel="0" collapsed="false">
      <c r="B6" s="66" t="str">
        <f aca="false">IF(OR($E6="",$F6=""),"","PO-"&amp;TEXT($E6,"yyyymmdd")&amp;"-"&amp;TEXT(COUNTIFS($E$6:$E6,$E6,$C$6:$C6,$C6),"000"))</f>
        <v>PO-20260412-001</v>
      </c>
      <c r="C6" s="130" t="s">
        <v>171</v>
      </c>
      <c r="D6" s="66" t="str">
        <f aca="false">IFERROR(INDEX(定数マスタ!$C$6:$C$105,MATCH($C6,定数マスタ!$B$6:$B$105,0)),"")</f>
        <v>新宿</v>
      </c>
      <c r="E6" s="131" t="n">
        <v>46124</v>
      </c>
      <c r="F6" s="130" t="s">
        <v>398</v>
      </c>
      <c r="G6" s="66" t="str">
        <f aca="false">IFERROR(INDEX(商品マスタ!$C$6:$C$1005,MATCH($F6,商品マスタ!$B$6:$B$1005,0)),"")</f>
        <v>新　シネマイク蓋</v>
      </c>
      <c r="H6" s="66" t="str">
        <f aca="false">IFERROR(INDEX(商品マスタ!$E$6:$E$1005,MATCH($F6,商品マスタ!$B$6:$B$1005,0)),"")</f>
        <v>オザックス株式会社</v>
      </c>
      <c r="I6" s="69" t="n">
        <f aca="false">IFERROR(INDEX(商品マスタ!$F$6:$F$1005,MATCH($F6,商品マスタ!$B$6:$B$1005,0)),"")</f>
        <v>1200</v>
      </c>
      <c r="J6" s="69" t="n">
        <f aca="false">IF(OR($F6="",$C6&lt;&gt;'設定（最初に1回）'!$C$4),"",IFERROR(INDEX(発注計算!$Y$6:$Y$405,MATCH($F6,発注計算!$C$6:$C$405,0)),""))</f>
        <v>0</v>
      </c>
      <c r="K6" s="70" t="n">
        <v>8</v>
      </c>
      <c r="L6" s="69" t="n">
        <f aca="false">IF($K6="","",N($K6)*N($I6))</f>
        <v>9600</v>
      </c>
      <c r="M6" s="71" t="n">
        <f aca="false">IFERROR(INDEX(商品マスタ!$G$6:$G$1005,MATCH($F6,商品マスタ!$B$6:$B$1005,0)),"")</f>
        <v>5.63</v>
      </c>
      <c r="N6" s="71" t="n">
        <f aca="false">IF($K6="","",N($K6)*N($M6))</f>
        <v>45.04</v>
      </c>
      <c r="O6" s="66" t="n">
        <f aca="false">IFERROR(INDEX(商品マスタ!$H$6:$H$1005,MATCH($F6,商品マスタ!$B$6:$B$1005,0)),"")</f>
        <v>5</v>
      </c>
      <c r="P6" s="87" t="n">
        <f aca="false">IF(OR($E6="",$O6=""),"",WORKDAY($E6,$O6))</f>
        <v>46129</v>
      </c>
      <c r="Q6" s="80" t="s">
        <v>628</v>
      </c>
      <c r="R6" s="131" t="n">
        <v>46127</v>
      </c>
      <c r="S6" s="69" t="n">
        <f aca="false">IF($Q6="入荷済み",N($L6),0)</f>
        <v>9600</v>
      </c>
      <c r="T6" s="80" t="s">
        <v>629</v>
      </c>
      <c r="U6" s="80" t="s">
        <v>630</v>
      </c>
    </row>
    <row r="7" customFormat="false" ht="15" hidden="false" customHeight="false" outlineLevel="0" collapsed="false">
      <c r="B7" s="66" t="str">
        <f aca="false">IF(OR($E7="",$F7=""),"","PO-"&amp;TEXT($E7,"yyyymmdd")&amp;"-"&amp;TEXT(COUNTIFS($E$6:$E7,$E7,$C$6:$C7,$C7),"000"))</f>
        <v>PO-20260323-001</v>
      </c>
      <c r="C7" s="130" t="s">
        <v>486</v>
      </c>
      <c r="D7" s="66" t="str">
        <f aca="false">IFERROR(INDEX(定数マスタ!$C$6:$C$105,MATCH($C7,定数マスタ!$B$6:$B$105,0)),"")</f>
        <v>中央シネマ</v>
      </c>
      <c r="E7" s="131" t="n">
        <v>46104</v>
      </c>
      <c r="F7" s="130" t="s">
        <v>264</v>
      </c>
      <c r="G7" s="66" t="str">
        <f aca="false">IFERROR(INDEX(商品マスタ!$C$6:$C$1005,MATCH($F7,商品マスタ!$B$6:$B$1005,0)),"")</f>
        <v>サッポロポテトバーベＱシーズニン</v>
      </c>
      <c r="H7" s="66" t="str">
        <f aca="false">IFERROR(INDEX(商品マスタ!$E$6:$E$1005,MATCH($F7,商品マスタ!$B$6:$B$1005,0)),"")</f>
        <v>オザックス株式会社</v>
      </c>
      <c r="I7" s="69" t="n">
        <f aca="false">IFERROR(INDEX(商品マスタ!$F$6:$F$1005,MATCH($F7,商品マスタ!$B$6:$B$1005,0)),"")</f>
        <v>1</v>
      </c>
      <c r="J7" s="69" t="str">
        <f aca="false">IF(OR($F7="",$C7&lt;&gt;'設定（最初に1回）'!$C$4),"",IFERROR(INDEX(発注計算!$Y$6:$Y$405,MATCH($F7,発注計算!$C$6:$C$405,0)),""))</f>
        <v/>
      </c>
      <c r="K7" s="70" t="n">
        <v>3</v>
      </c>
      <c r="L7" s="69" t="n">
        <f aca="false">IF($K7="","",N($K7)*N($I7))</f>
        <v>3</v>
      </c>
      <c r="M7" s="71" t="n">
        <f aca="false">IFERROR(INDEX(商品マスタ!$G$6:$G$1005,MATCH($F7,商品マスタ!$B$6:$B$1005,0)),"")</f>
        <v>1396</v>
      </c>
      <c r="N7" s="71" t="n">
        <f aca="false">IF($K7="","",N($K7)*N($M7))</f>
        <v>4188</v>
      </c>
      <c r="O7" s="66" t="n">
        <f aca="false">IFERROR(INDEX(商品マスタ!$H$6:$H$1005,MATCH($F7,商品マスタ!$B$6:$B$1005,0)),"")</f>
        <v>2</v>
      </c>
      <c r="P7" s="87" t="n">
        <f aca="false">IF(OR($E7="",$O7=""),"",WORKDAY($E7,$O7))</f>
        <v>46106</v>
      </c>
      <c r="Q7" s="80" t="s">
        <v>628</v>
      </c>
      <c r="R7" s="131" t="n">
        <v>46107</v>
      </c>
      <c r="S7" s="69" t="n">
        <f aca="false">IF($Q7="入荷済み",N($L7),0)</f>
        <v>3</v>
      </c>
      <c r="T7" s="80" t="s">
        <v>631</v>
      </c>
      <c r="U7" s="80" t="s">
        <v>632</v>
      </c>
    </row>
    <row r="8" customFormat="false" ht="15" hidden="false" customHeight="false" outlineLevel="0" collapsed="false">
      <c r="B8" s="66" t="str">
        <f aca="false">IF(OR($E8="",$F8=""),"","PO-"&amp;TEXT($E8,"yyyymmdd")&amp;"-"&amp;TEXT(COUNTIFS($E$6:$E8,$E8,$C$6:$C8,$C8),"000"))</f>
        <v>PO-20260423-001</v>
      </c>
      <c r="C8" s="130" t="s">
        <v>490</v>
      </c>
      <c r="D8" s="66" t="str">
        <f aca="false">IFERROR(INDEX(定数マスタ!$C$6:$C$105,MATCH($C8,定数マスタ!$B$6:$B$105,0)),"")</f>
        <v>郊外シネマ</v>
      </c>
      <c r="E8" s="131" t="n">
        <v>46135</v>
      </c>
      <c r="F8" s="130" t="s">
        <v>312</v>
      </c>
      <c r="G8" s="66" t="str">
        <f aca="false">IFERROR(INDEX(商品マスタ!$C$6:$C$1005,MATCH($F8,商品マスタ!$B$6:$B$1005,0)),"")</f>
        <v>カラーシュガー　グリーン</v>
      </c>
      <c r="H8" s="66" t="str">
        <f aca="false">IFERROR(INDEX(商品マスタ!$E$6:$E$1005,MATCH($F8,商品マスタ!$B$6:$B$1005,0)),"")</f>
        <v>オザックス株式会社</v>
      </c>
      <c r="I8" s="69" t="n">
        <f aca="false">IFERROR(INDEX(商品マスタ!$F$6:$F$1005,MATCH($F8,商品マスタ!$B$6:$B$1005,0)),"")</f>
        <v>1</v>
      </c>
      <c r="J8" s="69" t="str">
        <f aca="false">IF(OR($F8="",$C8&lt;&gt;'設定（最初に1回）'!$C$4),"",IFERROR(INDEX(発注計算!$Y$6:$Y$405,MATCH($F8,発注計算!$C$6:$C$405,0)),""))</f>
        <v/>
      </c>
      <c r="K8" s="70" t="n">
        <v>3</v>
      </c>
      <c r="L8" s="69" t="n">
        <f aca="false">IF($K8="","",N($K8)*N($I8))</f>
        <v>3</v>
      </c>
      <c r="M8" s="71" t="n">
        <f aca="false">IFERROR(INDEX(商品マスタ!$G$6:$G$1005,MATCH($F8,商品マスタ!$B$6:$B$1005,0)),"")</f>
        <v>1181</v>
      </c>
      <c r="N8" s="71" t="n">
        <f aca="false">IF($K8="","",N($K8)*N($M8))</f>
        <v>3543</v>
      </c>
      <c r="O8" s="66" t="n">
        <f aca="false">IFERROR(INDEX(商品マスタ!$H$6:$H$1005,MATCH($F8,商品マスタ!$B$6:$B$1005,0)),"")</f>
        <v>7</v>
      </c>
      <c r="P8" s="87" t="n">
        <f aca="false">IF(OR($E8="",$O8=""),"",WORKDAY($E8,$O8))</f>
        <v>46146</v>
      </c>
      <c r="Q8" s="80" t="s">
        <v>628</v>
      </c>
      <c r="R8" s="131" t="n">
        <v>46138</v>
      </c>
      <c r="S8" s="69" t="n">
        <f aca="false">IF($Q8="入荷済み",N($L8),0)</f>
        <v>3</v>
      </c>
      <c r="T8" s="80" t="s">
        <v>631</v>
      </c>
      <c r="U8" s="80" t="s">
        <v>632</v>
      </c>
    </row>
    <row r="9" customFormat="false" ht="15" hidden="false" customHeight="false" outlineLevel="0" collapsed="false">
      <c r="B9" s="66" t="str">
        <f aca="false">IF(OR($E9="",$F9=""),"","PO-"&amp;TEXT($E9,"yyyymmdd")&amp;"-"&amp;TEXT(COUNTIFS($E$6:$E9,$E9,$C$6:$C9,$C9),"000"))</f>
        <v>PO-20260407-001</v>
      </c>
      <c r="C9" s="130" t="s">
        <v>171</v>
      </c>
      <c r="D9" s="66" t="str">
        <f aca="false">IFERROR(INDEX(定数マスタ!$C$6:$C$105,MATCH($C9,定数マスタ!$B$6:$B$105,0)),"")</f>
        <v>新宿</v>
      </c>
      <c r="E9" s="131" t="n">
        <v>46119</v>
      </c>
      <c r="F9" s="130" t="s">
        <v>258</v>
      </c>
      <c r="G9" s="66" t="str">
        <f aca="false">IFERROR(INDEX(商品マスタ!$C$6:$C$1005,MATCH($F9,商品マスタ!$B$6:$B$1005,0)),"")</f>
        <v>ＪＳＵバターフレーバーオイル</v>
      </c>
      <c r="H9" s="66" t="str">
        <f aca="false">IFERROR(INDEX(商品マスタ!$E$6:$E$1005,MATCH($F9,商品マスタ!$B$6:$B$1005,0)),"")</f>
        <v>オザックス株式会社</v>
      </c>
      <c r="I9" s="69" t="n">
        <f aca="false">IFERROR(INDEX(商品マスタ!$F$6:$F$1005,MATCH($F9,商品マスタ!$B$6:$B$1005,0)),"")</f>
        <v>6</v>
      </c>
      <c r="J9" s="69" t="n">
        <f aca="false">IF(OR($F9="",$C9&lt;&gt;'設定（最初に1回）'!$C$4),"",IFERROR(INDEX(発注計算!$Y$6:$Y$405,MATCH($F9,発注計算!$C$6:$C$405,0)),""))</f>
        <v>0</v>
      </c>
      <c r="K9" s="70" t="n">
        <v>2</v>
      </c>
      <c r="L9" s="69" t="n">
        <f aca="false">IF($K9="","",N($K9)*N($I9))</f>
        <v>12</v>
      </c>
      <c r="M9" s="71" t="n">
        <f aca="false">IFERROR(INDEX(商品マスタ!$G$6:$G$1005,MATCH($F9,商品マスタ!$B$6:$B$1005,0)),"")</f>
        <v>786</v>
      </c>
      <c r="N9" s="71" t="n">
        <f aca="false">IF($K9="","",N($K9)*N($M9))</f>
        <v>1572</v>
      </c>
      <c r="O9" s="66" t="n">
        <f aca="false">IFERROR(INDEX(商品マスタ!$H$6:$H$1005,MATCH($F9,商品マスタ!$B$6:$B$1005,0)),"")</f>
        <v>7</v>
      </c>
      <c r="P9" s="87" t="n">
        <f aca="false">IF(OR($E9="",$O9=""),"",WORKDAY($E9,$O9))</f>
        <v>46128</v>
      </c>
      <c r="Q9" s="80" t="s">
        <v>628</v>
      </c>
      <c r="R9" s="131" t="n">
        <v>46122</v>
      </c>
      <c r="S9" s="69" t="n">
        <f aca="false">IF($Q9="入荷済み",N($L9),0)</f>
        <v>12</v>
      </c>
      <c r="T9" s="80" t="s">
        <v>631</v>
      </c>
      <c r="U9" s="80" t="s">
        <v>630</v>
      </c>
    </row>
    <row r="10" customFormat="false" ht="15" hidden="false" customHeight="false" outlineLevel="0" collapsed="false">
      <c r="B10" s="66" t="str">
        <f aca="false">IF(OR($E10="",$F10=""),"","PO-"&amp;TEXT($E10,"yyyymmdd")&amp;"-"&amp;TEXT(COUNTIFS($E$6:$E10,$E10,$C$6:$C10,$C10),"000"))</f>
        <v>PO-20260420-001</v>
      </c>
      <c r="C10" s="130" t="s">
        <v>486</v>
      </c>
      <c r="D10" s="66" t="str">
        <f aca="false">IFERROR(INDEX(定数マスタ!$C$6:$C$105,MATCH($C10,定数マスタ!$B$6:$B$105,0)),"")</f>
        <v>中央シネマ</v>
      </c>
      <c r="E10" s="131" t="n">
        <v>46132</v>
      </c>
      <c r="F10" s="130" t="s">
        <v>286</v>
      </c>
      <c r="G10" s="66" t="str">
        <f aca="false">IFERROR(INDEX(商品マスタ!$C$6:$C$1005,MATCH($F10,商品マスタ!$B$6:$B$1005,0)),"")</f>
        <v>ＴＨ　スパイシーハラペー　オリ</v>
      </c>
      <c r="H10" s="66" t="str">
        <f aca="false">IFERROR(INDEX(商品マスタ!$E$6:$E$1005,MATCH($F10,商品マスタ!$B$6:$B$1005,0)),"")</f>
        <v>オザックス株式会社</v>
      </c>
      <c r="I10" s="69" t="n">
        <f aca="false">IFERROR(INDEX(商品マスタ!$F$6:$F$1005,MATCH($F10,商品マスタ!$B$6:$B$1005,0)),"")</f>
        <v>96</v>
      </c>
      <c r="J10" s="69" t="str">
        <f aca="false">IF(OR($F10="",$C10&lt;&gt;'設定（最初に1回）'!$C$4),"",IFERROR(INDEX(発注計算!$Y$6:$Y$405,MATCH($F10,発注計算!$C$6:$C$405,0)),""))</f>
        <v/>
      </c>
      <c r="K10" s="70" t="n">
        <v>3</v>
      </c>
      <c r="L10" s="69" t="n">
        <f aca="false">IF($K10="","",N($K10)*N($I10))</f>
        <v>288</v>
      </c>
      <c r="M10" s="71" t="n">
        <f aca="false">IFERROR(INDEX(商品マスタ!$G$6:$G$1005,MATCH($F10,商品マスタ!$B$6:$B$1005,0)),"")</f>
        <v>239</v>
      </c>
      <c r="N10" s="71" t="n">
        <f aca="false">IF($K10="","",N($K10)*N($M10))</f>
        <v>717</v>
      </c>
      <c r="O10" s="66" t="n">
        <f aca="false">IFERROR(INDEX(商品マスタ!$H$6:$H$1005,MATCH($F10,商品マスタ!$B$6:$B$1005,0)),"")</f>
        <v>3</v>
      </c>
      <c r="P10" s="87" t="n">
        <f aca="false">IF(OR($E10="",$O10=""),"",WORKDAY($E10,$O10))</f>
        <v>46135</v>
      </c>
      <c r="Q10" s="80" t="s">
        <v>628</v>
      </c>
      <c r="R10" s="131" t="n">
        <v>46135</v>
      </c>
      <c r="S10" s="69" t="n">
        <f aca="false">IF($Q10="入荷済み",N($L10),0)</f>
        <v>288</v>
      </c>
      <c r="T10" s="80" t="s">
        <v>631</v>
      </c>
      <c r="U10" s="80" t="s">
        <v>632</v>
      </c>
    </row>
    <row r="11" customFormat="false" ht="15" hidden="false" customHeight="false" outlineLevel="0" collapsed="false">
      <c r="B11" s="66" t="str">
        <f aca="false">IF(OR($E11="",$F11=""),"","PO-"&amp;TEXT($E11,"yyyymmdd")&amp;"-"&amp;TEXT(COUNTIFS($E$6:$E11,$E11,$C$6:$C11,$C11),"000"))</f>
        <v>PO-20260419-001</v>
      </c>
      <c r="C11" s="130" t="s">
        <v>490</v>
      </c>
      <c r="D11" s="66" t="str">
        <f aca="false">IFERROR(INDEX(定数マスタ!$C$6:$C$105,MATCH($C11,定数マスタ!$B$6:$B$105,0)),"")</f>
        <v>郊外シネマ</v>
      </c>
      <c r="E11" s="131" t="n">
        <v>46131</v>
      </c>
      <c r="F11" s="130" t="s">
        <v>322</v>
      </c>
      <c r="G11" s="66" t="str">
        <f aca="false">IFERROR(INDEX(商品マスタ!$C$6:$C$1005,MATCH($F11,商品マスタ!$B$6:$B$1005,0)),"")</f>
        <v>カラーシュガーレッドストロベリー</v>
      </c>
      <c r="H11" s="66" t="str">
        <f aca="false">IFERROR(INDEX(商品マスタ!$E$6:$E$1005,MATCH($F11,商品マスタ!$B$6:$B$1005,0)),"")</f>
        <v>オザックス株式会社</v>
      </c>
      <c r="I11" s="69" t="n">
        <f aca="false">IFERROR(INDEX(商品マスタ!$F$6:$F$1005,MATCH($F11,商品マスタ!$B$6:$B$1005,0)),"")</f>
        <v>1</v>
      </c>
      <c r="J11" s="69" t="str">
        <f aca="false">IF(OR($F11="",$C11&lt;&gt;'設定（最初に1回）'!$C$4),"",IFERROR(INDEX(発注計算!$Y$6:$Y$405,MATCH($F11,発注計算!$C$6:$C$405,0)),""))</f>
        <v/>
      </c>
      <c r="K11" s="70" t="n">
        <v>5</v>
      </c>
      <c r="L11" s="69" t="n">
        <f aca="false">IF($K11="","",N($K11)*N($I11))</f>
        <v>5</v>
      </c>
      <c r="M11" s="71" t="n">
        <f aca="false">IFERROR(INDEX(商品マスタ!$G$6:$G$1005,MATCH($F11,商品マスタ!$B$6:$B$1005,0)),"")</f>
        <v>1181</v>
      </c>
      <c r="N11" s="71" t="n">
        <f aca="false">IF($K11="","",N($K11)*N($M11))</f>
        <v>5905</v>
      </c>
      <c r="O11" s="66" t="n">
        <f aca="false">IFERROR(INDEX(商品マスタ!$H$6:$H$1005,MATCH($F11,商品マスタ!$B$6:$B$1005,0)),"")</f>
        <v>3</v>
      </c>
      <c r="P11" s="87" t="n">
        <f aca="false">IF(OR($E11="",$O11=""),"",WORKDAY($E11,$O11))</f>
        <v>46134</v>
      </c>
      <c r="Q11" s="80" t="s">
        <v>628</v>
      </c>
      <c r="R11" s="131" t="n">
        <v>46134</v>
      </c>
      <c r="S11" s="69" t="n">
        <f aca="false">IF($Q11="入荷済み",N($L11),0)</f>
        <v>5</v>
      </c>
      <c r="T11" s="80" t="s">
        <v>629</v>
      </c>
      <c r="U11" s="80" t="s">
        <v>632</v>
      </c>
    </row>
    <row r="12" customFormat="false" ht="15" hidden="false" customHeight="false" outlineLevel="0" collapsed="false">
      <c r="B12" s="66" t="str">
        <f aca="false">IF(OR($E12="",$F12=""),"","PO-"&amp;TEXT($E12,"yyyymmdd")&amp;"-"&amp;TEXT(COUNTIFS($E$6:$E12,$E12,$C$6:$C12,$C12),"000"))</f>
        <v>PO-20260423-001</v>
      </c>
      <c r="C12" s="130" t="s">
        <v>171</v>
      </c>
      <c r="D12" s="66" t="str">
        <f aca="false">IFERROR(INDEX(定数マスタ!$C$6:$C$105,MATCH($C12,定数マスタ!$B$6:$B$105,0)),"")</f>
        <v>新宿</v>
      </c>
      <c r="E12" s="131" t="n">
        <v>46135</v>
      </c>
      <c r="F12" s="130" t="s">
        <v>434</v>
      </c>
      <c r="G12" s="66" t="str">
        <f aca="false">IFERROR(INDEX(商品マスタ!$C$6:$C$1005,MATCH($F12,商品マスタ!$B$6:$B$1005,0)),"")</f>
        <v>ＴＨ（ＦＣ）スナックじゃが容器</v>
      </c>
      <c r="H12" s="66" t="str">
        <f aca="false">IFERROR(INDEX(商品マスタ!$E$6:$E$1005,MATCH($F12,商品マスタ!$B$6:$B$1005,0)),"")</f>
        <v>オザックス株式会社</v>
      </c>
      <c r="I12" s="69" t="n">
        <f aca="false">IFERROR(INDEX(商品マスタ!$F$6:$F$1005,MATCH($F12,商品マスタ!$B$6:$B$1005,0)),"")</f>
        <v>450</v>
      </c>
      <c r="J12" s="69" t="n">
        <f aca="false">IF(OR($F12="",$C12&lt;&gt;'設定（最初に1回）'!$C$4),"",IFERROR(INDEX(発注計算!$Y$6:$Y$405,MATCH($F12,発注計算!$C$6:$C$405,0)),""))</f>
        <v>7</v>
      </c>
      <c r="K12" s="70" t="n">
        <v>3</v>
      </c>
      <c r="L12" s="69" t="n">
        <f aca="false">IF($K12="","",N($K12)*N($I12))</f>
        <v>1350</v>
      </c>
      <c r="M12" s="71" t="n">
        <f aca="false">IFERROR(INDEX(商品マスタ!$G$6:$G$1005,MATCH($F12,商品マスタ!$B$6:$B$1005,0)),"")</f>
        <v>15.46</v>
      </c>
      <c r="N12" s="71" t="n">
        <f aca="false">IF($K12="","",N($K12)*N($M12))</f>
        <v>46.38</v>
      </c>
      <c r="O12" s="66" t="n">
        <f aca="false">IFERROR(INDEX(商品マスタ!$H$6:$H$1005,MATCH($F12,商品マスタ!$B$6:$B$1005,0)),"")</f>
        <v>3</v>
      </c>
      <c r="P12" s="87" t="n">
        <f aca="false">IF(OR($E12="",$O12=""),"",WORKDAY($E12,$O12))</f>
        <v>46140</v>
      </c>
      <c r="Q12" s="80" t="s">
        <v>628</v>
      </c>
      <c r="R12" s="131" t="n">
        <v>46138</v>
      </c>
      <c r="S12" s="69" t="n">
        <f aca="false">IF($Q12="入荷済み",N($L12),0)</f>
        <v>1350</v>
      </c>
      <c r="T12" s="80" t="s">
        <v>629</v>
      </c>
      <c r="U12" s="80" t="s">
        <v>630</v>
      </c>
    </row>
    <row r="13" customFormat="false" ht="15" hidden="false" customHeight="false" outlineLevel="0" collapsed="false">
      <c r="B13" s="66" t="str">
        <f aca="false">IF(OR($E13="",$F13=""),"","PO-"&amp;TEXT($E13,"yyyymmdd")&amp;"-"&amp;TEXT(COUNTIFS($E$6:$E13,$E13,$C$6:$C13,$C13),"000"))</f>
        <v>PO-20260331-001</v>
      </c>
      <c r="C13" s="130" t="s">
        <v>486</v>
      </c>
      <c r="D13" s="66" t="str">
        <f aca="false">IFERROR(INDEX(定数マスタ!$C$6:$C$105,MATCH($C13,定数マスタ!$B$6:$B$105,0)),"")</f>
        <v>中央シネマ</v>
      </c>
      <c r="E13" s="131" t="n">
        <v>46112</v>
      </c>
      <c r="F13" s="130" t="s">
        <v>448</v>
      </c>
      <c r="G13" s="66" t="str">
        <f aca="false">IFERROR(INDEX(商品マスタ!$C$6:$C$1005,MATCH($F13,商品マスタ!$B$6:$B$1005,0)),"")</f>
        <v>銀魂　ショッパー　仕入</v>
      </c>
      <c r="H13" s="66" t="str">
        <f aca="false">IFERROR(INDEX(商品マスタ!$E$6:$E$1005,MATCH($F13,商品マスタ!$B$6:$B$1005,0)),"")</f>
        <v>松竹株式会社（コンセ）</v>
      </c>
      <c r="I13" s="69" t="n">
        <f aca="false">IFERROR(INDEX(商品マスタ!$F$6:$F$1005,MATCH($F13,商品マスタ!$B$6:$B$1005,0)),"")</f>
        <v>20</v>
      </c>
      <c r="J13" s="69" t="str">
        <f aca="false">IF(OR($F13="",$C13&lt;&gt;'設定（最初に1回）'!$C$4),"",IFERROR(INDEX(発注計算!$Y$6:$Y$405,MATCH($F13,発注計算!$C$6:$C$405,0)),""))</f>
        <v/>
      </c>
      <c r="K13" s="70" t="n">
        <v>8</v>
      </c>
      <c r="L13" s="69" t="n">
        <f aca="false">IF($K13="","",N($K13)*N($I13))</f>
        <v>160</v>
      </c>
      <c r="M13" s="71" t="n">
        <f aca="false">IFERROR(INDEX(商品マスタ!$G$6:$G$1005,MATCH($F13,商品マスタ!$B$6:$B$1005,0)),"")</f>
        <v>591</v>
      </c>
      <c r="N13" s="71" t="n">
        <f aca="false">IF($K13="","",N($K13)*N($M13))</f>
        <v>4728</v>
      </c>
      <c r="O13" s="66" t="n">
        <f aca="false">IFERROR(INDEX(商品マスタ!$H$6:$H$1005,MATCH($F13,商品マスタ!$B$6:$B$1005,0)),"")</f>
        <v>5</v>
      </c>
      <c r="P13" s="87" t="n">
        <f aca="false">IF(OR($E13="",$O13=""),"",WORKDAY($E13,$O13))</f>
        <v>46119</v>
      </c>
      <c r="Q13" s="80" t="s">
        <v>628</v>
      </c>
      <c r="R13" s="131" t="n">
        <v>46115</v>
      </c>
      <c r="S13" s="69" t="n">
        <f aca="false">IF($Q13="入荷済み",N($L13),0)</f>
        <v>160</v>
      </c>
      <c r="T13" s="80" t="s">
        <v>629</v>
      </c>
      <c r="U13" s="80" t="s">
        <v>632</v>
      </c>
    </row>
    <row r="14" customFormat="false" ht="15" hidden="false" customHeight="false" outlineLevel="0" collapsed="false">
      <c r="B14" s="66" t="str">
        <f aca="false">IF(OR($E14="",$F14=""),"","PO-"&amp;TEXT($E14,"yyyymmdd")&amp;"-"&amp;TEXT(COUNTIFS($E$6:$E14,$E14,$C$6:$C14,$C14),"000"))</f>
        <v>PO-20260429-001</v>
      </c>
      <c r="C14" s="130" t="s">
        <v>490</v>
      </c>
      <c r="D14" s="66" t="str">
        <f aca="false">IFERROR(INDEX(定数マスタ!$C$6:$C$105,MATCH($C14,定数マスタ!$B$6:$B$105,0)),"")</f>
        <v>郊外シネマ</v>
      </c>
      <c r="E14" s="131" t="n">
        <v>46141</v>
      </c>
      <c r="F14" s="130" t="s">
        <v>440</v>
      </c>
      <c r="G14" s="66" t="str">
        <f aca="false">IFERROR(INDEX(商品マスタ!$C$6:$C$1005,MATCH($F14,商品マスタ!$B$6:$B$1005,0)),"")</f>
        <v>ＴＨ（ＦＳ）Ｐポップコーン袋</v>
      </c>
      <c r="H14" s="66" t="str">
        <f aca="false">IFERROR(INDEX(商品マスタ!$E$6:$E$1005,MATCH($F14,商品マスタ!$B$6:$B$1005,0)),"")</f>
        <v>オザックス株式会社</v>
      </c>
      <c r="I14" s="69" t="n">
        <f aca="false">IFERROR(INDEX(商品マスタ!$F$6:$F$1005,MATCH($F14,商品マスタ!$B$6:$B$1005,0)),"")</f>
        <v>500</v>
      </c>
      <c r="J14" s="69" t="str">
        <f aca="false">IF(OR($F14="",$C14&lt;&gt;'設定（最初に1回）'!$C$4),"",IFERROR(INDEX(発注計算!$Y$6:$Y$405,MATCH($F14,発注計算!$C$6:$C$405,0)),""))</f>
        <v/>
      </c>
      <c r="K14" s="70" t="n">
        <v>6</v>
      </c>
      <c r="L14" s="69" t="n">
        <f aca="false">IF($K14="","",N($K14)*N($I14))</f>
        <v>3000</v>
      </c>
      <c r="M14" s="71" t="n">
        <f aca="false">IFERROR(INDEX(商品マスタ!$G$6:$G$1005,MATCH($F14,商品マスタ!$B$6:$B$1005,0)),"")</f>
        <v>15.6</v>
      </c>
      <c r="N14" s="71" t="n">
        <f aca="false">IF($K14="","",N($K14)*N($M14))</f>
        <v>93.6</v>
      </c>
      <c r="O14" s="66" t="n">
        <f aca="false">IFERROR(INDEX(商品マスタ!$H$6:$H$1005,MATCH($F14,商品マスタ!$B$6:$B$1005,0)),"")</f>
        <v>3</v>
      </c>
      <c r="P14" s="87" t="n">
        <f aca="false">IF(OR($E14="",$O14=""),"",WORKDAY($E14,$O14))</f>
        <v>46146</v>
      </c>
      <c r="Q14" s="80" t="s">
        <v>633</v>
      </c>
      <c r="R14" s="131"/>
      <c r="S14" s="69" t="n">
        <f aca="false">IF($Q14="入荷済み",N($L14),0)</f>
        <v>0</v>
      </c>
      <c r="T14" s="80" t="s">
        <v>631</v>
      </c>
      <c r="U14" s="80" t="s">
        <v>632</v>
      </c>
    </row>
    <row r="15" customFormat="false" ht="15" hidden="false" customHeight="false" outlineLevel="0" collapsed="false">
      <c r="B15" s="66" t="str">
        <f aca="false">IF(OR($E15="",$F15=""),"","PO-"&amp;TEXT($E15,"yyyymmdd")&amp;"-"&amp;TEXT(COUNTIFS($E$6:$E15,$E15,$C$6:$C15,$C15),"000"))</f>
        <v>PO-20260427-001</v>
      </c>
      <c r="C15" s="130" t="s">
        <v>171</v>
      </c>
      <c r="D15" s="66" t="str">
        <f aca="false">IFERROR(INDEX(定数マスタ!$C$6:$C$105,MATCH($C15,定数マスタ!$B$6:$B$105,0)),"")</f>
        <v>新宿</v>
      </c>
      <c r="E15" s="131" t="n">
        <v>46139</v>
      </c>
      <c r="F15" s="130" t="s">
        <v>272</v>
      </c>
      <c r="G15" s="66" t="str">
        <f aca="false">IFERROR(INDEX(商品マスタ!$C$6:$C$1005,MATCH($F15,商品マスタ!$B$6:$B$1005,0)),"")</f>
        <v>シネマイク　ブラックＰ味シーズニ</v>
      </c>
      <c r="H15" s="66" t="str">
        <f aca="false">IFERROR(INDEX(商品マスタ!$E$6:$E$1005,MATCH($F15,商品マスタ!$B$6:$B$1005,0)),"")</f>
        <v>オザックス株式会社</v>
      </c>
      <c r="I15" s="69" t="n">
        <f aca="false">IFERROR(INDEX(商品マスタ!$F$6:$F$1005,MATCH($F15,商品マスタ!$B$6:$B$1005,0)),"")</f>
        <v>1</v>
      </c>
      <c r="J15" s="69" t="n">
        <f aca="false">IF(OR($F15="",$C15&lt;&gt;'設定（最初に1回）'!$C$4),"",IFERROR(INDEX(発注計算!$Y$6:$Y$405,MATCH($F15,発注計算!$C$6:$C$405,0)),""))</f>
        <v>0</v>
      </c>
      <c r="K15" s="70" t="n">
        <v>12</v>
      </c>
      <c r="L15" s="69" t="n">
        <f aca="false">IF($K15="","",N($K15)*N($I15))</f>
        <v>12</v>
      </c>
      <c r="M15" s="71" t="n">
        <f aca="false">IFERROR(INDEX(商品マスタ!$G$6:$G$1005,MATCH($F15,商品マスタ!$B$6:$B$1005,0)),"")</f>
        <v>955</v>
      </c>
      <c r="N15" s="71" t="n">
        <f aca="false">IF($K15="","",N($K15)*N($M15))</f>
        <v>11460</v>
      </c>
      <c r="O15" s="66" t="n">
        <f aca="false">IFERROR(INDEX(商品マスタ!$H$6:$H$1005,MATCH($F15,商品マスタ!$B$6:$B$1005,0)),"")</f>
        <v>5</v>
      </c>
      <c r="P15" s="87" t="n">
        <f aca="false">IF(OR($E15="",$O15=""),"",WORKDAY($E15,$O15))</f>
        <v>46146</v>
      </c>
      <c r="Q15" s="80" t="s">
        <v>633</v>
      </c>
      <c r="R15" s="131"/>
      <c r="S15" s="69" t="n">
        <f aca="false">IF($Q15="入荷済み",N($L15),0)</f>
        <v>0</v>
      </c>
      <c r="T15" s="80" t="s">
        <v>629</v>
      </c>
      <c r="U15" s="80" t="s">
        <v>630</v>
      </c>
    </row>
    <row r="16" customFormat="false" ht="15" hidden="false" customHeight="false" outlineLevel="0" collapsed="false">
      <c r="B16" s="66" t="str">
        <f aca="false">IF(OR($E16="",$F16=""),"","PO-"&amp;TEXT($E16,"yyyymmdd")&amp;"-"&amp;TEXT(COUNTIFS($E$6:$E16,$E16,$C$6:$C16,$C16),"000"))</f>
        <v>PO-20260429-001</v>
      </c>
      <c r="C16" s="130" t="s">
        <v>486</v>
      </c>
      <c r="D16" s="66" t="str">
        <f aca="false">IFERROR(INDEX(定数マスタ!$C$6:$C$105,MATCH($C16,定数マスタ!$B$6:$B$105,0)),"")</f>
        <v>中央シネマ</v>
      </c>
      <c r="E16" s="131" t="n">
        <v>46141</v>
      </c>
      <c r="F16" s="130" t="s">
        <v>388</v>
      </c>
      <c r="G16" s="66" t="str">
        <f aca="false">IFERROR(INDEX(商品マスタ!$C$6:$C$1005,MATCH($F16,商品マスタ!$B$6:$B$1005,0)),"")</f>
        <v>新パーティーポップ袋</v>
      </c>
      <c r="H16" s="66" t="str">
        <f aca="false">IFERROR(INDEX(商品マスタ!$E$6:$E$1005,MATCH($F16,商品マスタ!$B$6:$B$1005,0)),"")</f>
        <v>オザックス株式会社</v>
      </c>
      <c r="I16" s="69" t="n">
        <f aca="false">IFERROR(INDEX(商品マスタ!$F$6:$F$1005,MATCH($F16,商品マスタ!$B$6:$B$1005,0)),"")</f>
        <v>400</v>
      </c>
      <c r="J16" s="69" t="str">
        <f aca="false">IF(OR($F16="",$C16&lt;&gt;'設定（最初に1回）'!$C$4),"",IFERROR(INDEX(発注計算!$Y$6:$Y$405,MATCH($F16,発注計算!$C$6:$C$405,0)),""))</f>
        <v/>
      </c>
      <c r="K16" s="70" t="n">
        <v>4</v>
      </c>
      <c r="L16" s="69" t="n">
        <f aca="false">IF($K16="","",N($K16)*N($I16))</f>
        <v>1600</v>
      </c>
      <c r="M16" s="71" t="n">
        <f aca="false">IFERROR(INDEX(商品マスタ!$G$6:$G$1005,MATCH($F16,商品マスタ!$B$6:$B$1005,0)),"")</f>
        <v>52.02</v>
      </c>
      <c r="N16" s="71" t="n">
        <f aca="false">IF($K16="","",N($K16)*N($M16))</f>
        <v>208.08</v>
      </c>
      <c r="O16" s="66" t="n">
        <f aca="false">IFERROR(INDEX(商品マスタ!$H$6:$H$1005,MATCH($F16,商品マスタ!$B$6:$B$1005,0)),"")</f>
        <v>3</v>
      </c>
      <c r="P16" s="87" t="n">
        <f aca="false">IF(OR($E16="",$O16=""),"",WORKDAY($E16,$O16))</f>
        <v>46146</v>
      </c>
      <c r="Q16" s="80" t="s">
        <v>633</v>
      </c>
      <c r="R16" s="131"/>
      <c r="S16" s="69" t="n">
        <f aca="false">IF($Q16="入荷済み",N($L16),0)</f>
        <v>0</v>
      </c>
      <c r="T16" s="80" t="s">
        <v>629</v>
      </c>
      <c r="U16" s="80" t="s">
        <v>632</v>
      </c>
    </row>
    <row r="17" customFormat="false" ht="15" hidden="false" customHeight="false" outlineLevel="0" collapsed="false">
      <c r="B17" s="66" t="str">
        <f aca="false">IF(OR($E17="",$F17=""),"","PO-"&amp;TEXT($E17,"yyyymmdd")&amp;"-"&amp;TEXT(COUNTIFS($E$6:$E17,$E17,$C$6:$C17,$C17),"000"))</f>
        <v>PO-20260427-001</v>
      </c>
      <c r="C17" s="130" t="s">
        <v>490</v>
      </c>
      <c r="D17" s="66" t="str">
        <f aca="false">IFERROR(INDEX(定数マスタ!$C$6:$C$105,MATCH($C17,定数マスタ!$B$6:$B$105,0)),"")</f>
        <v>郊外シネマ</v>
      </c>
      <c r="E17" s="131" t="n">
        <v>46139</v>
      </c>
      <c r="F17" s="130" t="s">
        <v>418</v>
      </c>
      <c r="G17" s="66" t="str">
        <f aca="false">IFERROR(INDEX(商品マスタ!$C$6:$C$1005,MATCH($F17,商品マスタ!$B$6:$B$1005,0)),"")</f>
        <v>新ＦドリンクカップＢＩＰ５１２Ｄ</v>
      </c>
      <c r="H17" s="66" t="str">
        <f aca="false">IFERROR(INDEX(商品マスタ!$E$6:$E$1005,MATCH($F17,商品マスタ!$B$6:$B$1005,0)),"")</f>
        <v>オザックス株式会社</v>
      </c>
      <c r="I17" s="69" t="n">
        <f aca="false">IFERROR(INDEX(商品マスタ!$F$6:$F$1005,MATCH($F17,商品マスタ!$B$6:$B$1005,0)),"")</f>
        <v>1000</v>
      </c>
      <c r="J17" s="69" t="str">
        <f aca="false">IF(OR($F17="",$C17&lt;&gt;'設定（最初に1回）'!$C$4),"",IFERROR(INDEX(発注計算!$Y$6:$Y$405,MATCH($F17,発注計算!$C$6:$C$405,0)),""))</f>
        <v/>
      </c>
      <c r="K17" s="70" t="n">
        <v>8</v>
      </c>
      <c r="L17" s="69" t="n">
        <f aca="false">IF($K17="","",N($K17)*N($I17))</f>
        <v>8000</v>
      </c>
      <c r="M17" s="71" t="n">
        <f aca="false">IFERROR(INDEX(商品マスタ!$G$6:$G$1005,MATCH($F17,商品マスタ!$B$6:$B$1005,0)),"")</f>
        <v>8.73</v>
      </c>
      <c r="N17" s="71" t="n">
        <f aca="false">IF($K17="","",N($K17)*N($M17))</f>
        <v>69.84</v>
      </c>
      <c r="O17" s="66" t="n">
        <f aca="false">IFERROR(INDEX(商品マスタ!$H$6:$H$1005,MATCH($F17,商品マスタ!$B$6:$B$1005,0)),"")</f>
        <v>2</v>
      </c>
      <c r="P17" s="87" t="n">
        <f aca="false">IF(OR($E17="",$O17=""),"",WORKDAY($E17,$O17))</f>
        <v>46141</v>
      </c>
      <c r="Q17" s="80" t="s">
        <v>633</v>
      </c>
      <c r="R17" s="131"/>
      <c r="S17" s="69" t="n">
        <f aca="false">IF($Q17="入荷済み",N($L17),0)</f>
        <v>0</v>
      </c>
      <c r="T17" s="80" t="s">
        <v>629</v>
      </c>
      <c r="U17" s="80" t="s">
        <v>632</v>
      </c>
    </row>
    <row r="18" customFormat="false" ht="15" hidden="false" customHeight="false" outlineLevel="0" collapsed="false">
      <c r="B18" s="66" t="str">
        <f aca="false">IF(OR($E18="",$F18=""),"","PO-"&amp;TEXT($E18,"yyyymmdd")&amp;"-"&amp;TEXT(COUNTIFS($E$6:$E18,$E18,$C$6:$C18,$C18),"000"))</f>
        <v>PO-20260430-001</v>
      </c>
      <c r="C18" s="130" t="s">
        <v>171</v>
      </c>
      <c r="D18" s="66" t="str">
        <f aca="false">IFERROR(INDEX(定数マスタ!$C$6:$C$105,MATCH($C18,定数マスタ!$B$6:$B$105,0)),"")</f>
        <v>新宿</v>
      </c>
      <c r="E18" s="131" t="n">
        <v>46142</v>
      </c>
      <c r="F18" s="130" t="s">
        <v>240</v>
      </c>
      <c r="G18" s="66" t="str">
        <f aca="false">IFERROR(INDEX(商品マスタ!$C$6:$C$1005,MATCH($F18,商品マスタ!$B$6:$B$1005,0)),"")</f>
        <v>超マンゴー＆パッションフローズン</v>
      </c>
      <c r="H18" s="66" t="str">
        <f aca="false">IFERROR(INDEX(商品マスタ!$E$6:$E$1005,MATCH($F18,商品マスタ!$B$6:$B$1005,0)),"")</f>
        <v>オザックス株式会社</v>
      </c>
      <c r="I18" s="69" t="n">
        <f aca="false">IFERROR(INDEX(商品マスタ!$F$6:$F$1005,MATCH($F18,商品マスタ!$B$6:$B$1005,0)),"")</f>
        <v>80</v>
      </c>
      <c r="J18" s="69" t="n">
        <f aca="false">IF(OR($F18="",$C18&lt;&gt;'設定（最初に1回）'!$C$4),"",IFERROR(INDEX(発注計算!$Y$6:$Y$405,MATCH($F18,発注計算!$C$6:$C$405,0)),""))</f>
        <v>0</v>
      </c>
      <c r="K18" s="70" t="n">
        <v>8</v>
      </c>
      <c r="L18" s="69" t="n">
        <f aca="false">IF($K18="","",N($K18)*N($I18))</f>
        <v>640</v>
      </c>
      <c r="M18" s="71" t="n">
        <f aca="false">IFERROR(INDEX(商品マスタ!$G$6:$G$1005,MATCH($F18,商品マスタ!$B$6:$B$1005,0)),"")</f>
        <v>203</v>
      </c>
      <c r="N18" s="71" t="n">
        <f aca="false">IF($K18="","",N($K18)*N($M18))</f>
        <v>1624</v>
      </c>
      <c r="O18" s="66" t="n">
        <f aca="false">IFERROR(INDEX(商品マスタ!$H$6:$H$1005,MATCH($F18,商品マスタ!$B$6:$B$1005,0)),"")</f>
        <v>2</v>
      </c>
      <c r="P18" s="87" t="n">
        <f aca="false">IF(OR($E18="",$O18=""),"",WORKDAY($E18,$O18))</f>
        <v>46146</v>
      </c>
      <c r="Q18" s="80" t="s">
        <v>633</v>
      </c>
      <c r="R18" s="131"/>
      <c r="S18" s="69" t="n">
        <f aca="false">IF($Q18="入荷済み",N($L18),0)</f>
        <v>0</v>
      </c>
      <c r="T18" s="80" t="s">
        <v>634</v>
      </c>
      <c r="U18" s="80" t="s">
        <v>630</v>
      </c>
    </row>
    <row r="19" customFormat="false" ht="15" hidden="false" customHeight="false" outlineLevel="0" collapsed="false">
      <c r="B19" s="66" t="str">
        <f aca="false">IF(OR($E19="",$F19=""),"","PO-"&amp;TEXT($E19,"yyyymmdd")&amp;"-"&amp;TEXT(COUNTIFS($E$6:$E19,$E19,$C$6:$C19,$C19),"000"))</f>
        <v>PO-20260430-001</v>
      </c>
      <c r="C19" s="130" t="s">
        <v>486</v>
      </c>
      <c r="D19" s="66" t="str">
        <f aca="false">IFERROR(INDEX(定数マスタ!$C$6:$C$105,MATCH($C19,定数マスタ!$B$6:$B$105,0)),"")</f>
        <v>中央シネマ</v>
      </c>
      <c r="E19" s="131" t="n">
        <v>46142</v>
      </c>
      <c r="F19" s="130" t="s">
        <v>344</v>
      </c>
      <c r="G19" s="66" t="str">
        <f aca="false">IFERROR(INDEX(商品マスタ!$C$6:$C$1005,MATCH($F19,商品マスタ!$B$6:$B$1005,0)),"")</f>
        <v>ビーバー　トッパー　仕入</v>
      </c>
      <c r="H19" s="66" t="str">
        <f aca="false">IFERROR(INDEX(商品マスタ!$E$6:$E$1005,MATCH($F19,商品マスタ!$B$6:$B$1005,0)),"")</f>
        <v>オザックス株式会社</v>
      </c>
      <c r="I19" s="69" t="n">
        <f aca="false">IFERROR(INDEX(商品マスタ!$F$6:$F$1005,MATCH($F19,商品マスタ!$B$6:$B$1005,0)),"")</f>
        <v>50</v>
      </c>
      <c r="J19" s="69" t="str">
        <f aca="false">IF(OR($F19="",$C19&lt;&gt;'設定（最初に1回）'!$C$4),"",IFERROR(INDEX(発注計算!$Y$6:$Y$405,MATCH($F19,発注計算!$C$6:$C$405,0)),""))</f>
        <v/>
      </c>
      <c r="K19" s="70" t="n">
        <v>8</v>
      </c>
      <c r="L19" s="69" t="n">
        <f aca="false">IF($K19="","",N($K19)*N($I19))</f>
        <v>400</v>
      </c>
      <c r="M19" s="71" t="n">
        <f aca="false">IFERROR(INDEX(商品マスタ!$G$6:$G$1005,MATCH($F19,商品マスタ!$B$6:$B$1005,0)),"")</f>
        <v>393</v>
      </c>
      <c r="N19" s="71" t="n">
        <f aca="false">IF($K19="","",N($K19)*N($M19))</f>
        <v>3144</v>
      </c>
      <c r="O19" s="66" t="n">
        <f aca="false">IFERROR(INDEX(商品マスタ!$H$6:$H$1005,MATCH($F19,商品マスタ!$B$6:$B$1005,0)),"")</f>
        <v>3</v>
      </c>
      <c r="P19" s="87" t="n">
        <f aca="false">IF(OR($E19="",$O19=""),"",WORKDAY($E19,$O19))</f>
        <v>46147</v>
      </c>
      <c r="Q19" s="80" t="s">
        <v>633</v>
      </c>
      <c r="R19" s="131"/>
      <c r="S19" s="69" t="n">
        <f aca="false">IF($Q19="入荷済み",N($L19),0)</f>
        <v>0</v>
      </c>
      <c r="T19" s="80" t="s">
        <v>631</v>
      </c>
      <c r="U19" s="80" t="s">
        <v>632</v>
      </c>
    </row>
    <row r="20" customFormat="false" ht="15" hidden="false" customHeight="false" outlineLevel="0" collapsed="false">
      <c r="B20" s="66" t="str">
        <f aca="false">IF(OR($E20="",$F20=""),"","PO-"&amp;TEXT($E20,"yyyymmdd")&amp;"-"&amp;TEXT(COUNTIFS($E$6:$E20,$E20,$C$6:$C20,$C20),"000"))</f>
        <v/>
      </c>
      <c r="C20" s="130"/>
      <c r="D20" s="66" t="str">
        <f aca="false">IFERROR(INDEX(定数マスタ!$C$6:$C$105,MATCH($C20,定数マスタ!$B$6:$B$105,0)),"")</f>
        <v/>
      </c>
      <c r="E20" s="131"/>
      <c r="F20" s="130"/>
      <c r="G20" s="66" t="str">
        <f aca="false">IFERROR(INDEX(商品マスタ!$C$6:$C$1005,MATCH($F20,商品マスタ!$B$6:$B$1005,0)),"")</f>
        <v/>
      </c>
      <c r="H20" s="66" t="str">
        <f aca="false">IFERROR(INDEX(商品マスタ!$E$6:$E$1005,MATCH($F20,商品マスタ!$B$6:$B$1005,0)),"")</f>
        <v/>
      </c>
      <c r="I20" s="69" t="str">
        <f aca="false">IFERROR(INDEX(商品マスタ!$F$6:$F$1005,MATCH($F20,商品マスタ!$B$6:$B$1005,0)),"")</f>
        <v/>
      </c>
      <c r="J20" s="69" t="str">
        <f aca="false">IF(OR($F20="",$C20&lt;&gt;'設定（最初に1回）'!$C$4),"",IFERROR(INDEX(発注計算!$Y$6:$Y$405,MATCH($F20,発注計算!$C$6:$C$405,0)),""))</f>
        <v/>
      </c>
      <c r="K20" s="70"/>
      <c r="L20" s="69" t="str">
        <f aca="false">IF($K20="","",N($K20)*N($I20))</f>
        <v/>
      </c>
      <c r="M20" s="71" t="str">
        <f aca="false">IFERROR(INDEX(商品マスタ!$G$6:$G$1005,MATCH($F20,商品マスタ!$B$6:$B$1005,0)),"")</f>
        <v/>
      </c>
      <c r="N20" s="71" t="str">
        <f aca="false">IF($K20="","",N($K20)*N($M20))</f>
        <v/>
      </c>
      <c r="O20" s="66" t="str">
        <f aca="false">IFERROR(INDEX(商品マスタ!$H$6:$H$1005,MATCH($F20,商品マスタ!$B$6:$B$1005,0)),"")</f>
        <v/>
      </c>
      <c r="P20" s="87" t="str">
        <f aca="false">IF(OR($E20="",$O20=""),"",WORKDAY($E20,$O20))</f>
        <v/>
      </c>
      <c r="Q20" s="80"/>
      <c r="R20" s="131"/>
      <c r="S20" s="69" t="n">
        <f aca="false">IF($Q20="入荷済み",N($L20),0)</f>
        <v>0</v>
      </c>
      <c r="T20" s="80"/>
      <c r="U20" s="80"/>
    </row>
    <row r="21" customFormat="false" ht="15" hidden="false" customHeight="false" outlineLevel="0" collapsed="false">
      <c r="B21" s="66" t="str">
        <f aca="false">IF(OR($E21="",$F21=""),"","PO-"&amp;TEXT($E21,"yyyymmdd")&amp;"-"&amp;TEXT(COUNTIFS($E$6:$E21,$E21,$C$6:$C21,$C21),"000"))</f>
        <v/>
      </c>
      <c r="C21" s="130"/>
      <c r="D21" s="66" t="str">
        <f aca="false">IFERROR(INDEX(定数マスタ!$C$6:$C$105,MATCH($C21,定数マスタ!$B$6:$B$105,0)),"")</f>
        <v/>
      </c>
      <c r="E21" s="131"/>
      <c r="F21" s="130"/>
      <c r="G21" s="66" t="str">
        <f aca="false">IFERROR(INDEX(商品マスタ!$C$6:$C$1005,MATCH($F21,商品マスタ!$B$6:$B$1005,0)),"")</f>
        <v/>
      </c>
      <c r="H21" s="66" t="str">
        <f aca="false">IFERROR(INDEX(商品マスタ!$E$6:$E$1005,MATCH($F21,商品マスタ!$B$6:$B$1005,0)),"")</f>
        <v/>
      </c>
      <c r="I21" s="69" t="str">
        <f aca="false">IFERROR(INDEX(商品マスタ!$F$6:$F$1005,MATCH($F21,商品マスタ!$B$6:$B$1005,0)),"")</f>
        <v/>
      </c>
      <c r="J21" s="69" t="str">
        <f aca="false">IF(OR($F21="",$C21&lt;&gt;'設定（最初に1回）'!$C$4),"",IFERROR(INDEX(発注計算!$Y$6:$Y$405,MATCH($F21,発注計算!$C$6:$C$405,0)),""))</f>
        <v/>
      </c>
      <c r="K21" s="70"/>
      <c r="L21" s="69" t="str">
        <f aca="false">IF($K21="","",N($K21)*N($I21))</f>
        <v/>
      </c>
      <c r="M21" s="71" t="str">
        <f aca="false">IFERROR(INDEX(商品マスタ!$G$6:$G$1005,MATCH($F21,商品マスタ!$B$6:$B$1005,0)),"")</f>
        <v/>
      </c>
      <c r="N21" s="71" t="str">
        <f aca="false">IF($K21="","",N($K21)*N($M21))</f>
        <v/>
      </c>
      <c r="O21" s="66" t="str">
        <f aca="false">IFERROR(INDEX(商品マスタ!$H$6:$H$1005,MATCH($F21,商品マスタ!$B$6:$B$1005,0)),"")</f>
        <v/>
      </c>
      <c r="P21" s="87" t="str">
        <f aca="false">IF(OR($E21="",$O21=""),"",WORKDAY($E21,$O21))</f>
        <v/>
      </c>
      <c r="Q21" s="80"/>
      <c r="R21" s="131"/>
      <c r="S21" s="69" t="n">
        <f aca="false">IF($Q21="入荷済み",N($L21),0)</f>
        <v>0</v>
      </c>
      <c r="T21" s="80"/>
      <c r="U21" s="80"/>
    </row>
    <row r="22" customFormat="false" ht="15" hidden="false" customHeight="false" outlineLevel="0" collapsed="false">
      <c r="B22" s="66" t="str">
        <f aca="false">IF(OR($E22="",$F22=""),"","PO-"&amp;TEXT($E22,"yyyymmdd")&amp;"-"&amp;TEXT(COUNTIFS($E$6:$E22,$E22,$C$6:$C22,$C22),"000"))</f>
        <v/>
      </c>
      <c r="C22" s="130"/>
      <c r="D22" s="66" t="str">
        <f aca="false">IFERROR(INDEX(定数マスタ!$C$6:$C$105,MATCH($C22,定数マスタ!$B$6:$B$105,0)),"")</f>
        <v/>
      </c>
      <c r="E22" s="131"/>
      <c r="F22" s="130"/>
      <c r="G22" s="66" t="str">
        <f aca="false">IFERROR(INDEX(商品マスタ!$C$6:$C$1005,MATCH($F22,商品マスタ!$B$6:$B$1005,0)),"")</f>
        <v/>
      </c>
      <c r="H22" s="66" t="str">
        <f aca="false">IFERROR(INDEX(商品マスタ!$E$6:$E$1005,MATCH($F22,商品マスタ!$B$6:$B$1005,0)),"")</f>
        <v/>
      </c>
      <c r="I22" s="69" t="str">
        <f aca="false">IFERROR(INDEX(商品マスタ!$F$6:$F$1005,MATCH($F22,商品マスタ!$B$6:$B$1005,0)),"")</f>
        <v/>
      </c>
      <c r="J22" s="69" t="str">
        <f aca="false">IF(OR($F22="",$C22&lt;&gt;'設定（最初に1回）'!$C$4),"",IFERROR(INDEX(発注計算!$Y$6:$Y$405,MATCH($F22,発注計算!$C$6:$C$405,0)),""))</f>
        <v/>
      </c>
      <c r="K22" s="70"/>
      <c r="L22" s="69" t="str">
        <f aca="false">IF($K22="","",N($K22)*N($I22))</f>
        <v/>
      </c>
      <c r="M22" s="71" t="str">
        <f aca="false">IFERROR(INDEX(商品マスタ!$G$6:$G$1005,MATCH($F22,商品マスタ!$B$6:$B$1005,0)),"")</f>
        <v/>
      </c>
      <c r="N22" s="71" t="str">
        <f aca="false">IF($K22="","",N($K22)*N($M22))</f>
        <v/>
      </c>
      <c r="O22" s="66" t="str">
        <f aca="false">IFERROR(INDEX(商品マスタ!$H$6:$H$1005,MATCH($F22,商品マスタ!$B$6:$B$1005,0)),"")</f>
        <v/>
      </c>
      <c r="P22" s="87" t="str">
        <f aca="false">IF(OR($E22="",$O22=""),"",WORKDAY($E22,$O22))</f>
        <v/>
      </c>
      <c r="Q22" s="80"/>
      <c r="R22" s="131"/>
      <c r="S22" s="69" t="n">
        <f aca="false">IF($Q22="入荷済み",N($L22),0)</f>
        <v>0</v>
      </c>
      <c r="T22" s="80"/>
      <c r="U22" s="80"/>
    </row>
    <row r="23" customFormat="false" ht="15" hidden="false" customHeight="false" outlineLevel="0" collapsed="false">
      <c r="B23" s="66" t="str">
        <f aca="false">IF(OR($E23="",$F23=""),"","PO-"&amp;TEXT($E23,"yyyymmdd")&amp;"-"&amp;TEXT(COUNTIFS($E$6:$E23,$E23,$C$6:$C23,$C23),"000"))</f>
        <v/>
      </c>
      <c r="C23" s="130"/>
      <c r="D23" s="66" t="str">
        <f aca="false">IFERROR(INDEX(定数マスタ!$C$6:$C$105,MATCH($C23,定数マスタ!$B$6:$B$105,0)),"")</f>
        <v/>
      </c>
      <c r="E23" s="131"/>
      <c r="F23" s="130"/>
      <c r="G23" s="66" t="str">
        <f aca="false">IFERROR(INDEX(商品マスタ!$C$6:$C$1005,MATCH($F23,商品マスタ!$B$6:$B$1005,0)),"")</f>
        <v/>
      </c>
      <c r="H23" s="66" t="str">
        <f aca="false">IFERROR(INDEX(商品マスタ!$E$6:$E$1005,MATCH($F23,商品マスタ!$B$6:$B$1005,0)),"")</f>
        <v/>
      </c>
      <c r="I23" s="69" t="str">
        <f aca="false">IFERROR(INDEX(商品マスタ!$F$6:$F$1005,MATCH($F23,商品マスタ!$B$6:$B$1005,0)),"")</f>
        <v/>
      </c>
      <c r="J23" s="69" t="str">
        <f aca="false">IF(OR($F23="",$C23&lt;&gt;'設定（最初に1回）'!$C$4),"",IFERROR(INDEX(発注計算!$Y$6:$Y$405,MATCH($F23,発注計算!$C$6:$C$405,0)),""))</f>
        <v/>
      </c>
      <c r="K23" s="70"/>
      <c r="L23" s="69" t="str">
        <f aca="false">IF($K23="","",N($K23)*N($I23))</f>
        <v/>
      </c>
      <c r="M23" s="71" t="str">
        <f aca="false">IFERROR(INDEX(商品マスタ!$G$6:$G$1005,MATCH($F23,商品マスタ!$B$6:$B$1005,0)),"")</f>
        <v/>
      </c>
      <c r="N23" s="71" t="str">
        <f aca="false">IF($K23="","",N($K23)*N($M23))</f>
        <v/>
      </c>
      <c r="O23" s="66" t="str">
        <f aca="false">IFERROR(INDEX(商品マスタ!$H$6:$H$1005,MATCH($F23,商品マスタ!$B$6:$B$1005,0)),"")</f>
        <v/>
      </c>
      <c r="P23" s="87" t="str">
        <f aca="false">IF(OR($E23="",$O23=""),"",WORKDAY($E23,$O23))</f>
        <v/>
      </c>
      <c r="Q23" s="80"/>
      <c r="R23" s="131"/>
      <c r="S23" s="69" t="n">
        <f aca="false">IF($Q23="入荷済み",N($L23),0)</f>
        <v>0</v>
      </c>
      <c r="T23" s="80"/>
      <c r="U23" s="80"/>
    </row>
    <row r="24" customFormat="false" ht="15" hidden="false" customHeight="false" outlineLevel="0" collapsed="false">
      <c r="B24" s="66" t="str">
        <f aca="false">IF(OR($E24="",$F24=""),"","PO-"&amp;TEXT($E24,"yyyymmdd")&amp;"-"&amp;TEXT(COUNTIFS($E$6:$E24,$E24,$C$6:$C24,$C24),"000"))</f>
        <v/>
      </c>
      <c r="C24" s="130"/>
      <c r="D24" s="66" t="str">
        <f aca="false">IFERROR(INDEX(定数マスタ!$C$6:$C$105,MATCH($C24,定数マスタ!$B$6:$B$105,0)),"")</f>
        <v/>
      </c>
      <c r="E24" s="131"/>
      <c r="F24" s="130"/>
      <c r="G24" s="66" t="str">
        <f aca="false">IFERROR(INDEX(商品マスタ!$C$6:$C$1005,MATCH($F24,商品マスタ!$B$6:$B$1005,0)),"")</f>
        <v/>
      </c>
      <c r="H24" s="66" t="str">
        <f aca="false">IFERROR(INDEX(商品マスタ!$E$6:$E$1005,MATCH($F24,商品マスタ!$B$6:$B$1005,0)),"")</f>
        <v/>
      </c>
      <c r="I24" s="69" t="str">
        <f aca="false">IFERROR(INDEX(商品マスタ!$F$6:$F$1005,MATCH($F24,商品マスタ!$B$6:$B$1005,0)),"")</f>
        <v/>
      </c>
      <c r="J24" s="69" t="str">
        <f aca="false">IF(OR($F24="",$C24&lt;&gt;'設定（最初に1回）'!$C$4),"",IFERROR(INDEX(発注計算!$Y$6:$Y$405,MATCH($F24,発注計算!$C$6:$C$405,0)),""))</f>
        <v/>
      </c>
      <c r="K24" s="70"/>
      <c r="L24" s="69" t="str">
        <f aca="false">IF($K24="","",N($K24)*N($I24))</f>
        <v/>
      </c>
      <c r="M24" s="71" t="str">
        <f aca="false">IFERROR(INDEX(商品マスタ!$G$6:$G$1005,MATCH($F24,商品マスタ!$B$6:$B$1005,0)),"")</f>
        <v/>
      </c>
      <c r="N24" s="71" t="str">
        <f aca="false">IF($K24="","",N($K24)*N($M24))</f>
        <v/>
      </c>
      <c r="O24" s="66" t="str">
        <f aca="false">IFERROR(INDEX(商品マスタ!$H$6:$H$1005,MATCH($F24,商品マスタ!$B$6:$B$1005,0)),"")</f>
        <v/>
      </c>
      <c r="P24" s="87" t="str">
        <f aca="false">IF(OR($E24="",$O24=""),"",WORKDAY($E24,$O24))</f>
        <v/>
      </c>
      <c r="Q24" s="80"/>
      <c r="R24" s="131"/>
      <c r="S24" s="69" t="n">
        <f aca="false">IF($Q24="入荷済み",N($L24),0)</f>
        <v>0</v>
      </c>
      <c r="T24" s="80"/>
      <c r="U24" s="80"/>
    </row>
    <row r="25" customFormat="false" ht="15" hidden="false" customHeight="false" outlineLevel="0" collapsed="false">
      <c r="B25" s="66" t="str">
        <f aca="false">IF(OR($E25="",$F25=""),"","PO-"&amp;TEXT($E25,"yyyymmdd")&amp;"-"&amp;TEXT(COUNTIFS($E$6:$E25,$E25,$C$6:$C25,$C25),"000"))</f>
        <v/>
      </c>
      <c r="C25" s="130"/>
      <c r="D25" s="66" t="str">
        <f aca="false">IFERROR(INDEX(定数マスタ!$C$6:$C$105,MATCH($C25,定数マスタ!$B$6:$B$105,0)),"")</f>
        <v/>
      </c>
      <c r="E25" s="131"/>
      <c r="F25" s="130"/>
      <c r="G25" s="66" t="str">
        <f aca="false">IFERROR(INDEX(商品マスタ!$C$6:$C$1005,MATCH($F25,商品マスタ!$B$6:$B$1005,0)),"")</f>
        <v/>
      </c>
      <c r="H25" s="66" t="str">
        <f aca="false">IFERROR(INDEX(商品マスタ!$E$6:$E$1005,MATCH($F25,商品マスタ!$B$6:$B$1005,0)),"")</f>
        <v/>
      </c>
      <c r="I25" s="69" t="str">
        <f aca="false">IFERROR(INDEX(商品マスタ!$F$6:$F$1005,MATCH($F25,商品マスタ!$B$6:$B$1005,0)),"")</f>
        <v/>
      </c>
      <c r="J25" s="69" t="str">
        <f aca="false">IF(OR($F25="",$C25&lt;&gt;'設定（最初に1回）'!$C$4),"",IFERROR(INDEX(発注計算!$Y$6:$Y$405,MATCH($F25,発注計算!$C$6:$C$405,0)),""))</f>
        <v/>
      </c>
      <c r="K25" s="70"/>
      <c r="L25" s="69" t="str">
        <f aca="false">IF($K25="","",N($K25)*N($I25))</f>
        <v/>
      </c>
      <c r="M25" s="71" t="str">
        <f aca="false">IFERROR(INDEX(商品マスタ!$G$6:$G$1005,MATCH($F25,商品マスタ!$B$6:$B$1005,0)),"")</f>
        <v/>
      </c>
      <c r="N25" s="71" t="str">
        <f aca="false">IF($K25="","",N($K25)*N($M25))</f>
        <v/>
      </c>
      <c r="O25" s="66" t="str">
        <f aca="false">IFERROR(INDEX(商品マスタ!$H$6:$H$1005,MATCH($F25,商品マスタ!$B$6:$B$1005,0)),"")</f>
        <v/>
      </c>
      <c r="P25" s="87" t="str">
        <f aca="false">IF(OR($E25="",$O25=""),"",WORKDAY($E25,$O25))</f>
        <v/>
      </c>
      <c r="Q25" s="80"/>
      <c r="R25" s="131"/>
      <c r="S25" s="69" t="n">
        <f aca="false">IF($Q25="入荷済み",N($L25),0)</f>
        <v>0</v>
      </c>
      <c r="T25" s="80"/>
      <c r="U25" s="80"/>
    </row>
    <row r="26" customFormat="false" ht="15" hidden="false" customHeight="false" outlineLevel="0" collapsed="false">
      <c r="B26" s="66" t="str">
        <f aca="false">IF(OR($E26="",$F26=""),"","PO-"&amp;TEXT($E26,"yyyymmdd")&amp;"-"&amp;TEXT(COUNTIFS($E$6:$E26,$E26,$C$6:$C26,$C26),"000"))</f>
        <v/>
      </c>
      <c r="C26" s="130"/>
      <c r="D26" s="66" t="str">
        <f aca="false">IFERROR(INDEX(定数マスタ!$C$6:$C$105,MATCH($C26,定数マスタ!$B$6:$B$105,0)),"")</f>
        <v/>
      </c>
      <c r="E26" s="131"/>
      <c r="F26" s="130"/>
      <c r="G26" s="66" t="str">
        <f aca="false">IFERROR(INDEX(商品マスタ!$C$6:$C$1005,MATCH($F26,商品マスタ!$B$6:$B$1005,0)),"")</f>
        <v/>
      </c>
      <c r="H26" s="66" t="str">
        <f aca="false">IFERROR(INDEX(商品マスタ!$E$6:$E$1005,MATCH($F26,商品マスタ!$B$6:$B$1005,0)),"")</f>
        <v/>
      </c>
      <c r="I26" s="69" t="str">
        <f aca="false">IFERROR(INDEX(商品マスタ!$F$6:$F$1005,MATCH($F26,商品マスタ!$B$6:$B$1005,0)),"")</f>
        <v/>
      </c>
      <c r="J26" s="69" t="str">
        <f aca="false">IF(OR($F26="",$C26&lt;&gt;'設定（最初に1回）'!$C$4),"",IFERROR(INDEX(発注計算!$Y$6:$Y$405,MATCH($F26,発注計算!$C$6:$C$405,0)),""))</f>
        <v/>
      </c>
      <c r="K26" s="70"/>
      <c r="L26" s="69" t="str">
        <f aca="false">IF($K26="","",N($K26)*N($I26))</f>
        <v/>
      </c>
      <c r="M26" s="71" t="str">
        <f aca="false">IFERROR(INDEX(商品マスタ!$G$6:$G$1005,MATCH($F26,商品マスタ!$B$6:$B$1005,0)),"")</f>
        <v/>
      </c>
      <c r="N26" s="71" t="str">
        <f aca="false">IF($K26="","",N($K26)*N($M26))</f>
        <v/>
      </c>
      <c r="O26" s="66" t="str">
        <f aca="false">IFERROR(INDEX(商品マスタ!$H$6:$H$1005,MATCH($F26,商品マスタ!$B$6:$B$1005,0)),"")</f>
        <v/>
      </c>
      <c r="P26" s="87" t="str">
        <f aca="false">IF(OR($E26="",$O26=""),"",WORKDAY($E26,$O26))</f>
        <v/>
      </c>
      <c r="Q26" s="80"/>
      <c r="R26" s="131"/>
      <c r="S26" s="69" t="n">
        <f aca="false">IF($Q26="入荷済み",N($L26),0)</f>
        <v>0</v>
      </c>
      <c r="T26" s="80"/>
      <c r="U26" s="80"/>
    </row>
    <row r="27" customFormat="false" ht="15" hidden="false" customHeight="false" outlineLevel="0" collapsed="false">
      <c r="B27" s="66" t="str">
        <f aca="false">IF(OR($E27="",$F27=""),"","PO-"&amp;TEXT($E27,"yyyymmdd")&amp;"-"&amp;TEXT(COUNTIFS($E$6:$E27,$E27,$C$6:$C27,$C27),"000"))</f>
        <v/>
      </c>
      <c r="C27" s="130"/>
      <c r="D27" s="66" t="str">
        <f aca="false">IFERROR(INDEX(定数マスタ!$C$6:$C$105,MATCH($C27,定数マスタ!$B$6:$B$105,0)),"")</f>
        <v/>
      </c>
      <c r="E27" s="131"/>
      <c r="F27" s="130"/>
      <c r="G27" s="66" t="str">
        <f aca="false">IFERROR(INDEX(商品マスタ!$C$6:$C$1005,MATCH($F27,商品マスタ!$B$6:$B$1005,0)),"")</f>
        <v/>
      </c>
      <c r="H27" s="66" t="str">
        <f aca="false">IFERROR(INDEX(商品マスタ!$E$6:$E$1005,MATCH($F27,商品マスタ!$B$6:$B$1005,0)),"")</f>
        <v/>
      </c>
      <c r="I27" s="69" t="str">
        <f aca="false">IFERROR(INDEX(商品マスタ!$F$6:$F$1005,MATCH($F27,商品マスタ!$B$6:$B$1005,0)),"")</f>
        <v/>
      </c>
      <c r="J27" s="69" t="str">
        <f aca="false">IF(OR($F27="",$C27&lt;&gt;'設定（最初に1回）'!$C$4),"",IFERROR(INDEX(発注計算!$Y$6:$Y$405,MATCH($F27,発注計算!$C$6:$C$405,0)),""))</f>
        <v/>
      </c>
      <c r="K27" s="70"/>
      <c r="L27" s="69" t="str">
        <f aca="false">IF($K27="","",N($K27)*N($I27))</f>
        <v/>
      </c>
      <c r="M27" s="71" t="str">
        <f aca="false">IFERROR(INDEX(商品マスタ!$G$6:$G$1005,MATCH($F27,商品マスタ!$B$6:$B$1005,0)),"")</f>
        <v/>
      </c>
      <c r="N27" s="71" t="str">
        <f aca="false">IF($K27="","",N($K27)*N($M27))</f>
        <v/>
      </c>
      <c r="O27" s="66" t="str">
        <f aca="false">IFERROR(INDEX(商品マスタ!$H$6:$H$1005,MATCH($F27,商品マスタ!$B$6:$B$1005,0)),"")</f>
        <v/>
      </c>
      <c r="P27" s="87" t="str">
        <f aca="false">IF(OR($E27="",$O27=""),"",WORKDAY($E27,$O27))</f>
        <v/>
      </c>
      <c r="Q27" s="80"/>
      <c r="R27" s="131"/>
      <c r="S27" s="69" t="n">
        <f aca="false">IF($Q27="入荷済み",N($L27),0)</f>
        <v>0</v>
      </c>
      <c r="T27" s="80"/>
      <c r="U27" s="80"/>
    </row>
    <row r="28" customFormat="false" ht="15" hidden="false" customHeight="false" outlineLevel="0" collapsed="false">
      <c r="B28" s="66" t="str">
        <f aca="false">IF(OR($E28="",$F28=""),"","PO-"&amp;TEXT($E28,"yyyymmdd")&amp;"-"&amp;TEXT(COUNTIFS($E$6:$E28,$E28,$C$6:$C28,$C28),"000"))</f>
        <v/>
      </c>
      <c r="C28" s="130"/>
      <c r="D28" s="66" t="str">
        <f aca="false">IFERROR(INDEX(定数マスタ!$C$6:$C$105,MATCH($C28,定数マスタ!$B$6:$B$105,0)),"")</f>
        <v/>
      </c>
      <c r="E28" s="131"/>
      <c r="F28" s="130"/>
      <c r="G28" s="66" t="str">
        <f aca="false">IFERROR(INDEX(商品マスタ!$C$6:$C$1005,MATCH($F28,商品マスタ!$B$6:$B$1005,0)),"")</f>
        <v/>
      </c>
      <c r="H28" s="66" t="str">
        <f aca="false">IFERROR(INDEX(商品マスタ!$E$6:$E$1005,MATCH($F28,商品マスタ!$B$6:$B$1005,0)),"")</f>
        <v/>
      </c>
      <c r="I28" s="69" t="str">
        <f aca="false">IFERROR(INDEX(商品マスタ!$F$6:$F$1005,MATCH($F28,商品マスタ!$B$6:$B$1005,0)),"")</f>
        <v/>
      </c>
      <c r="J28" s="69" t="str">
        <f aca="false">IF(OR($F28="",$C28&lt;&gt;'設定（最初に1回）'!$C$4),"",IFERROR(INDEX(発注計算!$Y$6:$Y$405,MATCH($F28,発注計算!$C$6:$C$405,0)),""))</f>
        <v/>
      </c>
      <c r="K28" s="70"/>
      <c r="L28" s="69" t="str">
        <f aca="false">IF($K28="","",N($K28)*N($I28))</f>
        <v/>
      </c>
      <c r="M28" s="71" t="str">
        <f aca="false">IFERROR(INDEX(商品マスタ!$G$6:$G$1005,MATCH($F28,商品マスタ!$B$6:$B$1005,0)),"")</f>
        <v/>
      </c>
      <c r="N28" s="71" t="str">
        <f aca="false">IF($K28="","",N($K28)*N($M28))</f>
        <v/>
      </c>
      <c r="O28" s="66" t="str">
        <f aca="false">IFERROR(INDEX(商品マスタ!$H$6:$H$1005,MATCH($F28,商品マスタ!$B$6:$B$1005,0)),"")</f>
        <v/>
      </c>
      <c r="P28" s="87" t="str">
        <f aca="false">IF(OR($E28="",$O28=""),"",WORKDAY($E28,$O28))</f>
        <v/>
      </c>
      <c r="Q28" s="80"/>
      <c r="R28" s="131"/>
      <c r="S28" s="69" t="n">
        <f aca="false">IF($Q28="入荷済み",N($L28),0)</f>
        <v>0</v>
      </c>
      <c r="T28" s="80"/>
      <c r="U28" s="80"/>
    </row>
    <row r="29" customFormat="false" ht="15" hidden="false" customHeight="false" outlineLevel="0" collapsed="false">
      <c r="B29" s="66" t="str">
        <f aca="false">IF(OR($E29="",$F29=""),"","PO-"&amp;TEXT($E29,"yyyymmdd")&amp;"-"&amp;TEXT(COUNTIFS($E$6:$E29,$E29,$C$6:$C29,$C29),"000"))</f>
        <v/>
      </c>
      <c r="C29" s="130"/>
      <c r="D29" s="66" t="str">
        <f aca="false">IFERROR(INDEX(定数マスタ!$C$6:$C$105,MATCH($C29,定数マスタ!$B$6:$B$105,0)),"")</f>
        <v/>
      </c>
      <c r="E29" s="131"/>
      <c r="F29" s="130"/>
      <c r="G29" s="66" t="str">
        <f aca="false">IFERROR(INDEX(商品マスタ!$C$6:$C$1005,MATCH($F29,商品マスタ!$B$6:$B$1005,0)),"")</f>
        <v/>
      </c>
      <c r="H29" s="66" t="str">
        <f aca="false">IFERROR(INDEX(商品マスタ!$E$6:$E$1005,MATCH($F29,商品マスタ!$B$6:$B$1005,0)),"")</f>
        <v/>
      </c>
      <c r="I29" s="69" t="str">
        <f aca="false">IFERROR(INDEX(商品マスタ!$F$6:$F$1005,MATCH($F29,商品マスタ!$B$6:$B$1005,0)),"")</f>
        <v/>
      </c>
      <c r="J29" s="69" t="str">
        <f aca="false">IF(OR($F29="",$C29&lt;&gt;'設定（最初に1回）'!$C$4),"",IFERROR(INDEX(発注計算!$Y$6:$Y$405,MATCH($F29,発注計算!$C$6:$C$405,0)),""))</f>
        <v/>
      </c>
      <c r="K29" s="70"/>
      <c r="L29" s="69" t="str">
        <f aca="false">IF($K29="","",N($K29)*N($I29))</f>
        <v/>
      </c>
      <c r="M29" s="71" t="str">
        <f aca="false">IFERROR(INDEX(商品マスタ!$G$6:$G$1005,MATCH($F29,商品マスタ!$B$6:$B$1005,0)),"")</f>
        <v/>
      </c>
      <c r="N29" s="71" t="str">
        <f aca="false">IF($K29="","",N($K29)*N($M29))</f>
        <v/>
      </c>
      <c r="O29" s="66" t="str">
        <f aca="false">IFERROR(INDEX(商品マスタ!$H$6:$H$1005,MATCH($F29,商品マスタ!$B$6:$B$1005,0)),"")</f>
        <v/>
      </c>
      <c r="P29" s="87" t="str">
        <f aca="false">IF(OR($E29="",$O29=""),"",WORKDAY($E29,$O29))</f>
        <v/>
      </c>
      <c r="Q29" s="80"/>
      <c r="R29" s="131"/>
      <c r="S29" s="69" t="n">
        <f aca="false">IF($Q29="入荷済み",N($L29),0)</f>
        <v>0</v>
      </c>
      <c r="T29" s="80"/>
      <c r="U29" s="80"/>
    </row>
    <row r="30" customFormat="false" ht="15" hidden="false" customHeight="false" outlineLevel="0" collapsed="false">
      <c r="B30" s="66" t="str">
        <f aca="false">IF(OR($E30="",$F30=""),"","PO-"&amp;TEXT($E30,"yyyymmdd")&amp;"-"&amp;TEXT(COUNTIFS($E$6:$E30,$E30,$C$6:$C30,$C30),"000"))</f>
        <v/>
      </c>
      <c r="C30" s="130"/>
      <c r="D30" s="66" t="str">
        <f aca="false">IFERROR(INDEX(定数マスタ!$C$6:$C$105,MATCH($C30,定数マスタ!$B$6:$B$105,0)),"")</f>
        <v/>
      </c>
      <c r="E30" s="131"/>
      <c r="F30" s="130"/>
      <c r="G30" s="66" t="str">
        <f aca="false">IFERROR(INDEX(商品マスタ!$C$6:$C$1005,MATCH($F30,商品マスタ!$B$6:$B$1005,0)),"")</f>
        <v/>
      </c>
      <c r="H30" s="66" t="str">
        <f aca="false">IFERROR(INDEX(商品マスタ!$E$6:$E$1005,MATCH($F30,商品マスタ!$B$6:$B$1005,0)),"")</f>
        <v/>
      </c>
      <c r="I30" s="69" t="str">
        <f aca="false">IFERROR(INDEX(商品マスタ!$F$6:$F$1005,MATCH($F30,商品マスタ!$B$6:$B$1005,0)),"")</f>
        <v/>
      </c>
      <c r="J30" s="69" t="str">
        <f aca="false">IF(OR($F30="",$C30&lt;&gt;'設定（最初に1回）'!$C$4),"",IFERROR(INDEX(発注計算!$Y$6:$Y$405,MATCH($F30,発注計算!$C$6:$C$405,0)),""))</f>
        <v/>
      </c>
      <c r="K30" s="70"/>
      <c r="L30" s="69" t="str">
        <f aca="false">IF($K30="","",N($K30)*N($I30))</f>
        <v/>
      </c>
      <c r="M30" s="71" t="str">
        <f aca="false">IFERROR(INDEX(商品マスタ!$G$6:$G$1005,MATCH($F30,商品マスタ!$B$6:$B$1005,0)),"")</f>
        <v/>
      </c>
      <c r="N30" s="71" t="str">
        <f aca="false">IF($K30="","",N($K30)*N($M30))</f>
        <v/>
      </c>
      <c r="O30" s="66" t="str">
        <f aca="false">IFERROR(INDEX(商品マスタ!$H$6:$H$1005,MATCH($F30,商品マスタ!$B$6:$B$1005,0)),"")</f>
        <v/>
      </c>
      <c r="P30" s="87" t="str">
        <f aca="false">IF(OR($E30="",$O30=""),"",WORKDAY($E30,$O30))</f>
        <v/>
      </c>
      <c r="Q30" s="80"/>
      <c r="R30" s="131"/>
      <c r="S30" s="69" t="n">
        <f aca="false">IF($Q30="入荷済み",N($L30),0)</f>
        <v>0</v>
      </c>
      <c r="T30" s="80"/>
      <c r="U30" s="80"/>
    </row>
    <row r="31" customFormat="false" ht="15" hidden="false" customHeight="false" outlineLevel="0" collapsed="false">
      <c r="B31" s="66" t="str">
        <f aca="false">IF(OR($E31="",$F31=""),"","PO-"&amp;TEXT($E31,"yyyymmdd")&amp;"-"&amp;TEXT(COUNTIFS($E$6:$E31,$E31,$C$6:$C31,$C31),"000"))</f>
        <v/>
      </c>
      <c r="C31" s="130"/>
      <c r="D31" s="66" t="str">
        <f aca="false">IFERROR(INDEX(定数マスタ!$C$6:$C$105,MATCH($C31,定数マスタ!$B$6:$B$105,0)),"")</f>
        <v/>
      </c>
      <c r="E31" s="131"/>
      <c r="F31" s="130"/>
      <c r="G31" s="66" t="str">
        <f aca="false">IFERROR(INDEX(商品マスタ!$C$6:$C$1005,MATCH($F31,商品マスタ!$B$6:$B$1005,0)),"")</f>
        <v/>
      </c>
      <c r="H31" s="66" t="str">
        <f aca="false">IFERROR(INDEX(商品マスタ!$E$6:$E$1005,MATCH($F31,商品マスタ!$B$6:$B$1005,0)),"")</f>
        <v/>
      </c>
      <c r="I31" s="69" t="str">
        <f aca="false">IFERROR(INDEX(商品マスタ!$F$6:$F$1005,MATCH($F31,商品マスタ!$B$6:$B$1005,0)),"")</f>
        <v/>
      </c>
      <c r="J31" s="69" t="str">
        <f aca="false">IF(OR($F31="",$C31&lt;&gt;'設定（最初に1回）'!$C$4),"",IFERROR(INDEX(発注計算!$Y$6:$Y$405,MATCH($F31,発注計算!$C$6:$C$405,0)),""))</f>
        <v/>
      </c>
      <c r="K31" s="70"/>
      <c r="L31" s="69" t="str">
        <f aca="false">IF($K31="","",N($K31)*N($I31))</f>
        <v/>
      </c>
      <c r="M31" s="71" t="str">
        <f aca="false">IFERROR(INDEX(商品マスタ!$G$6:$G$1005,MATCH($F31,商品マスタ!$B$6:$B$1005,0)),"")</f>
        <v/>
      </c>
      <c r="N31" s="71" t="str">
        <f aca="false">IF($K31="","",N($K31)*N($M31))</f>
        <v/>
      </c>
      <c r="O31" s="66" t="str">
        <f aca="false">IFERROR(INDEX(商品マスタ!$H$6:$H$1005,MATCH($F31,商品マスタ!$B$6:$B$1005,0)),"")</f>
        <v/>
      </c>
      <c r="P31" s="87" t="str">
        <f aca="false">IF(OR($E31="",$O31=""),"",WORKDAY($E31,$O31))</f>
        <v/>
      </c>
      <c r="Q31" s="80"/>
      <c r="R31" s="131"/>
      <c r="S31" s="69" t="n">
        <f aca="false">IF($Q31="入荷済み",N($L31),0)</f>
        <v>0</v>
      </c>
      <c r="T31" s="80"/>
      <c r="U31" s="80"/>
    </row>
    <row r="32" customFormat="false" ht="15" hidden="false" customHeight="false" outlineLevel="0" collapsed="false">
      <c r="B32" s="66" t="str">
        <f aca="false">IF(OR($E32="",$F32=""),"","PO-"&amp;TEXT($E32,"yyyymmdd")&amp;"-"&amp;TEXT(COUNTIFS($E$6:$E32,$E32,$C$6:$C32,$C32),"000"))</f>
        <v/>
      </c>
      <c r="C32" s="130"/>
      <c r="D32" s="66" t="str">
        <f aca="false">IFERROR(INDEX(定数マスタ!$C$6:$C$105,MATCH($C32,定数マスタ!$B$6:$B$105,0)),"")</f>
        <v/>
      </c>
      <c r="E32" s="131"/>
      <c r="F32" s="130"/>
      <c r="G32" s="66" t="str">
        <f aca="false">IFERROR(INDEX(商品マスタ!$C$6:$C$1005,MATCH($F32,商品マスタ!$B$6:$B$1005,0)),"")</f>
        <v/>
      </c>
      <c r="H32" s="66" t="str">
        <f aca="false">IFERROR(INDEX(商品マスタ!$E$6:$E$1005,MATCH($F32,商品マスタ!$B$6:$B$1005,0)),"")</f>
        <v/>
      </c>
      <c r="I32" s="69" t="str">
        <f aca="false">IFERROR(INDEX(商品マスタ!$F$6:$F$1005,MATCH($F32,商品マスタ!$B$6:$B$1005,0)),"")</f>
        <v/>
      </c>
      <c r="J32" s="69" t="str">
        <f aca="false">IF(OR($F32="",$C32&lt;&gt;'設定（最初に1回）'!$C$4),"",IFERROR(INDEX(発注計算!$Y$6:$Y$405,MATCH($F32,発注計算!$C$6:$C$405,0)),""))</f>
        <v/>
      </c>
      <c r="K32" s="70"/>
      <c r="L32" s="69" t="str">
        <f aca="false">IF($K32="","",N($K32)*N($I32))</f>
        <v/>
      </c>
      <c r="M32" s="71" t="str">
        <f aca="false">IFERROR(INDEX(商品マスタ!$G$6:$G$1005,MATCH($F32,商品マスタ!$B$6:$B$1005,0)),"")</f>
        <v/>
      </c>
      <c r="N32" s="71" t="str">
        <f aca="false">IF($K32="","",N($K32)*N($M32))</f>
        <v/>
      </c>
      <c r="O32" s="66" t="str">
        <f aca="false">IFERROR(INDEX(商品マスタ!$H$6:$H$1005,MATCH($F32,商品マスタ!$B$6:$B$1005,0)),"")</f>
        <v/>
      </c>
      <c r="P32" s="87" t="str">
        <f aca="false">IF(OR($E32="",$O32=""),"",WORKDAY($E32,$O32))</f>
        <v/>
      </c>
      <c r="Q32" s="80"/>
      <c r="R32" s="131"/>
      <c r="S32" s="69" t="n">
        <f aca="false">IF($Q32="入荷済み",N($L32),0)</f>
        <v>0</v>
      </c>
      <c r="T32" s="80"/>
      <c r="U32" s="80"/>
    </row>
    <row r="33" customFormat="false" ht="15" hidden="false" customHeight="false" outlineLevel="0" collapsed="false">
      <c r="B33" s="66" t="str">
        <f aca="false">IF(OR($E33="",$F33=""),"","PO-"&amp;TEXT($E33,"yyyymmdd")&amp;"-"&amp;TEXT(COUNTIFS($E$6:$E33,$E33,$C$6:$C33,$C33),"000"))</f>
        <v/>
      </c>
      <c r="C33" s="130"/>
      <c r="D33" s="66" t="str">
        <f aca="false">IFERROR(INDEX(定数マスタ!$C$6:$C$105,MATCH($C33,定数マスタ!$B$6:$B$105,0)),"")</f>
        <v/>
      </c>
      <c r="E33" s="131"/>
      <c r="F33" s="130"/>
      <c r="G33" s="66" t="str">
        <f aca="false">IFERROR(INDEX(商品マスタ!$C$6:$C$1005,MATCH($F33,商品マスタ!$B$6:$B$1005,0)),"")</f>
        <v/>
      </c>
      <c r="H33" s="66" t="str">
        <f aca="false">IFERROR(INDEX(商品マスタ!$E$6:$E$1005,MATCH($F33,商品マスタ!$B$6:$B$1005,0)),"")</f>
        <v/>
      </c>
      <c r="I33" s="69" t="str">
        <f aca="false">IFERROR(INDEX(商品マスタ!$F$6:$F$1005,MATCH($F33,商品マスタ!$B$6:$B$1005,0)),"")</f>
        <v/>
      </c>
      <c r="J33" s="69" t="str">
        <f aca="false">IF(OR($F33="",$C33&lt;&gt;'設定（最初に1回）'!$C$4),"",IFERROR(INDEX(発注計算!$Y$6:$Y$405,MATCH($F33,発注計算!$C$6:$C$405,0)),""))</f>
        <v/>
      </c>
      <c r="K33" s="70"/>
      <c r="L33" s="69" t="str">
        <f aca="false">IF($K33="","",N($K33)*N($I33))</f>
        <v/>
      </c>
      <c r="M33" s="71" t="str">
        <f aca="false">IFERROR(INDEX(商品マスタ!$G$6:$G$1005,MATCH($F33,商品マスタ!$B$6:$B$1005,0)),"")</f>
        <v/>
      </c>
      <c r="N33" s="71" t="str">
        <f aca="false">IF($K33="","",N($K33)*N($M33))</f>
        <v/>
      </c>
      <c r="O33" s="66" t="str">
        <f aca="false">IFERROR(INDEX(商品マスタ!$H$6:$H$1005,MATCH($F33,商品マスタ!$B$6:$B$1005,0)),"")</f>
        <v/>
      </c>
      <c r="P33" s="87" t="str">
        <f aca="false">IF(OR($E33="",$O33=""),"",WORKDAY($E33,$O33))</f>
        <v/>
      </c>
      <c r="Q33" s="80"/>
      <c r="R33" s="131"/>
      <c r="S33" s="69" t="n">
        <f aca="false">IF($Q33="入荷済み",N($L33),0)</f>
        <v>0</v>
      </c>
      <c r="T33" s="80"/>
      <c r="U33" s="80"/>
    </row>
    <row r="34" customFormat="false" ht="15" hidden="false" customHeight="false" outlineLevel="0" collapsed="false">
      <c r="B34" s="66" t="str">
        <f aca="false">IF(OR($E34="",$F34=""),"","PO-"&amp;TEXT($E34,"yyyymmdd")&amp;"-"&amp;TEXT(COUNTIFS($E$6:$E34,$E34,$C$6:$C34,$C34),"000"))</f>
        <v/>
      </c>
      <c r="C34" s="130"/>
      <c r="D34" s="66" t="str">
        <f aca="false">IFERROR(INDEX(定数マスタ!$C$6:$C$105,MATCH($C34,定数マスタ!$B$6:$B$105,0)),"")</f>
        <v/>
      </c>
      <c r="E34" s="131"/>
      <c r="F34" s="130"/>
      <c r="G34" s="66" t="str">
        <f aca="false">IFERROR(INDEX(商品マスタ!$C$6:$C$1005,MATCH($F34,商品マスタ!$B$6:$B$1005,0)),"")</f>
        <v/>
      </c>
      <c r="H34" s="66" t="str">
        <f aca="false">IFERROR(INDEX(商品マスタ!$E$6:$E$1005,MATCH($F34,商品マスタ!$B$6:$B$1005,0)),"")</f>
        <v/>
      </c>
      <c r="I34" s="69" t="str">
        <f aca="false">IFERROR(INDEX(商品マスタ!$F$6:$F$1005,MATCH($F34,商品マスタ!$B$6:$B$1005,0)),"")</f>
        <v/>
      </c>
      <c r="J34" s="69" t="str">
        <f aca="false">IF(OR($F34="",$C34&lt;&gt;'設定（最初に1回）'!$C$4),"",IFERROR(INDEX(発注計算!$Y$6:$Y$405,MATCH($F34,発注計算!$C$6:$C$405,0)),""))</f>
        <v/>
      </c>
      <c r="K34" s="70"/>
      <c r="L34" s="69" t="str">
        <f aca="false">IF($K34="","",N($K34)*N($I34))</f>
        <v/>
      </c>
      <c r="M34" s="71" t="str">
        <f aca="false">IFERROR(INDEX(商品マスタ!$G$6:$G$1005,MATCH($F34,商品マスタ!$B$6:$B$1005,0)),"")</f>
        <v/>
      </c>
      <c r="N34" s="71" t="str">
        <f aca="false">IF($K34="","",N($K34)*N($M34))</f>
        <v/>
      </c>
      <c r="O34" s="66" t="str">
        <f aca="false">IFERROR(INDEX(商品マスタ!$H$6:$H$1005,MATCH($F34,商品マスタ!$B$6:$B$1005,0)),"")</f>
        <v/>
      </c>
      <c r="P34" s="87" t="str">
        <f aca="false">IF(OR($E34="",$O34=""),"",WORKDAY($E34,$O34))</f>
        <v/>
      </c>
      <c r="Q34" s="80"/>
      <c r="R34" s="131"/>
      <c r="S34" s="69" t="n">
        <f aca="false">IF($Q34="入荷済み",N($L34),0)</f>
        <v>0</v>
      </c>
      <c r="T34" s="80"/>
      <c r="U34" s="80"/>
    </row>
    <row r="35" customFormat="false" ht="15" hidden="false" customHeight="false" outlineLevel="0" collapsed="false">
      <c r="B35" s="66" t="str">
        <f aca="false">IF(OR($E35="",$F35=""),"","PO-"&amp;TEXT($E35,"yyyymmdd")&amp;"-"&amp;TEXT(COUNTIFS($E$6:$E35,$E35,$C$6:$C35,$C35),"000"))</f>
        <v/>
      </c>
      <c r="C35" s="130"/>
      <c r="D35" s="66" t="str">
        <f aca="false">IFERROR(INDEX(定数マスタ!$C$6:$C$105,MATCH($C35,定数マスタ!$B$6:$B$105,0)),"")</f>
        <v/>
      </c>
      <c r="E35" s="131"/>
      <c r="F35" s="130"/>
      <c r="G35" s="66" t="str">
        <f aca="false">IFERROR(INDEX(商品マスタ!$C$6:$C$1005,MATCH($F35,商品マスタ!$B$6:$B$1005,0)),"")</f>
        <v/>
      </c>
      <c r="H35" s="66" t="str">
        <f aca="false">IFERROR(INDEX(商品マスタ!$E$6:$E$1005,MATCH($F35,商品マスタ!$B$6:$B$1005,0)),"")</f>
        <v/>
      </c>
      <c r="I35" s="69" t="str">
        <f aca="false">IFERROR(INDEX(商品マスタ!$F$6:$F$1005,MATCH($F35,商品マスタ!$B$6:$B$1005,0)),"")</f>
        <v/>
      </c>
      <c r="J35" s="69" t="str">
        <f aca="false">IF(OR($F35="",$C35&lt;&gt;'設定（最初に1回）'!$C$4),"",IFERROR(INDEX(発注計算!$Y$6:$Y$405,MATCH($F35,発注計算!$C$6:$C$405,0)),""))</f>
        <v/>
      </c>
      <c r="K35" s="70"/>
      <c r="L35" s="69" t="str">
        <f aca="false">IF($K35="","",N($K35)*N($I35))</f>
        <v/>
      </c>
      <c r="M35" s="71" t="str">
        <f aca="false">IFERROR(INDEX(商品マスタ!$G$6:$G$1005,MATCH($F35,商品マスタ!$B$6:$B$1005,0)),"")</f>
        <v/>
      </c>
      <c r="N35" s="71" t="str">
        <f aca="false">IF($K35="","",N($K35)*N($M35))</f>
        <v/>
      </c>
      <c r="O35" s="66" t="str">
        <f aca="false">IFERROR(INDEX(商品マスタ!$H$6:$H$1005,MATCH($F35,商品マスタ!$B$6:$B$1005,0)),"")</f>
        <v/>
      </c>
      <c r="P35" s="87" t="str">
        <f aca="false">IF(OR($E35="",$O35=""),"",WORKDAY($E35,$O35))</f>
        <v/>
      </c>
      <c r="Q35" s="80"/>
      <c r="R35" s="131"/>
      <c r="S35" s="69" t="n">
        <f aca="false">IF($Q35="入荷済み",N($L35),0)</f>
        <v>0</v>
      </c>
      <c r="T35" s="80"/>
      <c r="U35" s="80"/>
    </row>
    <row r="36" customFormat="false" ht="15" hidden="false" customHeight="false" outlineLevel="0" collapsed="false">
      <c r="B36" s="66" t="str">
        <f aca="false">IF(OR($E36="",$F36=""),"","PO-"&amp;TEXT($E36,"yyyymmdd")&amp;"-"&amp;TEXT(COUNTIFS($E$6:$E36,$E36,$C$6:$C36,$C36),"000"))</f>
        <v/>
      </c>
      <c r="C36" s="130"/>
      <c r="D36" s="66" t="str">
        <f aca="false">IFERROR(INDEX(定数マスタ!$C$6:$C$105,MATCH($C36,定数マスタ!$B$6:$B$105,0)),"")</f>
        <v/>
      </c>
      <c r="E36" s="131"/>
      <c r="F36" s="130"/>
      <c r="G36" s="66" t="str">
        <f aca="false">IFERROR(INDEX(商品マスタ!$C$6:$C$1005,MATCH($F36,商品マスタ!$B$6:$B$1005,0)),"")</f>
        <v/>
      </c>
      <c r="H36" s="66" t="str">
        <f aca="false">IFERROR(INDEX(商品マスタ!$E$6:$E$1005,MATCH($F36,商品マスタ!$B$6:$B$1005,0)),"")</f>
        <v/>
      </c>
      <c r="I36" s="69" t="str">
        <f aca="false">IFERROR(INDEX(商品マスタ!$F$6:$F$1005,MATCH($F36,商品マスタ!$B$6:$B$1005,0)),"")</f>
        <v/>
      </c>
      <c r="J36" s="69" t="str">
        <f aca="false">IF(OR($F36="",$C36&lt;&gt;'設定（最初に1回）'!$C$4),"",IFERROR(INDEX(発注計算!$Y$6:$Y$405,MATCH($F36,発注計算!$C$6:$C$405,0)),""))</f>
        <v/>
      </c>
      <c r="K36" s="70"/>
      <c r="L36" s="69" t="str">
        <f aca="false">IF($K36="","",N($K36)*N($I36))</f>
        <v/>
      </c>
      <c r="M36" s="71" t="str">
        <f aca="false">IFERROR(INDEX(商品マスタ!$G$6:$G$1005,MATCH($F36,商品マスタ!$B$6:$B$1005,0)),"")</f>
        <v/>
      </c>
      <c r="N36" s="71" t="str">
        <f aca="false">IF($K36="","",N($K36)*N($M36))</f>
        <v/>
      </c>
      <c r="O36" s="66" t="str">
        <f aca="false">IFERROR(INDEX(商品マスタ!$H$6:$H$1005,MATCH($F36,商品マスタ!$B$6:$B$1005,0)),"")</f>
        <v/>
      </c>
      <c r="P36" s="87" t="str">
        <f aca="false">IF(OR($E36="",$O36=""),"",WORKDAY($E36,$O36))</f>
        <v/>
      </c>
      <c r="Q36" s="80"/>
      <c r="R36" s="131"/>
      <c r="S36" s="69" t="n">
        <f aca="false">IF($Q36="入荷済み",N($L36),0)</f>
        <v>0</v>
      </c>
      <c r="T36" s="80"/>
      <c r="U36" s="80"/>
    </row>
    <row r="37" customFormat="false" ht="15" hidden="false" customHeight="false" outlineLevel="0" collapsed="false">
      <c r="B37" s="66" t="str">
        <f aca="false">IF(OR($E37="",$F37=""),"","PO-"&amp;TEXT($E37,"yyyymmdd")&amp;"-"&amp;TEXT(COUNTIFS($E$6:$E37,$E37,$C$6:$C37,$C37),"000"))</f>
        <v/>
      </c>
      <c r="C37" s="130"/>
      <c r="D37" s="66" t="str">
        <f aca="false">IFERROR(INDEX(定数マスタ!$C$6:$C$105,MATCH($C37,定数マスタ!$B$6:$B$105,0)),"")</f>
        <v/>
      </c>
      <c r="E37" s="131"/>
      <c r="F37" s="130"/>
      <c r="G37" s="66" t="str">
        <f aca="false">IFERROR(INDEX(商品マスタ!$C$6:$C$1005,MATCH($F37,商品マスタ!$B$6:$B$1005,0)),"")</f>
        <v/>
      </c>
      <c r="H37" s="66" t="str">
        <f aca="false">IFERROR(INDEX(商品マスタ!$E$6:$E$1005,MATCH($F37,商品マスタ!$B$6:$B$1005,0)),"")</f>
        <v/>
      </c>
      <c r="I37" s="69" t="str">
        <f aca="false">IFERROR(INDEX(商品マスタ!$F$6:$F$1005,MATCH($F37,商品マスタ!$B$6:$B$1005,0)),"")</f>
        <v/>
      </c>
      <c r="J37" s="69" t="str">
        <f aca="false">IF(OR($F37="",$C37&lt;&gt;'設定（最初に1回）'!$C$4),"",IFERROR(INDEX(発注計算!$Y$6:$Y$405,MATCH($F37,発注計算!$C$6:$C$405,0)),""))</f>
        <v/>
      </c>
      <c r="K37" s="70"/>
      <c r="L37" s="69" t="str">
        <f aca="false">IF($K37="","",N($K37)*N($I37))</f>
        <v/>
      </c>
      <c r="M37" s="71" t="str">
        <f aca="false">IFERROR(INDEX(商品マスタ!$G$6:$G$1005,MATCH($F37,商品マスタ!$B$6:$B$1005,0)),"")</f>
        <v/>
      </c>
      <c r="N37" s="71" t="str">
        <f aca="false">IF($K37="","",N($K37)*N($M37))</f>
        <v/>
      </c>
      <c r="O37" s="66" t="str">
        <f aca="false">IFERROR(INDEX(商品マスタ!$H$6:$H$1005,MATCH($F37,商品マスタ!$B$6:$B$1005,0)),"")</f>
        <v/>
      </c>
      <c r="P37" s="87" t="str">
        <f aca="false">IF(OR($E37="",$O37=""),"",WORKDAY($E37,$O37))</f>
        <v/>
      </c>
      <c r="Q37" s="80"/>
      <c r="R37" s="131"/>
      <c r="S37" s="69" t="n">
        <f aca="false">IF($Q37="入荷済み",N($L37),0)</f>
        <v>0</v>
      </c>
      <c r="T37" s="80"/>
      <c r="U37" s="80"/>
    </row>
    <row r="38" customFormat="false" ht="15" hidden="false" customHeight="false" outlineLevel="0" collapsed="false">
      <c r="B38" s="66" t="str">
        <f aca="false">IF(OR($E38="",$F38=""),"","PO-"&amp;TEXT($E38,"yyyymmdd")&amp;"-"&amp;TEXT(COUNTIFS($E$6:$E38,$E38,$C$6:$C38,$C38),"000"))</f>
        <v/>
      </c>
      <c r="C38" s="130"/>
      <c r="D38" s="66" t="str">
        <f aca="false">IFERROR(INDEX(定数マスタ!$C$6:$C$105,MATCH($C38,定数マスタ!$B$6:$B$105,0)),"")</f>
        <v/>
      </c>
      <c r="E38" s="131"/>
      <c r="F38" s="130"/>
      <c r="G38" s="66" t="str">
        <f aca="false">IFERROR(INDEX(商品マスタ!$C$6:$C$1005,MATCH($F38,商品マスタ!$B$6:$B$1005,0)),"")</f>
        <v/>
      </c>
      <c r="H38" s="66" t="str">
        <f aca="false">IFERROR(INDEX(商品マスタ!$E$6:$E$1005,MATCH($F38,商品マスタ!$B$6:$B$1005,0)),"")</f>
        <v/>
      </c>
      <c r="I38" s="69" t="str">
        <f aca="false">IFERROR(INDEX(商品マスタ!$F$6:$F$1005,MATCH($F38,商品マスタ!$B$6:$B$1005,0)),"")</f>
        <v/>
      </c>
      <c r="J38" s="69" t="str">
        <f aca="false">IF(OR($F38="",$C38&lt;&gt;'設定（最初に1回）'!$C$4),"",IFERROR(INDEX(発注計算!$Y$6:$Y$405,MATCH($F38,発注計算!$C$6:$C$405,0)),""))</f>
        <v/>
      </c>
      <c r="K38" s="70"/>
      <c r="L38" s="69" t="str">
        <f aca="false">IF($K38="","",N($K38)*N($I38))</f>
        <v/>
      </c>
      <c r="M38" s="71" t="str">
        <f aca="false">IFERROR(INDEX(商品マスタ!$G$6:$G$1005,MATCH($F38,商品マスタ!$B$6:$B$1005,0)),"")</f>
        <v/>
      </c>
      <c r="N38" s="71" t="str">
        <f aca="false">IF($K38="","",N($K38)*N($M38))</f>
        <v/>
      </c>
      <c r="O38" s="66" t="str">
        <f aca="false">IFERROR(INDEX(商品マスタ!$H$6:$H$1005,MATCH($F38,商品マスタ!$B$6:$B$1005,0)),"")</f>
        <v/>
      </c>
      <c r="P38" s="87" t="str">
        <f aca="false">IF(OR($E38="",$O38=""),"",WORKDAY($E38,$O38))</f>
        <v/>
      </c>
      <c r="Q38" s="80"/>
      <c r="R38" s="131"/>
      <c r="S38" s="69" t="n">
        <f aca="false">IF($Q38="入荷済み",N($L38),0)</f>
        <v>0</v>
      </c>
      <c r="T38" s="80"/>
      <c r="U38" s="80"/>
    </row>
    <row r="39" customFormat="false" ht="15" hidden="false" customHeight="false" outlineLevel="0" collapsed="false">
      <c r="B39" s="66" t="str">
        <f aca="false">IF(OR($E39="",$F39=""),"","PO-"&amp;TEXT($E39,"yyyymmdd")&amp;"-"&amp;TEXT(COUNTIFS($E$6:$E39,$E39,$C$6:$C39,$C39),"000"))</f>
        <v/>
      </c>
      <c r="C39" s="130"/>
      <c r="D39" s="66" t="str">
        <f aca="false">IFERROR(INDEX(定数マスタ!$C$6:$C$105,MATCH($C39,定数マスタ!$B$6:$B$105,0)),"")</f>
        <v/>
      </c>
      <c r="E39" s="131"/>
      <c r="F39" s="130"/>
      <c r="G39" s="66" t="str">
        <f aca="false">IFERROR(INDEX(商品マスタ!$C$6:$C$1005,MATCH($F39,商品マスタ!$B$6:$B$1005,0)),"")</f>
        <v/>
      </c>
      <c r="H39" s="66" t="str">
        <f aca="false">IFERROR(INDEX(商品マスタ!$E$6:$E$1005,MATCH($F39,商品マスタ!$B$6:$B$1005,0)),"")</f>
        <v/>
      </c>
      <c r="I39" s="69" t="str">
        <f aca="false">IFERROR(INDEX(商品マスタ!$F$6:$F$1005,MATCH($F39,商品マスタ!$B$6:$B$1005,0)),"")</f>
        <v/>
      </c>
      <c r="J39" s="69" t="str">
        <f aca="false">IF(OR($F39="",$C39&lt;&gt;'設定（最初に1回）'!$C$4),"",IFERROR(INDEX(発注計算!$Y$6:$Y$405,MATCH($F39,発注計算!$C$6:$C$405,0)),""))</f>
        <v/>
      </c>
      <c r="K39" s="70"/>
      <c r="L39" s="69" t="str">
        <f aca="false">IF($K39="","",N($K39)*N($I39))</f>
        <v/>
      </c>
      <c r="M39" s="71" t="str">
        <f aca="false">IFERROR(INDEX(商品マスタ!$G$6:$G$1005,MATCH($F39,商品マスタ!$B$6:$B$1005,0)),"")</f>
        <v/>
      </c>
      <c r="N39" s="71" t="str">
        <f aca="false">IF($K39="","",N($K39)*N($M39))</f>
        <v/>
      </c>
      <c r="O39" s="66" t="str">
        <f aca="false">IFERROR(INDEX(商品マスタ!$H$6:$H$1005,MATCH($F39,商品マスタ!$B$6:$B$1005,0)),"")</f>
        <v/>
      </c>
      <c r="P39" s="87" t="str">
        <f aca="false">IF(OR($E39="",$O39=""),"",WORKDAY($E39,$O39))</f>
        <v/>
      </c>
      <c r="Q39" s="80"/>
      <c r="R39" s="131"/>
      <c r="S39" s="69" t="n">
        <f aca="false">IF($Q39="入荷済み",N($L39),0)</f>
        <v>0</v>
      </c>
      <c r="T39" s="80"/>
      <c r="U39" s="80"/>
    </row>
    <row r="40" customFormat="false" ht="15" hidden="false" customHeight="false" outlineLevel="0" collapsed="false">
      <c r="B40" s="66" t="str">
        <f aca="false">IF(OR($E40="",$F40=""),"","PO-"&amp;TEXT($E40,"yyyymmdd")&amp;"-"&amp;TEXT(COUNTIFS($E$6:$E40,$E40,$C$6:$C40,$C40),"000"))</f>
        <v/>
      </c>
      <c r="C40" s="130"/>
      <c r="D40" s="66" t="str">
        <f aca="false">IFERROR(INDEX(定数マスタ!$C$6:$C$105,MATCH($C40,定数マスタ!$B$6:$B$105,0)),"")</f>
        <v/>
      </c>
      <c r="E40" s="131"/>
      <c r="F40" s="130"/>
      <c r="G40" s="66" t="str">
        <f aca="false">IFERROR(INDEX(商品マスタ!$C$6:$C$1005,MATCH($F40,商品マスタ!$B$6:$B$1005,0)),"")</f>
        <v/>
      </c>
      <c r="H40" s="66" t="str">
        <f aca="false">IFERROR(INDEX(商品マスタ!$E$6:$E$1005,MATCH($F40,商品マスタ!$B$6:$B$1005,0)),"")</f>
        <v/>
      </c>
      <c r="I40" s="69" t="str">
        <f aca="false">IFERROR(INDEX(商品マスタ!$F$6:$F$1005,MATCH($F40,商品マスタ!$B$6:$B$1005,0)),"")</f>
        <v/>
      </c>
      <c r="J40" s="69" t="str">
        <f aca="false">IF(OR($F40="",$C40&lt;&gt;'設定（最初に1回）'!$C$4),"",IFERROR(INDEX(発注計算!$Y$6:$Y$405,MATCH($F40,発注計算!$C$6:$C$405,0)),""))</f>
        <v/>
      </c>
      <c r="K40" s="70"/>
      <c r="L40" s="69" t="str">
        <f aca="false">IF($K40="","",N($K40)*N($I40))</f>
        <v/>
      </c>
      <c r="M40" s="71" t="str">
        <f aca="false">IFERROR(INDEX(商品マスタ!$G$6:$G$1005,MATCH($F40,商品マスタ!$B$6:$B$1005,0)),"")</f>
        <v/>
      </c>
      <c r="N40" s="71" t="str">
        <f aca="false">IF($K40="","",N($K40)*N($M40))</f>
        <v/>
      </c>
      <c r="O40" s="66" t="str">
        <f aca="false">IFERROR(INDEX(商品マスタ!$H$6:$H$1005,MATCH($F40,商品マスタ!$B$6:$B$1005,0)),"")</f>
        <v/>
      </c>
      <c r="P40" s="87" t="str">
        <f aca="false">IF(OR($E40="",$O40=""),"",WORKDAY($E40,$O40))</f>
        <v/>
      </c>
      <c r="Q40" s="80"/>
      <c r="R40" s="131"/>
      <c r="S40" s="69" t="n">
        <f aca="false">IF($Q40="入荷済み",N($L40),0)</f>
        <v>0</v>
      </c>
      <c r="T40" s="80"/>
      <c r="U40" s="80"/>
    </row>
    <row r="41" customFormat="false" ht="15" hidden="false" customHeight="false" outlineLevel="0" collapsed="false">
      <c r="B41" s="66" t="str">
        <f aca="false">IF(OR($E41="",$F41=""),"","PO-"&amp;TEXT($E41,"yyyymmdd")&amp;"-"&amp;TEXT(COUNTIFS($E$6:$E41,$E41,$C$6:$C41,$C41),"000"))</f>
        <v/>
      </c>
      <c r="C41" s="130"/>
      <c r="D41" s="66" t="str">
        <f aca="false">IFERROR(INDEX(定数マスタ!$C$6:$C$105,MATCH($C41,定数マスタ!$B$6:$B$105,0)),"")</f>
        <v/>
      </c>
      <c r="E41" s="131"/>
      <c r="F41" s="130"/>
      <c r="G41" s="66" t="str">
        <f aca="false">IFERROR(INDEX(商品マスタ!$C$6:$C$1005,MATCH($F41,商品マスタ!$B$6:$B$1005,0)),"")</f>
        <v/>
      </c>
      <c r="H41" s="66" t="str">
        <f aca="false">IFERROR(INDEX(商品マスタ!$E$6:$E$1005,MATCH($F41,商品マスタ!$B$6:$B$1005,0)),"")</f>
        <v/>
      </c>
      <c r="I41" s="69" t="str">
        <f aca="false">IFERROR(INDEX(商品マスタ!$F$6:$F$1005,MATCH($F41,商品マスタ!$B$6:$B$1005,0)),"")</f>
        <v/>
      </c>
      <c r="J41" s="69" t="str">
        <f aca="false">IF(OR($F41="",$C41&lt;&gt;'設定（最初に1回）'!$C$4),"",IFERROR(INDEX(発注計算!$Y$6:$Y$405,MATCH($F41,発注計算!$C$6:$C$405,0)),""))</f>
        <v/>
      </c>
      <c r="K41" s="70"/>
      <c r="L41" s="69" t="str">
        <f aca="false">IF($K41="","",N($K41)*N($I41))</f>
        <v/>
      </c>
      <c r="M41" s="71" t="str">
        <f aca="false">IFERROR(INDEX(商品マスタ!$G$6:$G$1005,MATCH($F41,商品マスタ!$B$6:$B$1005,0)),"")</f>
        <v/>
      </c>
      <c r="N41" s="71" t="str">
        <f aca="false">IF($K41="","",N($K41)*N($M41))</f>
        <v/>
      </c>
      <c r="O41" s="66" t="str">
        <f aca="false">IFERROR(INDEX(商品マスタ!$H$6:$H$1005,MATCH($F41,商品マスタ!$B$6:$B$1005,0)),"")</f>
        <v/>
      </c>
      <c r="P41" s="87" t="str">
        <f aca="false">IF(OR($E41="",$O41=""),"",WORKDAY($E41,$O41))</f>
        <v/>
      </c>
      <c r="Q41" s="80"/>
      <c r="R41" s="131"/>
      <c r="S41" s="69" t="n">
        <f aca="false">IF($Q41="入荷済み",N($L41),0)</f>
        <v>0</v>
      </c>
      <c r="T41" s="80"/>
      <c r="U41" s="80"/>
    </row>
    <row r="42" customFormat="false" ht="15" hidden="false" customHeight="false" outlineLevel="0" collapsed="false">
      <c r="B42" s="66" t="str">
        <f aca="false">IF(OR($E42="",$F42=""),"","PO-"&amp;TEXT($E42,"yyyymmdd")&amp;"-"&amp;TEXT(COUNTIFS($E$6:$E42,$E42,$C$6:$C42,$C42),"000"))</f>
        <v/>
      </c>
      <c r="C42" s="130"/>
      <c r="D42" s="66" t="str">
        <f aca="false">IFERROR(INDEX(定数マスタ!$C$6:$C$105,MATCH($C42,定数マスタ!$B$6:$B$105,0)),"")</f>
        <v/>
      </c>
      <c r="E42" s="131"/>
      <c r="F42" s="130"/>
      <c r="G42" s="66" t="str">
        <f aca="false">IFERROR(INDEX(商品マスタ!$C$6:$C$1005,MATCH($F42,商品マスタ!$B$6:$B$1005,0)),"")</f>
        <v/>
      </c>
      <c r="H42" s="66" t="str">
        <f aca="false">IFERROR(INDEX(商品マスタ!$E$6:$E$1005,MATCH($F42,商品マスタ!$B$6:$B$1005,0)),"")</f>
        <v/>
      </c>
      <c r="I42" s="69" t="str">
        <f aca="false">IFERROR(INDEX(商品マスタ!$F$6:$F$1005,MATCH($F42,商品マスタ!$B$6:$B$1005,0)),"")</f>
        <v/>
      </c>
      <c r="J42" s="69" t="str">
        <f aca="false">IF(OR($F42="",$C42&lt;&gt;'設定（最初に1回）'!$C$4),"",IFERROR(INDEX(発注計算!$Y$6:$Y$405,MATCH($F42,発注計算!$C$6:$C$405,0)),""))</f>
        <v/>
      </c>
      <c r="K42" s="70"/>
      <c r="L42" s="69" t="str">
        <f aca="false">IF($K42="","",N($K42)*N($I42))</f>
        <v/>
      </c>
      <c r="M42" s="71" t="str">
        <f aca="false">IFERROR(INDEX(商品マスタ!$G$6:$G$1005,MATCH($F42,商品マスタ!$B$6:$B$1005,0)),"")</f>
        <v/>
      </c>
      <c r="N42" s="71" t="str">
        <f aca="false">IF($K42="","",N($K42)*N($M42))</f>
        <v/>
      </c>
      <c r="O42" s="66" t="str">
        <f aca="false">IFERROR(INDEX(商品マスタ!$H$6:$H$1005,MATCH($F42,商品マスタ!$B$6:$B$1005,0)),"")</f>
        <v/>
      </c>
      <c r="P42" s="87" t="str">
        <f aca="false">IF(OR($E42="",$O42=""),"",WORKDAY($E42,$O42))</f>
        <v/>
      </c>
      <c r="Q42" s="80"/>
      <c r="R42" s="131"/>
      <c r="S42" s="69" t="n">
        <f aca="false">IF($Q42="入荷済み",N($L42),0)</f>
        <v>0</v>
      </c>
      <c r="T42" s="80"/>
      <c r="U42" s="80"/>
    </row>
    <row r="43" customFormat="false" ht="15" hidden="false" customHeight="false" outlineLevel="0" collapsed="false">
      <c r="B43" s="66" t="str">
        <f aca="false">IF(OR($E43="",$F43=""),"","PO-"&amp;TEXT($E43,"yyyymmdd")&amp;"-"&amp;TEXT(COUNTIFS($E$6:$E43,$E43,$C$6:$C43,$C43),"000"))</f>
        <v/>
      </c>
      <c r="C43" s="130"/>
      <c r="D43" s="66" t="str">
        <f aca="false">IFERROR(INDEX(定数マスタ!$C$6:$C$105,MATCH($C43,定数マスタ!$B$6:$B$105,0)),"")</f>
        <v/>
      </c>
      <c r="E43" s="131"/>
      <c r="F43" s="130"/>
      <c r="G43" s="66" t="str">
        <f aca="false">IFERROR(INDEX(商品マスタ!$C$6:$C$1005,MATCH($F43,商品マスタ!$B$6:$B$1005,0)),"")</f>
        <v/>
      </c>
      <c r="H43" s="66" t="str">
        <f aca="false">IFERROR(INDEX(商品マスタ!$E$6:$E$1005,MATCH($F43,商品マスタ!$B$6:$B$1005,0)),"")</f>
        <v/>
      </c>
      <c r="I43" s="69" t="str">
        <f aca="false">IFERROR(INDEX(商品マスタ!$F$6:$F$1005,MATCH($F43,商品マスタ!$B$6:$B$1005,0)),"")</f>
        <v/>
      </c>
      <c r="J43" s="69" t="str">
        <f aca="false">IF(OR($F43="",$C43&lt;&gt;'設定（最初に1回）'!$C$4),"",IFERROR(INDEX(発注計算!$Y$6:$Y$405,MATCH($F43,発注計算!$C$6:$C$405,0)),""))</f>
        <v/>
      </c>
      <c r="K43" s="70"/>
      <c r="L43" s="69" t="str">
        <f aca="false">IF($K43="","",N($K43)*N($I43))</f>
        <v/>
      </c>
      <c r="M43" s="71" t="str">
        <f aca="false">IFERROR(INDEX(商品マスタ!$G$6:$G$1005,MATCH($F43,商品マスタ!$B$6:$B$1005,0)),"")</f>
        <v/>
      </c>
      <c r="N43" s="71" t="str">
        <f aca="false">IF($K43="","",N($K43)*N($M43))</f>
        <v/>
      </c>
      <c r="O43" s="66" t="str">
        <f aca="false">IFERROR(INDEX(商品マスタ!$H$6:$H$1005,MATCH($F43,商品マスタ!$B$6:$B$1005,0)),"")</f>
        <v/>
      </c>
      <c r="P43" s="87" t="str">
        <f aca="false">IF(OR($E43="",$O43=""),"",WORKDAY($E43,$O43))</f>
        <v/>
      </c>
      <c r="Q43" s="80"/>
      <c r="R43" s="131"/>
      <c r="S43" s="69" t="n">
        <f aca="false">IF($Q43="入荷済み",N($L43),0)</f>
        <v>0</v>
      </c>
      <c r="T43" s="80"/>
      <c r="U43" s="80"/>
    </row>
    <row r="44" customFormat="false" ht="15" hidden="false" customHeight="false" outlineLevel="0" collapsed="false">
      <c r="B44" s="66" t="str">
        <f aca="false">IF(OR($E44="",$F44=""),"","PO-"&amp;TEXT($E44,"yyyymmdd")&amp;"-"&amp;TEXT(COUNTIFS($E$6:$E44,$E44,$C$6:$C44,$C44),"000"))</f>
        <v/>
      </c>
      <c r="C44" s="130"/>
      <c r="D44" s="66" t="str">
        <f aca="false">IFERROR(INDEX(定数マスタ!$C$6:$C$105,MATCH($C44,定数マスタ!$B$6:$B$105,0)),"")</f>
        <v/>
      </c>
      <c r="E44" s="131"/>
      <c r="F44" s="130"/>
      <c r="G44" s="66" t="str">
        <f aca="false">IFERROR(INDEX(商品マスタ!$C$6:$C$1005,MATCH($F44,商品マスタ!$B$6:$B$1005,0)),"")</f>
        <v/>
      </c>
      <c r="H44" s="66" t="str">
        <f aca="false">IFERROR(INDEX(商品マスタ!$E$6:$E$1005,MATCH($F44,商品マスタ!$B$6:$B$1005,0)),"")</f>
        <v/>
      </c>
      <c r="I44" s="69" t="str">
        <f aca="false">IFERROR(INDEX(商品マスタ!$F$6:$F$1005,MATCH($F44,商品マスタ!$B$6:$B$1005,0)),"")</f>
        <v/>
      </c>
      <c r="J44" s="69" t="str">
        <f aca="false">IF(OR($F44="",$C44&lt;&gt;'設定（最初に1回）'!$C$4),"",IFERROR(INDEX(発注計算!$Y$6:$Y$405,MATCH($F44,発注計算!$C$6:$C$405,0)),""))</f>
        <v/>
      </c>
      <c r="K44" s="70"/>
      <c r="L44" s="69" t="str">
        <f aca="false">IF($K44="","",N($K44)*N($I44))</f>
        <v/>
      </c>
      <c r="M44" s="71" t="str">
        <f aca="false">IFERROR(INDEX(商品マスタ!$G$6:$G$1005,MATCH($F44,商品マスタ!$B$6:$B$1005,0)),"")</f>
        <v/>
      </c>
      <c r="N44" s="71" t="str">
        <f aca="false">IF($K44="","",N($K44)*N($M44))</f>
        <v/>
      </c>
      <c r="O44" s="66" t="str">
        <f aca="false">IFERROR(INDEX(商品マスタ!$H$6:$H$1005,MATCH($F44,商品マスタ!$B$6:$B$1005,0)),"")</f>
        <v/>
      </c>
      <c r="P44" s="87" t="str">
        <f aca="false">IF(OR($E44="",$O44=""),"",WORKDAY($E44,$O44))</f>
        <v/>
      </c>
      <c r="Q44" s="80"/>
      <c r="R44" s="131"/>
      <c r="S44" s="69" t="n">
        <f aca="false">IF($Q44="入荷済み",N($L44),0)</f>
        <v>0</v>
      </c>
      <c r="T44" s="80"/>
      <c r="U44" s="80"/>
    </row>
    <row r="45" customFormat="false" ht="15" hidden="false" customHeight="false" outlineLevel="0" collapsed="false">
      <c r="B45" s="66" t="str">
        <f aca="false">IF(OR($E45="",$F45=""),"","PO-"&amp;TEXT($E45,"yyyymmdd")&amp;"-"&amp;TEXT(COUNTIFS($E$6:$E45,$E45,$C$6:$C45,$C45),"000"))</f>
        <v/>
      </c>
      <c r="C45" s="130"/>
      <c r="D45" s="66" t="str">
        <f aca="false">IFERROR(INDEX(定数マスタ!$C$6:$C$105,MATCH($C45,定数マスタ!$B$6:$B$105,0)),"")</f>
        <v/>
      </c>
      <c r="E45" s="131"/>
      <c r="F45" s="130"/>
      <c r="G45" s="66" t="str">
        <f aca="false">IFERROR(INDEX(商品マスタ!$C$6:$C$1005,MATCH($F45,商品マスタ!$B$6:$B$1005,0)),"")</f>
        <v/>
      </c>
      <c r="H45" s="66" t="str">
        <f aca="false">IFERROR(INDEX(商品マスタ!$E$6:$E$1005,MATCH($F45,商品マスタ!$B$6:$B$1005,0)),"")</f>
        <v/>
      </c>
      <c r="I45" s="69" t="str">
        <f aca="false">IFERROR(INDEX(商品マスタ!$F$6:$F$1005,MATCH($F45,商品マスタ!$B$6:$B$1005,0)),"")</f>
        <v/>
      </c>
      <c r="J45" s="69" t="str">
        <f aca="false">IF(OR($F45="",$C45&lt;&gt;'設定（最初に1回）'!$C$4),"",IFERROR(INDEX(発注計算!$Y$6:$Y$405,MATCH($F45,発注計算!$C$6:$C$405,0)),""))</f>
        <v/>
      </c>
      <c r="K45" s="70"/>
      <c r="L45" s="69" t="str">
        <f aca="false">IF($K45="","",N($K45)*N($I45))</f>
        <v/>
      </c>
      <c r="M45" s="71" t="str">
        <f aca="false">IFERROR(INDEX(商品マスタ!$G$6:$G$1005,MATCH($F45,商品マスタ!$B$6:$B$1005,0)),"")</f>
        <v/>
      </c>
      <c r="N45" s="71" t="str">
        <f aca="false">IF($K45="","",N($K45)*N($M45))</f>
        <v/>
      </c>
      <c r="O45" s="66" t="str">
        <f aca="false">IFERROR(INDEX(商品マスタ!$H$6:$H$1005,MATCH($F45,商品マスタ!$B$6:$B$1005,0)),"")</f>
        <v/>
      </c>
      <c r="P45" s="87" t="str">
        <f aca="false">IF(OR($E45="",$O45=""),"",WORKDAY($E45,$O45))</f>
        <v/>
      </c>
      <c r="Q45" s="80"/>
      <c r="R45" s="131"/>
      <c r="S45" s="69" t="n">
        <f aca="false">IF($Q45="入荷済み",N($L45),0)</f>
        <v>0</v>
      </c>
      <c r="T45" s="80"/>
      <c r="U45" s="80"/>
    </row>
    <row r="46" customFormat="false" ht="15" hidden="false" customHeight="false" outlineLevel="0" collapsed="false">
      <c r="B46" s="66" t="str">
        <f aca="false">IF(OR($E46="",$F46=""),"","PO-"&amp;TEXT($E46,"yyyymmdd")&amp;"-"&amp;TEXT(COUNTIFS($E$6:$E46,$E46,$C$6:$C46,$C46),"000"))</f>
        <v/>
      </c>
      <c r="C46" s="130"/>
      <c r="D46" s="66" t="str">
        <f aca="false">IFERROR(INDEX(定数マスタ!$C$6:$C$105,MATCH($C46,定数マスタ!$B$6:$B$105,0)),"")</f>
        <v/>
      </c>
      <c r="E46" s="131"/>
      <c r="F46" s="130"/>
      <c r="G46" s="66" t="str">
        <f aca="false">IFERROR(INDEX(商品マスタ!$C$6:$C$1005,MATCH($F46,商品マスタ!$B$6:$B$1005,0)),"")</f>
        <v/>
      </c>
      <c r="H46" s="66" t="str">
        <f aca="false">IFERROR(INDEX(商品マスタ!$E$6:$E$1005,MATCH($F46,商品マスタ!$B$6:$B$1005,0)),"")</f>
        <v/>
      </c>
      <c r="I46" s="69" t="str">
        <f aca="false">IFERROR(INDEX(商品マスタ!$F$6:$F$1005,MATCH($F46,商品マスタ!$B$6:$B$1005,0)),"")</f>
        <v/>
      </c>
      <c r="J46" s="69" t="str">
        <f aca="false">IF(OR($F46="",$C46&lt;&gt;'設定（最初に1回）'!$C$4),"",IFERROR(INDEX(発注計算!$Y$6:$Y$405,MATCH($F46,発注計算!$C$6:$C$405,0)),""))</f>
        <v/>
      </c>
      <c r="K46" s="70"/>
      <c r="L46" s="69" t="str">
        <f aca="false">IF($K46="","",N($K46)*N($I46))</f>
        <v/>
      </c>
      <c r="M46" s="71" t="str">
        <f aca="false">IFERROR(INDEX(商品マスタ!$G$6:$G$1005,MATCH($F46,商品マスタ!$B$6:$B$1005,0)),"")</f>
        <v/>
      </c>
      <c r="N46" s="71" t="str">
        <f aca="false">IF($K46="","",N($K46)*N($M46))</f>
        <v/>
      </c>
      <c r="O46" s="66" t="str">
        <f aca="false">IFERROR(INDEX(商品マスタ!$H$6:$H$1005,MATCH($F46,商品マスタ!$B$6:$B$1005,0)),"")</f>
        <v/>
      </c>
      <c r="P46" s="87" t="str">
        <f aca="false">IF(OR($E46="",$O46=""),"",WORKDAY($E46,$O46))</f>
        <v/>
      </c>
      <c r="Q46" s="80"/>
      <c r="R46" s="131"/>
      <c r="S46" s="69" t="n">
        <f aca="false">IF($Q46="入荷済み",N($L46),0)</f>
        <v>0</v>
      </c>
      <c r="T46" s="80"/>
      <c r="U46" s="80"/>
    </row>
    <row r="47" customFormat="false" ht="15" hidden="false" customHeight="false" outlineLevel="0" collapsed="false">
      <c r="B47" s="66" t="str">
        <f aca="false">IF(OR($E47="",$F47=""),"","PO-"&amp;TEXT($E47,"yyyymmdd")&amp;"-"&amp;TEXT(COUNTIFS($E$6:$E47,$E47,$C$6:$C47,$C47),"000"))</f>
        <v/>
      </c>
      <c r="C47" s="130"/>
      <c r="D47" s="66" t="str">
        <f aca="false">IFERROR(INDEX(定数マスタ!$C$6:$C$105,MATCH($C47,定数マスタ!$B$6:$B$105,0)),"")</f>
        <v/>
      </c>
      <c r="E47" s="131"/>
      <c r="F47" s="130"/>
      <c r="G47" s="66" t="str">
        <f aca="false">IFERROR(INDEX(商品マスタ!$C$6:$C$1005,MATCH($F47,商品マスタ!$B$6:$B$1005,0)),"")</f>
        <v/>
      </c>
      <c r="H47" s="66" t="str">
        <f aca="false">IFERROR(INDEX(商品マスタ!$E$6:$E$1005,MATCH($F47,商品マスタ!$B$6:$B$1005,0)),"")</f>
        <v/>
      </c>
      <c r="I47" s="69" t="str">
        <f aca="false">IFERROR(INDEX(商品マスタ!$F$6:$F$1005,MATCH($F47,商品マスタ!$B$6:$B$1005,0)),"")</f>
        <v/>
      </c>
      <c r="J47" s="69" t="str">
        <f aca="false">IF(OR($F47="",$C47&lt;&gt;'設定（最初に1回）'!$C$4),"",IFERROR(INDEX(発注計算!$Y$6:$Y$405,MATCH($F47,発注計算!$C$6:$C$405,0)),""))</f>
        <v/>
      </c>
      <c r="K47" s="70"/>
      <c r="L47" s="69" t="str">
        <f aca="false">IF($K47="","",N($K47)*N($I47))</f>
        <v/>
      </c>
      <c r="M47" s="71" t="str">
        <f aca="false">IFERROR(INDEX(商品マスタ!$G$6:$G$1005,MATCH($F47,商品マスタ!$B$6:$B$1005,0)),"")</f>
        <v/>
      </c>
      <c r="N47" s="71" t="str">
        <f aca="false">IF($K47="","",N($K47)*N($M47))</f>
        <v/>
      </c>
      <c r="O47" s="66" t="str">
        <f aca="false">IFERROR(INDEX(商品マスタ!$H$6:$H$1005,MATCH($F47,商品マスタ!$B$6:$B$1005,0)),"")</f>
        <v/>
      </c>
      <c r="P47" s="87" t="str">
        <f aca="false">IF(OR($E47="",$O47=""),"",WORKDAY($E47,$O47))</f>
        <v/>
      </c>
      <c r="Q47" s="80"/>
      <c r="R47" s="131"/>
      <c r="S47" s="69" t="n">
        <f aca="false">IF($Q47="入荷済み",N($L47),0)</f>
        <v>0</v>
      </c>
      <c r="T47" s="80"/>
      <c r="U47" s="80"/>
    </row>
    <row r="48" customFormat="false" ht="15" hidden="false" customHeight="false" outlineLevel="0" collapsed="false">
      <c r="B48" s="66" t="str">
        <f aca="false">IF(OR($E48="",$F48=""),"","PO-"&amp;TEXT($E48,"yyyymmdd")&amp;"-"&amp;TEXT(COUNTIFS($E$6:$E48,$E48,$C$6:$C48,$C48),"000"))</f>
        <v/>
      </c>
      <c r="C48" s="130"/>
      <c r="D48" s="66" t="str">
        <f aca="false">IFERROR(INDEX(定数マスタ!$C$6:$C$105,MATCH($C48,定数マスタ!$B$6:$B$105,0)),"")</f>
        <v/>
      </c>
      <c r="E48" s="131"/>
      <c r="F48" s="130"/>
      <c r="G48" s="66" t="str">
        <f aca="false">IFERROR(INDEX(商品マスタ!$C$6:$C$1005,MATCH($F48,商品マスタ!$B$6:$B$1005,0)),"")</f>
        <v/>
      </c>
      <c r="H48" s="66" t="str">
        <f aca="false">IFERROR(INDEX(商品マスタ!$E$6:$E$1005,MATCH($F48,商品マスタ!$B$6:$B$1005,0)),"")</f>
        <v/>
      </c>
      <c r="I48" s="69" t="str">
        <f aca="false">IFERROR(INDEX(商品マスタ!$F$6:$F$1005,MATCH($F48,商品マスタ!$B$6:$B$1005,0)),"")</f>
        <v/>
      </c>
      <c r="J48" s="69" t="str">
        <f aca="false">IF(OR($F48="",$C48&lt;&gt;'設定（最初に1回）'!$C$4),"",IFERROR(INDEX(発注計算!$Y$6:$Y$405,MATCH($F48,発注計算!$C$6:$C$405,0)),""))</f>
        <v/>
      </c>
      <c r="K48" s="70"/>
      <c r="L48" s="69" t="str">
        <f aca="false">IF($K48="","",N($K48)*N($I48))</f>
        <v/>
      </c>
      <c r="M48" s="71" t="str">
        <f aca="false">IFERROR(INDEX(商品マスタ!$G$6:$G$1005,MATCH($F48,商品マスタ!$B$6:$B$1005,0)),"")</f>
        <v/>
      </c>
      <c r="N48" s="71" t="str">
        <f aca="false">IF($K48="","",N($K48)*N($M48))</f>
        <v/>
      </c>
      <c r="O48" s="66" t="str">
        <f aca="false">IFERROR(INDEX(商品マスタ!$H$6:$H$1005,MATCH($F48,商品マスタ!$B$6:$B$1005,0)),"")</f>
        <v/>
      </c>
      <c r="P48" s="87" t="str">
        <f aca="false">IF(OR($E48="",$O48=""),"",WORKDAY($E48,$O48))</f>
        <v/>
      </c>
      <c r="Q48" s="80"/>
      <c r="R48" s="131"/>
      <c r="S48" s="69" t="n">
        <f aca="false">IF($Q48="入荷済み",N($L48),0)</f>
        <v>0</v>
      </c>
      <c r="T48" s="80"/>
      <c r="U48" s="80"/>
    </row>
    <row r="49" customFormat="false" ht="15" hidden="false" customHeight="false" outlineLevel="0" collapsed="false">
      <c r="B49" s="66" t="str">
        <f aca="false">IF(OR($E49="",$F49=""),"","PO-"&amp;TEXT($E49,"yyyymmdd")&amp;"-"&amp;TEXT(COUNTIFS($E$6:$E49,$E49,$C$6:$C49,$C49),"000"))</f>
        <v/>
      </c>
      <c r="C49" s="130"/>
      <c r="D49" s="66" t="str">
        <f aca="false">IFERROR(INDEX(定数マスタ!$C$6:$C$105,MATCH($C49,定数マスタ!$B$6:$B$105,0)),"")</f>
        <v/>
      </c>
      <c r="E49" s="131"/>
      <c r="F49" s="130"/>
      <c r="G49" s="66" t="str">
        <f aca="false">IFERROR(INDEX(商品マスタ!$C$6:$C$1005,MATCH($F49,商品マスタ!$B$6:$B$1005,0)),"")</f>
        <v/>
      </c>
      <c r="H49" s="66" t="str">
        <f aca="false">IFERROR(INDEX(商品マスタ!$E$6:$E$1005,MATCH($F49,商品マスタ!$B$6:$B$1005,0)),"")</f>
        <v/>
      </c>
      <c r="I49" s="69" t="str">
        <f aca="false">IFERROR(INDEX(商品マスタ!$F$6:$F$1005,MATCH($F49,商品マスタ!$B$6:$B$1005,0)),"")</f>
        <v/>
      </c>
      <c r="J49" s="69" t="str">
        <f aca="false">IF(OR($F49="",$C49&lt;&gt;'設定（最初に1回）'!$C$4),"",IFERROR(INDEX(発注計算!$Y$6:$Y$405,MATCH($F49,発注計算!$C$6:$C$405,0)),""))</f>
        <v/>
      </c>
      <c r="K49" s="70"/>
      <c r="L49" s="69" t="str">
        <f aca="false">IF($K49="","",N($K49)*N($I49))</f>
        <v/>
      </c>
      <c r="M49" s="71" t="str">
        <f aca="false">IFERROR(INDEX(商品マスタ!$G$6:$G$1005,MATCH($F49,商品マスタ!$B$6:$B$1005,0)),"")</f>
        <v/>
      </c>
      <c r="N49" s="71" t="str">
        <f aca="false">IF($K49="","",N($K49)*N($M49))</f>
        <v/>
      </c>
      <c r="O49" s="66" t="str">
        <f aca="false">IFERROR(INDEX(商品マスタ!$H$6:$H$1005,MATCH($F49,商品マスタ!$B$6:$B$1005,0)),"")</f>
        <v/>
      </c>
      <c r="P49" s="87" t="str">
        <f aca="false">IF(OR($E49="",$O49=""),"",WORKDAY($E49,$O49))</f>
        <v/>
      </c>
      <c r="Q49" s="80"/>
      <c r="R49" s="131"/>
      <c r="S49" s="69" t="n">
        <f aca="false">IF($Q49="入荷済み",N($L49),0)</f>
        <v>0</v>
      </c>
      <c r="T49" s="80"/>
      <c r="U49" s="80"/>
    </row>
    <row r="50" customFormat="false" ht="15" hidden="false" customHeight="false" outlineLevel="0" collapsed="false">
      <c r="B50" s="66" t="str">
        <f aca="false">IF(OR($E50="",$F50=""),"","PO-"&amp;TEXT($E50,"yyyymmdd")&amp;"-"&amp;TEXT(COUNTIFS($E$6:$E50,$E50,$C$6:$C50,$C50),"000"))</f>
        <v/>
      </c>
      <c r="C50" s="130"/>
      <c r="D50" s="66" t="str">
        <f aca="false">IFERROR(INDEX(定数マスタ!$C$6:$C$105,MATCH($C50,定数マスタ!$B$6:$B$105,0)),"")</f>
        <v/>
      </c>
      <c r="E50" s="131"/>
      <c r="F50" s="130"/>
      <c r="G50" s="66" t="str">
        <f aca="false">IFERROR(INDEX(商品マスタ!$C$6:$C$1005,MATCH($F50,商品マスタ!$B$6:$B$1005,0)),"")</f>
        <v/>
      </c>
      <c r="H50" s="66" t="str">
        <f aca="false">IFERROR(INDEX(商品マスタ!$E$6:$E$1005,MATCH($F50,商品マスタ!$B$6:$B$1005,0)),"")</f>
        <v/>
      </c>
      <c r="I50" s="69" t="str">
        <f aca="false">IFERROR(INDEX(商品マスタ!$F$6:$F$1005,MATCH($F50,商品マスタ!$B$6:$B$1005,0)),"")</f>
        <v/>
      </c>
      <c r="J50" s="69" t="str">
        <f aca="false">IF(OR($F50="",$C50&lt;&gt;'設定（最初に1回）'!$C$4),"",IFERROR(INDEX(発注計算!$Y$6:$Y$405,MATCH($F50,発注計算!$C$6:$C$405,0)),""))</f>
        <v/>
      </c>
      <c r="K50" s="70"/>
      <c r="L50" s="69" t="str">
        <f aca="false">IF($K50="","",N($K50)*N($I50))</f>
        <v/>
      </c>
      <c r="M50" s="71" t="str">
        <f aca="false">IFERROR(INDEX(商品マスタ!$G$6:$G$1005,MATCH($F50,商品マスタ!$B$6:$B$1005,0)),"")</f>
        <v/>
      </c>
      <c r="N50" s="71" t="str">
        <f aca="false">IF($K50="","",N($K50)*N($M50))</f>
        <v/>
      </c>
      <c r="O50" s="66" t="str">
        <f aca="false">IFERROR(INDEX(商品マスタ!$H$6:$H$1005,MATCH($F50,商品マスタ!$B$6:$B$1005,0)),"")</f>
        <v/>
      </c>
      <c r="P50" s="87" t="str">
        <f aca="false">IF(OR($E50="",$O50=""),"",WORKDAY($E50,$O50))</f>
        <v/>
      </c>
      <c r="Q50" s="80"/>
      <c r="R50" s="131"/>
      <c r="S50" s="69" t="n">
        <f aca="false">IF($Q50="入荷済み",N($L50),0)</f>
        <v>0</v>
      </c>
      <c r="T50" s="80"/>
      <c r="U50" s="80"/>
    </row>
    <row r="51" customFormat="false" ht="15" hidden="false" customHeight="false" outlineLevel="0" collapsed="false">
      <c r="B51" s="66" t="str">
        <f aca="false">IF(OR($E51="",$F51=""),"","PO-"&amp;TEXT($E51,"yyyymmdd")&amp;"-"&amp;TEXT(COUNTIFS($E$6:$E51,$E51,$C$6:$C51,$C51),"000"))</f>
        <v/>
      </c>
      <c r="C51" s="130"/>
      <c r="D51" s="66" t="str">
        <f aca="false">IFERROR(INDEX(定数マスタ!$C$6:$C$105,MATCH($C51,定数マスタ!$B$6:$B$105,0)),"")</f>
        <v/>
      </c>
      <c r="E51" s="131"/>
      <c r="F51" s="130"/>
      <c r="G51" s="66" t="str">
        <f aca="false">IFERROR(INDEX(商品マスタ!$C$6:$C$1005,MATCH($F51,商品マスタ!$B$6:$B$1005,0)),"")</f>
        <v/>
      </c>
      <c r="H51" s="66" t="str">
        <f aca="false">IFERROR(INDEX(商品マスタ!$E$6:$E$1005,MATCH($F51,商品マスタ!$B$6:$B$1005,0)),"")</f>
        <v/>
      </c>
      <c r="I51" s="69" t="str">
        <f aca="false">IFERROR(INDEX(商品マスタ!$F$6:$F$1005,MATCH($F51,商品マスタ!$B$6:$B$1005,0)),"")</f>
        <v/>
      </c>
      <c r="J51" s="69" t="str">
        <f aca="false">IF(OR($F51="",$C51&lt;&gt;'設定（最初に1回）'!$C$4),"",IFERROR(INDEX(発注計算!$Y$6:$Y$405,MATCH($F51,発注計算!$C$6:$C$405,0)),""))</f>
        <v/>
      </c>
      <c r="K51" s="70"/>
      <c r="L51" s="69" t="str">
        <f aca="false">IF($K51="","",N($K51)*N($I51))</f>
        <v/>
      </c>
      <c r="M51" s="71" t="str">
        <f aca="false">IFERROR(INDEX(商品マスタ!$G$6:$G$1005,MATCH($F51,商品マスタ!$B$6:$B$1005,0)),"")</f>
        <v/>
      </c>
      <c r="N51" s="71" t="str">
        <f aca="false">IF($K51="","",N($K51)*N($M51))</f>
        <v/>
      </c>
      <c r="O51" s="66" t="str">
        <f aca="false">IFERROR(INDEX(商品マスタ!$H$6:$H$1005,MATCH($F51,商品マスタ!$B$6:$B$1005,0)),"")</f>
        <v/>
      </c>
      <c r="P51" s="87" t="str">
        <f aca="false">IF(OR($E51="",$O51=""),"",WORKDAY($E51,$O51))</f>
        <v/>
      </c>
      <c r="Q51" s="80"/>
      <c r="R51" s="131"/>
      <c r="S51" s="69" t="n">
        <f aca="false">IF($Q51="入荷済み",N($L51),0)</f>
        <v>0</v>
      </c>
      <c r="T51" s="80"/>
      <c r="U51" s="80"/>
    </row>
    <row r="52" customFormat="false" ht="15" hidden="false" customHeight="false" outlineLevel="0" collapsed="false">
      <c r="B52" s="66" t="str">
        <f aca="false">IF(OR($E52="",$F52=""),"","PO-"&amp;TEXT($E52,"yyyymmdd")&amp;"-"&amp;TEXT(COUNTIFS($E$6:$E52,$E52,$C$6:$C52,$C52),"000"))</f>
        <v/>
      </c>
      <c r="C52" s="130"/>
      <c r="D52" s="66" t="str">
        <f aca="false">IFERROR(INDEX(定数マスタ!$C$6:$C$105,MATCH($C52,定数マスタ!$B$6:$B$105,0)),"")</f>
        <v/>
      </c>
      <c r="E52" s="131"/>
      <c r="F52" s="130"/>
      <c r="G52" s="66" t="str">
        <f aca="false">IFERROR(INDEX(商品マスタ!$C$6:$C$1005,MATCH($F52,商品マスタ!$B$6:$B$1005,0)),"")</f>
        <v/>
      </c>
      <c r="H52" s="66" t="str">
        <f aca="false">IFERROR(INDEX(商品マスタ!$E$6:$E$1005,MATCH($F52,商品マスタ!$B$6:$B$1005,0)),"")</f>
        <v/>
      </c>
      <c r="I52" s="69" t="str">
        <f aca="false">IFERROR(INDEX(商品マスタ!$F$6:$F$1005,MATCH($F52,商品マスタ!$B$6:$B$1005,0)),"")</f>
        <v/>
      </c>
      <c r="J52" s="69" t="str">
        <f aca="false">IF(OR($F52="",$C52&lt;&gt;'設定（最初に1回）'!$C$4),"",IFERROR(INDEX(発注計算!$Y$6:$Y$405,MATCH($F52,発注計算!$C$6:$C$405,0)),""))</f>
        <v/>
      </c>
      <c r="K52" s="70"/>
      <c r="L52" s="69" t="str">
        <f aca="false">IF($K52="","",N($K52)*N($I52))</f>
        <v/>
      </c>
      <c r="M52" s="71" t="str">
        <f aca="false">IFERROR(INDEX(商品マスタ!$G$6:$G$1005,MATCH($F52,商品マスタ!$B$6:$B$1005,0)),"")</f>
        <v/>
      </c>
      <c r="N52" s="71" t="str">
        <f aca="false">IF($K52="","",N($K52)*N($M52))</f>
        <v/>
      </c>
      <c r="O52" s="66" t="str">
        <f aca="false">IFERROR(INDEX(商品マスタ!$H$6:$H$1005,MATCH($F52,商品マスタ!$B$6:$B$1005,0)),"")</f>
        <v/>
      </c>
      <c r="P52" s="87" t="str">
        <f aca="false">IF(OR($E52="",$O52=""),"",WORKDAY($E52,$O52))</f>
        <v/>
      </c>
      <c r="Q52" s="80"/>
      <c r="R52" s="131"/>
      <c r="S52" s="69" t="n">
        <f aca="false">IF($Q52="入荷済み",N($L52),0)</f>
        <v>0</v>
      </c>
      <c r="T52" s="80"/>
      <c r="U52" s="80"/>
    </row>
    <row r="53" customFormat="false" ht="15" hidden="false" customHeight="false" outlineLevel="0" collapsed="false">
      <c r="B53" s="66" t="str">
        <f aca="false">IF(OR($E53="",$F53=""),"","PO-"&amp;TEXT($E53,"yyyymmdd")&amp;"-"&amp;TEXT(COUNTIFS($E$6:$E53,$E53,$C$6:$C53,$C53),"000"))</f>
        <v/>
      </c>
      <c r="C53" s="130"/>
      <c r="D53" s="66" t="str">
        <f aca="false">IFERROR(INDEX(定数マスタ!$C$6:$C$105,MATCH($C53,定数マスタ!$B$6:$B$105,0)),"")</f>
        <v/>
      </c>
      <c r="E53" s="131"/>
      <c r="F53" s="130"/>
      <c r="G53" s="66" t="str">
        <f aca="false">IFERROR(INDEX(商品マスタ!$C$6:$C$1005,MATCH($F53,商品マスタ!$B$6:$B$1005,0)),"")</f>
        <v/>
      </c>
      <c r="H53" s="66" t="str">
        <f aca="false">IFERROR(INDEX(商品マスタ!$E$6:$E$1005,MATCH($F53,商品マスタ!$B$6:$B$1005,0)),"")</f>
        <v/>
      </c>
      <c r="I53" s="69" t="str">
        <f aca="false">IFERROR(INDEX(商品マスタ!$F$6:$F$1005,MATCH($F53,商品マスタ!$B$6:$B$1005,0)),"")</f>
        <v/>
      </c>
      <c r="J53" s="69" t="str">
        <f aca="false">IF(OR($F53="",$C53&lt;&gt;'設定（最初に1回）'!$C$4),"",IFERROR(INDEX(発注計算!$Y$6:$Y$405,MATCH($F53,発注計算!$C$6:$C$405,0)),""))</f>
        <v/>
      </c>
      <c r="K53" s="70"/>
      <c r="L53" s="69" t="str">
        <f aca="false">IF($K53="","",N($K53)*N($I53))</f>
        <v/>
      </c>
      <c r="M53" s="71" t="str">
        <f aca="false">IFERROR(INDEX(商品マスタ!$G$6:$G$1005,MATCH($F53,商品マスタ!$B$6:$B$1005,0)),"")</f>
        <v/>
      </c>
      <c r="N53" s="71" t="str">
        <f aca="false">IF($K53="","",N($K53)*N($M53))</f>
        <v/>
      </c>
      <c r="O53" s="66" t="str">
        <f aca="false">IFERROR(INDEX(商品マスタ!$H$6:$H$1005,MATCH($F53,商品マスタ!$B$6:$B$1005,0)),"")</f>
        <v/>
      </c>
      <c r="P53" s="87" t="str">
        <f aca="false">IF(OR($E53="",$O53=""),"",WORKDAY($E53,$O53))</f>
        <v/>
      </c>
      <c r="Q53" s="80"/>
      <c r="R53" s="131"/>
      <c r="S53" s="69" t="n">
        <f aca="false">IF($Q53="入荷済み",N($L53),0)</f>
        <v>0</v>
      </c>
      <c r="T53" s="80"/>
      <c r="U53" s="80"/>
    </row>
    <row r="54" customFormat="false" ht="15" hidden="false" customHeight="false" outlineLevel="0" collapsed="false">
      <c r="B54" s="66" t="str">
        <f aca="false">IF(OR($E54="",$F54=""),"","PO-"&amp;TEXT($E54,"yyyymmdd")&amp;"-"&amp;TEXT(COUNTIFS($E$6:$E54,$E54,$C$6:$C54,$C54),"000"))</f>
        <v/>
      </c>
      <c r="C54" s="130"/>
      <c r="D54" s="66" t="str">
        <f aca="false">IFERROR(INDEX(定数マスタ!$C$6:$C$105,MATCH($C54,定数マスタ!$B$6:$B$105,0)),"")</f>
        <v/>
      </c>
      <c r="E54" s="131"/>
      <c r="F54" s="130"/>
      <c r="G54" s="66" t="str">
        <f aca="false">IFERROR(INDEX(商品マスタ!$C$6:$C$1005,MATCH($F54,商品マスタ!$B$6:$B$1005,0)),"")</f>
        <v/>
      </c>
      <c r="H54" s="66" t="str">
        <f aca="false">IFERROR(INDEX(商品マスタ!$E$6:$E$1005,MATCH($F54,商品マスタ!$B$6:$B$1005,0)),"")</f>
        <v/>
      </c>
      <c r="I54" s="69" t="str">
        <f aca="false">IFERROR(INDEX(商品マスタ!$F$6:$F$1005,MATCH($F54,商品マスタ!$B$6:$B$1005,0)),"")</f>
        <v/>
      </c>
      <c r="J54" s="69" t="str">
        <f aca="false">IF(OR($F54="",$C54&lt;&gt;'設定（最初に1回）'!$C$4),"",IFERROR(INDEX(発注計算!$Y$6:$Y$405,MATCH($F54,発注計算!$C$6:$C$405,0)),""))</f>
        <v/>
      </c>
      <c r="K54" s="70"/>
      <c r="L54" s="69" t="str">
        <f aca="false">IF($K54="","",N($K54)*N($I54))</f>
        <v/>
      </c>
      <c r="M54" s="71" t="str">
        <f aca="false">IFERROR(INDEX(商品マスタ!$G$6:$G$1005,MATCH($F54,商品マスタ!$B$6:$B$1005,0)),"")</f>
        <v/>
      </c>
      <c r="N54" s="71" t="str">
        <f aca="false">IF($K54="","",N($K54)*N($M54))</f>
        <v/>
      </c>
      <c r="O54" s="66" t="str">
        <f aca="false">IFERROR(INDEX(商品マスタ!$H$6:$H$1005,MATCH($F54,商品マスタ!$B$6:$B$1005,0)),"")</f>
        <v/>
      </c>
      <c r="P54" s="87" t="str">
        <f aca="false">IF(OR($E54="",$O54=""),"",WORKDAY($E54,$O54))</f>
        <v/>
      </c>
      <c r="Q54" s="80"/>
      <c r="R54" s="131"/>
      <c r="S54" s="69" t="n">
        <f aca="false">IF($Q54="入荷済み",N($L54),0)</f>
        <v>0</v>
      </c>
      <c r="T54" s="80"/>
      <c r="U54" s="80"/>
    </row>
    <row r="55" customFormat="false" ht="15" hidden="false" customHeight="false" outlineLevel="0" collapsed="false">
      <c r="B55" s="66" t="str">
        <f aca="false">IF(OR($E55="",$F55=""),"","PO-"&amp;TEXT($E55,"yyyymmdd")&amp;"-"&amp;TEXT(COUNTIFS($E$6:$E55,$E55,$C$6:$C55,$C55),"000"))</f>
        <v/>
      </c>
      <c r="C55" s="130"/>
      <c r="D55" s="66" t="str">
        <f aca="false">IFERROR(INDEX(定数マスタ!$C$6:$C$105,MATCH($C55,定数マスタ!$B$6:$B$105,0)),"")</f>
        <v/>
      </c>
      <c r="E55" s="131"/>
      <c r="F55" s="130"/>
      <c r="G55" s="66" t="str">
        <f aca="false">IFERROR(INDEX(商品マスタ!$C$6:$C$1005,MATCH($F55,商品マスタ!$B$6:$B$1005,0)),"")</f>
        <v/>
      </c>
      <c r="H55" s="66" t="str">
        <f aca="false">IFERROR(INDEX(商品マスタ!$E$6:$E$1005,MATCH($F55,商品マスタ!$B$6:$B$1005,0)),"")</f>
        <v/>
      </c>
      <c r="I55" s="69" t="str">
        <f aca="false">IFERROR(INDEX(商品マスタ!$F$6:$F$1005,MATCH($F55,商品マスタ!$B$6:$B$1005,0)),"")</f>
        <v/>
      </c>
      <c r="J55" s="69" t="str">
        <f aca="false">IF(OR($F55="",$C55&lt;&gt;'設定（最初に1回）'!$C$4),"",IFERROR(INDEX(発注計算!$Y$6:$Y$405,MATCH($F55,発注計算!$C$6:$C$405,0)),""))</f>
        <v/>
      </c>
      <c r="K55" s="70"/>
      <c r="L55" s="69" t="str">
        <f aca="false">IF($K55="","",N($K55)*N($I55))</f>
        <v/>
      </c>
      <c r="M55" s="71" t="str">
        <f aca="false">IFERROR(INDEX(商品マスタ!$G$6:$G$1005,MATCH($F55,商品マスタ!$B$6:$B$1005,0)),"")</f>
        <v/>
      </c>
      <c r="N55" s="71" t="str">
        <f aca="false">IF($K55="","",N($K55)*N($M55))</f>
        <v/>
      </c>
      <c r="O55" s="66" t="str">
        <f aca="false">IFERROR(INDEX(商品マスタ!$H$6:$H$1005,MATCH($F55,商品マスタ!$B$6:$B$1005,0)),"")</f>
        <v/>
      </c>
      <c r="P55" s="87" t="str">
        <f aca="false">IF(OR($E55="",$O55=""),"",WORKDAY($E55,$O55))</f>
        <v/>
      </c>
      <c r="Q55" s="80"/>
      <c r="R55" s="131"/>
      <c r="S55" s="69" t="n">
        <f aca="false">IF($Q55="入荷済み",N($L55),0)</f>
        <v>0</v>
      </c>
      <c r="T55" s="80"/>
      <c r="U55" s="80"/>
    </row>
    <row r="56" customFormat="false" ht="15" hidden="false" customHeight="false" outlineLevel="0" collapsed="false">
      <c r="B56" s="66" t="str">
        <f aca="false">IF(OR($E56="",$F56=""),"","PO-"&amp;TEXT($E56,"yyyymmdd")&amp;"-"&amp;TEXT(COUNTIFS($E$6:$E56,$E56,$C$6:$C56,$C56),"000"))</f>
        <v/>
      </c>
      <c r="C56" s="130"/>
      <c r="D56" s="66" t="str">
        <f aca="false">IFERROR(INDEX(定数マスタ!$C$6:$C$105,MATCH($C56,定数マスタ!$B$6:$B$105,0)),"")</f>
        <v/>
      </c>
      <c r="E56" s="131"/>
      <c r="F56" s="130"/>
      <c r="G56" s="66" t="str">
        <f aca="false">IFERROR(INDEX(商品マスタ!$C$6:$C$1005,MATCH($F56,商品マスタ!$B$6:$B$1005,0)),"")</f>
        <v/>
      </c>
      <c r="H56" s="66" t="str">
        <f aca="false">IFERROR(INDEX(商品マスタ!$E$6:$E$1005,MATCH($F56,商品マスタ!$B$6:$B$1005,0)),"")</f>
        <v/>
      </c>
      <c r="I56" s="69" t="str">
        <f aca="false">IFERROR(INDEX(商品マスタ!$F$6:$F$1005,MATCH($F56,商品マスタ!$B$6:$B$1005,0)),"")</f>
        <v/>
      </c>
      <c r="J56" s="69" t="str">
        <f aca="false">IF(OR($F56="",$C56&lt;&gt;'設定（最初に1回）'!$C$4),"",IFERROR(INDEX(発注計算!$Y$6:$Y$405,MATCH($F56,発注計算!$C$6:$C$405,0)),""))</f>
        <v/>
      </c>
      <c r="K56" s="70"/>
      <c r="L56" s="69" t="str">
        <f aca="false">IF($K56="","",N($K56)*N($I56))</f>
        <v/>
      </c>
      <c r="M56" s="71" t="str">
        <f aca="false">IFERROR(INDEX(商品マスタ!$G$6:$G$1005,MATCH($F56,商品マスタ!$B$6:$B$1005,0)),"")</f>
        <v/>
      </c>
      <c r="N56" s="71" t="str">
        <f aca="false">IF($K56="","",N($K56)*N($M56))</f>
        <v/>
      </c>
      <c r="O56" s="66" t="str">
        <f aca="false">IFERROR(INDEX(商品マスタ!$H$6:$H$1005,MATCH($F56,商品マスタ!$B$6:$B$1005,0)),"")</f>
        <v/>
      </c>
      <c r="P56" s="87" t="str">
        <f aca="false">IF(OR($E56="",$O56=""),"",WORKDAY($E56,$O56))</f>
        <v/>
      </c>
      <c r="Q56" s="80"/>
      <c r="R56" s="131"/>
      <c r="S56" s="69" t="n">
        <f aca="false">IF($Q56="入荷済み",N($L56),0)</f>
        <v>0</v>
      </c>
      <c r="T56" s="80"/>
      <c r="U56" s="80"/>
    </row>
    <row r="57" customFormat="false" ht="15" hidden="false" customHeight="false" outlineLevel="0" collapsed="false">
      <c r="B57" s="66" t="str">
        <f aca="false">IF(OR($E57="",$F57=""),"","PO-"&amp;TEXT($E57,"yyyymmdd")&amp;"-"&amp;TEXT(COUNTIFS($E$6:$E57,$E57,$C$6:$C57,$C57),"000"))</f>
        <v/>
      </c>
      <c r="C57" s="130"/>
      <c r="D57" s="66" t="str">
        <f aca="false">IFERROR(INDEX(定数マスタ!$C$6:$C$105,MATCH($C57,定数マスタ!$B$6:$B$105,0)),"")</f>
        <v/>
      </c>
      <c r="E57" s="131"/>
      <c r="F57" s="130"/>
      <c r="G57" s="66" t="str">
        <f aca="false">IFERROR(INDEX(商品マスタ!$C$6:$C$1005,MATCH($F57,商品マスタ!$B$6:$B$1005,0)),"")</f>
        <v/>
      </c>
      <c r="H57" s="66" t="str">
        <f aca="false">IFERROR(INDEX(商品マスタ!$E$6:$E$1005,MATCH($F57,商品マスタ!$B$6:$B$1005,0)),"")</f>
        <v/>
      </c>
      <c r="I57" s="69" t="str">
        <f aca="false">IFERROR(INDEX(商品マスタ!$F$6:$F$1005,MATCH($F57,商品マスタ!$B$6:$B$1005,0)),"")</f>
        <v/>
      </c>
      <c r="J57" s="69" t="str">
        <f aca="false">IF(OR($F57="",$C57&lt;&gt;'設定（最初に1回）'!$C$4),"",IFERROR(INDEX(発注計算!$Y$6:$Y$405,MATCH($F57,発注計算!$C$6:$C$405,0)),""))</f>
        <v/>
      </c>
      <c r="K57" s="70"/>
      <c r="L57" s="69" t="str">
        <f aca="false">IF($K57="","",N($K57)*N($I57))</f>
        <v/>
      </c>
      <c r="M57" s="71" t="str">
        <f aca="false">IFERROR(INDEX(商品マスタ!$G$6:$G$1005,MATCH($F57,商品マスタ!$B$6:$B$1005,0)),"")</f>
        <v/>
      </c>
      <c r="N57" s="71" t="str">
        <f aca="false">IF($K57="","",N($K57)*N($M57))</f>
        <v/>
      </c>
      <c r="O57" s="66" t="str">
        <f aca="false">IFERROR(INDEX(商品マスタ!$H$6:$H$1005,MATCH($F57,商品マスタ!$B$6:$B$1005,0)),"")</f>
        <v/>
      </c>
      <c r="P57" s="87" t="str">
        <f aca="false">IF(OR($E57="",$O57=""),"",WORKDAY($E57,$O57))</f>
        <v/>
      </c>
      <c r="Q57" s="80"/>
      <c r="R57" s="131"/>
      <c r="S57" s="69" t="n">
        <f aca="false">IF($Q57="入荷済み",N($L57),0)</f>
        <v>0</v>
      </c>
      <c r="T57" s="80"/>
      <c r="U57" s="80"/>
    </row>
    <row r="58" customFormat="false" ht="15" hidden="false" customHeight="false" outlineLevel="0" collapsed="false">
      <c r="B58" s="66" t="str">
        <f aca="false">IF(OR($E58="",$F58=""),"","PO-"&amp;TEXT($E58,"yyyymmdd")&amp;"-"&amp;TEXT(COUNTIFS($E$6:$E58,$E58,$C$6:$C58,$C58),"000"))</f>
        <v/>
      </c>
      <c r="C58" s="130"/>
      <c r="D58" s="66" t="str">
        <f aca="false">IFERROR(INDEX(定数マスタ!$C$6:$C$105,MATCH($C58,定数マスタ!$B$6:$B$105,0)),"")</f>
        <v/>
      </c>
      <c r="E58" s="131"/>
      <c r="F58" s="130"/>
      <c r="G58" s="66" t="str">
        <f aca="false">IFERROR(INDEX(商品マスタ!$C$6:$C$1005,MATCH($F58,商品マスタ!$B$6:$B$1005,0)),"")</f>
        <v/>
      </c>
      <c r="H58" s="66" t="str">
        <f aca="false">IFERROR(INDEX(商品マスタ!$E$6:$E$1005,MATCH($F58,商品マスタ!$B$6:$B$1005,0)),"")</f>
        <v/>
      </c>
      <c r="I58" s="69" t="str">
        <f aca="false">IFERROR(INDEX(商品マスタ!$F$6:$F$1005,MATCH($F58,商品マスタ!$B$6:$B$1005,0)),"")</f>
        <v/>
      </c>
      <c r="J58" s="69" t="str">
        <f aca="false">IF(OR($F58="",$C58&lt;&gt;'設定（最初に1回）'!$C$4),"",IFERROR(INDEX(発注計算!$Y$6:$Y$405,MATCH($F58,発注計算!$C$6:$C$405,0)),""))</f>
        <v/>
      </c>
      <c r="K58" s="70"/>
      <c r="L58" s="69" t="str">
        <f aca="false">IF($K58="","",N($K58)*N($I58))</f>
        <v/>
      </c>
      <c r="M58" s="71" t="str">
        <f aca="false">IFERROR(INDEX(商品マスタ!$G$6:$G$1005,MATCH($F58,商品マスタ!$B$6:$B$1005,0)),"")</f>
        <v/>
      </c>
      <c r="N58" s="71" t="str">
        <f aca="false">IF($K58="","",N($K58)*N($M58))</f>
        <v/>
      </c>
      <c r="O58" s="66" t="str">
        <f aca="false">IFERROR(INDEX(商品マスタ!$H$6:$H$1005,MATCH($F58,商品マスタ!$B$6:$B$1005,0)),"")</f>
        <v/>
      </c>
      <c r="P58" s="87" t="str">
        <f aca="false">IF(OR($E58="",$O58=""),"",WORKDAY($E58,$O58))</f>
        <v/>
      </c>
      <c r="Q58" s="80"/>
      <c r="R58" s="131"/>
      <c r="S58" s="69" t="n">
        <f aca="false">IF($Q58="入荷済み",N($L58),0)</f>
        <v>0</v>
      </c>
      <c r="T58" s="80"/>
      <c r="U58" s="80"/>
    </row>
    <row r="59" customFormat="false" ht="15" hidden="false" customHeight="false" outlineLevel="0" collapsed="false">
      <c r="B59" s="66" t="str">
        <f aca="false">IF(OR($E59="",$F59=""),"","PO-"&amp;TEXT($E59,"yyyymmdd")&amp;"-"&amp;TEXT(COUNTIFS($E$6:$E59,$E59,$C$6:$C59,$C59),"000"))</f>
        <v/>
      </c>
      <c r="C59" s="130"/>
      <c r="D59" s="66" t="str">
        <f aca="false">IFERROR(INDEX(定数マスタ!$C$6:$C$105,MATCH($C59,定数マスタ!$B$6:$B$105,0)),"")</f>
        <v/>
      </c>
      <c r="E59" s="131"/>
      <c r="F59" s="130"/>
      <c r="G59" s="66" t="str">
        <f aca="false">IFERROR(INDEX(商品マスタ!$C$6:$C$1005,MATCH($F59,商品マスタ!$B$6:$B$1005,0)),"")</f>
        <v/>
      </c>
      <c r="H59" s="66" t="str">
        <f aca="false">IFERROR(INDEX(商品マスタ!$E$6:$E$1005,MATCH($F59,商品マスタ!$B$6:$B$1005,0)),"")</f>
        <v/>
      </c>
      <c r="I59" s="69" t="str">
        <f aca="false">IFERROR(INDEX(商品マスタ!$F$6:$F$1005,MATCH($F59,商品マスタ!$B$6:$B$1005,0)),"")</f>
        <v/>
      </c>
      <c r="J59" s="69" t="str">
        <f aca="false">IF(OR($F59="",$C59&lt;&gt;'設定（最初に1回）'!$C$4),"",IFERROR(INDEX(発注計算!$Y$6:$Y$405,MATCH($F59,発注計算!$C$6:$C$405,0)),""))</f>
        <v/>
      </c>
      <c r="K59" s="70"/>
      <c r="L59" s="69" t="str">
        <f aca="false">IF($K59="","",N($K59)*N($I59))</f>
        <v/>
      </c>
      <c r="M59" s="71" t="str">
        <f aca="false">IFERROR(INDEX(商品マスタ!$G$6:$G$1005,MATCH($F59,商品マスタ!$B$6:$B$1005,0)),"")</f>
        <v/>
      </c>
      <c r="N59" s="71" t="str">
        <f aca="false">IF($K59="","",N($K59)*N($M59))</f>
        <v/>
      </c>
      <c r="O59" s="66" t="str">
        <f aca="false">IFERROR(INDEX(商品マスタ!$H$6:$H$1005,MATCH($F59,商品マスタ!$B$6:$B$1005,0)),"")</f>
        <v/>
      </c>
      <c r="P59" s="87" t="str">
        <f aca="false">IF(OR($E59="",$O59=""),"",WORKDAY($E59,$O59))</f>
        <v/>
      </c>
      <c r="Q59" s="80"/>
      <c r="R59" s="131"/>
      <c r="S59" s="69" t="n">
        <f aca="false">IF($Q59="入荷済み",N($L59),0)</f>
        <v>0</v>
      </c>
      <c r="T59" s="80"/>
      <c r="U59" s="80"/>
    </row>
    <row r="60" customFormat="false" ht="15" hidden="false" customHeight="false" outlineLevel="0" collapsed="false">
      <c r="B60" s="66" t="str">
        <f aca="false">IF(OR($E60="",$F60=""),"","PO-"&amp;TEXT($E60,"yyyymmdd")&amp;"-"&amp;TEXT(COUNTIFS($E$6:$E60,$E60,$C$6:$C60,$C60),"000"))</f>
        <v/>
      </c>
      <c r="C60" s="130"/>
      <c r="D60" s="66" t="str">
        <f aca="false">IFERROR(INDEX(定数マスタ!$C$6:$C$105,MATCH($C60,定数マスタ!$B$6:$B$105,0)),"")</f>
        <v/>
      </c>
      <c r="E60" s="131"/>
      <c r="F60" s="130"/>
      <c r="G60" s="66" t="str">
        <f aca="false">IFERROR(INDEX(商品マスタ!$C$6:$C$1005,MATCH($F60,商品マスタ!$B$6:$B$1005,0)),"")</f>
        <v/>
      </c>
      <c r="H60" s="66" t="str">
        <f aca="false">IFERROR(INDEX(商品マスタ!$E$6:$E$1005,MATCH($F60,商品マスタ!$B$6:$B$1005,0)),"")</f>
        <v/>
      </c>
      <c r="I60" s="69" t="str">
        <f aca="false">IFERROR(INDEX(商品マスタ!$F$6:$F$1005,MATCH($F60,商品マスタ!$B$6:$B$1005,0)),"")</f>
        <v/>
      </c>
      <c r="J60" s="69" t="str">
        <f aca="false">IF(OR($F60="",$C60&lt;&gt;'設定（最初に1回）'!$C$4),"",IFERROR(INDEX(発注計算!$Y$6:$Y$405,MATCH($F60,発注計算!$C$6:$C$405,0)),""))</f>
        <v/>
      </c>
      <c r="K60" s="70"/>
      <c r="L60" s="69" t="str">
        <f aca="false">IF($K60="","",N($K60)*N($I60))</f>
        <v/>
      </c>
      <c r="M60" s="71" t="str">
        <f aca="false">IFERROR(INDEX(商品マスタ!$G$6:$G$1005,MATCH($F60,商品マスタ!$B$6:$B$1005,0)),"")</f>
        <v/>
      </c>
      <c r="N60" s="71" t="str">
        <f aca="false">IF($K60="","",N($K60)*N($M60))</f>
        <v/>
      </c>
      <c r="O60" s="66" t="str">
        <f aca="false">IFERROR(INDEX(商品マスタ!$H$6:$H$1005,MATCH($F60,商品マスタ!$B$6:$B$1005,0)),"")</f>
        <v/>
      </c>
      <c r="P60" s="87" t="str">
        <f aca="false">IF(OR($E60="",$O60=""),"",WORKDAY($E60,$O60))</f>
        <v/>
      </c>
      <c r="Q60" s="80"/>
      <c r="R60" s="131"/>
      <c r="S60" s="69" t="n">
        <f aca="false">IF($Q60="入荷済み",N($L60),0)</f>
        <v>0</v>
      </c>
      <c r="T60" s="80"/>
      <c r="U60" s="80"/>
    </row>
    <row r="61" customFormat="false" ht="15" hidden="false" customHeight="false" outlineLevel="0" collapsed="false">
      <c r="B61" s="66" t="str">
        <f aca="false">IF(OR($E61="",$F61=""),"","PO-"&amp;TEXT($E61,"yyyymmdd")&amp;"-"&amp;TEXT(COUNTIFS($E$6:$E61,$E61,$C$6:$C61,$C61),"000"))</f>
        <v/>
      </c>
      <c r="C61" s="130"/>
      <c r="D61" s="66" t="str">
        <f aca="false">IFERROR(INDEX(定数マスタ!$C$6:$C$105,MATCH($C61,定数マスタ!$B$6:$B$105,0)),"")</f>
        <v/>
      </c>
      <c r="E61" s="131"/>
      <c r="F61" s="130"/>
      <c r="G61" s="66" t="str">
        <f aca="false">IFERROR(INDEX(商品マスタ!$C$6:$C$1005,MATCH($F61,商品マスタ!$B$6:$B$1005,0)),"")</f>
        <v/>
      </c>
      <c r="H61" s="66" t="str">
        <f aca="false">IFERROR(INDEX(商品マスタ!$E$6:$E$1005,MATCH($F61,商品マスタ!$B$6:$B$1005,0)),"")</f>
        <v/>
      </c>
      <c r="I61" s="69" t="str">
        <f aca="false">IFERROR(INDEX(商品マスタ!$F$6:$F$1005,MATCH($F61,商品マスタ!$B$6:$B$1005,0)),"")</f>
        <v/>
      </c>
      <c r="J61" s="69" t="str">
        <f aca="false">IF(OR($F61="",$C61&lt;&gt;'設定（最初に1回）'!$C$4),"",IFERROR(INDEX(発注計算!$Y$6:$Y$405,MATCH($F61,発注計算!$C$6:$C$405,0)),""))</f>
        <v/>
      </c>
      <c r="K61" s="70"/>
      <c r="L61" s="69" t="str">
        <f aca="false">IF($K61="","",N($K61)*N($I61))</f>
        <v/>
      </c>
      <c r="M61" s="71" t="str">
        <f aca="false">IFERROR(INDEX(商品マスタ!$G$6:$G$1005,MATCH($F61,商品マスタ!$B$6:$B$1005,0)),"")</f>
        <v/>
      </c>
      <c r="N61" s="71" t="str">
        <f aca="false">IF($K61="","",N($K61)*N($M61))</f>
        <v/>
      </c>
      <c r="O61" s="66" t="str">
        <f aca="false">IFERROR(INDEX(商品マスタ!$H$6:$H$1005,MATCH($F61,商品マスタ!$B$6:$B$1005,0)),"")</f>
        <v/>
      </c>
      <c r="P61" s="87" t="str">
        <f aca="false">IF(OR($E61="",$O61=""),"",WORKDAY($E61,$O61))</f>
        <v/>
      </c>
      <c r="Q61" s="80"/>
      <c r="R61" s="131"/>
      <c r="S61" s="69" t="n">
        <f aca="false">IF($Q61="入荷済み",N($L61),0)</f>
        <v>0</v>
      </c>
      <c r="T61" s="80"/>
      <c r="U61" s="80"/>
    </row>
    <row r="62" customFormat="false" ht="15" hidden="false" customHeight="false" outlineLevel="0" collapsed="false">
      <c r="B62" s="66" t="str">
        <f aca="false">IF(OR($E62="",$F62=""),"","PO-"&amp;TEXT($E62,"yyyymmdd")&amp;"-"&amp;TEXT(COUNTIFS($E$6:$E62,$E62,$C$6:$C62,$C62),"000"))</f>
        <v/>
      </c>
      <c r="C62" s="130"/>
      <c r="D62" s="66" t="str">
        <f aca="false">IFERROR(INDEX(定数マスタ!$C$6:$C$105,MATCH($C62,定数マスタ!$B$6:$B$105,0)),"")</f>
        <v/>
      </c>
      <c r="E62" s="131"/>
      <c r="F62" s="130"/>
      <c r="G62" s="66" t="str">
        <f aca="false">IFERROR(INDEX(商品マスタ!$C$6:$C$1005,MATCH($F62,商品マスタ!$B$6:$B$1005,0)),"")</f>
        <v/>
      </c>
      <c r="H62" s="66" t="str">
        <f aca="false">IFERROR(INDEX(商品マスタ!$E$6:$E$1005,MATCH($F62,商品マスタ!$B$6:$B$1005,0)),"")</f>
        <v/>
      </c>
      <c r="I62" s="69" t="str">
        <f aca="false">IFERROR(INDEX(商品マスタ!$F$6:$F$1005,MATCH($F62,商品マスタ!$B$6:$B$1005,0)),"")</f>
        <v/>
      </c>
      <c r="J62" s="69" t="str">
        <f aca="false">IF(OR($F62="",$C62&lt;&gt;'設定（最初に1回）'!$C$4),"",IFERROR(INDEX(発注計算!$Y$6:$Y$405,MATCH($F62,発注計算!$C$6:$C$405,0)),""))</f>
        <v/>
      </c>
      <c r="K62" s="70"/>
      <c r="L62" s="69" t="str">
        <f aca="false">IF($K62="","",N($K62)*N($I62))</f>
        <v/>
      </c>
      <c r="M62" s="71" t="str">
        <f aca="false">IFERROR(INDEX(商品マスタ!$G$6:$G$1005,MATCH($F62,商品マスタ!$B$6:$B$1005,0)),"")</f>
        <v/>
      </c>
      <c r="N62" s="71" t="str">
        <f aca="false">IF($K62="","",N($K62)*N($M62))</f>
        <v/>
      </c>
      <c r="O62" s="66" t="str">
        <f aca="false">IFERROR(INDEX(商品マスタ!$H$6:$H$1005,MATCH($F62,商品マスタ!$B$6:$B$1005,0)),"")</f>
        <v/>
      </c>
      <c r="P62" s="87" t="str">
        <f aca="false">IF(OR($E62="",$O62=""),"",WORKDAY($E62,$O62))</f>
        <v/>
      </c>
      <c r="Q62" s="80"/>
      <c r="R62" s="131"/>
      <c r="S62" s="69" t="n">
        <f aca="false">IF($Q62="入荷済み",N($L62),0)</f>
        <v>0</v>
      </c>
      <c r="T62" s="80"/>
      <c r="U62" s="80"/>
    </row>
    <row r="63" customFormat="false" ht="15" hidden="false" customHeight="false" outlineLevel="0" collapsed="false">
      <c r="B63" s="66" t="str">
        <f aca="false">IF(OR($E63="",$F63=""),"","PO-"&amp;TEXT($E63,"yyyymmdd")&amp;"-"&amp;TEXT(COUNTIFS($E$6:$E63,$E63,$C$6:$C63,$C63),"000"))</f>
        <v/>
      </c>
      <c r="C63" s="130"/>
      <c r="D63" s="66" t="str">
        <f aca="false">IFERROR(INDEX(定数マスタ!$C$6:$C$105,MATCH($C63,定数マスタ!$B$6:$B$105,0)),"")</f>
        <v/>
      </c>
      <c r="E63" s="131"/>
      <c r="F63" s="130"/>
      <c r="G63" s="66" t="str">
        <f aca="false">IFERROR(INDEX(商品マスタ!$C$6:$C$1005,MATCH($F63,商品マスタ!$B$6:$B$1005,0)),"")</f>
        <v/>
      </c>
      <c r="H63" s="66" t="str">
        <f aca="false">IFERROR(INDEX(商品マスタ!$E$6:$E$1005,MATCH($F63,商品マスタ!$B$6:$B$1005,0)),"")</f>
        <v/>
      </c>
      <c r="I63" s="69" t="str">
        <f aca="false">IFERROR(INDEX(商品マスタ!$F$6:$F$1005,MATCH($F63,商品マスタ!$B$6:$B$1005,0)),"")</f>
        <v/>
      </c>
      <c r="J63" s="69" t="str">
        <f aca="false">IF(OR($F63="",$C63&lt;&gt;'設定（最初に1回）'!$C$4),"",IFERROR(INDEX(発注計算!$Y$6:$Y$405,MATCH($F63,発注計算!$C$6:$C$405,0)),""))</f>
        <v/>
      </c>
      <c r="K63" s="70"/>
      <c r="L63" s="69" t="str">
        <f aca="false">IF($K63="","",N($K63)*N($I63))</f>
        <v/>
      </c>
      <c r="M63" s="71" t="str">
        <f aca="false">IFERROR(INDEX(商品マスタ!$G$6:$G$1005,MATCH($F63,商品マスタ!$B$6:$B$1005,0)),"")</f>
        <v/>
      </c>
      <c r="N63" s="71" t="str">
        <f aca="false">IF($K63="","",N($K63)*N($M63))</f>
        <v/>
      </c>
      <c r="O63" s="66" t="str">
        <f aca="false">IFERROR(INDEX(商品マスタ!$H$6:$H$1005,MATCH($F63,商品マスタ!$B$6:$B$1005,0)),"")</f>
        <v/>
      </c>
      <c r="P63" s="87" t="str">
        <f aca="false">IF(OR($E63="",$O63=""),"",WORKDAY($E63,$O63))</f>
        <v/>
      </c>
      <c r="Q63" s="80"/>
      <c r="R63" s="131"/>
      <c r="S63" s="69" t="n">
        <f aca="false">IF($Q63="入荷済み",N($L63),0)</f>
        <v>0</v>
      </c>
      <c r="T63" s="80"/>
      <c r="U63" s="80"/>
    </row>
    <row r="64" customFormat="false" ht="15" hidden="false" customHeight="false" outlineLevel="0" collapsed="false">
      <c r="B64" s="66" t="str">
        <f aca="false">IF(OR($E64="",$F64=""),"","PO-"&amp;TEXT($E64,"yyyymmdd")&amp;"-"&amp;TEXT(COUNTIFS($E$6:$E64,$E64,$C$6:$C64,$C64),"000"))</f>
        <v/>
      </c>
      <c r="C64" s="130"/>
      <c r="D64" s="66" t="str">
        <f aca="false">IFERROR(INDEX(定数マスタ!$C$6:$C$105,MATCH($C64,定数マスタ!$B$6:$B$105,0)),"")</f>
        <v/>
      </c>
      <c r="E64" s="131"/>
      <c r="F64" s="130"/>
      <c r="G64" s="66" t="str">
        <f aca="false">IFERROR(INDEX(商品マスタ!$C$6:$C$1005,MATCH($F64,商品マスタ!$B$6:$B$1005,0)),"")</f>
        <v/>
      </c>
      <c r="H64" s="66" t="str">
        <f aca="false">IFERROR(INDEX(商品マスタ!$E$6:$E$1005,MATCH($F64,商品マスタ!$B$6:$B$1005,0)),"")</f>
        <v/>
      </c>
      <c r="I64" s="69" t="str">
        <f aca="false">IFERROR(INDEX(商品マスタ!$F$6:$F$1005,MATCH($F64,商品マスタ!$B$6:$B$1005,0)),"")</f>
        <v/>
      </c>
      <c r="J64" s="69" t="str">
        <f aca="false">IF(OR($F64="",$C64&lt;&gt;'設定（最初に1回）'!$C$4),"",IFERROR(INDEX(発注計算!$Y$6:$Y$405,MATCH($F64,発注計算!$C$6:$C$405,0)),""))</f>
        <v/>
      </c>
      <c r="K64" s="70"/>
      <c r="L64" s="69" t="str">
        <f aca="false">IF($K64="","",N($K64)*N($I64))</f>
        <v/>
      </c>
      <c r="M64" s="71" t="str">
        <f aca="false">IFERROR(INDEX(商品マスタ!$G$6:$G$1005,MATCH($F64,商品マスタ!$B$6:$B$1005,0)),"")</f>
        <v/>
      </c>
      <c r="N64" s="71" t="str">
        <f aca="false">IF($K64="","",N($K64)*N($M64))</f>
        <v/>
      </c>
      <c r="O64" s="66" t="str">
        <f aca="false">IFERROR(INDEX(商品マスタ!$H$6:$H$1005,MATCH($F64,商品マスタ!$B$6:$B$1005,0)),"")</f>
        <v/>
      </c>
      <c r="P64" s="87" t="str">
        <f aca="false">IF(OR($E64="",$O64=""),"",WORKDAY($E64,$O64))</f>
        <v/>
      </c>
      <c r="Q64" s="80"/>
      <c r="R64" s="131"/>
      <c r="S64" s="69" t="n">
        <f aca="false">IF($Q64="入荷済み",N($L64),0)</f>
        <v>0</v>
      </c>
      <c r="T64" s="80"/>
      <c r="U64" s="80"/>
    </row>
    <row r="65" customFormat="false" ht="15" hidden="false" customHeight="false" outlineLevel="0" collapsed="false">
      <c r="B65" s="66" t="str">
        <f aca="false">IF(OR($E65="",$F65=""),"","PO-"&amp;TEXT($E65,"yyyymmdd")&amp;"-"&amp;TEXT(COUNTIFS($E$6:$E65,$E65,$C$6:$C65,$C65),"000"))</f>
        <v/>
      </c>
      <c r="C65" s="130"/>
      <c r="D65" s="66" t="str">
        <f aca="false">IFERROR(INDEX(定数マスタ!$C$6:$C$105,MATCH($C65,定数マスタ!$B$6:$B$105,0)),"")</f>
        <v/>
      </c>
      <c r="E65" s="131"/>
      <c r="F65" s="130"/>
      <c r="G65" s="66" t="str">
        <f aca="false">IFERROR(INDEX(商品マスタ!$C$6:$C$1005,MATCH($F65,商品マスタ!$B$6:$B$1005,0)),"")</f>
        <v/>
      </c>
      <c r="H65" s="66" t="str">
        <f aca="false">IFERROR(INDEX(商品マスタ!$E$6:$E$1005,MATCH($F65,商品マスタ!$B$6:$B$1005,0)),"")</f>
        <v/>
      </c>
      <c r="I65" s="69" t="str">
        <f aca="false">IFERROR(INDEX(商品マスタ!$F$6:$F$1005,MATCH($F65,商品マスタ!$B$6:$B$1005,0)),"")</f>
        <v/>
      </c>
      <c r="J65" s="69" t="str">
        <f aca="false">IF(OR($F65="",$C65&lt;&gt;'設定（最初に1回）'!$C$4),"",IFERROR(INDEX(発注計算!$Y$6:$Y$405,MATCH($F65,発注計算!$C$6:$C$405,0)),""))</f>
        <v/>
      </c>
      <c r="K65" s="70"/>
      <c r="L65" s="69" t="str">
        <f aca="false">IF($K65="","",N($K65)*N($I65))</f>
        <v/>
      </c>
      <c r="M65" s="71" t="str">
        <f aca="false">IFERROR(INDEX(商品マスタ!$G$6:$G$1005,MATCH($F65,商品マスタ!$B$6:$B$1005,0)),"")</f>
        <v/>
      </c>
      <c r="N65" s="71" t="str">
        <f aca="false">IF($K65="","",N($K65)*N($M65))</f>
        <v/>
      </c>
      <c r="O65" s="66" t="str">
        <f aca="false">IFERROR(INDEX(商品マスタ!$H$6:$H$1005,MATCH($F65,商品マスタ!$B$6:$B$1005,0)),"")</f>
        <v/>
      </c>
      <c r="P65" s="87" t="str">
        <f aca="false">IF(OR($E65="",$O65=""),"",WORKDAY($E65,$O65))</f>
        <v/>
      </c>
      <c r="Q65" s="80"/>
      <c r="R65" s="131"/>
      <c r="S65" s="69" t="n">
        <f aca="false">IF($Q65="入荷済み",N($L65),0)</f>
        <v>0</v>
      </c>
      <c r="T65" s="80"/>
      <c r="U65" s="80"/>
    </row>
    <row r="66" customFormat="false" ht="15" hidden="false" customHeight="false" outlineLevel="0" collapsed="false">
      <c r="B66" s="66" t="str">
        <f aca="false">IF(OR($E66="",$F66=""),"","PO-"&amp;TEXT($E66,"yyyymmdd")&amp;"-"&amp;TEXT(COUNTIFS($E$6:$E66,$E66,$C$6:$C66,$C66),"000"))</f>
        <v/>
      </c>
      <c r="C66" s="130"/>
      <c r="D66" s="66" t="str">
        <f aca="false">IFERROR(INDEX(定数マスタ!$C$6:$C$105,MATCH($C66,定数マスタ!$B$6:$B$105,0)),"")</f>
        <v/>
      </c>
      <c r="E66" s="131"/>
      <c r="F66" s="130"/>
      <c r="G66" s="66" t="str">
        <f aca="false">IFERROR(INDEX(商品マスタ!$C$6:$C$1005,MATCH($F66,商品マスタ!$B$6:$B$1005,0)),"")</f>
        <v/>
      </c>
      <c r="H66" s="66" t="str">
        <f aca="false">IFERROR(INDEX(商品マスタ!$E$6:$E$1005,MATCH($F66,商品マスタ!$B$6:$B$1005,0)),"")</f>
        <v/>
      </c>
      <c r="I66" s="69" t="str">
        <f aca="false">IFERROR(INDEX(商品マスタ!$F$6:$F$1005,MATCH($F66,商品マスタ!$B$6:$B$1005,0)),"")</f>
        <v/>
      </c>
      <c r="J66" s="69" t="str">
        <f aca="false">IF(OR($F66="",$C66&lt;&gt;'設定（最初に1回）'!$C$4),"",IFERROR(INDEX(発注計算!$Y$6:$Y$405,MATCH($F66,発注計算!$C$6:$C$405,0)),""))</f>
        <v/>
      </c>
      <c r="K66" s="70"/>
      <c r="L66" s="69" t="str">
        <f aca="false">IF($K66="","",N($K66)*N($I66))</f>
        <v/>
      </c>
      <c r="M66" s="71" t="str">
        <f aca="false">IFERROR(INDEX(商品マスタ!$G$6:$G$1005,MATCH($F66,商品マスタ!$B$6:$B$1005,0)),"")</f>
        <v/>
      </c>
      <c r="N66" s="71" t="str">
        <f aca="false">IF($K66="","",N($K66)*N($M66))</f>
        <v/>
      </c>
      <c r="O66" s="66" t="str">
        <f aca="false">IFERROR(INDEX(商品マスタ!$H$6:$H$1005,MATCH($F66,商品マスタ!$B$6:$B$1005,0)),"")</f>
        <v/>
      </c>
      <c r="P66" s="87" t="str">
        <f aca="false">IF(OR($E66="",$O66=""),"",WORKDAY($E66,$O66))</f>
        <v/>
      </c>
      <c r="Q66" s="80"/>
      <c r="R66" s="131"/>
      <c r="S66" s="69" t="n">
        <f aca="false">IF($Q66="入荷済み",N($L66),0)</f>
        <v>0</v>
      </c>
      <c r="T66" s="80"/>
      <c r="U66" s="80"/>
    </row>
    <row r="67" customFormat="false" ht="15" hidden="false" customHeight="false" outlineLevel="0" collapsed="false">
      <c r="B67" s="66" t="str">
        <f aca="false">IF(OR($E67="",$F67=""),"","PO-"&amp;TEXT($E67,"yyyymmdd")&amp;"-"&amp;TEXT(COUNTIFS($E$6:$E67,$E67,$C$6:$C67,$C67),"000"))</f>
        <v/>
      </c>
      <c r="C67" s="130"/>
      <c r="D67" s="66" t="str">
        <f aca="false">IFERROR(INDEX(定数マスタ!$C$6:$C$105,MATCH($C67,定数マスタ!$B$6:$B$105,0)),"")</f>
        <v/>
      </c>
      <c r="E67" s="131"/>
      <c r="F67" s="130"/>
      <c r="G67" s="66" t="str">
        <f aca="false">IFERROR(INDEX(商品マスタ!$C$6:$C$1005,MATCH($F67,商品マスタ!$B$6:$B$1005,0)),"")</f>
        <v/>
      </c>
      <c r="H67" s="66" t="str">
        <f aca="false">IFERROR(INDEX(商品マスタ!$E$6:$E$1005,MATCH($F67,商品マスタ!$B$6:$B$1005,0)),"")</f>
        <v/>
      </c>
      <c r="I67" s="69" t="str">
        <f aca="false">IFERROR(INDEX(商品マスタ!$F$6:$F$1005,MATCH($F67,商品マスタ!$B$6:$B$1005,0)),"")</f>
        <v/>
      </c>
      <c r="J67" s="69" t="str">
        <f aca="false">IF(OR($F67="",$C67&lt;&gt;'設定（最初に1回）'!$C$4),"",IFERROR(INDEX(発注計算!$Y$6:$Y$405,MATCH($F67,発注計算!$C$6:$C$405,0)),""))</f>
        <v/>
      </c>
      <c r="K67" s="70"/>
      <c r="L67" s="69" t="str">
        <f aca="false">IF($K67="","",N($K67)*N($I67))</f>
        <v/>
      </c>
      <c r="M67" s="71" t="str">
        <f aca="false">IFERROR(INDEX(商品マスタ!$G$6:$G$1005,MATCH($F67,商品マスタ!$B$6:$B$1005,0)),"")</f>
        <v/>
      </c>
      <c r="N67" s="71" t="str">
        <f aca="false">IF($K67="","",N($K67)*N($M67))</f>
        <v/>
      </c>
      <c r="O67" s="66" t="str">
        <f aca="false">IFERROR(INDEX(商品マスタ!$H$6:$H$1005,MATCH($F67,商品マスタ!$B$6:$B$1005,0)),"")</f>
        <v/>
      </c>
      <c r="P67" s="87" t="str">
        <f aca="false">IF(OR($E67="",$O67=""),"",WORKDAY($E67,$O67))</f>
        <v/>
      </c>
      <c r="Q67" s="80"/>
      <c r="R67" s="131"/>
      <c r="S67" s="69" t="n">
        <f aca="false">IF($Q67="入荷済み",N($L67),0)</f>
        <v>0</v>
      </c>
      <c r="T67" s="80"/>
      <c r="U67" s="80"/>
    </row>
    <row r="68" customFormat="false" ht="15" hidden="false" customHeight="false" outlineLevel="0" collapsed="false">
      <c r="B68" s="66" t="str">
        <f aca="false">IF(OR($E68="",$F68=""),"","PO-"&amp;TEXT($E68,"yyyymmdd")&amp;"-"&amp;TEXT(COUNTIFS($E$6:$E68,$E68,$C$6:$C68,$C68),"000"))</f>
        <v/>
      </c>
      <c r="C68" s="130"/>
      <c r="D68" s="66" t="str">
        <f aca="false">IFERROR(INDEX(定数マスタ!$C$6:$C$105,MATCH($C68,定数マスタ!$B$6:$B$105,0)),"")</f>
        <v/>
      </c>
      <c r="E68" s="131"/>
      <c r="F68" s="130"/>
      <c r="G68" s="66" t="str">
        <f aca="false">IFERROR(INDEX(商品マスタ!$C$6:$C$1005,MATCH($F68,商品マスタ!$B$6:$B$1005,0)),"")</f>
        <v/>
      </c>
      <c r="H68" s="66" t="str">
        <f aca="false">IFERROR(INDEX(商品マスタ!$E$6:$E$1005,MATCH($F68,商品マスタ!$B$6:$B$1005,0)),"")</f>
        <v/>
      </c>
      <c r="I68" s="69" t="str">
        <f aca="false">IFERROR(INDEX(商品マスタ!$F$6:$F$1005,MATCH($F68,商品マスタ!$B$6:$B$1005,0)),"")</f>
        <v/>
      </c>
      <c r="J68" s="69" t="str">
        <f aca="false">IF(OR($F68="",$C68&lt;&gt;'設定（最初に1回）'!$C$4),"",IFERROR(INDEX(発注計算!$Y$6:$Y$405,MATCH($F68,発注計算!$C$6:$C$405,0)),""))</f>
        <v/>
      </c>
      <c r="K68" s="70"/>
      <c r="L68" s="69" t="str">
        <f aca="false">IF($K68="","",N($K68)*N($I68))</f>
        <v/>
      </c>
      <c r="M68" s="71" t="str">
        <f aca="false">IFERROR(INDEX(商品マスタ!$G$6:$G$1005,MATCH($F68,商品マスタ!$B$6:$B$1005,0)),"")</f>
        <v/>
      </c>
      <c r="N68" s="71" t="str">
        <f aca="false">IF($K68="","",N($K68)*N($M68))</f>
        <v/>
      </c>
      <c r="O68" s="66" t="str">
        <f aca="false">IFERROR(INDEX(商品マスタ!$H$6:$H$1005,MATCH($F68,商品マスタ!$B$6:$B$1005,0)),"")</f>
        <v/>
      </c>
      <c r="P68" s="87" t="str">
        <f aca="false">IF(OR($E68="",$O68=""),"",WORKDAY($E68,$O68))</f>
        <v/>
      </c>
      <c r="Q68" s="80"/>
      <c r="R68" s="131"/>
      <c r="S68" s="69" t="n">
        <f aca="false">IF($Q68="入荷済み",N($L68),0)</f>
        <v>0</v>
      </c>
      <c r="T68" s="80"/>
      <c r="U68" s="80"/>
    </row>
    <row r="69" customFormat="false" ht="15" hidden="false" customHeight="false" outlineLevel="0" collapsed="false">
      <c r="B69" s="66" t="str">
        <f aca="false">IF(OR($E69="",$F69=""),"","PO-"&amp;TEXT($E69,"yyyymmdd")&amp;"-"&amp;TEXT(COUNTIFS($E$6:$E69,$E69,$C$6:$C69,$C69),"000"))</f>
        <v/>
      </c>
      <c r="C69" s="130"/>
      <c r="D69" s="66" t="str">
        <f aca="false">IFERROR(INDEX(定数マスタ!$C$6:$C$105,MATCH($C69,定数マスタ!$B$6:$B$105,0)),"")</f>
        <v/>
      </c>
      <c r="E69" s="131"/>
      <c r="F69" s="130"/>
      <c r="G69" s="66" t="str">
        <f aca="false">IFERROR(INDEX(商品マスタ!$C$6:$C$1005,MATCH($F69,商品マスタ!$B$6:$B$1005,0)),"")</f>
        <v/>
      </c>
      <c r="H69" s="66" t="str">
        <f aca="false">IFERROR(INDEX(商品マスタ!$E$6:$E$1005,MATCH($F69,商品マスタ!$B$6:$B$1005,0)),"")</f>
        <v/>
      </c>
      <c r="I69" s="69" t="str">
        <f aca="false">IFERROR(INDEX(商品マスタ!$F$6:$F$1005,MATCH($F69,商品マスタ!$B$6:$B$1005,0)),"")</f>
        <v/>
      </c>
      <c r="J69" s="69" t="str">
        <f aca="false">IF(OR($F69="",$C69&lt;&gt;'設定（最初に1回）'!$C$4),"",IFERROR(INDEX(発注計算!$Y$6:$Y$405,MATCH($F69,発注計算!$C$6:$C$405,0)),""))</f>
        <v/>
      </c>
      <c r="K69" s="70"/>
      <c r="L69" s="69" t="str">
        <f aca="false">IF($K69="","",N($K69)*N($I69))</f>
        <v/>
      </c>
      <c r="M69" s="71" t="str">
        <f aca="false">IFERROR(INDEX(商品マスタ!$G$6:$G$1005,MATCH($F69,商品マスタ!$B$6:$B$1005,0)),"")</f>
        <v/>
      </c>
      <c r="N69" s="71" t="str">
        <f aca="false">IF($K69="","",N($K69)*N($M69))</f>
        <v/>
      </c>
      <c r="O69" s="66" t="str">
        <f aca="false">IFERROR(INDEX(商品マスタ!$H$6:$H$1005,MATCH($F69,商品マスタ!$B$6:$B$1005,0)),"")</f>
        <v/>
      </c>
      <c r="P69" s="87" t="str">
        <f aca="false">IF(OR($E69="",$O69=""),"",WORKDAY($E69,$O69))</f>
        <v/>
      </c>
      <c r="Q69" s="80"/>
      <c r="R69" s="131"/>
      <c r="S69" s="69" t="n">
        <f aca="false">IF($Q69="入荷済み",N($L69),0)</f>
        <v>0</v>
      </c>
      <c r="T69" s="80"/>
      <c r="U69" s="80"/>
    </row>
    <row r="70" customFormat="false" ht="15" hidden="false" customHeight="false" outlineLevel="0" collapsed="false">
      <c r="B70" s="66" t="str">
        <f aca="false">IF(OR($E70="",$F70=""),"","PO-"&amp;TEXT($E70,"yyyymmdd")&amp;"-"&amp;TEXT(COUNTIFS($E$6:$E70,$E70,$C$6:$C70,$C70),"000"))</f>
        <v/>
      </c>
      <c r="C70" s="130"/>
      <c r="D70" s="66" t="str">
        <f aca="false">IFERROR(INDEX(定数マスタ!$C$6:$C$105,MATCH($C70,定数マスタ!$B$6:$B$105,0)),"")</f>
        <v/>
      </c>
      <c r="E70" s="131"/>
      <c r="F70" s="130"/>
      <c r="G70" s="66" t="str">
        <f aca="false">IFERROR(INDEX(商品マスタ!$C$6:$C$1005,MATCH($F70,商品マスタ!$B$6:$B$1005,0)),"")</f>
        <v/>
      </c>
      <c r="H70" s="66" t="str">
        <f aca="false">IFERROR(INDEX(商品マスタ!$E$6:$E$1005,MATCH($F70,商品マスタ!$B$6:$B$1005,0)),"")</f>
        <v/>
      </c>
      <c r="I70" s="69" t="str">
        <f aca="false">IFERROR(INDEX(商品マスタ!$F$6:$F$1005,MATCH($F70,商品マスタ!$B$6:$B$1005,0)),"")</f>
        <v/>
      </c>
      <c r="J70" s="69" t="str">
        <f aca="false">IF(OR($F70="",$C70&lt;&gt;'設定（最初に1回）'!$C$4),"",IFERROR(INDEX(発注計算!$Y$6:$Y$405,MATCH($F70,発注計算!$C$6:$C$405,0)),""))</f>
        <v/>
      </c>
      <c r="K70" s="70"/>
      <c r="L70" s="69" t="str">
        <f aca="false">IF($K70="","",N($K70)*N($I70))</f>
        <v/>
      </c>
      <c r="M70" s="71" t="str">
        <f aca="false">IFERROR(INDEX(商品マスタ!$G$6:$G$1005,MATCH($F70,商品マスタ!$B$6:$B$1005,0)),"")</f>
        <v/>
      </c>
      <c r="N70" s="71" t="str">
        <f aca="false">IF($K70="","",N($K70)*N($M70))</f>
        <v/>
      </c>
      <c r="O70" s="66" t="str">
        <f aca="false">IFERROR(INDEX(商品マスタ!$H$6:$H$1005,MATCH($F70,商品マスタ!$B$6:$B$1005,0)),"")</f>
        <v/>
      </c>
      <c r="P70" s="87" t="str">
        <f aca="false">IF(OR($E70="",$O70=""),"",WORKDAY($E70,$O70))</f>
        <v/>
      </c>
      <c r="Q70" s="80"/>
      <c r="R70" s="131"/>
      <c r="S70" s="69" t="n">
        <f aca="false">IF($Q70="入荷済み",N($L70),0)</f>
        <v>0</v>
      </c>
      <c r="T70" s="80"/>
      <c r="U70" s="80"/>
    </row>
    <row r="71" customFormat="false" ht="15" hidden="false" customHeight="false" outlineLevel="0" collapsed="false">
      <c r="B71" s="66" t="str">
        <f aca="false">IF(OR($E71="",$F71=""),"","PO-"&amp;TEXT($E71,"yyyymmdd")&amp;"-"&amp;TEXT(COUNTIFS($E$6:$E71,$E71,$C$6:$C71,$C71),"000"))</f>
        <v/>
      </c>
      <c r="C71" s="130"/>
      <c r="D71" s="66" t="str">
        <f aca="false">IFERROR(INDEX(定数マスタ!$C$6:$C$105,MATCH($C71,定数マスタ!$B$6:$B$105,0)),"")</f>
        <v/>
      </c>
      <c r="E71" s="131"/>
      <c r="F71" s="130"/>
      <c r="G71" s="66" t="str">
        <f aca="false">IFERROR(INDEX(商品マスタ!$C$6:$C$1005,MATCH($F71,商品マスタ!$B$6:$B$1005,0)),"")</f>
        <v/>
      </c>
      <c r="H71" s="66" t="str">
        <f aca="false">IFERROR(INDEX(商品マスタ!$E$6:$E$1005,MATCH($F71,商品マスタ!$B$6:$B$1005,0)),"")</f>
        <v/>
      </c>
      <c r="I71" s="69" t="str">
        <f aca="false">IFERROR(INDEX(商品マスタ!$F$6:$F$1005,MATCH($F71,商品マスタ!$B$6:$B$1005,0)),"")</f>
        <v/>
      </c>
      <c r="J71" s="69" t="str">
        <f aca="false">IF(OR($F71="",$C71&lt;&gt;'設定（最初に1回）'!$C$4),"",IFERROR(INDEX(発注計算!$Y$6:$Y$405,MATCH($F71,発注計算!$C$6:$C$405,0)),""))</f>
        <v/>
      </c>
      <c r="K71" s="70"/>
      <c r="L71" s="69" t="str">
        <f aca="false">IF($K71="","",N($K71)*N($I71))</f>
        <v/>
      </c>
      <c r="M71" s="71" t="str">
        <f aca="false">IFERROR(INDEX(商品マスタ!$G$6:$G$1005,MATCH($F71,商品マスタ!$B$6:$B$1005,0)),"")</f>
        <v/>
      </c>
      <c r="N71" s="71" t="str">
        <f aca="false">IF($K71="","",N($K71)*N($M71))</f>
        <v/>
      </c>
      <c r="O71" s="66" t="str">
        <f aca="false">IFERROR(INDEX(商品マスタ!$H$6:$H$1005,MATCH($F71,商品マスタ!$B$6:$B$1005,0)),"")</f>
        <v/>
      </c>
      <c r="P71" s="87" t="str">
        <f aca="false">IF(OR($E71="",$O71=""),"",WORKDAY($E71,$O71))</f>
        <v/>
      </c>
      <c r="Q71" s="80"/>
      <c r="R71" s="131"/>
      <c r="S71" s="69" t="n">
        <f aca="false">IF($Q71="入荷済み",N($L71),0)</f>
        <v>0</v>
      </c>
      <c r="T71" s="80"/>
      <c r="U71" s="80"/>
    </row>
    <row r="72" customFormat="false" ht="15" hidden="false" customHeight="false" outlineLevel="0" collapsed="false">
      <c r="B72" s="66" t="str">
        <f aca="false">IF(OR($E72="",$F72=""),"","PO-"&amp;TEXT($E72,"yyyymmdd")&amp;"-"&amp;TEXT(COUNTIFS($E$6:$E72,$E72,$C$6:$C72,$C72),"000"))</f>
        <v/>
      </c>
      <c r="C72" s="130"/>
      <c r="D72" s="66" t="str">
        <f aca="false">IFERROR(INDEX(定数マスタ!$C$6:$C$105,MATCH($C72,定数マスタ!$B$6:$B$105,0)),"")</f>
        <v/>
      </c>
      <c r="E72" s="131"/>
      <c r="F72" s="130"/>
      <c r="G72" s="66" t="str">
        <f aca="false">IFERROR(INDEX(商品マスタ!$C$6:$C$1005,MATCH($F72,商品マスタ!$B$6:$B$1005,0)),"")</f>
        <v/>
      </c>
      <c r="H72" s="66" t="str">
        <f aca="false">IFERROR(INDEX(商品マスタ!$E$6:$E$1005,MATCH($F72,商品マスタ!$B$6:$B$1005,0)),"")</f>
        <v/>
      </c>
      <c r="I72" s="69" t="str">
        <f aca="false">IFERROR(INDEX(商品マスタ!$F$6:$F$1005,MATCH($F72,商品マスタ!$B$6:$B$1005,0)),"")</f>
        <v/>
      </c>
      <c r="J72" s="69" t="str">
        <f aca="false">IF(OR($F72="",$C72&lt;&gt;'設定（最初に1回）'!$C$4),"",IFERROR(INDEX(発注計算!$Y$6:$Y$405,MATCH($F72,発注計算!$C$6:$C$405,0)),""))</f>
        <v/>
      </c>
      <c r="K72" s="70"/>
      <c r="L72" s="69" t="str">
        <f aca="false">IF($K72="","",N($K72)*N($I72))</f>
        <v/>
      </c>
      <c r="M72" s="71" t="str">
        <f aca="false">IFERROR(INDEX(商品マスタ!$G$6:$G$1005,MATCH($F72,商品マスタ!$B$6:$B$1005,0)),"")</f>
        <v/>
      </c>
      <c r="N72" s="71" t="str">
        <f aca="false">IF($K72="","",N($K72)*N($M72))</f>
        <v/>
      </c>
      <c r="O72" s="66" t="str">
        <f aca="false">IFERROR(INDEX(商品マスタ!$H$6:$H$1005,MATCH($F72,商品マスタ!$B$6:$B$1005,0)),"")</f>
        <v/>
      </c>
      <c r="P72" s="87" t="str">
        <f aca="false">IF(OR($E72="",$O72=""),"",WORKDAY($E72,$O72))</f>
        <v/>
      </c>
      <c r="Q72" s="80"/>
      <c r="R72" s="131"/>
      <c r="S72" s="69" t="n">
        <f aca="false">IF($Q72="入荷済み",N($L72),0)</f>
        <v>0</v>
      </c>
      <c r="T72" s="80"/>
      <c r="U72" s="80"/>
    </row>
    <row r="73" customFormat="false" ht="15" hidden="false" customHeight="false" outlineLevel="0" collapsed="false">
      <c r="B73" s="66" t="str">
        <f aca="false">IF(OR($E73="",$F73=""),"","PO-"&amp;TEXT($E73,"yyyymmdd")&amp;"-"&amp;TEXT(COUNTIFS($E$6:$E73,$E73,$C$6:$C73,$C73),"000"))</f>
        <v/>
      </c>
      <c r="C73" s="130"/>
      <c r="D73" s="66" t="str">
        <f aca="false">IFERROR(INDEX(定数マスタ!$C$6:$C$105,MATCH($C73,定数マスタ!$B$6:$B$105,0)),"")</f>
        <v/>
      </c>
      <c r="E73" s="131"/>
      <c r="F73" s="130"/>
      <c r="G73" s="66" t="str">
        <f aca="false">IFERROR(INDEX(商品マスタ!$C$6:$C$1005,MATCH($F73,商品マスタ!$B$6:$B$1005,0)),"")</f>
        <v/>
      </c>
      <c r="H73" s="66" t="str">
        <f aca="false">IFERROR(INDEX(商品マスタ!$E$6:$E$1005,MATCH($F73,商品マスタ!$B$6:$B$1005,0)),"")</f>
        <v/>
      </c>
      <c r="I73" s="69" t="str">
        <f aca="false">IFERROR(INDEX(商品マスタ!$F$6:$F$1005,MATCH($F73,商品マスタ!$B$6:$B$1005,0)),"")</f>
        <v/>
      </c>
      <c r="J73" s="69" t="str">
        <f aca="false">IF(OR($F73="",$C73&lt;&gt;'設定（最初に1回）'!$C$4),"",IFERROR(INDEX(発注計算!$Y$6:$Y$405,MATCH($F73,発注計算!$C$6:$C$405,0)),""))</f>
        <v/>
      </c>
      <c r="K73" s="70"/>
      <c r="L73" s="69" t="str">
        <f aca="false">IF($K73="","",N($K73)*N($I73))</f>
        <v/>
      </c>
      <c r="M73" s="71" t="str">
        <f aca="false">IFERROR(INDEX(商品マスタ!$G$6:$G$1005,MATCH($F73,商品マスタ!$B$6:$B$1005,0)),"")</f>
        <v/>
      </c>
      <c r="N73" s="71" t="str">
        <f aca="false">IF($K73="","",N($K73)*N($M73))</f>
        <v/>
      </c>
      <c r="O73" s="66" t="str">
        <f aca="false">IFERROR(INDEX(商品マスタ!$H$6:$H$1005,MATCH($F73,商品マスタ!$B$6:$B$1005,0)),"")</f>
        <v/>
      </c>
      <c r="P73" s="87" t="str">
        <f aca="false">IF(OR($E73="",$O73=""),"",WORKDAY($E73,$O73))</f>
        <v/>
      </c>
      <c r="Q73" s="80"/>
      <c r="R73" s="131"/>
      <c r="S73" s="69" t="n">
        <f aca="false">IF($Q73="入荷済み",N($L73),0)</f>
        <v>0</v>
      </c>
      <c r="T73" s="80"/>
      <c r="U73" s="80"/>
    </row>
    <row r="74" customFormat="false" ht="15" hidden="false" customHeight="false" outlineLevel="0" collapsed="false">
      <c r="B74" s="66" t="str">
        <f aca="false">IF(OR($E74="",$F74=""),"","PO-"&amp;TEXT($E74,"yyyymmdd")&amp;"-"&amp;TEXT(COUNTIFS($E$6:$E74,$E74,$C$6:$C74,$C74),"000"))</f>
        <v/>
      </c>
      <c r="C74" s="130"/>
      <c r="D74" s="66" t="str">
        <f aca="false">IFERROR(INDEX(定数マスタ!$C$6:$C$105,MATCH($C74,定数マスタ!$B$6:$B$105,0)),"")</f>
        <v/>
      </c>
      <c r="E74" s="131"/>
      <c r="F74" s="130"/>
      <c r="G74" s="66" t="str">
        <f aca="false">IFERROR(INDEX(商品マスタ!$C$6:$C$1005,MATCH($F74,商品マスタ!$B$6:$B$1005,0)),"")</f>
        <v/>
      </c>
      <c r="H74" s="66" t="str">
        <f aca="false">IFERROR(INDEX(商品マスタ!$E$6:$E$1005,MATCH($F74,商品マスタ!$B$6:$B$1005,0)),"")</f>
        <v/>
      </c>
      <c r="I74" s="69" t="str">
        <f aca="false">IFERROR(INDEX(商品マスタ!$F$6:$F$1005,MATCH($F74,商品マスタ!$B$6:$B$1005,0)),"")</f>
        <v/>
      </c>
      <c r="J74" s="69" t="str">
        <f aca="false">IF(OR($F74="",$C74&lt;&gt;'設定（最初に1回）'!$C$4),"",IFERROR(INDEX(発注計算!$Y$6:$Y$405,MATCH($F74,発注計算!$C$6:$C$405,0)),""))</f>
        <v/>
      </c>
      <c r="K74" s="70"/>
      <c r="L74" s="69" t="str">
        <f aca="false">IF($K74="","",N($K74)*N($I74))</f>
        <v/>
      </c>
      <c r="M74" s="71" t="str">
        <f aca="false">IFERROR(INDEX(商品マスタ!$G$6:$G$1005,MATCH($F74,商品マスタ!$B$6:$B$1005,0)),"")</f>
        <v/>
      </c>
      <c r="N74" s="71" t="str">
        <f aca="false">IF($K74="","",N($K74)*N($M74))</f>
        <v/>
      </c>
      <c r="O74" s="66" t="str">
        <f aca="false">IFERROR(INDEX(商品マスタ!$H$6:$H$1005,MATCH($F74,商品マスタ!$B$6:$B$1005,0)),"")</f>
        <v/>
      </c>
      <c r="P74" s="87" t="str">
        <f aca="false">IF(OR($E74="",$O74=""),"",WORKDAY($E74,$O74))</f>
        <v/>
      </c>
      <c r="Q74" s="80"/>
      <c r="R74" s="131"/>
      <c r="S74" s="69" t="n">
        <f aca="false">IF($Q74="入荷済み",N($L74),0)</f>
        <v>0</v>
      </c>
      <c r="T74" s="80"/>
      <c r="U74" s="80"/>
    </row>
    <row r="75" customFormat="false" ht="15" hidden="false" customHeight="false" outlineLevel="0" collapsed="false">
      <c r="B75" s="66" t="str">
        <f aca="false">IF(OR($E75="",$F75=""),"","PO-"&amp;TEXT($E75,"yyyymmdd")&amp;"-"&amp;TEXT(COUNTIFS($E$6:$E75,$E75,$C$6:$C75,$C75),"000"))</f>
        <v/>
      </c>
      <c r="C75" s="130"/>
      <c r="D75" s="66" t="str">
        <f aca="false">IFERROR(INDEX(定数マスタ!$C$6:$C$105,MATCH($C75,定数マスタ!$B$6:$B$105,0)),"")</f>
        <v/>
      </c>
      <c r="E75" s="131"/>
      <c r="F75" s="130"/>
      <c r="G75" s="66" t="str">
        <f aca="false">IFERROR(INDEX(商品マスタ!$C$6:$C$1005,MATCH($F75,商品マスタ!$B$6:$B$1005,0)),"")</f>
        <v/>
      </c>
      <c r="H75" s="66" t="str">
        <f aca="false">IFERROR(INDEX(商品マスタ!$E$6:$E$1005,MATCH($F75,商品マスタ!$B$6:$B$1005,0)),"")</f>
        <v/>
      </c>
      <c r="I75" s="69" t="str">
        <f aca="false">IFERROR(INDEX(商品マスタ!$F$6:$F$1005,MATCH($F75,商品マスタ!$B$6:$B$1005,0)),"")</f>
        <v/>
      </c>
      <c r="J75" s="69" t="str">
        <f aca="false">IF(OR($F75="",$C75&lt;&gt;'設定（最初に1回）'!$C$4),"",IFERROR(INDEX(発注計算!$Y$6:$Y$405,MATCH($F75,発注計算!$C$6:$C$405,0)),""))</f>
        <v/>
      </c>
      <c r="K75" s="70"/>
      <c r="L75" s="69" t="str">
        <f aca="false">IF($K75="","",N($K75)*N($I75))</f>
        <v/>
      </c>
      <c r="M75" s="71" t="str">
        <f aca="false">IFERROR(INDEX(商品マスタ!$G$6:$G$1005,MATCH($F75,商品マスタ!$B$6:$B$1005,0)),"")</f>
        <v/>
      </c>
      <c r="N75" s="71" t="str">
        <f aca="false">IF($K75="","",N($K75)*N($M75))</f>
        <v/>
      </c>
      <c r="O75" s="66" t="str">
        <f aca="false">IFERROR(INDEX(商品マスタ!$H$6:$H$1005,MATCH($F75,商品マスタ!$B$6:$B$1005,0)),"")</f>
        <v/>
      </c>
      <c r="P75" s="87" t="str">
        <f aca="false">IF(OR($E75="",$O75=""),"",WORKDAY($E75,$O75))</f>
        <v/>
      </c>
      <c r="Q75" s="80"/>
      <c r="R75" s="131"/>
      <c r="S75" s="69" t="n">
        <f aca="false">IF($Q75="入荷済み",N($L75),0)</f>
        <v>0</v>
      </c>
      <c r="T75" s="80"/>
      <c r="U75" s="80"/>
    </row>
    <row r="76" customFormat="false" ht="15" hidden="false" customHeight="false" outlineLevel="0" collapsed="false">
      <c r="B76" s="66" t="str">
        <f aca="false">IF(OR($E76="",$F76=""),"","PO-"&amp;TEXT($E76,"yyyymmdd")&amp;"-"&amp;TEXT(COUNTIFS($E$6:$E76,$E76,$C$6:$C76,$C76),"000"))</f>
        <v/>
      </c>
      <c r="C76" s="130"/>
      <c r="D76" s="66" t="str">
        <f aca="false">IFERROR(INDEX(定数マスタ!$C$6:$C$105,MATCH($C76,定数マスタ!$B$6:$B$105,0)),"")</f>
        <v/>
      </c>
      <c r="E76" s="131"/>
      <c r="F76" s="130"/>
      <c r="G76" s="66" t="str">
        <f aca="false">IFERROR(INDEX(商品マスタ!$C$6:$C$1005,MATCH($F76,商品マスタ!$B$6:$B$1005,0)),"")</f>
        <v/>
      </c>
      <c r="H76" s="66" t="str">
        <f aca="false">IFERROR(INDEX(商品マスタ!$E$6:$E$1005,MATCH($F76,商品マスタ!$B$6:$B$1005,0)),"")</f>
        <v/>
      </c>
      <c r="I76" s="69" t="str">
        <f aca="false">IFERROR(INDEX(商品マスタ!$F$6:$F$1005,MATCH($F76,商品マスタ!$B$6:$B$1005,0)),"")</f>
        <v/>
      </c>
      <c r="J76" s="69" t="str">
        <f aca="false">IF(OR($F76="",$C76&lt;&gt;'設定（最初に1回）'!$C$4),"",IFERROR(INDEX(発注計算!$Y$6:$Y$405,MATCH($F76,発注計算!$C$6:$C$405,0)),""))</f>
        <v/>
      </c>
      <c r="K76" s="70"/>
      <c r="L76" s="69" t="str">
        <f aca="false">IF($K76="","",N($K76)*N($I76))</f>
        <v/>
      </c>
      <c r="M76" s="71" t="str">
        <f aca="false">IFERROR(INDEX(商品マスタ!$G$6:$G$1005,MATCH($F76,商品マスタ!$B$6:$B$1005,0)),"")</f>
        <v/>
      </c>
      <c r="N76" s="71" t="str">
        <f aca="false">IF($K76="","",N($K76)*N($M76))</f>
        <v/>
      </c>
      <c r="O76" s="66" t="str">
        <f aca="false">IFERROR(INDEX(商品マスタ!$H$6:$H$1005,MATCH($F76,商品マスタ!$B$6:$B$1005,0)),"")</f>
        <v/>
      </c>
      <c r="P76" s="87" t="str">
        <f aca="false">IF(OR($E76="",$O76=""),"",WORKDAY($E76,$O76))</f>
        <v/>
      </c>
      <c r="Q76" s="80"/>
      <c r="R76" s="131"/>
      <c r="S76" s="69" t="n">
        <f aca="false">IF($Q76="入荷済み",N($L76),0)</f>
        <v>0</v>
      </c>
      <c r="T76" s="80"/>
      <c r="U76" s="80"/>
    </row>
    <row r="77" customFormat="false" ht="15" hidden="false" customHeight="false" outlineLevel="0" collapsed="false">
      <c r="B77" s="66" t="str">
        <f aca="false">IF(OR($E77="",$F77=""),"","PO-"&amp;TEXT($E77,"yyyymmdd")&amp;"-"&amp;TEXT(COUNTIFS($E$6:$E77,$E77,$C$6:$C77,$C77),"000"))</f>
        <v/>
      </c>
      <c r="C77" s="130"/>
      <c r="D77" s="66" t="str">
        <f aca="false">IFERROR(INDEX(定数マスタ!$C$6:$C$105,MATCH($C77,定数マスタ!$B$6:$B$105,0)),"")</f>
        <v/>
      </c>
      <c r="E77" s="131"/>
      <c r="F77" s="130"/>
      <c r="G77" s="66" t="str">
        <f aca="false">IFERROR(INDEX(商品マスタ!$C$6:$C$1005,MATCH($F77,商品マスタ!$B$6:$B$1005,0)),"")</f>
        <v/>
      </c>
      <c r="H77" s="66" t="str">
        <f aca="false">IFERROR(INDEX(商品マスタ!$E$6:$E$1005,MATCH($F77,商品マスタ!$B$6:$B$1005,0)),"")</f>
        <v/>
      </c>
      <c r="I77" s="69" t="str">
        <f aca="false">IFERROR(INDEX(商品マスタ!$F$6:$F$1005,MATCH($F77,商品マスタ!$B$6:$B$1005,0)),"")</f>
        <v/>
      </c>
      <c r="J77" s="69" t="str">
        <f aca="false">IF(OR($F77="",$C77&lt;&gt;'設定（最初に1回）'!$C$4),"",IFERROR(INDEX(発注計算!$Y$6:$Y$405,MATCH($F77,発注計算!$C$6:$C$405,0)),""))</f>
        <v/>
      </c>
      <c r="K77" s="70"/>
      <c r="L77" s="69" t="str">
        <f aca="false">IF($K77="","",N($K77)*N($I77))</f>
        <v/>
      </c>
      <c r="M77" s="71" t="str">
        <f aca="false">IFERROR(INDEX(商品マスタ!$G$6:$G$1005,MATCH($F77,商品マスタ!$B$6:$B$1005,0)),"")</f>
        <v/>
      </c>
      <c r="N77" s="71" t="str">
        <f aca="false">IF($K77="","",N($K77)*N($M77))</f>
        <v/>
      </c>
      <c r="O77" s="66" t="str">
        <f aca="false">IFERROR(INDEX(商品マスタ!$H$6:$H$1005,MATCH($F77,商品マスタ!$B$6:$B$1005,0)),"")</f>
        <v/>
      </c>
      <c r="P77" s="87" t="str">
        <f aca="false">IF(OR($E77="",$O77=""),"",WORKDAY($E77,$O77))</f>
        <v/>
      </c>
      <c r="Q77" s="80"/>
      <c r="R77" s="131"/>
      <c r="S77" s="69" t="n">
        <f aca="false">IF($Q77="入荷済み",N($L77),0)</f>
        <v>0</v>
      </c>
      <c r="T77" s="80"/>
      <c r="U77" s="80"/>
    </row>
    <row r="78" customFormat="false" ht="15" hidden="false" customHeight="false" outlineLevel="0" collapsed="false">
      <c r="B78" s="66" t="str">
        <f aca="false">IF(OR($E78="",$F78=""),"","PO-"&amp;TEXT($E78,"yyyymmdd")&amp;"-"&amp;TEXT(COUNTIFS($E$6:$E78,$E78,$C$6:$C78,$C78),"000"))</f>
        <v/>
      </c>
      <c r="C78" s="130"/>
      <c r="D78" s="66" t="str">
        <f aca="false">IFERROR(INDEX(定数マスタ!$C$6:$C$105,MATCH($C78,定数マスタ!$B$6:$B$105,0)),"")</f>
        <v/>
      </c>
      <c r="E78" s="131"/>
      <c r="F78" s="130"/>
      <c r="G78" s="66" t="str">
        <f aca="false">IFERROR(INDEX(商品マスタ!$C$6:$C$1005,MATCH($F78,商品マスタ!$B$6:$B$1005,0)),"")</f>
        <v/>
      </c>
      <c r="H78" s="66" t="str">
        <f aca="false">IFERROR(INDEX(商品マスタ!$E$6:$E$1005,MATCH($F78,商品マスタ!$B$6:$B$1005,0)),"")</f>
        <v/>
      </c>
      <c r="I78" s="69" t="str">
        <f aca="false">IFERROR(INDEX(商品マスタ!$F$6:$F$1005,MATCH($F78,商品マスタ!$B$6:$B$1005,0)),"")</f>
        <v/>
      </c>
      <c r="J78" s="69" t="str">
        <f aca="false">IF(OR($F78="",$C78&lt;&gt;'設定（最初に1回）'!$C$4),"",IFERROR(INDEX(発注計算!$Y$6:$Y$405,MATCH($F78,発注計算!$C$6:$C$405,0)),""))</f>
        <v/>
      </c>
      <c r="K78" s="70"/>
      <c r="L78" s="69" t="str">
        <f aca="false">IF($K78="","",N($K78)*N($I78))</f>
        <v/>
      </c>
      <c r="M78" s="71" t="str">
        <f aca="false">IFERROR(INDEX(商品マスタ!$G$6:$G$1005,MATCH($F78,商品マスタ!$B$6:$B$1005,0)),"")</f>
        <v/>
      </c>
      <c r="N78" s="71" t="str">
        <f aca="false">IF($K78="","",N($K78)*N($M78))</f>
        <v/>
      </c>
      <c r="O78" s="66" t="str">
        <f aca="false">IFERROR(INDEX(商品マスタ!$H$6:$H$1005,MATCH($F78,商品マスタ!$B$6:$B$1005,0)),"")</f>
        <v/>
      </c>
      <c r="P78" s="87" t="str">
        <f aca="false">IF(OR($E78="",$O78=""),"",WORKDAY($E78,$O78))</f>
        <v/>
      </c>
      <c r="Q78" s="80"/>
      <c r="R78" s="131"/>
      <c r="S78" s="69" t="n">
        <f aca="false">IF($Q78="入荷済み",N($L78),0)</f>
        <v>0</v>
      </c>
      <c r="T78" s="80"/>
      <c r="U78" s="80"/>
    </row>
    <row r="79" customFormat="false" ht="15" hidden="false" customHeight="false" outlineLevel="0" collapsed="false">
      <c r="B79" s="66" t="str">
        <f aca="false">IF(OR($E79="",$F79=""),"","PO-"&amp;TEXT($E79,"yyyymmdd")&amp;"-"&amp;TEXT(COUNTIFS($E$6:$E79,$E79,$C$6:$C79,$C79),"000"))</f>
        <v/>
      </c>
      <c r="C79" s="130"/>
      <c r="D79" s="66" t="str">
        <f aca="false">IFERROR(INDEX(定数マスタ!$C$6:$C$105,MATCH($C79,定数マスタ!$B$6:$B$105,0)),"")</f>
        <v/>
      </c>
      <c r="E79" s="131"/>
      <c r="F79" s="130"/>
      <c r="G79" s="66" t="str">
        <f aca="false">IFERROR(INDEX(商品マスタ!$C$6:$C$1005,MATCH($F79,商品マスタ!$B$6:$B$1005,0)),"")</f>
        <v/>
      </c>
      <c r="H79" s="66" t="str">
        <f aca="false">IFERROR(INDEX(商品マスタ!$E$6:$E$1005,MATCH($F79,商品マスタ!$B$6:$B$1005,0)),"")</f>
        <v/>
      </c>
      <c r="I79" s="69" t="str">
        <f aca="false">IFERROR(INDEX(商品マスタ!$F$6:$F$1005,MATCH($F79,商品マスタ!$B$6:$B$1005,0)),"")</f>
        <v/>
      </c>
      <c r="J79" s="69" t="str">
        <f aca="false">IF(OR($F79="",$C79&lt;&gt;'設定（最初に1回）'!$C$4),"",IFERROR(INDEX(発注計算!$Y$6:$Y$405,MATCH($F79,発注計算!$C$6:$C$405,0)),""))</f>
        <v/>
      </c>
      <c r="K79" s="70"/>
      <c r="L79" s="69" t="str">
        <f aca="false">IF($K79="","",N($K79)*N($I79))</f>
        <v/>
      </c>
      <c r="M79" s="71" t="str">
        <f aca="false">IFERROR(INDEX(商品マスタ!$G$6:$G$1005,MATCH($F79,商品マスタ!$B$6:$B$1005,0)),"")</f>
        <v/>
      </c>
      <c r="N79" s="71" t="str">
        <f aca="false">IF($K79="","",N($K79)*N($M79))</f>
        <v/>
      </c>
      <c r="O79" s="66" t="str">
        <f aca="false">IFERROR(INDEX(商品マスタ!$H$6:$H$1005,MATCH($F79,商品マスタ!$B$6:$B$1005,0)),"")</f>
        <v/>
      </c>
      <c r="P79" s="87" t="str">
        <f aca="false">IF(OR($E79="",$O79=""),"",WORKDAY($E79,$O79))</f>
        <v/>
      </c>
      <c r="Q79" s="80"/>
      <c r="R79" s="131"/>
      <c r="S79" s="69" t="n">
        <f aca="false">IF($Q79="入荷済み",N($L79),0)</f>
        <v>0</v>
      </c>
      <c r="T79" s="80"/>
      <c r="U79" s="80"/>
    </row>
    <row r="80" customFormat="false" ht="15" hidden="false" customHeight="false" outlineLevel="0" collapsed="false">
      <c r="B80" s="66" t="str">
        <f aca="false">IF(OR($E80="",$F80=""),"","PO-"&amp;TEXT($E80,"yyyymmdd")&amp;"-"&amp;TEXT(COUNTIFS($E$6:$E80,$E80,$C$6:$C80,$C80),"000"))</f>
        <v/>
      </c>
      <c r="C80" s="130"/>
      <c r="D80" s="66" t="str">
        <f aca="false">IFERROR(INDEX(定数マスタ!$C$6:$C$105,MATCH($C80,定数マスタ!$B$6:$B$105,0)),"")</f>
        <v/>
      </c>
      <c r="E80" s="131"/>
      <c r="F80" s="130"/>
      <c r="G80" s="66" t="str">
        <f aca="false">IFERROR(INDEX(商品マスタ!$C$6:$C$1005,MATCH($F80,商品マスタ!$B$6:$B$1005,0)),"")</f>
        <v/>
      </c>
      <c r="H80" s="66" t="str">
        <f aca="false">IFERROR(INDEX(商品マスタ!$E$6:$E$1005,MATCH($F80,商品マスタ!$B$6:$B$1005,0)),"")</f>
        <v/>
      </c>
      <c r="I80" s="69" t="str">
        <f aca="false">IFERROR(INDEX(商品マスタ!$F$6:$F$1005,MATCH($F80,商品マスタ!$B$6:$B$1005,0)),"")</f>
        <v/>
      </c>
      <c r="J80" s="69" t="str">
        <f aca="false">IF(OR($F80="",$C80&lt;&gt;'設定（最初に1回）'!$C$4),"",IFERROR(INDEX(発注計算!$Y$6:$Y$405,MATCH($F80,発注計算!$C$6:$C$405,0)),""))</f>
        <v/>
      </c>
      <c r="K80" s="70"/>
      <c r="L80" s="69" t="str">
        <f aca="false">IF($K80="","",N($K80)*N($I80))</f>
        <v/>
      </c>
      <c r="M80" s="71" t="str">
        <f aca="false">IFERROR(INDEX(商品マスタ!$G$6:$G$1005,MATCH($F80,商品マスタ!$B$6:$B$1005,0)),"")</f>
        <v/>
      </c>
      <c r="N80" s="71" t="str">
        <f aca="false">IF($K80="","",N($K80)*N($M80))</f>
        <v/>
      </c>
      <c r="O80" s="66" t="str">
        <f aca="false">IFERROR(INDEX(商品マスタ!$H$6:$H$1005,MATCH($F80,商品マスタ!$B$6:$B$1005,0)),"")</f>
        <v/>
      </c>
      <c r="P80" s="87" t="str">
        <f aca="false">IF(OR($E80="",$O80=""),"",WORKDAY($E80,$O80))</f>
        <v/>
      </c>
      <c r="Q80" s="80"/>
      <c r="R80" s="131"/>
      <c r="S80" s="69" t="n">
        <f aca="false">IF($Q80="入荷済み",N($L80),0)</f>
        <v>0</v>
      </c>
      <c r="T80" s="80"/>
      <c r="U80" s="80"/>
    </row>
    <row r="81" customFormat="false" ht="15" hidden="false" customHeight="false" outlineLevel="0" collapsed="false">
      <c r="B81" s="66" t="str">
        <f aca="false">IF(OR($E81="",$F81=""),"","PO-"&amp;TEXT($E81,"yyyymmdd")&amp;"-"&amp;TEXT(COUNTIFS($E$6:$E81,$E81,$C$6:$C81,$C81),"000"))</f>
        <v/>
      </c>
      <c r="C81" s="130"/>
      <c r="D81" s="66" t="str">
        <f aca="false">IFERROR(INDEX(定数マスタ!$C$6:$C$105,MATCH($C81,定数マスタ!$B$6:$B$105,0)),"")</f>
        <v/>
      </c>
      <c r="E81" s="131"/>
      <c r="F81" s="130"/>
      <c r="G81" s="66" t="str">
        <f aca="false">IFERROR(INDEX(商品マスタ!$C$6:$C$1005,MATCH($F81,商品マスタ!$B$6:$B$1005,0)),"")</f>
        <v/>
      </c>
      <c r="H81" s="66" t="str">
        <f aca="false">IFERROR(INDEX(商品マスタ!$E$6:$E$1005,MATCH($F81,商品マスタ!$B$6:$B$1005,0)),"")</f>
        <v/>
      </c>
      <c r="I81" s="69" t="str">
        <f aca="false">IFERROR(INDEX(商品マスタ!$F$6:$F$1005,MATCH($F81,商品マスタ!$B$6:$B$1005,0)),"")</f>
        <v/>
      </c>
      <c r="J81" s="69" t="str">
        <f aca="false">IF(OR($F81="",$C81&lt;&gt;'設定（最初に1回）'!$C$4),"",IFERROR(INDEX(発注計算!$Y$6:$Y$405,MATCH($F81,発注計算!$C$6:$C$405,0)),""))</f>
        <v/>
      </c>
      <c r="K81" s="70"/>
      <c r="L81" s="69" t="str">
        <f aca="false">IF($K81="","",N($K81)*N($I81))</f>
        <v/>
      </c>
      <c r="M81" s="71" t="str">
        <f aca="false">IFERROR(INDEX(商品マスタ!$G$6:$G$1005,MATCH($F81,商品マスタ!$B$6:$B$1005,0)),"")</f>
        <v/>
      </c>
      <c r="N81" s="71" t="str">
        <f aca="false">IF($K81="","",N($K81)*N($M81))</f>
        <v/>
      </c>
      <c r="O81" s="66" t="str">
        <f aca="false">IFERROR(INDEX(商品マスタ!$H$6:$H$1005,MATCH($F81,商品マスタ!$B$6:$B$1005,0)),"")</f>
        <v/>
      </c>
      <c r="P81" s="87" t="str">
        <f aca="false">IF(OR($E81="",$O81=""),"",WORKDAY($E81,$O81))</f>
        <v/>
      </c>
      <c r="Q81" s="80"/>
      <c r="R81" s="131"/>
      <c r="S81" s="69" t="n">
        <f aca="false">IF($Q81="入荷済み",N($L81),0)</f>
        <v>0</v>
      </c>
      <c r="T81" s="80"/>
      <c r="U81" s="80"/>
    </row>
    <row r="82" customFormat="false" ht="15" hidden="false" customHeight="false" outlineLevel="0" collapsed="false">
      <c r="B82" s="66" t="str">
        <f aca="false">IF(OR($E82="",$F82=""),"","PO-"&amp;TEXT($E82,"yyyymmdd")&amp;"-"&amp;TEXT(COUNTIFS($E$6:$E82,$E82,$C$6:$C82,$C82),"000"))</f>
        <v/>
      </c>
      <c r="C82" s="130"/>
      <c r="D82" s="66" t="str">
        <f aca="false">IFERROR(INDEX(定数マスタ!$C$6:$C$105,MATCH($C82,定数マスタ!$B$6:$B$105,0)),"")</f>
        <v/>
      </c>
      <c r="E82" s="131"/>
      <c r="F82" s="130"/>
      <c r="G82" s="66" t="str">
        <f aca="false">IFERROR(INDEX(商品マスタ!$C$6:$C$1005,MATCH($F82,商品マスタ!$B$6:$B$1005,0)),"")</f>
        <v/>
      </c>
      <c r="H82" s="66" t="str">
        <f aca="false">IFERROR(INDEX(商品マスタ!$E$6:$E$1005,MATCH($F82,商品マスタ!$B$6:$B$1005,0)),"")</f>
        <v/>
      </c>
      <c r="I82" s="69" t="str">
        <f aca="false">IFERROR(INDEX(商品マスタ!$F$6:$F$1005,MATCH($F82,商品マスタ!$B$6:$B$1005,0)),"")</f>
        <v/>
      </c>
      <c r="J82" s="69" t="str">
        <f aca="false">IF(OR($F82="",$C82&lt;&gt;'設定（最初に1回）'!$C$4),"",IFERROR(INDEX(発注計算!$Y$6:$Y$405,MATCH($F82,発注計算!$C$6:$C$405,0)),""))</f>
        <v/>
      </c>
      <c r="K82" s="70"/>
      <c r="L82" s="69" t="str">
        <f aca="false">IF($K82="","",N($K82)*N($I82))</f>
        <v/>
      </c>
      <c r="M82" s="71" t="str">
        <f aca="false">IFERROR(INDEX(商品マスタ!$G$6:$G$1005,MATCH($F82,商品マスタ!$B$6:$B$1005,0)),"")</f>
        <v/>
      </c>
      <c r="N82" s="71" t="str">
        <f aca="false">IF($K82="","",N($K82)*N($M82))</f>
        <v/>
      </c>
      <c r="O82" s="66" t="str">
        <f aca="false">IFERROR(INDEX(商品マスタ!$H$6:$H$1005,MATCH($F82,商品マスタ!$B$6:$B$1005,0)),"")</f>
        <v/>
      </c>
      <c r="P82" s="87" t="str">
        <f aca="false">IF(OR($E82="",$O82=""),"",WORKDAY($E82,$O82))</f>
        <v/>
      </c>
      <c r="Q82" s="80"/>
      <c r="R82" s="131"/>
      <c r="S82" s="69" t="n">
        <f aca="false">IF($Q82="入荷済み",N($L82),0)</f>
        <v>0</v>
      </c>
      <c r="T82" s="80"/>
      <c r="U82" s="80"/>
    </row>
    <row r="83" customFormat="false" ht="15" hidden="false" customHeight="false" outlineLevel="0" collapsed="false">
      <c r="B83" s="66" t="str">
        <f aca="false">IF(OR($E83="",$F83=""),"","PO-"&amp;TEXT($E83,"yyyymmdd")&amp;"-"&amp;TEXT(COUNTIFS($E$6:$E83,$E83,$C$6:$C83,$C83),"000"))</f>
        <v/>
      </c>
      <c r="C83" s="130"/>
      <c r="D83" s="66" t="str">
        <f aca="false">IFERROR(INDEX(定数マスタ!$C$6:$C$105,MATCH($C83,定数マスタ!$B$6:$B$105,0)),"")</f>
        <v/>
      </c>
      <c r="E83" s="131"/>
      <c r="F83" s="130"/>
      <c r="G83" s="66" t="str">
        <f aca="false">IFERROR(INDEX(商品マスタ!$C$6:$C$1005,MATCH($F83,商品マスタ!$B$6:$B$1005,0)),"")</f>
        <v/>
      </c>
      <c r="H83" s="66" t="str">
        <f aca="false">IFERROR(INDEX(商品マスタ!$E$6:$E$1005,MATCH($F83,商品マスタ!$B$6:$B$1005,0)),"")</f>
        <v/>
      </c>
      <c r="I83" s="69" t="str">
        <f aca="false">IFERROR(INDEX(商品マスタ!$F$6:$F$1005,MATCH($F83,商品マスタ!$B$6:$B$1005,0)),"")</f>
        <v/>
      </c>
      <c r="J83" s="69" t="str">
        <f aca="false">IF(OR($F83="",$C83&lt;&gt;'設定（最初に1回）'!$C$4),"",IFERROR(INDEX(発注計算!$Y$6:$Y$405,MATCH($F83,発注計算!$C$6:$C$405,0)),""))</f>
        <v/>
      </c>
      <c r="K83" s="70"/>
      <c r="L83" s="69" t="str">
        <f aca="false">IF($K83="","",N($K83)*N($I83))</f>
        <v/>
      </c>
      <c r="M83" s="71" t="str">
        <f aca="false">IFERROR(INDEX(商品マスタ!$G$6:$G$1005,MATCH($F83,商品マスタ!$B$6:$B$1005,0)),"")</f>
        <v/>
      </c>
      <c r="N83" s="71" t="str">
        <f aca="false">IF($K83="","",N($K83)*N($M83))</f>
        <v/>
      </c>
      <c r="O83" s="66" t="str">
        <f aca="false">IFERROR(INDEX(商品マスタ!$H$6:$H$1005,MATCH($F83,商品マスタ!$B$6:$B$1005,0)),"")</f>
        <v/>
      </c>
      <c r="P83" s="87" t="str">
        <f aca="false">IF(OR($E83="",$O83=""),"",WORKDAY($E83,$O83))</f>
        <v/>
      </c>
      <c r="Q83" s="80"/>
      <c r="R83" s="131"/>
      <c r="S83" s="69" t="n">
        <f aca="false">IF($Q83="入荷済み",N($L83),0)</f>
        <v>0</v>
      </c>
      <c r="T83" s="80"/>
      <c r="U83" s="80"/>
    </row>
    <row r="84" customFormat="false" ht="15" hidden="false" customHeight="false" outlineLevel="0" collapsed="false">
      <c r="B84" s="66" t="str">
        <f aca="false">IF(OR($E84="",$F84=""),"","PO-"&amp;TEXT($E84,"yyyymmdd")&amp;"-"&amp;TEXT(COUNTIFS($E$6:$E84,$E84,$C$6:$C84,$C84),"000"))</f>
        <v/>
      </c>
      <c r="C84" s="130"/>
      <c r="D84" s="66" t="str">
        <f aca="false">IFERROR(INDEX(定数マスタ!$C$6:$C$105,MATCH($C84,定数マスタ!$B$6:$B$105,0)),"")</f>
        <v/>
      </c>
      <c r="E84" s="131"/>
      <c r="F84" s="130"/>
      <c r="G84" s="66" t="str">
        <f aca="false">IFERROR(INDEX(商品マスタ!$C$6:$C$1005,MATCH($F84,商品マスタ!$B$6:$B$1005,0)),"")</f>
        <v/>
      </c>
      <c r="H84" s="66" t="str">
        <f aca="false">IFERROR(INDEX(商品マスタ!$E$6:$E$1005,MATCH($F84,商品マスタ!$B$6:$B$1005,0)),"")</f>
        <v/>
      </c>
      <c r="I84" s="69" t="str">
        <f aca="false">IFERROR(INDEX(商品マスタ!$F$6:$F$1005,MATCH($F84,商品マスタ!$B$6:$B$1005,0)),"")</f>
        <v/>
      </c>
      <c r="J84" s="69" t="str">
        <f aca="false">IF(OR($F84="",$C84&lt;&gt;'設定（最初に1回）'!$C$4),"",IFERROR(INDEX(発注計算!$Y$6:$Y$405,MATCH($F84,発注計算!$C$6:$C$405,0)),""))</f>
        <v/>
      </c>
      <c r="K84" s="70"/>
      <c r="L84" s="69" t="str">
        <f aca="false">IF($K84="","",N($K84)*N($I84))</f>
        <v/>
      </c>
      <c r="M84" s="71" t="str">
        <f aca="false">IFERROR(INDEX(商品マスタ!$G$6:$G$1005,MATCH($F84,商品マスタ!$B$6:$B$1005,0)),"")</f>
        <v/>
      </c>
      <c r="N84" s="71" t="str">
        <f aca="false">IF($K84="","",N($K84)*N($M84))</f>
        <v/>
      </c>
      <c r="O84" s="66" t="str">
        <f aca="false">IFERROR(INDEX(商品マスタ!$H$6:$H$1005,MATCH($F84,商品マスタ!$B$6:$B$1005,0)),"")</f>
        <v/>
      </c>
      <c r="P84" s="87" t="str">
        <f aca="false">IF(OR($E84="",$O84=""),"",WORKDAY($E84,$O84))</f>
        <v/>
      </c>
      <c r="Q84" s="80"/>
      <c r="R84" s="131"/>
      <c r="S84" s="69" t="n">
        <f aca="false">IF($Q84="入荷済み",N($L84),0)</f>
        <v>0</v>
      </c>
      <c r="T84" s="80"/>
      <c r="U84" s="80"/>
    </row>
    <row r="85" customFormat="false" ht="15" hidden="false" customHeight="false" outlineLevel="0" collapsed="false">
      <c r="B85" s="66" t="str">
        <f aca="false">IF(OR($E85="",$F85=""),"","PO-"&amp;TEXT($E85,"yyyymmdd")&amp;"-"&amp;TEXT(COUNTIFS($E$6:$E85,$E85,$C$6:$C85,$C85),"000"))</f>
        <v/>
      </c>
      <c r="C85" s="130"/>
      <c r="D85" s="66" t="str">
        <f aca="false">IFERROR(INDEX(定数マスタ!$C$6:$C$105,MATCH($C85,定数マスタ!$B$6:$B$105,0)),"")</f>
        <v/>
      </c>
      <c r="E85" s="131"/>
      <c r="F85" s="130"/>
      <c r="G85" s="66" t="str">
        <f aca="false">IFERROR(INDEX(商品マスタ!$C$6:$C$1005,MATCH($F85,商品マスタ!$B$6:$B$1005,0)),"")</f>
        <v/>
      </c>
      <c r="H85" s="66" t="str">
        <f aca="false">IFERROR(INDEX(商品マスタ!$E$6:$E$1005,MATCH($F85,商品マスタ!$B$6:$B$1005,0)),"")</f>
        <v/>
      </c>
      <c r="I85" s="69" t="str">
        <f aca="false">IFERROR(INDEX(商品マスタ!$F$6:$F$1005,MATCH($F85,商品マスタ!$B$6:$B$1005,0)),"")</f>
        <v/>
      </c>
      <c r="J85" s="69" t="str">
        <f aca="false">IF(OR($F85="",$C85&lt;&gt;'設定（最初に1回）'!$C$4),"",IFERROR(INDEX(発注計算!$Y$6:$Y$405,MATCH($F85,発注計算!$C$6:$C$405,0)),""))</f>
        <v/>
      </c>
      <c r="K85" s="70"/>
      <c r="L85" s="69" t="str">
        <f aca="false">IF($K85="","",N($K85)*N($I85))</f>
        <v/>
      </c>
      <c r="M85" s="71" t="str">
        <f aca="false">IFERROR(INDEX(商品マスタ!$G$6:$G$1005,MATCH($F85,商品マスタ!$B$6:$B$1005,0)),"")</f>
        <v/>
      </c>
      <c r="N85" s="71" t="str">
        <f aca="false">IF($K85="","",N($K85)*N($M85))</f>
        <v/>
      </c>
      <c r="O85" s="66" t="str">
        <f aca="false">IFERROR(INDEX(商品マスタ!$H$6:$H$1005,MATCH($F85,商品マスタ!$B$6:$B$1005,0)),"")</f>
        <v/>
      </c>
      <c r="P85" s="87" t="str">
        <f aca="false">IF(OR($E85="",$O85=""),"",WORKDAY($E85,$O85))</f>
        <v/>
      </c>
      <c r="Q85" s="80"/>
      <c r="R85" s="131"/>
      <c r="S85" s="69" t="n">
        <f aca="false">IF($Q85="入荷済み",N($L85),0)</f>
        <v>0</v>
      </c>
      <c r="T85" s="80"/>
      <c r="U85" s="80"/>
    </row>
    <row r="86" customFormat="false" ht="15" hidden="false" customHeight="false" outlineLevel="0" collapsed="false">
      <c r="B86" s="66" t="str">
        <f aca="false">IF(OR($E86="",$F86=""),"","PO-"&amp;TEXT($E86,"yyyymmdd")&amp;"-"&amp;TEXT(COUNTIFS($E$6:$E86,$E86,$C$6:$C86,$C86),"000"))</f>
        <v/>
      </c>
      <c r="C86" s="130"/>
      <c r="D86" s="66" t="str">
        <f aca="false">IFERROR(INDEX(定数マスタ!$C$6:$C$105,MATCH($C86,定数マスタ!$B$6:$B$105,0)),"")</f>
        <v/>
      </c>
      <c r="E86" s="131"/>
      <c r="F86" s="130"/>
      <c r="G86" s="66" t="str">
        <f aca="false">IFERROR(INDEX(商品マスタ!$C$6:$C$1005,MATCH($F86,商品マスタ!$B$6:$B$1005,0)),"")</f>
        <v/>
      </c>
      <c r="H86" s="66" t="str">
        <f aca="false">IFERROR(INDEX(商品マスタ!$E$6:$E$1005,MATCH($F86,商品マスタ!$B$6:$B$1005,0)),"")</f>
        <v/>
      </c>
      <c r="I86" s="69" t="str">
        <f aca="false">IFERROR(INDEX(商品マスタ!$F$6:$F$1005,MATCH($F86,商品マスタ!$B$6:$B$1005,0)),"")</f>
        <v/>
      </c>
      <c r="J86" s="69" t="str">
        <f aca="false">IF(OR($F86="",$C86&lt;&gt;'設定（最初に1回）'!$C$4),"",IFERROR(INDEX(発注計算!$Y$6:$Y$405,MATCH($F86,発注計算!$C$6:$C$405,0)),""))</f>
        <v/>
      </c>
      <c r="K86" s="70"/>
      <c r="L86" s="69" t="str">
        <f aca="false">IF($K86="","",N($K86)*N($I86))</f>
        <v/>
      </c>
      <c r="M86" s="71" t="str">
        <f aca="false">IFERROR(INDEX(商品マスタ!$G$6:$G$1005,MATCH($F86,商品マスタ!$B$6:$B$1005,0)),"")</f>
        <v/>
      </c>
      <c r="N86" s="71" t="str">
        <f aca="false">IF($K86="","",N($K86)*N($M86))</f>
        <v/>
      </c>
      <c r="O86" s="66" t="str">
        <f aca="false">IFERROR(INDEX(商品マスタ!$H$6:$H$1005,MATCH($F86,商品マスタ!$B$6:$B$1005,0)),"")</f>
        <v/>
      </c>
      <c r="P86" s="87" t="str">
        <f aca="false">IF(OR($E86="",$O86=""),"",WORKDAY($E86,$O86))</f>
        <v/>
      </c>
      <c r="Q86" s="80"/>
      <c r="R86" s="131"/>
      <c r="S86" s="69" t="n">
        <f aca="false">IF($Q86="入荷済み",N($L86),0)</f>
        <v>0</v>
      </c>
      <c r="T86" s="80"/>
      <c r="U86" s="80"/>
    </row>
    <row r="87" customFormat="false" ht="15" hidden="false" customHeight="false" outlineLevel="0" collapsed="false">
      <c r="B87" s="66" t="str">
        <f aca="false">IF(OR($E87="",$F87=""),"","PO-"&amp;TEXT($E87,"yyyymmdd")&amp;"-"&amp;TEXT(COUNTIFS($E$6:$E87,$E87,$C$6:$C87,$C87),"000"))</f>
        <v/>
      </c>
      <c r="C87" s="130"/>
      <c r="D87" s="66" t="str">
        <f aca="false">IFERROR(INDEX(定数マスタ!$C$6:$C$105,MATCH($C87,定数マスタ!$B$6:$B$105,0)),"")</f>
        <v/>
      </c>
      <c r="E87" s="131"/>
      <c r="F87" s="130"/>
      <c r="G87" s="66" t="str">
        <f aca="false">IFERROR(INDEX(商品マスタ!$C$6:$C$1005,MATCH($F87,商品マスタ!$B$6:$B$1005,0)),"")</f>
        <v/>
      </c>
      <c r="H87" s="66" t="str">
        <f aca="false">IFERROR(INDEX(商品マスタ!$E$6:$E$1005,MATCH($F87,商品マスタ!$B$6:$B$1005,0)),"")</f>
        <v/>
      </c>
      <c r="I87" s="69" t="str">
        <f aca="false">IFERROR(INDEX(商品マスタ!$F$6:$F$1005,MATCH($F87,商品マスタ!$B$6:$B$1005,0)),"")</f>
        <v/>
      </c>
      <c r="J87" s="69" t="str">
        <f aca="false">IF(OR($F87="",$C87&lt;&gt;'設定（最初に1回）'!$C$4),"",IFERROR(INDEX(発注計算!$Y$6:$Y$405,MATCH($F87,発注計算!$C$6:$C$405,0)),""))</f>
        <v/>
      </c>
      <c r="K87" s="70"/>
      <c r="L87" s="69" t="str">
        <f aca="false">IF($K87="","",N($K87)*N($I87))</f>
        <v/>
      </c>
      <c r="M87" s="71" t="str">
        <f aca="false">IFERROR(INDEX(商品マスタ!$G$6:$G$1005,MATCH($F87,商品マスタ!$B$6:$B$1005,0)),"")</f>
        <v/>
      </c>
      <c r="N87" s="71" t="str">
        <f aca="false">IF($K87="","",N($K87)*N($M87))</f>
        <v/>
      </c>
      <c r="O87" s="66" t="str">
        <f aca="false">IFERROR(INDEX(商品マスタ!$H$6:$H$1005,MATCH($F87,商品マスタ!$B$6:$B$1005,0)),"")</f>
        <v/>
      </c>
      <c r="P87" s="87" t="str">
        <f aca="false">IF(OR($E87="",$O87=""),"",WORKDAY($E87,$O87))</f>
        <v/>
      </c>
      <c r="Q87" s="80"/>
      <c r="R87" s="131"/>
      <c r="S87" s="69" t="n">
        <f aca="false">IF($Q87="入荷済み",N($L87),0)</f>
        <v>0</v>
      </c>
      <c r="T87" s="80"/>
      <c r="U87" s="80"/>
    </row>
    <row r="88" customFormat="false" ht="15" hidden="false" customHeight="false" outlineLevel="0" collapsed="false">
      <c r="B88" s="66" t="str">
        <f aca="false">IF(OR($E88="",$F88=""),"","PO-"&amp;TEXT($E88,"yyyymmdd")&amp;"-"&amp;TEXT(COUNTIFS($E$6:$E88,$E88,$C$6:$C88,$C88),"000"))</f>
        <v/>
      </c>
      <c r="C88" s="130"/>
      <c r="D88" s="66" t="str">
        <f aca="false">IFERROR(INDEX(定数マスタ!$C$6:$C$105,MATCH($C88,定数マスタ!$B$6:$B$105,0)),"")</f>
        <v/>
      </c>
      <c r="E88" s="131"/>
      <c r="F88" s="130"/>
      <c r="G88" s="66" t="str">
        <f aca="false">IFERROR(INDEX(商品マスタ!$C$6:$C$1005,MATCH($F88,商品マスタ!$B$6:$B$1005,0)),"")</f>
        <v/>
      </c>
      <c r="H88" s="66" t="str">
        <f aca="false">IFERROR(INDEX(商品マスタ!$E$6:$E$1005,MATCH($F88,商品マスタ!$B$6:$B$1005,0)),"")</f>
        <v/>
      </c>
      <c r="I88" s="69" t="str">
        <f aca="false">IFERROR(INDEX(商品マスタ!$F$6:$F$1005,MATCH($F88,商品マスタ!$B$6:$B$1005,0)),"")</f>
        <v/>
      </c>
      <c r="J88" s="69" t="str">
        <f aca="false">IF(OR($F88="",$C88&lt;&gt;'設定（最初に1回）'!$C$4),"",IFERROR(INDEX(発注計算!$Y$6:$Y$405,MATCH($F88,発注計算!$C$6:$C$405,0)),""))</f>
        <v/>
      </c>
      <c r="K88" s="70"/>
      <c r="L88" s="69" t="str">
        <f aca="false">IF($K88="","",N($K88)*N($I88))</f>
        <v/>
      </c>
      <c r="M88" s="71" t="str">
        <f aca="false">IFERROR(INDEX(商品マスタ!$G$6:$G$1005,MATCH($F88,商品マスタ!$B$6:$B$1005,0)),"")</f>
        <v/>
      </c>
      <c r="N88" s="71" t="str">
        <f aca="false">IF($K88="","",N($K88)*N($M88))</f>
        <v/>
      </c>
      <c r="O88" s="66" t="str">
        <f aca="false">IFERROR(INDEX(商品マスタ!$H$6:$H$1005,MATCH($F88,商品マスタ!$B$6:$B$1005,0)),"")</f>
        <v/>
      </c>
      <c r="P88" s="87" t="str">
        <f aca="false">IF(OR($E88="",$O88=""),"",WORKDAY($E88,$O88))</f>
        <v/>
      </c>
      <c r="Q88" s="80"/>
      <c r="R88" s="131"/>
      <c r="S88" s="69" t="n">
        <f aca="false">IF($Q88="入荷済み",N($L88),0)</f>
        <v>0</v>
      </c>
      <c r="T88" s="80"/>
      <c r="U88" s="80"/>
    </row>
    <row r="89" customFormat="false" ht="15" hidden="false" customHeight="false" outlineLevel="0" collapsed="false">
      <c r="B89" s="66" t="str">
        <f aca="false">IF(OR($E89="",$F89=""),"","PO-"&amp;TEXT($E89,"yyyymmdd")&amp;"-"&amp;TEXT(COUNTIFS($E$6:$E89,$E89,$C$6:$C89,$C89),"000"))</f>
        <v/>
      </c>
      <c r="C89" s="130"/>
      <c r="D89" s="66" t="str">
        <f aca="false">IFERROR(INDEX(定数マスタ!$C$6:$C$105,MATCH($C89,定数マスタ!$B$6:$B$105,0)),"")</f>
        <v/>
      </c>
      <c r="E89" s="131"/>
      <c r="F89" s="130"/>
      <c r="G89" s="66" t="str">
        <f aca="false">IFERROR(INDEX(商品マスタ!$C$6:$C$1005,MATCH($F89,商品マスタ!$B$6:$B$1005,0)),"")</f>
        <v/>
      </c>
      <c r="H89" s="66" t="str">
        <f aca="false">IFERROR(INDEX(商品マスタ!$E$6:$E$1005,MATCH($F89,商品マスタ!$B$6:$B$1005,0)),"")</f>
        <v/>
      </c>
      <c r="I89" s="69" t="str">
        <f aca="false">IFERROR(INDEX(商品マスタ!$F$6:$F$1005,MATCH($F89,商品マスタ!$B$6:$B$1005,0)),"")</f>
        <v/>
      </c>
      <c r="J89" s="69" t="str">
        <f aca="false">IF(OR($F89="",$C89&lt;&gt;'設定（最初に1回）'!$C$4),"",IFERROR(INDEX(発注計算!$Y$6:$Y$405,MATCH($F89,発注計算!$C$6:$C$405,0)),""))</f>
        <v/>
      </c>
      <c r="K89" s="70"/>
      <c r="L89" s="69" t="str">
        <f aca="false">IF($K89="","",N($K89)*N($I89))</f>
        <v/>
      </c>
      <c r="M89" s="71" t="str">
        <f aca="false">IFERROR(INDEX(商品マスタ!$G$6:$G$1005,MATCH($F89,商品マスタ!$B$6:$B$1005,0)),"")</f>
        <v/>
      </c>
      <c r="N89" s="71" t="str">
        <f aca="false">IF($K89="","",N($K89)*N($M89))</f>
        <v/>
      </c>
      <c r="O89" s="66" t="str">
        <f aca="false">IFERROR(INDEX(商品マスタ!$H$6:$H$1005,MATCH($F89,商品マスタ!$B$6:$B$1005,0)),"")</f>
        <v/>
      </c>
      <c r="P89" s="87" t="str">
        <f aca="false">IF(OR($E89="",$O89=""),"",WORKDAY($E89,$O89))</f>
        <v/>
      </c>
      <c r="Q89" s="80"/>
      <c r="R89" s="131"/>
      <c r="S89" s="69" t="n">
        <f aca="false">IF($Q89="入荷済み",N($L89),0)</f>
        <v>0</v>
      </c>
      <c r="T89" s="80"/>
      <c r="U89" s="80"/>
    </row>
    <row r="90" customFormat="false" ht="15" hidden="false" customHeight="false" outlineLevel="0" collapsed="false">
      <c r="B90" s="66" t="str">
        <f aca="false">IF(OR($E90="",$F90=""),"","PO-"&amp;TEXT($E90,"yyyymmdd")&amp;"-"&amp;TEXT(COUNTIFS($E$6:$E90,$E90,$C$6:$C90,$C90),"000"))</f>
        <v/>
      </c>
      <c r="C90" s="130"/>
      <c r="D90" s="66" t="str">
        <f aca="false">IFERROR(INDEX(定数マスタ!$C$6:$C$105,MATCH($C90,定数マスタ!$B$6:$B$105,0)),"")</f>
        <v/>
      </c>
      <c r="E90" s="131"/>
      <c r="F90" s="130"/>
      <c r="G90" s="66" t="str">
        <f aca="false">IFERROR(INDEX(商品マスタ!$C$6:$C$1005,MATCH($F90,商品マスタ!$B$6:$B$1005,0)),"")</f>
        <v/>
      </c>
      <c r="H90" s="66" t="str">
        <f aca="false">IFERROR(INDEX(商品マスタ!$E$6:$E$1005,MATCH($F90,商品マスタ!$B$6:$B$1005,0)),"")</f>
        <v/>
      </c>
      <c r="I90" s="69" t="str">
        <f aca="false">IFERROR(INDEX(商品マスタ!$F$6:$F$1005,MATCH($F90,商品マスタ!$B$6:$B$1005,0)),"")</f>
        <v/>
      </c>
      <c r="J90" s="69" t="str">
        <f aca="false">IF(OR($F90="",$C90&lt;&gt;'設定（最初に1回）'!$C$4),"",IFERROR(INDEX(発注計算!$Y$6:$Y$405,MATCH($F90,発注計算!$C$6:$C$405,0)),""))</f>
        <v/>
      </c>
      <c r="K90" s="70"/>
      <c r="L90" s="69" t="str">
        <f aca="false">IF($K90="","",N($K90)*N($I90))</f>
        <v/>
      </c>
      <c r="M90" s="71" t="str">
        <f aca="false">IFERROR(INDEX(商品マスタ!$G$6:$G$1005,MATCH($F90,商品マスタ!$B$6:$B$1005,0)),"")</f>
        <v/>
      </c>
      <c r="N90" s="71" t="str">
        <f aca="false">IF($K90="","",N($K90)*N($M90))</f>
        <v/>
      </c>
      <c r="O90" s="66" t="str">
        <f aca="false">IFERROR(INDEX(商品マスタ!$H$6:$H$1005,MATCH($F90,商品マスタ!$B$6:$B$1005,0)),"")</f>
        <v/>
      </c>
      <c r="P90" s="87" t="str">
        <f aca="false">IF(OR($E90="",$O90=""),"",WORKDAY($E90,$O90))</f>
        <v/>
      </c>
      <c r="Q90" s="80"/>
      <c r="R90" s="131"/>
      <c r="S90" s="69" t="n">
        <f aca="false">IF($Q90="入荷済み",N($L90),0)</f>
        <v>0</v>
      </c>
      <c r="T90" s="80"/>
      <c r="U90" s="80"/>
    </row>
    <row r="91" customFormat="false" ht="15" hidden="false" customHeight="false" outlineLevel="0" collapsed="false">
      <c r="B91" s="66" t="str">
        <f aca="false">IF(OR($E91="",$F91=""),"","PO-"&amp;TEXT($E91,"yyyymmdd")&amp;"-"&amp;TEXT(COUNTIFS($E$6:$E91,$E91,$C$6:$C91,$C91),"000"))</f>
        <v/>
      </c>
      <c r="C91" s="130"/>
      <c r="D91" s="66" t="str">
        <f aca="false">IFERROR(INDEX(定数マスタ!$C$6:$C$105,MATCH($C91,定数マスタ!$B$6:$B$105,0)),"")</f>
        <v/>
      </c>
      <c r="E91" s="131"/>
      <c r="F91" s="130"/>
      <c r="G91" s="66" t="str">
        <f aca="false">IFERROR(INDEX(商品マスタ!$C$6:$C$1005,MATCH($F91,商品マスタ!$B$6:$B$1005,0)),"")</f>
        <v/>
      </c>
      <c r="H91" s="66" t="str">
        <f aca="false">IFERROR(INDEX(商品マスタ!$E$6:$E$1005,MATCH($F91,商品マスタ!$B$6:$B$1005,0)),"")</f>
        <v/>
      </c>
      <c r="I91" s="69" t="str">
        <f aca="false">IFERROR(INDEX(商品マスタ!$F$6:$F$1005,MATCH($F91,商品マスタ!$B$6:$B$1005,0)),"")</f>
        <v/>
      </c>
      <c r="J91" s="69" t="str">
        <f aca="false">IF(OR($F91="",$C91&lt;&gt;'設定（最初に1回）'!$C$4),"",IFERROR(INDEX(発注計算!$Y$6:$Y$405,MATCH($F91,発注計算!$C$6:$C$405,0)),""))</f>
        <v/>
      </c>
      <c r="K91" s="70"/>
      <c r="L91" s="69" t="str">
        <f aca="false">IF($K91="","",N($K91)*N($I91))</f>
        <v/>
      </c>
      <c r="M91" s="71" t="str">
        <f aca="false">IFERROR(INDEX(商品マスタ!$G$6:$G$1005,MATCH($F91,商品マスタ!$B$6:$B$1005,0)),"")</f>
        <v/>
      </c>
      <c r="N91" s="71" t="str">
        <f aca="false">IF($K91="","",N($K91)*N($M91))</f>
        <v/>
      </c>
      <c r="O91" s="66" t="str">
        <f aca="false">IFERROR(INDEX(商品マスタ!$H$6:$H$1005,MATCH($F91,商品マスタ!$B$6:$B$1005,0)),"")</f>
        <v/>
      </c>
      <c r="P91" s="87" t="str">
        <f aca="false">IF(OR($E91="",$O91=""),"",WORKDAY($E91,$O91))</f>
        <v/>
      </c>
      <c r="Q91" s="80"/>
      <c r="R91" s="131"/>
      <c r="S91" s="69" t="n">
        <f aca="false">IF($Q91="入荷済み",N($L91),0)</f>
        <v>0</v>
      </c>
      <c r="T91" s="80"/>
      <c r="U91" s="80"/>
    </row>
    <row r="92" customFormat="false" ht="15" hidden="false" customHeight="false" outlineLevel="0" collapsed="false">
      <c r="B92" s="66" t="str">
        <f aca="false">IF(OR($E92="",$F92=""),"","PO-"&amp;TEXT($E92,"yyyymmdd")&amp;"-"&amp;TEXT(COUNTIFS($E$6:$E92,$E92,$C$6:$C92,$C92),"000"))</f>
        <v/>
      </c>
      <c r="C92" s="130"/>
      <c r="D92" s="66" t="str">
        <f aca="false">IFERROR(INDEX(定数マスタ!$C$6:$C$105,MATCH($C92,定数マスタ!$B$6:$B$105,0)),"")</f>
        <v/>
      </c>
      <c r="E92" s="131"/>
      <c r="F92" s="130"/>
      <c r="G92" s="66" t="str">
        <f aca="false">IFERROR(INDEX(商品マスタ!$C$6:$C$1005,MATCH($F92,商品マスタ!$B$6:$B$1005,0)),"")</f>
        <v/>
      </c>
      <c r="H92" s="66" t="str">
        <f aca="false">IFERROR(INDEX(商品マスタ!$E$6:$E$1005,MATCH($F92,商品マスタ!$B$6:$B$1005,0)),"")</f>
        <v/>
      </c>
      <c r="I92" s="69" t="str">
        <f aca="false">IFERROR(INDEX(商品マスタ!$F$6:$F$1005,MATCH($F92,商品マスタ!$B$6:$B$1005,0)),"")</f>
        <v/>
      </c>
      <c r="J92" s="69" t="str">
        <f aca="false">IF(OR($F92="",$C92&lt;&gt;'設定（最初に1回）'!$C$4),"",IFERROR(INDEX(発注計算!$Y$6:$Y$405,MATCH($F92,発注計算!$C$6:$C$405,0)),""))</f>
        <v/>
      </c>
      <c r="K92" s="70"/>
      <c r="L92" s="69" t="str">
        <f aca="false">IF($K92="","",N($K92)*N($I92))</f>
        <v/>
      </c>
      <c r="M92" s="71" t="str">
        <f aca="false">IFERROR(INDEX(商品マスタ!$G$6:$G$1005,MATCH($F92,商品マスタ!$B$6:$B$1005,0)),"")</f>
        <v/>
      </c>
      <c r="N92" s="71" t="str">
        <f aca="false">IF($K92="","",N($K92)*N($M92))</f>
        <v/>
      </c>
      <c r="O92" s="66" t="str">
        <f aca="false">IFERROR(INDEX(商品マスタ!$H$6:$H$1005,MATCH($F92,商品マスタ!$B$6:$B$1005,0)),"")</f>
        <v/>
      </c>
      <c r="P92" s="87" t="str">
        <f aca="false">IF(OR($E92="",$O92=""),"",WORKDAY($E92,$O92))</f>
        <v/>
      </c>
      <c r="Q92" s="80"/>
      <c r="R92" s="131"/>
      <c r="S92" s="69" t="n">
        <f aca="false">IF($Q92="入荷済み",N($L92),0)</f>
        <v>0</v>
      </c>
      <c r="T92" s="80"/>
      <c r="U92" s="80"/>
    </row>
    <row r="93" customFormat="false" ht="15" hidden="false" customHeight="false" outlineLevel="0" collapsed="false">
      <c r="B93" s="66" t="str">
        <f aca="false">IF(OR($E93="",$F93=""),"","PO-"&amp;TEXT($E93,"yyyymmdd")&amp;"-"&amp;TEXT(COUNTIFS($E$6:$E93,$E93,$C$6:$C93,$C93),"000"))</f>
        <v/>
      </c>
      <c r="C93" s="130"/>
      <c r="D93" s="66" t="str">
        <f aca="false">IFERROR(INDEX(定数マスタ!$C$6:$C$105,MATCH($C93,定数マスタ!$B$6:$B$105,0)),"")</f>
        <v/>
      </c>
      <c r="E93" s="131"/>
      <c r="F93" s="130"/>
      <c r="G93" s="66" t="str">
        <f aca="false">IFERROR(INDEX(商品マスタ!$C$6:$C$1005,MATCH($F93,商品マスタ!$B$6:$B$1005,0)),"")</f>
        <v/>
      </c>
      <c r="H93" s="66" t="str">
        <f aca="false">IFERROR(INDEX(商品マスタ!$E$6:$E$1005,MATCH($F93,商品マスタ!$B$6:$B$1005,0)),"")</f>
        <v/>
      </c>
      <c r="I93" s="69" t="str">
        <f aca="false">IFERROR(INDEX(商品マスタ!$F$6:$F$1005,MATCH($F93,商品マスタ!$B$6:$B$1005,0)),"")</f>
        <v/>
      </c>
      <c r="J93" s="69" t="str">
        <f aca="false">IF(OR($F93="",$C93&lt;&gt;'設定（最初に1回）'!$C$4),"",IFERROR(INDEX(発注計算!$Y$6:$Y$405,MATCH($F93,発注計算!$C$6:$C$405,0)),""))</f>
        <v/>
      </c>
      <c r="K93" s="70"/>
      <c r="L93" s="69" t="str">
        <f aca="false">IF($K93="","",N($K93)*N($I93))</f>
        <v/>
      </c>
      <c r="M93" s="71" t="str">
        <f aca="false">IFERROR(INDEX(商品マスタ!$G$6:$G$1005,MATCH($F93,商品マスタ!$B$6:$B$1005,0)),"")</f>
        <v/>
      </c>
      <c r="N93" s="71" t="str">
        <f aca="false">IF($K93="","",N($K93)*N($M93))</f>
        <v/>
      </c>
      <c r="O93" s="66" t="str">
        <f aca="false">IFERROR(INDEX(商品マスタ!$H$6:$H$1005,MATCH($F93,商品マスタ!$B$6:$B$1005,0)),"")</f>
        <v/>
      </c>
      <c r="P93" s="87" t="str">
        <f aca="false">IF(OR($E93="",$O93=""),"",WORKDAY($E93,$O93))</f>
        <v/>
      </c>
      <c r="Q93" s="80"/>
      <c r="R93" s="131"/>
      <c r="S93" s="69" t="n">
        <f aca="false">IF($Q93="入荷済み",N($L93),0)</f>
        <v>0</v>
      </c>
      <c r="T93" s="80"/>
      <c r="U93" s="80"/>
    </row>
    <row r="94" customFormat="false" ht="15" hidden="false" customHeight="false" outlineLevel="0" collapsed="false">
      <c r="B94" s="66" t="str">
        <f aca="false">IF(OR($E94="",$F94=""),"","PO-"&amp;TEXT($E94,"yyyymmdd")&amp;"-"&amp;TEXT(COUNTIFS($E$6:$E94,$E94,$C$6:$C94,$C94),"000"))</f>
        <v/>
      </c>
      <c r="C94" s="130"/>
      <c r="D94" s="66" t="str">
        <f aca="false">IFERROR(INDEX(定数マスタ!$C$6:$C$105,MATCH($C94,定数マスタ!$B$6:$B$105,0)),"")</f>
        <v/>
      </c>
      <c r="E94" s="131"/>
      <c r="F94" s="130"/>
      <c r="G94" s="66" t="str">
        <f aca="false">IFERROR(INDEX(商品マスタ!$C$6:$C$1005,MATCH($F94,商品マスタ!$B$6:$B$1005,0)),"")</f>
        <v/>
      </c>
      <c r="H94" s="66" t="str">
        <f aca="false">IFERROR(INDEX(商品マスタ!$E$6:$E$1005,MATCH($F94,商品マスタ!$B$6:$B$1005,0)),"")</f>
        <v/>
      </c>
      <c r="I94" s="69" t="str">
        <f aca="false">IFERROR(INDEX(商品マスタ!$F$6:$F$1005,MATCH($F94,商品マスタ!$B$6:$B$1005,0)),"")</f>
        <v/>
      </c>
      <c r="J94" s="69" t="str">
        <f aca="false">IF(OR($F94="",$C94&lt;&gt;'設定（最初に1回）'!$C$4),"",IFERROR(INDEX(発注計算!$Y$6:$Y$405,MATCH($F94,発注計算!$C$6:$C$405,0)),""))</f>
        <v/>
      </c>
      <c r="K94" s="70"/>
      <c r="L94" s="69" t="str">
        <f aca="false">IF($K94="","",N($K94)*N($I94))</f>
        <v/>
      </c>
      <c r="M94" s="71" t="str">
        <f aca="false">IFERROR(INDEX(商品マスタ!$G$6:$G$1005,MATCH($F94,商品マスタ!$B$6:$B$1005,0)),"")</f>
        <v/>
      </c>
      <c r="N94" s="71" t="str">
        <f aca="false">IF($K94="","",N($K94)*N($M94))</f>
        <v/>
      </c>
      <c r="O94" s="66" t="str">
        <f aca="false">IFERROR(INDEX(商品マスタ!$H$6:$H$1005,MATCH($F94,商品マスタ!$B$6:$B$1005,0)),"")</f>
        <v/>
      </c>
      <c r="P94" s="87" t="str">
        <f aca="false">IF(OR($E94="",$O94=""),"",WORKDAY($E94,$O94))</f>
        <v/>
      </c>
      <c r="Q94" s="80"/>
      <c r="R94" s="131"/>
      <c r="S94" s="69" t="n">
        <f aca="false">IF($Q94="入荷済み",N($L94),0)</f>
        <v>0</v>
      </c>
      <c r="T94" s="80"/>
      <c r="U94" s="80"/>
    </row>
    <row r="95" customFormat="false" ht="15" hidden="false" customHeight="false" outlineLevel="0" collapsed="false">
      <c r="B95" s="66" t="str">
        <f aca="false">IF(OR($E95="",$F95=""),"","PO-"&amp;TEXT($E95,"yyyymmdd")&amp;"-"&amp;TEXT(COUNTIFS($E$6:$E95,$E95,$C$6:$C95,$C95),"000"))</f>
        <v/>
      </c>
      <c r="C95" s="130"/>
      <c r="D95" s="66" t="str">
        <f aca="false">IFERROR(INDEX(定数マスタ!$C$6:$C$105,MATCH($C95,定数マスタ!$B$6:$B$105,0)),"")</f>
        <v/>
      </c>
      <c r="E95" s="131"/>
      <c r="F95" s="130"/>
      <c r="G95" s="66" t="str">
        <f aca="false">IFERROR(INDEX(商品マスタ!$C$6:$C$1005,MATCH($F95,商品マスタ!$B$6:$B$1005,0)),"")</f>
        <v/>
      </c>
      <c r="H95" s="66" t="str">
        <f aca="false">IFERROR(INDEX(商品マスタ!$E$6:$E$1005,MATCH($F95,商品マスタ!$B$6:$B$1005,0)),"")</f>
        <v/>
      </c>
      <c r="I95" s="69" t="str">
        <f aca="false">IFERROR(INDEX(商品マスタ!$F$6:$F$1005,MATCH($F95,商品マスタ!$B$6:$B$1005,0)),"")</f>
        <v/>
      </c>
      <c r="J95" s="69" t="str">
        <f aca="false">IF(OR($F95="",$C95&lt;&gt;'設定（最初に1回）'!$C$4),"",IFERROR(INDEX(発注計算!$Y$6:$Y$405,MATCH($F95,発注計算!$C$6:$C$405,0)),""))</f>
        <v/>
      </c>
      <c r="K95" s="70"/>
      <c r="L95" s="69" t="str">
        <f aca="false">IF($K95="","",N($K95)*N($I95))</f>
        <v/>
      </c>
      <c r="M95" s="71" t="str">
        <f aca="false">IFERROR(INDEX(商品マスタ!$G$6:$G$1005,MATCH($F95,商品マスタ!$B$6:$B$1005,0)),"")</f>
        <v/>
      </c>
      <c r="N95" s="71" t="str">
        <f aca="false">IF($K95="","",N($K95)*N($M95))</f>
        <v/>
      </c>
      <c r="O95" s="66" t="str">
        <f aca="false">IFERROR(INDEX(商品マスタ!$H$6:$H$1005,MATCH($F95,商品マスタ!$B$6:$B$1005,0)),"")</f>
        <v/>
      </c>
      <c r="P95" s="87" t="str">
        <f aca="false">IF(OR($E95="",$O95=""),"",WORKDAY($E95,$O95))</f>
        <v/>
      </c>
      <c r="Q95" s="80"/>
      <c r="R95" s="131"/>
      <c r="S95" s="69" t="n">
        <f aca="false">IF($Q95="入荷済み",N($L95),0)</f>
        <v>0</v>
      </c>
      <c r="T95" s="80"/>
      <c r="U95" s="80"/>
    </row>
    <row r="96" customFormat="false" ht="15" hidden="false" customHeight="false" outlineLevel="0" collapsed="false">
      <c r="B96" s="66" t="str">
        <f aca="false">IF(OR($E96="",$F96=""),"","PO-"&amp;TEXT($E96,"yyyymmdd")&amp;"-"&amp;TEXT(COUNTIFS($E$6:$E96,$E96,$C$6:$C96,$C96),"000"))</f>
        <v/>
      </c>
      <c r="C96" s="130"/>
      <c r="D96" s="66" t="str">
        <f aca="false">IFERROR(INDEX(定数マスタ!$C$6:$C$105,MATCH($C96,定数マスタ!$B$6:$B$105,0)),"")</f>
        <v/>
      </c>
      <c r="E96" s="131"/>
      <c r="F96" s="130"/>
      <c r="G96" s="66" t="str">
        <f aca="false">IFERROR(INDEX(商品マスタ!$C$6:$C$1005,MATCH($F96,商品マスタ!$B$6:$B$1005,0)),"")</f>
        <v/>
      </c>
      <c r="H96" s="66" t="str">
        <f aca="false">IFERROR(INDEX(商品マスタ!$E$6:$E$1005,MATCH($F96,商品マスタ!$B$6:$B$1005,0)),"")</f>
        <v/>
      </c>
      <c r="I96" s="69" t="str">
        <f aca="false">IFERROR(INDEX(商品マスタ!$F$6:$F$1005,MATCH($F96,商品マスタ!$B$6:$B$1005,0)),"")</f>
        <v/>
      </c>
      <c r="J96" s="69" t="str">
        <f aca="false">IF(OR($F96="",$C96&lt;&gt;'設定（最初に1回）'!$C$4),"",IFERROR(INDEX(発注計算!$Y$6:$Y$405,MATCH($F96,発注計算!$C$6:$C$405,0)),""))</f>
        <v/>
      </c>
      <c r="K96" s="70"/>
      <c r="L96" s="69" t="str">
        <f aca="false">IF($K96="","",N($K96)*N($I96))</f>
        <v/>
      </c>
      <c r="M96" s="71" t="str">
        <f aca="false">IFERROR(INDEX(商品マスタ!$G$6:$G$1005,MATCH($F96,商品マスタ!$B$6:$B$1005,0)),"")</f>
        <v/>
      </c>
      <c r="N96" s="71" t="str">
        <f aca="false">IF($K96="","",N($K96)*N($M96))</f>
        <v/>
      </c>
      <c r="O96" s="66" t="str">
        <f aca="false">IFERROR(INDEX(商品マスタ!$H$6:$H$1005,MATCH($F96,商品マスタ!$B$6:$B$1005,0)),"")</f>
        <v/>
      </c>
      <c r="P96" s="87" t="str">
        <f aca="false">IF(OR($E96="",$O96=""),"",WORKDAY($E96,$O96))</f>
        <v/>
      </c>
      <c r="Q96" s="80"/>
      <c r="R96" s="131"/>
      <c r="S96" s="69" t="n">
        <f aca="false">IF($Q96="入荷済み",N($L96),0)</f>
        <v>0</v>
      </c>
      <c r="T96" s="80"/>
      <c r="U96" s="80"/>
    </row>
    <row r="97" customFormat="false" ht="15" hidden="false" customHeight="false" outlineLevel="0" collapsed="false">
      <c r="B97" s="66" t="str">
        <f aca="false">IF(OR($E97="",$F97=""),"","PO-"&amp;TEXT($E97,"yyyymmdd")&amp;"-"&amp;TEXT(COUNTIFS($E$6:$E97,$E97,$C$6:$C97,$C97),"000"))</f>
        <v/>
      </c>
      <c r="C97" s="130"/>
      <c r="D97" s="66" t="str">
        <f aca="false">IFERROR(INDEX(定数マスタ!$C$6:$C$105,MATCH($C97,定数マスタ!$B$6:$B$105,0)),"")</f>
        <v/>
      </c>
      <c r="E97" s="131"/>
      <c r="F97" s="130"/>
      <c r="G97" s="66" t="str">
        <f aca="false">IFERROR(INDEX(商品マスタ!$C$6:$C$1005,MATCH($F97,商品マスタ!$B$6:$B$1005,0)),"")</f>
        <v/>
      </c>
      <c r="H97" s="66" t="str">
        <f aca="false">IFERROR(INDEX(商品マスタ!$E$6:$E$1005,MATCH($F97,商品マスタ!$B$6:$B$1005,0)),"")</f>
        <v/>
      </c>
      <c r="I97" s="69" t="str">
        <f aca="false">IFERROR(INDEX(商品マスタ!$F$6:$F$1005,MATCH($F97,商品マスタ!$B$6:$B$1005,0)),"")</f>
        <v/>
      </c>
      <c r="J97" s="69" t="str">
        <f aca="false">IF(OR($F97="",$C97&lt;&gt;'設定（最初に1回）'!$C$4),"",IFERROR(INDEX(発注計算!$Y$6:$Y$405,MATCH($F97,発注計算!$C$6:$C$405,0)),""))</f>
        <v/>
      </c>
      <c r="K97" s="70"/>
      <c r="L97" s="69" t="str">
        <f aca="false">IF($K97="","",N($K97)*N($I97))</f>
        <v/>
      </c>
      <c r="M97" s="71" t="str">
        <f aca="false">IFERROR(INDEX(商品マスタ!$G$6:$G$1005,MATCH($F97,商品マスタ!$B$6:$B$1005,0)),"")</f>
        <v/>
      </c>
      <c r="N97" s="71" t="str">
        <f aca="false">IF($K97="","",N($K97)*N($M97))</f>
        <v/>
      </c>
      <c r="O97" s="66" t="str">
        <f aca="false">IFERROR(INDEX(商品マスタ!$H$6:$H$1005,MATCH($F97,商品マスタ!$B$6:$B$1005,0)),"")</f>
        <v/>
      </c>
      <c r="P97" s="87" t="str">
        <f aca="false">IF(OR($E97="",$O97=""),"",WORKDAY($E97,$O97))</f>
        <v/>
      </c>
      <c r="Q97" s="80"/>
      <c r="R97" s="131"/>
      <c r="S97" s="69" t="n">
        <f aca="false">IF($Q97="入荷済み",N($L97),0)</f>
        <v>0</v>
      </c>
      <c r="T97" s="80"/>
      <c r="U97" s="80"/>
    </row>
    <row r="98" customFormat="false" ht="15" hidden="false" customHeight="false" outlineLevel="0" collapsed="false">
      <c r="B98" s="66" t="str">
        <f aca="false">IF(OR($E98="",$F98=""),"","PO-"&amp;TEXT($E98,"yyyymmdd")&amp;"-"&amp;TEXT(COUNTIFS($E$6:$E98,$E98,$C$6:$C98,$C98),"000"))</f>
        <v/>
      </c>
      <c r="C98" s="130"/>
      <c r="D98" s="66" t="str">
        <f aca="false">IFERROR(INDEX(定数マスタ!$C$6:$C$105,MATCH($C98,定数マスタ!$B$6:$B$105,0)),"")</f>
        <v/>
      </c>
      <c r="E98" s="131"/>
      <c r="F98" s="130"/>
      <c r="G98" s="66" t="str">
        <f aca="false">IFERROR(INDEX(商品マスタ!$C$6:$C$1005,MATCH($F98,商品マスタ!$B$6:$B$1005,0)),"")</f>
        <v/>
      </c>
      <c r="H98" s="66" t="str">
        <f aca="false">IFERROR(INDEX(商品マスタ!$E$6:$E$1005,MATCH($F98,商品マスタ!$B$6:$B$1005,0)),"")</f>
        <v/>
      </c>
      <c r="I98" s="69" t="str">
        <f aca="false">IFERROR(INDEX(商品マスタ!$F$6:$F$1005,MATCH($F98,商品マスタ!$B$6:$B$1005,0)),"")</f>
        <v/>
      </c>
      <c r="J98" s="69" t="str">
        <f aca="false">IF(OR($F98="",$C98&lt;&gt;'設定（最初に1回）'!$C$4),"",IFERROR(INDEX(発注計算!$Y$6:$Y$405,MATCH($F98,発注計算!$C$6:$C$405,0)),""))</f>
        <v/>
      </c>
      <c r="K98" s="70"/>
      <c r="L98" s="69" t="str">
        <f aca="false">IF($K98="","",N($K98)*N($I98))</f>
        <v/>
      </c>
      <c r="M98" s="71" t="str">
        <f aca="false">IFERROR(INDEX(商品マスタ!$G$6:$G$1005,MATCH($F98,商品マスタ!$B$6:$B$1005,0)),"")</f>
        <v/>
      </c>
      <c r="N98" s="71" t="str">
        <f aca="false">IF($K98="","",N($K98)*N($M98))</f>
        <v/>
      </c>
      <c r="O98" s="66" t="str">
        <f aca="false">IFERROR(INDEX(商品マスタ!$H$6:$H$1005,MATCH($F98,商品マスタ!$B$6:$B$1005,0)),"")</f>
        <v/>
      </c>
      <c r="P98" s="87" t="str">
        <f aca="false">IF(OR($E98="",$O98=""),"",WORKDAY($E98,$O98))</f>
        <v/>
      </c>
      <c r="Q98" s="80"/>
      <c r="R98" s="131"/>
      <c r="S98" s="69" t="n">
        <f aca="false">IF($Q98="入荷済み",N($L98),0)</f>
        <v>0</v>
      </c>
      <c r="T98" s="80"/>
      <c r="U98" s="80"/>
    </row>
    <row r="99" customFormat="false" ht="15" hidden="false" customHeight="false" outlineLevel="0" collapsed="false">
      <c r="B99" s="66" t="str">
        <f aca="false">IF(OR($E99="",$F99=""),"","PO-"&amp;TEXT($E99,"yyyymmdd")&amp;"-"&amp;TEXT(COUNTIFS($E$6:$E99,$E99,$C$6:$C99,$C99),"000"))</f>
        <v/>
      </c>
      <c r="C99" s="130"/>
      <c r="D99" s="66" t="str">
        <f aca="false">IFERROR(INDEX(定数マスタ!$C$6:$C$105,MATCH($C99,定数マスタ!$B$6:$B$105,0)),"")</f>
        <v/>
      </c>
      <c r="E99" s="131"/>
      <c r="F99" s="130"/>
      <c r="G99" s="66" t="str">
        <f aca="false">IFERROR(INDEX(商品マスタ!$C$6:$C$1005,MATCH($F99,商品マスタ!$B$6:$B$1005,0)),"")</f>
        <v/>
      </c>
      <c r="H99" s="66" t="str">
        <f aca="false">IFERROR(INDEX(商品マスタ!$E$6:$E$1005,MATCH($F99,商品マスタ!$B$6:$B$1005,0)),"")</f>
        <v/>
      </c>
      <c r="I99" s="69" t="str">
        <f aca="false">IFERROR(INDEX(商品マスタ!$F$6:$F$1005,MATCH($F99,商品マスタ!$B$6:$B$1005,0)),"")</f>
        <v/>
      </c>
      <c r="J99" s="69" t="str">
        <f aca="false">IF(OR($F99="",$C99&lt;&gt;'設定（最初に1回）'!$C$4),"",IFERROR(INDEX(発注計算!$Y$6:$Y$405,MATCH($F99,発注計算!$C$6:$C$405,0)),""))</f>
        <v/>
      </c>
      <c r="K99" s="70"/>
      <c r="L99" s="69" t="str">
        <f aca="false">IF($K99="","",N($K99)*N($I99))</f>
        <v/>
      </c>
      <c r="M99" s="71" t="str">
        <f aca="false">IFERROR(INDEX(商品マスタ!$G$6:$G$1005,MATCH($F99,商品マスタ!$B$6:$B$1005,0)),"")</f>
        <v/>
      </c>
      <c r="N99" s="71" t="str">
        <f aca="false">IF($K99="","",N($K99)*N($M99))</f>
        <v/>
      </c>
      <c r="O99" s="66" t="str">
        <f aca="false">IFERROR(INDEX(商品マスタ!$H$6:$H$1005,MATCH($F99,商品マスタ!$B$6:$B$1005,0)),"")</f>
        <v/>
      </c>
      <c r="P99" s="87" t="str">
        <f aca="false">IF(OR($E99="",$O99=""),"",WORKDAY($E99,$O99))</f>
        <v/>
      </c>
      <c r="Q99" s="80"/>
      <c r="R99" s="131"/>
      <c r="S99" s="69" t="n">
        <f aca="false">IF($Q99="入荷済み",N($L99),0)</f>
        <v>0</v>
      </c>
      <c r="T99" s="80"/>
      <c r="U99" s="80"/>
    </row>
    <row r="100" customFormat="false" ht="15" hidden="false" customHeight="false" outlineLevel="0" collapsed="false">
      <c r="B100" s="66" t="str">
        <f aca="false">IF(OR($E100="",$F100=""),"","PO-"&amp;TEXT($E100,"yyyymmdd")&amp;"-"&amp;TEXT(COUNTIFS($E$6:$E100,$E100,$C$6:$C100,$C100),"000"))</f>
        <v/>
      </c>
      <c r="C100" s="130"/>
      <c r="D100" s="66" t="str">
        <f aca="false">IFERROR(INDEX(定数マスタ!$C$6:$C$105,MATCH($C100,定数マスタ!$B$6:$B$105,0)),"")</f>
        <v/>
      </c>
      <c r="E100" s="131"/>
      <c r="F100" s="130"/>
      <c r="G100" s="66" t="str">
        <f aca="false">IFERROR(INDEX(商品マスタ!$C$6:$C$1005,MATCH($F100,商品マスタ!$B$6:$B$1005,0)),"")</f>
        <v/>
      </c>
      <c r="H100" s="66" t="str">
        <f aca="false">IFERROR(INDEX(商品マスタ!$E$6:$E$1005,MATCH($F100,商品マスタ!$B$6:$B$1005,0)),"")</f>
        <v/>
      </c>
      <c r="I100" s="69" t="str">
        <f aca="false">IFERROR(INDEX(商品マスタ!$F$6:$F$1005,MATCH($F100,商品マスタ!$B$6:$B$1005,0)),"")</f>
        <v/>
      </c>
      <c r="J100" s="69" t="str">
        <f aca="false">IF(OR($F100="",$C100&lt;&gt;'設定（最初に1回）'!$C$4),"",IFERROR(INDEX(発注計算!$Y$6:$Y$405,MATCH($F100,発注計算!$C$6:$C$405,0)),""))</f>
        <v/>
      </c>
      <c r="K100" s="70"/>
      <c r="L100" s="69" t="str">
        <f aca="false">IF($K100="","",N($K100)*N($I100))</f>
        <v/>
      </c>
      <c r="M100" s="71" t="str">
        <f aca="false">IFERROR(INDEX(商品マスタ!$G$6:$G$1005,MATCH($F100,商品マスタ!$B$6:$B$1005,0)),"")</f>
        <v/>
      </c>
      <c r="N100" s="71" t="str">
        <f aca="false">IF($K100="","",N($K100)*N($M100))</f>
        <v/>
      </c>
      <c r="O100" s="66" t="str">
        <f aca="false">IFERROR(INDEX(商品マスタ!$H$6:$H$1005,MATCH($F100,商品マスタ!$B$6:$B$1005,0)),"")</f>
        <v/>
      </c>
      <c r="P100" s="87" t="str">
        <f aca="false">IF(OR($E100="",$O100=""),"",WORKDAY($E100,$O100))</f>
        <v/>
      </c>
      <c r="Q100" s="80"/>
      <c r="R100" s="131"/>
      <c r="S100" s="69" t="n">
        <f aca="false">IF($Q100="入荷済み",N($L100),0)</f>
        <v>0</v>
      </c>
      <c r="T100" s="80"/>
      <c r="U100" s="80"/>
    </row>
    <row r="101" customFormat="false" ht="15" hidden="false" customHeight="false" outlineLevel="0" collapsed="false">
      <c r="B101" s="66" t="str">
        <f aca="false">IF(OR($E101="",$F101=""),"","PO-"&amp;TEXT($E101,"yyyymmdd")&amp;"-"&amp;TEXT(COUNTIFS($E$6:$E101,$E101,$C$6:$C101,$C101),"000"))</f>
        <v/>
      </c>
      <c r="C101" s="130"/>
      <c r="D101" s="66" t="str">
        <f aca="false">IFERROR(INDEX(定数マスタ!$C$6:$C$105,MATCH($C101,定数マスタ!$B$6:$B$105,0)),"")</f>
        <v/>
      </c>
      <c r="E101" s="131"/>
      <c r="F101" s="130"/>
      <c r="G101" s="66" t="str">
        <f aca="false">IFERROR(INDEX(商品マスタ!$C$6:$C$1005,MATCH($F101,商品マスタ!$B$6:$B$1005,0)),"")</f>
        <v/>
      </c>
      <c r="H101" s="66" t="str">
        <f aca="false">IFERROR(INDEX(商品マスタ!$E$6:$E$1005,MATCH($F101,商品マスタ!$B$6:$B$1005,0)),"")</f>
        <v/>
      </c>
      <c r="I101" s="69" t="str">
        <f aca="false">IFERROR(INDEX(商品マスタ!$F$6:$F$1005,MATCH($F101,商品マスタ!$B$6:$B$1005,0)),"")</f>
        <v/>
      </c>
      <c r="J101" s="69" t="str">
        <f aca="false">IF(OR($F101="",$C101&lt;&gt;'設定（最初に1回）'!$C$4),"",IFERROR(INDEX(発注計算!$Y$6:$Y$405,MATCH($F101,発注計算!$C$6:$C$405,0)),""))</f>
        <v/>
      </c>
      <c r="K101" s="70"/>
      <c r="L101" s="69" t="str">
        <f aca="false">IF($K101="","",N($K101)*N($I101))</f>
        <v/>
      </c>
      <c r="M101" s="71" t="str">
        <f aca="false">IFERROR(INDEX(商品マスタ!$G$6:$G$1005,MATCH($F101,商品マスタ!$B$6:$B$1005,0)),"")</f>
        <v/>
      </c>
      <c r="N101" s="71" t="str">
        <f aca="false">IF($K101="","",N($K101)*N($M101))</f>
        <v/>
      </c>
      <c r="O101" s="66" t="str">
        <f aca="false">IFERROR(INDEX(商品マスタ!$H$6:$H$1005,MATCH($F101,商品マスタ!$B$6:$B$1005,0)),"")</f>
        <v/>
      </c>
      <c r="P101" s="87" t="str">
        <f aca="false">IF(OR($E101="",$O101=""),"",WORKDAY($E101,$O101))</f>
        <v/>
      </c>
      <c r="Q101" s="80"/>
      <c r="R101" s="131"/>
      <c r="S101" s="69" t="n">
        <f aca="false">IF($Q101="入荷済み",N($L101),0)</f>
        <v>0</v>
      </c>
      <c r="T101" s="80"/>
      <c r="U101" s="80"/>
    </row>
    <row r="102" customFormat="false" ht="15" hidden="false" customHeight="false" outlineLevel="0" collapsed="false">
      <c r="B102" s="66" t="str">
        <f aca="false">IF(OR($E102="",$F102=""),"","PO-"&amp;TEXT($E102,"yyyymmdd")&amp;"-"&amp;TEXT(COUNTIFS($E$6:$E102,$E102,$C$6:$C102,$C102),"000"))</f>
        <v/>
      </c>
      <c r="C102" s="130"/>
      <c r="D102" s="66" t="str">
        <f aca="false">IFERROR(INDEX(定数マスタ!$C$6:$C$105,MATCH($C102,定数マスタ!$B$6:$B$105,0)),"")</f>
        <v/>
      </c>
      <c r="E102" s="131"/>
      <c r="F102" s="130"/>
      <c r="G102" s="66" t="str">
        <f aca="false">IFERROR(INDEX(商品マスタ!$C$6:$C$1005,MATCH($F102,商品マスタ!$B$6:$B$1005,0)),"")</f>
        <v/>
      </c>
      <c r="H102" s="66" t="str">
        <f aca="false">IFERROR(INDEX(商品マスタ!$E$6:$E$1005,MATCH($F102,商品マスタ!$B$6:$B$1005,0)),"")</f>
        <v/>
      </c>
      <c r="I102" s="69" t="str">
        <f aca="false">IFERROR(INDEX(商品マスタ!$F$6:$F$1005,MATCH($F102,商品マスタ!$B$6:$B$1005,0)),"")</f>
        <v/>
      </c>
      <c r="J102" s="69" t="str">
        <f aca="false">IF(OR($F102="",$C102&lt;&gt;'設定（最初に1回）'!$C$4),"",IFERROR(INDEX(発注計算!$Y$6:$Y$405,MATCH($F102,発注計算!$C$6:$C$405,0)),""))</f>
        <v/>
      </c>
      <c r="K102" s="70"/>
      <c r="L102" s="69" t="str">
        <f aca="false">IF($K102="","",N($K102)*N($I102))</f>
        <v/>
      </c>
      <c r="M102" s="71" t="str">
        <f aca="false">IFERROR(INDEX(商品マスタ!$G$6:$G$1005,MATCH($F102,商品マスタ!$B$6:$B$1005,0)),"")</f>
        <v/>
      </c>
      <c r="N102" s="71" t="str">
        <f aca="false">IF($K102="","",N($K102)*N($M102))</f>
        <v/>
      </c>
      <c r="O102" s="66" t="str">
        <f aca="false">IFERROR(INDEX(商品マスタ!$H$6:$H$1005,MATCH($F102,商品マスタ!$B$6:$B$1005,0)),"")</f>
        <v/>
      </c>
      <c r="P102" s="87" t="str">
        <f aca="false">IF(OR($E102="",$O102=""),"",WORKDAY($E102,$O102))</f>
        <v/>
      </c>
      <c r="Q102" s="80"/>
      <c r="R102" s="131"/>
      <c r="S102" s="69" t="n">
        <f aca="false">IF($Q102="入荷済み",N($L102),0)</f>
        <v>0</v>
      </c>
      <c r="T102" s="80"/>
      <c r="U102" s="80"/>
    </row>
    <row r="103" customFormat="false" ht="15" hidden="false" customHeight="false" outlineLevel="0" collapsed="false">
      <c r="B103" s="66" t="str">
        <f aca="false">IF(OR($E103="",$F103=""),"","PO-"&amp;TEXT($E103,"yyyymmdd")&amp;"-"&amp;TEXT(COUNTIFS($E$6:$E103,$E103,$C$6:$C103,$C103),"000"))</f>
        <v/>
      </c>
      <c r="C103" s="130"/>
      <c r="D103" s="66" t="str">
        <f aca="false">IFERROR(INDEX(定数マスタ!$C$6:$C$105,MATCH($C103,定数マスタ!$B$6:$B$105,0)),"")</f>
        <v/>
      </c>
      <c r="E103" s="131"/>
      <c r="F103" s="130"/>
      <c r="G103" s="66" t="str">
        <f aca="false">IFERROR(INDEX(商品マスタ!$C$6:$C$1005,MATCH($F103,商品マスタ!$B$6:$B$1005,0)),"")</f>
        <v/>
      </c>
      <c r="H103" s="66" t="str">
        <f aca="false">IFERROR(INDEX(商品マスタ!$E$6:$E$1005,MATCH($F103,商品マスタ!$B$6:$B$1005,0)),"")</f>
        <v/>
      </c>
      <c r="I103" s="69" t="str">
        <f aca="false">IFERROR(INDEX(商品マスタ!$F$6:$F$1005,MATCH($F103,商品マスタ!$B$6:$B$1005,0)),"")</f>
        <v/>
      </c>
      <c r="J103" s="69" t="str">
        <f aca="false">IF(OR($F103="",$C103&lt;&gt;'設定（最初に1回）'!$C$4),"",IFERROR(INDEX(発注計算!$Y$6:$Y$405,MATCH($F103,発注計算!$C$6:$C$405,0)),""))</f>
        <v/>
      </c>
      <c r="K103" s="70"/>
      <c r="L103" s="69" t="str">
        <f aca="false">IF($K103="","",N($K103)*N($I103))</f>
        <v/>
      </c>
      <c r="M103" s="71" t="str">
        <f aca="false">IFERROR(INDEX(商品マスタ!$G$6:$G$1005,MATCH($F103,商品マスタ!$B$6:$B$1005,0)),"")</f>
        <v/>
      </c>
      <c r="N103" s="71" t="str">
        <f aca="false">IF($K103="","",N($K103)*N($M103))</f>
        <v/>
      </c>
      <c r="O103" s="66" t="str">
        <f aca="false">IFERROR(INDEX(商品マスタ!$H$6:$H$1005,MATCH($F103,商品マスタ!$B$6:$B$1005,0)),"")</f>
        <v/>
      </c>
      <c r="P103" s="87" t="str">
        <f aca="false">IF(OR($E103="",$O103=""),"",WORKDAY($E103,$O103))</f>
        <v/>
      </c>
      <c r="Q103" s="80"/>
      <c r="R103" s="131"/>
      <c r="S103" s="69" t="n">
        <f aca="false">IF($Q103="入荷済み",N($L103),0)</f>
        <v>0</v>
      </c>
      <c r="T103" s="80"/>
      <c r="U103" s="80"/>
    </row>
    <row r="104" customFormat="false" ht="15" hidden="false" customHeight="false" outlineLevel="0" collapsed="false">
      <c r="B104" s="66" t="str">
        <f aca="false">IF(OR($E104="",$F104=""),"","PO-"&amp;TEXT($E104,"yyyymmdd")&amp;"-"&amp;TEXT(COUNTIFS($E$6:$E104,$E104,$C$6:$C104,$C104),"000"))</f>
        <v/>
      </c>
      <c r="C104" s="130"/>
      <c r="D104" s="66" t="str">
        <f aca="false">IFERROR(INDEX(定数マスタ!$C$6:$C$105,MATCH($C104,定数マスタ!$B$6:$B$105,0)),"")</f>
        <v/>
      </c>
      <c r="E104" s="131"/>
      <c r="F104" s="130"/>
      <c r="G104" s="66" t="str">
        <f aca="false">IFERROR(INDEX(商品マスタ!$C$6:$C$1005,MATCH($F104,商品マスタ!$B$6:$B$1005,0)),"")</f>
        <v/>
      </c>
      <c r="H104" s="66" t="str">
        <f aca="false">IFERROR(INDEX(商品マスタ!$E$6:$E$1005,MATCH($F104,商品マスタ!$B$6:$B$1005,0)),"")</f>
        <v/>
      </c>
      <c r="I104" s="69" t="str">
        <f aca="false">IFERROR(INDEX(商品マスタ!$F$6:$F$1005,MATCH($F104,商品マスタ!$B$6:$B$1005,0)),"")</f>
        <v/>
      </c>
      <c r="J104" s="69" t="str">
        <f aca="false">IF(OR($F104="",$C104&lt;&gt;'設定（最初に1回）'!$C$4),"",IFERROR(INDEX(発注計算!$Y$6:$Y$405,MATCH($F104,発注計算!$C$6:$C$405,0)),""))</f>
        <v/>
      </c>
      <c r="K104" s="70"/>
      <c r="L104" s="69" t="str">
        <f aca="false">IF($K104="","",N($K104)*N($I104))</f>
        <v/>
      </c>
      <c r="M104" s="71" t="str">
        <f aca="false">IFERROR(INDEX(商品マスタ!$G$6:$G$1005,MATCH($F104,商品マスタ!$B$6:$B$1005,0)),"")</f>
        <v/>
      </c>
      <c r="N104" s="71" t="str">
        <f aca="false">IF($K104="","",N($K104)*N($M104))</f>
        <v/>
      </c>
      <c r="O104" s="66" t="str">
        <f aca="false">IFERROR(INDEX(商品マスタ!$H$6:$H$1005,MATCH($F104,商品マスタ!$B$6:$B$1005,0)),"")</f>
        <v/>
      </c>
      <c r="P104" s="87" t="str">
        <f aca="false">IF(OR($E104="",$O104=""),"",WORKDAY($E104,$O104))</f>
        <v/>
      </c>
      <c r="Q104" s="80"/>
      <c r="R104" s="131"/>
      <c r="S104" s="69" t="n">
        <f aca="false">IF($Q104="入荷済み",N($L104),0)</f>
        <v>0</v>
      </c>
      <c r="T104" s="80"/>
      <c r="U104" s="80"/>
    </row>
    <row r="105" customFormat="false" ht="15" hidden="false" customHeight="false" outlineLevel="0" collapsed="false">
      <c r="B105" s="66" t="str">
        <f aca="false">IF(OR($E105="",$F105=""),"","PO-"&amp;TEXT($E105,"yyyymmdd")&amp;"-"&amp;TEXT(COUNTIFS($E$6:$E105,$E105,$C$6:$C105,$C105),"000"))</f>
        <v/>
      </c>
      <c r="C105" s="130"/>
      <c r="D105" s="66" t="str">
        <f aca="false">IFERROR(INDEX(定数マスタ!$C$6:$C$105,MATCH($C105,定数マスタ!$B$6:$B$105,0)),"")</f>
        <v/>
      </c>
      <c r="E105" s="131"/>
      <c r="F105" s="130"/>
      <c r="G105" s="66" t="str">
        <f aca="false">IFERROR(INDEX(商品マスタ!$C$6:$C$1005,MATCH($F105,商品マスタ!$B$6:$B$1005,0)),"")</f>
        <v/>
      </c>
      <c r="H105" s="66" t="str">
        <f aca="false">IFERROR(INDEX(商品マスタ!$E$6:$E$1005,MATCH($F105,商品マスタ!$B$6:$B$1005,0)),"")</f>
        <v/>
      </c>
      <c r="I105" s="69" t="str">
        <f aca="false">IFERROR(INDEX(商品マスタ!$F$6:$F$1005,MATCH($F105,商品マスタ!$B$6:$B$1005,0)),"")</f>
        <v/>
      </c>
      <c r="J105" s="69" t="str">
        <f aca="false">IF(OR($F105="",$C105&lt;&gt;'設定（最初に1回）'!$C$4),"",IFERROR(INDEX(発注計算!$Y$6:$Y$405,MATCH($F105,発注計算!$C$6:$C$405,0)),""))</f>
        <v/>
      </c>
      <c r="K105" s="70"/>
      <c r="L105" s="69" t="str">
        <f aca="false">IF($K105="","",N($K105)*N($I105))</f>
        <v/>
      </c>
      <c r="M105" s="71" t="str">
        <f aca="false">IFERROR(INDEX(商品マスタ!$G$6:$G$1005,MATCH($F105,商品マスタ!$B$6:$B$1005,0)),"")</f>
        <v/>
      </c>
      <c r="N105" s="71" t="str">
        <f aca="false">IF($K105="","",N($K105)*N($M105))</f>
        <v/>
      </c>
      <c r="O105" s="66" t="str">
        <f aca="false">IFERROR(INDEX(商品マスタ!$H$6:$H$1005,MATCH($F105,商品マスタ!$B$6:$B$1005,0)),"")</f>
        <v/>
      </c>
      <c r="P105" s="87" t="str">
        <f aca="false">IF(OR($E105="",$O105=""),"",WORKDAY($E105,$O105))</f>
        <v/>
      </c>
      <c r="Q105" s="80"/>
      <c r="R105" s="131"/>
      <c r="S105" s="69" t="n">
        <f aca="false">IF($Q105="入荷済み",N($L105),0)</f>
        <v>0</v>
      </c>
      <c r="T105" s="80"/>
      <c r="U105" s="80"/>
    </row>
    <row r="106" customFormat="false" ht="15" hidden="false" customHeight="false" outlineLevel="0" collapsed="false">
      <c r="B106" s="66" t="str">
        <f aca="false">IF(OR($E106="",$F106=""),"","PO-"&amp;TEXT($E106,"yyyymmdd")&amp;"-"&amp;TEXT(COUNTIFS($E$6:$E106,$E106,$C$6:$C106,$C106),"000"))</f>
        <v/>
      </c>
      <c r="C106" s="130"/>
      <c r="D106" s="66" t="str">
        <f aca="false">IFERROR(INDEX(定数マスタ!$C$6:$C$105,MATCH($C106,定数マスタ!$B$6:$B$105,0)),"")</f>
        <v/>
      </c>
      <c r="E106" s="131"/>
      <c r="F106" s="130"/>
      <c r="G106" s="66" t="str">
        <f aca="false">IFERROR(INDEX(商品マスタ!$C$6:$C$1005,MATCH($F106,商品マスタ!$B$6:$B$1005,0)),"")</f>
        <v/>
      </c>
      <c r="H106" s="66" t="str">
        <f aca="false">IFERROR(INDEX(商品マスタ!$E$6:$E$1005,MATCH($F106,商品マスタ!$B$6:$B$1005,0)),"")</f>
        <v/>
      </c>
      <c r="I106" s="69" t="str">
        <f aca="false">IFERROR(INDEX(商品マスタ!$F$6:$F$1005,MATCH($F106,商品マスタ!$B$6:$B$1005,0)),"")</f>
        <v/>
      </c>
      <c r="J106" s="69" t="str">
        <f aca="false">IF(OR($F106="",$C106&lt;&gt;'設定（最初に1回）'!$C$4),"",IFERROR(INDEX(発注計算!$Y$6:$Y$405,MATCH($F106,発注計算!$C$6:$C$405,0)),""))</f>
        <v/>
      </c>
      <c r="K106" s="70"/>
      <c r="L106" s="69" t="str">
        <f aca="false">IF($K106="","",N($K106)*N($I106))</f>
        <v/>
      </c>
      <c r="M106" s="71" t="str">
        <f aca="false">IFERROR(INDEX(商品マスタ!$G$6:$G$1005,MATCH($F106,商品マスタ!$B$6:$B$1005,0)),"")</f>
        <v/>
      </c>
      <c r="N106" s="71" t="str">
        <f aca="false">IF($K106="","",N($K106)*N($M106))</f>
        <v/>
      </c>
      <c r="O106" s="66" t="str">
        <f aca="false">IFERROR(INDEX(商品マスタ!$H$6:$H$1005,MATCH($F106,商品マスタ!$B$6:$B$1005,0)),"")</f>
        <v/>
      </c>
      <c r="P106" s="87" t="str">
        <f aca="false">IF(OR($E106="",$O106=""),"",WORKDAY($E106,$O106))</f>
        <v/>
      </c>
      <c r="Q106" s="80"/>
      <c r="R106" s="131"/>
      <c r="S106" s="69" t="n">
        <f aca="false">IF($Q106="入荷済み",N($L106),0)</f>
        <v>0</v>
      </c>
      <c r="T106" s="80"/>
      <c r="U106" s="80"/>
    </row>
    <row r="107" customFormat="false" ht="15" hidden="false" customHeight="false" outlineLevel="0" collapsed="false">
      <c r="B107" s="66" t="str">
        <f aca="false">IF(OR($E107="",$F107=""),"","PO-"&amp;TEXT($E107,"yyyymmdd")&amp;"-"&amp;TEXT(COUNTIFS($E$6:$E107,$E107,$C$6:$C107,$C107),"000"))</f>
        <v/>
      </c>
      <c r="C107" s="130"/>
      <c r="D107" s="66" t="str">
        <f aca="false">IFERROR(INDEX(定数マスタ!$C$6:$C$105,MATCH($C107,定数マスタ!$B$6:$B$105,0)),"")</f>
        <v/>
      </c>
      <c r="E107" s="131"/>
      <c r="F107" s="130"/>
      <c r="G107" s="66" t="str">
        <f aca="false">IFERROR(INDEX(商品マスタ!$C$6:$C$1005,MATCH($F107,商品マスタ!$B$6:$B$1005,0)),"")</f>
        <v/>
      </c>
      <c r="H107" s="66" t="str">
        <f aca="false">IFERROR(INDEX(商品マスタ!$E$6:$E$1005,MATCH($F107,商品マスタ!$B$6:$B$1005,0)),"")</f>
        <v/>
      </c>
      <c r="I107" s="69" t="str">
        <f aca="false">IFERROR(INDEX(商品マスタ!$F$6:$F$1005,MATCH($F107,商品マスタ!$B$6:$B$1005,0)),"")</f>
        <v/>
      </c>
      <c r="J107" s="69" t="str">
        <f aca="false">IF(OR($F107="",$C107&lt;&gt;'設定（最初に1回）'!$C$4),"",IFERROR(INDEX(発注計算!$Y$6:$Y$405,MATCH($F107,発注計算!$C$6:$C$405,0)),""))</f>
        <v/>
      </c>
      <c r="K107" s="70"/>
      <c r="L107" s="69" t="str">
        <f aca="false">IF($K107="","",N($K107)*N($I107))</f>
        <v/>
      </c>
      <c r="M107" s="71" t="str">
        <f aca="false">IFERROR(INDEX(商品マスタ!$G$6:$G$1005,MATCH($F107,商品マスタ!$B$6:$B$1005,0)),"")</f>
        <v/>
      </c>
      <c r="N107" s="71" t="str">
        <f aca="false">IF($K107="","",N($K107)*N($M107))</f>
        <v/>
      </c>
      <c r="O107" s="66" t="str">
        <f aca="false">IFERROR(INDEX(商品マスタ!$H$6:$H$1005,MATCH($F107,商品マスタ!$B$6:$B$1005,0)),"")</f>
        <v/>
      </c>
      <c r="P107" s="87" t="str">
        <f aca="false">IF(OR($E107="",$O107=""),"",WORKDAY($E107,$O107))</f>
        <v/>
      </c>
      <c r="Q107" s="80"/>
      <c r="R107" s="131"/>
      <c r="S107" s="69" t="n">
        <f aca="false">IF($Q107="入荷済み",N($L107),0)</f>
        <v>0</v>
      </c>
      <c r="T107" s="80"/>
      <c r="U107" s="80"/>
    </row>
    <row r="108" customFormat="false" ht="15" hidden="false" customHeight="false" outlineLevel="0" collapsed="false">
      <c r="B108" s="66" t="str">
        <f aca="false">IF(OR($E108="",$F108=""),"","PO-"&amp;TEXT($E108,"yyyymmdd")&amp;"-"&amp;TEXT(COUNTIFS($E$6:$E108,$E108,$C$6:$C108,$C108),"000"))</f>
        <v/>
      </c>
      <c r="C108" s="130"/>
      <c r="D108" s="66" t="str">
        <f aca="false">IFERROR(INDEX(定数マスタ!$C$6:$C$105,MATCH($C108,定数マスタ!$B$6:$B$105,0)),"")</f>
        <v/>
      </c>
      <c r="E108" s="131"/>
      <c r="F108" s="130"/>
      <c r="G108" s="66" t="str">
        <f aca="false">IFERROR(INDEX(商品マスタ!$C$6:$C$1005,MATCH($F108,商品マスタ!$B$6:$B$1005,0)),"")</f>
        <v/>
      </c>
      <c r="H108" s="66" t="str">
        <f aca="false">IFERROR(INDEX(商品マスタ!$E$6:$E$1005,MATCH($F108,商品マスタ!$B$6:$B$1005,0)),"")</f>
        <v/>
      </c>
      <c r="I108" s="69" t="str">
        <f aca="false">IFERROR(INDEX(商品マスタ!$F$6:$F$1005,MATCH($F108,商品マスタ!$B$6:$B$1005,0)),"")</f>
        <v/>
      </c>
      <c r="J108" s="69" t="str">
        <f aca="false">IF(OR($F108="",$C108&lt;&gt;'設定（最初に1回）'!$C$4),"",IFERROR(INDEX(発注計算!$Y$6:$Y$405,MATCH($F108,発注計算!$C$6:$C$405,0)),""))</f>
        <v/>
      </c>
      <c r="K108" s="70"/>
      <c r="L108" s="69" t="str">
        <f aca="false">IF($K108="","",N($K108)*N($I108))</f>
        <v/>
      </c>
      <c r="M108" s="71" t="str">
        <f aca="false">IFERROR(INDEX(商品マスタ!$G$6:$G$1005,MATCH($F108,商品マスタ!$B$6:$B$1005,0)),"")</f>
        <v/>
      </c>
      <c r="N108" s="71" t="str">
        <f aca="false">IF($K108="","",N($K108)*N($M108))</f>
        <v/>
      </c>
      <c r="O108" s="66" t="str">
        <f aca="false">IFERROR(INDEX(商品マスタ!$H$6:$H$1005,MATCH($F108,商品マスタ!$B$6:$B$1005,0)),"")</f>
        <v/>
      </c>
      <c r="P108" s="87" t="str">
        <f aca="false">IF(OR($E108="",$O108=""),"",WORKDAY($E108,$O108))</f>
        <v/>
      </c>
      <c r="Q108" s="80"/>
      <c r="R108" s="131"/>
      <c r="S108" s="69" t="n">
        <f aca="false">IF($Q108="入荷済み",N($L108),0)</f>
        <v>0</v>
      </c>
      <c r="T108" s="80"/>
      <c r="U108" s="80"/>
    </row>
    <row r="109" customFormat="false" ht="15" hidden="false" customHeight="false" outlineLevel="0" collapsed="false">
      <c r="B109" s="66" t="str">
        <f aca="false">IF(OR($E109="",$F109=""),"","PO-"&amp;TEXT($E109,"yyyymmdd")&amp;"-"&amp;TEXT(COUNTIFS($E$6:$E109,$E109,$C$6:$C109,$C109),"000"))</f>
        <v/>
      </c>
      <c r="C109" s="130"/>
      <c r="D109" s="66" t="str">
        <f aca="false">IFERROR(INDEX(定数マスタ!$C$6:$C$105,MATCH($C109,定数マスタ!$B$6:$B$105,0)),"")</f>
        <v/>
      </c>
      <c r="E109" s="131"/>
      <c r="F109" s="130"/>
      <c r="G109" s="66" t="str">
        <f aca="false">IFERROR(INDEX(商品マスタ!$C$6:$C$1005,MATCH($F109,商品マスタ!$B$6:$B$1005,0)),"")</f>
        <v/>
      </c>
      <c r="H109" s="66" t="str">
        <f aca="false">IFERROR(INDEX(商品マスタ!$E$6:$E$1005,MATCH($F109,商品マスタ!$B$6:$B$1005,0)),"")</f>
        <v/>
      </c>
      <c r="I109" s="69" t="str">
        <f aca="false">IFERROR(INDEX(商品マスタ!$F$6:$F$1005,MATCH($F109,商品マスタ!$B$6:$B$1005,0)),"")</f>
        <v/>
      </c>
      <c r="J109" s="69" t="str">
        <f aca="false">IF(OR($F109="",$C109&lt;&gt;'設定（最初に1回）'!$C$4),"",IFERROR(INDEX(発注計算!$Y$6:$Y$405,MATCH($F109,発注計算!$C$6:$C$405,0)),""))</f>
        <v/>
      </c>
      <c r="K109" s="70"/>
      <c r="L109" s="69" t="str">
        <f aca="false">IF($K109="","",N($K109)*N($I109))</f>
        <v/>
      </c>
      <c r="M109" s="71" t="str">
        <f aca="false">IFERROR(INDEX(商品マスタ!$G$6:$G$1005,MATCH($F109,商品マスタ!$B$6:$B$1005,0)),"")</f>
        <v/>
      </c>
      <c r="N109" s="71" t="str">
        <f aca="false">IF($K109="","",N($K109)*N($M109))</f>
        <v/>
      </c>
      <c r="O109" s="66" t="str">
        <f aca="false">IFERROR(INDEX(商品マスタ!$H$6:$H$1005,MATCH($F109,商品マスタ!$B$6:$B$1005,0)),"")</f>
        <v/>
      </c>
      <c r="P109" s="87" t="str">
        <f aca="false">IF(OR($E109="",$O109=""),"",WORKDAY($E109,$O109))</f>
        <v/>
      </c>
      <c r="Q109" s="80"/>
      <c r="R109" s="131"/>
      <c r="S109" s="69" t="n">
        <f aca="false">IF($Q109="入荷済み",N($L109),0)</f>
        <v>0</v>
      </c>
      <c r="T109" s="80"/>
      <c r="U109" s="80"/>
    </row>
    <row r="110" customFormat="false" ht="15" hidden="false" customHeight="false" outlineLevel="0" collapsed="false">
      <c r="B110" s="66" t="str">
        <f aca="false">IF(OR($E110="",$F110=""),"","PO-"&amp;TEXT($E110,"yyyymmdd")&amp;"-"&amp;TEXT(COUNTIFS($E$6:$E110,$E110,$C$6:$C110,$C110),"000"))</f>
        <v/>
      </c>
      <c r="C110" s="130"/>
      <c r="D110" s="66" t="str">
        <f aca="false">IFERROR(INDEX(定数マスタ!$C$6:$C$105,MATCH($C110,定数マスタ!$B$6:$B$105,0)),"")</f>
        <v/>
      </c>
      <c r="E110" s="131"/>
      <c r="F110" s="130"/>
      <c r="G110" s="66" t="str">
        <f aca="false">IFERROR(INDEX(商品マスタ!$C$6:$C$1005,MATCH($F110,商品マスタ!$B$6:$B$1005,0)),"")</f>
        <v/>
      </c>
      <c r="H110" s="66" t="str">
        <f aca="false">IFERROR(INDEX(商品マスタ!$E$6:$E$1005,MATCH($F110,商品マスタ!$B$6:$B$1005,0)),"")</f>
        <v/>
      </c>
      <c r="I110" s="69" t="str">
        <f aca="false">IFERROR(INDEX(商品マスタ!$F$6:$F$1005,MATCH($F110,商品マスタ!$B$6:$B$1005,0)),"")</f>
        <v/>
      </c>
      <c r="J110" s="69" t="str">
        <f aca="false">IF(OR($F110="",$C110&lt;&gt;'設定（最初に1回）'!$C$4),"",IFERROR(INDEX(発注計算!$Y$6:$Y$405,MATCH($F110,発注計算!$C$6:$C$405,0)),""))</f>
        <v/>
      </c>
      <c r="K110" s="70"/>
      <c r="L110" s="69" t="str">
        <f aca="false">IF($K110="","",N($K110)*N($I110))</f>
        <v/>
      </c>
      <c r="M110" s="71" t="str">
        <f aca="false">IFERROR(INDEX(商品マスタ!$G$6:$G$1005,MATCH($F110,商品マスタ!$B$6:$B$1005,0)),"")</f>
        <v/>
      </c>
      <c r="N110" s="71" t="str">
        <f aca="false">IF($K110="","",N($K110)*N($M110))</f>
        <v/>
      </c>
      <c r="O110" s="66" t="str">
        <f aca="false">IFERROR(INDEX(商品マスタ!$H$6:$H$1005,MATCH($F110,商品マスタ!$B$6:$B$1005,0)),"")</f>
        <v/>
      </c>
      <c r="P110" s="87" t="str">
        <f aca="false">IF(OR($E110="",$O110=""),"",WORKDAY($E110,$O110))</f>
        <v/>
      </c>
      <c r="Q110" s="80"/>
      <c r="R110" s="131"/>
      <c r="S110" s="69" t="n">
        <f aca="false">IF($Q110="入荷済み",N($L110),0)</f>
        <v>0</v>
      </c>
      <c r="T110" s="80"/>
      <c r="U110" s="80"/>
    </row>
    <row r="111" customFormat="false" ht="15" hidden="false" customHeight="false" outlineLevel="0" collapsed="false">
      <c r="B111" s="66" t="str">
        <f aca="false">IF(OR($E111="",$F111=""),"","PO-"&amp;TEXT($E111,"yyyymmdd")&amp;"-"&amp;TEXT(COUNTIFS($E$6:$E111,$E111,$C$6:$C111,$C111),"000"))</f>
        <v/>
      </c>
      <c r="C111" s="130"/>
      <c r="D111" s="66" t="str">
        <f aca="false">IFERROR(INDEX(定数マスタ!$C$6:$C$105,MATCH($C111,定数マスタ!$B$6:$B$105,0)),"")</f>
        <v/>
      </c>
      <c r="E111" s="131"/>
      <c r="F111" s="130"/>
      <c r="G111" s="66" t="str">
        <f aca="false">IFERROR(INDEX(商品マスタ!$C$6:$C$1005,MATCH($F111,商品マスタ!$B$6:$B$1005,0)),"")</f>
        <v/>
      </c>
      <c r="H111" s="66" t="str">
        <f aca="false">IFERROR(INDEX(商品マスタ!$E$6:$E$1005,MATCH($F111,商品マスタ!$B$6:$B$1005,0)),"")</f>
        <v/>
      </c>
      <c r="I111" s="69" t="str">
        <f aca="false">IFERROR(INDEX(商品マスタ!$F$6:$F$1005,MATCH($F111,商品マスタ!$B$6:$B$1005,0)),"")</f>
        <v/>
      </c>
      <c r="J111" s="69" t="str">
        <f aca="false">IF(OR($F111="",$C111&lt;&gt;'設定（最初に1回）'!$C$4),"",IFERROR(INDEX(発注計算!$Y$6:$Y$405,MATCH($F111,発注計算!$C$6:$C$405,0)),""))</f>
        <v/>
      </c>
      <c r="K111" s="70"/>
      <c r="L111" s="69" t="str">
        <f aca="false">IF($K111="","",N($K111)*N($I111))</f>
        <v/>
      </c>
      <c r="M111" s="71" t="str">
        <f aca="false">IFERROR(INDEX(商品マスタ!$G$6:$G$1005,MATCH($F111,商品マスタ!$B$6:$B$1005,0)),"")</f>
        <v/>
      </c>
      <c r="N111" s="71" t="str">
        <f aca="false">IF($K111="","",N($K111)*N($M111))</f>
        <v/>
      </c>
      <c r="O111" s="66" t="str">
        <f aca="false">IFERROR(INDEX(商品マスタ!$H$6:$H$1005,MATCH($F111,商品マスタ!$B$6:$B$1005,0)),"")</f>
        <v/>
      </c>
      <c r="P111" s="87" t="str">
        <f aca="false">IF(OR($E111="",$O111=""),"",WORKDAY($E111,$O111))</f>
        <v/>
      </c>
      <c r="Q111" s="80"/>
      <c r="R111" s="131"/>
      <c r="S111" s="69" t="n">
        <f aca="false">IF($Q111="入荷済み",N($L111),0)</f>
        <v>0</v>
      </c>
      <c r="T111" s="80"/>
      <c r="U111" s="80"/>
    </row>
    <row r="112" customFormat="false" ht="15" hidden="false" customHeight="false" outlineLevel="0" collapsed="false">
      <c r="B112" s="66" t="str">
        <f aca="false">IF(OR($E112="",$F112=""),"","PO-"&amp;TEXT($E112,"yyyymmdd")&amp;"-"&amp;TEXT(COUNTIFS($E$6:$E112,$E112,$C$6:$C112,$C112),"000"))</f>
        <v/>
      </c>
      <c r="C112" s="130"/>
      <c r="D112" s="66" t="str">
        <f aca="false">IFERROR(INDEX(定数マスタ!$C$6:$C$105,MATCH($C112,定数マスタ!$B$6:$B$105,0)),"")</f>
        <v/>
      </c>
      <c r="E112" s="131"/>
      <c r="F112" s="130"/>
      <c r="G112" s="66" t="str">
        <f aca="false">IFERROR(INDEX(商品マスタ!$C$6:$C$1005,MATCH($F112,商品マスタ!$B$6:$B$1005,0)),"")</f>
        <v/>
      </c>
      <c r="H112" s="66" t="str">
        <f aca="false">IFERROR(INDEX(商品マスタ!$E$6:$E$1005,MATCH($F112,商品マスタ!$B$6:$B$1005,0)),"")</f>
        <v/>
      </c>
      <c r="I112" s="69" t="str">
        <f aca="false">IFERROR(INDEX(商品マスタ!$F$6:$F$1005,MATCH($F112,商品マスタ!$B$6:$B$1005,0)),"")</f>
        <v/>
      </c>
      <c r="J112" s="69" t="str">
        <f aca="false">IF(OR($F112="",$C112&lt;&gt;'設定（最初に1回）'!$C$4),"",IFERROR(INDEX(発注計算!$Y$6:$Y$405,MATCH($F112,発注計算!$C$6:$C$405,0)),""))</f>
        <v/>
      </c>
      <c r="K112" s="70"/>
      <c r="L112" s="69" t="str">
        <f aca="false">IF($K112="","",N($K112)*N($I112))</f>
        <v/>
      </c>
      <c r="M112" s="71" t="str">
        <f aca="false">IFERROR(INDEX(商品マスタ!$G$6:$G$1005,MATCH($F112,商品マスタ!$B$6:$B$1005,0)),"")</f>
        <v/>
      </c>
      <c r="N112" s="71" t="str">
        <f aca="false">IF($K112="","",N($K112)*N($M112))</f>
        <v/>
      </c>
      <c r="O112" s="66" t="str">
        <f aca="false">IFERROR(INDEX(商品マスタ!$H$6:$H$1005,MATCH($F112,商品マスタ!$B$6:$B$1005,0)),"")</f>
        <v/>
      </c>
      <c r="P112" s="87" t="str">
        <f aca="false">IF(OR($E112="",$O112=""),"",WORKDAY($E112,$O112))</f>
        <v/>
      </c>
      <c r="Q112" s="80"/>
      <c r="R112" s="131"/>
      <c r="S112" s="69" t="n">
        <f aca="false">IF($Q112="入荷済み",N($L112),0)</f>
        <v>0</v>
      </c>
      <c r="T112" s="80"/>
      <c r="U112" s="80"/>
    </row>
    <row r="113" customFormat="false" ht="15" hidden="false" customHeight="false" outlineLevel="0" collapsed="false">
      <c r="B113" s="66" t="str">
        <f aca="false">IF(OR($E113="",$F113=""),"","PO-"&amp;TEXT($E113,"yyyymmdd")&amp;"-"&amp;TEXT(COUNTIFS($E$6:$E113,$E113,$C$6:$C113,$C113),"000"))</f>
        <v/>
      </c>
      <c r="C113" s="130"/>
      <c r="D113" s="66" t="str">
        <f aca="false">IFERROR(INDEX(定数マスタ!$C$6:$C$105,MATCH($C113,定数マスタ!$B$6:$B$105,0)),"")</f>
        <v/>
      </c>
      <c r="E113" s="131"/>
      <c r="F113" s="130"/>
      <c r="G113" s="66" t="str">
        <f aca="false">IFERROR(INDEX(商品マスタ!$C$6:$C$1005,MATCH($F113,商品マスタ!$B$6:$B$1005,0)),"")</f>
        <v/>
      </c>
      <c r="H113" s="66" t="str">
        <f aca="false">IFERROR(INDEX(商品マスタ!$E$6:$E$1005,MATCH($F113,商品マスタ!$B$6:$B$1005,0)),"")</f>
        <v/>
      </c>
      <c r="I113" s="69" t="str">
        <f aca="false">IFERROR(INDEX(商品マスタ!$F$6:$F$1005,MATCH($F113,商品マスタ!$B$6:$B$1005,0)),"")</f>
        <v/>
      </c>
      <c r="J113" s="69" t="str">
        <f aca="false">IF(OR($F113="",$C113&lt;&gt;'設定（最初に1回）'!$C$4),"",IFERROR(INDEX(発注計算!$Y$6:$Y$405,MATCH($F113,発注計算!$C$6:$C$405,0)),""))</f>
        <v/>
      </c>
      <c r="K113" s="70"/>
      <c r="L113" s="69" t="str">
        <f aca="false">IF($K113="","",N($K113)*N($I113))</f>
        <v/>
      </c>
      <c r="M113" s="71" t="str">
        <f aca="false">IFERROR(INDEX(商品マスタ!$G$6:$G$1005,MATCH($F113,商品マスタ!$B$6:$B$1005,0)),"")</f>
        <v/>
      </c>
      <c r="N113" s="71" t="str">
        <f aca="false">IF($K113="","",N($K113)*N($M113))</f>
        <v/>
      </c>
      <c r="O113" s="66" t="str">
        <f aca="false">IFERROR(INDEX(商品マスタ!$H$6:$H$1005,MATCH($F113,商品マスタ!$B$6:$B$1005,0)),"")</f>
        <v/>
      </c>
      <c r="P113" s="87" t="str">
        <f aca="false">IF(OR($E113="",$O113=""),"",WORKDAY($E113,$O113))</f>
        <v/>
      </c>
      <c r="Q113" s="80"/>
      <c r="R113" s="131"/>
      <c r="S113" s="69" t="n">
        <f aca="false">IF($Q113="入荷済み",N($L113),0)</f>
        <v>0</v>
      </c>
      <c r="T113" s="80"/>
      <c r="U113" s="80"/>
    </row>
    <row r="114" customFormat="false" ht="15" hidden="false" customHeight="false" outlineLevel="0" collapsed="false">
      <c r="B114" s="66" t="str">
        <f aca="false">IF(OR($E114="",$F114=""),"","PO-"&amp;TEXT($E114,"yyyymmdd")&amp;"-"&amp;TEXT(COUNTIFS($E$6:$E114,$E114,$C$6:$C114,$C114),"000"))</f>
        <v/>
      </c>
      <c r="C114" s="130"/>
      <c r="D114" s="66" t="str">
        <f aca="false">IFERROR(INDEX(定数マスタ!$C$6:$C$105,MATCH($C114,定数マスタ!$B$6:$B$105,0)),"")</f>
        <v/>
      </c>
      <c r="E114" s="131"/>
      <c r="F114" s="130"/>
      <c r="G114" s="66" t="str">
        <f aca="false">IFERROR(INDEX(商品マスタ!$C$6:$C$1005,MATCH($F114,商品マスタ!$B$6:$B$1005,0)),"")</f>
        <v/>
      </c>
      <c r="H114" s="66" t="str">
        <f aca="false">IFERROR(INDEX(商品マスタ!$E$6:$E$1005,MATCH($F114,商品マスタ!$B$6:$B$1005,0)),"")</f>
        <v/>
      </c>
      <c r="I114" s="69" t="str">
        <f aca="false">IFERROR(INDEX(商品マスタ!$F$6:$F$1005,MATCH($F114,商品マスタ!$B$6:$B$1005,0)),"")</f>
        <v/>
      </c>
      <c r="J114" s="69" t="str">
        <f aca="false">IF(OR($F114="",$C114&lt;&gt;'設定（最初に1回）'!$C$4),"",IFERROR(INDEX(発注計算!$Y$6:$Y$405,MATCH($F114,発注計算!$C$6:$C$405,0)),""))</f>
        <v/>
      </c>
      <c r="K114" s="70"/>
      <c r="L114" s="69" t="str">
        <f aca="false">IF($K114="","",N($K114)*N($I114))</f>
        <v/>
      </c>
      <c r="M114" s="71" t="str">
        <f aca="false">IFERROR(INDEX(商品マスタ!$G$6:$G$1005,MATCH($F114,商品マスタ!$B$6:$B$1005,0)),"")</f>
        <v/>
      </c>
      <c r="N114" s="71" t="str">
        <f aca="false">IF($K114="","",N($K114)*N($M114))</f>
        <v/>
      </c>
      <c r="O114" s="66" t="str">
        <f aca="false">IFERROR(INDEX(商品マスタ!$H$6:$H$1005,MATCH($F114,商品マスタ!$B$6:$B$1005,0)),"")</f>
        <v/>
      </c>
      <c r="P114" s="87" t="str">
        <f aca="false">IF(OR($E114="",$O114=""),"",WORKDAY($E114,$O114))</f>
        <v/>
      </c>
      <c r="Q114" s="80"/>
      <c r="R114" s="131"/>
      <c r="S114" s="69" t="n">
        <f aca="false">IF($Q114="入荷済み",N($L114),0)</f>
        <v>0</v>
      </c>
      <c r="T114" s="80"/>
      <c r="U114" s="80"/>
    </row>
    <row r="115" customFormat="false" ht="15" hidden="false" customHeight="false" outlineLevel="0" collapsed="false">
      <c r="B115" s="66" t="str">
        <f aca="false">IF(OR($E115="",$F115=""),"","PO-"&amp;TEXT($E115,"yyyymmdd")&amp;"-"&amp;TEXT(COUNTIFS($E$6:$E115,$E115,$C$6:$C115,$C115),"000"))</f>
        <v/>
      </c>
      <c r="C115" s="130"/>
      <c r="D115" s="66" t="str">
        <f aca="false">IFERROR(INDEX(定数マスタ!$C$6:$C$105,MATCH($C115,定数マスタ!$B$6:$B$105,0)),"")</f>
        <v/>
      </c>
      <c r="E115" s="131"/>
      <c r="F115" s="130"/>
      <c r="G115" s="66" t="str">
        <f aca="false">IFERROR(INDEX(商品マスタ!$C$6:$C$1005,MATCH($F115,商品マスタ!$B$6:$B$1005,0)),"")</f>
        <v/>
      </c>
      <c r="H115" s="66" t="str">
        <f aca="false">IFERROR(INDEX(商品マスタ!$E$6:$E$1005,MATCH($F115,商品マスタ!$B$6:$B$1005,0)),"")</f>
        <v/>
      </c>
      <c r="I115" s="69" t="str">
        <f aca="false">IFERROR(INDEX(商品マスタ!$F$6:$F$1005,MATCH($F115,商品マスタ!$B$6:$B$1005,0)),"")</f>
        <v/>
      </c>
      <c r="J115" s="69" t="str">
        <f aca="false">IF(OR($F115="",$C115&lt;&gt;'設定（最初に1回）'!$C$4),"",IFERROR(INDEX(発注計算!$Y$6:$Y$405,MATCH($F115,発注計算!$C$6:$C$405,0)),""))</f>
        <v/>
      </c>
      <c r="K115" s="70"/>
      <c r="L115" s="69" t="str">
        <f aca="false">IF($K115="","",N($K115)*N($I115))</f>
        <v/>
      </c>
      <c r="M115" s="71" t="str">
        <f aca="false">IFERROR(INDEX(商品マスタ!$G$6:$G$1005,MATCH($F115,商品マスタ!$B$6:$B$1005,0)),"")</f>
        <v/>
      </c>
      <c r="N115" s="71" t="str">
        <f aca="false">IF($K115="","",N($K115)*N($M115))</f>
        <v/>
      </c>
      <c r="O115" s="66" t="str">
        <f aca="false">IFERROR(INDEX(商品マスタ!$H$6:$H$1005,MATCH($F115,商品マスタ!$B$6:$B$1005,0)),"")</f>
        <v/>
      </c>
      <c r="P115" s="87" t="str">
        <f aca="false">IF(OR($E115="",$O115=""),"",WORKDAY($E115,$O115))</f>
        <v/>
      </c>
      <c r="Q115" s="80"/>
      <c r="R115" s="131"/>
      <c r="S115" s="69" t="n">
        <f aca="false">IF($Q115="入荷済み",N($L115),0)</f>
        <v>0</v>
      </c>
      <c r="T115" s="80"/>
      <c r="U115" s="80"/>
    </row>
    <row r="116" customFormat="false" ht="15" hidden="false" customHeight="false" outlineLevel="0" collapsed="false">
      <c r="B116" s="66" t="str">
        <f aca="false">IF(OR($E116="",$F116=""),"","PO-"&amp;TEXT($E116,"yyyymmdd")&amp;"-"&amp;TEXT(COUNTIFS($E$6:$E116,$E116,$C$6:$C116,$C116),"000"))</f>
        <v/>
      </c>
      <c r="C116" s="130"/>
      <c r="D116" s="66" t="str">
        <f aca="false">IFERROR(INDEX(定数マスタ!$C$6:$C$105,MATCH($C116,定数マスタ!$B$6:$B$105,0)),"")</f>
        <v/>
      </c>
      <c r="E116" s="131"/>
      <c r="F116" s="130"/>
      <c r="G116" s="66" t="str">
        <f aca="false">IFERROR(INDEX(商品マスタ!$C$6:$C$1005,MATCH($F116,商品マスタ!$B$6:$B$1005,0)),"")</f>
        <v/>
      </c>
      <c r="H116" s="66" t="str">
        <f aca="false">IFERROR(INDEX(商品マスタ!$E$6:$E$1005,MATCH($F116,商品マスタ!$B$6:$B$1005,0)),"")</f>
        <v/>
      </c>
      <c r="I116" s="69" t="str">
        <f aca="false">IFERROR(INDEX(商品マスタ!$F$6:$F$1005,MATCH($F116,商品マスタ!$B$6:$B$1005,0)),"")</f>
        <v/>
      </c>
      <c r="J116" s="69" t="str">
        <f aca="false">IF(OR($F116="",$C116&lt;&gt;'設定（最初に1回）'!$C$4),"",IFERROR(INDEX(発注計算!$Y$6:$Y$405,MATCH($F116,発注計算!$C$6:$C$405,0)),""))</f>
        <v/>
      </c>
      <c r="K116" s="70"/>
      <c r="L116" s="69" t="str">
        <f aca="false">IF($K116="","",N($K116)*N($I116))</f>
        <v/>
      </c>
      <c r="M116" s="71" t="str">
        <f aca="false">IFERROR(INDEX(商品マスタ!$G$6:$G$1005,MATCH($F116,商品マスタ!$B$6:$B$1005,0)),"")</f>
        <v/>
      </c>
      <c r="N116" s="71" t="str">
        <f aca="false">IF($K116="","",N($K116)*N($M116))</f>
        <v/>
      </c>
      <c r="O116" s="66" t="str">
        <f aca="false">IFERROR(INDEX(商品マスタ!$H$6:$H$1005,MATCH($F116,商品マスタ!$B$6:$B$1005,0)),"")</f>
        <v/>
      </c>
      <c r="P116" s="87" t="str">
        <f aca="false">IF(OR($E116="",$O116=""),"",WORKDAY($E116,$O116))</f>
        <v/>
      </c>
      <c r="Q116" s="80"/>
      <c r="R116" s="131"/>
      <c r="S116" s="69" t="n">
        <f aca="false">IF($Q116="入荷済み",N($L116),0)</f>
        <v>0</v>
      </c>
      <c r="T116" s="80"/>
      <c r="U116" s="80"/>
    </row>
    <row r="117" customFormat="false" ht="15" hidden="false" customHeight="false" outlineLevel="0" collapsed="false">
      <c r="B117" s="66" t="str">
        <f aca="false">IF(OR($E117="",$F117=""),"","PO-"&amp;TEXT($E117,"yyyymmdd")&amp;"-"&amp;TEXT(COUNTIFS($E$6:$E117,$E117,$C$6:$C117,$C117),"000"))</f>
        <v/>
      </c>
      <c r="C117" s="130"/>
      <c r="D117" s="66" t="str">
        <f aca="false">IFERROR(INDEX(定数マスタ!$C$6:$C$105,MATCH($C117,定数マスタ!$B$6:$B$105,0)),"")</f>
        <v/>
      </c>
      <c r="E117" s="131"/>
      <c r="F117" s="130"/>
      <c r="G117" s="66" t="str">
        <f aca="false">IFERROR(INDEX(商品マスタ!$C$6:$C$1005,MATCH($F117,商品マスタ!$B$6:$B$1005,0)),"")</f>
        <v/>
      </c>
      <c r="H117" s="66" t="str">
        <f aca="false">IFERROR(INDEX(商品マスタ!$E$6:$E$1005,MATCH($F117,商品マスタ!$B$6:$B$1005,0)),"")</f>
        <v/>
      </c>
      <c r="I117" s="69" t="str">
        <f aca="false">IFERROR(INDEX(商品マスタ!$F$6:$F$1005,MATCH($F117,商品マスタ!$B$6:$B$1005,0)),"")</f>
        <v/>
      </c>
      <c r="J117" s="69" t="str">
        <f aca="false">IF(OR($F117="",$C117&lt;&gt;'設定（最初に1回）'!$C$4),"",IFERROR(INDEX(発注計算!$Y$6:$Y$405,MATCH($F117,発注計算!$C$6:$C$405,0)),""))</f>
        <v/>
      </c>
      <c r="K117" s="70"/>
      <c r="L117" s="69" t="str">
        <f aca="false">IF($K117="","",N($K117)*N($I117))</f>
        <v/>
      </c>
      <c r="M117" s="71" t="str">
        <f aca="false">IFERROR(INDEX(商品マスタ!$G$6:$G$1005,MATCH($F117,商品マスタ!$B$6:$B$1005,0)),"")</f>
        <v/>
      </c>
      <c r="N117" s="71" t="str">
        <f aca="false">IF($K117="","",N($K117)*N($M117))</f>
        <v/>
      </c>
      <c r="O117" s="66" t="str">
        <f aca="false">IFERROR(INDEX(商品マスタ!$H$6:$H$1005,MATCH($F117,商品マスタ!$B$6:$B$1005,0)),"")</f>
        <v/>
      </c>
      <c r="P117" s="87" t="str">
        <f aca="false">IF(OR($E117="",$O117=""),"",WORKDAY($E117,$O117))</f>
        <v/>
      </c>
      <c r="Q117" s="80"/>
      <c r="R117" s="131"/>
      <c r="S117" s="69" t="n">
        <f aca="false">IF($Q117="入荷済み",N($L117),0)</f>
        <v>0</v>
      </c>
      <c r="T117" s="80"/>
      <c r="U117" s="80"/>
    </row>
    <row r="118" customFormat="false" ht="15" hidden="false" customHeight="false" outlineLevel="0" collapsed="false">
      <c r="B118" s="66" t="str">
        <f aca="false">IF(OR($E118="",$F118=""),"","PO-"&amp;TEXT($E118,"yyyymmdd")&amp;"-"&amp;TEXT(COUNTIFS($E$6:$E118,$E118,$C$6:$C118,$C118),"000"))</f>
        <v/>
      </c>
      <c r="C118" s="130"/>
      <c r="D118" s="66" t="str">
        <f aca="false">IFERROR(INDEX(定数マスタ!$C$6:$C$105,MATCH($C118,定数マスタ!$B$6:$B$105,0)),"")</f>
        <v/>
      </c>
      <c r="E118" s="131"/>
      <c r="F118" s="130"/>
      <c r="G118" s="66" t="str">
        <f aca="false">IFERROR(INDEX(商品マスタ!$C$6:$C$1005,MATCH($F118,商品マスタ!$B$6:$B$1005,0)),"")</f>
        <v/>
      </c>
      <c r="H118" s="66" t="str">
        <f aca="false">IFERROR(INDEX(商品マスタ!$E$6:$E$1005,MATCH($F118,商品マスタ!$B$6:$B$1005,0)),"")</f>
        <v/>
      </c>
      <c r="I118" s="69" t="str">
        <f aca="false">IFERROR(INDEX(商品マスタ!$F$6:$F$1005,MATCH($F118,商品マスタ!$B$6:$B$1005,0)),"")</f>
        <v/>
      </c>
      <c r="J118" s="69" t="str">
        <f aca="false">IF(OR($F118="",$C118&lt;&gt;'設定（最初に1回）'!$C$4),"",IFERROR(INDEX(発注計算!$Y$6:$Y$405,MATCH($F118,発注計算!$C$6:$C$405,0)),""))</f>
        <v/>
      </c>
      <c r="K118" s="70"/>
      <c r="L118" s="69" t="str">
        <f aca="false">IF($K118="","",N($K118)*N($I118))</f>
        <v/>
      </c>
      <c r="M118" s="71" t="str">
        <f aca="false">IFERROR(INDEX(商品マスタ!$G$6:$G$1005,MATCH($F118,商品マスタ!$B$6:$B$1005,0)),"")</f>
        <v/>
      </c>
      <c r="N118" s="71" t="str">
        <f aca="false">IF($K118="","",N($K118)*N($M118))</f>
        <v/>
      </c>
      <c r="O118" s="66" t="str">
        <f aca="false">IFERROR(INDEX(商品マスタ!$H$6:$H$1005,MATCH($F118,商品マスタ!$B$6:$B$1005,0)),"")</f>
        <v/>
      </c>
      <c r="P118" s="87" t="str">
        <f aca="false">IF(OR($E118="",$O118=""),"",WORKDAY($E118,$O118))</f>
        <v/>
      </c>
      <c r="Q118" s="80"/>
      <c r="R118" s="131"/>
      <c r="S118" s="69" t="n">
        <f aca="false">IF($Q118="入荷済み",N($L118),0)</f>
        <v>0</v>
      </c>
      <c r="T118" s="80"/>
      <c r="U118" s="80"/>
    </row>
    <row r="119" customFormat="false" ht="15" hidden="false" customHeight="false" outlineLevel="0" collapsed="false">
      <c r="B119" s="66" t="str">
        <f aca="false">IF(OR($E119="",$F119=""),"","PO-"&amp;TEXT($E119,"yyyymmdd")&amp;"-"&amp;TEXT(COUNTIFS($E$6:$E119,$E119,$C$6:$C119,$C119),"000"))</f>
        <v/>
      </c>
      <c r="C119" s="130"/>
      <c r="D119" s="66" t="str">
        <f aca="false">IFERROR(INDEX(定数マスタ!$C$6:$C$105,MATCH($C119,定数マスタ!$B$6:$B$105,0)),"")</f>
        <v/>
      </c>
      <c r="E119" s="131"/>
      <c r="F119" s="130"/>
      <c r="G119" s="66" t="str">
        <f aca="false">IFERROR(INDEX(商品マスタ!$C$6:$C$1005,MATCH($F119,商品マスタ!$B$6:$B$1005,0)),"")</f>
        <v/>
      </c>
      <c r="H119" s="66" t="str">
        <f aca="false">IFERROR(INDEX(商品マスタ!$E$6:$E$1005,MATCH($F119,商品マスタ!$B$6:$B$1005,0)),"")</f>
        <v/>
      </c>
      <c r="I119" s="69" t="str">
        <f aca="false">IFERROR(INDEX(商品マスタ!$F$6:$F$1005,MATCH($F119,商品マスタ!$B$6:$B$1005,0)),"")</f>
        <v/>
      </c>
      <c r="J119" s="69" t="str">
        <f aca="false">IF(OR($F119="",$C119&lt;&gt;'設定（最初に1回）'!$C$4),"",IFERROR(INDEX(発注計算!$Y$6:$Y$405,MATCH($F119,発注計算!$C$6:$C$405,0)),""))</f>
        <v/>
      </c>
      <c r="K119" s="70"/>
      <c r="L119" s="69" t="str">
        <f aca="false">IF($K119="","",N($K119)*N($I119))</f>
        <v/>
      </c>
      <c r="M119" s="71" t="str">
        <f aca="false">IFERROR(INDEX(商品マスタ!$G$6:$G$1005,MATCH($F119,商品マスタ!$B$6:$B$1005,0)),"")</f>
        <v/>
      </c>
      <c r="N119" s="71" t="str">
        <f aca="false">IF($K119="","",N($K119)*N($M119))</f>
        <v/>
      </c>
      <c r="O119" s="66" t="str">
        <f aca="false">IFERROR(INDEX(商品マスタ!$H$6:$H$1005,MATCH($F119,商品マスタ!$B$6:$B$1005,0)),"")</f>
        <v/>
      </c>
      <c r="P119" s="87" t="str">
        <f aca="false">IF(OR($E119="",$O119=""),"",WORKDAY($E119,$O119))</f>
        <v/>
      </c>
      <c r="Q119" s="80"/>
      <c r="R119" s="131"/>
      <c r="S119" s="69" t="n">
        <f aca="false">IF($Q119="入荷済み",N($L119),0)</f>
        <v>0</v>
      </c>
      <c r="T119" s="80"/>
      <c r="U119" s="80"/>
    </row>
    <row r="120" customFormat="false" ht="15" hidden="false" customHeight="false" outlineLevel="0" collapsed="false">
      <c r="B120" s="66" t="str">
        <f aca="false">IF(OR($E120="",$F120=""),"","PO-"&amp;TEXT($E120,"yyyymmdd")&amp;"-"&amp;TEXT(COUNTIFS($E$6:$E120,$E120,$C$6:$C120,$C120),"000"))</f>
        <v/>
      </c>
      <c r="C120" s="130"/>
      <c r="D120" s="66" t="str">
        <f aca="false">IFERROR(INDEX(定数マスタ!$C$6:$C$105,MATCH($C120,定数マスタ!$B$6:$B$105,0)),"")</f>
        <v/>
      </c>
      <c r="E120" s="131"/>
      <c r="F120" s="130"/>
      <c r="G120" s="66" t="str">
        <f aca="false">IFERROR(INDEX(商品マスタ!$C$6:$C$1005,MATCH($F120,商品マスタ!$B$6:$B$1005,0)),"")</f>
        <v/>
      </c>
      <c r="H120" s="66" t="str">
        <f aca="false">IFERROR(INDEX(商品マスタ!$E$6:$E$1005,MATCH($F120,商品マスタ!$B$6:$B$1005,0)),"")</f>
        <v/>
      </c>
      <c r="I120" s="69" t="str">
        <f aca="false">IFERROR(INDEX(商品マスタ!$F$6:$F$1005,MATCH($F120,商品マスタ!$B$6:$B$1005,0)),"")</f>
        <v/>
      </c>
      <c r="J120" s="69" t="str">
        <f aca="false">IF(OR($F120="",$C120&lt;&gt;'設定（最初に1回）'!$C$4),"",IFERROR(INDEX(発注計算!$Y$6:$Y$405,MATCH($F120,発注計算!$C$6:$C$405,0)),""))</f>
        <v/>
      </c>
      <c r="K120" s="70"/>
      <c r="L120" s="69" t="str">
        <f aca="false">IF($K120="","",N($K120)*N($I120))</f>
        <v/>
      </c>
      <c r="M120" s="71" t="str">
        <f aca="false">IFERROR(INDEX(商品マスタ!$G$6:$G$1005,MATCH($F120,商品マスタ!$B$6:$B$1005,0)),"")</f>
        <v/>
      </c>
      <c r="N120" s="71" t="str">
        <f aca="false">IF($K120="","",N($K120)*N($M120))</f>
        <v/>
      </c>
      <c r="O120" s="66" t="str">
        <f aca="false">IFERROR(INDEX(商品マスタ!$H$6:$H$1005,MATCH($F120,商品マスタ!$B$6:$B$1005,0)),"")</f>
        <v/>
      </c>
      <c r="P120" s="87" t="str">
        <f aca="false">IF(OR($E120="",$O120=""),"",WORKDAY($E120,$O120))</f>
        <v/>
      </c>
      <c r="Q120" s="80"/>
      <c r="R120" s="131"/>
      <c r="S120" s="69" t="n">
        <f aca="false">IF($Q120="入荷済み",N($L120),0)</f>
        <v>0</v>
      </c>
      <c r="T120" s="80"/>
      <c r="U120" s="80"/>
    </row>
    <row r="121" customFormat="false" ht="15" hidden="false" customHeight="false" outlineLevel="0" collapsed="false">
      <c r="B121" s="66" t="str">
        <f aca="false">IF(OR($E121="",$F121=""),"","PO-"&amp;TEXT($E121,"yyyymmdd")&amp;"-"&amp;TEXT(COUNTIFS($E$6:$E121,$E121,$C$6:$C121,$C121),"000"))</f>
        <v/>
      </c>
      <c r="C121" s="130"/>
      <c r="D121" s="66" t="str">
        <f aca="false">IFERROR(INDEX(定数マスタ!$C$6:$C$105,MATCH($C121,定数マスタ!$B$6:$B$105,0)),"")</f>
        <v/>
      </c>
      <c r="E121" s="131"/>
      <c r="F121" s="130"/>
      <c r="G121" s="66" t="str">
        <f aca="false">IFERROR(INDEX(商品マスタ!$C$6:$C$1005,MATCH($F121,商品マスタ!$B$6:$B$1005,0)),"")</f>
        <v/>
      </c>
      <c r="H121" s="66" t="str">
        <f aca="false">IFERROR(INDEX(商品マスタ!$E$6:$E$1005,MATCH($F121,商品マスタ!$B$6:$B$1005,0)),"")</f>
        <v/>
      </c>
      <c r="I121" s="69" t="str">
        <f aca="false">IFERROR(INDEX(商品マスタ!$F$6:$F$1005,MATCH($F121,商品マスタ!$B$6:$B$1005,0)),"")</f>
        <v/>
      </c>
      <c r="J121" s="69" t="str">
        <f aca="false">IF(OR($F121="",$C121&lt;&gt;'設定（最初に1回）'!$C$4),"",IFERROR(INDEX(発注計算!$Y$6:$Y$405,MATCH($F121,発注計算!$C$6:$C$405,0)),""))</f>
        <v/>
      </c>
      <c r="K121" s="70"/>
      <c r="L121" s="69" t="str">
        <f aca="false">IF($K121="","",N($K121)*N($I121))</f>
        <v/>
      </c>
      <c r="M121" s="71" t="str">
        <f aca="false">IFERROR(INDEX(商品マスタ!$G$6:$G$1005,MATCH($F121,商品マスタ!$B$6:$B$1005,0)),"")</f>
        <v/>
      </c>
      <c r="N121" s="71" t="str">
        <f aca="false">IF($K121="","",N($K121)*N($M121))</f>
        <v/>
      </c>
      <c r="O121" s="66" t="str">
        <f aca="false">IFERROR(INDEX(商品マスタ!$H$6:$H$1005,MATCH($F121,商品マスタ!$B$6:$B$1005,0)),"")</f>
        <v/>
      </c>
      <c r="P121" s="87" t="str">
        <f aca="false">IF(OR($E121="",$O121=""),"",WORKDAY($E121,$O121))</f>
        <v/>
      </c>
      <c r="Q121" s="80"/>
      <c r="R121" s="131"/>
      <c r="S121" s="69" t="n">
        <f aca="false">IF($Q121="入荷済み",N($L121),0)</f>
        <v>0</v>
      </c>
      <c r="T121" s="80"/>
      <c r="U121" s="80"/>
    </row>
    <row r="122" customFormat="false" ht="15" hidden="false" customHeight="false" outlineLevel="0" collapsed="false">
      <c r="B122" s="66" t="str">
        <f aca="false">IF(OR($E122="",$F122=""),"","PO-"&amp;TEXT($E122,"yyyymmdd")&amp;"-"&amp;TEXT(COUNTIFS($E$6:$E122,$E122,$C$6:$C122,$C122),"000"))</f>
        <v/>
      </c>
      <c r="C122" s="130"/>
      <c r="D122" s="66" t="str">
        <f aca="false">IFERROR(INDEX(定数マスタ!$C$6:$C$105,MATCH($C122,定数マスタ!$B$6:$B$105,0)),"")</f>
        <v/>
      </c>
      <c r="E122" s="131"/>
      <c r="F122" s="130"/>
      <c r="G122" s="66" t="str">
        <f aca="false">IFERROR(INDEX(商品マスタ!$C$6:$C$1005,MATCH($F122,商品マスタ!$B$6:$B$1005,0)),"")</f>
        <v/>
      </c>
      <c r="H122" s="66" t="str">
        <f aca="false">IFERROR(INDEX(商品マスタ!$E$6:$E$1005,MATCH($F122,商品マスタ!$B$6:$B$1005,0)),"")</f>
        <v/>
      </c>
      <c r="I122" s="69" t="str">
        <f aca="false">IFERROR(INDEX(商品マスタ!$F$6:$F$1005,MATCH($F122,商品マスタ!$B$6:$B$1005,0)),"")</f>
        <v/>
      </c>
      <c r="J122" s="69" t="str">
        <f aca="false">IF(OR($F122="",$C122&lt;&gt;'設定（最初に1回）'!$C$4),"",IFERROR(INDEX(発注計算!$Y$6:$Y$405,MATCH($F122,発注計算!$C$6:$C$405,0)),""))</f>
        <v/>
      </c>
      <c r="K122" s="70"/>
      <c r="L122" s="69" t="str">
        <f aca="false">IF($K122="","",N($K122)*N($I122))</f>
        <v/>
      </c>
      <c r="M122" s="71" t="str">
        <f aca="false">IFERROR(INDEX(商品マスタ!$G$6:$G$1005,MATCH($F122,商品マスタ!$B$6:$B$1005,0)),"")</f>
        <v/>
      </c>
      <c r="N122" s="71" t="str">
        <f aca="false">IF($K122="","",N($K122)*N($M122))</f>
        <v/>
      </c>
      <c r="O122" s="66" t="str">
        <f aca="false">IFERROR(INDEX(商品マスタ!$H$6:$H$1005,MATCH($F122,商品マスタ!$B$6:$B$1005,0)),"")</f>
        <v/>
      </c>
      <c r="P122" s="87" t="str">
        <f aca="false">IF(OR($E122="",$O122=""),"",WORKDAY($E122,$O122))</f>
        <v/>
      </c>
      <c r="Q122" s="80"/>
      <c r="R122" s="131"/>
      <c r="S122" s="69" t="n">
        <f aca="false">IF($Q122="入荷済み",N($L122),0)</f>
        <v>0</v>
      </c>
      <c r="T122" s="80"/>
      <c r="U122" s="80"/>
    </row>
    <row r="123" customFormat="false" ht="15" hidden="false" customHeight="false" outlineLevel="0" collapsed="false">
      <c r="B123" s="66" t="str">
        <f aca="false">IF(OR($E123="",$F123=""),"","PO-"&amp;TEXT($E123,"yyyymmdd")&amp;"-"&amp;TEXT(COUNTIFS($E$6:$E123,$E123,$C$6:$C123,$C123),"000"))</f>
        <v/>
      </c>
      <c r="C123" s="130"/>
      <c r="D123" s="66" t="str">
        <f aca="false">IFERROR(INDEX(定数マスタ!$C$6:$C$105,MATCH($C123,定数マスタ!$B$6:$B$105,0)),"")</f>
        <v/>
      </c>
      <c r="E123" s="131"/>
      <c r="F123" s="130"/>
      <c r="G123" s="66" t="str">
        <f aca="false">IFERROR(INDEX(商品マスタ!$C$6:$C$1005,MATCH($F123,商品マスタ!$B$6:$B$1005,0)),"")</f>
        <v/>
      </c>
      <c r="H123" s="66" t="str">
        <f aca="false">IFERROR(INDEX(商品マスタ!$E$6:$E$1005,MATCH($F123,商品マスタ!$B$6:$B$1005,0)),"")</f>
        <v/>
      </c>
      <c r="I123" s="69" t="str">
        <f aca="false">IFERROR(INDEX(商品マスタ!$F$6:$F$1005,MATCH($F123,商品マスタ!$B$6:$B$1005,0)),"")</f>
        <v/>
      </c>
      <c r="J123" s="69" t="str">
        <f aca="false">IF(OR($F123="",$C123&lt;&gt;'設定（最初に1回）'!$C$4),"",IFERROR(INDEX(発注計算!$Y$6:$Y$405,MATCH($F123,発注計算!$C$6:$C$405,0)),""))</f>
        <v/>
      </c>
      <c r="K123" s="70"/>
      <c r="L123" s="69" t="str">
        <f aca="false">IF($K123="","",N($K123)*N($I123))</f>
        <v/>
      </c>
      <c r="M123" s="71" t="str">
        <f aca="false">IFERROR(INDEX(商品マスタ!$G$6:$G$1005,MATCH($F123,商品マスタ!$B$6:$B$1005,0)),"")</f>
        <v/>
      </c>
      <c r="N123" s="71" t="str">
        <f aca="false">IF($K123="","",N($K123)*N($M123))</f>
        <v/>
      </c>
      <c r="O123" s="66" t="str">
        <f aca="false">IFERROR(INDEX(商品マスタ!$H$6:$H$1005,MATCH($F123,商品マスタ!$B$6:$B$1005,0)),"")</f>
        <v/>
      </c>
      <c r="P123" s="87" t="str">
        <f aca="false">IF(OR($E123="",$O123=""),"",WORKDAY($E123,$O123))</f>
        <v/>
      </c>
      <c r="Q123" s="80"/>
      <c r="R123" s="131"/>
      <c r="S123" s="69" t="n">
        <f aca="false">IF($Q123="入荷済み",N($L123),0)</f>
        <v>0</v>
      </c>
      <c r="T123" s="80"/>
      <c r="U123" s="80"/>
    </row>
    <row r="124" customFormat="false" ht="15" hidden="false" customHeight="false" outlineLevel="0" collapsed="false">
      <c r="B124" s="66" t="str">
        <f aca="false">IF(OR($E124="",$F124=""),"","PO-"&amp;TEXT($E124,"yyyymmdd")&amp;"-"&amp;TEXT(COUNTIFS($E$6:$E124,$E124,$C$6:$C124,$C124),"000"))</f>
        <v/>
      </c>
      <c r="C124" s="130"/>
      <c r="D124" s="66" t="str">
        <f aca="false">IFERROR(INDEX(定数マスタ!$C$6:$C$105,MATCH($C124,定数マスタ!$B$6:$B$105,0)),"")</f>
        <v/>
      </c>
      <c r="E124" s="131"/>
      <c r="F124" s="130"/>
      <c r="G124" s="66" t="str">
        <f aca="false">IFERROR(INDEX(商品マスタ!$C$6:$C$1005,MATCH($F124,商品マスタ!$B$6:$B$1005,0)),"")</f>
        <v/>
      </c>
      <c r="H124" s="66" t="str">
        <f aca="false">IFERROR(INDEX(商品マスタ!$E$6:$E$1005,MATCH($F124,商品マスタ!$B$6:$B$1005,0)),"")</f>
        <v/>
      </c>
      <c r="I124" s="69" t="str">
        <f aca="false">IFERROR(INDEX(商品マスタ!$F$6:$F$1005,MATCH($F124,商品マスタ!$B$6:$B$1005,0)),"")</f>
        <v/>
      </c>
      <c r="J124" s="69" t="str">
        <f aca="false">IF(OR($F124="",$C124&lt;&gt;'設定（最初に1回）'!$C$4),"",IFERROR(INDEX(発注計算!$Y$6:$Y$405,MATCH($F124,発注計算!$C$6:$C$405,0)),""))</f>
        <v/>
      </c>
      <c r="K124" s="70"/>
      <c r="L124" s="69" t="str">
        <f aca="false">IF($K124="","",N($K124)*N($I124))</f>
        <v/>
      </c>
      <c r="M124" s="71" t="str">
        <f aca="false">IFERROR(INDEX(商品マスタ!$G$6:$G$1005,MATCH($F124,商品マスタ!$B$6:$B$1005,0)),"")</f>
        <v/>
      </c>
      <c r="N124" s="71" t="str">
        <f aca="false">IF($K124="","",N($K124)*N($M124))</f>
        <v/>
      </c>
      <c r="O124" s="66" t="str">
        <f aca="false">IFERROR(INDEX(商品マスタ!$H$6:$H$1005,MATCH($F124,商品マスタ!$B$6:$B$1005,0)),"")</f>
        <v/>
      </c>
      <c r="P124" s="87" t="str">
        <f aca="false">IF(OR($E124="",$O124=""),"",WORKDAY($E124,$O124))</f>
        <v/>
      </c>
      <c r="Q124" s="80"/>
      <c r="R124" s="131"/>
      <c r="S124" s="69" t="n">
        <f aca="false">IF($Q124="入荷済み",N($L124),0)</f>
        <v>0</v>
      </c>
      <c r="T124" s="80"/>
      <c r="U124" s="80"/>
    </row>
    <row r="125" customFormat="false" ht="15" hidden="false" customHeight="false" outlineLevel="0" collapsed="false">
      <c r="B125" s="66" t="str">
        <f aca="false">IF(OR($E125="",$F125=""),"","PO-"&amp;TEXT($E125,"yyyymmdd")&amp;"-"&amp;TEXT(COUNTIFS($E$6:$E125,$E125,$C$6:$C125,$C125),"000"))</f>
        <v/>
      </c>
      <c r="C125" s="130"/>
      <c r="D125" s="66" t="str">
        <f aca="false">IFERROR(INDEX(定数マスタ!$C$6:$C$105,MATCH($C125,定数マスタ!$B$6:$B$105,0)),"")</f>
        <v/>
      </c>
      <c r="E125" s="131"/>
      <c r="F125" s="130"/>
      <c r="G125" s="66" t="str">
        <f aca="false">IFERROR(INDEX(商品マスタ!$C$6:$C$1005,MATCH($F125,商品マスタ!$B$6:$B$1005,0)),"")</f>
        <v/>
      </c>
      <c r="H125" s="66" t="str">
        <f aca="false">IFERROR(INDEX(商品マスタ!$E$6:$E$1005,MATCH($F125,商品マスタ!$B$6:$B$1005,0)),"")</f>
        <v/>
      </c>
      <c r="I125" s="69" t="str">
        <f aca="false">IFERROR(INDEX(商品マスタ!$F$6:$F$1005,MATCH($F125,商品マスタ!$B$6:$B$1005,0)),"")</f>
        <v/>
      </c>
      <c r="J125" s="69" t="str">
        <f aca="false">IF(OR($F125="",$C125&lt;&gt;'設定（最初に1回）'!$C$4),"",IFERROR(INDEX(発注計算!$Y$6:$Y$405,MATCH($F125,発注計算!$C$6:$C$405,0)),""))</f>
        <v/>
      </c>
      <c r="K125" s="70"/>
      <c r="L125" s="69" t="str">
        <f aca="false">IF($K125="","",N($K125)*N($I125))</f>
        <v/>
      </c>
      <c r="M125" s="71" t="str">
        <f aca="false">IFERROR(INDEX(商品マスタ!$G$6:$G$1005,MATCH($F125,商品マスタ!$B$6:$B$1005,0)),"")</f>
        <v/>
      </c>
      <c r="N125" s="71" t="str">
        <f aca="false">IF($K125="","",N($K125)*N($M125))</f>
        <v/>
      </c>
      <c r="O125" s="66" t="str">
        <f aca="false">IFERROR(INDEX(商品マスタ!$H$6:$H$1005,MATCH($F125,商品マスタ!$B$6:$B$1005,0)),"")</f>
        <v/>
      </c>
      <c r="P125" s="87" t="str">
        <f aca="false">IF(OR($E125="",$O125=""),"",WORKDAY($E125,$O125))</f>
        <v/>
      </c>
      <c r="Q125" s="80"/>
      <c r="R125" s="131"/>
      <c r="S125" s="69" t="n">
        <f aca="false">IF($Q125="入荷済み",N($L125),0)</f>
        <v>0</v>
      </c>
      <c r="T125" s="80"/>
      <c r="U125" s="80"/>
    </row>
    <row r="126" customFormat="false" ht="15" hidden="false" customHeight="false" outlineLevel="0" collapsed="false">
      <c r="B126" s="66" t="str">
        <f aca="false">IF(OR($E126="",$F126=""),"","PO-"&amp;TEXT($E126,"yyyymmdd")&amp;"-"&amp;TEXT(COUNTIFS($E$6:$E126,$E126,$C$6:$C126,$C126),"000"))</f>
        <v/>
      </c>
      <c r="C126" s="130"/>
      <c r="D126" s="66" t="str">
        <f aca="false">IFERROR(INDEX(定数マスタ!$C$6:$C$105,MATCH($C126,定数マスタ!$B$6:$B$105,0)),"")</f>
        <v/>
      </c>
      <c r="E126" s="131"/>
      <c r="F126" s="130"/>
      <c r="G126" s="66" t="str">
        <f aca="false">IFERROR(INDEX(商品マスタ!$C$6:$C$1005,MATCH($F126,商品マスタ!$B$6:$B$1005,0)),"")</f>
        <v/>
      </c>
      <c r="H126" s="66" t="str">
        <f aca="false">IFERROR(INDEX(商品マスタ!$E$6:$E$1005,MATCH($F126,商品マスタ!$B$6:$B$1005,0)),"")</f>
        <v/>
      </c>
      <c r="I126" s="69" t="str">
        <f aca="false">IFERROR(INDEX(商品マスタ!$F$6:$F$1005,MATCH($F126,商品マスタ!$B$6:$B$1005,0)),"")</f>
        <v/>
      </c>
      <c r="J126" s="69" t="str">
        <f aca="false">IF(OR($F126="",$C126&lt;&gt;'設定（最初に1回）'!$C$4),"",IFERROR(INDEX(発注計算!$Y$6:$Y$405,MATCH($F126,発注計算!$C$6:$C$405,0)),""))</f>
        <v/>
      </c>
      <c r="K126" s="70"/>
      <c r="L126" s="69" t="str">
        <f aca="false">IF($K126="","",N($K126)*N($I126))</f>
        <v/>
      </c>
      <c r="M126" s="71" t="str">
        <f aca="false">IFERROR(INDEX(商品マスタ!$G$6:$G$1005,MATCH($F126,商品マスタ!$B$6:$B$1005,0)),"")</f>
        <v/>
      </c>
      <c r="N126" s="71" t="str">
        <f aca="false">IF($K126="","",N($K126)*N($M126))</f>
        <v/>
      </c>
      <c r="O126" s="66" t="str">
        <f aca="false">IFERROR(INDEX(商品マスタ!$H$6:$H$1005,MATCH($F126,商品マスタ!$B$6:$B$1005,0)),"")</f>
        <v/>
      </c>
      <c r="P126" s="87" t="str">
        <f aca="false">IF(OR($E126="",$O126=""),"",WORKDAY($E126,$O126))</f>
        <v/>
      </c>
      <c r="Q126" s="80"/>
      <c r="R126" s="131"/>
      <c r="S126" s="69" t="n">
        <f aca="false">IF($Q126="入荷済み",N($L126),0)</f>
        <v>0</v>
      </c>
      <c r="T126" s="80"/>
      <c r="U126" s="80"/>
    </row>
    <row r="127" customFormat="false" ht="15" hidden="false" customHeight="false" outlineLevel="0" collapsed="false">
      <c r="B127" s="66" t="str">
        <f aca="false">IF(OR($E127="",$F127=""),"","PO-"&amp;TEXT($E127,"yyyymmdd")&amp;"-"&amp;TEXT(COUNTIFS($E$6:$E127,$E127,$C$6:$C127,$C127),"000"))</f>
        <v/>
      </c>
      <c r="C127" s="130"/>
      <c r="D127" s="66" t="str">
        <f aca="false">IFERROR(INDEX(定数マスタ!$C$6:$C$105,MATCH($C127,定数マスタ!$B$6:$B$105,0)),"")</f>
        <v/>
      </c>
      <c r="E127" s="131"/>
      <c r="F127" s="130"/>
      <c r="G127" s="66" t="str">
        <f aca="false">IFERROR(INDEX(商品マスタ!$C$6:$C$1005,MATCH($F127,商品マスタ!$B$6:$B$1005,0)),"")</f>
        <v/>
      </c>
      <c r="H127" s="66" t="str">
        <f aca="false">IFERROR(INDEX(商品マスタ!$E$6:$E$1005,MATCH($F127,商品マスタ!$B$6:$B$1005,0)),"")</f>
        <v/>
      </c>
      <c r="I127" s="69" t="str">
        <f aca="false">IFERROR(INDEX(商品マスタ!$F$6:$F$1005,MATCH($F127,商品マスタ!$B$6:$B$1005,0)),"")</f>
        <v/>
      </c>
      <c r="J127" s="69" t="str">
        <f aca="false">IF(OR($F127="",$C127&lt;&gt;'設定（最初に1回）'!$C$4),"",IFERROR(INDEX(発注計算!$Y$6:$Y$405,MATCH($F127,発注計算!$C$6:$C$405,0)),""))</f>
        <v/>
      </c>
      <c r="K127" s="70"/>
      <c r="L127" s="69" t="str">
        <f aca="false">IF($K127="","",N($K127)*N($I127))</f>
        <v/>
      </c>
      <c r="M127" s="71" t="str">
        <f aca="false">IFERROR(INDEX(商品マスタ!$G$6:$G$1005,MATCH($F127,商品マスタ!$B$6:$B$1005,0)),"")</f>
        <v/>
      </c>
      <c r="N127" s="71" t="str">
        <f aca="false">IF($K127="","",N($K127)*N($M127))</f>
        <v/>
      </c>
      <c r="O127" s="66" t="str">
        <f aca="false">IFERROR(INDEX(商品マスタ!$H$6:$H$1005,MATCH($F127,商品マスタ!$B$6:$B$1005,0)),"")</f>
        <v/>
      </c>
      <c r="P127" s="87" t="str">
        <f aca="false">IF(OR($E127="",$O127=""),"",WORKDAY($E127,$O127))</f>
        <v/>
      </c>
      <c r="Q127" s="80"/>
      <c r="R127" s="131"/>
      <c r="S127" s="69" t="n">
        <f aca="false">IF($Q127="入荷済み",N($L127),0)</f>
        <v>0</v>
      </c>
      <c r="T127" s="80"/>
      <c r="U127" s="80"/>
    </row>
    <row r="128" customFormat="false" ht="15" hidden="false" customHeight="false" outlineLevel="0" collapsed="false">
      <c r="B128" s="66" t="str">
        <f aca="false">IF(OR($E128="",$F128=""),"","PO-"&amp;TEXT($E128,"yyyymmdd")&amp;"-"&amp;TEXT(COUNTIFS($E$6:$E128,$E128,$C$6:$C128,$C128),"000"))</f>
        <v/>
      </c>
      <c r="C128" s="130"/>
      <c r="D128" s="66" t="str">
        <f aca="false">IFERROR(INDEX(定数マスタ!$C$6:$C$105,MATCH($C128,定数マスタ!$B$6:$B$105,0)),"")</f>
        <v/>
      </c>
      <c r="E128" s="131"/>
      <c r="F128" s="130"/>
      <c r="G128" s="66" t="str">
        <f aca="false">IFERROR(INDEX(商品マスタ!$C$6:$C$1005,MATCH($F128,商品マスタ!$B$6:$B$1005,0)),"")</f>
        <v/>
      </c>
      <c r="H128" s="66" t="str">
        <f aca="false">IFERROR(INDEX(商品マスタ!$E$6:$E$1005,MATCH($F128,商品マスタ!$B$6:$B$1005,0)),"")</f>
        <v/>
      </c>
      <c r="I128" s="69" t="str">
        <f aca="false">IFERROR(INDEX(商品マスタ!$F$6:$F$1005,MATCH($F128,商品マスタ!$B$6:$B$1005,0)),"")</f>
        <v/>
      </c>
      <c r="J128" s="69" t="str">
        <f aca="false">IF(OR($F128="",$C128&lt;&gt;'設定（最初に1回）'!$C$4),"",IFERROR(INDEX(発注計算!$Y$6:$Y$405,MATCH($F128,発注計算!$C$6:$C$405,0)),""))</f>
        <v/>
      </c>
      <c r="K128" s="70"/>
      <c r="L128" s="69" t="str">
        <f aca="false">IF($K128="","",N($K128)*N($I128))</f>
        <v/>
      </c>
      <c r="M128" s="71" t="str">
        <f aca="false">IFERROR(INDEX(商品マスタ!$G$6:$G$1005,MATCH($F128,商品マスタ!$B$6:$B$1005,0)),"")</f>
        <v/>
      </c>
      <c r="N128" s="71" t="str">
        <f aca="false">IF($K128="","",N($K128)*N($M128))</f>
        <v/>
      </c>
      <c r="O128" s="66" t="str">
        <f aca="false">IFERROR(INDEX(商品マスタ!$H$6:$H$1005,MATCH($F128,商品マスタ!$B$6:$B$1005,0)),"")</f>
        <v/>
      </c>
      <c r="P128" s="87" t="str">
        <f aca="false">IF(OR($E128="",$O128=""),"",WORKDAY($E128,$O128))</f>
        <v/>
      </c>
      <c r="Q128" s="80"/>
      <c r="R128" s="131"/>
      <c r="S128" s="69" t="n">
        <f aca="false">IF($Q128="入荷済み",N($L128),0)</f>
        <v>0</v>
      </c>
      <c r="T128" s="80"/>
      <c r="U128" s="80"/>
    </row>
    <row r="129" customFormat="false" ht="15" hidden="false" customHeight="false" outlineLevel="0" collapsed="false">
      <c r="B129" s="66" t="str">
        <f aca="false">IF(OR($E129="",$F129=""),"","PO-"&amp;TEXT($E129,"yyyymmdd")&amp;"-"&amp;TEXT(COUNTIFS($E$6:$E129,$E129,$C$6:$C129,$C129),"000"))</f>
        <v/>
      </c>
      <c r="C129" s="130"/>
      <c r="D129" s="66" t="str">
        <f aca="false">IFERROR(INDEX(定数マスタ!$C$6:$C$105,MATCH($C129,定数マスタ!$B$6:$B$105,0)),"")</f>
        <v/>
      </c>
      <c r="E129" s="131"/>
      <c r="F129" s="130"/>
      <c r="G129" s="66" t="str">
        <f aca="false">IFERROR(INDEX(商品マスタ!$C$6:$C$1005,MATCH($F129,商品マスタ!$B$6:$B$1005,0)),"")</f>
        <v/>
      </c>
      <c r="H129" s="66" t="str">
        <f aca="false">IFERROR(INDEX(商品マスタ!$E$6:$E$1005,MATCH($F129,商品マスタ!$B$6:$B$1005,0)),"")</f>
        <v/>
      </c>
      <c r="I129" s="69" t="str">
        <f aca="false">IFERROR(INDEX(商品マスタ!$F$6:$F$1005,MATCH($F129,商品マスタ!$B$6:$B$1005,0)),"")</f>
        <v/>
      </c>
      <c r="J129" s="69" t="str">
        <f aca="false">IF(OR($F129="",$C129&lt;&gt;'設定（最初に1回）'!$C$4),"",IFERROR(INDEX(発注計算!$Y$6:$Y$405,MATCH($F129,発注計算!$C$6:$C$405,0)),""))</f>
        <v/>
      </c>
      <c r="K129" s="70"/>
      <c r="L129" s="69" t="str">
        <f aca="false">IF($K129="","",N($K129)*N($I129))</f>
        <v/>
      </c>
      <c r="M129" s="71" t="str">
        <f aca="false">IFERROR(INDEX(商品マスタ!$G$6:$G$1005,MATCH($F129,商品マスタ!$B$6:$B$1005,0)),"")</f>
        <v/>
      </c>
      <c r="N129" s="71" t="str">
        <f aca="false">IF($K129="","",N($K129)*N($M129))</f>
        <v/>
      </c>
      <c r="O129" s="66" t="str">
        <f aca="false">IFERROR(INDEX(商品マスタ!$H$6:$H$1005,MATCH($F129,商品マスタ!$B$6:$B$1005,0)),"")</f>
        <v/>
      </c>
      <c r="P129" s="87" t="str">
        <f aca="false">IF(OR($E129="",$O129=""),"",WORKDAY($E129,$O129))</f>
        <v/>
      </c>
      <c r="Q129" s="80"/>
      <c r="R129" s="131"/>
      <c r="S129" s="69" t="n">
        <f aca="false">IF($Q129="入荷済み",N($L129),0)</f>
        <v>0</v>
      </c>
      <c r="T129" s="80"/>
      <c r="U129" s="80"/>
    </row>
    <row r="130" customFormat="false" ht="15" hidden="false" customHeight="false" outlineLevel="0" collapsed="false">
      <c r="B130" s="66" t="str">
        <f aca="false">IF(OR($E130="",$F130=""),"","PO-"&amp;TEXT($E130,"yyyymmdd")&amp;"-"&amp;TEXT(COUNTIFS($E$6:$E130,$E130,$C$6:$C130,$C130),"000"))</f>
        <v/>
      </c>
      <c r="C130" s="130"/>
      <c r="D130" s="66" t="str">
        <f aca="false">IFERROR(INDEX(定数マスタ!$C$6:$C$105,MATCH($C130,定数マスタ!$B$6:$B$105,0)),"")</f>
        <v/>
      </c>
      <c r="E130" s="131"/>
      <c r="F130" s="130"/>
      <c r="G130" s="66" t="str">
        <f aca="false">IFERROR(INDEX(商品マスタ!$C$6:$C$1005,MATCH($F130,商品マスタ!$B$6:$B$1005,0)),"")</f>
        <v/>
      </c>
      <c r="H130" s="66" t="str">
        <f aca="false">IFERROR(INDEX(商品マスタ!$E$6:$E$1005,MATCH($F130,商品マスタ!$B$6:$B$1005,0)),"")</f>
        <v/>
      </c>
      <c r="I130" s="69" t="str">
        <f aca="false">IFERROR(INDEX(商品マスタ!$F$6:$F$1005,MATCH($F130,商品マスタ!$B$6:$B$1005,0)),"")</f>
        <v/>
      </c>
      <c r="J130" s="69" t="str">
        <f aca="false">IF(OR($F130="",$C130&lt;&gt;'設定（最初に1回）'!$C$4),"",IFERROR(INDEX(発注計算!$Y$6:$Y$405,MATCH($F130,発注計算!$C$6:$C$405,0)),""))</f>
        <v/>
      </c>
      <c r="K130" s="70"/>
      <c r="L130" s="69" t="str">
        <f aca="false">IF($K130="","",N($K130)*N($I130))</f>
        <v/>
      </c>
      <c r="M130" s="71" t="str">
        <f aca="false">IFERROR(INDEX(商品マスタ!$G$6:$G$1005,MATCH($F130,商品マスタ!$B$6:$B$1005,0)),"")</f>
        <v/>
      </c>
      <c r="N130" s="71" t="str">
        <f aca="false">IF($K130="","",N($K130)*N($M130))</f>
        <v/>
      </c>
      <c r="O130" s="66" t="str">
        <f aca="false">IFERROR(INDEX(商品マスタ!$H$6:$H$1005,MATCH($F130,商品マスタ!$B$6:$B$1005,0)),"")</f>
        <v/>
      </c>
      <c r="P130" s="87" t="str">
        <f aca="false">IF(OR($E130="",$O130=""),"",WORKDAY($E130,$O130))</f>
        <v/>
      </c>
      <c r="Q130" s="80"/>
      <c r="R130" s="131"/>
      <c r="S130" s="69" t="n">
        <f aca="false">IF($Q130="入荷済み",N($L130),0)</f>
        <v>0</v>
      </c>
      <c r="T130" s="80"/>
      <c r="U130" s="80"/>
    </row>
    <row r="131" customFormat="false" ht="15" hidden="false" customHeight="false" outlineLevel="0" collapsed="false">
      <c r="B131" s="66" t="str">
        <f aca="false">IF(OR($E131="",$F131=""),"","PO-"&amp;TEXT($E131,"yyyymmdd")&amp;"-"&amp;TEXT(COUNTIFS($E$6:$E131,$E131,$C$6:$C131,$C131),"000"))</f>
        <v/>
      </c>
      <c r="C131" s="130"/>
      <c r="D131" s="66" t="str">
        <f aca="false">IFERROR(INDEX(定数マスタ!$C$6:$C$105,MATCH($C131,定数マスタ!$B$6:$B$105,0)),"")</f>
        <v/>
      </c>
      <c r="E131" s="131"/>
      <c r="F131" s="130"/>
      <c r="G131" s="66" t="str">
        <f aca="false">IFERROR(INDEX(商品マスタ!$C$6:$C$1005,MATCH($F131,商品マスタ!$B$6:$B$1005,0)),"")</f>
        <v/>
      </c>
      <c r="H131" s="66" t="str">
        <f aca="false">IFERROR(INDEX(商品マスタ!$E$6:$E$1005,MATCH($F131,商品マスタ!$B$6:$B$1005,0)),"")</f>
        <v/>
      </c>
      <c r="I131" s="69" t="str">
        <f aca="false">IFERROR(INDEX(商品マスタ!$F$6:$F$1005,MATCH($F131,商品マスタ!$B$6:$B$1005,0)),"")</f>
        <v/>
      </c>
      <c r="J131" s="69" t="str">
        <f aca="false">IF(OR($F131="",$C131&lt;&gt;'設定（最初に1回）'!$C$4),"",IFERROR(INDEX(発注計算!$Y$6:$Y$405,MATCH($F131,発注計算!$C$6:$C$405,0)),""))</f>
        <v/>
      </c>
      <c r="K131" s="70"/>
      <c r="L131" s="69" t="str">
        <f aca="false">IF($K131="","",N($K131)*N($I131))</f>
        <v/>
      </c>
      <c r="M131" s="71" t="str">
        <f aca="false">IFERROR(INDEX(商品マスタ!$G$6:$G$1005,MATCH($F131,商品マスタ!$B$6:$B$1005,0)),"")</f>
        <v/>
      </c>
      <c r="N131" s="71" t="str">
        <f aca="false">IF($K131="","",N($K131)*N($M131))</f>
        <v/>
      </c>
      <c r="O131" s="66" t="str">
        <f aca="false">IFERROR(INDEX(商品マスタ!$H$6:$H$1005,MATCH($F131,商品マスタ!$B$6:$B$1005,0)),"")</f>
        <v/>
      </c>
      <c r="P131" s="87" t="str">
        <f aca="false">IF(OR($E131="",$O131=""),"",WORKDAY($E131,$O131))</f>
        <v/>
      </c>
      <c r="Q131" s="80"/>
      <c r="R131" s="131"/>
      <c r="S131" s="69" t="n">
        <f aca="false">IF($Q131="入荷済み",N($L131),0)</f>
        <v>0</v>
      </c>
      <c r="T131" s="80"/>
      <c r="U131" s="80"/>
    </row>
    <row r="132" customFormat="false" ht="15" hidden="false" customHeight="false" outlineLevel="0" collapsed="false">
      <c r="B132" s="66" t="str">
        <f aca="false">IF(OR($E132="",$F132=""),"","PO-"&amp;TEXT($E132,"yyyymmdd")&amp;"-"&amp;TEXT(COUNTIFS($E$6:$E132,$E132,$C$6:$C132,$C132),"000"))</f>
        <v/>
      </c>
      <c r="C132" s="130"/>
      <c r="D132" s="66" t="str">
        <f aca="false">IFERROR(INDEX(定数マスタ!$C$6:$C$105,MATCH($C132,定数マスタ!$B$6:$B$105,0)),"")</f>
        <v/>
      </c>
      <c r="E132" s="131"/>
      <c r="F132" s="130"/>
      <c r="G132" s="66" t="str">
        <f aca="false">IFERROR(INDEX(商品マスタ!$C$6:$C$1005,MATCH($F132,商品マスタ!$B$6:$B$1005,0)),"")</f>
        <v/>
      </c>
      <c r="H132" s="66" t="str">
        <f aca="false">IFERROR(INDEX(商品マスタ!$E$6:$E$1005,MATCH($F132,商品マスタ!$B$6:$B$1005,0)),"")</f>
        <v/>
      </c>
      <c r="I132" s="69" t="str">
        <f aca="false">IFERROR(INDEX(商品マスタ!$F$6:$F$1005,MATCH($F132,商品マスタ!$B$6:$B$1005,0)),"")</f>
        <v/>
      </c>
      <c r="J132" s="69" t="str">
        <f aca="false">IF(OR($F132="",$C132&lt;&gt;'設定（最初に1回）'!$C$4),"",IFERROR(INDEX(発注計算!$Y$6:$Y$405,MATCH($F132,発注計算!$C$6:$C$405,0)),""))</f>
        <v/>
      </c>
      <c r="K132" s="70"/>
      <c r="L132" s="69" t="str">
        <f aca="false">IF($K132="","",N($K132)*N($I132))</f>
        <v/>
      </c>
      <c r="M132" s="71" t="str">
        <f aca="false">IFERROR(INDEX(商品マスタ!$G$6:$G$1005,MATCH($F132,商品マスタ!$B$6:$B$1005,0)),"")</f>
        <v/>
      </c>
      <c r="N132" s="71" t="str">
        <f aca="false">IF($K132="","",N($K132)*N($M132))</f>
        <v/>
      </c>
      <c r="O132" s="66" t="str">
        <f aca="false">IFERROR(INDEX(商品マスタ!$H$6:$H$1005,MATCH($F132,商品マスタ!$B$6:$B$1005,0)),"")</f>
        <v/>
      </c>
      <c r="P132" s="87" t="str">
        <f aca="false">IF(OR($E132="",$O132=""),"",WORKDAY($E132,$O132))</f>
        <v/>
      </c>
      <c r="Q132" s="80"/>
      <c r="R132" s="131"/>
      <c r="S132" s="69" t="n">
        <f aca="false">IF($Q132="入荷済み",N($L132),0)</f>
        <v>0</v>
      </c>
      <c r="T132" s="80"/>
      <c r="U132" s="80"/>
    </row>
    <row r="133" customFormat="false" ht="15" hidden="false" customHeight="false" outlineLevel="0" collapsed="false">
      <c r="B133" s="66" t="str">
        <f aca="false">IF(OR($E133="",$F133=""),"","PO-"&amp;TEXT($E133,"yyyymmdd")&amp;"-"&amp;TEXT(COUNTIFS($E$6:$E133,$E133,$C$6:$C133,$C133),"000"))</f>
        <v/>
      </c>
      <c r="C133" s="130"/>
      <c r="D133" s="66" t="str">
        <f aca="false">IFERROR(INDEX(定数マスタ!$C$6:$C$105,MATCH($C133,定数マスタ!$B$6:$B$105,0)),"")</f>
        <v/>
      </c>
      <c r="E133" s="131"/>
      <c r="F133" s="130"/>
      <c r="G133" s="66" t="str">
        <f aca="false">IFERROR(INDEX(商品マスタ!$C$6:$C$1005,MATCH($F133,商品マスタ!$B$6:$B$1005,0)),"")</f>
        <v/>
      </c>
      <c r="H133" s="66" t="str">
        <f aca="false">IFERROR(INDEX(商品マスタ!$E$6:$E$1005,MATCH($F133,商品マスタ!$B$6:$B$1005,0)),"")</f>
        <v/>
      </c>
      <c r="I133" s="69" t="str">
        <f aca="false">IFERROR(INDEX(商品マスタ!$F$6:$F$1005,MATCH($F133,商品マスタ!$B$6:$B$1005,0)),"")</f>
        <v/>
      </c>
      <c r="J133" s="69" t="str">
        <f aca="false">IF(OR($F133="",$C133&lt;&gt;'設定（最初に1回）'!$C$4),"",IFERROR(INDEX(発注計算!$Y$6:$Y$405,MATCH($F133,発注計算!$C$6:$C$405,0)),""))</f>
        <v/>
      </c>
      <c r="K133" s="70"/>
      <c r="L133" s="69" t="str">
        <f aca="false">IF($K133="","",N($K133)*N($I133))</f>
        <v/>
      </c>
      <c r="M133" s="71" t="str">
        <f aca="false">IFERROR(INDEX(商品マスタ!$G$6:$G$1005,MATCH($F133,商品マスタ!$B$6:$B$1005,0)),"")</f>
        <v/>
      </c>
      <c r="N133" s="71" t="str">
        <f aca="false">IF($K133="","",N($K133)*N($M133))</f>
        <v/>
      </c>
      <c r="O133" s="66" t="str">
        <f aca="false">IFERROR(INDEX(商品マスタ!$H$6:$H$1005,MATCH($F133,商品マスタ!$B$6:$B$1005,0)),"")</f>
        <v/>
      </c>
      <c r="P133" s="87" t="str">
        <f aca="false">IF(OR($E133="",$O133=""),"",WORKDAY($E133,$O133))</f>
        <v/>
      </c>
      <c r="Q133" s="80"/>
      <c r="R133" s="131"/>
      <c r="S133" s="69" t="n">
        <f aca="false">IF($Q133="入荷済み",N($L133),0)</f>
        <v>0</v>
      </c>
      <c r="T133" s="80"/>
      <c r="U133" s="80"/>
    </row>
    <row r="134" customFormat="false" ht="15" hidden="false" customHeight="false" outlineLevel="0" collapsed="false">
      <c r="B134" s="66" t="str">
        <f aca="false">IF(OR($E134="",$F134=""),"","PO-"&amp;TEXT($E134,"yyyymmdd")&amp;"-"&amp;TEXT(COUNTIFS($E$6:$E134,$E134,$C$6:$C134,$C134),"000"))</f>
        <v/>
      </c>
      <c r="C134" s="130"/>
      <c r="D134" s="66" t="str">
        <f aca="false">IFERROR(INDEX(定数マスタ!$C$6:$C$105,MATCH($C134,定数マスタ!$B$6:$B$105,0)),"")</f>
        <v/>
      </c>
      <c r="E134" s="131"/>
      <c r="F134" s="130"/>
      <c r="G134" s="66" t="str">
        <f aca="false">IFERROR(INDEX(商品マスタ!$C$6:$C$1005,MATCH($F134,商品マスタ!$B$6:$B$1005,0)),"")</f>
        <v/>
      </c>
      <c r="H134" s="66" t="str">
        <f aca="false">IFERROR(INDEX(商品マスタ!$E$6:$E$1005,MATCH($F134,商品マスタ!$B$6:$B$1005,0)),"")</f>
        <v/>
      </c>
      <c r="I134" s="69" t="str">
        <f aca="false">IFERROR(INDEX(商品マスタ!$F$6:$F$1005,MATCH($F134,商品マスタ!$B$6:$B$1005,0)),"")</f>
        <v/>
      </c>
      <c r="J134" s="69" t="str">
        <f aca="false">IF(OR($F134="",$C134&lt;&gt;'設定（最初に1回）'!$C$4),"",IFERROR(INDEX(発注計算!$Y$6:$Y$405,MATCH($F134,発注計算!$C$6:$C$405,0)),""))</f>
        <v/>
      </c>
      <c r="K134" s="70"/>
      <c r="L134" s="69" t="str">
        <f aca="false">IF($K134="","",N($K134)*N($I134))</f>
        <v/>
      </c>
      <c r="M134" s="71" t="str">
        <f aca="false">IFERROR(INDEX(商品マスタ!$G$6:$G$1005,MATCH($F134,商品マスタ!$B$6:$B$1005,0)),"")</f>
        <v/>
      </c>
      <c r="N134" s="71" t="str">
        <f aca="false">IF($K134="","",N($K134)*N($M134))</f>
        <v/>
      </c>
      <c r="O134" s="66" t="str">
        <f aca="false">IFERROR(INDEX(商品マスタ!$H$6:$H$1005,MATCH($F134,商品マスタ!$B$6:$B$1005,0)),"")</f>
        <v/>
      </c>
      <c r="P134" s="87" t="str">
        <f aca="false">IF(OR($E134="",$O134=""),"",WORKDAY($E134,$O134))</f>
        <v/>
      </c>
      <c r="Q134" s="80"/>
      <c r="R134" s="131"/>
      <c r="S134" s="69" t="n">
        <f aca="false">IF($Q134="入荷済み",N($L134),0)</f>
        <v>0</v>
      </c>
      <c r="T134" s="80"/>
      <c r="U134" s="80"/>
    </row>
    <row r="135" customFormat="false" ht="15" hidden="false" customHeight="false" outlineLevel="0" collapsed="false">
      <c r="B135" s="66" t="str">
        <f aca="false">IF(OR($E135="",$F135=""),"","PO-"&amp;TEXT($E135,"yyyymmdd")&amp;"-"&amp;TEXT(COUNTIFS($E$6:$E135,$E135,$C$6:$C135,$C135),"000"))</f>
        <v/>
      </c>
      <c r="C135" s="130"/>
      <c r="D135" s="66" t="str">
        <f aca="false">IFERROR(INDEX(定数マスタ!$C$6:$C$105,MATCH($C135,定数マスタ!$B$6:$B$105,0)),"")</f>
        <v/>
      </c>
      <c r="E135" s="131"/>
      <c r="F135" s="130"/>
      <c r="G135" s="66" t="str">
        <f aca="false">IFERROR(INDEX(商品マスタ!$C$6:$C$1005,MATCH($F135,商品マスタ!$B$6:$B$1005,0)),"")</f>
        <v/>
      </c>
      <c r="H135" s="66" t="str">
        <f aca="false">IFERROR(INDEX(商品マスタ!$E$6:$E$1005,MATCH($F135,商品マスタ!$B$6:$B$1005,0)),"")</f>
        <v/>
      </c>
      <c r="I135" s="69" t="str">
        <f aca="false">IFERROR(INDEX(商品マスタ!$F$6:$F$1005,MATCH($F135,商品マスタ!$B$6:$B$1005,0)),"")</f>
        <v/>
      </c>
      <c r="J135" s="69" t="str">
        <f aca="false">IF(OR($F135="",$C135&lt;&gt;'設定（最初に1回）'!$C$4),"",IFERROR(INDEX(発注計算!$Y$6:$Y$405,MATCH($F135,発注計算!$C$6:$C$405,0)),""))</f>
        <v/>
      </c>
      <c r="K135" s="70"/>
      <c r="L135" s="69" t="str">
        <f aca="false">IF($K135="","",N($K135)*N($I135))</f>
        <v/>
      </c>
      <c r="M135" s="71" t="str">
        <f aca="false">IFERROR(INDEX(商品マスタ!$G$6:$G$1005,MATCH($F135,商品マスタ!$B$6:$B$1005,0)),"")</f>
        <v/>
      </c>
      <c r="N135" s="71" t="str">
        <f aca="false">IF($K135="","",N($K135)*N($M135))</f>
        <v/>
      </c>
      <c r="O135" s="66" t="str">
        <f aca="false">IFERROR(INDEX(商品マスタ!$H$6:$H$1005,MATCH($F135,商品マスタ!$B$6:$B$1005,0)),"")</f>
        <v/>
      </c>
      <c r="P135" s="87" t="str">
        <f aca="false">IF(OR($E135="",$O135=""),"",WORKDAY($E135,$O135))</f>
        <v/>
      </c>
      <c r="Q135" s="80"/>
      <c r="R135" s="131"/>
      <c r="S135" s="69" t="n">
        <f aca="false">IF($Q135="入荷済み",N($L135),0)</f>
        <v>0</v>
      </c>
      <c r="T135" s="80"/>
      <c r="U135" s="80"/>
    </row>
    <row r="136" customFormat="false" ht="15" hidden="false" customHeight="false" outlineLevel="0" collapsed="false">
      <c r="B136" s="66" t="str">
        <f aca="false">IF(OR($E136="",$F136=""),"","PO-"&amp;TEXT($E136,"yyyymmdd")&amp;"-"&amp;TEXT(COUNTIFS($E$6:$E136,$E136,$C$6:$C136,$C136),"000"))</f>
        <v/>
      </c>
      <c r="C136" s="130"/>
      <c r="D136" s="66" t="str">
        <f aca="false">IFERROR(INDEX(定数マスタ!$C$6:$C$105,MATCH($C136,定数マスタ!$B$6:$B$105,0)),"")</f>
        <v/>
      </c>
      <c r="E136" s="131"/>
      <c r="F136" s="130"/>
      <c r="G136" s="66" t="str">
        <f aca="false">IFERROR(INDEX(商品マスタ!$C$6:$C$1005,MATCH($F136,商品マスタ!$B$6:$B$1005,0)),"")</f>
        <v/>
      </c>
      <c r="H136" s="66" t="str">
        <f aca="false">IFERROR(INDEX(商品マスタ!$E$6:$E$1005,MATCH($F136,商品マスタ!$B$6:$B$1005,0)),"")</f>
        <v/>
      </c>
      <c r="I136" s="69" t="str">
        <f aca="false">IFERROR(INDEX(商品マスタ!$F$6:$F$1005,MATCH($F136,商品マスタ!$B$6:$B$1005,0)),"")</f>
        <v/>
      </c>
      <c r="J136" s="69" t="str">
        <f aca="false">IF(OR($F136="",$C136&lt;&gt;'設定（最初に1回）'!$C$4),"",IFERROR(INDEX(発注計算!$Y$6:$Y$405,MATCH($F136,発注計算!$C$6:$C$405,0)),""))</f>
        <v/>
      </c>
      <c r="K136" s="70"/>
      <c r="L136" s="69" t="str">
        <f aca="false">IF($K136="","",N($K136)*N($I136))</f>
        <v/>
      </c>
      <c r="M136" s="71" t="str">
        <f aca="false">IFERROR(INDEX(商品マスタ!$G$6:$G$1005,MATCH($F136,商品マスタ!$B$6:$B$1005,0)),"")</f>
        <v/>
      </c>
      <c r="N136" s="71" t="str">
        <f aca="false">IF($K136="","",N($K136)*N($M136))</f>
        <v/>
      </c>
      <c r="O136" s="66" t="str">
        <f aca="false">IFERROR(INDEX(商品マスタ!$H$6:$H$1005,MATCH($F136,商品マスタ!$B$6:$B$1005,0)),"")</f>
        <v/>
      </c>
      <c r="P136" s="87" t="str">
        <f aca="false">IF(OR($E136="",$O136=""),"",WORKDAY($E136,$O136))</f>
        <v/>
      </c>
      <c r="Q136" s="80"/>
      <c r="R136" s="131"/>
      <c r="S136" s="69" t="n">
        <f aca="false">IF($Q136="入荷済み",N($L136),0)</f>
        <v>0</v>
      </c>
      <c r="T136" s="80"/>
      <c r="U136" s="80"/>
    </row>
    <row r="137" customFormat="false" ht="15" hidden="false" customHeight="false" outlineLevel="0" collapsed="false">
      <c r="B137" s="66" t="str">
        <f aca="false">IF(OR($E137="",$F137=""),"","PO-"&amp;TEXT($E137,"yyyymmdd")&amp;"-"&amp;TEXT(COUNTIFS($E$6:$E137,$E137,$C$6:$C137,$C137),"000"))</f>
        <v/>
      </c>
      <c r="C137" s="130"/>
      <c r="D137" s="66" t="str">
        <f aca="false">IFERROR(INDEX(定数マスタ!$C$6:$C$105,MATCH($C137,定数マスタ!$B$6:$B$105,0)),"")</f>
        <v/>
      </c>
      <c r="E137" s="131"/>
      <c r="F137" s="130"/>
      <c r="G137" s="66" t="str">
        <f aca="false">IFERROR(INDEX(商品マスタ!$C$6:$C$1005,MATCH($F137,商品マスタ!$B$6:$B$1005,0)),"")</f>
        <v/>
      </c>
      <c r="H137" s="66" t="str">
        <f aca="false">IFERROR(INDEX(商品マスタ!$E$6:$E$1005,MATCH($F137,商品マスタ!$B$6:$B$1005,0)),"")</f>
        <v/>
      </c>
      <c r="I137" s="69" t="str">
        <f aca="false">IFERROR(INDEX(商品マスタ!$F$6:$F$1005,MATCH($F137,商品マスタ!$B$6:$B$1005,0)),"")</f>
        <v/>
      </c>
      <c r="J137" s="69" t="str">
        <f aca="false">IF(OR($F137="",$C137&lt;&gt;'設定（最初に1回）'!$C$4),"",IFERROR(INDEX(発注計算!$Y$6:$Y$405,MATCH($F137,発注計算!$C$6:$C$405,0)),""))</f>
        <v/>
      </c>
      <c r="K137" s="70"/>
      <c r="L137" s="69" t="str">
        <f aca="false">IF($K137="","",N($K137)*N($I137))</f>
        <v/>
      </c>
      <c r="M137" s="71" t="str">
        <f aca="false">IFERROR(INDEX(商品マスタ!$G$6:$G$1005,MATCH($F137,商品マスタ!$B$6:$B$1005,0)),"")</f>
        <v/>
      </c>
      <c r="N137" s="71" t="str">
        <f aca="false">IF($K137="","",N($K137)*N($M137))</f>
        <v/>
      </c>
      <c r="O137" s="66" t="str">
        <f aca="false">IFERROR(INDEX(商品マスタ!$H$6:$H$1005,MATCH($F137,商品マスタ!$B$6:$B$1005,0)),"")</f>
        <v/>
      </c>
      <c r="P137" s="87" t="str">
        <f aca="false">IF(OR($E137="",$O137=""),"",WORKDAY($E137,$O137))</f>
        <v/>
      </c>
      <c r="Q137" s="80"/>
      <c r="R137" s="131"/>
      <c r="S137" s="69" t="n">
        <f aca="false">IF($Q137="入荷済み",N($L137),0)</f>
        <v>0</v>
      </c>
      <c r="T137" s="80"/>
      <c r="U137" s="80"/>
    </row>
    <row r="138" customFormat="false" ht="15" hidden="false" customHeight="false" outlineLevel="0" collapsed="false">
      <c r="B138" s="66" t="str">
        <f aca="false">IF(OR($E138="",$F138=""),"","PO-"&amp;TEXT($E138,"yyyymmdd")&amp;"-"&amp;TEXT(COUNTIFS($E$6:$E138,$E138,$C$6:$C138,$C138),"000"))</f>
        <v/>
      </c>
      <c r="C138" s="130"/>
      <c r="D138" s="66" t="str">
        <f aca="false">IFERROR(INDEX(定数マスタ!$C$6:$C$105,MATCH($C138,定数マスタ!$B$6:$B$105,0)),"")</f>
        <v/>
      </c>
      <c r="E138" s="131"/>
      <c r="F138" s="130"/>
      <c r="G138" s="66" t="str">
        <f aca="false">IFERROR(INDEX(商品マスタ!$C$6:$C$1005,MATCH($F138,商品マスタ!$B$6:$B$1005,0)),"")</f>
        <v/>
      </c>
      <c r="H138" s="66" t="str">
        <f aca="false">IFERROR(INDEX(商品マスタ!$E$6:$E$1005,MATCH($F138,商品マスタ!$B$6:$B$1005,0)),"")</f>
        <v/>
      </c>
      <c r="I138" s="69" t="str">
        <f aca="false">IFERROR(INDEX(商品マスタ!$F$6:$F$1005,MATCH($F138,商品マスタ!$B$6:$B$1005,0)),"")</f>
        <v/>
      </c>
      <c r="J138" s="69" t="str">
        <f aca="false">IF(OR($F138="",$C138&lt;&gt;'設定（最初に1回）'!$C$4),"",IFERROR(INDEX(発注計算!$Y$6:$Y$405,MATCH($F138,発注計算!$C$6:$C$405,0)),""))</f>
        <v/>
      </c>
      <c r="K138" s="70"/>
      <c r="L138" s="69" t="str">
        <f aca="false">IF($K138="","",N($K138)*N($I138))</f>
        <v/>
      </c>
      <c r="M138" s="71" t="str">
        <f aca="false">IFERROR(INDEX(商品マスタ!$G$6:$G$1005,MATCH($F138,商品マスタ!$B$6:$B$1005,0)),"")</f>
        <v/>
      </c>
      <c r="N138" s="71" t="str">
        <f aca="false">IF($K138="","",N($K138)*N($M138))</f>
        <v/>
      </c>
      <c r="O138" s="66" t="str">
        <f aca="false">IFERROR(INDEX(商品マスタ!$H$6:$H$1005,MATCH($F138,商品マスタ!$B$6:$B$1005,0)),"")</f>
        <v/>
      </c>
      <c r="P138" s="87" t="str">
        <f aca="false">IF(OR($E138="",$O138=""),"",WORKDAY($E138,$O138))</f>
        <v/>
      </c>
      <c r="Q138" s="80"/>
      <c r="R138" s="131"/>
      <c r="S138" s="69" t="n">
        <f aca="false">IF($Q138="入荷済み",N($L138),0)</f>
        <v>0</v>
      </c>
      <c r="T138" s="80"/>
      <c r="U138" s="80"/>
    </row>
    <row r="139" customFormat="false" ht="15" hidden="false" customHeight="false" outlineLevel="0" collapsed="false">
      <c r="B139" s="66" t="str">
        <f aca="false">IF(OR($E139="",$F139=""),"","PO-"&amp;TEXT($E139,"yyyymmdd")&amp;"-"&amp;TEXT(COUNTIFS($E$6:$E139,$E139,$C$6:$C139,$C139),"000"))</f>
        <v/>
      </c>
      <c r="C139" s="130"/>
      <c r="D139" s="66" t="str">
        <f aca="false">IFERROR(INDEX(定数マスタ!$C$6:$C$105,MATCH($C139,定数マスタ!$B$6:$B$105,0)),"")</f>
        <v/>
      </c>
      <c r="E139" s="131"/>
      <c r="F139" s="130"/>
      <c r="G139" s="66" t="str">
        <f aca="false">IFERROR(INDEX(商品マスタ!$C$6:$C$1005,MATCH($F139,商品マスタ!$B$6:$B$1005,0)),"")</f>
        <v/>
      </c>
      <c r="H139" s="66" t="str">
        <f aca="false">IFERROR(INDEX(商品マスタ!$E$6:$E$1005,MATCH($F139,商品マスタ!$B$6:$B$1005,0)),"")</f>
        <v/>
      </c>
      <c r="I139" s="69" t="str">
        <f aca="false">IFERROR(INDEX(商品マスタ!$F$6:$F$1005,MATCH($F139,商品マスタ!$B$6:$B$1005,0)),"")</f>
        <v/>
      </c>
      <c r="J139" s="69" t="str">
        <f aca="false">IF(OR($F139="",$C139&lt;&gt;'設定（最初に1回）'!$C$4),"",IFERROR(INDEX(発注計算!$Y$6:$Y$405,MATCH($F139,発注計算!$C$6:$C$405,0)),""))</f>
        <v/>
      </c>
      <c r="K139" s="70"/>
      <c r="L139" s="69" t="str">
        <f aca="false">IF($K139="","",N($K139)*N($I139))</f>
        <v/>
      </c>
      <c r="M139" s="71" t="str">
        <f aca="false">IFERROR(INDEX(商品マスタ!$G$6:$G$1005,MATCH($F139,商品マスタ!$B$6:$B$1005,0)),"")</f>
        <v/>
      </c>
      <c r="N139" s="71" t="str">
        <f aca="false">IF($K139="","",N($K139)*N($M139))</f>
        <v/>
      </c>
      <c r="O139" s="66" t="str">
        <f aca="false">IFERROR(INDEX(商品マスタ!$H$6:$H$1005,MATCH($F139,商品マスタ!$B$6:$B$1005,0)),"")</f>
        <v/>
      </c>
      <c r="P139" s="87" t="str">
        <f aca="false">IF(OR($E139="",$O139=""),"",WORKDAY($E139,$O139))</f>
        <v/>
      </c>
      <c r="Q139" s="80"/>
      <c r="R139" s="131"/>
      <c r="S139" s="69" t="n">
        <f aca="false">IF($Q139="入荷済み",N($L139),0)</f>
        <v>0</v>
      </c>
      <c r="T139" s="80"/>
      <c r="U139" s="80"/>
    </row>
    <row r="140" customFormat="false" ht="15" hidden="false" customHeight="false" outlineLevel="0" collapsed="false">
      <c r="B140" s="66" t="str">
        <f aca="false">IF(OR($E140="",$F140=""),"","PO-"&amp;TEXT($E140,"yyyymmdd")&amp;"-"&amp;TEXT(COUNTIFS($E$6:$E140,$E140,$C$6:$C140,$C140),"000"))</f>
        <v/>
      </c>
      <c r="C140" s="130"/>
      <c r="D140" s="66" t="str">
        <f aca="false">IFERROR(INDEX(定数マスタ!$C$6:$C$105,MATCH($C140,定数マスタ!$B$6:$B$105,0)),"")</f>
        <v/>
      </c>
      <c r="E140" s="131"/>
      <c r="F140" s="130"/>
      <c r="G140" s="66" t="str">
        <f aca="false">IFERROR(INDEX(商品マスタ!$C$6:$C$1005,MATCH($F140,商品マスタ!$B$6:$B$1005,0)),"")</f>
        <v/>
      </c>
      <c r="H140" s="66" t="str">
        <f aca="false">IFERROR(INDEX(商品マスタ!$E$6:$E$1005,MATCH($F140,商品マスタ!$B$6:$B$1005,0)),"")</f>
        <v/>
      </c>
      <c r="I140" s="69" t="str">
        <f aca="false">IFERROR(INDEX(商品マスタ!$F$6:$F$1005,MATCH($F140,商品マスタ!$B$6:$B$1005,0)),"")</f>
        <v/>
      </c>
      <c r="J140" s="69" t="str">
        <f aca="false">IF(OR($F140="",$C140&lt;&gt;'設定（最初に1回）'!$C$4),"",IFERROR(INDEX(発注計算!$Y$6:$Y$405,MATCH($F140,発注計算!$C$6:$C$405,0)),""))</f>
        <v/>
      </c>
      <c r="K140" s="70"/>
      <c r="L140" s="69" t="str">
        <f aca="false">IF($K140="","",N($K140)*N($I140))</f>
        <v/>
      </c>
      <c r="M140" s="71" t="str">
        <f aca="false">IFERROR(INDEX(商品マスタ!$G$6:$G$1005,MATCH($F140,商品マスタ!$B$6:$B$1005,0)),"")</f>
        <v/>
      </c>
      <c r="N140" s="71" t="str">
        <f aca="false">IF($K140="","",N($K140)*N($M140))</f>
        <v/>
      </c>
      <c r="O140" s="66" t="str">
        <f aca="false">IFERROR(INDEX(商品マスタ!$H$6:$H$1005,MATCH($F140,商品マスタ!$B$6:$B$1005,0)),"")</f>
        <v/>
      </c>
      <c r="P140" s="87" t="str">
        <f aca="false">IF(OR($E140="",$O140=""),"",WORKDAY($E140,$O140))</f>
        <v/>
      </c>
      <c r="Q140" s="80"/>
      <c r="R140" s="131"/>
      <c r="S140" s="69" t="n">
        <f aca="false">IF($Q140="入荷済み",N($L140),0)</f>
        <v>0</v>
      </c>
      <c r="T140" s="80"/>
      <c r="U140" s="80"/>
    </row>
    <row r="141" customFormat="false" ht="15" hidden="false" customHeight="false" outlineLevel="0" collapsed="false">
      <c r="B141" s="66" t="str">
        <f aca="false">IF(OR($E141="",$F141=""),"","PO-"&amp;TEXT($E141,"yyyymmdd")&amp;"-"&amp;TEXT(COUNTIFS($E$6:$E141,$E141,$C$6:$C141,$C141),"000"))</f>
        <v/>
      </c>
      <c r="C141" s="130"/>
      <c r="D141" s="66" t="str">
        <f aca="false">IFERROR(INDEX(定数マスタ!$C$6:$C$105,MATCH($C141,定数マスタ!$B$6:$B$105,0)),"")</f>
        <v/>
      </c>
      <c r="E141" s="131"/>
      <c r="F141" s="130"/>
      <c r="G141" s="66" t="str">
        <f aca="false">IFERROR(INDEX(商品マスタ!$C$6:$C$1005,MATCH($F141,商品マスタ!$B$6:$B$1005,0)),"")</f>
        <v/>
      </c>
      <c r="H141" s="66" t="str">
        <f aca="false">IFERROR(INDEX(商品マスタ!$E$6:$E$1005,MATCH($F141,商品マスタ!$B$6:$B$1005,0)),"")</f>
        <v/>
      </c>
      <c r="I141" s="69" t="str">
        <f aca="false">IFERROR(INDEX(商品マスタ!$F$6:$F$1005,MATCH($F141,商品マスタ!$B$6:$B$1005,0)),"")</f>
        <v/>
      </c>
      <c r="J141" s="69" t="str">
        <f aca="false">IF(OR($F141="",$C141&lt;&gt;'設定（最初に1回）'!$C$4),"",IFERROR(INDEX(発注計算!$Y$6:$Y$405,MATCH($F141,発注計算!$C$6:$C$405,0)),""))</f>
        <v/>
      </c>
      <c r="K141" s="70"/>
      <c r="L141" s="69" t="str">
        <f aca="false">IF($K141="","",N($K141)*N($I141))</f>
        <v/>
      </c>
      <c r="M141" s="71" t="str">
        <f aca="false">IFERROR(INDEX(商品マスタ!$G$6:$G$1005,MATCH($F141,商品マスタ!$B$6:$B$1005,0)),"")</f>
        <v/>
      </c>
      <c r="N141" s="71" t="str">
        <f aca="false">IF($K141="","",N($K141)*N($M141))</f>
        <v/>
      </c>
      <c r="O141" s="66" t="str">
        <f aca="false">IFERROR(INDEX(商品マスタ!$H$6:$H$1005,MATCH($F141,商品マスタ!$B$6:$B$1005,0)),"")</f>
        <v/>
      </c>
      <c r="P141" s="87" t="str">
        <f aca="false">IF(OR($E141="",$O141=""),"",WORKDAY($E141,$O141))</f>
        <v/>
      </c>
      <c r="Q141" s="80"/>
      <c r="R141" s="131"/>
      <c r="S141" s="69" t="n">
        <f aca="false">IF($Q141="入荷済み",N($L141),0)</f>
        <v>0</v>
      </c>
      <c r="T141" s="80"/>
      <c r="U141" s="80"/>
    </row>
    <row r="142" customFormat="false" ht="15" hidden="false" customHeight="false" outlineLevel="0" collapsed="false">
      <c r="B142" s="66" t="str">
        <f aca="false">IF(OR($E142="",$F142=""),"","PO-"&amp;TEXT($E142,"yyyymmdd")&amp;"-"&amp;TEXT(COUNTIFS($E$6:$E142,$E142,$C$6:$C142,$C142),"000"))</f>
        <v/>
      </c>
      <c r="C142" s="130"/>
      <c r="D142" s="66" t="str">
        <f aca="false">IFERROR(INDEX(定数マスタ!$C$6:$C$105,MATCH($C142,定数マスタ!$B$6:$B$105,0)),"")</f>
        <v/>
      </c>
      <c r="E142" s="131"/>
      <c r="F142" s="130"/>
      <c r="G142" s="66" t="str">
        <f aca="false">IFERROR(INDEX(商品マスタ!$C$6:$C$1005,MATCH($F142,商品マスタ!$B$6:$B$1005,0)),"")</f>
        <v/>
      </c>
      <c r="H142" s="66" t="str">
        <f aca="false">IFERROR(INDEX(商品マスタ!$E$6:$E$1005,MATCH($F142,商品マスタ!$B$6:$B$1005,0)),"")</f>
        <v/>
      </c>
      <c r="I142" s="69" t="str">
        <f aca="false">IFERROR(INDEX(商品マスタ!$F$6:$F$1005,MATCH($F142,商品マスタ!$B$6:$B$1005,0)),"")</f>
        <v/>
      </c>
      <c r="J142" s="69" t="str">
        <f aca="false">IF(OR($F142="",$C142&lt;&gt;'設定（最初に1回）'!$C$4),"",IFERROR(INDEX(発注計算!$Y$6:$Y$405,MATCH($F142,発注計算!$C$6:$C$405,0)),""))</f>
        <v/>
      </c>
      <c r="K142" s="70"/>
      <c r="L142" s="69" t="str">
        <f aca="false">IF($K142="","",N($K142)*N($I142))</f>
        <v/>
      </c>
      <c r="M142" s="71" t="str">
        <f aca="false">IFERROR(INDEX(商品マスタ!$G$6:$G$1005,MATCH($F142,商品マスタ!$B$6:$B$1005,0)),"")</f>
        <v/>
      </c>
      <c r="N142" s="71" t="str">
        <f aca="false">IF($K142="","",N($K142)*N($M142))</f>
        <v/>
      </c>
      <c r="O142" s="66" t="str">
        <f aca="false">IFERROR(INDEX(商品マスタ!$H$6:$H$1005,MATCH($F142,商品マスタ!$B$6:$B$1005,0)),"")</f>
        <v/>
      </c>
      <c r="P142" s="87" t="str">
        <f aca="false">IF(OR($E142="",$O142=""),"",WORKDAY($E142,$O142))</f>
        <v/>
      </c>
      <c r="Q142" s="80"/>
      <c r="R142" s="131"/>
      <c r="S142" s="69" t="n">
        <f aca="false">IF($Q142="入荷済み",N($L142),0)</f>
        <v>0</v>
      </c>
      <c r="T142" s="80"/>
      <c r="U142" s="80"/>
    </row>
    <row r="143" customFormat="false" ht="15" hidden="false" customHeight="false" outlineLevel="0" collapsed="false">
      <c r="B143" s="66" t="str">
        <f aca="false">IF(OR($E143="",$F143=""),"","PO-"&amp;TEXT($E143,"yyyymmdd")&amp;"-"&amp;TEXT(COUNTIFS($E$6:$E143,$E143,$C$6:$C143,$C143),"000"))</f>
        <v/>
      </c>
      <c r="C143" s="130"/>
      <c r="D143" s="66" t="str">
        <f aca="false">IFERROR(INDEX(定数マスタ!$C$6:$C$105,MATCH($C143,定数マスタ!$B$6:$B$105,0)),"")</f>
        <v/>
      </c>
      <c r="E143" s="131"/>
      <c r="F143" s="130"/>
      <c r="G143" s="66" t="str">
        <f aca="false">IFERROR(INDEX(商品マスタ!$C$6:$C$1005,MATCH($F143,商品マスタ!$B$6:$B$1005,0)),"")</f>
        <v/>
      </c>
      <c r="H143" s="66" t="str">
        <f aca="false">IFERROR(INDEX(商品マスタ!$E$6:$E$1005,MATCH($F143,商品マスタ!$B$6:$B$1005,0)),"")</f>
        <v/>
      </c>
      <c r="I143" s="69" t="str">
        <f aca="false">IFERROR(INDEX(商品マスタ!$F$6:$F$1005,MATCH($F143,商品マスタ!$B$6:$B$1005,0)),"")</f>
        <v/>
      </c>
      <c r="J143" s="69" t="str">
        <f aca="false">IF(OR($F143="",$C143&lt;&gt;'設定（最初に1回）'!$C$4),"",IFERROR(INDEX(発注計算!$Y$6:$Y$405,MATCH($F143,発注計算!$C$6:$C$405,0)),""))</f>
        <v/>
      </c>
      <c r="K143" s="70"/>
      <c r="L143" s="69" t="str">
        <f aca="false">IF($K143="","",N($K143)*N($I143))</f>
        <v/>
      </c>
      <c r="M143" s="71" t="str">
        <f aca="false">IFERROR(INDEX(商品マスタ!$G$6:$G$1005,MATCH($F143,商品マスタ!$B$6:$B$1005,0)),"")</f>
        <v/>
      </c>
      <c r="N143" s="71" t="str">
        <f aca="false">IF($K143="","",N($K143)*N($M143))</f>
        <v/>
      </c>
      <c r="O143" s="66" t="str">
        <f aca="false">IFERROR(INDEX(商品マスタ!$H$6:$H$1005,MATCH($F143,商品マスタ!$B$6:$B$1005,0)),"")</f>
        <v/>
      </c>
      <c r="P143" s="87" t="str">
        <f aca="false">IF(OR($E143="",$O143=""),"",WORKDAY($E143,$O143))</f>
        <v/>
      </c>
      <c r="Q143" s="80"/>
      <c r="R143" s="131"/>
      <c r="S143" s="69" t="n">
        <f aca="false">IF($Q143="入荷済み",N($L143),0)</f>
        <v>0</v>
      </c>
      <c r="T143" s="80"/>
      <c r="U143" s="80"/>
    </row>
    <row r="144" customFormat="false" ht="15" hidden="false" customHeight="false" outlineLevel="0" collapsed="false">
      <c r="B144" s="66" t="str">
        <f aca="false">IF(OR($E144="",$F144=""),"","PO-"&amp;TEXT($E144,"yyyymmdd")&amp;"-"&amp;TEXT(COUNTIFS($E$6:$E144,$E144,$C$6:$C144,$C144),"000"))</f>
        <v/>
      </c>
      <c r="C144" s="130"/>
      <c r="D144" s="66" t="str">
        <f aca="false">IFERROR(INDEX(定数マスタ!$C$6:$C$105,MATCH($C144,定数マスタ!$B$6:$B$105,0)),"")</f>
        <v/>
      </c>
      <c r="E144" s="131"/>
      <c r="F144" s="130"/>
      <c r="G144" s="66" t="str">
        <f aca="false">IFERROR(INDEX(商品マスタ!$C$6:$C$1005,MATCH($F144,商品マスタ!$B$6:$B$1005,0)),"")</f>
        <v/>
      </c>
      <c r="H144" s="66" t="str">
        <f aca="false">IFERROR(INDEX(商品マスタ!$E$6:$E$1005,MATCH($F144,商品マスタ!$B$6:$B$1005,0)),"")</f>
        <v/>
      </c>
      <c r="I144" s="69" t="str">
        <f aca="false">IFERROR(INDEX(商品マスタ!$F$6:$F$1005,MATCH($F144,商品マスタ!$B$6:$B$1005,0)),"")</f>
        <v/>
      </c>
      <c r="J144" s="69" t="str">
        <f aca="false">IF(OR($F144="",$C144&lt;&gt;'設定（最初に1回）'!$C$4),"",IFERROR(INDEX(発注計算!$Y$6:$Y$405,MATCH($F144,発注計算!$C$6:$C$405,0)),""))</f>
        <v/>
      </c>
      <c r="K144" s="70"/>
      <c r="L144" s="69" t="str">
        <f aca="false">IF($K144="","",N($K144)*N($I144))</f>
        <v/>
      </c>
      <c r="M144" s="71" t="str">
        <f aca="false">IFERROR(INDEX(商品マスタ!$G$6:$G$1005,MATCH($F144,商品マスタ!$B$6:$B$1005,0)),"")</f>
        <v/>
      </c>
      <c r="N144" s="71" t="str">
        <f aca="false">IF($K144="","",N($K144)*N($M144))</f>
        <v/>
      </c>
      <c r="O144" s="66" t="str">
        <f aca="false">IFERROR(INDEX(商品マスタ!$H$6:$H$1005,MATCH($F144,商品マスタ!$B$6:$B$1005,0)),"")</f>
        <v/>
      </c>
      <c r="P144" s="87" t="str">
        <f aca="false">IF(OR($E144="",$O144=""),"",WORKDAY($E144,$O144))</f>
        <v/>
      </c>
      <c r="Q144" s="80"/>
      <c r="R144" s="131"/>
      <c r="S144" s="69" t="n">
        <f aca="false">IF($Q144="入荷済み",N($L144),0)</f>
        <v>0</v>
      </c>
      <c r="T144" s="80"/>
      <c r="U144" s="80"/>
    </row>
    <row r="145" customFormat="false" ht="15" hidden="false" customHeight="false" outlineLevel="0" collapsed="false">
      <c r="B145" s="66" t="str">
        <f aca="false">IF(OR($E145="",$F145=""),"","PO-"&amp;TEXT($E145,"yyyymmdd")&amp;"-"&amp;TEXT(COUNTIFS($E$6:$E145,$E145,$C$6:$C145,$C145),"000"))</f>
        <v/>
      </c>
      <c r="C145" s="130"/>
      <c r="D145" s="66" t="str">
        <f aca="false">IFERROR(INDEX(定数マスタ!$C$6:$C$105,MATCH($C145,定数マスタ!$B$6:$B$105,0)),"")</f>
        <v/>
      </c>
      <c r="E145" s="131"/>
      <c r="F145" s="130"/>
      <c r="G145" s="66" t="str">
        <f aca="false">IFERROR(INDEX(商品マスタ!$C$6:$C$1005,MATCH($F145,商品マスタ!$B$6:$B$1005,0)),"")</f>
        <v/>
      </c>
      <c r="H145" s="66" t="str">
        <f aca="false">IFERROR(INDEX(商品マスタ!$E$6:$E$1005,MATCH($F145,商品マスタ!$B$6:$B$1005,0)),"")</f>
        <v/>
      </c>
      <c r="I145" s="69" t="str">
        <f aca="false">IFERROR(INDEX(商品マスタ!$F$6:$F$1005,MATCH($F145,商品マスタ!$B$6:$B$1005,0)),"")</f>
        <v/>
      </c>
      <c r="J145" s="69" t="str">
        <f aca="false">IF(OR($F145="",$C145&lt;&gt;'設定（最初に1回）'!$C$4),"",IFERROR(INDEX(発注計算!$Y$6:$Y$405,MATCH($F145,発注計算!$C$6:$C$405,0)),""))</f>
        <v/>
      </c>
      <c r="K145" s="70"/>
      <c r="L145" s="69" t="str">
        <f aca="false">IF($K145="","",N($K145)*N($I145))</f>
        <v/>
      </c>
      <c r="M145" s="71" t="str">
        <f aca="false">IFERROR(INDEX(商品マスタ!$G$6:$G$1005,MATCH($F145,商品マスタ!$B$6:$B$1005,0)),"")</f>
        <v/>
      </c>
      <c r="N145" s="71" t="str">
        <f aca="false">IF($K145="","",N($K145)*N($M145))</f>
        <v/>
      </c>
      <c r="O145" s="66" t="str">
        <f aca="false">IFERROR(INDEX(商品マスタ!$H$6:$H$1005,MATCH($F145,商品マスタ!$B$6:$B$1005,0)),"")</f>
        <v/>
      </c>
      <c r="P145" s="87" t="str">
        <f aca="false">IF(OR($E145="",$O145=""),"",WORKDAY($E145,$O145))</f>
        <v/>
      </c>
      <c r="Q145" s="80"/>
      <c r="R145" s="131"/>
      <c r="S145" s="69" t="n">
        <f aca="false">IF($Q145="入荷済み",N($L145),0)</f>
        <v>0</v>
      </c>
      <c r="T145" s="80"/>
      <c r="U145" s="80"/>
    </row>
    <row r="146" customFormat="false" ht="15" hidden="false" customHeight="false" outlineLevel="0" collapsed="false">
      <c r="B146" s="66" t="str">
        <f aca="false">IF(OR($E146="",$F146=""),"","PO-"&amp;TEXT($E146,"yyyymmdd")&amp;"-"&amp;TEXT(COUNTIFS($E$6:$E146,$E146,$C$6:$C146,$C146),"000"))</f>
        <v/>
      </c>
      <c r="C146" s="130"/>
      <c r="D146" s="66" t="str">
        <f aca="false">IFERROR(INDEX(定数マスタ!$C$6:$C$105,MATCH($C146,定数マスタ!$B$6:$B$105,0)),"")</f>
        <v/>
      </c>
      <c r="E146" s="131"/>
      <c r="F146" s="130"/>
      <c r="G146" s="66" t="str">
        <f aca="false">IFERROR(INDEX(商品マスタ!$C$6:$C$1005,MATCH($F146,商品マスタ!$B$6:$B$1005,0)),"")</f>
        <v/>
      </c>
      <c r="H146" s="66" t="str">
        <f aca="false">IFERROR(INDEX(商品マスタ!$E$6:$E$1005,MATCH($F146,商品マスタ!$B$6:$B$1005,0)),"")</f>
        <v/>
      </c>
      <c r="I146" s="69" t="str">
        <f aca="false">IFERROR(INDEX(商品マスタ!$F$6:$F$1005,MATCH($F146,商品マスタ!$B$6:$B$1005,0)),"")</f>
        <v/>
      </c>
      <c r="J146" s="69" t="str">
        <f aca="false">IF(OR($F146="",$C146&lt;&gt;'設定（最初に1回）'!$C$4),"",IFERROR(INDEX(発注計算!$Y$6:$Y$405,MATCH($F146,発注計算!$C$6:$C$405,0)),""))</f>
        <v/>
      </c>
      <c r="K146" s="70"/>
      <c r="L146" s="69" t="str">
        <f aca="false">IF($K146="","",N($K146)*N($I146))</f>
        <v/>
      </c>
      <c r="M146" s="71" t="str">
        <f aca="false">IFERROR(INDEX(商品マスタ!$G$6:$G$1005,MATCH($F146,商品マスタ!$B$6:$B$1005,0)),"")</f>
        <v/>
      </c>
      <c r="N146" s="71" t="str">
        <f aca="false">IF($K146="","",N($K146)*N($M146))</f>
        <v/>
      </c>
      <c r="O146" s="66" t="str">
        <f aca="false">IFERROR(INDEX(商品マスタ!$H$6:$H$1005,MATCH($F146,商品マスタ!$B$6:$B$1005,0)),"")</f>
        <v/>
      </c>
      <c r="P146" s="87" t="str">
        <f aca="false">IF(OR($E146="",$O146=""),"",WORKDAY($E146,$O146))</f>
        <v/>
      </c>
      <c r="Q146" s="80"/>
      <c r="R146" s="131"/>
      <c r="S146" s="69" t="n">
        <f aca="false">IF($Q146="入荷済み",N($L146),0)</f>
        <v>0</v>
      </c>
      <c r="T146" s="80"/>
      <c r="U146" s="80"/>
    </row>
    <row r="147" customFormat="false" ht="15" hidden="false" customHeight="false" outlineLevel="0" collapsed="false">
      <c r="B147" s="66" t="str">
        <f aca="false">IF(OR($E147="",$F147=""),"","PO-"&amp;TEXT($E147,"yyyymmdd")&amp;"-"&amp;TEXT(COUNTIFS($E$6:$E147,$E147,$C$6:$C147,$C147),"000"))</f>
        <v/>
      </c>
      <c r="C147" s="130"/>
      <c r="D147" s="66" t="str">
        <f aca="false">IFERROR(INDEX(定数マスタ!$C$6:$C$105,MATCH($C147,定数マスタ!$B$6:$B$105,0)),"")</f>
        <v/>
      </c>
      <c r="E147" s="131"/>
      <c r="F147" s="130"/>
      <c r="G147" s="66" t="str">
        <f aca="false">IFERROR(INDEX(商品マスタ!$C$6:$C$1005,MATCH($F147,商品マスタ!$B$6:$B$1005,0)),"")</f>
        <v/>
      </c>
      <c r="H147" s="66" t="str">
        <f aca="false">IFERROR(INDEX(商品マスタ!$E$6:$E$1005,MATCH($F147,商品マスタ!$B$6:$B$1005,0)),"")</f>
        <v/>
      </c>
      <c r="I147" s="69" t="str">
        <f aca="false">IFERROR(INDEX(商品マスタ!$F$6:$F$1005,MATCH($F147,商品マスタ!$B$6:$B$1005,0)),"")</f>
        <v/>
      </c>
      <c r="J147" s="69" t="str">
        <f aca="false">IF(OR($F147="",$C147&lt;&gt;'設定（最初に1回）'!$C$4),"",IFERROR(INDEX(発注計算!$Y$6:$Y$405,MATCH($F147,発注計算!$C$6:$C$405,0)),""))</f>
        <v/>
      </c>
      <c r="K147" s="70"/>
      <c r="L147" s="69" t="str">
        <f aca="false">IF($K147="","",N($K147)*N($I147))</f>
        <v/>
      </c>
      <c r="M147" s="71" t="str">
        <f aca="false">IFERROR(INDEX(商品マスタ!$G$6:$G$1005,MATCH($F147,商品マスタ!$B$6:$B$1005,0)),"")</f>
        <v/>
      </c>
      <c r="N147" s="71" t="str">
        <f aca="false">IF($K147="","",N($K147)*N($M147))</f>
        <v/>
      </c>
      <c r="O147" s="66" t="str">
        <f aca="false">IFERROR(INDEX(商品マスタ!$H$6:$H$1005,MATCH($F147,商品マスタ!$B$6:$B$1005,0)),"")</f>
        <v/>
      </c>
      <c r="P147" s="87" t="str">
        <f aca="false">IF(OR($E147="",$O147=""),"",WORKDAY($E147,$O147))</f>
        <v/>
      </c>
      <c r="Q147" s="80"/>
      <c r="R147" s="131"/>
      <c r="S147" s="69" t="n">
        <f aca="false">IF($Q147="入荷済み",N($L147),0)</f>
        <v>0</v>
      </c>
      <c r="T147" s="80"/>
      <c r="U147" s="80"/>
    </row>
    <row r="148" customFormat="false" ht="15" hidden="false" customHeight="false" outlineLevel="0" collapsed="false">
      <c r="B148" s="66" t="str">
        <f aca="false">IF(OR($E148="",$F148=""),"","PO-"&amp;TEXT($E148,"yyyymmdd")&amp;"-"&amp;TEXT(COUNTIFS($E$6:$E148,$E148,$C$6:$C148,$C148),"000"))</f>
        <v/>
      </c>
      <c r="C148" s="130"/>
      <c r="D148" s="66" t="str">
        <f aca="false">IFERROR(INDEX(定数マスタ!$C$6:$C$105,MATCH($C148,定数マスタ!$B$6:$B$105,0)),"")</f>
        <v/>
      </c>
      <c r="E148" s="131"/>
      <c r="F148" s="130"/>
      <c r="G148" s="66" t="str">
        <f aca="false">IFERROR(INDEX(商品マスタ!$C$6:$C$1005,MATCH($F148,商品マスタ!$B$6:$B$1005,0)),"")</f>
        <v/>
      </c>
      <c r="H148" s="66" t="str">
        <f aca="false">IFERROR(INDEX(商品マスタ!$E$6:$E$1005,MATCH($F148,商品マスタ!$B$6:$B$1005,0)),"")</f>
        <v/>
      </c>
      <c r="I148" s="69" t="str">
        <f aca="false">IFERROR(INDEX(商品マスタ!$F$6:$F$1005,MATCH($F148,商品マスタ!$B$6:$B$1005,0)),"")</f>
        <v/>
      </c>
      <c r="J148" s="69" t="str">
        <f aca="false">IF(OR($F148="",$C148&lt;&gt;'設定（最初に1回）'!$C$4),"",IFERROR(INDEX(発注計算!$Y$6:$Y$405,MATCH($F148,発注計算!$C$6:$C$405,0)),""))</f>
        <v/>
      </c>
      <c r="K148" s="70"/>
      <c r="L148" s="69" t="str">
        <f aca="false">IF($K148="","",N($K148)*N($I148))</f>
        <v/>
      </c>
      <c r="M148" s="71" t="str">
        <f aca="false">IFERROR(INDEX(商品マスタ!$G$6:$G$1005,MATCH($F148,商品マスタ!$B$6:$B$1005,0)),"")</f>
        <v/>
      </c>
      <c r="N148" s="71" t="str">
        <f aca="false">IF($K148="","",N($K148)*N($M148))</f>
        <v/>
      </c>
      <c r="O148" s="66" t="str">
        <f aca="false">IFERROR(INDEX(商品マスタ!$H$6:$H$1005,MATCH($F148,商品マスタ!$B$6:$B$1005,0)),"")</f>
        <v/>
      </c>
      <c r="P148" s="87" t="str">
        <f aca="false">IF(OR($E148="",$O148=""),"",WORKDAY($E148,$O148))</f>
        <v/>
      </c>
      <c r="Q148" s="80"/>
      <c r="R148" s="131"/>
      <c r="S148" s="69" t="n">
        <f aca="false">IF($Q148="入荷済み",N($L148),0)</f>
        <v>0</v>
      </c>
      <c r="T148" s="80"/>
      <c r="U148" s="80"/>
    </row>
    <row r="149" customFormat="false" ht="15" hidden="false" customHeight="false" outlineLevel="0" collapsed="false">
      <c r="B149" s="66" t="str">
        <f aca="false">IF(OR($E149="",$F149=""),"","PO-"&amp;TEXT($E149,"yyyymmdd")&amp;"-"&amp;TEXT(COUNTIFS($E$6:$E149,$E149,$C$6:$C149,$C149),"000"))</f>
        <v/>
      </c>
      <c r="C149" s="130"/>
      <c r="D149" s="66" t="str">
        <f aca="false">IFERROR(INDEX(定数マスタ!$C$6:$C$105,MATCH($C149,定数マスタ!$B$6:$B$105,0)),"")</f>
        <v/>
      </c>
      <c r="E149" s="131"/>
      <c r="F149" s="130"/>
      <c r="G149" s="66" t="str">
        <f aca="false">IFERROR(INDEX(商品マスタ!$C$6:$C$1005,MATCH($F149,商品マスタ!$B$6:$B$1005,0)),"")</f>
        <v/>
      </c>
      <c r="H149" s="66" t="str">
        <f aca="false">IFERROR(INDEX(商品マスタ!$E$6:$E$1005,MATCH($F149,商品マスタ!$B$6:$B$1005,0)),"")</f>
        <v/>
      </c>
      <c r="I149" s="69" t="str">
        <f aca="false">IFERROR(INDEX(商品マスタ!$F$6:$F$1005,MATCH($F149,商品マスタ!$B$6:$B$1005,0)),"")</f>
        <v/>
      </c>
      <c r="J149" s="69" t="str">
        <f aca="false">IF(OR($F149="",$C149&lt;&gt;'設定（最初に1回）'!$C$4),"",IFERROR(INDEX(発注計算!$Y$6:$Y$405,MATCH($F149,発注計算!$C$6:$C$405,0)),""))</f>
        <v/>
      </c>
      <c r="K149" s="70"/>
      <c r="L149" s="69" t="str">
        <f aca="false">IF($K149="","",N($K149)*N($I149))</f>
        <v/>
      </c>
      <c r="M149" s="71" t="str">
        <f aca="false">IFERROR(INDEX(商品マスタ!$G$6:$G$1005,MATCH($F149,商品マスタ!$B$6:$B$1005,0)),"")</f>
        <v/>
      </c>
      <c r="N149" s="71" t="str">
        <f aca="false">IF($K149="","",N($K149)*N($M149))</f>
        <v/>
      </c>
      <c r="O149" s="66" t="str">
        <f aca="false">IFERROR(INDEX(商品マスタ!$H$6:$H$1005,MATCH($F149,商品マスタ!$B$6:$B$1005,0)),"")</f>
        <v/>
      </c>
      <c r="P149" s="87" t="str">
        <f aca="false">IF(OR($E149="",$O149=""),"",WORKDAY($E149,$O149))</f>
        <v/>
      </c>
      <c r="Q149" s="80"/>
      <c r="R149" s="131"/>
      <c r="S149" s="69" t="n">
        <f aca="false">IF($Q149="入荷済み",N($L149),0)</f>
        <v>0</v>
      </c>
      <c r="T149" s="80"/>
      <c r="U149" s="80"/>
    </row>
    <row r="150" customFormat="false" ht="15" hidden="false" customHeight="false" outlineLevel="0" collapsed="false">
      <c r="B150" s="66" t="str">
        <f aca="false">IF(OR($E150="",$F150=""),"","PO-"&amp;TEXT($E150,"yyyymmdd")&amp;"-"&amp;TEXT(COUNTIFS($E$6:$E150,$E150,$C$6:$C150,$C150),"000"))</f>
        <v/>
      </c>
      <c r="C150" s="130"/>
      <c r="D150" s="66" t="str">
        <f aca="false">IFERROR(INDEX(定数マスタ!$C$6:$C$105,MATCH($C150,定数マスタ!$B$6:$B$105,0)),"")</f>
        <v/>
      </c>
      <c r="E150" s="131"/>
      <c r="F150" s="130"/>
      <c r="G150" s="66" t="str">
        <f aca="false">IFERROR(INDEX(商品マスタ!$C$6:$C$1005,MATCH($F150,商品マスタ!$B$6:$B$1005,0)),"")</f>
        <v/>
      </c>
      <c r="H150" s="66" t="str">
        <f aca="false">IFERROR(INDEX(商品マスタ!$E$6:$E$1005,MATCH($F150,商品マスタ!$B$6:$B$1005,0)),"")</f>
        <v/>
      </c>
      <c r="I150" s="69" t="str">
        <f aca="false">IFERROR(INDEX(商品マスタ!$F$6:$F$1005,MATCH($F150,商品マスタ!$B$6:$B$1005,0)),"")</f>
        <v/>
      </c>
      <c r="J150" s="69" t="str">
        <f aca="false">IF(OR($F150="",$C150&lt;&gt;'設定（最初に1回）'!$C$4),"",IFERROR(INDEX(発注計算!$Y$6:$Y$405,MATCH($F150,発注計算!$C$6:$C$405,0)),""))</f>
        <v/>
      </c>
      <c r="K150" s="70"/>
      <c r="L150" s="69" t="str">
        <f aca="false">IF($K150="","",N($K150)*N($I150))</f>
        <v/>
      </c>
      <c r="M150" s="71" t="str">
        <f aca="false">IFERROR(INDEX(商品マスタ!$G$6:$G$1005,MATCH($F150,商品マスタ!$B$6:$B$1005,0)),"")</f>
        <v/>
      </c>
      <c r="N150" s="71" t="str">
        <f aca="false">IF($K150="","",N($K150)*N($M150))</f>
        <v/>
      </c>
      <c r="O150" s="66" t="str">
        <f aca="false">IFERROR(INDEX(商品マスタ!$H$6:$H$1005,MATCH($F150,商品マスタ!$B$6:$B$1005,0)),"")</f>
        <v/>
      </c>
      <c r="P150" s="87" t="str">
        <f aca="false">IF(OR($E150="",$O150=""),"",WORKDAY($E150,$O150))</f>
        <v/>
      </c>
      <c r="Q150" s="80"/>
      <c r="R150" s="131"/>
      <c r="S150" s="69" t="n">
        <f aca="false">IF($Q150="入荷済み",N($L150),0)</f>
        <v>0</v>
      </c>
      <c r="T150" s="80"/>
      <c r="U150" s="80"/>
    </row>
    <row r="151" customFormat="false" ht="15" hidden="false" customHeight="false" outlineLevel="0" collapsed="false">
      <c r="B151" s="66" t="str">
        <f aca="false">IF(OR($E151="",$F151=""),"","PO-"&amp;TEXT($E151,"yyyymmdd")&amp;"-"&amp;TEXT(COUNTIFS($E$6:$E151,$E151,$C$6:$C151,$C151),"000"))</f>
        <v/>
      </c>
      <c r="C151" s="130"/>
      <c r="D151" s="66" t="str">
        <f aca="false">IFERROR(INDEX(定数マスタ!$C$6:$C$105,MATCH($C151,定数マスタ!$B$6:$B$105,0)),"")</f>
        <v/>
      </c>
      <c r="E151" s="131"/>
      <c r="F151" s="130"/>
      <c r="G151" s="66" t="str">
        <f aca="false">IFERROR(INDEX(商品マスタ!$C$6:$C$1005,MATCH($F151,商品マスタ!$B$6:$B$1005,0)),"")</f>
        <v/>
      </c>
      <c r="H151" s="66" t="str">
        <f aca="false">IFERROR(INDEX(商品マスタ!$E$6:$E$1005,MATCH($F151,商品マスタ!$B$6:$B$1005,0)),"")</f>
        <v/>
      </c>
      <c r="I151" s="69" t="str">
        <f aca="false">IFERROR(INDEX(商品マスタ!$F$6:$F$1005,MATCH($F151,商品マスタ!$B$6:$B$1005,0)),"")</f>
        <v/>
      </c>
      <c r="J151" s="69" t="str">
        <f aca="false">IF(OR($F151="",$C151&lt;&gt;'設定（最初に1回）'!$C$4),"",IFERROR(INDEX(発注計算!$Y$6:$Y$405,MATCH($F151,発注計算!$C$6:$C$405,0)),""))</f>
        <v/>
      </c>
      <c r="K151" s="70"/>
      <c r="L151" s="69" t="str">
        <f aca="false">IF($K151="","",N($K151)*N($I151))</f>
        <v/>
      </c>
      <c r="M151" s="71" t="str">
        <f aca="false">IFERROR(INDEX(商品マスタ!$G$6:$G$1005,MATCH($F151,商品マスタ!$B$6:$B$1005,0)),"")</f>
        <v/>
      </c>
      <c r="N151" s="71" t="str">
        <f aca="false">IF($K151="","",N($K151)*N($M151))</f>
        <v/>
      </c>
      <c r="O151" s="66" t="str">
        <f aca="false">IFERROR(INDEX(商品マスタ!$H$6:$H$1005,MATCH($F151,商品マスタ!$B$6:$B$1005,0)),"")</f>
        <v/>
      </c>
      <c r="P151" s="87" t="str">
        <f aca="false">IF(OR($E151="",$O151=""),"",WORKDAY($E151,$O151))</f>
        <v/>
      </c>
      <c r="Q151" s="80"/>
      <c r="R151" s="131"/>
      <c r="S151" s="69" t="n">
        <f aca="false">IF($Q151="入荷済み",N($L151),0)</f>
        <v>0</v>
      </c>
      <c r="T151" s="80"/>
      <c r="U151" s="80"/>
    </row>
    <row r="152" customFormat="false" ht="15" hidden="false" customHeight="false" outlineLevel="0" collapsed="false">
      <c r="B152" s="66" t="str">
        <f aca="false">IF(OR($E152="",$F152=""),"","PO-"&amp;TEXT($E152,"yyyymmdd")&amp;"-"&amp;TEXT(COUNTIFS($E$6:$E152,$E152,$C$6:$C152,$C152),"000"))</f>
        <v/>
      </c>
      <c r="C152" s="130"/>
      <c r="D152" s="66" t="str">
        <f aca="false">IFERROR(INDEX(定数マスタ!$C$6:$C$105,MATCH($C152,定数マスタ!$B$6:$B$105,0)),"")</f>
        <v/>
      </c>
      <c r="E152" s="131"/>
      <c r="F152" s="130"/>
      <c r="G152" s="66" t="str">
        <f aca="false">IFERROR(INDEX(商品マスタ!$C$6:$C$1005,MATCH($F152,商品マスタ!$B$6:$B$1005,0)),"")</f>
        <v/>
      </c>
      <c r="H152" s="66" t="str">
        <f aca="false">IFERROR(INDEX(商品マスタ!$E$6:$E$1005,MATCH($F152,商品マスタ!$B$6:$B$1005,0)),"")</f>
        <v/>
      </c>
      <c r="I152" s="69" t="str">
        <f aca="false">IFERROR(INDEX(商品マスタ!$F$6:$F$1005,MATCH($F152,商品マスタ!$B$6:$B$1005,0)),"")</f>
        <v/>
      </c>
      <c r="J152" s="69" t="str">
        <f aca="false">IF(OR($F152="",$C152&lt;&gt;'設定（最初に1回）'!$C$4),"",IFERROR(INDEX(発注計算!$Y$6:$Y$405,MATCH($F152,発注計算!$C$6:$C$405,0)),""))</f>
        <v/>
      </c>
      <c r="K152" s="70"/>
      <c r="L152" s="69" t="str">
        <f aca="false">IF($K152="","",N($K152)*N($I152))</f>
        <v/>
      </c>
      <c r="M152" s="71" t="str">
        <f aca="false">IFERROR(INDEX(商品マスタ!$G$6:$G$1005,MATCH($F152,商品マスタ!$B$6:$B$1005,0)),"")</f>
        <v/>
      </c>
      <c r="N152" s="71" t="str">
        <f aca="false">IF($K152="","",N($K152)*N($M152))</f>
        <v/>
      </c>
      <c r="O152" s="66" t="str">
        <f aca="false">IFERROR(INDEX(商品マスタ!$H$6:$H$1005,MATCH($F152,商品マスタ!$B$6:$B$1005,0)),"")</f>
        <v/>
      </c>
      <c r="P152" s="87" t="str">
        <f aca="false">IF(OR($E152="",$O152=""),"",WORKDAY($E152,$O152))</f>
        <v/>
      </c>
      <c r="Q152" s="80"/>
      <c r="R152" s="131"/>
      <c r="S152" s="69" t="n">
        <f aca="false">IF($Q152="入荷済み",N($L152),0)</f>
        <v>0</v>
      </c>
      <c r="T152" s="80"/>
      <c r="U152" s="80"/>
    </row>
    <row r="153" customFormat="false" ht="15" hidden="false" customHeight="false" outlineLevel="0" collapsed="false">
      <c r="B153" s="66" t="str">
        <f aca="false">IF(OR($E153="",$F153=""),"","PO-"&amp;TEXT($E153,"yyyymmdd")&amp;"-"&amp;TEXT(COUNTIFS($E$6:$E153,$E153,$C$6:$C153,$C153),"000"))</f>
        <v/>
      </c>
      <c r="C153" s="130"/>
      <c r="D153" s="66" t="str">
        <f aca="false">IFERROR(INDEX(定数マスタ!$C$6:$C$105,MATCH($C153,定数マスタ!$B$6:$B$105,0)),"")</f>
        <v/>
      </c>
      <c r="E153" s="131"/>
      <c r="F153" s="130"/>
      <c r="G153" s="66" t="str">
        <f aca="false">IFERROR(INDEX(商品マスタ!$C$6:$C$1005,MATCH($F153,商品マスタ!$B$6:$B$1005,0)),"")</f>
        <v/>
      </c>
      <c r="H153" s="66" t="str">
        <f aca="false">IFERROR(INDEX(商品マスタ!$E$6:$E$1005,MATCH($F153,商品マスタ!$B$6:$B$1005,0)),"")</f>
        <v/>
      </c>
      <c r="I153" s="69" t="str">
        <f aca="false">IFERROR(INDEX(商品マスタ!$F$6:$F$1005,MATCH($F153,商品マスタ!$B$6:$B$1005,0)),"")</f>
        <v/>
      </c>
      <c r="J153" s="69" t="str">
        <f aca="false">IF(OR($F153="",$C153&lt;&gt;'設定（最初に1回）'!$C$4),"",IFERROR(INDEX(発注計算!$Y$6:$Y$405,MATCH($F153,発注計算!$C$6:$C$405,0)),""))</f>
        <v/>
      </c>
      <c r="K153" s="70"/>
      <c r="L153" s="69" t="str">
        <f aca="false">IF($K153="","",N($K153)*N($I153))</f>
        <v/>
      </c>
      <c r="M153" s="71" t="str">
        <f aca="false">IFERROR(INDEX(商品マスタ!$G$6:$G$1005,MATCH($F153,商品マスタ!$B$6:$B$1005,0)),"")</f>
        <v/>
      </c>
      <c r="N153" s="71" t="str">
        <f aca="false">IF($K153="","",N($K153)*N($M153))</f>
        <v/>
      </c>
      <c r="O153" s="66" t="str">
        <f aca="false">IFERROR(INDEX(商品マスタ!$H$6:$H$1005,MATCH($F153,商品マスタ!$B$6:$B$1005,0)),"")</f>
        <v/>
      </c>
      <c r="P153" s="87" t="str">
        <f aca="false">IF(OR($E153="",$O153=""),"",WORKDAY($E153,$O153))</f>
        <v/>
      </c>
      <c r="Q153" s="80"/>
      <c r="R153" s="131"/>
      <c r="S153" s="69" t="n">
        <f aca="false">IF($Q153="入荷済み",N($L153),0)</f>
        <v>0</v>
      </c>
      <c r="T153" s="80"/>
      <c r="U153" s="80"/>
    </row>
    <row r="154" customFormat="false" ht="15" hidden="false" customHeight="false" outlineLevel="0" collapsed="false">
      <c r="B154" s="66" t="str">
        <f aca="false">IF(OR($E154="",$F154=""),"","PO-"&amp;TEXT($E154,"yyyymmdd")&amp;"-"&amp;TEXT(COUNTIFS($E$6:$E154,$E154,$C$6:$C154,$C154),"000"))</f>
        <v/>
      </c>
      <c r="C154" s="130"/>
      <c r="D154" s="66" t="str">
        <f aca="false">IFERROR(INDEX(定数マスタ!$C$6:$C$105,MATCH($C154,定数マスタ!$B$6:$B$105,0)),"")</f>
        <v/>
      </c>
      <c r="E154" s="131"/>
      <c r="F154" s="130"/>
      <c r="G154" s="66" t="str">
        <f aca="false">IFERROR(INDEX(商品マスタ!$C$6:$C$1005,MATCH($F154,商品マスタ!$B$6:$B$1005,0)),"")</f>
        <v/>
      </c>
      <c r="H154" s="66" t="str">
        <f aca="false">IFERROR(INDEX(商品マスタ!$E$6:$E$1005,MATCH($F154,商品マスタ!$B$6:$B$1005,0)),"")</f>
        <v/>
      </c>
      <c r="I154" s="69" t="str">
        <f aca="false">IFERROR(INDEX(商品マスタ!$F$6:$F$1005,MATCH($F154,商品マスタ!$B$6:$B$1005,0)),"")</f>
        <v/>
      </c>
      <c r="J154" s="69" t="str">
        <f aca="false">IF(OR($F154="",$C154&lt;&gt;'設定（最初に1回）'!$C$4),"",IFERROR(INDEX(発注計算!$Y$6:$Y$405,MATCH($F154,発注計算!$C$6:$C$405,0)),""))</f>
        <v/>
      </c>
      <c r="K154" s="70"/>
      <c r="L154" s="69" t="str">
        <f aca="false">IF($K154="","",N($K154)*N($I154))</f>
        <v/>
      </c>
      <c r="M154" s="71" t="str">
        <f aca="false">IFERROR(INDEX(商品マスタ!$G$6:$G$1005,MATCH($F154,商品マスタ!$B$6:$B$1005,0)),"")</f>
        <v/>
      </c>
      <c r="N154" s="71" t="str">
        <f aca="false">IF($K154="","",N($K154)*N($M154))</f>
        <v/>
      </c>
      <c r="O154" s="66" t="str">
        <f aca="false">IFERROR(INDEX(商品マスタ!$H$6:$H$1005,MATCH($F154,商品マスタ!$B$6:$B$1005,0)),"")</f>
        <v/>
      </c>
      <c r="P154" s="87" t="str">
        <f aca="false">IF(OR($E154="",$O154=""),"",WORKDAY($E154,$O154))</f>
        <v/>
      </c>
      <c r="Q154" s="80"/>
      <c r="R154" s="131"/>
      <c r="S154" s="69" t="n">
        <f aca="false">IF($Q154="入荷済み",N($L154),0)</f>
        <v>0</v>
      </c>
      <c r="T154" s="80"/>
      <c r="U154" s="80"/>
    </row>
    <row r="155" customFormat="false" ht="15" hidden="false" customHeight="false" outlineLevel="0" collapsed="false">
      <c r="B155" s="66" t="str">
        <f aca="false">IF(OR($E155="",$F155=""),"","PO-"&amp;TEXT($E155,"yyyymmdd")&amp;"-"&amp;TEXT(COUNTIFS($E$6:$E155,$E155,$C$6:$C155,$C155),"000"))</f>
        <v/>
      </c>
      <c r="C155" s="130"/>
      <c r="D155" s="66" t="str">
        <f aca="false">IFERROR(INDEX(定数マスタ!$C$6:$C$105,MATCH($C155,定数マスタ!$B$6:$B$105,0)),"")</f>
        <v/>
      </c>
      <c r="E155" s="131"/>
      <c r="F155" s="130"/>
      <c r="G155" s="66" t="str">
        <f aca="false">IFERROR(INDEX(商品マスタ!$C$6:$C$1005,MATCH($F155,商品マスタ!$B$6:$B$1005,0)),"")</f>
        <v/>
      </c>
      <c r="H155" s="66" t="str">
        <f aca="false">IFERROR(INDEX(商品マスタ!$E$6:$E$1005,MATCH($F155,商品マスタ!$B$6:$B$1005,0)),"")</f>
        <v/>
      </c>
      <c r="I155" s="69" t="str">
        <f aca="false">IFERROR(INDEX(商品マスタ!$F$6:$F$1005,MATCH($F155,商品マスタ!$B$6:$B$1005,0)),"")</f>
        <v/>
      </c>
      <c r="J155" s="69" t="str">
        <f aca="false">IF(OR($F155="",$C155&lt;&gt;'設定（最初に1回）'!$C$4),"",IFERROR(INDEX(発注計算!$Y$6:$Y$405,MATCH($F155,発注計算!$C$6:$C$405,0)),""))</f>
        <v/>
      </c>
      <c r="K155" s="70"/>
      <c r="L155" s="69" t="str">
        <f aca="false">IF($K155="","",N($K155)*N($I155))</f>
        <v/>
      </c>
      <c r="M155" s="71" t="str">
        <f aca="false">IFERROR(INDEX(商品マスタ!$G$6:$G$1005,MATCH($F155,商品マスタ!$B$6:$B$1005,0)),"")</f>
        <v/>
      </c>
      <c r="N155" s="71" t="str">
        <f aca="false">IF($K155="","",N($K155)*N($M155))</f>
        <v/>
      </c>
      <c r="O155" s="66" t="str">
        <f aca="false">IFERROR(INDEX(商品マスタ!$H$6:$H$1005,MATCH($F155,商品マスタ!$B$6:$B$1005,0)),"")</f>
        <v/>
      </c>
      <c r="P155" s="87" t="str">
        <f aca="false">IF(OR($E155="",$O155=""),"",WORKDAY($E155,$O155))</f>
        <v/>
      </c>
      <c r="Q155" s="80"/>
      <c r="R155" s="131"/>
      <c r="S155" s="69" t="n">
        <f aca="false">IF($Q155="入荷済み",N($L155),0)</f>
        <v>0</v>
      </c>
      <c r="T155" s="80"/>
      <c r="U155" s="80"/>
    </row>
    <row r="156" customFormat="false" ht="15" hidden="false" customHeight="false" outlineLevel="0" collapsed="false">
      <c r="B156" s="66" t="str">
        <f aca="false">IF(OR($E156="",$F156=""),"","PO-"&amp;TEXT($E156,"yyyymmdd")&amp;"-"&amp;TEXT(COUNTIFS($E$6:$E156,$E156,$C$6:$C156,$C156),"000"))</f>
        <v/>
      </c>
      <c r="C156" s="130"/>
      <c r="D156" s="66" t="str">
        <f aca="false">IFERROR(INDEX(定数マスタ!$C$6:$C$105,MATCH($C156,定数マスタ!$B$6:$B$105,0)),"")</f>
        <v/>
      </c>
      <c r="E156" s="131"/>
      <c r="F156" s="130"/>
      <c r="G156" s="66" t="str">
        <f aca="false">IFERROR(INDEX(商品マスタ!$C$6:$C$1005,MATCH($F156,商品マスタ!$B$6:$B$1005,0)),"")</f>
        <v/>
      </c>
      <c r="H156" s="66" t="str">
        <f aca="false">IFERROR(INDEX(商品マスタ!$E$6:$E$1005,MATCH($F156,商品マスタ!$B$6:$B$1005,0)),"")</f>
        <v/>
      </c>
      <c r="I156" s="69" t="str">
        <f aca="false">IFERROR(INDEX(商品マスタ!$F$6:$F$1005,MATCH($F156,商品マスタ!$B$6:$B$1005,0)),"")</f>
        <v/>
      </c>
      <c r="J156" s="69" t="str">
        <f aca="false">IF(OR($F156="",$C156&lt;&gt;'設定（最初に1回）'!$C$4),"",IFERROR(INDEX(発注計算!$Y$6:$Y$405,MATCH($F156,発注計算!$C$6:$C$405,0)),""))</f>
        <v/>
      </c>
      <c r="K156" s="70"/>
      <c r="L156" s="69" t="str">
        <f aca="false">IF($K156="","",N($K156)*N($I156))</f>
        <v/>
      </c>
      <c r="M156" s="71" t="str">
        <f aca="false">IFERROR(INDEX(商品マスタ!$G$6:$G$1005,MATCH($F156,商品マスタ!$B$6:$B$1005,0)),"")</f>
        <v/>
      </c>
      <c r="N156" s="71" t="str">
        <f aca="false">IF($K156="","",N($K156)*N($M156))</f>
        <v/>
      </c>
      <c r="O156" s="66" t="str">
        <f aca="false">IFERROR(INDEX(商品マスタ!$H$6:$H$1005,MATCH($F156,商品マスタ!$B$6:$B$1005,0)),"")</f>
        <v/>
      </c>
      <c r="P156" s="87" t="str">
        <f aca="false">IF(OR($E156="",$O156=""),"",WORKDAY($E156,$O156))</f>
        <v/>
      </c>
      <c r="Q156" s="80"/>
      <c r="R156" s="131"/>
      <c r="S156" s="69" t="n">
        <f aca="false">IF($Q156="入荷済み",N($L156),0)</f>
        <v>0</v>
      </c>
      <c r="T156" s="80"/>
      <c r="U156" s="80"/>
    </row>
    <row r="157" customFormat="false" ht="15" hidden="false" customHeight="false" outlineLevel="0" collapsed="false">
      <c r="B157" s="66" t="str">
        <f aca="false">IF(OR($E157="",$F157=""),"","PO-"&amp;TEXT($E157,"yyyymmdd")&amp;"-"&amp;TEXT(COUNTIFS($E$6:$E157,$E157,$C$6:$C157,$C157),"000"))</f>
        <v/>
      </c>
      <c r="C157" s="130"/>
      <c r="D157" s="66" t="str">
        <f aca="false">IFERROR(INDEX(定数マスタ!$C$6:$C$105,MATCH($C157,定数マスタ!$B$6:$B$105,0)),"")</f>
        <v/>
      </c>
      <c r="E157" s="131"/>
      <c r="F157" s="130"/>
      <c r="G157" s="66" t="str">
        <f aca="false">IFERROR(INDEX(商品マスタ!$C$6:$C$1005,MATCH($F157,商品マスタ!$B$6:$B$1005,0)),"")</f>
        <v/>
      </c>
      <c r="H157" s="66" t="str">
        <f aca="false">IFERROR(INDEX(商品マスタ!$E$6:$E$1005,MATCH($F157,商品マスタ!$B$6:$B$1005,0)),"")</f>
        <v/>
      </c>
      <c r="I157" s="69" t="str">
        <f aca="false">IFERROR(INDEX(商品マスタ!$F$6:$F$1005,MATCH($F157,商品マスタ!$B$6:$B$1005,0)),"")</f>
        <v/>
      </c>
      <c r="J157" s="69" t="str">
        <f aca="false">IF(OR($F157="",$C157&lt;&gt;'設定（最初に1回）'!$C$4),"",IFERROR(INDEX(発注計算!$Y$6:$Y$405,MATCH($F157,発注計算!$C$6:$C$405,0)),""))</f>
        <v/>
      </c>
      <c r="K157" s="70"/>
      <c r="L157" s="69" t="str">
        <f aca="false">IF($K157="","",N($K157)*N($I157))</f>
        <v/>
      </c>
      <c r="M157" s="71" t="str">
        <f aca="false">IFERROR(INDEX(商品マスタ!$G$6:$G$1005,MATCH($F157,商品マスタ!$B$6:$B$1005,0)),"")</f>
        <v/>
      </c>
      <c r="N157" s="71" t="str">
        <f aca="false">IF($K157="","",N($K157)*N($M157))</f>
        <v/>
      </c>
      <c r="O157" s="66" t="str">
        <f aca="false">IFERROR(INDEX(商品マスタ!$H$6:$H$1005,MATCH($F157,商品マスタ!$B$6:$B$1005,0)),"")</f>
        <v/>
      </c>
      <c r="P157" s="87" t="str">
        <f aca="false">IF(OR($E157="",$O157=""),"",WORKDAY($E157,$O157))</f>
        <v/>
      </c>
      <c r="Q157" s="80"/>
      <c r="R157" s="131"/>
      <c r="S157" s="69" t="n">
        <f aca="false">IF($Q157="入荷済み",N($L157),0)</f>
        <v>0</v>
      </c>
      <c r="T157" s="80"/>
      <c r="U157" s="80"/>
    </row>
    <row r="158" customFormat="false" ht="15" hidden="false" customHeight="false" outlineLevel="0" collapsed="false">
      <c r="B158" s="66" t="str">
        <f aca="false">IF(OR($E158="",$F158=""),"","PO-"&amp;TEXT($E158,"yyyymmdd")&amp;"-"&amp;TEXT(COUNTIFS($E$6:$E158,$E158,$C$6:$C158,$C158),"000"))</f>
        <v/>
      </c>
      <c r="C158" s="130"/>
      <c r="D158" s="66" t="str">
        <f aca="false">IFERROR(INDEX(定数マスタ!$C$6:$C$105,MATCH($C158,定数マスタ!$B$6:$B$105,0)),"")</f>
        <v/>
      </c>
      <c r="E158" s="131"/>
      <c r="F158" s="130"/>
      <c r="G158" s="66" t="str">
        <f aca="false">IFERROR(INDEX(商品マスタ!$C$6:$C$1005,MATCH($F158,商品マスタ!$B$6:$B$1005,0)),"")</f>
        <v/>
      </c>
      <c r="H158" s="66" t="str">
        <f aca="false">IFERROR(INDEX(商品マスタ!$E$6:$E$1005,MATCH($F158,商品マスタ!$B$6:$B$1005,0)),"")</f>
        <v/>
      </c>
      <c r="I158" s="69" t="str">
        <f aca="false">IFERROR(INDEX(商品マスタ!$F$6:$F$1005,MATCH($F158,商品マスタ!$B$6:$B$1005,0)),"")</f>
        <v/>
      </c>
      <c r="J158" s="69" t="str">
        <f aca="false">IF(OR($F158="",$C158&lt;&gt;'設定（最初に1回）'!$C$4),"",IFERROR(INDEX(発注計算!$Y$6:$Y$405,MATCH($F158,発注計算!$C$6:$C$405,0)),""))</f>
        <v/>
      </c>
      <c r="K158" s="70"/>
      <c r="L158" s="69" t="str">
        <f aca="false">IF($K158="","",N($K158)*N($I158))</f>
        <v/>
      </c>
      <c r="M158" s="71" t="str">
        <f aca="false">IFERROR(INDEX(商品マスタ!$G$6:$G$1005,MATCH($F158,商品マスタ!$B$6:$B$1005,0)),"")</f>
        <v/>
      </c>
      <c r="N158" s="71" t="str">
        <f aca="false">IF($K158="","",N($K158)*N($M158))</f>
        <v/>
      </c>
      <c r="O158" s="66" t="str">
        <f aca="false">IFERROR(INDEX(商品マスタ!$H$6:$H$1005,MATCH($F158,商品マスタ!$B$6:$B$1005,0)),"")</f>
        <v/>
      </c>
      <c r="P158" s="87" t="str">
        <f aca="false">IF(OR($E158="",$O158=""),"",WORKDAY($E158,$O158))</f>
        <v/>
      </c>
      <c r="Q158" s="80"/>
      <c r="R158" s="131"/>
      <c r="S158" s="69" t="n">
        <f aca="false">IF($Q158="入荷済み",N($L158),0)</f>
        <v>0</v>
      </c>
      <c r="T158" s="80"/>
      <c r="U158" s="80"/>
    </row>
    <row r="159" customFormat="false" ht="15" hidden="false" customHeight="false" outlineLevel="0" collapsed="false">
      <c r="B159" s="66" t="str">
        <f aca="false">IF(OR($E159="",$F159=""),"","PO-"&amp;TEXT($E159,"yyyymmdd")&amp;"-"&amp;TEXT(COUNTIFS($E$6:$E159,$E159,$C$6:$C159,$C159),"000"))</f>
        <v/>
      </c>
      <c r="C159" s="130"/>
      <c r="D159" s="66" t="str">
        <f aca="false">IFERROR(INDEX(定数マスタ!$C$6:$C$105,MATCH($C159,定数マスタ!$B$6:$B$105,0)),"")</f>
        <v/>
      </c>
      <c r="E159" s="131"/>
      <c r="F159" s="130"/>
      <c r="G159" s="66" t="str">
        <f aca="false">IFERROR(INDEX(商品マスタ!$C$6:$C$1005,MATCH($F159,商品マスタ!$B$6:$B$1005,0)),"")</f>
        <v/>
      </c>
      <c r="H159" s="66" t="str">
        <f aca="false">IFERROR(INDEX(商品マスタ!$E$6:$E$1005,MATCH($F159,商品マスタ!$B$6:$B$1005,0)),"")</f>
        <v/>
      </c>
      <c r="I159" s="69" t="str">
        <f aca="false">IFERROR(INDEX(商品マスタ!$F$6:$F$1005,MATCH($F159,商品マスタ!$B$6:$B$1005,0)),"")</f>
        <v/>
      </c>
      <c r="J159" s="69" t="str">
        <f aca="false">IF(OR($F159="",$C159&lt;&gt;'設定（最初に1回）'!$C$4),"",IFERROR(INDEX(発注計算!$Y$6:$Y$405,MATCH($F159,発注計算!$C$6:$C$405,0)),""))</f>
        <v/>
      </c>
      <c r="K159" s="70"/>
      <c r="L159" s="69" t="str">
        <f aca="false">IF($K159="","",N($K159)*N($I159))</f>
        <v/>
      </c>
      <c r="M159" s="71" t="str">
        <f aca="false">IFERROR(INDEX(商品マスタ!$G$6:$G$1005,MATCH($F159,商品マスタ!$B$6:$B$1005,0)),"")</f>
        <v/>
      </c>
      <c r="N159" s="71" t="str">
        <f aca="false">IF($K159="","",N($K159)*N($M159))</f>
        <v/>
      </c>
      <c r="O159" s="66" t="str">
        <f aca="false">IFERROR(INDEX(商品マスタ!$H$6:$H$1005,MATCH($F159,商品マスタ!$B$6:$B$1005,0)),"")</f>
        <v/>
      </c>
      <c r="P159" s="87" t="str">
        <f aca="false">IF(OR($E159="",$O159=""),"",WORKDAY($E159,$O159))</f>
        <v/>
      </c>
      <c r="Q159" s="80"/>
      <c r="R159" s="131"/>
      <c r="S159" s="69" t="n">
        <f aca="false">IF($Q159="入荷済み",N($L159),0)</f>
        <v>0</v>
      </c>
      <c r="T159" s="80"/>
      <c r="U159" s="80"/>
    </row>
    <row r="160" customFormat="false" ht="15" hidden="false" customHeight="false" outlineLevel="0" collapsed="false">
      <c r="B160" s="66" t="str">
        <f aca="false">IF(OR($E160="",$F160=""),"","PO-"&amp;TEXT($E160,"yyyymmdd")&amp;"-"&amp;TEXT(COUNTIFS($E$6:$E160,$E160,$C$6:$C160,$C160),"000"))</f>
        <v/>
      </c>
      <c r="C160" s="130"/>
      <c r="D160" s="66" t="str">
        <f aca="false">IFERROR(INDEX(定数マスタ!$C$6:$C$105,MATCH($C160,定数マスタ!$B$6:$B$105,0)),"")</f>
        <v/>
      </c>
      <c r="E160" s="131"/>
      <c r="F160" s="130"/>
      <c r="G160" s="66" t="str">
        <f aca="false">IFERROR(INDEX(商品マスタ!$C$6:$C$1005,MATCH($F160,商品マスタ!$B$6:$B$1005,0)),"")</f>
        <v/>
      </c>
      <c r="H160" s="66" t="str">
        <f aca="false">IFERROR(INDEX(商品マスタ!$E$6:$E$1005,MATCH($F160,商品マスタ!$B$6:$B$1005,0)),"")</f>
        <v/>
      </c>
      <c r="I160" s="69" t="str">
        <f aca="false">IFERROR(INDEX(商品マスタ!$F$6:$F$1005,MATCH($F160,商品マスタ!$B$6:$B$1005,0)),"")</f>
        <v/>
      </c>
      <c r="J160" s="69" t="str">
        <f aca="false">IF(OR($F160="",$C160&lt;&gt;'設定（最初に1回）'!$C$4),"",IFERROR(INDEX(発注計算!$Y$6:$Y$405,MATCH($F160,発注計算!$C$6:$C$405,0)),""))</f>
        <v/>
      </c>
      <c r="K160" s="70"/>
      <c r="L160" s="69" t="str">
        <f aca="false">IF($K160="","",N($K160)*N($I160))</f>
        <v/>
      </c>
      <c r="M160" s="71" t="str">
        <f aca="false">IFERROR(INDEX(商品マスタ!$G$6:$G$1005,MATCH($F160,商品マスタ!$B$6:$B$1005,0)),"")</f>
        <v/>
      </c>
      <c r="N160" s="71" t="str">
        <f aca="false">IF($K160="","",N($K160)*N($M160))</f>
        <v/>
      </c>
      <c r="O160" s="66" t="str">
        <f aca="false">IFERROR(INDEX(商品マスタ!$H$6:$H$1005,MATCH($F160,商品マスタ!$B$6:$B$1005,0)),"")</f>
        <v/>
      </c>
      <c r="P160" s="87" t="str">
        <f aca="false">IF(OR($E160="",$O160=""),"",WORKDAY($E160,$O160))</f>
        <v/>
      </c>
      <c r="Q160" s="80"/>
      <c r="R160" s="131"/>
      <c r="S160" s="69" t="n">
        <f aca="false">IF($Q160="入荷済み",N($L160),0)</f>
        <v>0</v>
      </c>
      <c r="T160" s="80"/>
      <c r="U160" s="80"/>
    </row>
    <row r="161" customFormat="false" ht="15" hidden="false" customHeight="false" outlineLevel="0" collapsed="false">
      <c r="B161" s="66" t="str">
        <f aca="false">IF(OR($E161="",$F161=""),"","PO-"&amp;TEXT($E161,"yyyymmdd")&amp;"-"&amp;TEXT(COUNTIFS($E$6:$E161,$E161,$C$6:$C161,$C161),"000"))</f>
        <v/>
      </c>
      <c r="C161" s="130"/>
      <c r="D161" s="66" t="str">
        <f aca="false">IFERROR(INDEX(定数マスタ!$C$6:$C$105,MATCH($C161,定数マスタ!$B$6:$B$105,0)),"")</f>
        <v/>
      </c>
      <c r="E161" s="131"/>
      <c r="F161" s="130"/>
      <c r="G161" s="66" t="str">
        <f aca="false">IFERROR(INDEX(商品マスタ!$C$6:$C$1005,MATCH($F161,商品マスタ!$B$6:$B$1005,0)),"")</f>
        <v/>
      </c>
      <c r="H161" s="66" t="str">
        <f aca="false">IFERROR(INDEX(商品マスタ!$E$6:$E$1005,MATCH($F161,商品マスタ!$B$6:$B$1005,0)),"")</f>
        <v/>
      </c>
      <c r="I161" s="69" t="str">
        <f aca="false">IFERROR(INDEX(商品マスタ!$F$6:$F$1005,MATCH($F161,商品マスタ!$B$6:$B$1005,0)),"")</f>
        <v/>
      </c>
      <c r="J161" s="69" t="str">
        <f aca="false">IF(OR($F161="",$C161&lt;&gt;'設定（最初に1回）'!$C$4),"",IFERROR(INDEX(発注計算!$Y$6:$Y$405,MATCH($F161,発注計算!$C$6:$C$405,0)),""))</f>
        <v/>
      </c>
      <c r="K161" s="70"/>
      <c r="L161" s="69" t="str">
        <f aca="false">IF($K161="","",N($K161)*N($I161))</f>
        <v/>
      </c>
      <c r="M161" s="71" t="str">
        <f aca="false">IFERROR(INDEX(商品マスタ!$G$6:$G$1005,MATCH($F161,商品マスタ!$B$6:$B$1005,0)),"")</f>
        <v/>
      </c>
      <c r="N161" s="71" t="str">
        <f aca="false">IF($K161="","",N($K161)*N($M161))</f>
        <v/>
      </c>
      <c r="O161" s="66" t="str">
        <f aca="false">IFERROR(INDEX(商品マスタ!$H$6:$H$1005,MATCH($F161,商品マスタ!$B$6:$B$1005,0)),"")</f>
        <v/>
      </c>
      <c r="P161" s="87" t="str">
        <f aca="false">IF(OR($E161="",$O161=""),"",WORKDAY($E161,$O161))</f>
        <v/>
      </c>
      <c r="Q161" s="80"/>
      <c r="R161" s="131"/>
      <c r="S161" s="69" t="n">
        <f aca="false">IF($Q161="入荷済み",N($L161),0)</f>
        <v>0</v>
      </c>
      <c r="T161" s="80"/>
      <c r="U161" s="80"/>
    </row>
    <row r="162" customFormat="false" ht="15" hidden="false" customHeight="false" outlineLevel="0" collapsed="false">
      <c r="B162" s="66" t="str">
        <f aca="false">IF(OR($E162="",$F162=""),"","PO-"&amp;TEXT($E162,"yyyymmdd")&amp;"-"&amp;TEXT(COUNTIFS($E$6:$E162,$E162,$C$6:$C162,$C162),"000"))</f>
        <v/>
      </c>
      <c r="C162" s="130"/>
      <c r="D162" s="66" t="str">
        <f aca="false">IFERROR(INDEX(定数マスタ!$C$6:$C$105,MATCH($C162,定数マスタ!$B$6:$B$105,0)),"")</f>
        <v/>
      </c>
      <c r="E162" s="131"/>
      <c r="F162" s="130"/>
      <c r="G162" s="66" t="str">
        <f aca="false">IFERROR(INDEX(商品マスタ!$C$6:$C$1005,MATCH($F162,商品マスタ!$B$6:$B$1005,0)),"")</f>
        <v/>
      </c>
      <c r="H162" s="66" t="str">
        <f aca="false">IFERROR(INDEX(商品マスタ!$E$6:$E$1005,MATCH($F162,商品マスタ!$B$6:$B$1005,0)),"")</f>
        <v/>
      </c>
      <c r="I162" s="69" t="str">
        <f aca="false">IFERROR(INDEX(商品マスタ!$F$6:$F$1005,MATCH($F162,商品マスタ!$B$6:$B$1005,0)),"")</f>
        <v/>
      </c>
      <c r="J162" s="69" t="str">
        <f aca="false">IF(OR($F162="",$C162&lt;&gt;'設定（最初に1回）'!$C$4),"",IFERROR(INDEX(発注計算!$Y$6:$Y$405,MATCH($F162,発注計算!$C$6:$C$405,0)),""))</f>
        <v/>
      </c>
      <c r="K162" s="70"/>
      <c r="L162" s="69" t="str">
        <f aca="false">IF($K162="","",N($K162)*N($I162))</f>
        <v/>
      </c>
      <c r="M162" s="71" t="str">
        <f aca="false">IFERROR(INDEX(商品マスタ!$G$6:$G$1005,MATCH($F162,商品マスタ!$B$6:$B$1005,0)),"")</f>
        <v/>
      </c>
      <c r="N162" s="71" t="str">
        <f aca="false">IF($K162="","",N($K162)*N($M162))</f>
        <v/>
      </c>
      <c r="O162" s="66" t="str">
        <f aca="false">IFERROR(INDEX(商品マスタ!$H$6:$H$1005,MATCH($F162,商品マスタ!$B$6:$B$1005,0)),"")</f>
        <v/>
      </c>
      <c r="P162" s="87" t="str">
        <f aca="false">IF(OR($E162="",$O162=""),"",WORKDAY($E162,$O162))</f>
        <v/>
      </c>
      <c r="Q162" s="80"/>
      <c r="R162" s="131"/>
      <c r="S162" s="69" t="n">
        <f aca="false">IF($Q162="入荷済み",N($L162),0)</f>
        <v>0</v>
      </c>
      <c r="T162" s="80"/>
      <c r="U162" s="80"/>
    </row>
    <row r="163" customFormat="false" ht="15" hidden="false" customHeight="false" outlineLevel="0" collapsed="false">
      <c r="B163" s="66" t="str">
        <f aca="false">IF(OR($E163="",$F163=""),"","PO-"&amp;TEXT($E163,"yyyymmdd")&amp;"-"&amp;TEXT(COUNTIFS($E$6:$E163,$E163,$C$6:$C163,$C163),"000"))</f>
        <v/>
      </c>
      <c r="C163" s="130"/>
      <c r="D163" s="66" t="str">
        <f aca="false">IFERROR(INDEX(定数マスタ!$C$6:$C$105,MATCH($C163,定数マスタ!$B$6:$B$105,0)),"")</f>
        <v/>
      </c>
      <c r="E163" s="131"/>
      <c r="F163" s="130"/>
      <c r="G163" s="66" t="str">
        <f aca="false">IFERROR(INDEX(商品マスタ!$C$6:$C$1005,MATCH($F163,商品マスタ!$B$6:$B$1005,0)),"")</f>
        <v/>
      </c>
      <c r="H163" s="66" t="str">
        <f aca="false">IFERROR(INDEX(商品マスタ!$E$6:$E$1005,MATCH($F163,商品マスタ!$B$6:$B$1005,0)),"")</f>
        <v/>
      </c>
      <c r="I163" s="69" t="str">
        <f aca="false">IFERROR(INDEX(商品マスタ!$F$6:$F$1005,MATCH($F163,商品マスタ!$B$6:$B$1005,0)),"")</f>
        <v/>
      </c>
      <c r="J163" s="69" t="str">
        <f aca="false">IF(OR($F163="",$C163&lt;&gt;'設定（最初に1回）'!$C$4),"",IFERROR(INDEX(発注計算!$Y$6:$Y$405,MATCH($F163,発注計算!$C$6:$C$405,0)),""))</f>
        <v/>
      </c>
      <c r="K163" s="70"/>
      <c r="L163" s="69" t="str">
        <f aca="false">IF($K163="","",N($K163)*N($I163))</f>
        <v/>
      </c>
      <c r="M163" s="71" t="str">
        <f aca="false">IFERROR(INDEX(商品マスタ!$G$6:$G$1005,MATCH($F163,商品マスタ!$B$6:$B$1005,0)),"")</f>
        <v/>
      </c>
      <c r="N163" s="71" t="str">
        <f aca="false">IF($K163="","",N($K163)*N($M163))</f>
        <v/>
      </c>
      <c r="O163" s="66" t="str">
        <f aca="false">IFERROR(INDEX(商品マスタ!$H$6:$H$1005,MATCH($F163,商品マスタ!$B$6:$B$1005,0)),"")</f>
        <v/>
      </c>
      <c r="P163" s="87" t="str">
        <f aca="false">IF(OR($E163="",$O163=""),"",WORKDAY($E163,$O163))</f>
        <v/>
      </c>
      <c r="Q163" s="80"/>
      <c r="R163" s="131"/>
      <c r="S163" s="69" t="n">
        <f aca="false">IF($Q163="入荷済み",N($L163),0)</f>
        <v>0</v>
      </c>
      <c r="T163" s="80"/>
      <c r="U163" s="80"/>
    </row>
    <row r="164" customFormat="false" ht="15" hidden="false" customHeight="false" outlineLevel="0" collapsed="false">
      <c r="B164" s="66" t="str">
        <f aca="false">IF(OR($E164="",$F164=""),"","PO-"&amp;TEXT($E164,"yyyymmdd")&amp;"-"&amp;TEXT(COUNTIFS($E$6:$E164,$E164,$C$6:$C164,$C164),"000"))</f>
        <v/>
      </c>
      <c r="C164" s="130"/>
      <c r="D164" s="66" t="str">
        <f aca="false">IFERROR(INDEX(定数マスタ!$C$6:$C$105,MATCH($C164,定数マスタ!$B$6:$B$105,0)),"")</f>
        <v/>
      </c>
      <c r="E164" s="131"/>
      <c r="F164" s="130"/>
      <c r="G164" s="66" t="str">
        <f aca="false">IFERROR(INDEX(商品マスタ!$C$6:$C$1005,MATCH($F164,商品マスタ!$B$6:$B$1005,0)),"")</f>
        <v/>
      </c>
      <c r="H164" s="66" t="str">
        <f aca="false">IFERROR(INDEX(商品マスタ!$E$6:$E$1005,MATCH($F164,商品マスタ!$B$6:$B$1005,0)),"")</f>
        <v/>
      </c>
      <c r="I164" s="69" t="str">
        <f aca="false">IFERROR(INDEX(商品マスタ!$F$6:$F$1005,MATCH($F164,商品マスタ!$B$6:$B$1005,0)),"")</f>
        <v/>
      </c>
      <c r="J164" s="69" t="str">
        <f aca="false">IF(OR($F164="",$C164&lt;&gt;'設定（最初に1回）'!$C$4),"",IFERROR(INDEX(発注計算!$Y$6:$Y$405,MATCH($F164,発注計算!$C$6:$C$405,0)),""))</f>
        <v/>
      </c>
      <c r="K164" s="70"/>
      <c r="L164" s="69" t="str">
        <f aca="false">IF($K164="","",N($K164)*N($I164))</f>
        <v/>
      </c>
      <c r="M164" s="71" t="str">
        <f aca="false">IFERROR(INDEX(商品マスタ!$G$6:$G$1005,MATCH($F164,商品マスタ!$B$6:$B$1005,0)),"")</f>
        <v/>
      </c>
      <c r="N164" s="71" t="str">
        <f aca="false">IF($K164="","",N($K164)*N($M164))</f>
        <v/>
      </c>
      <c r="O164" s="66" t="str">
        <f aca="false">IFERROR(INDEX(商品マスタ!$H$6:$H$1005,MATCH($F164,商品マスタ!$B$6:$B$1005,0)),"")</f>
        <v/>
      </c>
      <c r="P164" s="87" t="str">
        <f aca="false">IF(OR($E164="",$O164=""),"",WORKDAY($E164,$O164))</f>
        <v/>
      </c>
      <c r="Q164" s="80"/>
      <c r="R164" s="131"/>
      <c r="S164" s="69" t="n">
        <f aca="false">IF($Q164="入荷済み",N($L164),0)</f>
        <v>0</v>
      </c>
      <c r="T164" s="80"/>
      <c r="U164" s="80"/>
    </row>
    <row r="165" customFormat="false" ht="15" hidden="false" customHeight="false" outlineLevel="0" collapsed="false">
      <c r="B165" s="66" t="str">
        <f aca="false">IF(OR($E165="",$F165=""),"","PO-"&amp;TEXT($E165,"yyyymmdd")&amp;"-"&amp;TEXT(COUNTIFS($E$6:$E165,$E165,$C$6:$C165,$C165),"000"))</f>
        <v/>
      </c>
      <c r="C165" s="130"/>
      <c r="D165" s="66" t="str">
        <f aca="false">IFERROR(INDEX(定数マスタ!$C$6:$C$105,MATCH($C165,定数マスタ!$B$6:$B$105,0)),"")</f>
        <v/>
      </c>
      <c r="E165" s="131"/>
      <c r="F165" s="130"/>
      <c r="G165" s="66" t="str">
        <f aca="false">IFERROR(INDEX(商品マスタ!$C$6:$C$1005,MATCH($F165,商品マスタ!$B$6:$B$1005,0)),"")</f>
        <v/>
      </c>
      <c r="H165" s="66" t="str">
        <f aca="false">IFERROR(INDEX(商品マスタ!$E$6:$E$1005,MATCH($F165,商品マスタ!$B$6:$B$1005,0)),"")</f>
        <v/>
      </c>
      <c r="I165" s="69" t="str">
        <f aca="false">IFERROR(INDEX(商品マスタ!$F$6:$F$1005,MATCH($F165,商品マスタ!$B$6:$B$1005,0)),"")</f>
        <v/>
      </c>
      <c r="J165" s="69" t="str">
        <f aca="false">IF(OR($F165="",$C165&lt;&gt;'設定（最初に1回）'!$C$4),"",IFERROR(INDEX(発注計算!$Y$6:$Y$405,MATCH($F165,発注計算!$C$6:$C$405,0)),""))</f>
        <v/>
      </c>
      <c r="K165" s="70"/>
      <c r="L165" s="69" t="str">
        <f aca="false">IF($K165="","",N($K165)*N($I165))</f>
        <v/>
      </c>
      <c r="M165" s="71" t="str">
        <f aca="false">IFERROR(INDEX(商品マスタ!$G$6:$G$1005,MATCH($F165,商品マスタ!$B$6:$B$1005,0)),"")</f>
        <v/>
      </c>
      <c r="N165" s="71" t="str">
        <f aca="false">IF($K165="","",N($K165)*N($M165))</f>
        <v/>
      </c>
      <c r="O165" s="66" t="str">
        <f aca="false">IFERROR(INDEX(商品マスタ!$H$6:$H$1005,MATCH($F165,商品マスタ!$B$6:$B$1005,0)),"")</f>
        <v/>
      </c>
      <c r="P165" s="87" t="str">
        <f aca="false">IF(OR($E165="",$O165=""),"",WORKDAY($E165,$O165))</f>
        <v/>
      </c>
      <c r="Q165" s="80"/>
      <c r="R165" s="131"/>
      <c r="S165" s="69" t="n">
        <f aca="false">IF($Q165="入荷済み",N($L165),0)</f>
        <v>0</v>
      </c>
      <c r="T165" s="80"/>
      <c r="U165" s="80"/>
    </row>
    <row r="166" customFormat="false" ht="15" hidden="false" customHeight="false" outlineLevel="0" collapsed="false">
      <c r="B166" s="66" t="str">
        <f aca="false">IF(OR($E166="",$F166=""),"","PO-"&amp;TEXT($E166,"yyyymmdd")&amp;"-"&amp;TEXT(COUNTIFS($E$6:$E166,$E166,$C$6:$C166,$C166),"000"))</f>
        <v/>
      </c>
      <c r="C166" s="130"/>
      <c r="D166" s="66" t="str">
        <f aca="false">IFERROR(INDEX(定数マスタ!$C$6:$C$105,MATCH($C166,定数マスタ!$B$6:$B$105,0)),"")</f>
        <v/>
      </c>
      <c r="E166" s="131"/>
      <c r="F166" s="130"/>
      <c r="G166" s="66" t="str">
        <f aca="false">IFERROR(INDEX(商品マスタ!$C$6:$C$1005,MATCH($F166,商品マスタ!$B$6:$B$1005,0)),"")</f>
        <v/>
      </c>
      <c r="H166" s="66" t="str">
        <f aca="false">IFERROR(INDEX(商品マスタ!$E$6:$E$1005,MATCH($F166,商品マスタ!$B$6:$B$1005,0)),"")</f>
        <v/>
      </c>
      <c r="I166" s="69" t="str">
        <f aca="false">IFERROR(INDEX(商品マスタ!$F$6:$F$1005,MATCH($F166,商品マスタ!$B$6:$B$1005,0)),"")</f>
        <v/>
      </c>
      <c r="J166" s="69" t="str">
        <f aca="false">IF(OR($F166="",$C166&lt;&gt;'設定（最初に1回）'!$C$4),"",IFERROR(INDEX(発注計算!$Y$6:$Y$405,MATCH($F166,発注計算!$C$6:$C$405,0)),""))</f>
        <v/>
      </c>
      <c r="K166" s="70"/>
      <c r="L166" s="69" t="str">
        <f aca="false">IF($K166="","",N($K166)*N($I166))</f>
        <v/>
      </c>
      <c r="M166" s="71" t="str">
        <f aca="false">IFERROR(INDEX(商品マスタ!$G$6:$G$1005,MATCH($F166,商品マスタ!$B$6:$B$1005,0)),"")</f>
        <v/>
      </c>
      <c r="N166" s="71" t="str">
        <f aca="false">IF($K166="","",N($K166)*N($M166))</f>
        <v/>
      </c>
      <c r="O166" s="66" t="str">
        <f aca="false">IFERROR(INDEX(商品マスタ!$H$6:$H$1005,MATCH($F166,商品マスタ!$B$6:$B$1005,0)),"")</f>
        <v/>
      </c>
      <c r="P166" s="87" t="str">
        <f aca="false">IF(OR($E166="",$O166=""),"",WORKDAY($E166,$O166))</f>
        <v/>
      </c>
      <c r="Q166" s="80"/>
      <c r="R166" s="131"/>
      <c r="S166" s="69" t="n">
        <f aca="false">IF($Q166="入荷済み",N($L166),0)</f>
        <v>0</v>
      </c>
      <c r="T166" s="80"/>
      <c r="U166" s="80"/>
    </row>
    <row r="167" customFormat="false" ht="15" hidden="false" customHeight="false" outlineLevel="0" collapsed="false">
      <c r="B167" s="66" t="str">
        <f aca="false">IF(OR($E167="",$F167=""),"","PO-"&amp;TEXT($E167,"yyyymmdd")&amp;"-"&amp;TEXT(COUNTIFS($E$6:$E167,$E167,$C$6:$C167,$C167),"000"))</f>
        <v/>
      </c>
      <c r="C167" s="130"/>
      <c r="D167" s="66" t="str">
        <f aca="false">IFERROR(INDEX(定数マスタ!$C$6:$C$105,MATCH($C167,定数マスタ!$B$6:$B$105,0)),"")</f>
        <v/>
      </c>
      <c r="E167" s="131"/>
      <c r="F167" s="130"/>
      <c r="G167" s="66" t="str">
        <f aca="false">IFERROR(INDEX(商品マスタ!$C$6:$C$1005,MATCH($F167,商品マスタ!$B$6:$B$1005,0)),"")</f>
        <v/>
      </c>
      <c r="H167" s="66" t="str">
        <f aca="false">IFERROR(INDEX(商品マスタ!$E$6:$E$1005,MATCH($F167,商品マスタ!$B$6:$B$1005,0)),"")</f>
        <v/>
      </c>
      <c r="I167" s="69" t="str">
        <f aca="false">IFERROR(INDEX(商品マスタ!$F$6:$F$1005,MATCH($F167,商品マスタ!$B$6:$B$1005,0)),"")</f>
        <v/>
      </c>
      <c r="J167" s="69" t="str">
        <f aca="false">IF(OR($F167="",$C167&lt;&gt;'設定（最初に1回）'!$C$4),"",IFERROR(INDEX(発注計算!$Y$6:$Y$405,MATCH($F167,発注計算!$C$6:$C$405,0)),""))</f>
        <v/>
      </c>
      <c r="K167" s="70"/>
      <c r="L167" s="69" t="str">
        <f aca="false">IF($K167="","",N($K167)*N($I167))</f>
        <v/>
      </c>
      <c r="M167" s="71" t="str">
        <f aca="false">IFERROR(INDEX(商品マスタ!$G$6:$G$1005,MATCH($F167,商品マスタ!$B$6:$B$1005,0)),"")</f>
        <v/>
      </c>
      <c r="N167" s="71" t="str">
        <f aca="false">IF($K167="","",N($K167)*N($M167))</f>
        <v/>
      </c>
      <c r="O167" s="66" t="str">
        <f aca="false">IFERROR(INDEX(商品マスタ!$H$6:$H$1005,MATCH($F167,商品マスタ!$B$6:$B$1005,0)),"")</f>
        <v/>
      </c>
      <c r="P167" s="87" t="str">
        <f aca="false">IF(OR($E167="",$O167=""),"",WORKDAY($E167,$O167))</f>
        <v/>
      </c>
      <c r="Q167" s="80"/>
      <c r="R167" s="131"/>
      <c r="S167" s="69" t="n">
        <f aca="false">IF($Q167="入荷済み",N($L167),0)</f>
        <v>0</v>
      </c>
      <c r="T167" s="80"/>
      <c r="U167" s="80"/>
    </row>
    <row r="168" customFormat="false" ht="15" hidden="false" customHeight="false" outlineLevel="0" collapsed="false">
      <c r="B168" s="66" t="str">
        <f aca="false">IF(OR($E168="",$F168=""),"","PO-"&amp;TEXT($E168,"yyyymmdd")&amp;"-"&amp;TEXT(COUNTIFS($E$6:$E168,$E168,$C$6:$C168,$C168),"000"))</f>
        <v/>
      </c>
      <c r="C168" s="130"/>
      <c r="D168" s="66" t="str">
        <f aca="false">IFERROR(INDEX(定数マスタ!$C$6:$C$105,MATCH($C168,定数マスタ!$B$6:$B$105,0)),"")</f>
        <v/>
      </c>
      <c r="E168" s="131"/>
      <c r="F168" s="130"/>
      <c r="G168" s="66" t="str">
        <f aca="false">IFERROR(INDEX(商品マスタ!$C$6:$C$1005,MATCH($F168,商品マスタ!$B$6:$B$1005,0)),"")</f>
        <v/>
      </c>
      <c r="H168" s="66" t="str">
        <f aca="false">IFERROR(INDEX(商品マスタ!$E$6:$E$1005,MATCH($F168,商品マスタ!$B$6:$B$1005,0)),"")</f>
        <v/>
      </c>
      <c r="I168" s="69" t="str">
        <f aca="false">IFERROR(INDEX(商品マスタ!$F$6:$F$1005,MATCH($F168,商品マスタ!$B$6:$B$1005,0)),"")</f>
        <v/>
      </c>
      <c r="J168" s="69" t="str">
        <f aca="false">IF(OR($F168="",$C168&lt;&gt;'設定（最初に1回）'!$C$4),"",IFERROR(INDEX(発注計算!$Y$6:$Y$405,MATCH($F168,発注計算!$C$6:$C$405,0)),""))</f>
        <v/>
      </c>
      <c r="K168" s="70"/>
      <c r="L168" s="69" t="str">
        <f aca="false">IF($K168="","",N($K168)*N($I168))</f>
        <v/>
      </c>
      <c r="M168" s="71" t="str">
        <f aca="false">IFERROR(INDEX(商品マスタ!$G$6:$G$1005,MATCH($F168,商品マスタ!$B$6:$B$1005,0)),"")</f>
        <v/>
      </c>
      <c r="N168" s="71" t="str">
        <f aca="false">IF($K168="","",N($K168)*N($M168))</f>
        <v/>
      </c>
      <c r="O168" s="66" t="str">
        <f aca="false">IFERROR(INDEX(商品マスタ!$H$6:$H$1005,MATCH($F168,商品マスタ!$B$6:$B$1005,0)),"")</f>
        <v/>
      </c>
      <c r="P168" s="87" t="str">
        <f aca="false">IF(OR($E168="",$O168=""),"",WORKDAY($E168,$O168))</f>
        <v/>
      </c>
      <c r="Q168" s="80"/>
      <c r="R168" s="131"/>
      <c r="S168" s="69" t="n">
        <f aca="false">IF($Q168="入荷済み",N($L168),0)</f>
        <v>0</v>
      </c>
      <c r="T168" s="80"/>
      <c r="U168" s="80"/>
    </row>
    <row r="169" customFormat="false" ht="15" hidden="false" customHeight="false" outlineLevel="0" collapsed="false">
      <c r="B169" s="66" t="str">
        <f aca="false">IF(OR($E169="",$F169=""),"","PO-"&amp;TEXT($E169,"yyyymmdd")&amp;"-"&amp;TEXT(COUNTIFS($E$6:$E169,$E169,$C$6:$C169,$C169),"000"))</f>
        <v/>
      </c>
      <c r="C169" s="130"/>
      <c r="D169" s="66" t="str">
        <f aca="false">IFERROR(INDEX(定数マスタ!$C$6:$C$105,MATCH($C169,定数マスタ!$B$6:$B$105,0)),"")</f>
        <v/>
      </c>
      <c r="E169" s="131"/>
      <c r="F169" s="130"/>
      <c r="G169" s="66" t="str">
        <f aca="false">IFERROR(INDEX(商品マスタ!$C$6:$C$1005,MATCH($F169,商品マスタ!$B$6:$B$1005,0)),"")</f>
        <v/>
      </c>
      <c r="H169" s="66" t="str">
        <f aca="false">IFERROR(INDEX(商品マスタ!$E$6:$E$1005,MATCH($F169,商品マスタ!$B$6:$B$1005,0)),"")</f>
        <v/>
      </c>
      <c r="I169" s="69" t="str">
        <f aca="false">IFERROR(INDEX(商品マスタ!$F$6:$F$1005,MATCH($F169,商品マスタ!$B$6:$B$1005,0)),"")</f>
        <v/>
      </c>
      <c r="J169" s="69" t="str">
        <f aca="false">IF(OR($F169="",$C169&lt;&gt;'設定（最初に1回）'!$C$4),"",IFERROR(INDEX(発注計算!$Y$6:$Y$405,MATCH($F169,発注計算!$C$6:$C$405,0)),""))</f>
        <v/>
      </c>
      <c r="K169" s="70"/>
      <c r="L169" s="69" t="str">
        <f aca="false">IF($K169="","",N($K169)*N($I169))</f>
        <v/>
      </c>
      <c r="M169" s="71" t="str">
        <f aca="false">IFERROR(INDEX(商品マスタ!$G$6:$G$1005,MATCH($F169,商品マスタ!$B$6:$B$1005,0)),"")</f>
        <v/>
      </c>
      <c r="N169" s="71" t="str">
        <f aca="false">IF($K169="","",N($K169)*N($M169))</f>
        <v/>
      </c>
      <c r="O169" s="66" t="str">
        <f aca="false">IFERROR(INDEX(商品マスタ!$H$6:$H$1005,MATCH($F169,商品マスタ!$B$6:$B$1005,0)),"")</f>
        <v/>
      </c>
      <c r="P169" s="87" t="str">
        <f aca="false">IF(OR($E169="",$O169=""),"",WORKDAY($E169,$O169))</f>
        <v/>
      </c>
      <c r="Q169" s="80"/>
      <c r="R169" s="131"/>
      <c r="S169" s="69" t="n">
        <f aca="false">IF($Q169="入荷済み",N($L169),0)</f>
        <v>0</v>
      </c>
      <c r="T169" s="80"/>
      <c r="U169" s="80"/>
    </row>
    <row r="170" customFormat="false" ht="15" hidden="false" customHeight="false" outlineLevel="0" collapsed="false">
      <c r="B170" s="66" t="str">
        <f aca="false">IF(OR($E170="",$F170=""),"","PO-"&amp;TEXT($E170,"yyyymmdd")&amp;"-"&amp;TEXT(COUNTIFS($E$6:$E170,$E170,$C$6:$C170,$C170),"000"))</f>
        <v/>
      </c>
      <c r="C170" s="130"/>
      <c r="D170" s="66" t="str">
        <f aca="false">IFERROR(INDEX(定数マスタ!$C$6:$C$105,MATCH($C170,定数マスタ!$B$6:$B$105,0)),"")</f>
        <v/>
      </c>
      <c r="E170" s="131"/>
      <c r="F170" s="130"/>
      <c r="G170" s="66" t="str">
        <f aca="false">IFERROR(INDEX(商品マスタ!$C$6:$C$1005,MATCH($F170,商品マスタ!$B$6:$B$1005,0)),"")</f>
        <v/>
      </c>
      <c r="H170" s="66" t="str">
        <f aca="false">IFERROR(INDEX(商品マスタ!$E$6:$E$1005,MATCH($F170,商品マスタ!$B$6:$B$1005,0)),"")</f>
        <v/>
      </c>
      <c r="I170" s="69" t="str">
        <f aca="false">IFERROR(INDEX(商品マスタ!$F$6:$F$1005,MATCH($F170,商品マスタ!$B$6:$B$1005,0)),"")</f>
        <v/>
      </c>
      <c r="J170" s="69" t="str">
        <f aca="false">IF(OR($F170="",$C170&lt;&gt;'設定（最初に1回）'!$C$4),"",IFERROR(INDEX(発注計算!$Y$6:$Y$405,MATCH($F170,発注計算!$C$6:$C$405,0)),""))</f>
        <v/>
      </c>
      <c r="K170" s="70"/>
      <c r="L170" s="69" t="str">
        <f aca="false">IF($K170="","",N($K170)*N($I170))</f>
        <v/>
      </c>
      <c r="M170" s="71" t="str">
        <f aca="false">IFERROR(INDEX(商品マスタ!$G$6:$G$1005,MATCH($F170,商品マスタ!$B$6:$B$1005,0)),"")</f>
        <v/>
      </c>
      <c r="N170" s="71" t="str">
        <f aca="false">IF($K170="","",N($K170)*N($M170))</f>
        <v/>
      </c>
      <c r="O170" s="66" t="str">
        <f aca="false">IFERROR(INDEX(商品マスタ!$H$6:$H$1005,MATCH($F170,商品マスタ!$B$6:$B$1005,0)),"")</f>
        <v/>
      </c>
      <c r="P170" s="87" t="str">
        <f aca="false">IF(OR($E170="",$O170=""),"",WORKDAY($E170,$O170))</f>
        <v/>
      </c>
      <c r="Q170" s="80"/>
      <c r="R170" s="131"/>
      <c r="S170" s="69" t="n">
        <f aca="false">IF($Q170="入荷済み",N($L170),0)</f>
        <v>0</v>
      </c>
      <c r="T170" s="80"/>
      <c r="U170" s="80"/>
    </row>
    <row r="171" customFormat="false" ht="15" hidden="false" customHeight="false" outlineLevel="0" collapsed="false">
      <c r="B171" s="66" t="str">
        <f aca="false">IF(OR($E171="",$F171=""),"","PO-"&amp;TEXT($E171,"yyyymmdd")&amp;"-"&amp;TEXT(COUNTIFS($E$6:$E171,$E171,$C$6:$C171,$C171),"000"))</f>
        <v/>
      </c>
      <c r="C171" s="130"/>
      <c r="D171" s="66" t="str">
        <f aca="false">IFERROR(INDEX(定数マスタ!$C$6:$C$105,MATCH($C171,定数マスタ!$B$6:$B$105,0)),"")</f>
        <v/>
      </c>
      <c r="E171" s="131"/>
      <c r="F171" s="130"/>
      <c r="G171" s="66" t="str">
        <f aca="false">IFERROR(INDEX(商品マスタ!$C$6:$C$1005,MATCH($F171,商品マスタ!$B$6:$B$1005,0)),"")</f>
        <v/>
      </c>
      <c r="H171" s="66" t="str">
        <f aca="false">IFERROR(INDEX(商品マスタ!$E$6:$E$1005,MATCH($F171,商品マスタ!$B$6:$B$1005,0)),"")</f>
        <v/>
      </c>
      <c r="I171" s="69" t="str">
        <f aca="false">IFERROR(INDEX(商品マスタ!$F$6:$F$1005,MATCH($F171,商品マスタ!$B$6:$B$1005,0)),"")</f>
        <v/>
      </c>
      <c r="J171" s="69" t="str">
        <f aca="false">IF(OR($F171="",$C171&lt;&gt;'設定（最初に1回）'!$C$4),"",IFERROR(INDEX(発注計算!$Y$6:$Y$405,MATCH($F171,発注計算!$C$6:$C$405,0)),""))</f>
        <v/>
      </c>
      <c r="K171" s="70"/>
      <c r="L171" s="69" t="str">
        <f aca="false">IF($K171="","",N($K171)*N($I171))</f>
        <v/>
      </c>
      <c r="M171" s="71" t="str">
        <f aca="false">IFERROR(INDEX(商品マスタ!$G$6:$G$1005,MATCH($F171,商品マスタ!$B$6:$B$1005,0)),"")</f>
        <v/>
      </c>
      <c r="N171" s="71" t="str">
        <f aca="false">IF($K171="","",N($K171)*N($M171))</f>
        <v/>
      </c>
      <c r="O171" s="66" t="str">
        <f aca="false">IFERROR(INDEX(商品マスタ!$H$6:$H$1005,MATCH($F171,商品マスタ!$B$6:$B$1005,0)),"")</f>
        <v/>
      </c>
      <c r="P171" s="87" t="str">
        <f aca="false">IF(OR($E171="",$O171=""),"",WORKDAY($E171,$O171))</f>
        <v/>
      </c>
      <c r="Q171" s="80"/>
      <c r="R171" s="131"/>
      <c r="S171" s="69" t="n">
        <f aca="false">IF($Q171="入荷済み",N($L171),0)</f>
        <v>0</v>
      </c>
      <c r="T171" s="80"/>
      <c r="U171" s="80"/>
    </row>
    <row r="172" customFormat="false" ht="15" hidden="false" customHeight="false" outlineLevel="0" collapsed="false">
      <c r="B172" s="66" t="str">
        <f aca="false">IF(OR($E172="",$F172=""),"","PO-"&amp;TEXT($E172,"yyyymmdd")&amp;"-"&amp;TEXT(COUNTIFS($E$6:$E172,$E172,$C$6:$C172,$C172),"000"))</f>
        <v/>
      </c>
      <c r="C172" s="130"/>
      <c r="D172" s="66" t="str">
        <f aca="false">IFERROR(INDEX(定数マスタ!$C$6:$C$105,MATCH($C172,定数マスタ!$B$6:$B$105,0)),"")</f>
        <v/>
      </c>
      <c r="E172" s="131"/>
      <c r="F172" s="130"/>
      <c r="G172" s="66" t="str">
        <f aca="false">IFERROR(INDEX(商品マスタ!$C$6:$C$1005,MATCH($F172,商品マスタ!$B$6:$B$1005,0)),"")</f>
        <v/>
      </c>
      <c r="H172" s="66" t="str">
        <f aca="false">IFERROR(INDEX(商品マスタ!$E$6:$E$1005,MATCH($F172,商品マスタ!$B$6:$B$1005,0)),"")</f>
        <v/>
      </c>
      <c r="I172" s="69" t="str">
        <f aca="false">IFERROR(INDEX(商品マスタ!$F$6:$F$1005,MATCH($F172,商品マスタ!$B$6:$B$1005,0)),"")</f>
        <v/>
      </c>
      <c r="J172" s="69" t="str">
        <f aca="false">IF(OR($F172="",$C172&lt;&gt;'設定（最初に1回）'!$C$4),"",IFERROR(INDEX(発注計算!$Y$6:$Y$405,MATCH($F172,発注計算!$C$6:$C$405,0)),""))</f>
        <v/>
      </c>
      <c r="K172" s="70"/>
      <c r="L172" s="69" t="str">
        <f aca="false">IF($K172="","",N($K172)*N($I172))</f>
        <v/>
      </c>
      <c r="M172" s="71" t="str">
        <f aca="false">IFERROR(INDEX(商品マスタ!$G$6:$G$1005,MATCH($F172,商品マスタ!$B$6:$B$1005,0)),"")</f>
        <v/>
      </c>
      <c r="N172" s="71" t="str">
        <f aca="false">IF($K172="","",N($K172)*N($M172))</f>
        <v/>
      </c>
      <c r="O172" s="66" t="str">
        <f aca="false">IFERROR(INDEX(商品マスタ!$H$6:$H$1005,MATCH($F172,商品マスタ!$B$6:$B$1005,0)),"")</f>
        <v/>
      </c>
      <c r="P172" s="87" t="str">
        <f aca="false">IF(OR($E172="",$O172=""),"",WORKDAY($E172,$O172))</f>
        <v/>
      </c>
      <c r="Q172" s="80"/>
      <c r="R172" s="131"/>
      <c r="S172" s="69" t="n">
        <f aca="false">IF($Q172="入荷済み",N($L172),0)</f>
        <v>0</v>
      </c>
      <c r="T172" s="80"/>
      <c r="U172" s="80"/>
    </row>
    <row r="173" customFormat="false" ht="15" hidden="false" customHeight="false" outlineLevel="0" collapsed="false">
      <c r="B173" s="66" t="str">
        <f aca="false">IF(OR($E173="",$F173=""),"","PO-"&amp;TEXT($E173,"yyyymmdd")&amp;"-"&amp;TEXT(COUNTIFS($E$6:$E173,$E173,$C$6:$C173,$C173),"000"))</f>
        <v/>
      </c>
      <c r="C173" s="130"/>
      <c r="D173" s="66" t="str">
        <f aca="false">IFERROR(INDEX(定数マスタ!$C$6:$C$105,MATCH($C173,定数マスタ!$B$6:$B$105,0)),"")</f>
        <v/>
      </c>
      <c r="E173" s="131"/>
      <c r="F173" s="130"/>
      <c r="G173" s="66" t="str">
        <f aca="false">IFERROR(INDEX(商品マスタ!$C$6:$C$1005,MATCH($F173,商品マスタ!$B$6:$B$1005,0)),"")</f>
        <v/>
      </c>
      <c r="H173" s="66" t="str">
        <f aca="false">IFERROR(INDEX(商品マスタ!$E$6:$E$1005,MATCH($F173,商品マスタ!$B$6:$B$1005,0)),"")</f>
        <v/>
      </c>
      <c r="I173" s="69" t="str">
        <f aca="false">IFERROR(INDEX(商品マスタ!$F$6:$F$1005,MATCH($F173,商品マスタ!$B$6:$B$1005,0)),"")</f>
        <v/>
      </c>
      <c r="J173" s="69" t="str">
        <f aca="false">IF(OR($F173="",$C173&lt;&gt;'設定（最初に1回）'!$C$4),"",IFERROR(INDEX(発注計算!$Y$6:$Y$405,MATCH($F173,発注計算!$C$6:$C$405,0)),""))</f>
        <v/>
      </c>
      <c r="K173" s="70"/>
      <c r="L173" s="69" t="str">
        <f aca="false">IF($K173="","",N($K173)*N($I173))</f>
        <v/>
      </c>
      <c r="M173" s="71" t="str">
        <f aca="false">IFERROR(INDEX(商品マスタ!$G$6:$G$1005,MATCH($F173,商品マスタ!$B$6:$B$1005,0)),"")</f>
        <v/>
      </c>
      <c r="N173" s="71" t="str">
        <f aca="false">IF($K173="","",N($K173)*N($M173))</f>
        <v/>
      </c>
      <c r="O173" s="66" t="str">
        <f aca="false">IFERROR(INDEX(商品マスタ!$H$6:$H$1005,MATCH($F173,商品マスタ!$B$6:$B$1005,0)),"")</f>
        <v/>
      </c>
      <c r="P173" s="87" t="str">
        <f aca="false">IF(OR($E173="",$O173=""),"",WORKDAY($E173,$O173))</f>
        <v/>
      </c>
      <c r="Q173" s="80"/>
      <c r="R173" s="131"/>
      <c r="S173" s="69" t="n">
        <f aca="false">IF($Q173="入荷済み",N($L173),0)</f>
        <v>0</v>
      </c>
      <c r="T173" s="80"/>
      <c r="U173" s="80"/>
    </row>
    <row r="174" customFormat="false" ht="15" hidden="false" customHeight="false" outlineLevel="0" collapsed="false">
      <c r="B174" s="66" t="str">
        <f aca="false">IF(OR($E174="",$F174=""),"","PO-"&amp;TEXT($E174,"yyyymmdd")&amp;"-"&amp;TEXT(COUNTIFS($E$6:$E174,$E174,$C$6:$C174,$C174),"000"))</f>
        <v/>
      </c>
      <c r="C174" s="130"/>
      <c r="D174" s="66" t="str">
        <f aca="false">IFERROR(INDEX(定数マスタ!$C$6:$C$105,MATCH($C174,定数マスタ!$B$6:$B$105,0)),"")</f>
        <v/>
      </c>
      <c r="E174" s="131"/>
      <c r="F174" s="130"/>
      <c r="G174" s="66" t="str">
        <f aca="false">IFERROR(INDEX(商品マスタ!$C$6:$C$1005,MATCH($F174,商品マスタ!$B$6:$B$1005,0)),"")</f>
        <v/>
      </c>
      <c r="H174" s="66" t="str">
        <f aca="false">IFERROR(INDEX(商品マスタ!$E$6:$E$1005,MATCH($F174,商品マスタ!$B$6:$B$1005,0)),"")</f>
        <v/>
      </c>
      <c r="I174" s="69" t="str">
        <f aca="false">IFERROR(INDEX(商品マスタ!$F$6:$F$1005,MATCH($F174,商品マスタ!$B$6:$B$1005,0)),"")</f>
        <v/>
      </c>
      <c r="J174" s="69" t="str">
        <f aca="false">IF(OR($F174="",$C174&lt;&gt;'設定（最初に1回）'!$C$4),"",IFERROR(INDEX(発注計算!$Y$6:$Y$405,MATCH($F174,発注計算!$C$6:$C$405,0)),""))</f>
        <v/>
      </c>
      <c r="K174" s="70"/>
      <c r="L174" s="69" t="str">
        <f aca="false">IF($K174="","",N($K174)*N($I174))</f>
        <v/>
      </c>
      <c r="M174" s="71" t="str">
        <f aca="false">IFERROR(INDEX(商品マスタ!$G$6:$G$1005,MATCH($F174,商品マスタ!$B$6:$B$1005,0)),"")</f>
        <v/>
      </c>
      <c r="N174" s="71" t="str">
        <f aca="false">IF($K174="","",N($K174)*N($M174))</f>
        <v/>
      </c>
      <c r="O174" s="66" t="str">
        <f aca="false">IFERROR(INDEX(商品マスタ!$H$6:$H$1005,MATCH($F174,商品マスタ!$B$6:$B$1005,0)),"")</f>
        <v/>
      </c>
      <c r="P174" s="87" t="str">
        <f aca="false">IF(OR($E174="",$O174=""),"",WORKDAY($E174,$O174))</f>
        <v/>
      </c>
      <c r="Q174" s="80"/>
      <c r="R174" s="131"/>
      <c r="S174" s="69" t="n">
        <f aca="false">IF($Q174="入荷済み",N($L174),0)</f>
        <v>0</v>
      </c>
      <c r="T174" s="80"/>
      <c r="U174" s="80"/>
    </row>
    <row r="175" customFormat="false" ht="15" hidden="false" customHeight="false" outlineLevel="0" collapsed="false">
      <c r="B175" s="66" t="str">
        <f aca="false">IF(OR($E175="",$F175=""),"","PO-"&amp;TEXT($E175,"yyyymmdd")&amp;"-"&amp;TEXT(COUNTIFS($E$6:$E175,$E175,$C$6:$C175,$C175),"000"))</f>
        <v/>
      </c>
      <c r="C175" s="130"/>
      <c r="D175" s="66" t="str">
        <f aca="false">IFERROR(INDEX(定数マスタ!$C$6:$C$105,MATCH($C175,定数マスタ!$B$6:$B$105,0)),"")</f>
        <v/>
      </c>
      <c r="E175" s="131"/>
      <c r="F175" s="130"/>
      <c r="G175" s="66" t="str">
        <f aca="false">IFERROR(INDEX(商品マスタ!$C$6:$C$1005,MATCH($F175,商品マスタ!$B$6:$B$1005,0)),"")</f>
        <v/>
      </c>
      <c r="H175" s="66" t="str">
        <f aca="false">IFERROR(INDEX(商品マスタ!$E$6:$E$1005,MATCH($F175,商品マスタ!$B$6:$B$1005,0)),"")</f>
        <v/>
      </c>
      <c r="I175" s="69" t="str">
        <f aca="false">IFERROR(INDEX(商品マスタ!$F$6:$F$1005,MATCH($F175,商品マスタ!$B$6:$B$1005,0)),"")</f>
        <v/>
      </c>
      <c r="J175" s="69" t="str">
        <f aca="false">IF(OR($F175="",$C175&lt;&gt;'設定（最初に1回）'!$C$4),"",IFERROR(INDEX(発注計算!$Y$6:$Y$405,MATCH($F175,発注計算!$C$6:$C$405,0)),""))</f>
        <v/>
      </c>
      <c r="K175" s="70"/>
      <c r="L175" s="69" t="str">
        <f aca="false">IF($K175="","",N($K175)*N($I175))</f>
        <v/>
      </c>
      <c r="M175" s="71" t="str">
        <f aca="false">IFERROR(INDEX(商品マスタ!$G$6:$G$1005,MATCH($F175,商品マスタ!$B$6:$B$1005,0)),"")</f>
        <v/>
      </c>
      <c r="N175" s="71" t="str">
        <f aca="false">IF($K175="","",N($K175)*N($M175))</f>
        <v/>
      </c>
      <c r="O175" s="66" t="str">
        <f aca="false">IFERROR(INDEX(商品マスタ!$H$6:$H$1005,MATCH($F175,商品マスタ!$B$6:$B$1005,0)),"")</f>
        <v/>
      </c>
      <c r="P175" s="87" t="str">
        <f aca="false">IF(OR($E175="",$O175=""),"",WORKDAY($E175,$O175))</f>
        <v/>
      </c>
      <c r="Q175" s="80"/>
      <c r="R175" s="131"/>
      <c r="S175" s="69" t="n">
        <f aca="false">IF($Q175="入荷済み",N($L175),0)</f>
        <v>0</v>
      </c>
      <c r="T175" s="80"/>
      <c r="U175" s="80"/>
    </row>
    <row r="176" customFormat="false" ht="15" hidden="false" customHeight="false" outlineLevel="0" collapsed="false">
      <c r="B176" s="66" t="str">
        <f aca="false">IF(OR($E176="",$F176=""),"","PO-"&amp;TEXT($E176,"yyyymmdd")&amp;"-"&amp;TEXT(COUNTIFS($E$6:$E176,$E176,$C$6:$C176,$C176),"000"))</f>
        <v/>
      </c>
      <c r="C176" s="130"/>
      <c r="D176" s="66" t="str">
        <f aca="false">IFERROR(INDEX(定数マスタ!$C$6:$C$105,MATCH($C176,定数マスタ!$B$6:$B$105,0)),"")</f>
        <v/>
      </c>
      <c r="E176" s="131"/>
      <c r="F176" s="130"/>
      <c r="G176" s="66" t="str">
        <f aca="false">IFERROR(INDEX(商品マスタ!$C$6:$C$1005,MATCH($F176,商品マスタ!$B$6:$B$1005,0)),"")</f>
        <v/>
      </c>
      <c r="H176" s="66" t="str">
        <f aca="false">IFERROR(INDEX(商品マスタ!$E$6:$E$1005,MATCH($F176,商品マスタ!$B$6:$B$1005,0)),"")</f>
        <v/>
      </c>
      <c r="I176" s="69" t="str">
        <f aca="false">IFERROR(INDEX(商品マスタ!$F$6:$F$1005,MATCH($F176,商品マスタ!$B$6:$B$1005,0)),"")</f>
        <v/>
      </c>
      <c r="J176" s="69" t="str">
        <f aca="false">IF(OR($F176="",$C176&lt;&gt;'設定（最初に1回）'!$C$4),"",IFERROR(INDEX(発注計算!$Y$6:$Y$405,MATCH($F176,発注計算!$C$6:$C$405,0)),""))</f>
        <v/>
      </c>
      <c r="K176" s="70"/>
      <c r="L176" s="69" t="str">
        <f aca="false">IF($K176="","",N($K176)*N($I176))</f>
        <v/>
      </c>
      <c r="M176" s="71" t="str">
        <f aca="false">IFERROR(INDEX(商品マスタ!$G$6:$G$1005,MATCH($F176,商品マスタ!$B$6:$B$1005,0)),"")</f>
        <v/>
      </c>
      <c r="N176" s="71" t="str">
        <f aca="false">IF($K176="","",N($K176)*N($M176))</f>
        <v/>
      </c>
      <c r="O176" s="66" t="str">
        <f aca="false">IFERROR(INDEX(商品マスタ!$H$6:$H$1005,MATCH($F176,商品マスタ!$B$6:$B$1005,0)),"")</f>
        <v/>
      </c>
      <c r="P176" s="87" t="str">
        <f aca="false">IF(OR($E176="",$O176=""),"",WORKDAY($E176,$O176))</f>
        <v/>
      </c>
      <c r="Q176" s="80"/>
      <c r="R176" s="131"/>
      <c r="S176" s="69" t="n">
        <f aca="false">IF($Q176="入荷済み",N($L176),0)</f>
        <v>0</v>
      </c>
      <c r="T176" s="80"/>
      <c r="U176" s="80"/>
    </row>
    <row r="177" customFormat="false" ht="15" hidden="false" customHeight="false" outlineLevel="0" collapsed="false">
      <c r="B177" s="66" t="str">
        <f aca="false">IF(OR($E177="",$F177=""),"","PO-"&amp;TEXT($E177,"yyyymmdd")&amp;"-"&amp;TEXT(COUNTIFS($E$6:$E177,$E177,$C$6:$C177,$C177),"000"))</f>
        <v/>
      </c>
      <c r="C177" s="130"/>
      <c r="D177" s="66" t="str">
        <f aca="false">IFERROR(INDEX(定数マスタ!$C$6:$C$105,MATCH($C177,定数マスタ!$B$6:$B$105,0)),"")</f>
        <v/>
      </c>
      <c r="E177" s="131"/>
      <c r="F177" s="130"/>
      <c r="G177" s="66" t="str">
        <f aca="false">IFERROR(INDEX(商品マスタ!$C$6:$C$1005,MATCH($F177,商品マスタ!$B$6:$B$1005,0)),"")</f>
        <v/>
      </c>
      <c r="H177" s="66" t="str">
        <f aca="false">IFERROR(INDEX(商品マスタ!$E$6:$E$1005,MATCH($F177,商品マスタ!$B$6:$B$1005,0)),"")</f>
        <v/>
      </c>
      <c r="I177" s="69" t="str">
        <f aca="false">IFERROR(INDEX(商品マスタ!$F$6:$F$1005,MATCH($F177,商品マスタ!$B$6:$B$1005,0)),"")</f>
        <v/>
      </c>
      <c r="J177" s="69" t="str">
        <f aca="false">IF(OR($F177="",$C177&lt;&gt;'設定（最初に1回）'!$C$4),"",IFERROR(INDEX(発注計算!$Y$6:$Y$405,MATCH($F177,発注計算!$C$6:$C$405,0)),""))</f>
        <v/>
      </c>
      <c r="K177" s="70"/>
      <c r="L177" s="69" t="str">
        <f aca="false">IF($K177="","",N($K177)*N($I177))</f>
        <v/>
      </c>
      <c r="M177" s="71" t="str">
        <f aca="false">IFERROR(INDEX(商品マスタ!$G$6:$G$1005,MATCH($F177,商品マスタ!$B$6:$B$1005,0)),"")</f>
        <v/>
      </c>
      <c r="N177" s="71" t="str">
        <f aca="false">IF($K177="","",N($K177)*N($M177))</f>
        <v/>
      </c>
      <c r="O177" s="66" t="str">
        <f aca="false">IFERROR(INDEX(商品マスタ!$H$6:$H$1005,MATCH($F177,商品マスタ!$B$6:$B$1005,0)),"")</f>
        <v/>
      </c>
      <c r="P177" s="87" t="str">
        <f aca="false">IF(OR($E177="",$O177=""),"",WORKDAY($E177,$O177))</f>
        <v/>
      </c>
      <c r="Q177" s="80"/>
      <c r="R177" s="131"/>
      <c r="S177" s="69" t="n">
        <f aca="false">IF($Q177="入荷済み",N($L177),0)</f>
        <v>0</v>
      </c>
      <c r="T177" s="80"/>
      <c r="U177" s="80"/>
    </row>
    <row r="178" customFormat="false" ht="15" hidden="false" customHeight="false" outlineLevel="0" collapsed="false">
      <c r="B178" s="66" t="str">
        <f aca="false">IF(OR($E178="",$F178=""),"","PO-"&amp;TEXT($E178,"yyyymmdd")&amp;"-"&amp;TEXT(COUNTIFS($E$6:$E178,$E178,$C$6:$C178,$C178),"000"))</f>
        <v/>
      </c>
      <c r="C178" s="130"/>
      <c r="D178" s="66" t="str">
        <f aca="false">IFERROR(INDEX(定数マスタ!$C$6:$C$105,MATCH($C178,定数マスタ!$B$6:$B$105,0)),"")</f>
        <v/>
      </c>
      <c r="E178" s="131"/>
      <c r="F178" s="130"/>
      <c r="G178" s="66" t="str">
        <f aca="false">IFERROR(INDEX(商品マスタ!$C$6:$C$1005,MATCH($F178,商品マスタ!$B$6:$B$1005,0)),"")</f>
        <v/>
      </c>
      <c r="H178" s="66" t="str">
        <f aca="false">IFERROR(INDEX(商品マスタ!$E$6:$E$1005,MATCH($F178,商品マスタ!$B$6:$B$1005,0)),"")</f>
        <v/>
      </c>
      <c r="I178" s="69" t="str">
        <f aca="false">IFERROR(INDEX(商品マスタ!$F$6:$F$1005,MATCH($F178,商品マスタ!$B$6:$B$1005,0)),"")</f>
        <v/>
      </c>
      <c r="J178" s="69" t="str">
        <f aca="false">IF(OR($F178="",$C178&lt;&gt;'設定（最初に1回）'!$C$4),"",IFERROR(INDEX(発注計算!$Y$6:$Y$405,MATCH($F178,発注計算!$C$6:$C$405,0)),""))</f>
        <v/>
      </c>
      <c r="K178" s="70"/>
      <c r="L178" s="69" t="str">
        <f aca="false">IF($K178="","",N($K178)*N($I178))</f>
        <v/>
      </c>
      <c r="M178" s="71" t="str">
        <f aca="false">IFERROR(INDEX(商品マスタ!$G$6:$G$1005,MATCH($F178,商品マスタ!$B$6:$B$1005,0)),"")</f>
        <v/>
      </c>
      <c r="N178" s="71" t="str">
        <f aca="false">IF($K178="","",N($K178)*N($M178))</f>
        <v/>
      </c>
      <c r="O178" s="66" t="str">
        <f aca="false">IFERROR(INDEX(商品マスタ!$H$6:$H$1005,MATCH($F178,商品マスタ!$B$6:$B$1005,0)),"")</f>
        <v/>
      </c>
      <c r="P178" s="87" t="str">
        <f aca="false">IF(OR($E178="",$O178=""),"",WORKDAY($E178,$O178))</f>
        <v/>
      </c>
      <c r="Q178" s="80"/>
      <c r="R178" s="131"/>
      <c r="S178" s="69" t="n">
        <f aca="false">IF($Q178="入荷済み",N($L178),0)</f>
        <v>0</v>
      </c>
      <c r="T178" s="80"/>
      <c r="U178" s="80"/>
    </row>
    <row r="179" customFormat="false" ht="15" hidden="false" customHeight="false" outlineLevel="0" collapsed="false">
      <c r="B179" s="66" t="str">
        <f aca="false">IF(OR($E179="",$F179=""),"","PO-"&amp;TEXT($E179,"yyyymmdd")&amp;"-"&amp;TEXT(COUNTIFS($E$6:$E179,$E179,$C$6:$C179,$C179),"000"))</f>
        <v/>
      </c>
      <c r="C179" s="130"/>
      <c r="D179" s="66" t="str">
        <f aca="false">IFERROR(INDEX(定数マスタ!$C$6:$C$105,MATCH($C179,定数マスタ!$B$6:$B$105,0)),"")</f>
        <v/>
      </c>
      <c r="E179" s="131"/>
      <c r="F179" s="130"/>
      <c r="G179" s="66" t="str">
        <f aca="false">IFERROR(INDEX(商品マスタ!$C$6:$C$1005,MATCH($F179,商品マスタ!$B$6:$B$1005,0)),"")</f>
        <v/>
      </c>
      <c r="H179" s="66" t="str">
        <f aca="false">IFERROR(INDEX(商品マスタ!$E$6:$E$1005,MATCH($F179,商品マスタ!$B$6:$B$1005,0)),"")</f>
        <v/>
      </c>
      <c r="I179" s="69" t="str">
        <f aca="false">IFERROR(INDEX(商品マスタ!$F$6:$F$1005,MATCH($F179,商品マスタ!$B$6:$B$1005,0)),"")</f>
        <v/>
      </c>
      <c r="J179" s="69" t="str">
        <f aca="false">IF(OR($F179="",$C179&lt;&gt;'設定（最初に1回）'!$C$4),"",IFERROR(INDEX(発注計算!$Y$6:$Y$405,MATCH($F179,発注計算!$C$6:$C$405,0)),""))</f>
        <v/>
      </c>
      <c r="K179" s="70"/>
      <c r="L179" s="69" t="str">
        <f aca="false">IF($K179="","",N($K179)*N($I179))</f>
        <v/>
      </c>
      <c r="M179" s="71" t="str">
        <f aca="false">IFERROR(INDEX(商品マスタ!$G$6:$G$1005,MATCH($F179,商品マスタ!$B$6:$B$1005,0)),"")</f>
        <v/>
      </c>
      <c r="N179" s="71" t="str">
        <f aca="false">IF($K179="","",N($K179)*N($M179))</f>
        <v/>
      </c>
      <c r="O179" s="66" t="str">
        <f aca="false">IFERROR(INDEX(商品マスタ!$H$6:$H$1005,MATCH($F179,商品マスタ!$B$6:$B$1005,0)),"")</f>
        <v/>
      </c>
      <c r="P179" s="87" t="str">
        <f aca="false">IF(OR($E179="",$O179=""),"",WORKDAY($E179,$O179))</f>
        <v/>
      </c>
      <c r="Q179" s="80"/>
      <c r="R179" s="131"/>
      <c r="S179" s="69" t="n">
        <f aca="false">IF($Q179="入荷済み",N($L179),0)</f>
        <v>0</v>
      </c>
      <c r="T179" s="80"/>
      <c r="U179" s="80"/>
    </row>
    <row r="180" customFormat="false" ht="15" hidden="false" customHeight="false" outlineLevel="0" collapsed="false">
      <c r="B180" s="66" t="str">
        <f aca="false">IF(OR($E180="",$F180=""),"","PO-"&amp;TEXT($E180,"yyyymmdd")&amp;"-"&amp;TEXT(COUNTIFS($E$6:$E180,$E180,$C$6:$C180,$C180),"000"))</f>
        <v/>
      </c>
      <c r="C180" s="130"/>
      <c r="D180" s="66" t="str">
        <f aca="false">IFERROR(INDEX(定数マスタ!$C$6:$C$105,MATCH($C180,定数マスタ!$B$6:$B$105,0)),"")</f>
        <v/>
      </c>
      <c r="E180" s="131"/>
      <c r="F180" s="130"/>
      <c r="G180" s="66" t="str">
        <f aca="false">IFERROR(INDEX(商品マスタ!$C$6:$C$1005,MATCH($F180,商品マスタ!$B$6:$B$1005,0)),"")</f>
        <v/>
      </c>
      <c r="H180" s="66" t="str">
        <f aca="false">IFERROR(INDEX(商品マスタ!$E$6:$E$1005,MATCH($F180,商品マスタ!$B$6:$B$1005,0)),"")</f>
        <v/>
      </c>
      <c r="I180" s="69" t="str">
        <f aca="false">IFERROR(INDEX(商品マスタ!$F$6:$F$1005,MATCH($F180,商品マスタ!$B$6:$B$1005,0)),"")</f>
        <v/>
      </c>
      <c r="J180" s="69" t="str">
        <f aca="false">IF(OR($F180="",$C180&lt;&gt;'設定（最初に1回）'!$C$4),"",IFERROR(INDEX(発注計算!$Y$6:$Y$405,MATCH($F180,発注計算!$C$6:$C$405,0)),""))</f>
        <v/>
      </c>
      <c r="K180" s="70"/>
      <c r="L180" s="69" t="str">
        <f aca="false">IF($K180="","",N($K180)*N($I180))</f>
        <v/>
      </c>
      <c r="M180" s="71" t="str">
        <f aca="false">IFERROR(INDEX(商品マスタ!$G$6:$G$1005,MATCH($F180,商品マスタ!$B$6:$B$1005,0)),"")</f>
        <v/>
      </c>
      <c r="N180" s="71" t="str">
        <f aca="false">IF($K180="","",N($K180)*N($M180))</f>
        <v/>
      </c>
      <c r="O180" s="66" t="str">
        <f aca="false">IFERROR(INDEX(商品マスタ!$H$6:$H$1005,MATCH($F180,商品マスタ!$B$6:$B$1005,0)),"")</f>
        <v/>
      </c>
      <c r="P180" s="87" t="str">
        <f aca="false">IF(OR($E180="",$O180=""),"",WORKDAY($E180,$O180))</f>
        <v/>
      </c>
      <c r="Q180" s="80"/>
      <c r="R180" s="131"/>
      <c r="S180" s="69" t="n">
        <f aca="false">IF($Q180="入荷済み",N($L180),0)</f>
        <v>0</v>
      </c>
      <c r="T180" s="80"/>
      <c r="U180" s="80"/>
    </row>
    <row r="181" customFormat="false" ht="15" hidden="false" customHeight="false" outlineLevel="0" collapsed="false">
      <c r="B181" s="66" t="str">
        <f aca="false">IF(OR($E181="",$F181=""),"","PO-"&amp;TEXT($E181,"yyyymmdd")&amp;"-"&amp;TEXT(COUNTIFS($E$6:$E181,$E181,$C$6:$C181,$C181),"000"))</f>
        <v/>
      </c>
      <c r="C181" s="130"/>
      <c r="D181" s="66" t="str">
        <f aca="false">IFERROR(INDEX(定数マスタ!$C$6:$C$105,MATCH($C181,定数マスタ!$B$6:$B$105,0)),"")</f>
        <v/>
      </c>
      <c r="E181" s="131"/>
      <c r="F181" s="130"/>
      <c r="G181" s="66" t="str">
        <f aca="false">IFERROR(INDEX(商品マスタ!$C$6:$C$1005,MATCH($F181,商品マスタ!$B$6:$B$1005,0)),"")</f>
        <v/>
      </c>
      <c r="H181" s="66" t="str">
        <f aca="false">IFERROR(INDEX(商品マスタ!$E$6:$E$1005,MATCH($F181,商品マスタ!$B$6:$B$1005,0)),"")</f>
        <v/>
      </c>
      <c r="I181" s="69" t="str">
        <f aca="false">IFERROR(INDEX(商品マスタ!$F$6:$F$1005,MATCH($F181,商品マスタ!$B$6:$B$1005,0)),"")</f>
        <v/>
      </c>
      <c r="J181" s="69" t="str">
        <f aca="false">IF(OR($F181="",$C181&lt;&gt;'設定（最初に1回）'!$C$4),"",IFERROR(INDEX(発注計算!$Y$6:$Y$405,MATCH($F181,発注計算!$C$6:$C$405,0)),""))</f>
        <v/>
      </c>
      <c r="K181" s="70"/>
      <c r="L181" s="69" t="str">
        <f aca="false">IF($K181="","",N($K181)*N($I181))</f>
        <v/>
      </c>
      <c r="M181" s="71" t="str">
        <f aca="false">IFERROR(INDEX(商品マスタ!$G$6:$G$1005,MATCH($F181,商品マスタ!$B$6:$B$1005,0)),"")</f>
        <v/>
      </c>
      <c r="N181" s="71" t="str">
        <f aca="false">IF($K181="","",N($K181)*N($M181))</f>
        <v/>
      </c>
      <c r="O181" s="66" t="str">
        <f aca="false">IFERROR(INDEX(商品マスタ!$H$6:$H$1005,MATCH($F181,商品マスタ!$B$6:$B$1005,0)),"")</f>
        <v/>
      </c>
      <c r="P181" s="87" t="str">
        <f aca="false">IF(OR($E181="",$O181=""),"",WORKDAY($E181,$O181))</f>
        <v/>
      </c>
      <c r="Q181" s="80"/>
      <c r="R181" s="131"/>
      <c r="S181" s="69" t="n">
        <f aca="false">IF($Q181="入荷済み",N($L181),0)</f>
        <v>0</v>
      </c>
      <c r="T181" s="80"/>
      <c r="U181" s="80"/>
    </row>
    <row r="182" customFormat="false" ht="15" hidden="false" customHeight="false" outlineLevel="0" collapsed="false">
      <c r="B182" s="66" t="str">
        <f aca="false">IF(OR($E182="",$F182=""),"","PO-"&amp;TEXT($E182,"yyyymmdd")&amp;"-"&amp;TEXT(COUNTIFS($E$6:$E182,$E182,$C$6:$C182,$C182),"000"))</f>
        <v/>
      </c>
      <c r="C182" s="130"/>
      <c r="D182" s="66" t="str">
        <f aca="false">IFERROR(INDEX(定数マスタ!$C$6:$C$105,MATCH($C182,定数マスタ!$B$6:$B$105,0)),"")</f>
        <v/>
      </c>
      <c r="E182" s="131"/>
      <c r="F182" s="130"/>
      <c r="G182" s="66" t="str">
        <f aca="false">IFERROR(INDEX(商品マスタ!$C$6:$C$1005,MATCH($F182,商品マスタ!$B$6:$B$1005,0)),"")</f>
        <v/>
      </c>
      <c r="H182" s="66" t="str">
        <f aca="false">IFERROR(INDEX(商品マスタ!$E$6:$E$1005,MATCH($F182,商品マスタ!$B$6:$B$1005,0)),"")</f>
        <v/>
      </c>
      <c r="I182" s="69" t="str">
        <f aca="false">IFERROR(INDEX(商品マスタ!$F$6:$F$1005,MATCH($F182,商品マスタ!$B$6:$B$1005,0)),"")</f>
        <v/>
      </c>
      <c r="J182" s="69" t="str">
        <f aca="false">IF(OR($F182="",$C182&lt;&gt;'設定（最初に1回）'!$C$4),"",IFERROR(INDEX(発注計算!$Y$6:$Y$405,MATCH($F182,発注計算!$C$6:$C$405,0)),""))</f>
        <v/>
      </c>
      <c r="K182" s="70"/>
      <c r="L182" s="69" t="str">
        <f aca="false">IF($K182="","",N($K182)*N($I182))</f>
        <v/>
      </c>
      <c r="M182" s="71" t="str">
        <f aca="false">IFERROR(INDEX(商品マスタ!$G$6:$G$1005,MATCH($F182,商品マスタ!$B$6:$B$1005,0)),"")</f>
        <v/>
      </c>
      <c r="N182" s="71" t="str">
        <f aca="false">IF($K182="","",N($K182)*N($M182))</f>
        <v/>
      </c>
      <c r="O182" s="66" t="str">
        <f aca="false">IFERROR(INDEX(商品マスタ!$H$6:$H$1005,MATCH($F182,商品マスタ!$B$6:$B$1005,0)),"")</f>
        <v/>
      </c>
      <c r="P182" s="87" t="str">
        <f aca="false">IF(OR($E182="",$O182=""),"",WORKDAY($E182,$O182))</f>
        <v/>
      </c>
      <c r="Q182" s="80"/>
      <c r="R182" s="131"/>
      <c r="S182" s="69" t="n">
        <f aca="false">IF($Q182="入荷済み",N($L182),0)</f>
        <v>0</v>
      </c>
      <c r="T182" s="80"/>
      <c r="U182" s="80"/>
    </row>
    <row r="183" customFormat="false" ht="15" hidden="false" customHeight="false" outlineLevel="0" collapsed="false">
      <c r="B183" s="66" t="str">
        <f aca="false">IF(OR($E183="",$F183=""),"","PO-"&amp;TEXT($E183,"yyyymmdd")&amp;"-"&amp;TEXT(COUNTIFS($E$6:$E183,$E183,$C$6:$C183,$C183),"000"))</f>
        <v/>
      </c>
      <c r="C183" s="130"/>
      <c r="D183" s="66" t="str">
        <f aca="false">IFERROR(INDEX(定数マスタ!$C$6:$C$105,MATCH($C183,定数マスタ!$B$6:$B$105,0)),"")</f>
        <v/>
      </c>
      <c r="E183" s="131"/>
      <c r="F183" s="130"/>
      <c r="G183" s="66" t="str">
        <f aca="false">IFERROR(INDEX(商品マスタ!$C$6:$C$1005,MATCH($F183,商品マスタ!$B$6:$B$1005,0)),"")</f>
        <v/>
      </c>
      <c r="H183" s="66" t="str">
        <f aca="false">IFERROR(INDEX(商品マスタ!$E$6:$E$1005,MATCH($F183,商品マスタ!$B$6:$B$1005,0)),"")</f>
        <v/>
      </c>
      <c r="I183" s="69" t="str">
        <f aca="false">IFERROR(INDEX(商品マスタ!$F$6:$F$1005,MATCH($F183,商品マスタ!$B$6:$B$1005,0)),"")</f>
        <v/>
      </c>
      <c r="J183" s="69" t="str">
        <f aca="false">IF(OR($F183="",$C183&lt;&gt;'設定（最初に1回）'!$C$4),"",IFERROR(INDEX(発注計算!$Y$6:$Y$405,MATCH($F183,発注計算!$C$6:$C$405,0)),""))</f>
        <v/>
      </c>
      <c r="K183" s="70"/>
      <c r="L183" s="69" t="str">
        <f aca="false">IF($K183="","",N($K183)*N($I183))</f>
        <v/>
      </c>
      <c r="M183" s="71" t="str">
        <f aca="false">IFERROR(INDEX(商品マスタ!$G$6:$G$1005,MATCH($F183,商品マスタ!$B$6:$B$1005,0)),"")</f>
        <v/>
      </c>
      <c r="N183" s="71" t="str">
        <f aca="false">IF($K183="","",N($K183)*N($M183))</f>
        <v/>
      </c>
      <c r="O183" s="66" t="str">
        <f aca="false">IFERROR(INDEX(商品マスタ!$H$6:$H$1005,MATCH($F183,商品マスタ!$B$6:$B$1005,0)),"")</f>
        <v/>
      </c>
      <c r="P183" s="87" t="str">
        <f aca="false">IF(OR($E183="",$O183=""),"",WORKDAY($E183,$O183))</f>
        <v/>
      </c>
      <c r="Q183" s="80"/>
      <c r="R183" s="131"/>
      <c r="S183" s="69" t="n">
        <f aca="false">IF($Q183="入荷済み",N($L183),0)</f>
        <v>0</v>
      </c>
      <c r="T183" s="80"/>
      <c r="U183" s="80"/>
    </row>
    <row r="184" customFormat="false" ht="15" hidden="false" customHeight="false" outlineLevel="0" collapsed="false">
      <c r="B184" s="66" t="str">
        <f aca="false">IF(OR($E184="",$F184=""),"","PO-"&amp;TEXT($E184,"yyyymmdd")&amp;"-"&amp;TEXT(COUNTIFS($E$6:$E184,$E184,$C$6:$C184,$C184),"000"))</f>
        <v/>
      </c>
      <c r="C184" s="130"/>
      <c r="D184" s="66" t="str">
        <f aca="false">IFERROR(INDEX(定数マスタ!$C$6:$C$105,MATCH($C184,定数マスタ!$B$6:$B$105,0)),"")</f>
        <v/>
      </c>
      <c r="E184" s="131"/>
      <c r="F184" s="130"/>
      <c r="G184" s="66" t="str">
        <f aca="false">IFERROR(INDEX(商品マスタ!$C$6:$C$1005,MATCH($F184,商品マスタ!$B$6:$B$1005,0)),"")</f>
        <v/>
      </c>
      <c r="H184" s="66" t="str">
        <f aca="false">IFERROR(INDEX(商品マスタ!$E$6:$E$1005,MATCH($F184,商品マスタ!$B$6:$B$1005,0)),"")</f>
        <v/>
      </c>
      <c r="I184" s="69" t="str">
        <f aca="false">IFERROR(INDEX(商品マスタ!$F$6:$F$1005,MATCH($F184,商品マスタ!$B$6:$B$1005,0)),"")</f>
        <v/>
      </c>
      <c r="J184" s="69" t="str">
        <f aca="false">IF(OR($F184="",$C184&lt;&gt;'設定（最初に1回）'!$C$4),"",IFERROR(INDEX(発注計算!$Y$6:$Y$405,MATCH($F184,発注計算!$C$6:$C$405,0)),""))</f>
        <v/>
      </c>
      <c r="K184" s="70"/>
      <c r="L184" s="69" t="str">
        <f aca="false">IF($K184="","",N($K184)*N($I184))</f>
        <v/>
      </c>
      <c r="M184" s="71" t="str">
        <f aca="false">IFERROR(INDEX(商品マスタ!$G$6:$G$1005,MATCH($F184,商品マスタ!$B$6:$B$1005,0)),"")</f>
        <v/>
      </c>
      <c r="N184" s="71" t="str">
        <f aca="false">IF($K184="","",N($K184)*N($M184))</f>
        <v/>
      </c>
      <c r="O184" s="66" t="str">
        <f aca="false">IFERROR(INDEX(商品マスタ!$H$6:$H$1005,MATCH($F184,商品マスタ!$B$6:$B$1005,0)),"")</f>
        <v/>
      </c>
      <c r="P184" s="87" t="str">
        <f aca="false">IF(OR($E184="",$O184=""),"",WORKDAY($E184,$O184))</f>
        <v/>
      </c>
      <c r="Q184" s="80"/>
      <c r="R184" s="131"/>
      <c r="S184" s="69" t="n">
        <f aca="false">IF($Q184="入荷済み",N($L184),0)</f>
        <v>0</v>
      </c>
      <c r="T184" s="80"/>
      <c r="U184" s="80"/>
    </row>
    <row r="185" customFormat="false" ht="15" hidden="false" customHeight="false" outlineLevel="0" collapsed="false">
      <c r="B185" s="66" t="str">
        <f aca="false">IF(OR($E185="",$F185=""),"","PO-"&amp;TEXT($E185,"yyyymmdd")&amp;"-"&amp;TEXT(COUNTIFS($E$6:$E185,$E185,$C$6:$C185,$C185),"000"))</f>
        <v/>
      </c>
      <c r="C185" s="130"/>
      <c r="D185" s="66" t="str">
        <f aca="false">IFERROR(INDEX(定数マスタ!$C$6:$C$105,MATCH($C185,定数マスタ!$B$6:$B$105,0)),"")</f>
        <v/>
      </c>
      <c r="E185" s="131"/>
      <c r="F185" s="130"/>
      <c r="G185" s="66" t="str">
        <f aca="false">IFERROR(INDEX(商品マスタ!$C$6:$C$1005,MATCH($F185,商品マスタ!$B$6:$B$1005,0)),"")</f>
        <v/>
      </c>
      <c r="H185" s="66" t="str">
        <f aca="false">IFERROR(INDEX(商品マスタ!$E$6:$E$1005,MATCH($F185,商品マスタ!$B$6:$B$1005,0)),"")</f>
        <v/>
      </c>
      <c r="I185" s="69" t="str">
        <f aca="false">IFERROR(INDEX(商品マスタ!$F$6:$F$1005,MATCH($F185,商品マスタ!$B$6:$B$1005,0)),"")</f>
        <v/>
      </c>
      <c r="J185" s="69" t="str">
        <f aca="false">IF(OR($F185="",$C185&lt;&gt;'設定（最初に1回）'!$C$4),"",IFERROR(INDEX(発注計算!$Y$6:$Y$405,MATCH($F185,発注計算!$C$6:$C$405,0)),""))</f>
        <v/>
      </c>
      <c r="K185" s="70"/>
      <c r="L185" s="69" t="str">
        <f aca="false">IF($K185="","",N($K185)*N($I185))</f>
        <v/>
      </c>
      <c r="M185" s="71" t="str">
        <f aca="false">IFERROR(INDEX(商品マスタ!$G$6:$G$1005,MATCH($F185,商品マスタ!$B$6:$B$1005,0)),"")</f>
        <v/>
      </c>
      <c r="N185" s="71" t="str">
        <f aca="false">IF($K185="","",N($K185)*N($M185))</f>
        <v/>
      </c>
      <c r="O185" s="66" t="str">
        <f aca="false">IFERROR(INDEX(商品マスタ!$H$6:$H$1005,MATCH($F185,商品マスタ!$B$6:$B$1005,0)),"")</f>
        <v/>
      </c>
      <c r="P185" s="87" t="str">
        <f aca="false">IF(OR($E185="",$O185=""),"",WORKDAY($E185,$O185))</f>
        <v/>
      </c>
      <c r="Q185" s="80"/>
      <c r="R185" s="131"/>
      <c r="S185" s="69" t="n">
        <f aca="false">IF($Q185="入荷済み",N($L185),0)</f>
        <v>0</v>
      </c>
      <c r="T185" s="80"/>
      <c r="U185" s="80"/>
    </row>
    <row r="186" customFormat="false" ht="15" hidden="false" customHeight="false" outlineLevel="0" collapsed="false">
      <c r="B186" s="66" t="str">
        <f aca="false">IF(OR($E186="",$F186=""),"","PO-"&amp;TEXT($E186,"yyyymmdd")&amp;"-"&amp;TEXT(COUNTIFS($E$6:$E186,$E186,$C$6:$C186,$C186),"000"))</f>
        <v/>
      </c>
      <c r="C186" s="130"/>
      <c r="D186" s="66" t="str">
        <f aca="false">IFERROR(INDEX(定数マスタ!$C$6:$C$105,MATCH($C186,定数マスタ!$B$6:$B$105,0)),"")</f>
        <v/>
      </c>
      <c r="E186" s="131"/>
      <c r="F186" s="130"/>
      <c r="G186" s="66" t="str">
        <f aca="false">IFERROR(INDEX(商品マスタ!$C$6:$C$1005,MATCH($F186,商品マスタ!$B$6:$B$1005,0)),"")</f>
        <v/>
      </c>
      <c r="H186" s="66" t="str">
        <f aca="false">IFERROR(INDEX(商品マスタ!$E$6:$E$1005,MATCH($F186,商品マスタ!$B$6:$B$1005,0)),"")</f>
        <v/>
      </c>
      <c r="I186" s="69" t="str">
        <f aca="false">IFERROR(INDEX(商品マスタ!$F$6:$F$1005,MATCH($F186,商品マスタ!$B$6:$B$1005,0)),"")</f>
        <v/>
      </c>
      <c r="J186" s="69" t="str">
        <f aca="false">IF(OR($F186="",$C186&lt;&gt;'設定（最初に1回）'!$C$4),"",IFERROR(INDEX(発注計算!$Y$6:$Y$405,MATCH($F186,発注計算!$C$6:$C$405,0)),""))</f>
        <v/>
      </c>
      <c r="K186" s="70"/>
      <c r="L186" s="69" t="str">
        <f aca="false">IF($K186="","",N($K186)*N($I186))</f>
        <v/>
      </c>
      <c r="M186" s="71" t="str">
        <f aca="false">IFERROR(INDEX(商品マスタ!$G$6:$G$1005,MATCH($F186,商品マスタ!$B$6:$B$1005,0)),"")</f>
        <v/>
      </c>
      <c r="N186" s="71" t="str">
        <f aca="false">IF($K186="","",N($K186)*N($M186))</f>
        <v/>
      </c>
      <c r="O186" s="66" t="str">
        <f aca="false">IFERROR(INDEX(商品マスタ!$H$6:$H$1005,MATCH($F186,商品マスタ!$B$6:$B$1005,0)),"")</f>
        <v/>
      </c>
      <c r="P186" s="87" t="str">
        <f aca="false">IF(OR($E186="",$O186=""),"",WORKDAY($E186,$O186))</f>
        <v/>
      </c>
      <c r="Q186" s="80"/>
      <c r="R186" s="131"/>
      <c r="S186" s="69" t="n">
        <f aca="false">IF($Q186="入荷済み",N($L186),0)</f>
        <v>0</v>
      </c>
      <c r="T186" s="80"/>
      <c r="U186" s="80"/>
    </row>
    <row r="187" customFormat="false" ht="15" hidden="false" customHeight="false" outlineLevel="0" collapsed="false">
      <c r="B187" s="66" t="str">
        <f aca="false">IF(OR($E187="",$F187=""),"","PO-"&amp;TEXT($E187,"yyyymmdd")&amp;"-"&amp;TEXT(COUNTIFS($E$6:$E187,$E187,$C$6:$C187,$C187),"000"))</f>
        <v/>
      </c>
      <c r="C187" s="130"/>
      <c r="D187" s="66" t="str">
        <f aca="false">IFERROR(INDEX(定数マスタ!$C$6:$C$105,MATCH($C187,定数マスタ!$B$6:$B$105,0)),"")</f>
        <v/>
      </c>
      <c r="E187" s="131"/>
      <c r="F187" s="130"/>
      <c r="G187" s="66" t="str">
        <f aca="false">IFERROR(INDEX(商品マスタ!$C$6:$C$1005,MATCH($F187,商品マスタ!$B$6:$B$1005,0)),"")</f>
        <v/>
      </c>
      <c r="H187" s="66" t="str">
        <f aca="false">IFERROR(INDEX(商品マスタ!$E$6:$E$1005,MATCH($F187,商品マスタ!$B$6:$B$1005,0)),"")</f>
        <v/>
      </c>
      <c r="I187" s="69" t="str">
        <f aca="false">IFERROR(INDEX(商品マスタ!$F$6:$F$1005,MATCH($F187,商品マスタ!$B$6:$B$1005,0)),"")</f>
        <v/>
      </c>
      <c r="J187" s="69" t="str">
        <f aca="false">IF(OR($F187="",$C187&lt;&gt;'設定（最初に1回）'!$C$4),"",IFERROR(INDEX(発注計算!$Y$6:$Y$405,MATCH($F187,発注計算!$C$6:$C$405,0)),""))</f>
        <v/>
      </c>
      <c r="K187" s="70"/>
      <c r="L187" s="69" t="str">
        <f aca="false">IF($K187="","",N($K187)*N($I187))</f>
        <v/>
      </c>
      <c r="M187" s="71" t="str">
        <f aca="false">IFERROR(INDEX(商品マスタ!$G$6:$G$1005,MATCH($F187,商品マスタ!$B$6:$B$1005,0)),"")</f>
        <v/>
      </c>
      <c r="N187" s="71" t="str">
        <f aca="false">IF($K187="","",N($K187)*N($M187))</f>
        <v/>
      </c>
      <c r="O187" s="66" t="str">
        <f aca="false">IFERROR(INDEX(商品マスタ!$H$6:$H$1005,MATCH($F187,商品マスタ!$B$6:$B$1005,0)),"")</f>
        <v/>
      </c>
      <c r="P187" s="87" t="str">
        <f aca="false">IF(OR($E187="",$O187=""),"",WORKDAY($E187,$O187))</f>
        <v/>
      </c>
      <c r="Q187" s="80"/>
      <c r="R187" s="131"/>
      <c r="S187" s="69" t="n">
        <f aca="false">IF($Q187="入荷済み",N($L187),0)</f>
        <v>0</v>
      </c>
      <c r="T187" s="80"/>
      <c r="U187" s="80"/>
    </row>
    <row r="188" customFormat="false" ht="15" hidden="false" customHeight="false" outlineLevel="0" collapsed="false">
      <c r="B188" s="66" t="str">
        <f aca="false">IF(OR($E188="",$F188=""),"","PO-"&amp;TEXT($E188,"yyyymmdd")&amp;"-"&amp;TEXT(COUNTIFS($E$6:$E188,$E188,$C$6:$C188,$C188),"000"))</f>
        <v/>
      </c>
      <c r="C188" s="130"/>
      <c r="D188" s="66" t="str">
        <f aca="false">IFERROR(INDEX(定数マスタ!$C$6:$C$105,MATCH($C188,定数マスタ!$B$6:$B$105,0)),"")</f>
        <v/>
      </c>
      <c r="E188" s="131"/>
      <c r="F188" s="130"/>
      <c r="G188" s="66" t="str">
        <f aca="false">IFERROR(INDEX(商品マスタ!$C$6:$C$1005,MATCH($F188,商品マスタ!$B$6:$B$1005,0)),"")</f>
        <v/>
      </c>
      <c r="H188" s="66" t="str">
        <f aca="false">IFERROR(INDEX(商品マスタ!$E$6:$E$1005,MATCH($F188,商品マスタ!$B$6:$B$1005,0)),"")</f>
        <v/>
      </c>
      <c r="I188" s="69" t="str">
        <f aca="false">IFERROR(INDEX(商品マスタ!$F$6:$F$1005,MATCH($F188,商品マスタ!$B$6:$B$1005,0)),"")</f>
        <v/>
      </c>
      <c r="J188" s="69" t="str">
        <f aca="false">IF(OR($F188="",$C188&lt;&gt;'設定（最初に1回）'!$C$4),"",IFERROR(INDEX(発注計算!$Y$6:$Y$405,MATCH($F188,発注計算!$C$6:$C$405,0)),""))</f>
        <v/>
      </c>
      <c r="K188" s="70"/>
      <c r="L188" s="69" t="str">
        <f aca="false">IF($K188="","",N($K188)*N($I188))</f>
        <v/>
      </c>
      <c r="M188" s="71" t="str">
        <f aca="false">IFERROR(INDEX(商品マスタ!$G$6:$G$1005,MATCH($F188,商品マスタ!$B$6:$B$1005,0)),"")</f>
        <v/>
      </c>
      <c r="N188" s="71" t="str">
        <f aca="false">IF($K188="","",N($K188)*N($M188))</f>
        <v/>
      </c>
      <c r="O188" s="66" t="str">
        <f aca="false">IFERROR(INDEX(商品マスタ!$H$6:$H$1005,MATCH($F188,商品マスタ!$B$6:$B$1005,0)),"")</f>
        <v/>
      </c>
      <c r="P188" s="87" t="str">
        <f aca="false">IF(OR($E188="",$O188=""),"",WORKDAY($E188,$O188))</f>
        <v/>
      </c>
      <c r="Q188" s="80"/>
      <c r="R188" s="131"/>
      <c r="S188" s="69" t="n">
        <f aca="false">IF($Q188="入荷済み",N($L188),0)</f>
        <v>0</v>
      </c>
      <c r="T188" s="80"/>
      <c r="U188" s="80"/>
    </row>
    <row r="189" customFormat="false" ht="15" hidden="false" customHeight="false" outlineLevel="0" collapsed="false">
      <c r="B189" s="66" t="str">
        <f aca="false">IF(OR($E189="",$F189=""),"","PO-"&amp;TEXT($E189,"yyyymmdd")&amp;"-"&amp;TEXT(COUNTIFS($E$6:$E189,$E189,$C$6:$C189,$C189),"000"))</f>
        <v/>
      </c>
      <c r="C189" s="130"/>
      <c r="D189" s="66" t="str">
        <f aca="false">IFERROR(INDEX(定数マスタ!$C$6:$C$105,MATCH($C189,定数マスタ!$B$6:$B$105,0)),"")</f>
        <v/>
      </c>
      <c r="E189" s="131"/>
      <c r="F189" s="130"/>
      <c r="G189" s="66" t="str">
        <f aca="false">IFERROR(INDEX(商品マスタ!$C$6:$C$1005,MATCH($F189,商品マスタ!$B$6:$B$1005,0)),"")</f>
        <v/>
      </c>
      <c r="H189" s="66" t="str">
        <f aca="false">IFERROR(INDEX(商品マスタ!$E$6:$E$1005,MATCH($F189,商品マスタ!$B$6:$B$1005,0)),"")</f>
        <v/>
      </c>
      <c r="I189" s="69" t="str">
        <f aca="false">IFERROR(INDEX(商品マスタ!$F$6:$F$1005,MATCH($F189,商品マスタ!$B$6:$B$1005,0)),"")</f>
        <v/>
      </c>
      <c r="J189" s="69" t="str">
        <f aca="false">IF(OR($F189="",$C189&lt;&gt;'設定（最初に1回）'!$C$4),"",IFERROR(INDEX(発注計算!$Y$6:$Y$405,MATCH($F189,発注計算!$C$6:$C$405,0)),""))</f>
        <v/>
      </c>
      <c r="K189" s="70"/>
      <c r="L189" s="69" t="str">
        <f aca="false">IF($K189="","",N($K189)*N($I189))</f>
        <v/>
      </c>
      <c r="M189" s="71" t="str">
        <f aca="false">IFERROR(INDEX(商品マスタ!$G$6:$G$1005,MATCH($F189,商品マスタ!$B$6:$B$1005,0)),"")</f>
        <v/>
      </c>
      <c r="N189" s="71" t="str">
        <f aca="false">IF($K189="","",N($K189)*N($M189))</f>
        <v/>
      </c>
      <c r="O189" s="66" t="str">
        <f aca="false">IFERROR(INDEX(商品マスタ!$H$6:$H$1005,MATCH($F189,商品マスタ!$B$6:$B$1005,0)),"")</f>
        <v/>
      </c>
      <c r="P189" s="87" t="str">
        <f aca="false">IF(OR($E189="",$O189=""),"",WORKDAY($E189,$O189))</f>
        <v/>
      </c>
      <c r="Q189" s="80"/>
      <c r="R189" s="131"/>
      <c r="S189" s="69" t="n">
        <f aca="false">IF($Q189="入荷済み",N($L189),0)</f>
        <v>0</v>
      </c>
      <c r="T189" s="80"/>
      <c r="U189" s="80"/>
    </row>
    <row r="190" customFormat="false" ht="15" hidden="false" customHeight="false" outlineLevel="0" collapsed="false">
      <c r="B190" s="66" t="str">
        <f aca="false">IF(OR($E190="",$F190=""),"","PO-"&amp;TEXT($E190,"yyyymmdd")&amp;"-"&amp;TEXT(COUNTIFS($E$6:$E190,$E190,$C$6:$C190,$C190),"000"))</f>
        <v/>
      </c>
      <c r="C190" s="130"/>
      <c r="D190" s="66" t="str">
        <f aca="false">IFERROR(INDEX(定数マスタ!$C$6:$C$105,MATCH($C190,定数マスタ!$B$6:$B$105,0)),"")</f>
        <v/>
      </c>
      <c r="E190" s="131"/>
      <c r="F190" s="130"/>
      <c r="G190" s="66" t="str">
        <f aca="false">IFERROR(INDEX(商品マスタ!$C$6:$C$1005,MATCH($F190,商品マスタ!$B$6:$B$1005,0)),"")</f>
        <v/>
      </c>
      <c r="H190" s="66" t="str">
        <f aca="false">IFERROR(INDEX(商品マスタ!$E$6:$E$1005,MATCH($F190,商品マスタ!$B$6:$B$1005,0)),"")</f>
        <v/>
      </c>
      <c r="I190" s="69" t="str">
        <f aca="false">IFERROR(INDEX(商品マスタ!$F$6:$F$1005,MATCH($F190,商品マスタ!$B$6:$B$1005,0)),"")</f>
        <v/>
      </c>
      <c r="J190" s="69" t="str">
        <f aca="false">IF(OR($F190="",$C190&lt;&gt;'設定（最初に1回）'!$C$4),"",IFERROR(INDEX(発注計算!$Y$6:$Y$405,MATCH($F190,発注計算!$C$6:$C$405,0)),""))</f>
        <v/>
      </c>
      <c r="K190" s="70"/>
      <c r="L190" s="69" t="str">
        <f aca="false">IF($K190="","",N($K190)*N($I190))</f>
        <v/>
      </c>
      <c r="M190" s="71" t="str">
        <f aca="false">IFERROR(INDEX(商品マスタ!$G$6:$G$1005,MATCH($F190,商品マスタ!$B$6:$B$1005,0)),"")</f>
        <v/>
      </c>
      <c r="N190" s="71" t="str">
        <f aca="false">IF($K190="","",N($K190)*N($M190))</f>
        <v/>
      </c>
      <c r="O190" s="66" t="str">
        <f aca="false">IFERROR(INDEX(商品マスタ!$H$6:$H$1005,MATCH($F190,商品マスタ!$B$6:$B$1005,0)),"")</f>
        <v/>
      </c>
      <c r="P190" s="87" t="str">
        <f aca="false">IF(OR($E190="",$O190=""),"",WORKDAY($E190,$O190))</f>
        <v/>
      </c>
      <c r="Q190" s="80"/>
      <c r="R190" s="131"/>
      <c r="S190" s="69" t="n">
        <f aca="false">IF($Q190="入荷済み",N($L190),0)</f>
        <v>0</v>
      </c>
      <c r="T190" s="80"/>
      <c r="U190" s="80"/>
    </row>
    <row r="191" customFormat="false" ht="15" hidden="false" customHeight="false" outlineLevel="0" collapsed="false">
      <c r="B191" s="66" t="str">
        <f aca="false">IF(OR($E191="",$F191=""),"","PO-"&amp;TEXT($E191,"yyyymmdd")&amp;"-"&amp;TEXT(COUNTIFS($E$6:$E191,$E191,$C$6:$C191,$C191),"000"))</f>
        <v/>
      </c>
      <c r="C191" s="130"/>
      <c r="D191" s="66" t="str">
        <f aca="false">IFERROR(INDEX(定数マスタ!$C$6:$C$105,MATCH($C191,定数マスタ!$B$6:$B$105,0)),"")</f>
        <v/>
      </c>
      <c r="E191" s="131"/>
      <c r="F191" s="130"/>
      <c r="G191" s="66" t="str">
        <f aca="false">IFERROR(INDEX(商品マスタ!$C$6:$C$1005,MATCH($F191,商品マスタ!$B$6:$B$1005,0)),"")</f>
        <v/>
      </c>
      <c r="H191" s="66" t="str">
        <f aca="false">IFERROR(INDEX(商品マスタ!$E$6:$E$1005,MATCH($F191,商品マスタ!$B$6:$B$1005,0)),"")</f>
        <v/>
      </c>
      <c r="I191" s="69" t="str">
        <f aca="false">IFERROR(INDEX(商品マスタ!$F$6:$F$1005,MATCH($F191,商品マスタ!$B$6:$B$1005,0)),"")</f>
        <v/>
      </c>
      <c r="J191" s="69" t="str">
        <f aca="false">IF(OR($F191="",$C191&lt;&gt;'設定（最初に1回）'!$C$4),"",IFERROR(INDEX(発注計算!$Y$6:$Y$405,MATCH($F191,発注計算!$C$6:$C$405,0)),""))</f>
        <v/>
      </c>
      <c r="K191" s="70"/>
      <c r="L191" s="69" t="str">
        <f aca="false">IF($K191="","",N($K191)*N($I191))</f>
        <v/>
      </c>
      <c r="M191" s="71" t="str">
        <f aca="false">IFERROR(INDEX(商品マスタ!$G$6:$G$1005,MATCH($F191,商品マスタ!$B$6:$B$1005,0)),"")</f>
        <v/>
      </c>
      <c r="N191" s="71" t="str">
        <f aca="false">IF($K191="","",N($K191)*N($M191))</f>
        <v/>
      </c>
      <c r="O191" s="66" t="str">
        <f aca="false">IFERROR(INDEX(商品マスタ!$H$6:$H$1005,MATCH($F191,商品マスタ!$B$6:$B$1005,0)),"")</f>
        <v/>
      </c>
      <c r="P191" s="87" t="str">
        <f aca="false">IF(OR($E191="",$O191=""),"",WORKDAY($E191,$O191))</f>
        <v/>
      </c>
      <c r="Q191" s="80"/>
      <c r="R191" s="131"/>
      <c r="S191" s="69" t="n">
        <f aca="false">IF($Q191="入荷済み",N($L191),0)</f>
        <v>0</v>
      </c>
      <c r="T191" s="80"/>
      <c r="U191" s="80"/>
    </row>
    <row r="192" customFormat="false" ht="15" hidden="false" customHeight="false" outlineLevel="0" collapsed="false">
      <c r="B192" s="66" t="str">
        <f aca="false">IF(OR($E192="",$F192=""),"","PO-"&amp;TEXT($E192,"yyyymmdd")&amp;"-"&amp;TEXT(COUNTIFS($E$6:$E192,$E192,$C$6:$C192,$C192),"000"))</f>
        <v/>
      </c>
      <c r="C192" s="130"/>
      <c r="D192" s="66" t="str">
        <f aca="false">IFERROR(INDEX(定数マスタ!$C$6:$C$105,MATCH($C192,定数マスタ!$B$6:$B$105,0)),"")</f>
        <v/>
      </c>
      <c r="E192" s="131"/>
      <c r="F192" s="130"/>
      <c r="G192" s="66" t="str">
        <f aca="false">IFERROR(INDEX(商品マスタ!$C$6:$C$1005,MATCH($F192,商品マスタ!$B$6:$B$1005,0)),"")</f>
        <v/>
      </c>
      <c r="H192" s="66" t="str">
        <f aca="false">IFERROR(INDEX(商品マスタ!$E$6:$E$1005,MATCH($F192,商品マスタ!$B$6:$B$1005,0)),"")</f>
        <v/>
      </c>
      <c r="I192" s="69" t="str">
        <f aca="false">IFERROR(INDEX(商品マスタ!$F$6:$F$1005,MATCH($F192,商品マスタ!$B$6:$B$1005,0)),"")</f>
        <v/>
      </c>
      <c r="J192" s="69" t="str">
        <f aca="false">IF(OR($F192="",$C192&lt;&gt;'設定（最初に1回）'!$C$4),"",IFERROR(INDEX(発注計算!$Y$6:$Y$405,MATCH($F192,発注計算!$C$6:$C$405,0)),""))</f>
        <v/>
      </c>
      <c r="K192" s="70"/>
      <c r="L192" s="69" t="str">
        <f aca="false">IF($K192="","",N($K192)*N($I192))</f>
        <v/>
      </c>
      <c r="M192" s="71" t="str">
        <f aca="false">IFERROR(INDEX(商品マスタ!$G$6:$G$1005,MATCH($F192,商品マスタ!$B$6:$B$1005,0)),"")</f>
        <v/>
      </c>
      <c r="N192" s="71" t="str">
        <f aca="false">IF($K192="","",N($K192)*N($M192))</f>
        <v/>
      </c>
      <c r="O192" s="66" t="str">
        <f aca="false">IFERROR(INDEX(商品マスタ!$H$6:$H$1005,MATCH($F192,商品マスタ!$B$6:$B$1005,0)),"")</f>
        <v/>
      </c>
      <c r="P192" s="87" t="str">
        <f aca="false">IF(OR($E192="",$O192=""),"",WORKDAY($E192,$O192))</f>
        <v/>
      </c>
      <c r="Q192" s="80"/>
      <c r="R192" s="131"/>
      <c r="S192" s="69" t="n">
        <f aca="false">IF($Q192="入荷済み",N($L192),0)</f>
        <v>0</v>
      </c>
      <c r="T192" s="80"/>
      <c r="U192" s="80"/>
    </row>
    <row r="193" customFormat="false" ht="15" hidden="false" customHeight="false" outlineLevel="0" collapsed="false">
      <c r="B193" s="66" t="str">
        <f aca="false">IF(OR($E193="",$F193=""),"","PO-"&amp;TEXT($E193,"yyyymmdd")&amp;"-"&amp;TEXT(COUNTIFS($E$6:$E193,$E193,$C$6:$C193,$C193),"000"))</f>
        <v/>
      </c>
      <c r="C193" s="130"/>
      <c r="D193" s="66" t="str">
        <f aca="false">IFERROR(INDEX(定数マスタ!$C$6:$C$105,MATCH($C193,定数マスタ!$B$6:$B$105,0)),"")</f>
        <v/>
      </c>
      <c r="E193" s="131"/>
      <c r="F193" s="130"/>
      <c r="G193" s="66" t="str">
        <f aca="false">IFERROR(INDEX(商品マスタ!$C$6:$C$1005,MATCH($F193,商品マスタ!$B$6:$B$1005,0)),"")</f>
        <v/>
      </c>
      <c r="H193" s="66" t="str">
        <f aca="false">IFERROR(INDEX(商品マスタ!$E$6:$E$1005,MATCH($F193,商品マスタ!$B$6:$B$1005,0)),"")</f>
        <v/>
      </c>
      <c r="I193" s="69" t="str">
        <f aca="false">IFERROR(INDEX(商品マスタ!$F$6:$F$1005,MATCH($F193,商品マスタ!$B$6:$B$1005,0)),"")</f>
        <v/>
      </c>
      <c r="J193" s="69" t="str">
        <f aca="false">IF(OR($F193="",$C193&lt;&gt;'設定（最初に1回）'!$C$4),"",IFERROR(INDEX(発注計算!$Y$6:$Y$405,MATCH($F193,発注計算!$C$6:$C$405,0)),""))</f>
        <v/>
      </c>
      <c r="K193" s="70"/>
      <c r="L193" s="69" t="str">
        <f aca="false">IF($K193="","",N($K193)*N($I193))</f>
        <v/>
      </c>
      <c r="M193" s="71" t="str">
        <f aca="false">IFERROR(INDEX(商品マスタ!$G$6:$G$1005,MATCH($F193,商品マスタ!$B$6:$B$1005,0)),"")</f>
        <v/>
      </c>
      <c r="N193" s="71" t="str">
        <f aca="false">IF($K193="","",N($K193)*N($M193))</f>
        <v/>
      </c>
      <c r="O193" s="66" t="str">
        <f aca="false">IFERROR(INDEX(商品マスタ!$H$6:$H$1005,MATCH($F193,商品マスタ!$B$6:$B$1005,0)),"")</f>
        <v/>
      </c>
      <c r="P193" s="87" t="str">
        <f aca="false">IF(OR($E193="",$O193=""),"",WORKDAY($E193,$O193))</f>
        <v/>
      </c>
      <c r="Q193" s="80"/>
      <c r="R193" s="131"/>
      <c r="S193" s="69" t="n">
        <f aca="false">IF($Q193="入荷済み",N($L193),0)</f>
        <v>0</v>
      </c>
      <c r="T193" s="80"/>
      <c r="U193" s="80"/>
    </row>
    <row r="194" customFormat="false" ht="15" hidden="false" customHeight="false" outlineLevel="0" collapsed="false">
      <c r="B194" s="66" t="str">
        <f aca="false">IF(OR($E194="",$F194=""),"","PO-"&amp;TEXT($E194,"yyyymmdd")&amp;"-"&amp;TEXT(COUNTIFS($E$6:$E194,$E194,$C$6:$C194,$C194),"000"))</f>
        <v/>
      </c>
      <c r="C194" s="130"/>
      <c r="D194" s="66" t="str">
        <f aca="false">IFERROR(INDEX(定数マスタ!$C$6:$C$105,MATCH($C194,定数マスタ!$B$6:$B$105,0)),"")</f>
        <v/>
      </c>
      <c r="E194" s="131"/>
      <c r="F194" s="130"/>
      <c r="G194" s="66" t="str">
        <f aca="false">IFERROR(INDEX(商品マスタ!$C$6:$C$1005,MATCH($F194,商品マスタ!$B$6:$B$1005,0)),"")</f>
        <v/>
      </c>
      <c r="H194" s="66" t="str">
        <f aca="false">IFERROR(INDEX(商品マスタ!$E$6:$E$1005,MATCH($F194,商品マスタ!$B$6:$B$1005,0)),"")</f>
        <v/>
      </c>
      <c r="I194" s="69" t="str">
        <f aca="false">IFERROR(INDEX(商品マスタ!$F$6:$F$1005,MATCH($F194,商品マスタ!$B$6:$B$1005,0)),"")</f>
        <v/>
      </c>
      <c r="J194" s="69" t="str">
        <f aca="false">IF(OR($F194="",$C194&lt;&gt;'設定（最初に1回）'!$C$4),"",IFERROR(INDEX(発注計算!$Y$6:$Y$405,MATCH($F194,発注計算!$C$6:$C$405,0)),""))</f>
        <v/>
      </c>
      <c r="K194" s="70"/>
      <c r="L194" s="69" t="str">
        <f aca="false">IF($K194="","",N($K194)*N($I194))</f>
        <v/>
      </c>
      <c r="M194" s="71" t="str">
        <f aca="false">IFERROR(INDEX(商品マスタ!$G$6:$G$1005,MATCH($F194,商品マスタ!$B$6:$B$1005,0)),"")</f>
        <v/>
      </c>
      <c r="N194" s="71" t="str">
        <f aca="false">IF($K194="","",N($K194)*N($M194))</f>
        <v/>
      </c>
      <c r="O194" s="66" t="str">
        <f aca="false">IFERROR(INDEX(商品マスタ!$H$6:$H$1005,MATCH($F194,商品マスタ!$B$6:$B$1005,0)),"")</f>
        <v/>
      </c>
      <c r="P194" s="87" t="str">
        <f aca="false">IF(OR($E194="",$O194=""),"",WORKDAY($E194,$O194))</f>
        <v/>
      </c>
      <c r="Q194" s="80"/>
      <c r="R194" s="131"/>
      <c r="S194" s="69" t="n">
        <f aca="false">IF($Q194="入荷済み",N($L194),0)</f>
        <v>0</v>
      </c>
      <c r="T194" s="80"/>
      <c r="U194" s="80"/>
    </row>
    <row r="195" customFormat="false" ht="15" hidden="false" customHeight="false" outlineLevel="0" collapsed="false">
      <c r="B195" s="66" t="str">
        <f aca="false">IF(OR($E195="",$F195=""),"","PO-"&amp;TEXT($E195,"yyyymmdd")&amp;"-"&amp;TEXT(COUNTIFS($E$6:$E195,$E195,$C$6:$C195,$C195),"000"))</f>
        <v/>
      </c>
      <c r="C195" s="130"/>
      <c r="D195" s="66" t="str">
        <f aca="false">IFERROR(INDEX(定数マスタ!$C$6:$C$105,MATCH($C195,定数マスタ!$B$6:$B$105,0)),"")</f>
        <v/>
      </c>
      <c r="E195" s="131"/>
      <c r="F195" s="130"/>
      <c r="G195" s="66" t="str">
        <f aca="false">IFERROR(INDEX(商品マスタ!$C$6:$C$1005,MATCH($F195,商品マスタ!$B$6:$B$1005,0)),"")</f>
        <v/>
      </c>
      <c r="H195" s="66" t="str">
        <f aca="false">IFERROR(INDEX(商品マスタ!$E$6:$E$1005,MATCH($F195,商品マスタ!$B$6:$B$1005,0)),"")</f>
        <v/>
      </c>
      <c r="I195" s="69" t="str">
        <f aca="false">IFERROR(INDEX(商品マスタ!$F$6:$F$1005,MATCH($F195,商品マスタ!$B$6:$B$1005,0)),"")</f>
        <v/>
      </c>
      <c r="J195" s="69" t="str">
        <f aca="false">IF(OR($F195="",$C195&lt;&gt;'設定（最初に1回）'!$C$4),"",IFERROR(INDEX(発注計算!$Y$6:$Y$405,MATCH($F195,発注計算!$C$6:$C$405,0)),""))</f>
        <v/>
      </c>
      <c r="K195" s="70"/>
      <c r="L195" s="69" t="str">
        <f aca="false">IF($K195="","",N($K195)*N($I195))</f>
        <v/>
      </c>
      <c r="M195" s="71" t="str">
        <f aca="false">IFERROR(INDEX(商品マスタ!$G$6:$G$1005,MATCH($F195,商品マスタ!$B$6:$B$1005,0)),"")</f>
        <v/>
      </c>
      <c r="N195" s="71" t="str">
        <f aca="false">IF($K195="","",N($K195)*N($M195))</f>
        <v/>
      </c>
      <c r="O195" s="66" t="str">
        <f aca="false">IFERROR(INDEX(商品マスタ!$H$6:$H$1005,MATCH($F195,商品マスタ!$B$6:$B$1005,0)),"")</f>
        <v/>
      </c>
      <c r="P195" s="87" t="str">
        <f aca="false">IF(OR($E195="",$O195=""),"",WORKDAY($E195,$O195))</f>
        <v/>
      </c>
      <c r="Q195" s="80"/>
      <c r="R195" s="131"/>
      <c r="S195" s="69" t="n">
        <f aca="false">IF($Q195="入荷済み",N($L195),0)</f>
        <v>0</v>
      </c>
      <c r="T195" s="80"/>
      <c r="U195" s="80"/>
    </row>
    <row r="196" customFormat="false" ht="15" hidden="false" customHeight="false" outlineLevel="0" collapsed="false">
      <c r="B196" s="66" t="str">
        <f aca="false">IF(OR($E196="",$F196=""),"","PO-"&amp;TEXT($E196,"yyyymmdd")&amp;"-"&amp;TEXT(COUNTIFS($E$6:$E196,$E196,$C$6:$C196,$C196),"000"))</f>
        <v/>
      </c>
      <c r="C196" s="130"/>
      <c r="D196" s="66" t="str">
        <f aca="false">IFERROR(INDEX(定数マスタ!$C$6:$C$105,MATCH($C196,定数マスタ!$B$6:$B$105,0)),"")</f>
        <v/>
      </c>
      <c r="E196" s="131"/>
      <c r="F196" s="130"/>
      <c r="G196" s="66" t="str">
        <f aca="false">IFERROR(INDEX(商品マスタ!$C$6:$C$1005,MATCH($F196,商品マスタ!$B$6:$B$1005,0)),"")</f>
        <v/>
      </c>
      <c r="H196" s="66" t="str">
        <f aca="false">IFERROR(INDEX(商品マスタ!$E$6:$E$1005,MATCH($F196,商品マスタ!$B$6:$B$1005,0)),"")</f>
        <v/>
      </c>
      <c r="I196" s="69" t="str">
        <f aca="false">IFERROR(INDEX(商品マスタ!$F$6:$F$1005,MATCH($F196,商品マスタ!$B$6:$B$1005,0)),"")</f>
        <v/>
      </c>
      <c r="J196" s="69" t="str">
        <f aca="false">IF(OR($F196="",$C196&lt;&gt;'設定（最初に1回）'!$C$4),"",IFERROR(INDEX(発注計算!$Y$6:$Y$405,MATCH($F196,発注計算!$C$6:$C$405,0)),""))</f>
        <v/>
      </c>
      <c r="K196" s="70"/>
      <c r="L196" s="69" t="str">
        <f aca="false">IF($K196="","",N($K196)*N($I196))</f>
        <v/>
      </c>
      <c r="M196" s="71" t="str">
        <f aca="false">IFERROR(INDEX(商品マスタ!$G$6:$G$1005,MATCH($F196,商品マスタ!$B$6:$B$1005,0)),"")</f>
        <v/>
      </c>
      <c r="N196" s="71" t="str">
        <f aca="false">IF($K196="","",N($K196)*N($M196))</f>
        <v/>
      </c>
      <c r="O196" s="66" t="str">
        <f aca="false">IFERROR(INDEX(商品マスタ!$H$6:$H$1005,MATCH($F196,商品マスタ!$B$6:$B$1005,0)),"")</f>
        <v/>
      </c>
      <c r="P196" s="87" t="str">
        <f aca="false">IF(OR($E196="",$O196=""),"",WORKDAY($E196,$O196))</f>
        <v/>
      </c>
      <c r="Q196" s="80"/>
      <c r="R196" s="131"/>
      <c r="S196" s="69" t="n">
        <f aca="false">IF($Q196="入荷済み",N($L196),0)</f>
        <v>0</v>
      </c>
      <c r="T196" s="80"/>
      <c r="U196" s="80"/>
    </row>
    <row r="197" customFormat="false" ht="15" hidden="false" customHeight="false" outlineLevel="0" collapsed="false">
      <c r="B197" s="66" t="str">
        <f aca="false">IF(OR($E197="",$F197=""),"","PO-"&amp;TEXT($E197,"yyyymmdd")&amp;"-"&amp;TEXT(COUNTIFS($E$6:$E197,$E197,$C$6:$C197,$C197),"000"))</f>
        <v/>
      </c>
      <c r="C197" s="130"/>
      <c r="D197" s="66" t="str">
        <f aca="false">IFERROR(INDEX(定数マスタ!$C$6:$C$105,MATCH($C197,定数マスタ!$B$6:$B$105,0)),"")</f>
        <v/>
      </c>
      <c r="E197" s="131"/>
      <c r="F197" s="130"/>
      <c r="G197" s="66" t="str">
        <f aca="false">IFERROR(INDEX(商品マスタ!$C$6:$C$1005,MATCH($F197,商品マスタ!$B$6:$B$1005,0)),"")</f>
        <v/>
      </c>
      <c r="H197" s="66" t="str">
        <f aca="false">IFERROR(INDEX(商品マスタ!$E$6:$E$1005,MATCH($F197,商品マスタ!$B$6:$B$1005,0)),"")</f>
        <v/>
      </c>
      <c r="I197" s="69" t="str">
        <f aca="false">IFERROR(INDEX(商品マスタ!$F$6:$F$1005,MATCH($F197,商品マスタ!$B$6:$B$1005,0)),"")</f>
        <v/>
      </c>
      <c r="J197" s="69" t="str">
        <f aca="false">IF(OR($F197="",$C197&lt;&gt;'設定（最初に1回）'!$C$4),"",IFERROR(INDEX(発注計算!$Y$6:$Y$405,MATCH($F197,発注計算!$C$6:$C$405,0)),""))</f>
        <v/>
      </c>
      <c r="K197" s="70"/>
      <c r="L197" s="69" t="str">
        <f aca="false">IF($K197="","",N($K197)*N($I197))</f>
        <v/>
      </c>
      <c r="M197" s="71" t="str">
        <f aca="false">IFERROR(INDEX(商品マスタ!$G$6:$G$1005,MATCH($F197,商品マスタ!$B$6:$B$1005,0)),"")</f>
        <v/>
      </c>
      <c r="N197" s="71" t="str">
        <f aca="false">IF($K197="","",N($K197)*N($M197))</f>
        <v/>
      </c>
      <c r="O197" s="66" t="str">
        <f aca="false">IFERROR(INDEX(商品マスタ!$H$6:$H$1005,MATCH($F197,商品マスタ!$B$6:$B$1005,0)),"")</f>
        <v/>
      </c>
      <c r="P197" s="87" t="str">
        <f aca="false">IF(OR($E197="",$O197=""),"",WORKDAY($E197,$O197))</f>
        <v/>
      </c>
      <c r="Q197" s="80"/>
      <c r="R197" s="131"/>
      <c r="S197" s="69" t="n">
        <f aca="false">IF($Q197="入荷済み",N($L197),0)</f>
        <v>0</v>
      </c>
      <c r="T197" s="80"/>
      <c r="U197" s="80"/>
    </row>
    <row r="198" customFormat="false" ht="15" hidden="false" customHeight="false" outlineLevel="0" collapsed="false">
      <c r="B198" s="66" t="str">
        <f aca="false">IF(OR($E198="",$F198=""),"","PO-"&amp;TEXT($E198,"yyyymmdd")&amp;"-"&amp;TEXT(COUNTIFS($E$6:$E198,$E198,$C$6:$C198,$C198),"000"))</f>
        <v/>
      </c>
      <c r="C198" s="130"/>
      <c r="D198" s="66" t="str">
        <f aca="false">IFERROR(INDEX(定数マスタ!$C$6:$C$105,MATCH($C198,定数マスタ!$B$6:$B$105,0)),"")</f>
        <v/>
      </c>
      <c r="E198" s="131"/>
      <c r="F198" s="130"/>
      <c r="G198" s="66" t="str">
        <f aca="false">IFERROR(INDEX(商品マスタ!$C$6:$C$1005,MATCH($F198,商品マスタ!$B$6:$B$1005,0)),"")</f>
        <v/>
      </c>
      <c r="H198" s="66" t="str">
        <f aca="false">IFERROR(INDEX(商品マスタ!$E$6:$E$1005,MATCH($F198,商品マスタ!$B$6:$B$1005,0)),"")</f>
        <v/>
      </c>
      <c r="I198" s="69" t="str">
        <f aca="false">IFERROR(INDEX(商品マスタ!$F$6:$F$1005,MATCH($F198,商品マスタ!$B$6:$B$1005,0)),"")</f>
        <v/>
      </c>
      <c r="J198" s="69" t="str">
        <f aca="false">IF(OR($F198="",$C198&lt;&gt;'設定（最初に1回）'!$C$4),"",IFERROR(INDEX(発注計算!$Y$6:$Y$405,MATCH($F198,発注計算!$C$6:$C$405,0)),""))</f>
        <v/>
      </c>
      <c r="K198" s="70"/>
      <c r="L198" s="69" t="str">
        <f aca="false">IF($K198="","",N($K198)*N($I198))</f>
        <v/>
      </c>
      <c r="M198" s="71" t="str">
        <f aca="false">IFERROR(INDEX(商品マスタ!$G$6:$G$1005,MATCH($F198,商品マスタ!$B$6:$B$1005,0)),"")</f>
        <v/>
      </c>
      <c r="N198" s="71" t="str">
        <f aca="false">IF($K198="","",N($K198)*N($M198))</f>
        <v/>
      </c>
      <c r="O198" s="66" t="str">
        <f aca="false">IFERROR(INDEX(商品マスタ!$H$6:$H$1005,MATCH($F198,商品マスタ!$B$6:$B$1005,0)),"")</f>
        <v/>
      </c>
      <c r="P198" s="87" t="str">
        <f aca="false">IF(OR($E198="",$O198=""),"",WORKDAY($E198,$O198))</f>
        <v/>
      </c>
      <c r="Q198" s="80"/>
      <c r="R198" s="131"/>
      <c r="S198" s="69" t="n">
        <f aca="false">IF($Q198="入荷済み",N($L198),0)</f>
        <v>0</v>
      </c>
      <c r="T198" s="80"/>
      <c r="U198" s="80"/>
    </row>
    <row r="199" customFormat="false" ht="15" hidden="false" customHeight="false" outlineLevel="0" collapsed="false">
      <c r="B199" s="66" t="str">
        <f aca="false">IF(OR($E199="",$F199=""),"","PO-"&amp;TEXT($E199,"yyyymmdd")&amp;"-"&amp;TEXT(COUNTIFS($E$6:$E199,$E199,$C$6:$C199,$C199),"000"))</f>
        <v/>
      </c>
      <c r="C199" s="130"/>
      <c r="D199" s="66" t="str">
        <f aca="false">IFERROR(INDEX(定数マスタ!$C$6:$C$105,MATCH($C199,定数マスタ!$B$6:$B$105,0)),"")</f>
        <v/>
      </c>
      <c r="E199" s="131"/>
      <c r="F199" s="130"/>
      <c r="G199" s="66" t="str">
        <f aca="false">IFERROR(INDEX(商品マスタ!$C$6:$C$1005,MATCH($F199,商品マスタ!$B$6:$B$1005,0)),"")</f>
        <v/>
      </c>
      <c r="H199" s="66" t="str">
        <f aca="false">IFERROR(INDEX(商品マスタ!$E$6:$E$1005,MATCH($F199,商品マスタ!$B$6:$B$1005,0)),"")</f>
        <v/>
      </c>
      <c r="I199" s="69" t="str">
        <f aca="false">IFERROR(INDEX(商品マスタ!$F$6:$F$1005,MATCH($F199,商品マスタ!$B$6:$B$1005,0)),"")</f>
        <v/>
      </c>
      <c r="J199" s="69" t="str">
        <f aca="false">IF(OR($F199="",$C199&lt;&gt;'設定（最初に1回）'!$C$4),"",IFERROR(INDEX(発注計算!$Y$6:$Y$405,MATCH($F199,発注計算!$C$6:$C$405,0)),""))</f>
        <v/>
      </c>
      <c r="K199" s="70"/>
      <c r="L199" s="69" t="str">
        <f aca="false">IF($K199="","",N($K199)*N($I199))</f>
        <v/>
      </c>
      <c r="M199" s="71" t="str">
        <f aca="false">IFERROR(INDEX(商品マスタ!$G$6:$G$1005,MATCH($F199,商品マスタ!$B$6:$B$1005,0)),"")</f>
        <v/>
      </c>
      <c r="N199" s="71" t="str">
        <f aca="false">IF($K199="","",N($K199)*N($M199))</f>
        <v/>
      </c>
      <c r="O199" s="66" t="str">
        <f aca="false">IFERROR(INDEX(商品マスタ!$H$6:$H$1005,MATCH($F199,商品マスタ!$B$6:$B$1005,0)),"")</f>
        <v/>
      </c>
      <c r="P199" s="87" t="str">
        <f aca="false">IF(OR($E199="",$O199=""),"",WORKDAY($E199,$O199))</f>
        <v/>
      </c>
      <c r="Q199" s="80"/>
      <c r="R199" s="131"/>
      <c r="S199" s="69" t="n">
        <f aca="false">IF($Q199="入荷済み",N($L199),0)</f>
        <v>0</v>
      </c>
      <c r="T199" s="80"/>
      <c r="U199" s="80"/>
    </row>
    <row r="200" customFormat="false" ht="15" hidden="false" customHeight="false" outlineLevel="0" collapsed="false">
      <c r="B200" s="66" t="str">
        <f aca="false">IF(OR($E200="",$F200=""),"","PO-"&amp;TEXT($E200,"yyyymmdd")&amp;"-"&amp;TEXT(COUNTIFS($E$6:$E200,$E200,$C$6:$C200,$C200),"000"))</f>
        <v/>
      </c>
      <c r="C200" s="130"/>
      <c r="D200" s="66" t="str">
        <f aca="false">IFERROR(INDEX(定数マスタ!$C$6:$C$105,MATCH($C200,定数マスタ!$B$6:$B$105,0)),"")</f>
        <v/>
      </c>
      <c r="E200" s="131"/>
      <c r="F200" s="130"/>
      <c r="G200" s="66" t="str">
        <f aca="false">IFERROR(INDEX(商品マスタ!$C$6:$C$1005,MATCH($F200,商品マスタ!$B$6:$B$1005,0)),"")</f>
        <v/>
      </c>
      <c r="H200" s="66" t="str">
        <f aca="false">IFERROR(INDEX(商品マスタ!$E$6:$E$1005,MATCH($F200,商品マスタ!$B$6:$B$1005,0)),"")</f>
        <v/>
      </c>
      <c r="I200" s="69" t="str">
        <f aca="false">IFERROR(INDEX(商品マスタ!$F$6:$F$1005,MATCH($F200,商品マスタ!$B$6:$B$1005,0)),"")</f>
        <v/>
      </c>
      <c r="J200" s="69" t="str">
        <f aca="false">IF(OR($F200="",$C200&lt;&gt;'設定（最初に1回）'!$C$4),"",IFERROR(INDEX(発注計算!$Y$6:$Y$405,MATCH($F200,発注計算!$C$6:$C$405,0)),""))</f>
        <v/>
      </c>
      <c r="K200" s="70"/>
      <c r="L200" s="69" t="str">
        <f aca="false">IF($K200="","",N($K200)*N($I200))</f>
        <v/>
      </c>
      <c r="M200" s="71" t="str">
        <f aca="false">IFERROR(INDEX(商品マスタ!$G$6:$G$1005,MATCH($F200,商品マスタ!$B$6:$B$1005,0)),"")</f>
        <v/>
      </c>
      <c r="N200" s="71" t="str">
        <f aca="false">IF($K200="","",N($K200)*N($M200))</f>
        <v/>
      </c>
      <c r="O200" s="66" t="str">
        <f aca="false">IFERROR(INDEX(商品マスタ!$H$6:$H$1005,MATCH($F200,商品マスタ!$B$6:$B$1005,0)),"")</f>
        <v/>
      </c>
      <c r="P200" s="87" t="str">
        <f aca="false">IF(OR($E200="",$O200=""),"",WORKDAY($E200,$O200))</f>
        <v/>
      </c>
      <c r="Q200" s="80"/>
      <c r="R200" s="131"/>
      <c r="S200" s="69" t="n">
        <f aca="false">IF($Q200="入荷済み",N($L200),0)</f>
        <v>0</v>
      </c>
      <c r="T200" s="80"/>
      <c r="U200" s="80"/>
    </row>
    <row r="201" customFormat="false" ht="15" hidden="false" customHeight="false" outlineLevel="0" collapsed="false">
      <c r="B201" s="66" t="str">
        <f aca="false">IF(OR($E201="",$F201=""),"","PO-"&amp;TEXT($E201,"yyyymmdd")&amp;"-"&amp;TEXT(COUNTIFS($E$6:$E201,$E201,$C$6:$C201,$C201),"000"))</f>
        <v/>
      </c>
      <c r="C201" s="130"/>
      <c r="D201" s="66" t="str">
        <f aca="false">IFERROR(INDEX(定数マスタ!$C$6:$C$105,MATCH($C201,定数マスタ!$B$6:$B$105,0)),"")</f>
        <v/>
      </c>
      <c r="E201" s="131"/>
      <c r="F201" s="130"/>
      <c r="G201" s="66" t="str">
        <f aca="false">IFERROR(INDEX(商品マスタ!$C$6:$C$1005,MATCH($F201,商品マスタ!$B$6:$B$1005,0)),"")</f>
        <v/>
      </c>
      <c r="H201" s="66" t="str">
        <f aca="false">IFERROR(INDEX(商品マスタ!$E$6:$E$1005,MATCH($F201,商品マスタ!$B$6:$B$1005,0)),"")</f>
        <v/>
      </c>
      <c r="I201" s="69" t="str">
        <f aca="false">IFERROR(INDEX(商品マスタ!$F$6:$F$1005,MATCH($F201,商品マスタ!$B$6:$B$1005,0)),"")</f>
        <v/>
      </c>
      <c r="J201" s="69" t="str">
        <f aca="false">IF(OR($F201="",$C201&lt;&gt;'設定（最初に1回）'!$C$4),"",IFERROR(INDEX(発注計算!$Y$6:$Y$405,MATCH($F201,発注計算!$C$6:$C$405,0)),""))</f>
        <v/>
      </c>
      <c r="K201" s="70"/>
      <c r="L201" s="69" t="str">
        <f aca="false">IF($K201="","",N($K201)*N($I201))</f>
        <v/>
      </c>
      <c r="M201" s="71" t="str">
        <f aca="false">IFERROR(INDEX(商品マスタ!$G$6:$G$1005,MATCH($F201,商品マスタ!$B$6:$B$1005,0)),"")</f>
        <v/>
      </c>
      <c r="N201" s="71" t="str">
        <f aca="false">IF($K201="","",N($K201)*N($M201))</f>
        <v/>
      </c>
      <c r="O201" s="66" t="str">
        <f aca="false">IFERROR(INDEX(商品マスタ!$H$6:$H$1005,MATCH($F201,商品マスタ!$B$6:$B$1005,0)),"")</f>
        <v/>
      </c>
      <c r="P201" s="87" t="str">
        <f aca="false">IF(OR($E201="",$O201=""),"",WORKDAY($E201,$O201))</f>
        <v/>
      </c>
      <c r="Q201" s="80"/>
      <c r="R201" s="131"/>
      <c r="S201" s="69" t="n">
        <f aca="false">IF($Q201="入荷済み",N($L201),0)</f>
        <v>0</v>
      </c>
      <c r="T201" s="80"/>
      <c r="U201" s="80"/>
    </row>
    <row r="202" customFormat="false" ht="15" hidden="false" customHeight="false" outlineLevel="0" collapsed="false">
      <c r="B202" s="66" t="str">
        <f aca="false">IF(OR($E202="",$F202=""),"","PO-"&amp;TEXT($E202,"yyyymmdd")&amp;"-"&amp;TEXT(COUNTIFS($E$6:$E202,$E202,$C$6:$C202,$C202),"000"))</f>
        <v/>
      </c>
      <c r="C202" s="130"/>
      <c r="D202" s="66" t="str">
        <f aca="false">IFERROR(INDEX(定数マスタ!$C$6:$C$105,MATCH($C202,定数マスタ!$B$6:$B$105,0)),"")</f>
        <v/>
      </c>
      <c r="E202" s="131"/>
      <c r="F202" s="130"/>
      <c r="G202" s="66" t="str">
        <f aca="false">IFERROR(INDEX(商品マスタ!$C$6:$C$1005,MATCH($F202,商品マスタ!$B$6:$B$1005,0)),"")</f>
        <v/>
      </c>
      <c r="H202" s="66" t="str">
        <f aca="false">IFERROR(INDEX(商品マスタ!$E$6:$E$1005,MATCH($F202,商品マスタ!$B$6:$B$1005,0)),"")</f>
        <v/>
      </c>
      <c r="I202" s="69" t="str">
        <f aca="false">IFERROR(INDEX(商品マスタ!$F$6:$F$1005,MATCH($F202,商品マスタ!$B$6:$B$1005,0)),"")</f>
        <v/>
      </c>
      <c r="J202" s="69" t="str">
        <f aca="false">IF(OR($F202="",$C202&lt;&gt;'設定（最初に1回）'!$C$4),"",IFERROR(INDEX(発注計算!$Y$6:$Y$405,MATCH($F202,発注計算!$C$6:$C$405,0)),""))</f>
        <v/>
      </c>
      <c r="K202" s="70"/>
      <c r="L202" s="69" t="str">
        <f aca="false">IF($K202="","",N($K202)*N($I202))</f>
        <v/>
      </c>
      <c r="M202" s="71" t="str">
        <f aca="false">IFERROR(INDEX(商品マスタ!$G$6:$G$1005,MATCH($F202,商品マスタ!$B$6:$B$1005,0)),"")</f>
        <v/>
      </c>
      <c r="N202" s="71" t="str">
        <f aca="false">IF($K202="","",N($K202)*N($M202))</f>
        <v/>
      </c>
      <c r="O202" s="66" t="str">
        <f aca="false">IFERROR(INDEX(商品マスタ!$H$6:$H$1005,MATCH($F202,商品マスタ!$B$6:$B$1005,0)),"")</f>
        <v/>
      </c>
      <c r="P202" s="87" t="str">
        <f aca="false">IF(OR($E202="",$O202=""),"",WORKDAY($E202,$O202))</f>
        <v/>
      </c>
      <c r="Q202" s="80"/>
      <c r="R202" s="131"/>
      <c r="S202" s="69" t="n">
        <f aca="false">IF($Q202="入荷済み",N($L202),0)</f>
        <v>0</v>
      </c>
      <c r="T202" s="80"/>
      <c r="U202" s="80"/>
    </row>
    <row r="203" customFormat="false" ht="15" hidden="false" customHeight="false" outlineLevel="0" collapsed="false">
      <c r="B203" s="66" t="str">
        <f aca="false">IF(OR($E203="",$F203=""),"","PO-"&amp;TEXT($E203,"yyyymmdd")&amp;"-"&amp;TEXT(COUNTIFS($E$6:$E203,$E203,$C$6:$C203,$C203),"000"))</f>
        <v/>
      </c>
      <c r="C203" s="130"/>
      <c r="D203" s="66" t="str">
        <f aca="false">IFERROR(INDEX(定数マスタ!$C$6:$C$105,MATCH($C203,定数マスタ!$B$6:$B$105,0)),"")</f>
        <v/>
      </c>
      <c r="E203" s="131"/>
      <c r="F203" s="130"/>
      <c r="G203" s="66" t="str">
        <f aca="false">IFERROR(INDEX(商品マスタ!$C$6:$C$1005,MATCH($F203,商品マスタ!$B$6:$B$1005,0)),"")</f>
        <v/>
      </c>
      <c r="H203" s="66" t="str">
        <f aca="false">IFERROR(INDEX(商品マスタ!$E$6:$E$1005,MATCH($F203,商品マスタ!$B$6:$B$1005,0)),"")</f>
        <v/>
      </c>
      <c r="I203" s="69" t="str">
        <f aca="false">IFERROR(INDEX(商品マスタ!$F$6:$F$1005,MATCH($F203,商品マスタ!$B$6:$B$1005,0)),"")</f>
        <v/>
      </c>
      <c r="J203" s="69" t="str">
        <f aca="false">IF(OR($F203="",$C203&lt;&gt;'設定（最初に1回）'!$C$4),"",IFERROR(INDEX(発注計算!$Y$6:$Y$405,MATCH($F203,発注計算!$C$6:$C$405,0)),""))</f>
        <v/>
      </c>
      <c r="K203" s="70"/>
      <c r="L203" s="69" t="str">
        <f aca="false">IF($K203="","",N($K203)*N($I203))</f>
        <v/>
      </c>
      <c r="M203" s="71" t="str">
        <f aca="false">IFERROR(INDEX(商品マスタ!$G$6:$G$1005,MATCH($F203,商品マスタ!$B$6:$B$1005,0)),"")</f>
        <v/>
      </c>
      <c r="N203" s="71" t="str">
        <f aca="false">IF($K203="","",N($K203)*N($M203))</f>
        <v/>
      </c>
      <c r="O203" s="66" t="str">
        <f aca="false">IFERROR(INDEX(商品マスタ!$H$6:$H$1005,MATCH($F203,商品マスタ!$B$6:$B$1005,0)),"")</f>
        <v/>
      </c>
      <c r="P203" s="87" t="str">
        <f aca="false">IF(OR($E203="",$O203=""),"",WORKDAY($E203,$O203))</f>
        <v/>
      </c>
      <c r="Q203" s="80"/>
      <c r="R203" s="131"/>
      <c r="S203" s="69" t="n">
        <f aca="false">IF($Q203="入荷済み",N($L203),0)</f>
        <v>0</v>
      </c>
      <c r="T203" s="80"/>
      <c r="U203" s="80"/>
    </row>
    <row r="204" customFormat="false" ht="15" hidden="false" customHeight="false" outlineLevel="0" collapsed="false">
      <c r="B204" s="66" t="str">
        <f aca="false">IF(OR($E204="",$F204=""),"","PO-"&amp;TEXT($E204,"yyyymmdd")&amp;"-"&amp;TEXT(COUNTIFS($E$6:$E204,$E204,$C$6:$C204,$C204),"000"))</f>
        <v/>
      </c>
      <c r="C204" s="130"/>
      <c r="D204" s="66" t="str">
        <f aca="false">IFERROR(INDEX(定数マスタ!$C$6:$C$105,MATCH($C204,定数マスタ!$B$6:$B$105,0)),"")</f>
        <v/>
      </c>
      <c r="E204" s="131"/>
      <c r="F204" s="130"/>
      <c r="G204" s="66" t="str">
        <f aca="false">IFERROR(INDEX(商品マスタ!$C$6:$C$1005,MATCH($F204,商品マスタ!$B$6:$B$1005,0)),"")</f>
        <v/>
      </c>
      <c r="H204" s="66" t="str">
        <f aca="false">IFERROR(INDEX(商品マスタ!$E$6:$E$1005,MATCH($F204,商品マスタ!$B$6:$B$1005,0)),"")</f>
        <v/>
      </c>
      <c r="I204" s="69" t="str">
        <f aca="false">IFERROR(INDEX(商品マスタ!$F$6:$F$1005,MATCH($F204,商品マスタ!$B$6:$B$1005,0)),"")</f>
        <v/>
      </c>
      <c r="J204" s="69" t="str">
        <f aca="false">IF(OR($F204="",$C204&lt;&gt;'設定（最初に1回）'!$C$4),"",IFERROR(INDEX(発注計算!$Y$6:$Y$405,MATCH($F204,発注計算!$C$6:$C$405,0)),""))</f>
        <v/>
      </c>
      <c r="K204" s="70"/>
      <c r="L204" s="69" t="str">
        <f aca="false">IF($K204="","",N($K204)*N($I204))</f>
        <v/>
      </c>
      <c r="M204" s="71" t="str">
        <f aca="false">IFERROR(INDEX(商品マスタ!$G$6:$G$1005,MATCH($F204,商品マスタ!$B$6:$B$1005,0)),"")</f>
        <v/>
      </c>
      <c r="N204" s="71" t="str">
        <f aca="false">IF($K204="","",N($K204)*N($M204))</f>
        <v/>
      </c>
      <c r="O204" s="66" t="str">
        <f aca="false">IFERROR(INDEX(商品マスタ!$H$6:$H$1005,MATCH($F204,商品マスタ!$B$6:$B$1005,0)),"")</f>
        <v/>
      </c>
      <c r="P204" s="87" t="str">
        <f aca="false">IF(OR($E204="",$O204=""),"",WORKDAY($E204,$O204))</f>
        <v/>
      </c>
      <c r="Q204" s="80"/>
      <c r="R204" s="131"/>
      <c r="S204" s="69" t="n">
        <f aca="false">IF($Q204="入荷済み",N($L204),0)</f>
        <v>0</v>
      </c>
      <c r="T204" s="80"/>
      <c r="U204" s="80"/>
    </row>
    <row r="205" customFormat="false" ht="15" hidden="false" customHeight="false" outlineLevel="0" collapsed="false">
      <c r="B205" s="66" t="str">
        <f aca="false">IF(OR($E205="",$F205=""),"","PO-"&amp;TEXT($E205,"yyyymmdd")&amp;"-"&amp;TEXT(COUNTIFS($E$6:$E205,$E205,$C$6:$C205,$C205),"000"))</f>
        <v/>
      </c>
      <c r="C205" s="130"/>
      <c r="D205" s="66" t="str">
        <f aca="false">IFERROR(INDEX(定数マスタ!$C$6:$C$105,MATCH($C205,定数マスタ!$B$6:$B$105,0)),"")</f>
        <v/>
      </c>
      <c r="E205" s="131"/>
      <c r="F205" s="130"/>
      <c r="G205" s="66" t="str">
        <f aca="false">IFERROR(INDEX(商品マスタ!$C$6:$C$1005,MATCH($F205,商品マスタ!$B$6:$B$1005,0)),"")</f>
        <v/>
      </c>
      <c r="H205" s="66" t="str">
        <f aca="false">IFERROR(INDEX(商品マスタ!$E$6:$E$1005,MATCH($F205,商品マスタ!$B$6:$B$1005,0)),"")</f>
        <v/>
      </c>
      <c r="I205" s="69" t="str">
        <f aca="false">IFERROR(INDEX(商品マスタ!$F$6:$F$1005,MATCH($F205,商品マスタ!$B$6:$B$1005,0)),"")</f>
        <v/>
      </c>
      <c r="J205" s="69" t="str">
        <f aca="false">IF(OR($F205="",$C205&lt;&gt;'設定（最初に1回）'!$C$4),"",IFERROR(INDEX(発注計算!$Y$6:$Y$405,MATCH($F205,発注計算!$C$6:$C$405,0)),""))</f>
        <v/>
      </c>
      <c r="K205" s="70"/>
      <c r="L205" s="69" t="str">
        <f aca="false">IF($K205="","",N($K205)*N($I205))</f>
        <v/>
      </c>
      <c r="M205" s="71" t="str">
        <f aca="false">IFERROR(INDEX(商品マスタ!$G$6:$G$1005,MATCH($F205,商品マスタ!$B$6:$B$1005,0)),"")</f>
        <v/>
      </c>
      <c r="N205" s="71" t="str">
        <f aca="false">IF($K205="","",N($K205)*N($M205))</f>
        <v/>
      </c>
      <c r="O205" s="66" t="str">
        <f aca="false">IFERROR(INDEX(商品マスタ!$H$6:$H$1005,MATCH($F205,商品マスタ!$B$6:$B$1005,0)),"")</f>
        <v/>
      </c>
      <c r="P205" s="87" t="str">
        <f aca="false">IF(OR($E205="",$O205=""),"",WORKDAY($E205,$O205))</f>
        <v/>
      </c>
      <c r="Q205" s="80"/>
      <c r="R205" s="131"/>
      <c r="S205" s="69" t="n">
        <f aca="false">IF($Q205="入荷済み",N($L205),0)</f>
        <v>0</v>
      </c>
      <c r="T205" s="80"/>
      <c r="U205" s="80"/>
    </row>
    <row r="206" customFormat="false" ht="15" hidden="false" customHeight="false" outlineLevel="0" collapsed="false">
      <c r="B206" s="66" t="str">
        <f aca="false">IF(OR($E206="",$F206=""),"","PO-"&amp;TEXT($E206,"yyyymmdd")&amp;"-"&amp;TEXT(COUNTIFS($E$6:$E206,$E206,$C$6:$C206,$C206),"000"))</f>
        <v/>
      </c>
      <c r="C206" s="130"/>
      <c r="D206" s="66" t="str">
        <f aca="false">IFERROR(INDEX(定数マスタ!$C$6:$C$105,MATCH($C206,定数マスタ!$B$6:$B$105,0)),"")</f>
        <v/>
      </c>
      <c r="E206" s="131"/>
      <c r="F206" s="130"/>
      <c r="G206" s="66" t="str">
        <f aca="false">IFERROR(INDEX(商品マスタ!$C$6:$C$1005,MATCH($F206,商品マスタ!$B$6:$B$1005,0)),"")</f>
        <v/>
      </c>
      <c r="H206" s="66" t="str">
        <f aca="false">IFERROR(INDEX(商品マスタ!$E$6:$E$1005,MATCH($F206,商品マスタ!$B$6:$B$1005,0)),"")</f>
        <v/>
      </c>
      <c r="I206" s="69" t="str">
        <f aca="false">IFERROR(INDEX(商品マスタ!$F$6:$F$1005,MATCH($F206,商品マスタ!$B$6:$B$1005,0)),"")</f>
        <v/>
      </c>
      <c r="J206" s="69" t="str">
        <f aca="false">IF(OR($F206="",$C206&lt;&gt;'設定（最初に1回）'!$C$4),"",IFERROR(INDEX(発注計算!$Y$6:$Y$405,MATCH($F206,発注計算!$C$6:$C$405,0)),""))</f>
        <v/>
      </c>
      <c r="K206" s="70"/>
      <c r="L206" s="69" t="str">
        <f aca="false">IF($K206="","",N($K206)*N($I206))</f>
        <v/>
      </c>
      <c r="M206" s="71" t="str">
        <f aca="false">IFERROR(INDEX(商品マスタ!$G$6:$G$1005,MATCH($F206,商品マスタ!$B$6:$B$1005,0)),"")</f>
        <v/>
      </c>
      <c r="N206" s="71" t="str">
        <f aca="false">IF($K206="","",N($K206)*N($M206))</f>
        <v/>
      </c>
      <c r="O206" s="66" t="str">
        <f aca="false">IFERROR(INDEX(商品マスタ!$H$6:$H$1005,MATCH($F206,商品マスタ!$B$6:$B$1005,0)),"")</f>
        <v/>
      </c>
      <c r="P206" s="87" t="str">
        <f aca="false">IF(OR($E206="",$O206=""),"",WORKDAY($E206,$O206))</f>
        <v/>
      </c>
      <c r="Q206" s="80"/>
      <c r="R206" s="131"/>
      <c r="S206" s="69" t="n">
        <f aca="false">IF($Q206="入荷済み",N($L206),0)</f>
        <v>0</v>
      </c>
      <c r="T206" s="80"/>
      <c r="U206" s="80"/>
    </row>
    <row r="207" customFormat="false" ht="15" hidden="false" customHeight="false" outlineLevel="0" collapsed="false">
      <c r="B207" s="66" t="str">
        <f aca="false">IF(OR($E207="",$F207=""),"","PO-"&amp;TEXT($E207,"yyyymmdd")&amp;"-"&amp;TEXT(COUNTIFS($E$6:$E207,$E207,$C$6:$C207,$C207),"000"))</f>
        <v/>
      </c>
      <c r="C207" s="130"/>
      <c r="D207" s="66" t="str">
        <f aca="false">IFERROR(INDEX(定数マスタ!$C$6:$C$105,MATCH($C207,定数マスタ!$B$6:$B$105,0)),"")</f>
        <v/>
      </c>
      <c r="E207" s="131"/>
      <c r="F207" s="130"/>
      <c r="G207" s="66" t="str">
        <f aca="false">IFERROR(INDEX(商品マスタ!$C$6:$C$1005,MATCH($F207,商品マスタ!$B$6:$B$1005,0)),"")</f>
        <v/>
      </c>
      <c r="H207" s="66" t="str">
        <f aca="false">IFERROR(INDEX(商品マスタ!$E$6:$E$1005,MATCH($F207,商品マスタ!$B$6:$B$1005,0)),"")</f>
        <v/>
      </c>
      <c r="I207" s="69" t="str">
        <f aca="false">IFERROR(INDEX(商品マスタ!$F$6:$F$1005,MATCH($F207,商品マスタ!$B$6:$B$1005,0)),"")</f>
        <v/>
      </c>
      <c r="J207" s="69" t="str">
        <f aca="false">IF(OR($F207="",$C207&lt;&gt;'設定（最初に1回）'!$C$4),"",IFERROR(INDEX(発注計算!$Y$6:$Y$405,MATCH($F207,発注計算!$C$6:$C$405,0)),""))</f>
        <v/>
      </c>
      <c r="K207" s="70"/>
      <c r="L207" s="69" t="str">
        <f aca="false">IF($K207="","",N($K207)*N($I207))</f>
        <v/>
      </c>
      <c r="M207" s="71" t="str">
        <f aca="false">IFERROR(INDEX(商品マスタ!$G$6:$G$1005,MATCH($F207,商品マスタ!$B$6:$B$1005,0)),"")</f>
        <v/>
      </c>
      <c r="N207" s="71" t="str">
        <f aca="false">IF($K207="","",N($K207)*N($M207))</f>
        <v/>
      </c>
      <c r="O207" s="66" t="str">
        <f aca="false">IFERROR(INDEX(商品マスタ!$H$6:$H$1005,MATCH($F207,商品マスタ!$B$6:$B$1005,0)),"")</f>
        <v/>
      </c>
      <c r="P207" s="87" t="str">
        <f aca="false">IF(OR($E207="",$O207=""),"",WORKDAY($E207,$O207))</f>
        <v/>
      </c>
      <c r="Q207" s="80"/>
      <c r="R207" s="131"/>
      <c r="S207" s="69" t="n">
        <f aca="false">IF($Q207="入荷済み",N($L207),0)</f>
        <v>0</v>
      </c>
      <c r="T207" s="80"/>
      <c r="U207" s="80"/>
    </row>
    <row r="208" customFormat="false" ht="15" hidden="false" customHeight="false" outlineLevel="0" collapsed="false">
      <c r="B208" s="66" t="str">
        <f aca="false">IF(OR($E208="",$F208=""),"","PO-"&amp;TEXT($E208,"yyyymmdd")&amp;"-"&amp;TEXT(COUNTIFS($E$6:$E208,$E208,$C$6:$C208,$C208),"000"))</f>
        <v/>
      </c>
      <c r="C208" s="130"/>
      <c r="D208" s="66" t="str">
        <f aca="false">IFERROR(INDEX(定数マスタ!$C$6:$C$105,MATCH($C208,定数マスタ!$B$6:$B$105,0)),"")</f>
        <v/>
      </c>
      <c r="E208" s="131"/>
      <c r="F208" s="130"/>
      <c r="G208" s="66" t="str">
        <f aca="false">IFERROR(INDEX(商品マスタ!$C$6:$C$1005,MATCH($F208,商品マスタ!$B$6:$B$1005,0)),"")</f>
        <v/>
      </c>
      <c r="H208" s="66" t="str">
        <f aca="false">IFERROR(INDEX(商品マスタ!$E$6:$E$1005,MATCH($F208,商品マスタ!$B$6:$B$1005,0)),"")</f>
        <v/>
      </c>
      <c r="I208" s="69" t="str">
        <f aca="false">IFERROR(INDEX(商品マスタ!$F$6:$F$1005,MATCH($F208,商品マスタ!$B$6:$B$1005,0)),"")</f>
        <v/>
      </c>
      <c r="J208" s="69" t="str">
        <f aca="false">IF(OR($F208="",$C208&lt;&gt;'設定（最初に1回）'!$C$4),"",IFERROR(INDEX(発注計算!$Y$6:$Y$405,MATCH($F208,発注計算!$C$6:$C$405,0)),""))</f>
        <v/>
      </c>
      <c r="K208" s="70"/>
      <c r="L208" s="69" t="str">
        <f aca="false">IF($K208="","",N($K208)*N($I208))</f>
        <v/>
      </c>
      <c r="M208" s="71" t="str">
        <f aca="false">IFERROR(INDEX(商品マスタ!$G$6:$G$1005,MATCH($F208,商品マスタ!$B$6:$B$1005,0)),"")</f>
        <v/>
      </c>
      <c r="N208" s="71" t="str">
        <f aca="false">IF($K208="","",N($K208)*N($M208))</f>
        <v/>
      </c>
      <c r="O208" s="66" t="str">
        <f aca="false">IFERROR(INDEX(商品マスタ!$H$6:$H$1005,MATCH($F208,商品マスタ!$B$6:$B$1005,0)),"")</f>
        <v/>
      </c>
      <c r="P208" s="87" t="str">
        <f aca="false">IF(OR($E208="",$O208=""),"",WORKDAY($E208,$O208))</f>
        <v/>
      </c>
      <c r="Q208" s="80"/>
      <c r="R208" s="131"/>
      <c r="S208" s="69" t="n">
        <f aca="false">IF($Q208="入荷済み",N($L208),0)</f>
        <v>0</v>
      </c>
      <c r="T208" s="80"/>
      <c r="U208" s="80"/>
    </row>
    <row r="209" customFormat="false" ht="15" hidden="false" customHeight="false" outlineLevel="0" collapsed="false">
      <c r="B209" s="66" t="str">
        <f aca="false">IF(OR($E209="",$F209=""),"","PO-"&amp;TEXT($E209,"yyyymmdd")&amp;"-"&amp;TEXT(COUNTIFS($E$6:$E209,$E209,$C$6:$C209,$C209),"000"))</f>
        <v/>
      </c>
      <c r="C209" s="130"/>
      <c r="D209" s="66" t="str">
        <f aca="false">IFERROR(INDEX(定数マスタ!$C$6:$C$105,MATCH($C209,定数マスタ!$B$6:$B$105,0)),"")</f>
        <v/>
      </c>
      <c r="E209" s="131"/>
      <c r="F209" s="130"/>
      <c r="G209" s="66" t="str">
        <f aca="false">IFERROR(INDEX(商品マスタ!$C$6:$C$1005,MATCH($F209,商品マスタ!$B$6:$B$1005,0)),"")</f>
        <v/>
      </c>
      <c r="H209" s="66" t="str">
        <f aca="false">IFERROR(INDEX(商品マスタ!$E$6:$E$1005,MATCH($F209,商品マスタ!$B$6:$B$1005,0)),"")</f>
        <v/>
      </c>
      <c r="I209" s="69" t="str">
        <f aca="false">IFERROR(INDEX(商品マスタ!$F$6:$F$1005,MATCH($F209,商品マスタ!$B$6:$B$1005,0)),"")</f>
        <v/>
      </c>
      <c r="J209" s="69" t="str">
        <f aca="false">IF(OR($F209="",$C209&lt;&gt;'設定（最初に1回）'!$C$4),"",IFERROR(INDEX(発注計算!$Y$6:$Y$405,MATCH($F209,発注計算!$C$6:$C$405,0)),""))</f>
        <v/>
      </c>
      <c r="K209" s="70"/>
      <c r="L209" s="69" t="str">
        <f aca="false">IF($K209="","",N($K209)*N($I209))</f>
        <v/>
      </c>
      <c r="M209" s="71" t="str">
        <f aca="false">IFERROR(INDEX(商品マスタ!$G$6:$G$1005,MATCH($F209,商品マスタ!$B$6:$B$1005,0)),"")</f>
        <v/>
      </c>
      <c r="N209" s="71" t="str">
        <f aca="false">IF($K209="","",N($K209)*N($M209))</f>
        <v/>
      </c>
      <c r="O209" s="66" t="str">
        <f aca="false">IFERROR(INDEX(商品マスタ!$H$6:$H$1005,MATCH($F209,商品マスタ!$B$6:$B$1005,0)),"")</f>
        <v/>
      </c>
      <c r="P209" s="87" t="str">
        <f aca="false">IF(OR($E209="",$O209=""),"",WORKDAY($E209,$O209))</f>
        <v/>
      </c>
      <c r="Q209" s="80"/>
      <c r="R209" s="131"/>
      <c r="S209" s="69" t="n">
        <f aca="false">IF($Q209="入荷済み",N($L209),0)</f>
        <v>0</v>
      </c>
      <c r="T209" s="80"/>
      <c r="U209" s="80"/>
    </row>
    <row r="210" customFormat="false" ht="15" hidden="false" customHeight="false" outlineLevel="0" collapsed="false">
      <c r="B210" s="66" t="str">
        <f aca="false">IF(OR($E210="",$F210=""),"","PO-"&amp;TEXT($E210,"yyyymmdd")&amp;"-"&amp;TEXT(COUNTIFS($E$6:$E210,$E210,$C$6:$C210,$C210),"000"))</f>
        <v/>
      </c>
      <c r="C210" s="130"/>
      <c r="D210" s="66" t="str">
        <f aca="false">IFERROR(INDEX(定数マスタ!$C$6:$C$105,MATCH($C210,定数マスタ!$B$6:$B$105,0)),"")</f>
        <v/>
      </c>
      <c r="E210" s="131"/>
      <c r="F210" s="130"/>
      <c r="G210" s="66" t="str">
        <f aca="false">IFERROR(INDEX(商品マスタ!$C$6:$C$1005,MATCH($F210,商品マスタ!$B$6:$B$1005,0)),"")</f>
        <v/>
      </c>
      <c r="H210" s="66" t="str">
        <f aca="false">IFERROR(INDEX(商品マスタ!$E$6:$E$1005,MATCH($F210,商品マスタ!$B$6:$B$1005,0)),"")</f>
        <v/>
      </c>
      <c r="I210" s="69" t="str">
        <f aca="false">IFERROR(INDEX(商品マスタ!$F$6:$F$1005,MATCH($F210,商品マスタ!$B$6:$B$1005,0)),"")</f>
        <v/>
      </c>
      <c r="J210" s="69" t="str">
        <f aca="false">IF(OR($F210="",$C210&lt;&gt;'設定（最初に1回）'!$C$4),"",IFERROR(INDEX(発注計算!$Y$6:$Y$405,MATCH($F210,発注計算!$C$6:$C$405,0)),""))</f>
        <v/>
      </c>
      <c r="K210" s="70"/>
      <c r="L210" s="69" t="str">
        <f aca="false">IF($K210="","",N($K210)*N($I210))</f>
        <v/>
      </c>
      <c r="M210" s="71" t="str">
        <f aca="false">IFERROR(INDEX(商品マスタ!$G$6:$G$1005,MATCH($F210,商品マスタ!$B$6:$B$1005,0)),"")</f>
        <v/>
      </c>
      <c r="N210" s="71" t="str">
        <f aca="false">IF($K210="","",N($K210)*N($M210))</f>
        <v/>
      </c>
      <c r="O210" s="66" t="str">
        <f aca="false">IFERROR(INDEX(商品マスタ!$H$6:$H$1005,MATCH($F210,商品マスタ!$B$6:$B$1005,0)),"")</f>
        <v/>
      </c>
      <c r="P210" s="87" t="str">
        <f aca="false">IF(OR($E210="",$O210=""),"",WORKDAY($E210,$O210))</f>
        <v/>
      </c>
      <c r="Q210" s="80"/>
      <c r="R210" s="131"/>
      <c r="S210" s="69" t="n">
        <f aca="false">IF($Q210="入荷済み",N($L210),0)</f>
        <v>0</v>
      </c>
      <c r="T210" s="80"/>
      <c r="U210" s="80"/>
    </row>
    <row r="211" customFormat="false" ht="15" hidden="false" customHeight="false" outlineLevel="0" collapsed="false">
      <c r="B211" s="66" t="str">
        <f aca="false">IF(OR($E211="",$F211=""),"","PO-"&amp;TEXT($E211,"yyyymmdd")&amp;"-"&amp;TEXT(COUNTIFS($E$6:$E211,$E211,$C$6:$C211,$C211),"000"))</f>
        <v/>
      </c>
      <c r="C211" s="130"/>
      <c r="D211" s="66" t="str">
        <f aca="false">IFERROR(INDEX(定数マスタ!$C$6:$C$105,MATCH($C211,定数マスタ!$B$6:$B$105,0)),"")</f>
        <v/>
      </c>
      <c r="E211" s="131"/>
      <c r="F211" s="130"/>
      <c r="G211" s="66" t="str">
        <f aca="false">IFERROR(INDEX(商品マスタ!$C$6:$C$1005,MATCH($F211,商品マスタ!$B$6:$B$1005,0)),"")</f>
        <v/>
      </c>
      <c r="H211" s="66" t="str">
        <f aca="false">IFERROR(INDEX(商品マスタ!$E$6:$E$1005,MATCH($F211,商品マスタ!$B$6:$B$1005,0)),"")</f>
        <v/>
      </c>
      <c r="I211" s="69" t="str">
        <f aca="false">IFERROR(INDEX(商品マスタ!$F$6:$F$1005,MATCH($F211,商品マスタ!$B$6:$B$1005,0)),"")</f>
        <v/>
      </c>
      <c r="J211" s="69" t="str">
        <f aca="false">IF(OR($F211="",$C211&lt;&gt;'設定（最初に1回）'!$C$4),"",IFERROR(INDEX(発注計算!$Y$6:$Y$405,MATCH($F211,発注計算!$C$6:$C$405,0)),""))</f>
        <v/>
      </c>
      <c r="K211" s="70"/>
      <c r="L211" s="69" t="str">
        <f aca="false">IF($K211="","",N($K211)*N($I211))</f>
        <v/>
      </c>
      <c r="M211" s="71" t="str">
        <f aca="false">IFERROR(INDEX(商品マスタ!$G$6:$G$1005,MATCH($F211,商品マスタ!$B$6:$B$1005,0)),"")</f>
        <v/>
      </c>
      <c r="N211" s="71" t="str">
        <f aca="false">IF($K211="","",N($K211)*N($M211))</f>
        <v/>
      </c>
      <c r="O211" s="66" t="str">
        <f aca="false">IFERROR(INDEX(商品マスタ!$H$6:$H$1005,MATCH($F211,商品マスタ!$B$6:$B$1005,0)),"")</f>
        <v/>
      </c>
      <c r="P211" s="87" t="str">
        <f aca="false">IF(OR($E211="",$O211=""),"",WORKDAY($E211,$O211))</f>
        <v/>
      </c>
      <c r="Q211" s="80"/>
      <c r="R211" s="131"/>
      <c r="S211" s="69" t="n">
        <f aca="false">IF($Q211="入荷済み",N($L211),0)</f>
        <v>0</v>
      </c>
      <c r="T211" s="80"/>
      <c r="U211" s="80"/>
    </row>
    <row r="212" customFormat="false" ht="15" hidden="false" customHeight="false" outlineLevel="0" collapsed="false">
      <c r="B212" s="66" t="str">
        <f aca="false">IF(OR($E212="",$F212=""),"","PO-"&amp;TEXT($E212,"yyyymmdd")&amp;"-"&amp;TEXT(COUNTIFS($E$6:$E212,$E212,$C$6:$C212,$C212),"000"))</f>
        <v/>
      </c>
      <c r="C212" s="130"/>
      <c r="D212" s="66" t="str">
        <f aca="false">IFERROR(INDEX(定数マスタ!$C$6:$C$105,MATCH($C212,定数マスタ!$B$6:$B$105,0)),"")</f>
        <v/>
      </c>
      <c r="E212" s="131"/>
      <c r="F212" s="130"/>
      <c r="G212" s="66" t="str">
        <f aca="false">IFERROR(INDEX(商品マスタ!$C$6:$C$1005,MATCH($F212,商品マスタ!$B$6:$B$1005,0)),"")</f>
        <v/>
      </c>
      <c r="H212" s="66" t="str">
        <f aca="false">IFERROR(INDEX(商品マスタ!$E$6:$E$1005,MATCH($F212,商品マスタ!$B$6:$B$1005,0)),"")</f>
        <v/>
      </c>
      <c r="I212" s="69" t="str">
        <f aca="false">IFERROR(INDEX(商品マスタ!$F$6:$F$1005,MATCH($F212,商品マスタ!$B$6:$B$1005,0)),"")</f>
        <v/>
      </c>
      <c r="J212" s="69" t="str">
        <f aca="false">IF(OR($F212="",$C212&lt;&gt;'設定（最初に1回）'!$C$4),"",IFERROR(INDEX(発注計算!$Y$6:$Y$405,MATCH($F212,発注計算!$C$6:$C$405,0)),""))</f>
        <v/>
      </c>
      <c r="K212" s="70"/>
      <c r="L212" s="69" t="str">
        <f aca="false">IF($K212="","",N($K212)*N($I212))</f>
        <v/>
      </c>
      <c r="M212" s="71" t="str">
        <f aca="false">IFERROR(INDEX(商品マスタ!$G$6:$G$1005,MATCH($F212,商品マスタ!$B$6:$B$1005,0)),"")</f>
        <v/>
      </c>
      <c r="N212" s="71" t="str">
        <f aca="false">IF($K212="","",N($K212)*N($M212))</f>
        <v/>
      </c>
      <c r="O212" s="66" t="str">
        <f aca="false">IFERROR(INDEX(商品マスタ!$H$6:$H$1005,MATCH($F212,商品マスタ!$B$6:$B$1005,0)),"")</f>
        <v/>
      </c>
      <c r="P212" s="87" t="str">
        <f aca="false">IF(OR($E212="",$O212=""),"",WORKDAY($E212,$O212))</f>
        <v/>
      </c>
      <c r="Q212" s="80"/>
      <c r="R212" s="131"/>
      <c r="S212" s="69" t="n">
        <f aca="false">IF($Q212="入荷済み",N($L212),0)</f>
        <v>0</v>
      </c>
      <c r="T212" s="80"/>
      <c r="U212" s="80"/>
    </row>
    <row r="213" customFormat="false" ht="15" hidden="false" customHeight="false" outlineLevel="0" collapsed="false">
      <c r="B213" s="66" t="str">
        <f aca="false">IF(OR($E213="",$F213=""),"","PO-"&amp;TEXT($E213,"yyyymmdd")&amp;"-"&amp;TEXT(COUNTIFS($E$6:$E213,$E213,$C$6:$C213,$C213),"000"))</f>
        <v/>
      </c>
      <c r="C213" s="130"/>
      <c r="D213" s="66" t="str">
        <f aca="false">IFERROR(INDEX(定数マスタ!$C$6:$C$105,MATCH($C213,定数マスタ!$B$6:$B$105,0)),"")</f>
        <v/>
      </c>
      <c r="E213" s="131"/>
      <c r="F213" s="130"/>
      <c r="G213" s="66" t="str">
        <f aca="false">IFERROR(INDEX(商品マスタ!$C$6:$C$1005,MATCH($F213,商品マスタ!$B$6:$B$1005,0)),"")</f>
        <v/>
      </c>
      <c r="H213" s="66" t="str">
        <f aca="false">IFERROR(INDEX(商品マスタ!$E$6:$E$1005,MATCH($F213,商品マスタ!$B$6:$B$1005,0)),"")</f>
        <v/>
      </c>
      <c r="I213" s="69" t="str">
        <f aca="false">IFERROR(INDEX(商品マスタ!$F$6:$F$1005,MATCH($F213,商品マスタ!$B$6:$B$1005,0)),"")</f>
        <v/>
      </c>
      <c r="J213" s="69" t="str">
        <f aca="false">IF(OR($F213="",$C213&lt;&gt;'設定（最初に1回）'!$C$4),"",IFERROR(INDEX(発注計算!$Y$6:$Y$405,MATCH($F213,発注計算!$C$6:$C$405,0)),""))</f>
        <v/>
      </c>
      <c r="K213" s="70"/>
      <c r="L213" s="69" t="str">
        <f aca="false">IF($K213="","",N($K213)*N($I213))</f>
        <v/>
      </c>
      <c r="M213" s="71" t="str">
        <f aca="false">IFERROR(INDEX(商品マスタ!$G$6:$G$1005,MATCH($F213,商品マスタ!$B$6:$B$1005,0)),"")</f>
        <v/>
      </c>
      <c r="N213" s="71" t="str">
        <f aca="false">IF($K213="","",N($K213)*N($M213))</f>
        <v/>
      </c>
      <c r="O213" s="66" t="str">
        <f aca="false">IFERROR(INDEX(商品マスタ!$H$6:$H$1005,MATCH($F213,商品マスタ!$B$6:$B$1005,0)),"")</f>
        <v/>
      </c>
      <c r="P213" s="87" t="str">
        <f aca="false">IF(OR($E213="",$O213=""),"",WORKDAY($E213,$O213))</f>
        <v/>
      </c>
      <c r="Q213" s="80"/>
      <c r="R213" s="131"/>
      <c r="S213" s="69" t="n">
        <f aca="false">IF($Q213="入荷済み",N($L213),0)</f>
        <v>0</v>
      </c>
      <c r="T213" s="80"/>
      <c r="U213" s="80"/>
    </row>
    <row r="214" customFormat="false" ht="15" hidden="false" customHeight="false" outlineLevel="0" collapsed="false">
      <c r="B214" s="66" t="str">
        <f aca="false">IF(OR($E214="",$F214=""),"","PO-"&amp;TEXT($E214,"yyyymmdd")&amp;"-"&amp;TEXT(COUNTIFS($E$6:$E214,$E214,$C$6:$C214,$C214),"000"))</f>
        <v/>
      </c>
      <c r="C214" s="130"/>
      <c r="D214" s="66" t="str">
        <f aca="false">IFERROR(INDEX(定数マスタ!$C$6:$C$105,MATCH($C214,定数マスタ!$B$6:$B$105,0)),"")</f>
        <v/>
      </c>
      <c r="E214" s="131"/>
      <c r="F214" s="130"/>
      <c r="G214" s="66" t="str">
        <f aca="false">IFERROR(INDEX(商品マスタ!$C$6:$C$1005,MATCH($F214,商品マスタ!$B$6:$B$1005,0)),"")</f>
        <v/>
      </c>
      <c r="H214" s="66" t="str">
        <f aca="false">IFERROR(INDEX(商品マスタ!$E$6:$E$1005,MATCH($F214,商品マスタ!$B$6:$B$1005,0)),"")</f>
        <v/>
      </c>
      <c r="I214" s="69" t="str">
        <f aca="false">IFERROR(INDEX(商品マスタ!$F$6:$F$1005,MATCH($F214,商品マスタ!$B$6:$B$1005,0)),"")</f>
        <v/>
      </c>
      <c r="J214" s="69" t="str">
        <f aca="false">IF(OR($F214="",$C214&lt;&gt;'設定（最初に1回）'!$C$4),"",IFERROR(INDEX(発注計算!$Y$6:$Y$405,MATCH($F214,発注計算!$C$6:$C$405,0)),""))</f>
        <v/>
      </c>
      <c r="K214" s="70"/>
      <c r="L214" s="69" t="str">
        <f aca="false">IF($K214="","",N($K214)*N($I214))</f>
        <v/>
      </c>
      <c r="M214" s="71" t="str">
        <f aca="false">IFERROR(INDEX(商品マスタ!$G$6:$G$1005,MATCH($F214,商品マスタ!$B$6:$B$1005,0)),"")</f>
        <v/>
      </c>
      <c r="N214" s="71" t="str">
        <f aca="false">IF($K214="","",N($K214)*N($M214))</f>
        <v/>
      </c>
      <c r="O214" s="66" t="str">
        <f aca="false">IFERROR(INDEX(商品マスタ!$H$6:$H$1005,MATCH($F214,商品マスタ!$B$6:$B$1005,0)),"")</f>
        <v/>
      </c>
      <c r="P214" s="87" t="str">
        <f aca="false">IF(OR($E214="",$O214=""),"",WORKDAY($E214,$O214))</f>
        <v/>
      </c>
      <c r="Q214" s="80"/>
      <c r="R214" s="131"/>
      <c r="S214" s="69" t="n">
        <f aca="false">IF($Q214="入荷済み",N($L214),0)</f>
        <v>0</v>
      </c>
      <c r="T214" s="80"/>
      <c r="U214" s="80"/>
    </row>
    <row r="215" customFormat="false" ht="15" hidden="false" customHeight="false" outlineLevel="0" collapsed="false">
      <c r="B215" s="66" t="str">
        <f aca="false">IF(OR($E215="",$F215=""),"","PO-"&amp;TEXT($E215,"yyyymmdd")&amp;"-"&amp;TEXT(COUNTIFS($E$6:$E215,$E215,$C$6:$C215,$C215),"000"))</f>
        <v/>
      </c>
      <c r="C215" s="130"/>
      <c r="D215" s="66" t="str">
        <f aca="false">IFERROR(INDEX(定数マスタ!$C$6:$C$105,MATCH($C215,定数マスタ!$B$6:$B$105,0)),"")</f>
        <v/>
      </c>
      <c r="E215" s="131"/>
      <c r="F215" s="130"/>
      <c r="G215" s="66" t="str">
        <f aca="false">IFERROR(INDEX(商品マスタ!$C$6:$C$1005,MATCH($F215,商品マスタ!$B$6:$B$1005,0)),"")</f>
        <v/>
      </c>
      <c r="H215" s="66" t="str">
        <f aca="false">IFERROR(INDEX(商品マスタ!$E$6:$E$1005,MATCH($F215,商品マスタ!$B$6:$B$1005,0)),"")</f>
        <v/>
      </c>
      <c r="I215" s="69" t="str">
        <f aca="false">IFERROR(INDEX(商品マスタ!$F$6:$F$1005,MATCH($F215,商品マスタ!$B$6:$B$1005,0)),"")</f>
        <v/>
      </c>
      <c r="J215" s="69" t="str">
        <f aca="false">IF(OR($F215="",$C215&lt;&gt;'設定（最初に1回）'!$C$4),"",IFERROR(INDEX(発注計算!$Y$6:$Y$405,MATCH($F215,発注計算!$C$6:$C$405,0)),""))</f>
        <v/>
      </c>
      <c r="K215" s="70"/>
      <c r="L215" s="69" t="str">
        <f aca="false">IF($K215="","",N($K215)*N($I215))</f>
        <v/>
      </c>
      <c r="M215" s="71" t="str">
        <f aca="false">IFERROR(INDEX(商品マスタ!$G$6:$G$1005,MATCH($F215,商品マスタ!$B$6:$B$1005,0)),"")</f>
        <v/>
      </c>
      <c r="N215" s="71" t="str">
        <f aca="false">IF($K215="","",N($K215)*N($M215))</f>
        <v/>
      </c>
      <c r="O215" s="66" t="str">
        <f aca="false">IFERROR(INDEX(商品マスタ!$H$6:$H$1005,MATCH($F215,商品マスタ!$B$6:$B$1005,0)),"")</f>
        <v/>
      </c>
      <c r="P215" s="87" t="str">
        <f aca="false">IF(OR($E215="",$O215=""),"",WORKDAY($E215,$O215))</f>
        <v/>
      </c>
      <c r="Q215" s="80"/>
      <c r="R215" s="131"/>
      <c r="S215" s="69" t="n">
        <f aca="false">IF($Q215="入荷済み",N($L215),0)</f>
        <v>0</v>
      </c>
      <c r="T215" s="80"/>
      <c r="U215" s="80"/>
    </row>
    <row r="216" customFormat="false" ht="15" hidden="false" customHeight="false" outlineLevel="0" collapsed="false">
      <c r="B216" s="66" t="str">
        <f aca="false">IF(OR($E216="",$F216=""),"","PO-"&amp;TEXT($E216,"yyyymmdd")&amp;"-"&amp;TEXT(COUNTIFS($E$6:$E216,$E216,$C$6:$C216,$C216),"000"))</f>
        <v/>
      </c>
      <c r="C216" s="130"/>
      <c r="D216" s="66" t="str">
        <f aca="false">IFERROR(INDEX(定数マスタ!$C$6:$C$105,MATCH($C216,定数マスタ!$B$6:$B$105,0)),"")</f>
        <v/>
      </c>
      <c r="E216" s="131"/>
      <c r="F216" s="130"/>
      <c r="G216" s="66" t="str">
        <f aca="false">IFERROR(INDEX(商品マスタ!$C$6:$C$1005,MATCH($F216,商品マスタ!$B$6:$B$1005,0)),"")</f>
        <v/>
      </c>
      <c r="H216" s="66" t="str">
        <f aca="false">IFERROR(INDEX(商品マスタ!$E$6:$E$1005,MATCH($F216,商品マスタ!$B$6:$B$1005,0)),"")</f>
        <v/>
      </c>
      <c r="I216" s="69" t="str">
        <f aca="false">IFERROR(INDEX(商品マスタ!$F$6:$F$1005,MATCH($F216,商品マスタ!$B$6:$B$1005,0)),"")</f>
        <v/>
      </c>
      <c r="J216" s="69" t="str">
        <f aca="false">IF(OR($F216="",$C216&lt;&gt;'設定（最初に1回）'!$C$4),"",IFERROR(INDEX(発注計算!$Y$6:$Y$405,MATCH($F216,発注計算!$C$6:$C$405,0)),""))</f>
        <v/>
      </c>
      <c r="K216" s="70"/>
      <c r="L216" s="69" t="str">
        <f aca="false">IF($K216="","",N($K216)*N($I216))</f>
        <v/>
      </c>
      <c r="M216" s="71" t="str">
        <f aca="false">IFERROR(INDEX(商品マスタ!$G$6:$G$1005,MATCH($F216,商品マスタ!$B$6:$B$1005,0)),"")</f>
        <v/>
      </c>
      <c r="N216" s="71" t="str">
        <f aca="false">IF($K216="","",N($K216)*N($M216))</f>
        <v/>
      </c>
      <c r="O216" s="66" t="str">
        <f aca="false">IFERROR(INDEX(商品マスタ!$H$6:$H$1005,MATCH($F216,商品マスタ!$B$6:$B$1005,0)),"")</f>
        <v/>
      </c>
      <c r="P216" s="87" t="str">
        <f aca="false">IF(OR($E216="",$O216=""),"",WORKDAY($E216,$O216))</f>
        <v/>
      </c>
      <c r="Q216" s="80"/>
      <c r="R216" s="131"/>
      <c r="S216" s="69" t="n">
        <f aca="false">IF($Q216="入荷済み",N($L216),0)</f>
        <v>0</v>
      </c>
      <c r="T216" s="80"/>
      <c r="U216" s="80"/>
    </row>
    <row r="217" customFormat="false" ht="15" hidden="false" customHeight="false" outlineLevel="0" collapsed="false">
      <c r="B217" s="66" t="str">
        <f aca="false">IF(OR($E217="",$F217=""),"","PO-"&amp;TEXT($E217,"yyyymmdd")&amp;"-"&amp;TEXT(COUNTIFS($E$6:$E217,$E217,$C$6:$C217,$C217),"000"))</f>
        <v/>
      </c>
      <c r="C217" s="130"/>
      <c r="D217" s="66" t="str">
        <f aca="false">IFERROR(INDEX(定数マスタ!$C$6:$C$105,MATCH($C217,定数マスタ!$B$6:$B$105,0)),"")</f>
        <v/>
      </c>
      <c r="E217" s="131"/>
      <c r="F217" s="130"/>
      <c r="G217" s="66" t="str">
        <f aca="false">IFERROR(INDEX(商品マスタ!$C$6:$C$1005,MATCH($F217,商品マスタ!$B$6:$B$1005,0)),"")</f>
        <v/>
      </c>
      <c r="H217" s="66" t="str">
        <f aca="false">IFERROR(INDEX(商品マスタ!$E$6:$E$1005,MATCH($F217,商品マスタ!$B$6:$B$1005,0)),"")</f>
        <v/>
      </c>
      <c r="I217" s="69" t="str">
        <f aca="false">IFERROR(INDEX(商品マスタ!$F$6:$F$1005,MATCH($F217,商品マスタ!$B$6:$B$1005,0)),"")</f>
        <v/>
      </c>
      <c r="J217" s="69" t="str">
        <f aca="false">IF(OR($F217="",$C217&lt;&gt;'設定（最初に1回）'!$C$4),"",IFERROR(INDEX(発注計算!$Y$6:$Y$405,MATCH($F217,発注計算!$C$6:$C$405,0)),""))</f>
        <v/>
      </c>
      <c r="K217" s="70"/>
      <c r="L217" s="69" t="str">
        <f aca="false">IF($K217="","",N($K217)*N($I217))</f>
        <v/>
      </c>
      <c r="M217" s="71" t="str">
        <f aca="false">IFERROR(INDEX(商品マスタ!$G$6:$G$1005,MATCH($F217,商品マスタ!$B$6:$B$1005,0)),"")</f>
        <v/>
      </c>
      <c r="N217" s="71" t="str">
        <f aca="false">IF($K217="","",N($K217)*N($M217))</f>
        <v/>
      </c>
      <c r="O217" s="66" t="str">
        <f aca="false">IFERROR(INDEX(商品マスタ!$H$6:$H$1005,MATCH($F217,商品マスタ!$B$6:$B$1005,0)),"")</f>
        <v/>
      </c>
      <c r="P217" s="87" t="str">
        <f aca="false">IF(OR($E217="",$O217=""),"",WORKDAY($E217,$O217))</f>
        <v/>
      </c>
      <c r="Q217" s="80"/>
      <c r="R217" s="131"/>
      <c r="S217" s="69" t="n">
        <f aca="false">IF($Q217="入荷済み",N($L217),0)</f>
        <v>0</v>
      </c>
      <c r="T217" s="80"/>
      <c r="U217" s="80"/>
    </row>
    <row r="218" customFormat="false" ht="15" hidden="false" customHeight="false" outlineLevel="0" collapsed="false">
      <c r="B218" s="66" t="str">
        <f aca="false">IF(OR($E218="",$F218=""),"","PO-"&amp;TEXT($E218,"yyyymmdd")&amp;"-"&amp;TEXT(COUNTIFS($E$6:$E218,$E218,$C$6:$C218,$C218),"000"))</f>
        <v/>
      </c>
      <c r="C218" s="130"/>
      <c r="D218" s="66" t="str">
        <f aca="false">IFERROR(INDEX(定数マスタ!$C$6:$C$105,MATCH($C218,定数マスタ!$B$6:$B$105,0)),"")</f>
        <v/>
      </c>
      <c r="E218" s="131"/>
      <c r="F218" s="130"/>
      <c r="G218" s="66" t="str">
        <f aca="false">IFERROR(INDEX(商品マスタ!$C$6:$C$1005,MATCH($F218,商品マスタ!$B$6:$B$1005,0)),"")</f>
        <v/>
      </c>
      <c r="H218" s="66" t="str">
        <f aca="false">IFERROR(INDEX(商品マスタ!$E$6:$E$1005,MATCH($F218,商品マスタ!$B$6:$B$1005,0)),"")</f>
        <v/>
      </c>
      <c r="I218" s="69" t="str">
        <f aca="false">IFERROR(INDEX(商品マスタ!$F$6:$F$1005,MATCH($F218,商品マスタ!$B$6:$B$1005,0)),"")</f>
        <v/>
      </c>
      <c r="J218" s="69" t="str">
        <f aca="false">IF(OR($F218="",$C218&lt;&gt;'設定（最初に1回）'!$C$4),"",IFERROR(INDEX(発注計算!$Y$6:$Y$405,MATCH($F218,発注計算!$C$6:$C$405,0)),""))</f>
        <v/>
      </c>
      <c r="K218" s="70"/>
      <c r="L218" s="69" t="str">
        <f aca="false">IF($K218="","",N($K218)*N($I218))</f>
        <v/>
      </c>
      <c r="M218" s="71" t="str">
        <f aca="false">IFERROR(INDEX(商品マスタ!$G$6:$G$1005,MATCH($F218,商品マスタ!$B$6:$B$1005,0)),"")</f>
        <v/>
      </c>
      <c r="N218" s="71" t="str">
        <f aca="false">IF($K218="","",N($K218)*N($M218))</f>
        <v/>
      </c>
      <c r="O218" s="66" t="str">
        <f aca="false">IFERROR(INDEX(商品マスタ!$H$6:$H$1005,MATCH($F218,商品マスタ!$B$6:$B$1005,0)),"")</f>
        <v/>
      </c>
      <c r="P218" s="87" t="str">
        <f aca="false">IF(OR($E218="",$O218=""),"",WORKDAY($E218,$O218))</f>
        <v/>
      </c>
      <c r="Q218" s="80"/>
      <c r="R218" s="131"/>
      <c r="S218" s="69" t="n">
        <f aca="false">IF($Q218="入荷済み",N($L218),0)</f>
        <v>0</v>
      </c>
      <c r="T218" s="80"/>
      <c r="U218" s="80"/>
    </row>
    <row r="219" customFormat="false" ht="15" hidden="false" customHeight="false" outlineLevel="0" collapsed="false">
      <c r="B219" s="66" t="str">
        <f aca="false">IF(OR($E219="",$F219=""),"","PO-"&amp;TEXT($E219,"yyyymmdd")&amp;"-"&amp;TEXT(COUNTIFS($E$6:$E219,$E219,$C$6:$C219,$C219),"000"))</f>
        <v/>
      </c>
      <c r="C219" s="130"/>
      <c r="D219" s="66" t="str">
        <f aca="false">IFERROR(INDEX(定数マスタ!$C$6:$C$105,MATCH($C219,定数マスタ!$B$6:$B$105,0)),"")</f>
        <v/>
      </c>
      <c r="E219" s="131"/>
      <c r="F219" s="130"/>
      <c r="G219" s="66" t="str">
        <f aca="false">IFERROR(INDEX(商品マスタ!$C$6:$C$1005,MATCH($F219,商品マスタ!$B$6:$B$1005,0)),"")</f>
        <v/>
      </c>
      <c r="H219" s="66" t="str">
        <f aca="false">IFERROR(INDEX(商品マスタ!$E$6:$E$1005,MATCH($F219,商品マスタ!$B$6:$B$1005,0)),"")</f>
        <v/>
      </c>
      <c r="I219" s="69" t="str">
        <f aca="false">IFERROR(INDEX(商品マスタ!$F$6:$F$1005,MATCH($F219,商品マスタ!$B$6:$B$1005,0)),"")</f>
        <v/>
      </c>
      <c r="J219" s="69" t="str">
        <f aca="false">IF(OR($F219="",$C219&lt;&gt;'設定（最初に1回）'!$C$4),"",IFERROR(INDEX(発注計算!$Y$6:$Y$405,MATCH($F219,発注計算!$C$6:$C$405,0)),""))</f>
        <v/>
      </c>
      <c r="K219" s="70"/>
      <c r="L219" s="69" t="str">
        <f aca="false">IF($K219="","",N($K219)*N($I219))</f>
        <v/>
      </c>
      <c r="M219" s="71" t="str">
        <f aca="false">IFERROR(INDEX(商品マスタ!$G$6:$G$1005,MATCH($F219,商品マスタ!$B$6:$B$1005,0)),"")</f>
        <v/>
      </c>
      <c r="N219" s="71" t="str">
        <f aca="false">IF($K219="","",N($K219)*N($M219))</f>
        <v/>
      </c>
      <c r="O219" s="66" t="str">
        <f aca="false">IFERROR(INDEX(商品マスタ!$H$6:$H$1005,MATCH($F219,商品マスタ!$B$6:$B$1005,0)),"")</f>
        <v/>
      </c>
      <c r="P219" s="87" t="str">
        <f aca="false">IF(OR($E219="",$O219=""),"",WORKDAY($E219,$O219))</f>
        <v/>
      </c>
      <c r="Q219" s="80"/>
      <c r="R219" s="131"/>
      <c r="S219" s="69" t="n">
        <f aca="false">IF($Q219="入荷済み",N($L219),0)</f>
        <v>0</v>
      </c>
      <c r="T219" s="80"/>
      <c r="U219" s="80"/>
    </row>
    <row r="220" customFormat="false" ht="15" hidden="false" customHeight="false" outlineLevel="0" collapsed="false">
      <c r="B220" s="66" t="str">
        <f aca="false">IF(OR($E220="",$F220=""),"","PO-"&amp;TEXT($E220,"yyyymmdd")&amp;"-"&amp;TEXT(COUNTIFS($E$6:$E220,$E220,$C$6:$C220,$C220),"000"))</f>
        <v/>
      </c>
      <c r="C220" s="130"/>
      <c r="D220" s="66" t="str">
        <f aca="false">IFERROR(INDEX(定数マスタ!$C$6:$C$105,MATCH($C220,定数マスタ!$B$6:$B$105,0)),"")</f>
        <v/>
      </c>
      <c r="E220" s="131"/>
      <c r="F220" s="130"/>
      <c r="G220" s="66" t="str">
        <f aca="false">IFERROR(INDEX(商品マスタ!$C$6:$C$1005,MATCH($F220,商品マスタ!$B$6:$B$1005,0)),"")</f>
        <v/>
      </c>
      <c r="H220" s="66" t="str">
        <f aca="false">IFERROR(INDEX(商品マスタ!$E$6:$E$1005,MATCH($F220,商品マスタ!$B$6:$B$1005,0)),"")</f>
        <v/>
      </c>
      <c r="I220" s="69" t="str">
        <f aca="false">IFERROR(INDEX(商品マスタ!$F$6:$F$1005,MATCH($F220,商品マスタ!$B$6:$B$1005,0)),"")</f>
        <v/>
      </c>
      <c r="J220" s="69" t="str">
        <f aca="false">IF(OR($F220="",$C220&lt;&gt;'設定（最初に1回）'!$C$4),"",IFERROR(INDEX(発注計算!$Y$6:$Y$405,MATCH($F220,発注計算!$C$6:$C$405,0)),""))</f>
        <v/>
      </c>
      <c r="K220" s="70"/>
      <c r="L220" s="69" t="str">
        <f aca="false">IF($K220="","",N($K220)*N($I220))</f>
        <v/>
      </c>
      <c r="M220" s="71" t="str">
        <f aca="false">IFERROR(INDEX(商品マスタ!$G$6:$G$1005,MATCH($F220,商品マスタ!$B$6:$B$1005,0)),"")</f>
        <v/>
      </c>
      <c r="N220" s="71" t="str">
        <f aca="false">IF($K220="","",N($K220)*N($M220))</f>
        <v/>
      </c>
      <c r="O220" s="66" t="str">
        <f aca="false">IFERROR(INDEX(商品マスタ!$H$6:$H$1005,MATCH($F220,商品マスタ!$B$6:$B$1005,0)),"")</f>
        <v/>
      </c>
      <c r="P220" s="87" t="str">
        <f aca="false">IF(OR($E220="",$O220=""),"",WORKDAY($E220,$O220))</f>
        <v/>
      </c>
      <c r="Q220" s="80"/>
      <c r="R220" s="131"/>
      <c r="S220" s="69" t="n">
        <f aca="false">IF($Q220="入荷済み",N($L220),0)</f>
        <v>0</v>
      </c>
      <c r="T220" s="80"/>
      <c r="U220" s="80"/>
    </row>
    <row r="221" customFormat="false" ht="15" hidden="false" customHeight="false" outlineLevel="0" collapsed="false">
      <c r="B221" s="66" t="str">
        <f aca="false">IF(OR($E221="",$F221=""),"","PO-"&amp;TEXT($E221,"yyyymmdd")&amp;"-"&amp;TEXT(COUNTIFS($E$6:$E221,$E221,$C$6:$C221,$C221),"000"))</f>
        <v/>
      </c>
      <c r="C221" s="130"/>
      <c r="D221" s="66" t="str">
        <f aca="false">IFERROR(INDEX(定数マスタ!$C$6:$C$105,MATCH($C221,定数マスタ!$B$6:$B$105,0)),"")</f>
        <v/>
      </c>
      <c r="E221" s="131"/>
      <c r="F221" s="130"/>
      <c r="G221" s="66" t="str">
        <f aca="false">IFERROR(INDEX(商品マスタ!$C$6:$C$1005,MATCH($F221,商品マスタ!$B$6:$B$1005,0)),"")</f>
        <v/>
      </c>
      <c r="H221" s="66" t="str">
        <f aca="false">IFERROR(INDEX(商品マスタ!$E$6:$E$1005,MATCH($F221,商品マスタ!$B$6:$B$1005,0)),"")</f>
        <v/>
      </c>
      <c r="I221" s="69" t="str">
        <f aca="false">IFERROR(INDEX(商品マスタ!$F$6:$F$1005,MATCH($F221,商品マスタ!$B$6:$B$1005,0)),"")</f>
        <v/>
      </c>
      <c r="J221" s="69" t="str">
        <f aca="false">IF(OR($F221="",$C221&lt;&gt;'設定（最初に1回）'!$C$4),"",IFERROR(INDEX(発注計算!$Y$6:$Y$405,MATCH($F221,発注計算!$C$6:$C$405,0)),""))</f>
        <v/>
      </c>
      <c r="K221" s="70"/>
      <c r="L221" s="69" t="str">
        <f aca="false">IF($K221="","",N($K221)*N($I221))</f>
        <v/>
      </c>
      <c r="M221" s="71" t="str">
        <f aca="false">IFERROR(INDEX(商品マスタ!$G$6:$G$1005,MATCH($F221,商品マスタ!$B$6:$B$1005,0)),"")</f>
        <v/>
      </c>
      <c r="N221" s="71" t="str">
        <f aca="false">IF($K221="","",N($K221)*N($M221))</f>
        <v/>
      </c>
      <c r="O221" s="66" t="str">
        <f aca="false">IFERROR(INDEX(商品マスタ!$H$6:$H$1005,MATCH($F221,商品マスタ!$B$6:$B$1005,0)),"")</f>
        <v/>
      </c>
      <c r="P221" s="87" t="str">
        <f aca="false">IF(OR($E221="",$O221=""),"",WORKDAY($E221,$O221))</f>
        <v/>
      </c>
      <c r="Q221" s="80"/>
      <c r="R221" s="131"/>
      <c r="S221" s="69" t="n">
        <f aca="false">IF($Q221="入荷済み",N($L221),0)</f>
        <v>0</v>
      </c>
      <c r="T221" s="80"/>
      <c r="U221" s="80"/>
    </row>
    <row r="222" customFormat="false" ht="15" hidden="false" customHeight="false" outlineLevel="0" collapsed="false">
      <c r="B222" s="66" t="str">
        <f aca="false">IF(OR($E222="",$F222=""),"","PO-"&amp;TEXT($E222,"yyyymmdd")&amp;"-"&amp;TEXT(COUNTIFS($E$6:$E222,$E222,$C$6:$C222,$C222),"000"))</f>
        <v/>
      </c>
      <c r="C222" s="130"/>
      <c r="D222" s="66" t="str">
        <f aca="false">IFERROR(INDEX(定数マスタ!$C$6:$C$105,MATCH($C222,定数マスタ!$B$6:$B$105,0)),"")</f>
        <v/>
      </c>
      <c r="E222" s="131"/>
      <c r="F222" s="130"/>
      <c r="G222" s="66" t="str">
        <f aca="false">IFERROR(INDEX(商品マスタ!$C$6:$C$1005,MATCH($F222,商品マスタ!$B$6:$B$1005,0)),"")</f>
        <v/>
      </c>
      <c r="H222" s="66" t="str">
        <f aca="false">IFERROR(INDEX(商品マスタ!$E$6:$E$1005,MATCH($F222,商品マスタ!$B$6:$B$1005,0)),"")</f>
        <v/>
      </c>
      <c r="I222" s="69" t="str">
        <f aca="false">IFERROR(INDEX(商品マスタ!$F$6:$F$1005,MATCH($F222,商品マスタ!$B$6:$B$1005,0)),"")</f>
        <v/>
      </c>
      <c r="J222" s="69" t="str">
        <f aca="false">IF(OR($F222="",$C222&lt;&gt;'設定（最初に1回）'!$C$4),"",IFERROR(INDEX(発注計算!$Y$6:$Y$405,MATCH($F222,発注計算!$C$6:$C$405,0)),""))</f>
        <v/>
      </c>
      <c r="K222" s="70"/>
      <c r="L222" s="69" t="str">
        <f aca="false">IF($K222="","",N($K222)*N($I222))</f>
        <v/>
      </c>
      <c r="M222" s="71" t="str">
        <f aca="false">IFERROR(INDEX(商品マスタ!$G$6:$G$1005,MATCH($F222,商品マスタ!$B$6:$B$1005,0)),"")</f>
        <v/>
      </c>
      <c r="N222" s="71" t="str">
        <f aca="false">IF($K222="","",N($K222)*N($M222))</f>
        <v/>
      </c>
      <c r="O222" s="66" t="str">
        <f aca="false">IFERROR(INDEX(商品マスタ!$H$6:$H$1005,MATCH($F222,商品マスタ!$B$6:$B$1005,0)),"")</f>
        <v/>
      </c>
      <c r="P222" s="87" t="str">
        <f aca="false">IF(OR($E222="",$O222=""),"",WORKDAY($E222,$O222))</f>
        <v/>
      </c>
      <c r="Q222" s="80"/>
      <c r="R222" s="131"/>
      <c r="S222" s="69" t="n">
        <f aca="false">IF($Q222="入荷済み",N($L222),0)</f>
        <v>0</v>
      </c>
      <c r="T222" s="80"/>
      <c r="U222" s="80"/>
    </row>
    <row r="223" customFormat="false" ht="15" hidden="false" customHeight="false" outlineLevel="0" collapsed="false">
      <c r="B223" s="66" t="str">
        <f aca="false">IF(OR($E223="",$F223=""),"","PO-"&amp;TEXT($E223,"yyyymmdd")&amp;"-"&amp;TEXT(COUNTIFS($E$6:$E223,$E223,$C$6:$C223,$C223),"000"))</f>
        <v/>
      </c>
      <c r="C223" s="130"/>
      <c r="D223" s="66" t="str">
        <f aca="false">IFERROR(INDEX(定数マスタ!$C$6:$C$105,MATCH($C223,定数マスタ!$B$6:$B$105,0)),"")</f>
        <v/>
      </c>
      <c r="E223" s="131"/>
      <c r="F223" s="130"/>
      <c r="G223" s="66" t="str">
        <f aca="false">IFERROR(INDEX(商品マスタ!$C$6:$C$1005,MATCH($F223,商品マスタ!$B$6:$B$1005,0)),"")</f>
        <v/>
      </c>
      <c r="H223" s="66" t="str">
        <f aca="false">IFERROR(INDEX(商品マスタ!$E$6:$E$1005,MATCH($F223,商品マスタ!$B$6:$B$1005,0)),"")</f>
        <v/>
      </c>
      <c r="I223" s="69" t="str">
        <f aca="false">IFERROR(INDEX(商品マスタ!$F$6:$F$1005,MATCH($F223,商品マスタ!$B$6:$B$1005,0)),"")</f>
        <v/>
      </c>
      <c r="J223" s="69" t="str">
        <f aca="false">IF(OR($F223="",$C223&lt;&gt;'設定（最初に1回）'!$C$4),"",IFERROR(INDEX(発注計算!$Y$6:$Y$405,MATCH($F223,発注計算!$C$6:$C$405,0)),""))</f>
        <v/>
      </c>
      <c r="K223" s="70"/>
      <c r="L223" s="69" t="str">
        <f aca="false">IF($K223="","",N($K223)*N($I223))</f>
        <v/>
      </c>
      <c r="M223" s="71" t="str">
        <f aca="false">IFERROR(INDEX(商品マスタ!$G$6:$G$1005,MATCH($F223,商品マスタ!$B$6:$B$1005,0)),"")</f>
        <v/>
      </c>
      <c r="N223" s="71" t="str">
        <f aca="false">IF($K223="","",N($K223)*N($M223))</f>
        <v/>
      </c>
      <c r="O223" s="66" t="str">
        <f aca="false">IFERROR(INDEX(商品マスタ!$H$6:$H$1005,MATCH($F223,商品マスタ!$B$6:$B$1005,0)),"")</f>
        <v/>
      </c>
      <c r="P223" s="87" t="str">
        <f aca="false">IF(OR($E223="",$O223=""),"",WORKDAY($E223,$O223))</f>
        <v/>
      </c>
      <c r="Q223" s="80"/>
      <c r="R223" s="131"/>
      <c r="S223" s="69" t="n">
        <f aca="false">IF($Q223="入荷済み",N($L223),0)</f>
        <v>0</v>
      </c>
      <c r="T223" s="80"/>
      <c r="U223" s="80"/>
    </row>
    <row r="224" customFormat="false" ht="15" hidden="false" customHeight="false" outlineLevel="0" collapsed="false">
      <c r="B224" s="66" t="str">
        <f aca="false">IF(OR($E224="",$F224=""),"","PO-"&amp;TEXT($E224,"yyyymmdd")&amp;"-"&amp;TEXT(COUNTIFS($E$6:$E224,$E224,$C$6:$C224,$C224),"000"))</f>
        <v/>
      </c>
      <c r="C224" s="130"/>
      <c r="D224" s="66" t="str">
        <f aca="false">IFERROR(INDEX(定数マスタ!$C$6:$C$105,MATCH($C224,定数マスタ!$B$6:$B$105,0)),"")</f>
        <v/>
      </c>
      <c r="E224" s="131"/>
      <c r="F224" s="130"/>
      <c r="G224" s="66" t="str">
        <f aca="false">IFERROR(INDEX(商品マスタ!$C$6:$C$1005,MATCH($F224,商品マスタ!$B$6:$B$1005,0)),"")</f>
        <v/>
      </c>
      <c r="H224" s="66" t="str">
        <f aca="false">IFERROR(INDEX(商品マスタ!$E$6:$E$1005,MATCH($F224,商品マスタ!$B$6:$B$1005,0)),"")</f>
        <v/>
      </c>
      <c r="I224" s="69" t="str">
        <f aca="false">IFERROR(INDEX(商品マスタ!$F$6:$F$1005,MATCH($F224,商品マスタ!$B$6:$B$1005,0)),"")</f>
        <v/>
      </c>
      <c r="J224" s="69" t="str">
        <f aca="false">IF(OR($F224="",$C224&lt;&gt;'設定（最初に1回）'!$C$4),"",IFERROR(INDEX(発注計算!$Y$6:$Y$405,MATCH($F224,発注計算!$C$6:$C$405,0)),""))</f>
        <v/>
      </c>
      <c r="K224" s="70"/>
      <c r="L224" s="69" t="str">
        <f aca="false">IF($K224="","",N($K224)*N($I224))</f>
        <v/>
      </c>
      <c r="M224" s="71" t="str">
        <f aca="false">IFERROR(INDEX(商品マスタ!$G$6:$G$1005,MATCH($F224,商品マスタ!$B$6:$B$1005,0)),"")</f>
        <v/>
      </c>
      <c r="N224" s="71" t="str">
        <f aca="false">IF($K224="","",N($K224)*N($M224))</f>
        <v/>
      </c>
      <c r="O224" s="66" t="str">
        <f aca="false">IFERROR(INDEX(商品マスタ!$H$6:$H$1005,MATCH($F224,商品マスタ!$B$6:$B$1005,0)),"")</f>
        <v/>
      </c>
      <c r="P224" s="87" t="str">
        <f aca="false">IF(OR($E224="",$O224=""),"",WORKDAY($E224,$O224))</f>
        <v/>
      </c>
      <c r="Q224" s="80"/>
      <c r="R224" s="131"/>
      <c r="S224" s="69" t="n">
        <f aca="false">IF($Q224="入荷済み",N($L224),0)</f>
        <v>0</v>
      </c>
      <c r="T224" s="80"/>
      <c r="U224" s="80"/>
    </row>
    <row r="225" customFormat="false" ht="15" hidden="false" customHeight="false" outlineLevel="0" collapsed="false">
      <c r="B225" s="66" t="str">
        <f aca="false">IF(OR($E225="",$F225=""),"","PO-"&amp;TEXT($E225,"yyyymmdd")&amp;"-"&amp;TEXT(COUNTIFS($E$6:$E225,$E225,$C$6:$C225,$C225),"000"))</f>
        <v/>
      </c>
      <c r="C225" s="130"/>
      <c r="D225" s="66" t="str">
        <f aca="false">IFERROR(INDEX(定数マスタ!$C$6:$C$105,MATCH($C225,定数マスタ!$B$6:$B$105,0)),"")</f>
        <v/>
      </c>
      <c r="E225" s="131"/>
      <c r="F225" s="130"/>
      <c r="G225" s="66" t="str">
        <f aca="false">IFERROR(INDEX(商品マスタ!$C$6:$C$1005,MATCH($F225,商品マスタ!$B$6:$B$1005,0)),"")</f>
        <v/>
      </c>
      <c r="H225" s="66" t="str">
        <f aca="false">IFERROR(INDEX(商品マスタ!$E$6:$E$1005,MATCH($F225,商品マスタ!$B$6:$B$1005,0)),"")</f>
        <v/>
      </c>
      <c r="I225" s="69" t="str">
        <f aca="false">IFERROR(INDEX(商品マスタ!$F$6:$F$1005,MATCH($F225,商品マスタ!$B$6:$B$1005,0)),"")</f>
        <v/>
      </c>
      <c r="J225" s="69" t="str">
        <f aca="false">IF(OR($F225="",$C225&lt;&gt;'設定（最初に1回）'!$C$4),"",IFERROR(INDEX(発注計算!$Y$6:$Y$405,MATCH($F225,発注計算!$C$6:$C$405,0)),""))</f>
        <v/>
      </c>
      <c r="K225" s="70"/>
      <c r="L225" s="69" t="str">
        <f aca="false">IF($K225="","",N($K225)*N($I225))</f>
        <v/>
      </c>
      <c r="M225" s="71" t="str">
        <f aca="false">IFERROR(INDEX(商品マスタ!$G$6:$G$1005,MATCH($F225,商品マスタ!$B$6:$B$1005,0)),"")</f>
        <v/>
      </c>
      <c r="N225" s="71" t="str">
        <f aca="false">IF($K225="","",N($K225)*N($M225))</f>
        <v/>
      </c>
      <c r="O225" s="66" t="str">
        <f aca="false">IFERROR(INDEX(商品マスタ!$H$6:$H$1005,MATCH($F225,商品マスタ!$B$6:$B$1005,0)),"")</f>
        <v/>
      </c>
      <c r="P225" s="87" t="str">
        <f aca="false">IF(OR($E225="",$O225=""),"",WORKDAY($E225,$O225))</f>
        <v/>
      </c>
      <c r="Q225" s="80"/>
      <c r="R225" s="131"/>
      <c r="S225" s="69" t="n">
        <f aca="false">IF($Q225="入荷済み",N($L225),0)</f>
        <v>0</v>
      </c>
      <c r="T225" s="80"/>
      <c r="U225" s="80"/>
    </row>
    <row r="226" customFormat="false" ht="15" hidden="false" customHeight="false" outlineLevel="0" collapsed="false">
      <c r="B226" s="66" t="str">
        <f aca="false">IF(OR($E226="",$F226=""),"","PO-"&amp;TEXT($E226,"yyyymmdd")&amp;"-"&amp;TEXT(COUNTIFS($E$6:$E226,$E226,$C$6:$C226,$C226),"000"))</f>
        <v/>
      </c>
      <c r="C226" s="130"/>
      <c r="D226" s="66" t="str">
        <f aca="false">IFERROR(INDEX(定数マスタ!$C$6:$C$105,MATCH($C226,定数マスタ!$B$6:$B$105,0)),"")</f>
        <v/>
      </c>
      <c r="E226" s="131"/>
      <c r="F226" s="130"/>
      <c r="G226" s="66" t="str">
        <f aca="false">IFERROR(INDEX(商品マスタ!$C$6:$C$1005,MATCH($F226,商品マスタ!$B$6:$B$1005,0)),"")</f>
        <v/>
      </c>
      <c r="H226" s="66" t="str">
        <f aca="false">IFERROR(INDEX(商品マスタ!$E$6:$E$1005,MATCH($F226,商品マスタ!$B$6:$B$1005,0)),"")</f>
        <v/>
      </c>
      <c r="I226" s="69" t="str">
        <f aca="false">IFERROR(INDEX(商品マスタ!$F$6:$F$1005,MATCH($F226,商品マスタ!$B$6:$B$1005,0)),"")</f>
        <v/>
      </c>
      <c r="J226" s="69" t="str">
        <f aca="false">IF(OR($F226="",$C226&lt;&gt;'設定（最初に1回）'!$C$4),"",IFERROR(INDEX(発注計算!$Y$6:$Y$405,MATCH($F226,発注計算!$C$6:$C$405,0)),""))</f>
        <v/>
      </c>
      <c r="K226" s="70"/>
      <c r="L226" s="69" t="str">
        <f aca="false">IF($K226="","",N($K226)*N($I226))</f>
        <v/>
      </c>
      <c r="M226" s="71" t="str">
        <f aca="false">IFERROR(INDEX(商品マスタ!$G$6:$G$1005,MATCH($F226,商品マスタ!$B$6:$B$1005,0)),"")</f>
        <v/>
      </c>
      <c r="N226" s="71" t="str">
        <f aca="false">IF($K226="","",N($K226)*N($M226))</f>
        <v/>
      </c>
      <c r="O226" s="66" t="str">
        <f aca="false">IFERROR(INDEX(商品マスタ!$H$6:$H$1005,MATCH($F226,商品マスタ!$B$6:$B$1005,0)),"")</f>
        <v/>
      </c>
      <c r="P226" s="87" t="str">
        <f aca="false">IF(OR($E226="",$O226=""),"",WORKDAY($E226,$O226))</f>
        <v/>
      </c>
      <c r="Q226" s="80"/>
      <c r="R226" s="131"/>
      <c r="S226" s="69" t="n">
        <f aca="false">IF($Q226="入荷済み",N($L226),0)</f>
        <v>0</v>
      </c>
      <c r="T226" s="80"/>
      <c r="U226" s="80"/>
    </row>
    <row r="227" customFormat="false" ht="15" hidden="false" customHeight="false" outlineLevel="0" collapsed="false">
      <c r="B227" s="66" t="str">
        <f aca="false">IF(OR($E227="",$F227=""),"","PO-"&amp;TEXT($E227,"yyyymmdd")&amp;"-"&amp;TEXT(COUNTIFS($E$6:$E227,$E227,$C$6:$C227,$C227),"000"))</f>
        <v/>
      </c>
      <c r="C227" s="130"/>
      <c r="D227" s="66" t="str">
        <f aca="false">IFERROR(INDEX(定数マスタ!$C$6:$C$105,MATCH($C227,定数マスタ!$B$6:$B$105,0)),"")</f>
        <v/>
      </c>
      <c r="E227" s="131"/>
      <c r="F227" s="130"/>
      <c r="G227" s="66" t="str">
        <f aca="false">IFERROR(INDEX(商品マスタ!$C$6:$C$1005,MATCH($F227,商品マスタ!$B$6:$B$1005,0)),"")</f>
        <v/>
      </c>
      <c r="H227" s="66" t="str">
        <f aca="false">IFERROR(INDEX(商品マスタ!$E$6:$E$1005,MATCH($F227,商品マスタ!$B$6:$B$1005,0)),"")</f>
        <v/>
      </c>
      <c r="I227" s="69" t="str">
        <f aca="false">IFERROR(INDEX(商品マスタ!$F$6:$F$1005,MATCH($F227,商品マスタ!$B$6:$B$1005,0)),"")</f>
        <v/>
      </c>
      <c r="J227" s="69" t="str">
        <f aca="false">IF(OR($F227="",$C227&lt;&gt;'設定（最初に1回）'!$C$4),"",IFERROR(INDEX(発注計算!$Y$6:$Y$405,MATCH($F227,発注計算!$C$6:$C$405,0)),""))</f>
        <v/>
      </c>
      <c r="K227" s="70"/>
      <c r="L227" s="69" t="str">
        <f aca="false">IF($K227="","",N($K227)*N($I227))</f>
        <v/>
      </c>
      <c r="M227" s="71" t="str">
        <f aca="false">IFERROR(INDEX(商品マスタ!$G$6:$G$1005,MATCH($F227,商品マスタ!$B$6:$B$1005,0)),"")</f>
        <v/>
      </c>
      <c r="N227" s="71" t="str">
        <f aca="false">IF($K227="","",N($K227)*N($M227))</f>
        <v/>
      </c>
      <c r="O227" s="66" t="str">
        <f aca="false">IFERROR(INDEX(商品マスタ!$H$6:$H$1005,MATCH($F227,商品マスタ!$B$6:$B$1005,0)),"")</f>
        <v/>
      </c>
      <c r="P227" s="87" t="str">
        <f aca="false">IF(OR($E227="",$O227=""),"",WORKDAY($E227,$O227))</f>
        <v/>
      </c>
      <c r="Q227" s="80"/>
      <c r="R227" s="131"/>
      <c r="S227" s="69" t="n">
        <f aca="false">IF($Q227="入荷済み",N($L227),0)</f>
        <v>0</v>
      </c>
      <c r="T227" s="80"/>
      <c r="U227" s="80"/>
    </row>
    <row r="228" customFormat="false" ht="15" hidden="false" customHeight="false" outlineLevel="0" collapsed="false">
      <c r="B228" s="66" t="str">
        <f aca="false">IF(OR($E228="",$F228=""),"","PO-"&amp;TEXT($E228,"yyyymmdd")&amp;"-"&amp;TEXT(COUNTIFS($E$6:$E228,$E228,$C$6:$C228,$C228),"000"))</f>
        <v/>
      </c>
      <c r="C228" s="130"/>
      <c r="D228" s="66" t="str">
        <f aca="false">IFERROR(INDEX(定数マスタ!$C$6:$C$105,MATCH($C228,定数マスタ!$B$6:$B$105,0)),"")</f>
        <v/>
      </c>
      <c r="E228" s="131"/>
      <c r="F228" s="130"/>
      <c r="G228" s="66" t="str">
        <f aca="false">IFERROR(INDEX(商品マスタ!$C$6:$C$1005,MATCH($F228,商品マスタ!$B$6:$B$1005,0)),"")</f>
        <v/>
      </c>
      <c r="H228" s="66" t="str">
        <f aca="false">IFERROR(INDEX(商品マスタ!$E$6:$E$1005,MATCH($F228,商品マスタ!$B$6:$B$1005,0)),"")</f>
        <v/>
      </c>
      <c r="I228" s="69" t="str">
        <f aca="false">IFERROR(INDEX(商品マスタ!$F$6:$F$1005,MATCH($F228,商品マスタ!$B$6:$B$1005,0)),"")</f>
        <v/>
      </c>
      <c r="J228" s="69" t="str">
        <f aca="false">IF(OR($F228="",$C228&lt;&gt;'設定（最初に1回）'!$C$4),"",IFERROR(INDEX(発注計算!$Y$6:$Y$405,MATCH($F228,発注計算!$C$6:$C$405,0)),""))</f>
        <v/>
      </c>
      <c r="K228" s="70"/>
      <c r="L228" s="69" t="str">
        <f aca="false">IF($K228="","",N($K228)*N($I228))</f>
        <v/>
      </c>
      <c r="M228" s="71" t="str">
        <f aca="false">IFERROR(INDEX(商品マスタ!$G$6:$G$1005,MATCH($F228,商品マスタ!$B$6:$B$1005,0)),"")</f>
        <v/>
      </c>
      <c r="N228" s="71" t="str">
        <f aca="false">IF($K228="","",N($K228)*N($M228))</f>
        <v/>
      </c>
      <c r="O228" s="66" t="str">
        <f aca="false">IFERROR(INDEX(商品マスタ!$H$6:$H$1005,MATCH($F228,商品マスタ!$B$6:$B$1005,0)),"")</f>
        <v/>
      </c>
      <c r="P228" s="87" t="str">
        <f aca="false">IF(OR($E228="",$O228=""),"",WORKDAY($E228,$O228))</f>
        <v/>
      </c>
      <c r="Q228" s="80"/>
      <c r="R228" s="131"/>
      <c r="S228" s="69" t="n">
        <f aca="false">IF($Q228="入荷済み",N($L228),0)</f>
        <v>0</v>
      </c>
      <c r="T228" s="80"/>
      <c r="U228" s="80"/>
    </row>
    <row r="229" customFormat="false" ht="15" hidden="false" customHeight="false" outlineLevel="0" collapsed="false">
      <c r="B229" s="66" t="str">
        <f aca="false">IF(OR($E229="",$F229=""),"","PO-"&amp;TEXT($E229,"yyyymmdd")&amp;"-"&amp;TEXT(COUNTIFS($E$6:$E229,$E229,$C$6:$C229,$C229),"000"))</f>
        <v/>
      </c>
      <c r="C229" s="130"/>
      <c r="D229" s="66" t="str">
        <f aca="false">IFERROR(INDEX(定数マスタ!$C$6:$C$105,MATCH($C229,定数マスタ!$B$6:$B$105,0)),"")</f>
        <v/>
      </c>
      <c r="E229" s="131"/>
      <c r="F229" s="130"/>
      <c r="G229" s="66" t="str">
        <f aca="false">IFERROR(INDEX(商品マスタ!$C$6:$C$1005,MATCH($F229,商品マスタ!$B$6:$B$1005,0)),"")</f>
        <v/>
      </c>
      <c r="H229" s="66" t="str">
        <f aca="false">IFERROR(INDEX(商品マスタ!$E$6:$E$1005,MATCH($F229,商品マスタ!$B$6:$B$1005,0)),"")</f>
        <v/>
      </c>
      <c r="I229" s="69" t="str">
        <f aca="false">IFERROR(INDEX(商品マスタ!$F$6:$F$1005,MATCH($F229,商品マスタ!$B$6:$B$1005,0)),"")</f>
        <v/>
      </c>
      <c r="J229" s="69" t="str">
        <f aca="false">IF(OR($F229="",$C229&lt;&gt;'設定（最初に1回）'!$C$4),"",IFERROR(INDEX(発注計算!$Y$6:$Y$405,MATCH($F229,発注計算!$C$6:$C$405,0)),""))</f>
        <v/>
      </c>
      <c r="K229" s="70"/>
      <c r="L229" s="69" t="str">
        <f aca="false">IF($K229="","",N($K229)*N($I229))</f>
        <v/>
      </c>
      <c r="M229" s="71" t="str">
        <f aca="false">IFERROR(INDEX(商品マスタ!$G$6:$G$1005,MATCH($F229,商品マスタ!$B$6:$B$1005,0)),"")</f>
        <v/>
      </c>
      <c r="N229" s="71" t="str">
        <f aca="false">IF($K229="","",N($K229)*N($M229))</f>
        <v/>
      </c>
      <c r="O229" s="66" t="str">
        <f aca="false">IFERROR(INDEX(商品マスタ!$H$6:$H$1005,MATCH($F229,商品マスタ!$B$6:$B$1005,0)),"")</f>
        <v/>
      </c>
      <c r="P229" s="87" t="str">
        <f aca="false">IF(OR($E229="",$O229=""),"",WORKDAY($E229,$O229))</f>
        <v/>
      </c>
      <c r="Q229" s="80"/>
      <c r="R229" s="131"/>
      <c r="S229" s="69" t="n">
        <f aca="false">IF($Q229="入荷済み",N($L229),0)</f>
        <v>0</v>
      </c>
      <c r="T229" s="80"/>
      <c r="U229" s="80"/>
    </row>
    <row r="230" customFormat="false" ht="15" hidden="false" customHeight="false" outlineLevel="0" collapsed="false">
      <c r="B230" s="66" t="str">
        <f aca="false">IF(OR($E230="",$F230=""),"","PO-"&amp;TEXT($E230,"yyyymmdd")&amp;"-"&amp;TEXT(COUNTIFS($E$6:$E230,$E230,$C$6:$C230,$C230),"000"))</f>
        <v/>
      </c>
      <c r="C230" s="130"/>
      <c r="D230" s="66" t="str">
        <f aca="false">IFERROR(INDEX(定数マスタ!$C$6:$C$105,MATCH($C230,定数マスタ!$B$6:$B$105,0)),"")</f>
        <v/>
      </c>
      <c r="E230" s="131"/>
      <c r="F230" s="130"/>
      <c r="G230" s="66" t="str">
        <f aca="false">IFERROR(INDEX(商品マスタ!$C$6:$C$1005,MATCH($F230,商品マスタ!$B$6:$B$1005,0)),"")</f>
        <v/>
      </c>
      <c r="H230" s="66" t="str">
        <f aca="false">IFERROR(INDEX(商品マスタ!$E$6:$E$1005,MATCH($F230,商品マスタ!$B$6:$B$1005,0)),"")</f>
        <v/>
      </c>
      <c r="I230" s="69" t="str">
        <f aca="false">IFERROR(INDEX(商品マスタ!$F$6:$F$1005,MATCH($F230,商品マスタ!$B$6:$B$1005,0)),"")</f>
        <v/>
      </c>
      <c r="J230" s="69" t="str">
        <f aca="false">IF(OR($F230="",$C230&lt;&gt;'設定（最初に1回）'!$C$4),"",IFERROR(INDEX(発注計算!$Y$6:$Y$405,MATCH($F230,発注計算!$C$6:$C$405,0)),""))</f>
        <v/>
      </c>
      <c r="K230" s="70"/>
      <c r="L230" s="69" t="str">
        <f aca="false">IF($K230="","",N($K230)*N($I230))</f>
        <v/>
      </c>
      <c r="M230" s="71" t="str">
        <f aca="false">IFERROR(INDEX(商品マスタ!$G$6:$G$1005,MATCH($F230,商品マスタ!$B$6:$B$1005,0)),"")</f>
        <v/>
      </c>
      <c r="N230" s="71" t="str">
        <f aca="false">IF($K230="","",N($K230)*N($M230))</f>
        <v/>
      </c>
      <c r="O230" s="66" t="str">
        <f aca="false">IFERROR(INDEX(商品マスタ!$H$6:$H$1005,MATCH($F230,商品マスタ!$B$6:$B$1005,0)),"")</f>
        <v/>
      </c>
      <c r="P230" s="87" t="str">
        <f aca="false">IF(OR($E230="",$O230=""),"",WORKDAY($E230,$O230))</f>
        <v/>
      </c>
      <c r="Q230" s="80"/>
      <c r="R230" s="131"/>
      <c r="S230" s="69" t="n">
        <f aca="false">IF($Q230="入荷済み",N($L230),0)</f>
        <v>0</v>
      </c>
      <c r="T230" s="80"/>
      <c r="U230" s="80"/>
    </row>
    <row r="231" customFormat="false" ht="15" hidden="false" customHeight="false" outlineLevel="0" collapsed="false">
      <c r="B231" s="66" t="str">
        <f aca="false">IF(OR($E231="",$F231=""),"","PO-"&amp;TEXT($E231,"yyyymmdd")&amp;"-"&amp;TEXT(COUNTIFS($E$6:$E231,$E231,$C$6:$C231,$C231),"000"))</f>
        <v/>
      </c>
      <c r="C231" s="130"/>
      <c r="D231" s="66" t="str">
        <f aca="false">IFERROR(INDEX(定数マスタ!$C$6:$C$105,MATCH($C231,定数マスタ!$B$6:$B$105,0)),"")</f>
        <v/>
      </c>
      <c r="E231" s="131"/>
      <c r="F231" s="130"/>
      <c r="G231" s="66" t="str">
        <f aca="false">IFERROR(INDEX(商品マスタ!$C$6:$C$1005,MATCH($F231,商品マスタ!$B$6:$B$1005,0)),"")</f>
        <v/>
      </c>
      <c r="H231" s="66" t="str">
        <f aca="false">IFERROR(INDEX(商品マスタ!$E$6:$E$1005,MATCH($F231,商品マスタ!$B$6:$B$1005,0)),"")</f>
        <v/>
      </c>
      <c r="I231" s="69" t="str">
        <f aca="false">IFERROR(INDEX(商品マスタ!$F$6:$F$1005,MATCH($F231,商品マスタ!$B$6:$B$1005,0)),"")</f>
        <v/>
      </c>
      <c r="J231" s="69" t="str">
        <f aca="false">IF(OR($F231="",$C231&lt;&gt;'設定（最初に1回）'!$C$4),"",IFERROR(INDEX(発注計算!$Y$6:$Y$405,MATCH($F231,発注計算!$C$6:$C$405,0)),""))</f>
        <v/>
      </c>
      <c r="K231" s="70"/>
      <c r="L231" s="69" t="str">
        <f aca="false">IF($K231="","",N($K231)*N($I231))</f>
        <v/>
      </c>
      <c r="M231" s="71" t="str">
        <f aca="false">IFERROR(INDEX(商品マスタ!$G$6:$G$1005,MATCH($F231,商品マスタ!$B$6:$B$1005,0)),"")</f>
        <v/>
      </c>
      <c r="N231" s="71" t="str">
        <f aca="false">IF($K231="","",N($K231)*N($M231))</f>
        <v/>
      </c>
      <c r="O231" s="66" t="str">
        <f aca="false">IFERROR(INDEX(商品マスタ!$H$6:$H$1005,MATCH($F231,商品マスタ!$B$6:$B$1005,0)),"")</f>
        <v/>
      </c>
      <c r="P231" s="87" t="str">
        <f aca="false">IF(OR($E231="",$O231=""),"",WORKDAY($E231,$O231))</f>
        <v/>
      </c>
      <c r="Q231" s="80"/>
      <c r="R231" s="131"/>
      <c r="S231" s="69" t="n">
        <f aca="false">IF($Q231="入荷済み",N($L231),0)</f>
        <v>0</v>
      </c>
      <c r="T231" s="80"/>
      <c r="U231" s="80"/>
    </row>
    <row r="232" customFormat="false" ht="15" hidden="false" customHeight="false" outlineLevel="0" collapsed="false">
      <c r="B232" s="66" t="str">
        <f aca="false">IF(OR($E232="",$F232=""),"","PO-"&amp;TEXT($E232,"yyyymmdd")&amp;"-"&amp;TEXT(COUNTIFS($E$6:$E232,$E232,$C$6:$C232,$C232),"000"))</f>
        <v/>
      </c>
      <c r="C232" s="130"/>
      <c r="D232" s="66" t="str">
        <f aca="false">IFERROR(INDEX(定数マスタ!$C$6:$C$105,MATCH($C232,定数マスタ!$B$6:$B$105,0)),"")</f>
        <v/>
      </c>
      <c r="E232" s="131"/>
      <c r="F232" s="130"/>
      <c r="G232" s="66" t="str">
        <f aca="false">IFERROR(INDEX(商品マスタ!$C$6:$C$1005,MATCH($F232,商品マスタ!$B$6:$B$1005,0)),"")</f>
        <v/>
      </c>
      <c r="H232" s="66" t="str">
        <f aca="false">IFERROR(INDEX(商品マスタ!$E$6:$E$1005,MATCH($F232,商品マスタ!$B$6:$B$1005,0)),"")</f>
        <v/>
      </c>
      <c r="I232" s="69" t="str">
        <f aca="false">IFERROR(INDEX(商品マスタ!$F$6:$F$1005,MATCH($F232,商品マスタ!$B$6:$B$1005,0)),"")</f>
        <v/>
      </c>
      <c r="J232" s="69" t="str">
        <f aca="false">IF(OR($F232="",$C232&lt;&gt;'設定（最初に1回）'!$C$4),"",IFERROR(INDEX(発注計算!$Y$6:$Y$405,MATCH($F232,発注計算!$C$6:$C$405,0)),""))</f>
        <v/>
      </c>
      <c r="K232" s="70"/>
      <c r="L232" s="69" t="str">
        <f aca="false">IF($K232="","",N($K232)*N($I232))</f>
        <v/>
      </c>
      <c r="M232" s="71" t="str">
        <f aca="false">IFERROR(INDEX(商品マスタ!$G$6:$G$1005,MATCH($F232,商品マスタ!$B$6:$B$1005,0)),"")</f>
        <v/>
      </c>
      <c r="N232" s="71" t="str">
        <f aca="false">IF($K232="","",N($K232)*N($M232))</f>
        <v/>
      </c>
      <c r="O232" s="66" t="str">
        <f aca="false">IFERROR(INDEX(商品マスタ!$H$6:$H$1005,MATCH($F232,商品マスタ!$B$6:$B$1005,0)),"")</f>
        <v/>
      </c>
      <c r="P232" s="87" t="str">
        <f aca="false">IF(OR($E232="",$O232=""),"",WORKDAY($E232,$O232))</f>
        <v/>
      </c>
      <c r="Q232" s="80"/>
      <c r="R232" s="131"/>
      <c r="S232" s="69" t="n">
        <f aca="false">IF($Q232="入荷済み",N($L232),0)</f>
        <v>0</v>
      </c>
      <c r="T232" s="80"/>
      <c r="U232" s="80"/>
    </row>
    <row r="233" customFormat="false" ht="15" hidden="false" customHeight="false" outlineLevel="0" collapsed="false">
      <c r="B233" s="66" t="str">
        <f aca="false">IF(OR($E233="",$F233=""),"","PO-"&amp;TEXT($E233,"yyyymmdd")&amp;"-"&amp;TEXT(COUNTIFS($E$6:$E233,$E233,$C$6:$C233,$C233),"000"))</f>
        <v/>
      </c>
      <c r="C233" s="130"/>
      <c r="D233" s="66" t="str">
        <f aca="false">IFERROR(INDEX(定数マスタ!$C$6:$C$105,MATCH($C233,定数マスタ!$B$6:$B$105,0)),"")</f>
        <v/>
      </c>
      <c r="E233" s="131"/>
      <c r="F233" s="130"/>
      <c r="G233" s="66" t="str">
        <f aca="false">IFERROR(INDEX(商品マスタ!$C$6:$C$1005,MATCH($F233,商品マスタ!$B$6:$B$1005,0)),"")</f>
        <v/>
      </c>
      <c r="H233" s="66" t="str">
        <f aca="false">IFERROR(INDEX(商品マスタ!$E$6:$E$1005,MATCH($F233,商品マスタ!$B$6:$B$1005,0)),"")</f>
        <v/>
      </c>
      <c r="I233" s="69" t="str">
        <f aca="false">IFERROR(INDEX(商品マスタ!$F$6:$F$1005,MATCH($F233,商品マスタ!$B$6:$B$1005,0)),"")</f>
        <v/>
      </c>
      <c r="J233" s="69" t="str">
        <f aca="false">IF(OR($F233="",$C233&lt;&gt;'設定（最初に1回）'!$C$4),"",IFERROR(INDEX(発注計算!$Y$6:$Y$405,MATCH($F233,発注計算!$C$6:$C$405,0)),""))</f>
        <v/>
      </c>
      <c r="K233" s="70"/>
      <c r="L233" s="69" t="str">
        <f aca="false">IF($K233="","",N($K233)*N($I233))</f>
        <v/>
      </c>
      <c r="M233" s="71" t="str">
        <f aca="false">IFERROR(INDEX(商品マスタ!$G$6:$G$1005,MATCH($F233,商品マスタ!$B$6:$B$1005,0)),"")</f>
        <v/>
      </c>
      <c r="N233" s="71" t="str">
        <f aca="false">IF($K233="","",N($K233)*N($M233))</f>
        <v/>
      </c>
      <c r="O233" s="66" t="str">
        <f aca="false">IFERROR(INDEX(商品マスタ!$H$6:$H$1005,MATCH($F233,商品マスタ!$B$6:$B$1005,0)),"")</f>
        <v/>
      </c>
      <c r="P233" s="87" t="str">
        <f aca="false">IF(OR($E233="",$O233=""),"",WORKDAY($E233,$O233))</f>
        <v/>
      </c>
      <c r="Q233" s="80"/>
      <c r="R233" s="131"/>
      <c r="S233" s="69" t="n">
        <f aca="false">IF($Q233="入荷済み",N($L233),0)</f>
        <v>0</v>
      </c>
      <c r="T233" s="80"/>
      <c r="U233" s="80"/>
    </row>
    <row r="234" customFormat="false" ht="15" hidden="false" customHeight="false" outlineLevel="0" collapsed="false">
      <c r="B234" s="66" t="str">
        <f aca="false">IF(OR($E234="",$F234=""),"","PO-"&amp;TEXT($E234,"yyyymmdd")&amp;"-"&amp;TEXT(COUNTIFS($E$6:$E234,$E234,$C$6:$C234,$C234),"000"))</f>
        <v/>
      </c>
      <c r="C234" s="130"/>
      <c r="D234" s="66" t="str">
        <f aca="false">IFERROR(INDEX(定数マスタ!$C$6:$C$105,MATCH($C234,定数マスタ!$B$6:$B$105,0)),"")</f>
        <v/>
      </c>
      <c r="E234" s="131"/>
      <c r="F234" s="130"/>
      <c r="G234" s="66" t="str">
        <f aca="false">IFERROR(INDEX(商品マスタ!$C$6:$C$1005,MATCH($F234,商品マスタ!$B$6:$B$1005,0)),"")</f>
        <v/>
      </c>
      <c r="H234" s="66" t="str">
        <f aca="false">IFERROR(INDEX(商品マスタ!$E$6:$E$1005,MATCH($F234,商品マスタ!$B$6:$B$1005,0)),"")</f>
        <v/>
      </c>
      <c r="I234" s="69" t="str">
        <f aca="false">IFERROR(INDEX(商品マスタ!$F$6:$F$1005,MATCH($F234,商品マスタ!$B$6:$B$1005,0)),"")</f>
        <v/>
      </c>
      <c r="J234" s="69" t="str">
        <f aca="false">IF(OR($F234="",$C234&lt;&gt;'設定（最初に1回）'!$C$4),"",IFERROR(INDEX(発注計算!$Y$6:$Y$405,MATCH($F234,発注計算!$C$6:$C$405,0)),""))</f>
        <v/>
      </c>
      <c r="K234" s="70"/>
      <c r="L234" s="69" t="str">
        <f aca="false">IF($K234="","",N($K234)*N($I234))</f>
        <v/>
      </c>
      <c r="M234" s="71" t="str">
        <f aca="false">IFERROR(INDEX(商品マスタ!$G$6:$G$1005,MATCH($F234,商品マスタ!$B$6:$B$1005,0)),"")</f>
        <v/>
      </c>
      <c r="N234" s="71" t="str">
        <f aca="false">IF($K234="","",N($K234)*N($M234))</f>
        <v/>
      </c>
      <c r="O234" s="66" t="str">
        <f aca="false">IFERROR(INDEX(商品マスタ!$H$6:$H$1005,MATCH($F234,商品マスタ!$B$6:$B$1005,0)),"")</f>
        <v/>
      </c>
      <c r="P234" s="87" t="str">
        <f aca="false">IF(OR($E234="",$O234=""),"",WORKDAY($E234,$O234))</f>
        <v/>
      </c>
      <c r="Q234" s="80"/>
      <c r="R234" s="131"/>
      <c r="S234" s="69" t="n">
        <f aca="false">IF($Q234="入荷済み",N($L234),0)</f>
        <v>0</v>
      </c>
      <c r="T234" s="80"/>
      <c r="U234" s="80"/>
    </row>
    <row r="235" customFormat="false" ht="15" hidden="false" customHeight="false" outlineLevel="0" collapsed="false">
      <c r="B235" s="66" t="str">
        <f aca="false">IF(OR($E235="",$F235=""),"","PO-"&amp;TEXT($E235,"yyyymmdd")&amp;"-"&amp;TEXT(COUNTIFS($E$6:$E235,$E235,$C$6:$C235,$C235),"000"))</f>
        <v/>
      </c>
      <c r="C235" s="130"/>
      <c r="D235" s="66" t="str">
        <f aca="false">IFERROR(INDEX(定数マスタ!$C$6:$C$105,MATCH($C235,定数マスタ!$B$6:$B$105,0)),"")</f>
        <v/>
      </c>
      <c r="E235" s="131"/>
      <c r="F235" s="130"/>
      <c r="G235" s="66" t="str">
        <f aca="false">IFERROR(INDEX(商品マスタ!$C$6:$C$1005,MATCH($F235,商品マスタ!$B$6:$B$1005,0)),"")</f>
        <v/>
      </c>
      <c r="H235" s="66" t="str">
        <f aca="false">IFERROR(INDEX(商品マスタ!$E$6:$E$1005,MATCH($F235,商品マスタ!$B$6:$B$1005,0)),"")</f>
        <v/>
      </c>
      <c r="I235" s="69" t="str">
        <f aca="false">IFERROR(INDEX(商品マスタ!$F$6:$F$1005,MATCH($F235,商品マスタ!$B$6:$B$1005,0)),"")</f>
        <v/>
      </c>
      <c r="J235" s="69" t="str">
        <f aca="false">IF(OR($F235="",$C235&lt;&gt;'設定（最初に1回）'!$C$4),"",IFERROR(INDEX(発注計算!$Y$6:$Y$405,MATCH($F235,発注計算!$C$6:$C$405,0)),""))</f>
        <v/>
      </c>
      <c r="K235" s="70"/>
      <c r="L235" s="69" t="str">
        <f aca="false">IF($K235="","",N($K235)*N($I235))</f>
        <v/>
      </c>
      <c r="M235" s="71" t="str">
        <f aca="false">IFERROR(INDEX(商品マスタ!$G$6:$G$1005,MATCH($F235,商品マスタ!$B$6:$B$1005,0)),"")</f>
        <v/>
      </c>
      <c r="N235" s="71" t="str">
        <f aca="false">IF($K235="","",N($K235)*N($M235))</f>
        <v/>
      </c>
      <c r="O235" s="66" t="str">
        <f aca="false">IFERROR(INDEX(商品マスタ!$H$6:$H$1005,MATCH($F235,商品マスタ!$B$6:$B$1005,0)),"")</f>
        <v/>
      </c>
      <c r="P235" s="87" t="str">
        <f aca="false">IF(OR($E235="",$O235=""),"",WORKDAY($E235,$O235))</f>
        <v/>
      </c>
      <c r="Q235" s="80"/>
      <c r="R235" s="131"/>
      <c r="S235" s="69" t="n">
        <f aca="false">IF($Q235="入荷済み",N($L235),0)</f>
        <v>0</v>
      </c>
      <c r="T235" s="80"/>
      <c r="U235" s="80"/>
    </row>
    <row r="236" customFormat="false" ht="15" hidden="false" customHeight="false" outlineLevel="0" collapsed="false">
      <c r="B236" s="66" t="str">
        <f aca="false">IF(OR($E236="",$F236=""),"","PO-"&amp;TEXT($E236,"yyyymmdd")&amp;"-"&amp;TEXT(COUNTIFS($E$6:$E236,$E236,$C$6:$C236,$C236),"000"))</f>
        <v/>
      </c>
      <c r="C236" s="130"/>
      <c r="D236" s="66" t="str">
        <f aca="false">IFERROR(INDEX(定数マスタ!$C$6:$C$105,MATCH($C236,定数マスタ!$B$6:$B$105,0)),"")</f>
        <v/>
      </c>
      <c r="E236" s="131"/>
      <c r="F236" s="130"/>
      <c r="G236" s="66" t="str">
        <f aca="false">IFERROR(INDEX(商品マスタ!$C$6:$C$1005,MATCH($F236,商品マスタ!$B$6:$B$1005,0)),"")</f>
        <v/>
      </c>
      <c r="H236" s="66" t="str">
        <f aca="false">IFERROR(INDEX(商品マスタ!$E$6:$E$1005,MATCH($F236,商品マスタ!$B$6:$B$1005,0)),"")</f>
        <v/>
      </c>
      <c r="I236" s="69" t="str">
        <f aca="false">IFERROR(INDEX(商品マスタ!$F$6:$F$1005,MATCH($F236,商品マスタ!$B$6:$B$1005,0)),"")</f>
        <v/>
      </c>
      <c r="J236" s="69" t="str">
        <f aca="false">IF(OR($F236="",$C236&lt;&gt;'設定（最初に1回）'!$C$4),"",IFERROR(INDEX(発注計算!$Y$6:$Y$405,MATCH($F236,発注計算!$C$6:$C$405,0)),""))</f>
        <v/>
      </c>
      <c r="K236" s="70"/>
      <c r="L236" s="69" t="str">
        <f aca="false">IF($K236="","",N($K236)*N($I236))</f>
        <v/>
      </c>
      <c r="M236" s="71" t="str">
        <f aca="false">IFERROR(INDEX(商品マスタ!$G$6:$G$1005,MATCH($F236,商品マスタ!$B$6:$B$1005,0)),"")</f>
        <v/>
      </c>
      <c r="N236" s="71" t="str">
        <f aca="false">IF($K236="","",N($K236)*N($M236))</f>
        <v/>
      </c>
      <c r="O236" s="66" t="str">
        <f aca="false">IFERROR(INDEX(商品マスタ!$H$6:$H$1005,MATCH($F236,商品マスタ!$B$6:$B$1005,0)),"")</f>
        <v/>
      </c>
      <c r="P236" s="87" t="str">
        <f aca="false">IF(OR($E236="",$O236=""),"",WORKDAY($E236,$O236))</f>
        <v/>
      </c>
      <c r="Q236" s="80"/>
      <c r="R236" s="131"/>
      <c r="S236" s="69" t="n">
        <f aca="false">IF($Q236="入荷済み",N($L236),0)</f>
        <v>0</v>
      </c>
      <c r="T236" s="80"/>
      <c r="U236" s="80"/>
    </row>
    <row r="237" customFormat="false" ht="15" hidden="false" customHeight="false" outlineLevel="0" collapsed="false">
      <c r="B237" s="66" t="str">
        <f aca="false">IF(OR($E237="",$F237=""),"","PO-"&amp;TEXT($E237,"yyyymmdd")&amp;"-"&amp;TEXT(COUNTIFS($E$6:$E237,$E237,$C$6:$C237,$C237),"000"))</f>
        <v/>
      </c>
      <c r="C237" s="130"/>
      <c r="D237" s="66" t="str">
        <f aca="false">IFERROR(INDEX(定数マスタ!$C$6:$C$105,MATCH($C237,定数マスタ!$B$6:$B$105,0)),"")</f>
        <v/>
      </c>
      <c r="E237" s="131"/>
      <c r="F237" s="130"/>
      <c r="G237" s="66" t="str">
        <f aca="false">IFERROR(INDEX(商品マスタ!$C$6:$C$1005,MATCH($F237,商品マスタ!$B$6:$B$1005,0)),"")</f>
        <v/>
      </c>
      <c r="H237" s="66" t="str">
        <f aca="false">IFERROR(INDEX(商品マスタ!$E$6:$E$1005,MATCH($F237,商品マスタ!$B$6:$B$1005,0)),"")</f>
        <v/>
      </c>
      <c r="I237" s="69" t="str">
        <f aca="false">IFERROR(INDEX(商品マスタ!$F$6:$F$1005,MATCH($F237,商品マスタ!$B$6:$B$1005,0)),"")</f>
        <v/>
      </c>
      <c r="J237" s="69" t="str">
        <f aca="false">IF(OR($F237="",$C237&lt;&gt;'設定（最初に1回）'!$C$4),"",IFERROR(INDEX(発注計算!$Y$6:$Y$405,MATCH($F237,発注計算!$C$6:$C$405,0)),""))</f>
        <v/>
      </c>
      <c r="K237" s="70"/>
      <c r="L237" s="69" t="str">
        <f aca="false">IF($K237="","",N($K237)*N($I237))</f>
        <v/>
      </c>
      <c r="M237" s="71" t="str">
        <f aca="false">IFERROR(INDEX(商品マスタ!$G$6:$G$1005,MATCH($F237,商品マスタ!$B$6:$B$1005,0)),"")</f>
        <v/>
      </c>
      <c r="N237" s="71" t="str">
        <f aca="false">IF($K237="","",N($K237)*N($M237))</f>
        <v/>
      </c>
      <c r="O237" s="66" t="str">
        <f aca="false">IFERROR(INDEX(商品マスタ!$H$6:$H$1005,MATCH($F237,商品マスタ!$B$6:$B$1005,0)),"")</f>
        <v/>
      </c>
      <c r="P237" s="87" t="str">
        <f aca="false">IF(OR($E237="",$O237=""),"",WORKDAY($E237,$O237))</f>
        <v/>
      </c>
      <c r="Q237" s="80"/>
      <c r="R237" s="131"/>
      <c r="S237" s="69" t="n">
        <f aca="false">IF($Q237="入荷済み",N($L237),0)</f>
        <v>0</v>
      </c>
      <c r="T237" s="80"/>
      <c r="U237" s="80"/>
    </row>
    <row r="238" customFormat="false" ht="15" hidden="false" customHeight="false" outlineLevel="0" collapsed="false">
      <c r="B238" s="66" t="str">
        <f aca="false">IF(OR($E238="",$F238=""),"","PO-"&amp;TEXT($E238,"yyyymmdd")&amp;"-"&amp;TEXT(COUNTIFS($E$6:$E238,$E238,$C$6:$C238,$C238),"000"))</f>
        <v/>
      </c>
      <c r="C238" s="130"/>
      <c r="D238" s="66" t="str">
        <f aca="false">IFERROR(INDEX(定数マスタ!$C$6:$C$105,MATCH($C238,定数マスタ!$B$6:$B$105,0)),"")</f>
        <v/>
      </c>
      <c r="E238" s="131"/>
      <c r="F238" s="130"/>
      <c r="G238" s="66" t="str">
        <f aca="false">IFERROR(INDEX(商品マスタ!$C$6:$C$1005,MATCH($F238,商品マスタ!$B$6:$B$1005,0)),"")</f>
        <v/>
      </c>
      <c r="H238" s="66" t="str">
        <f aca="false">IFERROR(INDEX(商品マスタ!$E$6:$E$1005,MATCH($F238,商品マスタ!$B$6:$B$1005,0)),"")</f>
        <v/>
      </c>
      <c r="I238" s="69" t="str">
        <f aca="false">IFERROR(INDEX(商品マスタ!$F$6:$F$1005,MATCH($F238,商品マスタ!$B$6:$B$1005,0)),"")</f>
        <v/>
      </c>
      <c r="J238" s="69" t="str">
        <f aca="false">IF(OR($F238="",$C238&lt;&gt;'設定（最初に1回）'!$C$4),"",IFERROR(INDEX(発注計算!$Y$6:$Y$405,MATCH($F238,発注計算!$C$6:$C$405,0)),""))</f>
        <v/>
      </c>
      <c r="K238" s="70"/>
      <c r="L238" s="69" t="str">
        <f aca="false">IF($K238="","",N($K238)*N($I238))</f>
        <v/>
      </c>
      <c r="M238" s="71" t="str">
        <f aca="false">IFERROR(INDEX(商品マスタ!$G$6:$G$1005,MATCH($F238,商品マスタ!$B$6:$B$1005,0)),"")</f>
        <v/>
      </c>
      <c r="N238" s="71" t="str">
        <f aca="false">IF($K238="","",N($K238)*N($M238))</f>
        <v/>
      </c>
      <c r="O238" s="66" t="str">
        <f aca="false">IFERROR(INDEX(商品マスタ!$H$6:$H$1005,MATCH($F238,商品マスタ!$B$6:$B$1005,0)),"")</f>
        <v/>
      </c>
      <c r="P238" s="87" t="str">
        <f aca="false">IF(OR($E238="",$O238=""),"",WORKDAY($E238,$O238))</f>
        <v/>
      </c>
      <c r="Q238" s="80"/>
      <c r="R238" s="131"/>
      <c r="S238" s="69" t="n">
        <f aca="false">IF($Q238="入荷済み",N($L238),0)</f>
        <v>0</v>
      </c>
      <c r="T238" s="80"/>
      <c r="U238" s="80"/>
    </row>
    <row r="239" customFormat="false" ht="15" hidden="false" customHeight="false" outlineLevel="0" collapsed="false">
      <c r="B239" s="66" t="str">
        <f aca="false">IF(OR($E239="",$F239=""),"","PO-"&amp;TEXT($E239,"yyyymmdd")&amp;"-"&amp;TEXT(COUNTIFS($E$6:$E239,$E239,$C$6:$C239,$C239),"000"))</f>
        <v/>
      </c>
      <c r="C239" s="130"/>
      <c r="D239" s="66" t="str">
        <f aca="false">IFERROR(INDEX(定数マスタ!$C$6:$C$105,MATCH($C239,定数マスタ!$B$6:$B$105,0)),"")</f>
        <v/>
      </c>
      <c r="E239" s="131"/>
      <c r="F239" s="130"/>
      <c r="G239" s="66" t="str">
        <f aca="false">IFERROR(INDEX(商品マスタ!$C$6:$C$1005,MATCH($F239,商品マスタ!$B$6:$B$1005,0)),"")</f>
        <v/>
      </c>
      <c r="H239" s="66" t="str">
        <f aca="false">IFERROR(INDEX(商品マスタ!$E$6:$E$1005,MATCH($F239,商品マスタ!$B$6:$B$1005,0)),"")</f>
        <v/>
      </c>
      <c r="I239" s="69" t="str">
        <f aca="false">IFERROR(INDEX(商品マスタ!$F$6:$F$1005,MATCH($F239,商品マスタ!$B$6:$B$1005,0)),"")</f>
        <v/>
      </c>
      <c r="J239" s="69" t="str">
        <f aca="false">IF(OR($F239="",$C239&lt;&gt;'設定（最初に1回）'!$C$4),"",IFERROR(INDEX(発注計算!$Y$6:$Y$405,MATCH($F239,発注計算!$C$6:$C$405,0)),""))</f>
        <v/>
      </c>
      <c r="K239" s="70"/>
      <c r="L239" s="69" t="str">
        <f aca="false">IF($K239="","",N($K239)*N($I239))</f>
        <v/>
      </c>
      <c r="M239" s="71" t="str">
        <f aca="false">IFERROR(INDEX(商品マスタ!$G$6:$G$1005,MATCH($F239,商品マスタ!$B$6:$B$1005,0)),"")</f>
        <v/>
      </c>
      <c r="N239" s="71" t="str">
        <f aca="false">IF($K239="","",N($K239)*N($M239))</f>
        <v/>
      </c>
      <c r="O239" s="66" t="str">
        <f aca="false">IFERROR(INDEX(商品マスタ!$H$6:$H$1005,MATCH($F239,商品マスタ!$B$6:$B$1005,0)),"")</f>
        <v/>
      </c>
      <c r="P239" s="87" t="str">
        <f aca="false">IF(OR($E239="",$O239=""),"",WORKDAY($E239,$O239))</f>
        <v/>
      </c>
      <c r="Q239" s="80"/>
      <c r="R239" s="131"/>
      <c r="S239" s="69" t="n">
        <f aca="false">IF($Q239="入荷済み",N($L239),0)</f>
        <v>0</v>
      </c>
      <c r="T239" s="80"/>
      <c r="U239" s="80"/>
    </row>
    <row r="240" customFormat="false" ht="15" hidden="false" customHeight="false" outlineLevel="0" collapsed="false">
      <c r="B240" s="66" t="str">
        <f aca="false">IF(OR($E240="",$F240=""),"","PO-"&amp;TEXT($E240,"yyyymmdd")&amp;"-"&amp;TEXT(COUNTIFS($E$6:$E240,$E240,$C$6:$C240,$C240),"000"))</f>
        <v/>
      </c>
      <c r="C240" s="130"/>
      <c r="D240" s="66" t="str">
        <f aca="false">IFERROR(INDEX(定数マスタ!$C$6:$C$105,MATCH($C240,定数マスタ!$B$6:$B$105,0)),"")</f>
        <v/>
      </c>
      <c r="E240" s="131"/>
      <c r="F240" s="130"/>
      <c r="G240" s="66" t="str">
        <f aca="false">IFERROR(INDEX(商品マスタ!$C$6:$C$1005,MATCH($F240,商品マスタ!$B$6:$B$1005,0)),"")</f>
        <v/>
      </c>
      <c r="H240" s="66" t="str">
        <f aca="false">IFERROR(INDEX(商品マスタ!$E$6:$E$1005,MATCH($F240,商品マスタ!$B$6:$B$1005,0)),"")</f>
        <v/>
      </c>
      <c r="I240" s="69" t="str">
        <f aca="false">IFERROR(INDEX(商品マスタ!$F$6:$F$1005,MATCH($F240,商品マスタ!$B$6:$B$1005,0)),"")</f>
        <v/>
      </c>
      <c r="J240" s="69" t="str">
        <f aca="false">IF(OR($F240="",$C240&lt;&gt;'設定（最初に1回）'!$C$4),"",IFERROR(INDEX(発注計算!$Y$6:$Y$405,MATCH($F240,発注計算!$C$6:$C$405,0)),""))</f>
        <v/>
      </c>
      <c r="K240" s="70"/>
      <c r="L240" s="69" t="str">
        <f aca="false">IF($K240="","",N($K240)*N($I240))</f>
        <v/>
      </c>
      <c r="M240" s="71" t="str">
        <f aca="false">IFERROR(INDEX(商品マスタ!$G$6:$G$1005,MATCH($F240,商品マスタ!$B$6:$B$1005,0)),"")</f>
        <v/>
      </c>
      <c r="N240" s="71" t="str">
        <f aca="false">IF($K240="","",N($K240)*N($M240))</f>
        <v/>
      </c>
      <c r="O240" s="66" t="str">
        <f aca="false">IFERROR(INDEX(商品マスタ!$H$6:$H$1005,MATCH($F240,商品マスタ!$B$6:$B$1005,0)),"")</f>
        <v/>
      </c>
      <c r="P240" s="87" t="str">
        <f aca="false">IF(OR($E240="",$O240=""),"",WORKDAY($E240,$O240))</f>
        <v/>
      </c>
      <c r="Q240" s="80"/>
      <c r="R240" s="131"/>
      <c r="S240" s="69" t="n">
        <f aca="false">IF($Q240="入荷済み",N($L240),0)</f>
        <v>0</v>
      </c>
      <c r="T240" s="80"/>
      <c r="U240" s="80"/>
    </row>
    <row r="241" customFormat="false" ht="15" hidden="false" customHeight="false" outlineLevel="0" collapsed="false">
      <c r="B241" s="66" t="str">
        <f aca="false">IF(OR($E241="",$F241=""),"","PO-"&amp;TEXT($E241,"yyyymmdd")&amp;"-"&amp;TEXT(COUNTIFS($E$6:$E241,$E241,$C$6:$C241,$C241),"000"))</f>
        <v/>
      </c>
      <c r="C241" s="130"/>
      <c r="D241" s="66" t="str">
        <f aca="false">IFERROR(INDEX(定数マスタ!$C$6:$C$105,MATCH($C241,定数マスタ!$B$6:$B$105,0)),"")</f>
        <v/>
      </c>
      <c r="E241" s="131"/>
      <c r="F241" s="130"/>
      <c r="G241" s="66" t="str">
        <f aca="false">IFERROR(INDEX(商品マスタ!$C$6:$C$1005,MATCH($F241,商品マスタ!$B$6:$B$1005,0)),"")</f>
        <v/>
      </c>
      <c r="H241" s="66" t="str">
        <f aca="false">IFERROR(INDEX(商品マスタ!$E$6:$E$1005,MATCH($F241,商品マスタ!$B$6:$B$1005,0)),"")</f>
        <v/>
      </c>
      <c r="I241" s="69" t="str">
        <f aca="false">IFERROR(INDEX(商品マスタ!$F$6:$F$1005,MATCH($F241,商品マスタ!$B$6:$B$1005,0)),"")</f>
        <v/>
      </c>
      <c r="J241" s="69" t="str">
        <f aca="false">IF(OR($F241="",$C241&lt;&gt;'設定（最初に1回）'!$C$4),"",IFERROR(INDEX(発注計算!$Y$6:$Y$405,MATCH($F241,発注計算!$C$6:$C$405,0)),""))</f>
        <v/>
      </c>
      <c r="K241" s="70"/>
      <c r="L241" s="69" t="str">
        <f aca="false">IF($K241="","",N($K241)*N($I241))</f>
        <v/>
      </c>
      <c r="M241" s="71" t="str">
        <f aca="false">IFERROR(INDEX(商品マスタ!$G$6:$G$1005,MATCH($F241,商品マスタ!$B$6:$B$1005,0)),"")</f>
        <v/>
      </c>
      <c r="N241" s="71" t="str">
        <f aca="false">IF($K241="","",N($K241)*N($M241))</f>
        <v/>
      </c>
      <c r="O241" s="66" t="str">
        <f aca="false">IFERROR(INDEX(商品マスタ!$H$6:$H$1005,MATCH($F241,商品マスタ!$B$6:$B$1005,0)),"")</f>
        <v/>
      </c>
      <c r="P241" s="87" t="str">
        <f aca="false">IF(OR($E241="",$O241=""),"",WORKDAY($E241,$O241))</f>
        <v/>
      </c>
      <c r="Q241" s="80"/>
      <c r="R241" s="131"/>
      <c r="S241" s="69" t="n">
        <f aca="false">IF($Q241="入荷済み",N($L241),0)</f>
        <v>0</v>
      </c>
      <c r="T241" s="80"/>
      <c r="U241" s="80"/>
    </row>
    <row r="242" customFormat="false" ht="15" hidden="false" customHeight="false" outlineLevel="0" collapsed="false">
      <c r="B242" s="66" t="str">
        <f aca="false">IF(OR($E242="",$F242=""),"","PO-"&amp;TEXT($E242,"yyyymmdd")&amp;"-"&amp;TEXT(COUNTIFS($E$6:$E242,$E242,$C$6:$C242,$C242),"000"))</f>
        <v/>
      </c>
      <c r="C242" s="130"/>
      <c r="D242" s="66" t="str">
        <f aca="false">IFERROR(INDEX(定数マスタ!$C$6:$C$105,MATCH($C242,定数マスタ!$B$6:$B$105,0)),"")</f>
        <v/>
      </c>
      <c r="E242" s="131"/>
      <c r="F242" s="130"/>
      <c r="G242" s="66" t="str">
        <f aca="false">IFERROR(INDEX(商品マスタ!$C$6:$C$1005,MATCH($F242,商品マスタ!$B$6:$B$1005,0)),"")</f>
        <v/>
      </c>
      <c r="H242" s="66" t="str">
        <f aca="false">IFERROR(INDEX(商品マスタ!$E$6:$E$1005,MATCH($F242,商品マスタ!$B$6:$B$1005,0)),"")</f>
        <v/>
      </c>
      <c r="I242" s="69" t="str">
        <f aca="false">IFERROR(INDEX(商品マスタ!$F$6:$F$1005,MATCH($F242,商品マスタ!$B$6:$B$1005,0)),"")</f>
        <v/>
      </c>
      <c r="J242" s="69" t="str">
        <f aca="false">IF(OR($F242="",$C242&lt;&gt;'設定（最初に1回）'!$C$4),"",IFERROR(INDEX(発注計算!$Y$6:$Y$405,MATCH($F242,発注計算!$C$6:$C$405,0)),""))</f>
        <v/>
      </c>
      <c r="K242" s="70"/>
      <c r="L242" s="69" t="str">
        <f aca="false">IF($K242="","",N($K242)*N($I242))</f>
        <v/>
      </c>
      <c r="M242" s="71" t="str">
        <f aca="false">IFERROR(INDEX(商品マスタ!$G$6:$G$1005,MATCH($F242,商品マスタ!$B$6:$B$1005,0)),"")</f>
        <v/>
      </c>
      <c r="N242" s="71" t="str">
        <f aca="false">IF($K242="","",N($K242)*N($M242))</f>
        <v/>
      </c>
      <c r="O242" s="66" t="str">
        <f aca="false">IFERROR(INDEX(商品マスタ!$H$6:$H$1005,MATCH($F242,商品マスタ!$B$6:$B$1005,0)),"")</f>
        <v/>
      </c>
      <c r="P242" s="87" t="str">
        <f aca="false">IF(OR($E242="",$O242=""),"",WORKDAY($E242,$O242))</f>
        <v/>
      </c>
      <c r="Q242" s="80"/>
      <c r="R242" s="131"/>
      <c r="S242" s="69" t="n">
        <f aca="false">IF($Q242="入荷済み",N($L242),0)</f>
        <v>0</v>
      </c>
      <c r="T242" s="80"/>
      <c r="U242" s="80"/>
    </row>
    <row r="243" customFormat="false" ht="15" hidden="false" customHeight="false" outlineLevel="0" collapsed="false">
      <c r="B243" s="66" t="str">
        <f aca="false">IF(OR($E243="",$F243=""),"","PO-"&amp;TEXT($E243,"yyyymmdd")&amp;"-"&amp;TEXT(COUNTIFS($E$6:$E243,$E243,$C$6:$C243,$C243),"000"))</f>
        <v/>
      </c>
      <c r="C243" s="130"/>
      <c r="D243" s="66" t="str">
        <f aca="false">IFERROR(INDEX(定数マスタ!$C$6:$C$105,MATCH($C243,定数マスタ!$B$6:$B$105,0)),"")</f>
        <v/>
      </c>
      <c r="E243" s="131"/>
      <c r="F243" s="130"/>
      <c r="G243" s="66" t="str">
        <f aca="false">IFERROR(INDEX(商品マスタ!$C$6:$C$1005,MATCH($F243,商品マスタ!$B$6:$B$1005,0)),"")</f>
        <v/>
      </c>
      <c r="H243" s="66" t="str">
        <f aca="false">IFERROR(INDEX(商品マスタ!$E$6:$E$1005,MATCH($F243,商品マスタ!$B$6:$B$1005,0)),"")</f>
        <v/>
      </c>
      <c r="I243" s="69" t="str">
        <f aca="false">IFERROR(INDEX(商品マスタ!$F$6:$F$1005,MATCH($F243,商品マスタ!$B$6:$B$1005,0)),"")</f>
        <v/>
      </c>
      <c r="J243" s="69" t="str">
        <f aca="false">IF(OR($F243="",$C243&lt;&gt;'設定（最初に1回）'!$C$4),"",IFERROR(INDEX(発注計算!$Y$6:$Y$405,MATCH($F243,発注計算!$C$6:$C$405,0)),""))</f>
        <v/>
      </c>
      <c r="K243" s="70"/>
      <c r="L243" s="69" t="str">
        <f aca="false">IF($K243="","",N($K243)*N($I243))</f>
        <v/>
      </c>
      <c r="M243" s="71" t="str">
        <f aca="false">IFERROR(INDEX(商品マスタ!$G$6:$G$1005,MATCH($F243,商品マスタ!$B$6:$B$1005,0)),"")</f>
        <v/>
      </c>
      <c r="N243" s="71" t="str">
        <f aca="false">IF($K243="","",N($K243)*N($M243))</f>
        <v/>
      </c>
      <c r="O243" s="66" t="str">
        <f aca="false">IFERROR(INDEX(商品マスタ!$H$6:$H$1005,MATCH($F243,商品マスタ!$B$6:$B$1005,0)),"")</f>
        <v/>
      </c>
      <c r="P243" s="87" t="str">
        <f aca="false">IF(OR($E243="",$O243=""),"",WORKDAY($E243,$O243))</f>
        <v/>
      </c>
      <c r="Q243" s="80"/>
      <c r="R243" s="131"/>
      <c r="S243" s="69" t="n">
        <f aca="false">IF($Q243="入荷済み",N($L243),0)</f>
        <v>0</v>
      </c>
      <c r="T243" s="80"/>
      <c r="U243" s="80"/>
    </row>
    <row r="244" customFormat="false" ht="15" hidden="false" customHeight="false" outlineLevel="0" collapsed="false">
      <c r="B244" s="66" t="str">
        <f aca="false">IF(OR($E244="",$F244=""),"","PO-"&amp;TEXT($E244,"yyyymmdd")&amp;"-"&amp;TEXT(COUNTIFS($E$6:$E244,$E244,$C$6:$C244,$C244),"000"))</f>
        <v/>
      </c>
      <c r="C244" s="130"/>
      <c r="D244" s="66" t="str">
        <f aca="false">IFERROR(INDEX(定数マスタ!$C$6:$C$105,MATCH($C244,定数マスタ!$B$6:$B$105,0)),"")</f>
        <v/>
      </c>
      <c r="E244" s="131"/>
      <c r="F244" s="130"/>
      <c r="G244" s="66" t="str">
        <f aca="false">IFERROR(INDEX(商品マスタ!$C$6:$C$1005,MATCH($F244,商品マスタ!$B$6:$B$1005,0)),"")</f>
        <v/>
      </c>
      <c r="H244" s="66" t="str">
        <f aca="false">IFERROR(INDEX(商品マスタ!$E$6:$E$1005,MATCH($F244,商品マスタ!$B$6:$B$1005,0)),"")</f>
        <v/>
      </c>
      <c r="I244" s="69" t="str">
        <f aca="false">IFERROR(INDEX(商品マスタ!$F$6:$F$1005,MATCH($F244,商品マスタ!$B$6:$B$1005,0)),"")</f>
        <v/>
      </c>
      <c r="J244" s="69" t="str">
        <f aca="false">IF(OR($F244="",$C244&lt;&gt;'設定（最初に1回）'!$C$4),"",IFERROR(INDEX(発注計算!$Y$6:$Y$405,MATCH($F244,発注計算!$C$6:$C$405,0)),""))</f>
        <v/>
      </c>
      <c r="K244" s="70"/>
      <c r="L244" s="69" t="str">
        <f aca="false">IF($K244="","",N($K244)*N($I244))</f>
        <v/>
      </c>
      <c r="M244" s="71" t="str">
        <f aca="false">IFERROR(INDEX(商品マスタ!$G$6:$G$1005,MATCH($F244,商品マスタ!$B$6:$B$1005,0)),"")</f>
        <v/>
      </c>
      <c r="N244" s="71" t="str">
        <f aca="false">IF($K244="","",N($K244)*N($M244))</f>
        <v/>
      </c>
      <c r="O244" s="66" t="str">
        <f aca="false">IFERROR(INDEX(商品マスタ!$H$6:$H$1005,MATCH($F244,商品マスタ!$B$6:$B$1005,0)),"")</f>
        <v/>
      </c>
      <c r="P244" s="87" t="str">
        <f aca="false">IF(OR($E244="",$O244=""),"",WORKDAY($E244,$O244))</f>
        <v/>
      </c>
      <c r="Q244" s="80"/>
      <c r="R244" s="131"/>
      <c r="S244" s="69" t="n">
        <f aca="false">IF($Q244="入荷済み",N($L244),0)</f>
        <v>0</v>
      </c>
      <c r="T244" s="80"/>
      <c r="U244" s="80"/>
    </row>
    <row r="245" customFormat="false" ht="15" hidden="false" customHeight="false" outlineLevel="0" collapsed="false">
      <c r="B245" s="66" t="str">
        <f aca="false">IF(OR($E245="",$F245=""),"","PO-"&amp;TEXT($E245,"yyyymmdd")&amp;"-"&amp;TEXT(COUNTIFS($E$6:$E245,$E245,$C$6:$C245,$C245),"000"))</f>
        <v/>
      </c>
      <c r="C245" s="130"/>
      <c r="D245" s="66" t="str">
        <f aca="false">IFERROR(INDEX(定数マスタ!$C$6:$C$105,MATCH($C245,定数マスタ!$B$6:$B$105,0)),"")</f>
        <v/>
      </c>
      <c r="E245" s="131"/>
      <c r="F245" s="130"/>
      <c r="G245" s="66" t="str">
        <f aca="false">IFERROR(INDEX(商品マスタ!$C$6:$C$1005,MATCH($F245,商品マスタ!$B$6:$B$1005,0)),"")</f>
        <v/>
      </c>
      <c r="H245" s="66" t="str">
        <f aca="false">IFERROR(INDEX(商品マスタ!$E$6:$E$1005,MATCH($F245,商品マスタ!$B$6:$B$1005,0)),"")</f>
        <v/>
      </c>
      <c r="I245" s="69" t="str">
        <f aca="false">IFERROR(INDEX(商品マスタ!$F$6:$F$1005,MATCH($F245,商品マスタ!$B$6:$B$1005,0)),"")</f>
        <v/>
      </c>
      <c r="J245" s="69" t="str">
        <f aca="false">IF(OR($F245="",$C245&lt;&gt;'設定（最初に1回）'!$C$4),"",IFERROR(INDEX(発注計算!$Y$6:$Y$405,MATCH($F245,発注計算!$C$6:$C$405,0)),""))</f>
        <v/>
      </c>
      <c r="K245" s="70"/>
      <c r="L245" s="69" t="str">
        <f aca="false">IF($K245="","",N($K245)*N($I245))</f>
        <v/>
      </c>
      <c r="M245" s="71" t="str">
        <f aca="false">IFERROR(INDEX(商品マスタ!$G$6:$G$1005,MATCH($F245,商品マスタ!$B$6:$B$1005,0)),"")</f>
        <v/>
      </c>
      <c r="N245" s="71" t="str">
        <f aca="false">IF($K245="","",N($K245)*N($M245))</f>
        <v/>
      </c>
      <c r="O245" s="66" t="str">
        <f aca="false">IFERROR(INDEX(商品マスタ!$H$6:$H$1005,MATCH($F245,商品マスタ!$B$6:$B$1005,0)),"")</f>
        <v/>
      </c>
      <c r="P245" s="87" t="str">
        <f aca="false">IF(OR($E245="",$O245=""),"",WORKDAY($E245,$O245))</f>
        <v/>
      </c>
      <c r="Q245" s="80"/>
      <c r="R245" s="131"/>
      <c r="S245" s="69" t="n">
        <f aca="false">IF($Q245="入荷済み",N($L245),0)</f>
        <v>0</v>
      </c>
      <c r="T245" s="80"/>
      <c r="U245" s="80"/>
    </row>
    <row r="246" customFormat="false" ht="15" hidden="false" customHeight="false" outlineLevel="0" collapsed="false">
      <c r="B246" s="66" t="str">
        <f aca="false">IF(OR($E246="",$F246=""),"","PO-"&amp;TEXT($E246,"yyyymmdd")&amp;"-"&amp;TEXT(COUNTIFS($E$6:$E246,$E246,$C$6:$C246,$C246),"000"))</f>
        <v/>
      </c>
      <c r="C246" s="130"/>
      <c r="D246" s="66" t="str">
        <f aca="false">IFERROR(INDEX(定数マスタ!$C$6:$C$105,MATCH($C246,定数マスタ!$B$6:$B$105,0)),"")</f>
        <v/>
      </c>
      <c r="E246" s="131"/>
      <c r="F246" s="130"/>
      <c r="G246" s="66" t="str">
        <f aca="false">IFERROR(INDEX(商品マスタ!$C$6:$C$1005,MATCH($F246,商品マスタ!$B$6:$B$1005,0)),"")</f>
        <v/>
      </c>
      <c r="H246" s="66" t="str">
        <f aca="false">IFERROR(INDEX(商品マスタ!$E$6:$E$1005,MATCH($F246,商品マスタ!$B$6:$B$1005,0)),"")</f>
        <v/>
      </c>
      <c r="I246" s="69" t="str">
        <f aca="false">IFERROR(INDEX(商品マスタ!$F$6:$F$1005,MATCH($F246,商品マスタ!$B$6:$B$1005,0)),"")</f>
        <v/>
      </c>
      <c r="J246" s="69" t="str">
        <f aca="false">IF(OR($F246="",$C246&lt;&gt;'設定（最初に1回）'!$C$4),"",IFERROR(INDEX(発注計算!$Y$6:$Y$405,MATCH($F246,発注計算!$C$6:$C$405,0)),""))</f>
        <v/>
      </c>
      <c r="K246" s="70"/>
      <c r="L246" s="69" t="str">
        <f aca="false">IF($K246="","",N($K246)*N($I246))</f>
        <v/>
      </c>
      <c r="M246" s="71" t="str">
        <f aca="false">IFERROR(INDEX(商品マスタ!$G$6:$G$1005,MATCH($F246,商品マスタ!$B$6:$B$1005,0)),"")</f>
        <v/>
      </c>
      <c r="N246" s="71" t="str">
        <f aca="false">IF($K246="","",N($K246)*N($M246))</f>
        <v/>
      </c>
      <c r="O246" s="66" t="str">
        <f aca="false">IFERROR(INDEX(商品マスタ!$H$6:$H$1005,MATCH($F246,商品マスタ!$B$6:$B$1005,0)),"")</f>
        <v/>
      </c>
      <c r="P246" s="87" t="str">
        <f aca="false">IF(OR($E246="",$O246=""),"",WORKDAY($E246,$O246))</f>
        <v/>
      </c>
      <c r="Q246" s="80"/>
      <c r="R246" s="131"/>
      <c r="S246" s="69" t="n">
        <f aca="false">IF($Q246="入荷済み",N($L246),0)</f>
        <v>0</v>
      </c>
      <c r="T246" s="80"/>
      <c r="U246" s="80"/>
    </row>
    <row r="247" customFormat="false" ht="15" hidden="false" customHeight="false" outlineLevel="0" collapsed="false">
      <c r="B247" s="66" t="str">
        <f aca="false">IF(OR($E247="",$F247=""),"","PO-"&amp;TEXT($E247,"yyyymmdd")&amp;"-"&amp;TEXT(COUNTIFS($E$6:$E247,$E247,$C$6:$C247,$C247),"000"))</f>
        <v/>
      </c>
      <c r="C247" s="130"/>
      <c r="D247" s="66" t="str">
        <f aca="false">IFERROR(INDEX(定数マスタ!$C$6:$C$105,MATCH($C247,定数マスタ!$B$6:$B$105,0)),"")</f>
        <v/>
      </c>
      <c r="E247" s="131"/>
      <c r="F247" s="130"/>
      <c r="G247" s="66" t="str">
        <f aca="false">IFERROR(INDEX(商品マスタ!$C$6:$C$1005,MATCH($F247,商品マスタ!$B$6:$B$1005,0)),"")</f>
        <v/>
      </c>
      <c r="H247" s="66" t="str">
        <f aca="false">IFERROR(INDEX(商品マスタ!$E$6:$E$1005,MATCH($F247,商品マスタ!$B$6:$B$1005,0)),"")</f>
        <v/>
      </c>
      <c r="I247" s="69" t="str">
        <f aca="false">IFERROR(INDEX(商品マスタ!$F$6:$F$1005,MATCH($F247,商品マスタ!$B$6:$B$1005,0)),"")</f>
        <v/>
      </c>
      <c r="J247" s="69" t="str">
        <f aca="false">IF(OR($F247="",$C247&lt;&gt;'設定（最初に1回）'!$C$4),"",IFERROR(INDEX(発注計算!$Y$6:$Y$405,MATCH($F247,発注計算!$C$6:$C$405,0)),""))</f>
        <v/>
      </c>
      <c r="K247" s="70"/>
      <c r="L247" s="69" t="str">
        <f aca="false">IF($K247="","",N($K247)*N($I247))</f>
        <v/>
      </c>
      <c r="M247" s="71" t="str">
        <f aca="false">IFERROR(INDEX(商品マスタ!$G$6:$G$1005,MATCH($F247,商品マスタ!$B$6:$B$1005,0)),"")</f>
        <v/>
      </c>
      <c r="N247" s="71" t="str">
        <f aca="false">IF($K247="","",N($K247)*N($M247))</f>
        <v/>
      </c>
      <c r="O247" s="66" t="str">
        <f aca="false">IFERROR(INDEX(商品マスタ!$H$6:$H$1005,MATCH($F247,商品マスタ!$B$6:$B$1005,0)),"")</f>
        <v/>
      </c>
      <c r="P247" s="87" t="str">
        <f aca="false">IF(OR($E247="",$O247=""),"",WORKDAY($E247,$O247))</f>
        <v/>
      </c>
      <c r="Q247" s="80"/>
      <c r="R247" s="131"/>
      <c r="S247" s="69" t="n">
        <f aca="false">IF($Q247="入荷済み",N($L247),0)</f>
        <v>0</v>
      </c>
      <c r="T247" s="80"/>
      <c r="U247" s="80"/>
    </row>
    <row r="248" customFormat="false" ht="15" hidden="false" customHeight="false" outlineLevel="0" collapsed="false">
      <c r="B248" s="66" t="str">
        <f aca="false">IF(OR($E248="",$F248=""),"","PO-"&amp;TEXT($E248,"yyyymmdd")&amp;"-"&amp;TEXT(COUNTIFS($E$6:$E248,$E248,$C$6:$C248,$C248),"000"))</f>
        <v/>
      </c>
      <c r="C248" s="130"/>
      <c r="D248" s="66" t="str">
        <f aca="false">IFERROR(INDEX(定数マスタ!$C$6:$C$105,MATCH($C248,定数マスタ!$B$6:$B$105,0)),"")</f>
        <v/>
      </c>
      <c r="E248" s="131"/>
      <c r="F248" s="130"/>
      <c r="G248" s="66" t="str">
        <f aca="false">IFERROR(INDEX(商品マスタ!$C$6:$C$1005,MATCH($F248,商品マスタ!$B$6:$B$1005,0)),"")</f>
        <v/>
      </c>
      <c r="H248" s="66" t="str">
        <f aca="false">IFERROR(INDEX(商品マスタ!$E$6:$E$1005,MATCH($F248,商品マスタ!$B$6:$B$1005,0)),"")</f>
        <v/>
      </c>
      <c r="I248" s="69" t="str">
        <f aca="false">IFERROR(INDEX(商品マスタ!$F$6:$F$1005,MATCH($F248,商品マスタ!$B$6:$B$1005,0)),"")</f>
        <v/>
      </c>
      <c r="J248" s="69" t="str">
        <f aca="false">IF(OR($F248="",$C248&lt;&gt;'設定（最初に1回）'!$C$4),"",IFERROR(INDEX(発注計算!$Y$6:$Y$405,MATCH($F248,発注計算!$C$6:$C$405,0)),""))</f>
        <v/>
      </c>
      <c r="K248" s="70"/>
      <c r="L248" s="69" t="str">
        <f aca="false">IF($K248="","",N($K248)*N($I248))</f>
        <v/>
      </c>
      <c r="M248" s="71" t="str">
        <f aca="false">IFERROR(INDEX(商品マスタ!$G$6:$G$1005,MATCH($F248,商品マスタ!$B$6:$B$1005,0)),"")</f>
        <v/>
      </c>
      <c r="N248" s="71" t="str">
        <f aca="false">IF($K248="","",N($K248)*N($M248))</f>
        <v/>
      </c>
      <c r="O248" s="66" t="str">
        <f aca="false">IFERROR(INDEX(商品マスタ!$H$6:$H$1005,MATCH($F248,商品マスタ!$B$6:$B$1005,0)),"")</f>
        <v/>
      </c>
      <c r="P248" s="87" t="str">
        <f aca="false">IF(OR($E248="",$O248=""),"",WORKDAY($E248,$O248))</f>
        <v/>
      </c>
      <c r="Q248" s="80"/>
      <c r="R248" s="131"/>
      <c r="S248" s="69" t="n">
        <f aca="false">IF($Q248="入荷済み",N($L248),0)</f>
        <v>0</v>
      </c>
      <c r="T248" s="80"/>
      <c r="U248" s="80"/>
    </row>
    <row r="249" customFormat="false" ht="15" hidden="false" customHeight="false" outlineLevel="0" collapsed="false">
      <c r="B249" s="66" t="str">
        <f aca="false">IF(OR($E249="",$F249=""),"","PO-"&amp;TEXT($E249,"yyyymmdd")&amp;"-"&amp;TEXT(COUNTIFS($E$6:$E249,$E249,$C$6:$C249,$C249),"000"))</f>
        <v/>
      </c>
      <c r="C249" s="130"/>
      <c r="D249" s="66" t="str">
        <f aca="false">IFERROR(INDEX(定数マスタ!$C$6:$C$105,MATCH($C249,定数マスタ!$B$6:$B$105,0)),"")</f>
        <v/>
      </c>
      <c r="E249" s="131"/>
      <c r="F249" s="130"/>
      <c r="G249" s="66" t="str">
        <f aca="false">IFERROR(INDEX(商品マスタ!$C$6:$C$1005,MATCH($F249,商品マスタ!$B$6:$B$1005,0)),"")</f>
        <v/>
      </c>
      <c r="H249" s="66" t="str">
        <f aca="false">IFERROR(INDEX(商品マスタ!$E$6:$E$1005,MATCH($F249,商品マスタ!$B$6:$B$1005,0)),"")</f>
        <v/>
      </c>
      <c r="I249" s="69" t="str">
        <f aca="false">IFERROR(INDEX(商品マスタ!$F$6:$F$1005,MATCH($F249,商品マスタ!$B$6:$B$1005,0)),"")</f>
        <v/>
      </c>
      <c r="J249" s="69" t="str">
        <f aca="false">IF(OR($F249="",$C249&lt;&gt;'設定（最初に1回）'!$C$4),"",IFERROR(INDEX(発注計算!$Y$6:$Y$405,MATCH($F249,発注計算!$C$6:$C$405,0)),""))</f>
        <v/>
      </c>
      <c r="K249" s="70"/>
      <c r="L249" s="69" t="str">
        <f aca="false">IF($K249="","",N($K249)*N($I249))</f>
        <v/>
      </c>
      <c r="M249" s="71" t="str">
        <f aca="false">IFERROR(INDEX(商品マスタ!$G$6:$G$1005,MATCH($F249,商品マスタ!$B$6:$B$1005,0)),"")</f>
        <v/>
      </c>
      <c r="N249" s="71" t="str">
        <f aca="false">IF($K249="","",N($K249)*N($M249))</f>
        <v/>
      </c>
      <c r="O249" s="66" t="str">
        <f aca="false">IFERROR(INDEX(商品マスタ!$H$6:$H$1005,MATCH($F249,商品マスタ!$B$6:$B$1005,0)),"")</f>
        <v/>
      </c>
      <c r="P249" s="87" t="str">
        <f aca="false">IF(OR($E249="",$O249=""),"",WORKDAY($E249,$O249))</f>
        <v/>
      </c>
      <c r="Q249" s="80"/>
      <c r="R249" s="131"/>
      <c r="S249" s="69" t="n">
        <f aca="false">IF($Q249="入荷済み",N($L249),0)</f>
        <v>0</v>
      </c>
      <c r="T249" s="80"/>
      <c r="U249" s="80"/>
    </row>
    <row r="250" customFormat="false" ht="15" hidden="false" customHeight="false" outlineLevel="0" collapsed="false">
      <c r="B250" s="66" t="str">
        <f aca="false">IF(OR($E250="",$F250=""),"","PO-"&amp;TEXT($E250,"yyyymmdd")&amp;"-"&amp;TEXT(COUNTIFS($E$6:$E250,$E250,$C$6:$C250,$C250),"000"))</f>
        <v/>
      </c>
      <c r="C250" s="130"/>
      <c r="D250" s="66" t="str">
        <f aca="false">IFERROR(INDEX(定数マスタ!$C$6:$C$105,MATCH($C250,定数マスタ!$B$6:$B$105,0)),"")</f>
        <v/>
      </c>
      <c r="E250" s="131"/>
      <c r="F250" s="130"/>
      <c r="G250" s="66" t="str">
        <f aca="false">IFERROR(INDEX(商品マスタ!$C$6:$C$1005,MATCH($F250,商品マスタ!$B$6:$B$1005,0)),"")</f>
        <v/>
      </c>
      <c r="H250" s="66" t="str">
        <f aca="false">IFERROR(INDEX(商品マスタ!$E$6:$E$1005,MATCH($F250,商品マスタ!$B$6:$B$1005,0)),"")</f>
        <v/>
      </c>
      <c r="I250" s="69" t="str">
        <f aca="false">IFERROR(INDEX(商品マスタ!$F$6:$F$1005,MATCH($F250,商品マスタ!$B$6:$B$1005,0)),"")</f>
        <v/>
      </c>
      <c r="J250" s="69" t="str">
        <f aca="false">IF(OR($F250="",$C250&lt;&gt;'設定（最初に1回）'!$C$4),"",IFERROR(INDEX(発注計算!$Y$6:$Y$405,MATCH($F250,発注計算!$C$6:$C$405,0)),""))</f>
        <v/>
      </c>
      <c r="K250" s="70"/>
      <c r="L250" s="69" t="str">
        <f aca="false">IF($K250="","",N($K250)*N($I250))</f>
        <v/>
      </c>
      <c r="M250" s="71" t="str">
        <f aca="false">IFERROR(INDEX(商品マスタ!$G$6:$G$1005,MATCH($F250,商品マスタ!$B$6:$B$1005,0)),"")</f>
        <v/>
      </c>
      <c r="N250" s="71" t="str">
        <f aca="false">IF($K250="","",N($K250)*N($M250))</f>
        <v/>
      </c>
      <c r="O250" s="66" t="str">
        <f aca="false">IFERROR(INDEX(商品マスタ!$H$6:$H$1005,MATCH($F250,商品マスタ!$B$6:$B$1005,0)),"")</f>
        <v/>
      </c>
      <c r="P250" s="87" t="str">
        <f aca="false">IF(OR($E250="",$O250=""),"",WORKDAY($E250,$O250))</f>
        <v/>
      </c>
      <c r="Q250" s="80"/>
      <c r="R250" s="131"/>
      <c r="S250" s="69" t="n">
        <f aca="false">IF($Q250="入荷済み",N($L250),0)</f>
        <v>0</v>
      </c>
      <c r="T250" s="80"/>
      <c r="U250" s="80"/>
    </row>
    <row r="251" customFormat="false" ht="15" hidden="false" customHeight="false" outlineLevel="0" collapsed="false">
      <c r="B251" s="66" t="str">
        <f aca="false">IF(OR($E251="",$F251=""),"","PO-"&amp;TEXT($E251,"yyyymmdd")&amp;"-"&amp;TEXT(COUNTIFS($E$6:$E251,$E251,$C$6:$C251,$C251),"000"))</f>
        <v/>
      </c>
      <c r="C251" s="130"/>
      <c r="D251" s="66" t="str">
        <f aca="false">IFERROR(INDEX(定数マスタ!$C$6:$C$105,MATCH($C251,定数マスタ!$B$6:$B$105,0)),"")</f>
        <v/>
      </c>
      <c r="E251" s="131"/>
      <c r="F251" s="130"/>
      <c r="G251" s="66" t="str">
        <f aca="false">IFERROR(INDEX(商品マスタ!$C$6:$C$1005,MATCH($F251,商品マスタ!$B$6:$B$1005,0)),"")</f>
        <v/>
      </c>
      <c r="H251" s="66" t="str">
        <f aca="false">IFERROR(INDEX(商品マスタ!$E$6:$E$1005,MATCH($F251,商品マスタ!$B$6:$B$1005,0)),"")</f>
        <v/>
      </c>
      <c r="I251" s="69" t="str">
        <f aca="false">IFERROR(INDEX(商品マスタ!$F$6:$F$1005,MATCH($F251,商品マスタ!$B$6:$B$1005,0)),"")</f>
        <v/>
      </c>
      <c r="J251" s="69" t="str">
        <f aca="false">IF(OR($F251="",$C251&lt;&gt;'設定（最初に1回）'!$C$4),"",IFERROR(INDEX(発注計算!$Y$6:$Y$405,MATCH($F251,発注計算!$C$6:$C$405,0)),""))</f>
        <v/>
      </c>
      <c r="K251" s="70"/>
      <c r="L251" s="69" t="str">
        <f aca="false">IF($K251="","",N($K251)*N($I251))</f>
        <v/>
      </c>
      <c r="M251" s="71" t="str">
        <f aca="false">IFERROR(INDEX(商品マスタ!$G$6:$G$1005,MATCH($F251,商品マスタ!$B$6:$B$1005,0)),"")</f>
        <v/>
      </c>
      <c r="N251" s="71" t="str">
        <f aca="false">IF($K251="","",N($K251)*N($M251))</f>
        <v/>
      </c>
      <c r="O251" s="66" t="str">
        <f aca="false">IFERROR(INDEX(商品マスタ!$H$6:$H$1005,MATCH($F251,商品マスタ!$B$6:$B$1005,0)),"")</f>
        <v/>
      </c>
      <c r="P251" s="87" t="str">
        <f aca="false">IF(OR($E251="",$O251=""),"",WORKDAY($E251,$O251))</f>
        <v/>
      </c>
      <c r="Q251" s="80"/>
      <c r="R251" s="131"/>
      <c r="S251" s="69" t="n">
        <f aca="false">IF($Q251="入荷済み",N($L251),0)</f>
        <v>0</v>
      </c>
      <c r="T251" s="80"/>
      <c r="U251" s="80"/>
    </row>
    <row r="252" customFormat="false" ht="15" hidden="false" customHeight="false" outlineLevel="0" collapsed="false">
      <c r="B252" s="66" t="str">
        <f aca="false">IF(OR($E252="",$F252=""),"","PO-"&amp;TEXT($E252,"yyyymmdd")&amp;"-"&amp;TEXT(COUNTIFS($E$6:$E252,$E252,$C$6:$C252,$C252),"000"))</f>
        <v/>
      </c>
      <c r="C252" s="130"/>
      <c r="D252" s="66" t="str">
        <f aca="false">IFERROR(INDEX(定数マスタ!$C$6:$C$105,MATCH($C252,定数マスタ!$B$6:$B$105,0)),"")</f>
        <v/>
      </c>
      <c r="E252" s="131"/>
      <c r="F252" s="130"/>
      <c r="G252" s="66" t="str">
        <f aca="false">IFERROR(INDEX(商品マスタ!$C$6:$C$1005,MATCH($F252,商品マスタ!$B$6:$B$1005,0)),"")</f>
        <v/>
      </c>
      <c r="H252" s="66" t="str">
        <f aca="false">IFERROR(INDEX(商品マスタ!$E$6:$E$1005,MATCH($F252,商品マスタ!$B$6:$B$1005,0)),"")</f>
        <v/>
      </c>
      <c r="I252" s="69" t="str">
        <f aca="false">IFERROR(INDEX(商品マスタ!$F$6:$F$1005,MATCH($F252,商品マスタ!$B$6:$B$1005,0)),"")</f>
        <v/>
      </c>
      <c r="J252" s="69" t="str">
        <f aca="false">IF(OR($F252="",$C252&lt;&gt;'設定（最初に1回）'!$C$4),"",IFERROR(INDEX(発注計算!$Y$6:$Y$405,MATCH($F252,発注計算!$C$6:$C$405,0)),""))</f>
        <v/>
      </c>
      <c r="K252" s="70"/>
      <c r="L252" s="69" t="str">
        <f aca="false">IF($K252="","",N($K252)*N($I252))</f>
        <v/>
      </c>
      <c r="M252" s="71" t="str">
        <f aca="false">IFERROR(INDEX(商品マスタ!$G$6:$G$1005,MATCH($F252,商品マスタ!$B$6:$B$1005,0)),"")</f>
        <v/>
      </c>
      <c r="N252" s="71" t="str">
        <f aca="false">IF($K252="","",N($K252)*N($M252))</f>
        <v/>
      </c>
      <c r="O252" s="66" t="str">
        <f aca="false">IFERROR(INDEX(商品マスタ!$H$6:$H$1005,MATCH($F252,商品マスタ!$B$6:$B$1005,0)),"")</f>
        <v/>
      </c>
      <c r="P252" s="87" t="str">
        <f aca="false">IF(OR($E252="",$O252=""),"",WORKDAY($E252,$O252))</f>
        <v/>
      </c>
      <c r="Q252" s="80"/>
      <c r="R252" s="131"/>
      <c r="S252" s="69" t="n">
        <f aca="false">IF($Q252="入荷済み",N($L252),0)</f>
        <v>0</v>
      </c>
      <c r="T252" s="80"/>
      <c r="U252" s="80"/>
    </row>
    <row r="253" customFormat="false" ht="15" hidden="false" customHeight="false" outlineLevel="0" collapsed="false">
      <c r="B253" s="66" t="str">
        <f aca="false">IF(OR($E253="",$F253=""),"","PO-"&amp;TEXT($E253,"yyyymmdd")&amp;"-"&amp;TEXT(COUNTIFS($E$6:$E253,$E253,$C$6:$C253,$C253),"000"))</f>
        <v/>
      </c>
      <c r="C253" s="130"/>
      <c r="D253" s="66" t="str">
        <f aca="false">IFERROR(INDEX(定数マスタ!$C$6:$C$105,MATCH($C253,定数マスタ!$B$6:$B$105,0)),"")</f>
        <v/>
      </c>
      <c r="E253" s="131"/>
      <c r="F253" s="130"/>
      <c r="G253" s="66" t="str">
        <f aca="false">IFERROR(INDEX(商品マスタ!$C$6:$C$1005,MATCH($F253,商品マスタ!$B$6:$B$1005,0)),"")</f>
        <v/>
      </c>
      <c r="H253" s="66" t="str">
        <f aca="false">IFERROR(INDEX(商品マスタ!$E$6:$E$1005,MATCH($F253,商品マスタ!$B$6:$B$1005,0)),"")</f>
        <v/>
      </c>
      <c r="I253" s="69" t="str">
        <f aca="false">IFERROR(INDEX(商品マスタ!$F$6:$F$1005,MATCH($F253,商品マスタ!$B$6:$B$1005,0)),"")</f>
        <v/>
      </c>
      <c r="J253" s="69" t="str">
        <f aca="false">IF(OR($F253="",$C253&lt;&gt;'設定（最初に1回）'!$C$4),"",IFERROR(INDEX(発注計算!$Y$6:$Y$405,MATCH($F253,発注計算!$C$6:$C$405,0)),""))</f>
        <v/>
      </c>
      <c r="K253" s="70"/>
      <c r="L253" s="69" t="str">
        <f aca="false">IF($K253="","",N($K253)*N($I253))</f>
        <v/>
      </c>
      <c r="M253" s="71" t="str">
        <f aca="false">IFERROR(INDEX(商品マスタ!$G$6:$G$1005,MATCH($F253,商品マスタ!$B$6:$B$1005,0)),"")</f>
        <v/>
      </c>
      <c r="N253" s="71" t="str">
        <f aca="false">IF($K253="","",N($K253)*N($M253))</f>
        <v/>
      </c>
      <c r="O253" s="66" t="str">
        <f aca="false">IFERROR(INDEX(商品マスタ!$H$6:$H$1005,MATCH($F253,商品マスタ!$B$6:$B$1005,0)),"")</f>
        <v/>
      </c>
      <c r="P253" s="87" t="str">
        <f aca="false">IF(OR($E253="",$O253=""),"",WORKDAY($E253,$O253))</f>
        <v/>
      </c>
      <c r="Q253" s="80"/>
      <c r="R253" s="131"/>
      <c r="S253" s="69" t="n">
        <f aca="false">IF($Q253="入荷済み",N($L253),0)</f>
        <v>0</v>
      </c>
      <c r="T253" s="80"/>
      <c r="U253" s="80"/>
    </row>
    <row r="254" customFormat="false" ht="15" hidden="false" customHeight="false" outlineLevel="0" collapsed="false">
      <c r="B254" s="66" t="str">
        <f aca="false">IF(OR($E254="",$F254=""),"","PO-"&amp;TEXT($E254,"yyyymmdd")&amp;"-"&amp;TEXT(COUNTIFS($E$6:$E254,$E254,$C$6:$C254,$C254),"000"))</f>
        <v/>
      </c>
      <c r="C254" s="130"/>
      <c r="D254" s="66" t="str">
        <f aca="false">IFERROR(INDEX(定数マスタ!$C$6:$C$105,MATCH($C254,定数マスタ!$B$6:$B$105,0)),"")</f>
        <v/>
      </c>
      <c r="E254" s="131"/>
      <c r="F254" s="130"/>
      <c r="G254" s="66" t="str">
        <f aca="false">IFERROR(INDEX(商品マスタ!$C$6:$C$1005,MATCH($F254,商品マスタ!$B$6:$B$1005,0)),"")</f>
        <v/>
      </c>
      <c r="H254" s="66" t="str">
        <f aca="false">IFERROR(INDEX(商品マスタ!$E$6:$E$1005,MATCH($F254,商品マスタ!$B$6:$B$1005,0)),"")</f>
        <v/>
      </c>
      <c r="I254" s="69" t="str">
        <f aca="false">IFERROR(INDEX(商品マスタ!$F$6:$F$1005,MATCH($F254,商品マスタ!$B$6:$B$1005,0)),"")</f>
        <v/>
      </c>
      <c r="J254" s="69" t="str">
        <f aca="false">IF(OR($F254="",$C254&lt;&gt;'設定（最初に1回）'!$C$4),"",IFERROR(INDEX(発注計算!$Y$6:$Y$405,MATCH($F254,発注計算!$C$6:$C$405,0)),""))</f>
        <v/>
      </c>
      <c r="K254" s="70"/>
      <c r="L254" s="69" t="str">
        <f aca="false">IF($K254="","",N($K254)*N($I254))</f>
        <v/>
      </c>
      <c r="M254" s="71" t="str">
        <f aca="false">IFERROR(INDEX(商品マスタ!$G$6:$G$1005,MATCH($F254,商品マスタ!$B$6:$B$1005,0)),"")</f>
        <v/>
      </c>
      <c r="N254" s="71" t="str">
        <f aca="false">IF($K254="","",N($K254)*N($M254))</f>
        <v/>
      </c>
      <c r="O254" s="66" t="str">
        <f aca="false">IFERROR(INDEX(商品マスタ!$H$6:$H$1005,MATCH($F254,商品マスタ!$B$6:$B$1005,0)),"")</f>
        <v/>
      </c>
      <c r="P254" s="87" t="str">
        <f aca="false">IF(OR($E254="",$O254=""),"",WORKDAY($E254,$O254))</f>
        <v/>
      </c>
      <c r="Q254" s="80"/>
      <c r="R254" s="131"/>
      <c r="S254" s="69" t="n">
        <f aca="false">IF($Q254="入荷済み",N($L254),0)</f>
        <v>0</v>
      </c>
      <c r="T254" s="80"/>
      <c r="U254" s="80"/>
    </row>
    <row r="255" customFormat="false" ht="15" hidden="false" customHeight="false" outlineLevel="0" collapsed="false">
      <c r="B255" s="66" t="str">
        <f aca="false">IF(OR($E255="",$F255=""),"","PO-"&amp;TEXT($E255,"yyyymmdd")&amp;"-"&amp;TEXT(COUNTIFS($E$6:$E255,$E255,$C$6:$C255,$C255),"000"))</f>
        <v/>
      </c>
      <c r="C255" s="130"/>
      <c r="D255" s="66" t="str">
        <f aca="false">IFERROR(INDEX(定数マスタ!$C$6:$C$105,MATCH($C255,定数マスタ!$B$6:$B$105,0)),"")</f>
        <v/>
      </c>
      <c r="E255" s="131"/>
      <c r="F255" s="130"/>
      <c r="G255" s="66" t="str">
        <f aca="false">IFERROR(INDEX(商品マスタ!$C$6:$C$1005,MATCH($F255,商品マスタ!$B$6:$B$1005,0)),"")</f>
        <v/>
      </c>
      <c r="H255" s="66" t="str">
        <f aca="false">IFERROR(INDEX(商品マスタ!$E$6:$E$1005,MATCH($F255,商品マスタ!$B$6:$B$1005,0)),"")</f>
        <v/>
      </c>
      <c r="I255" s="69" t="str">
        <f aca="false">IFERROR(INDEX(商品マスタ!$F$6:$F$1005,MATCH($F255,商品マスタ!$B$6:$B$1005,0)),"")</f>
        <v/>
      </c>
      <c r="J255" s="69" t="str">
        <f aca="false">IF(OR($F255="",$C255&lt;&gt;'設定（最初に1回）'!$C$4),"",IFERROR(INDEX(発注計算!$Y$6:$Y$405,MATCH($F255,発注計算!$C$6:$C$405,0)),""))</f>
        <v/>
      </c>
      <c r="K255" s="70"/>
      <c r="L255" s="69" t="str">
        <f aca="false">IF($K255="","",N($K255)*N($I255))</f>
        <v/>
      </c>
      <c r="M255" s="71" t="str">
        <f aca="false">IFERROR(INDEX(商品マスタ!$G$6:$G$1005,MATCH($F255,商品マスタ!$B$6:$B$1005,0)),"")</f>
        <v/>
      </c>
      <c r="N255" s="71" t="str">
        <f aca="false">IF($K255="","",N($K255)*N($M255))</f>
        <v/>
      </c>
      <c r="O255" s="66" t="str">
        <f aca="false">IFERROR(INDEX(商品マスタ!$H$6:$H$1005,MATCH($F255,商品マスタ!$B$6:$B$1005,0)),"")</f>
        <v/>
      </c>
      <c r="P255" s="87" t="str">
        <f aca="false">IF(OR($E255="",$O255=""),"",WORKDAY($E255,$O255))</f>
        <v/>
      </c>
      <c r="Q255" s="80"/>
      <c r="R255" s="131"/>
      <c r="S255" s="69" t="n">
        <f aca="false">IF($Q255="入荷済み",N($L255),0)</f>
        <v>0</v>
      </c>
      <c r="T255" s="80"/>
      <c r="U255" s="80"/>
    </row>
    <row r="256" customFormat="false" ht="15" hidden="false" customHeight="false" outlineLevel="0" collapsed="false">
      <c r="B256" s="66" t="str">
        <f aca="false">IF(OR($E256="",$F256=""),"","PO-"&amp;TEXT($E256,"yyyymmdd")&amp;"-"&amp;TEXT(COUNTIFS($E$6:$E256,$E256,$C$6:$C256,$C256),"000"))</f>
        <v/>
      </c>
      <c r="C256" s="130"/>
      <c r="D256" s="66" t="str">
        <f aca="false">IFERROR(INDEX(定数マスタ!$C$6:$C$105,MATCH($C256,定数マスタ!$B$6:$B$105,0)),"")</f>
        <v/>
      </c>
      <c r="E256" s="131"/>
      <c r="F256" s="130"/>
      <c r="G256" s="66" t="str">
        <f aca="false">IFERROR(INDEX(商品マスタ!$C$6:$C$1005,MATCH($F256,商品マスタ!$B$6:$B$1005,0)),"")</f>
        <v/>
      </c>
      <c r="H256" s="66" t="str">
        <f aca="false">IFERROR(INDEX(商品マスタ!$E$6:$E$1005,MATCH($F256,商品マスタ!$B$6:$B$1005,0)),"")</f>
        <v/>
      </c>
      <c r="I256" s="69" t="str">
        <f aca="false">IFERROR(INDEX(商品マスタ!$F$6:$F$1005,MATCH($F256,商品マスタ!$B$6:$B$1005,0)),"")</f>
        <v/>
      </c>
      <c r="J256" s="69" t="str">
        <f aca="false">IF(OR($F256="",$C256&lt;&gt;'設定（最初に1回）'!$C$4),"",IFERROR(INDEX(発注計算!$Y$6:$Y$405,MATCH($F256,発注計算!$C$6:$C$405,0)),""))</f>
        <v/>
      </c>
      <c r="K256" s="70"/>
      <c r="L256" s="69" t="str">
        <f aca="false">IF($K256="","",N($K256)*N($I256))</f>
        <v/>
      </c>
      <c r="M256" s="71" t="str">
        <f aca="false">IFERROR(INDEX(商品マスタ!$G$6:$G$1005,MATCH($F256,商品マスタ!$B$6:$B$1005,0)),"")</f>
        <v/>
      </c>
      <c r="N256" s="71" t="str">
        <f aca="false">IF($K256="","",N($K256)*N($M256))</f>
        <v/>
      </c>
      <c r="O256" s="66" t="str">
        <f aca="false">IFERROR(INDEX(商品マスタ!$H$6:$H$1005,MATCH($F256,商品マスタ!$B$6:$B$1005,0)),"")</f>
        <v/>
      </c>
      <c r="P256" s="87" t="str">
        <f aca="false">IF(OR($E256="",$O256=""),"",WORKDAY($E256,$O256))</f>
        <v/>
      </c>
      <c r="Q256" s="80"/>
      <c r="R256" s="131"/>
      <c r="S256" s="69" t="n">
        <f aca="false">IF($Q256="入荷済み",N($L256),0)</f>
        <v>0</v>
      </c>
      <c r="T256" s="80"/>
      <c r="U256" s="80"/>
    </row>
    <row r="257" customFormat="false" ht="15" hidden="false" customHeight="false" outlineLevel="0" collapsed="false">
      <c r="B257" s="66" t="str">
        <f aca="false">IF(OR($E257="",$F257=""),"","PO-"&amp;TEXT($E257,"yyyymmdd")&amp;"-"&amp;TEXT(COUNTIFS($E$6:$E257,$E257,$C$6:$C257,$C257),"000"))</f>
        <v/>
      </c>
      <c r="C257" s="130"/>
      <c r="D257" s="66" t="str">
        <f aca="false">IFERROR(INDEX(定数マスタ!$C$6:$C$105,MATCH($C257,定数マスタ!$B$6:$B$105,0)),"")</f>
        <v/>
      </c>
      <c r="E257" s="131"/>
      <c r="F257" s="130"/>
      <c r="G257" s="66" t="str">
        <f aca="false">IFERROR(INDEX(商品マスタ!$C$6:$C$1005,MATCH($F257,商品マスタ!$B$6:$B$1005,0)),"")</f>
        <v/>
      </c>
      <c r="H257" s="66" t="str">
        <f aca="false">IFERROR(INDEX(商品マスタ!$E$6:$E$1005,MATCH($F257,商品マスタ!$B$6:$B$1005,0)),"")</f>
        <v/>
      </c>
      <c r="I257" s="69" t="str">
        <f aca="false">IFERROR(INDEX(商品マスタ!$F$6:$F$1005,MATCH($F257,商品マスタ!$B$6:$B$1005,0)),"")</f>
        <v/>
      </c>
      <c r="J257" s="69" t="str">
        <f aca="false">IF(OR($F257="",$C257&lt;&gt;'設定（最初に1回）'!$C$4),"",IFERROR(INDEX(発注計算!$Y$6:$Y$405,MATCH($F257,発注計算!$C$6:$C$405,0)),""))</f>
        <v/>
      </c>
      <c r="K257" s="70"/>
      <c r="L257" s="69" t="str">
        <f aca="false">IF($K257="","",N($K257)*N($I257))</f>
        <v/>
      </c>
      <c r="M257" s="71" t="str">
        <f aca="false">IFERROR(INDEX(商品マスタ!$G$6:$G$1005,MATCH($F257,商品マスタ!$B$6:$B$1005,0)),"")</f>
        <v/>
      </c>
      <c r="N257" s="71" t="str">
        <f aca="false">IF($K257="","",N($K257)*N($M257))</f>
        <v/>
      </c>
      <c r="O257" s="66" t="str">
        <f aca="false">IFERROR(INDEX(商品マスタ!$H$6:$H$1005,MATCH($F257,商品マスタ!$B$6:$B$1005,0)),"")</f>
        <v/>
      </c>
      <c r="P257" s="87" t="str">
        <f aca="false">IF(OR($E257="",$O257=""),"",WORKDAY($E257,$O257))</f>
        <v/>
      </c>
      <c r="Q257" s="80"/>
      <c r="R257" s="131"/>
      <c r="S257" s="69" t="n">
        <f aca="false">IF($Q257="入荷済み",N($L257),0)</f>
        <v>0</v>
      </c>
      <c r="T257" s="80"/>
      <c r="U257" s="80"/>
    </row>
    <row r="258" customFormat="false" ht="15" hidden="false" customHeight="false" outlineLevel="0" collapsed="false">
      <c r="B258" s="66" t="str">
        <f aca="false">IF(OR($E258="",$F258=""),"","PO-"&amp;TEXT($E258,"yyyymmdd")&amp;"-"&amp;TEXT(COUNTIFS($E$6:$E258,$E258,$C$6:$C258,$C258),"000"))</f>
        <v/>
      </c>
      <c r="C258" s="130"/>
      <c r="D258" s="66" t="str">
        <f aca="false">IFERROR(INDEX(定数マスタ!$C$6:$C$105,MATCH($C258,定数マスタ!$B$6:$B$105,0)),"")</f>
        <v/>
      </c>
      <c r="E258" s="131"/>
      <c r="F258" s="130"/>
      <c r="G258" s="66" t="str">
        <f aca="false">IFERROR(INDEX(商品マスタ!$C$6:$C$1005,MATCH($F258,商品マスタ!$B$6:$B$1005,0)),"")</f>
        <v/>
      </c>
      <c r="H258" s="66" t="str">
        <f aca="false">IFERROR(INDEX(商品マスタ!$E$6:$E$1005,MATCH($F258,商品マスタ!$B$6:$B$1005,0)),"")</f>
        <v/>
      </c>
      <c r="I258" s="69" t="str">
        <f aca="false">IFERROR(INDEX(商品マスタ!$F$6:$F$1005,MATCH($F258,商品マスタ!$B$6:$B$1005,0)),"")</f>
        <v/>
      </c>
      <c r="J258" s="69" t="str">
        <f aca="false">IF(OR($F258="",$C258&lt;&gt;'設定（最初に1回）'!$C$4),"",IFERROR(INDEX(発注計算!$Y$6:$Y$405,MATCH($F258,発注計算!$C$6:$C$405,0)),""))</f>
        <v/>
      </c>
      <c r="K258" s="70"/>
      <c r="L258" s="69" t="str">
        <f aca="false">IF($K258="","",N($K258)*N($I258))</f>
        <v/>
      </c>
      <c r="M258" s="71" t="str">
        <f aca="false">IFERROR(INDEX(商品マスタ!$G$6:$G$1005,MATCH($F258,商品マスタ!$B$6:$B$1005,0)),"")</f>
        <v/>
      </c>
      <c r="N258" s="71" t="str">
        <f aca="false">IF($K258="","",N($K258)*N($M258))</f>
        <v/>
      </c>
      <c r="O258" s="66" t="str">
        <f aca="false">IFERROR(INDEX(商品マスタ!$H$6:$H$1005,MATCH($F258,商品マスタ!$B$6:$B$1005,0)),"")</f>
        <v/>
      </c>
      <c r="P258" s="87" t="str">
        <f aca="false">IF(OR($E258="",$O258=""),"",WORKDAY($E258,$O258))</f>
        <v/>
      </c>
      <c r="Q258" s="80"/>
      <c r="R258" s="131"/>
      <c r="S258" s="69" t="n">
        <f aca="false">IF($Q258="入荷済み",N($L258),0)</f>
        <v>0</v>
      </c>
      <c r="T258" s="80"/>
      <c r="U258" s="80"/>
    </row>
    <row r="259" customFormat="false" ht="15" hidden="false" customHeight="false" outlineLevel="0" collapsed="false">
      <c r="B259" s="66" t="str">
        <f aca="false">IF(OR($E259="",$F259=""),"","PO-"&amp;TEXT($E259,"yyyymmdd")&amp;"-"&amp;TEXT(COUNTIFS($E$6:$E259,$E259,$C$6:$C259,$C259),"000"))</f>
        <v/>
      </c>
      <c r="C259" s="130"/>
      <c r="D259" s="66" t="str">
        <f aca="false">IFERROR(INDEX(定数マスタ!$C$6:$C$105,MATCH($C259,定数マスタ!$B$6:$B$105,0)),"")</f>
        <v/>
      </c>
      <c r="E259" s="131"/>
      <c r="F259" s="130"/>
      <c r="G259" s="66" t="str">
        <f aca="false">IFERROR(INDEX(商品マスタ!$C$6:$C$1005,MATCH($F259,商品マスタ!$B$6:$B$1005,0)),"")</f>
        <v/>
      </c>
      <c r="H259" s="66" t="str">
        <f aca="false">IFERROR(INDEX(商品マスタ!$E$6:$E$1005,MATCH($F259,商品マスタ!$B$6:$B$1005,0)),"")</f>
        <v/>
      </c>
      <c r="I259" s="69" t="str">
        <f aca="false">IFERROR(INDEX(商品マスタ!$F$6:$F$1005,MATCH($F259,商品マスタ!$B$6:$B$1005,0)),"")</f>
        <v/>
      </c>
      <c r="J259" s="69" t="str">
        <f aca="false">IF(OR($F259="",$C259&lt;&gt;'設定（最初に1回）'!$C$4),"",IFERROR(INDEX(発注計算!$Y$6:$Y$405,MATCH($F259,発注計算!$C$6:$C$405,0)),""))</f>
        <v/>
      </c>
      <c r="K259" s="70"/>
      <c r="L259" s="69" t="str">
        <f aca="false">IF($K259="","",N($K259)*N($I259))</f>
        <v/>
      </c>
      <c r="M259" s="71" t="str">
        <f aca="false">IFERROR(INDEX(商品マスタ!$G$6:$G$1005,MATCH($F259,商品マスタ!$B$6:$B$1005,0)),"")</f>
        <v/>
      </c>
      <c r="N259" s="71" t="str">
        <f aca="false">IF($K259="","",N($K259)*N($M259))</f>
        <v/>
      </c>
      <c r="O259" s="66" t="str">
        <f aca="false">IFERROR(INDEX(商品マスタ!$H$6:$H$1005,MATCH($F259,商品マスタ!$B$6:$B$1005,0)),"")</f>
        <v/>
      </c>
      <c r="P259" s="87" t="str">
        <f aca="false">IF(OR($E259="",$O259=""),"",WORKDAY($E259,$O259))</f>
        <v/>
      </c>
      <c r="Q259" s="80"/>
      <c r="R259" s="131"/>
      <c r="S259" s="69" t="n">
        <f aca="false">IF($Q259="入荷済み",N($L259),0)</f>
        <v>0</v>
      </c>
      <c r="T259" s="80"/>
      <c r="U259" s="80"/>
    </row>
    <row r="260" customFormat="false" ht="15" hidden="false" customHeight="false" outlineLevel="0" collapsed="false">
      <c r="B260" s="66" t="str">
        <f aca="false">IF(OR($E260="",$F260=""),"","PO-"&amp;TEXT($E260,"yyyymmdd")&amp;"-"&amp;TEXT(COUNTIFS($E$6:$E260,$E260,$C$6:$C260,$C260),"000"))</f>
        <v/>
      </c>
      <c r="C260" s="130"/>
      <c r="D260" s="66" t="str">
        <f aca="false">IFERROR(INDEX(定数マスタ!$C$6:$C$105,MATCH($C260,定数マスタ!$B$6:$B$105,0)),"")</f>
        <v/>
      </c>
      <c r="E260" s="131"/>
      <c r="F260" s="130"/>
      <c r="G260" s="66" t="str">
        <f aca="false">IFERROR(INDEX(商品マスタ!$C$6:$C$1005,MATCH($F260,商品マスタ!$B$6:$B$1005,0)),"")</f>
        <v/>
      </c>
      <c r="H260" s="66" t="str">
        <f aca="false">IFERROR(INDEX(商品マスタ!$E$6:$E$1005,MATCH($F260,商品マスタ!$B$6:$B$1005,0)),"")</f>
        <v/>
      </c>
      <c r="I260" s="69" t="str">
        <f aca="false">IFERROR(INDEX(商品マスタ!$F$6:$F$1005,MATCH($F260,商品マスタ!$B$6:$B$1005,0)),"")</f>
        <v/>
      </c>
      <c r="J260" s="69" t="str">
        <f aca="false">IF(OR($F260="",$C260&lt;&gt;'設定（最初に1回）'!$C$4),"",IFERROR(INDEX(発注計算!$Y$6:$Y$405,MATCH($F260,発注計算!$C$6:$C$405,0)),""))</f>
        <v/>
      </c>
      <c r="K260" s="70"/>
      <c r="L260" s="69" t="str">
        <f aca="false">IF($K260="","",N($K260)*N($I260))</f>
        <v/>
      </c>
      <c r="M260" s="71" t="str">
        <f aca="false">IFERROR(INDEX(商品マスタ!$G$6:$G$1005,MATCH($F260,商品マスタ!$B$6:$B$1005,0)),"")</f>
        <v/>
      </c>
      <c r="N260" s="71" t="str">
        <f aca="false">IF($K260="","",N($K260)*N($M260))</f>
        <v/>
      </c>
      <c r="O260" s="66" t="str">
        <f aca="false">IFERROR(INDEX(商品マスタ!$H$6:$H$1005,MATCH($F260,商品マスタ!$B$6:$B$1005,0)),"")</f>
        <v/>
      </c>
      <c r="P260" s="87" t="str">
        <f aca="false">IF(OR($E260="",$O260=""),"",WORKDAY($E260,$O260))</f>
        <v/>
      </c>
      <c r="Q260" s="80"/>
      <c r="R260" s="131"/>
      <c r="S260" s="69" t="n">
        <f aca="false">IF($Q260="入荷済み",N($L260),0)</f>
        <v>0</v>
      </c>
      <c r="T260" s="80"/>
      <c r="U260" s="80"/>
    </row>
    <row r="261" customFormat="false" ht="15" hidden="false" customHeight="false" outlineLevel="0" collapsed="false">
      <c r="B261" s="66" t="str">
        <f aca="false">IF(OR($E261="",$F261=""),"","PO-"&amp;TEXT($E261,"yyyymmdd")&amp;"-"&amp;TEXT(COUNTIFS($E$6:$E261,$E261,$C$6:$C261,$C261),"000"))</f>
        <v/>
      </c>
      <c r="C261" s="130"/>
      <c r="D261" s="66" t="str">
        <f aca="false">IFERROR(INDEX(定数マスタ!$C$6:$C$105,MATCH($C261,定数マスタ!$B$6:$B$105,0)),"")</f>
        <v/>
      </c>
      <c r="E261" s="131"/>
      <c r="F261" s="130"/>
      <c r="G261" s="66" t="str">
        <f aca="false">IFERROR(INDEX(商品マスタ!$C$6:$C$1005,MATCH($F261,商品マスタ!$B$6:$B$1005,0)),"")</f>
        <v/>
      </c>
      <c r="H261" s="66" t="str">
        <f aca="false">IFERROR(INDEX(商品マスタ!$E$6:$E$1005,MATCH($F261,商品マスタ!$B$6:$B$1005,0)),"")</f>
        <v/>
      </c>
      <c r="I261" s="69" t="str">
        <f aca="false">IFERROR(INDEX(商品マスタ!$F$6:$F$1005,MATCH($F261,商品マスタ!$B$6:$B$1005,0)),"")</f>
        <v/>
      </c>
      <c r="J261" s="69" t="str">
        <f aca="false">IF(OR($F261="",$C261&lt;&gt;'設定（最初に1回）'!$C$4),"",IFERROR(INDEX(発注計算!$Y$6:$Y$405,MATCH($F261,発注計算!$C$6:$C$405,0)),""))</f>
        <v/>
      </c>
      <c r="K261" s="70"/>
      <c r="L261" s="69" t="str">
        <f aca="false">IF($K261="","",N($K261)*N($I261))</f>
        <v/>
      </c>
      <c r="M261" s="71" t="str">
        <f aca="false">IFERROR(INDEX(商品マスタ!$G$6:$G$1005,MATCH($F261,商品マスタ!$B$6:$B$1005,0)),"")</f>
        <v/>
      </c>
      <c r="N261" s="71" t="str">
        <f aca="false">IF($K261="","",N($K261)*N($M261))</f>
        <v/>
      </c>
      <c r="O261" s="66" t="str">
        <f aca="false">IFERROR(INDEX(商品マスタ!$H$6:$H$1005,MATCH($F261,商品マスタ!$B$6:$B$1005,0)),"")</f>
        <v/>
      </c>
      <c r="P261" s="87" t="str">
        <f aca="false">IF(OR($E261="",$O261=""),"",WORKDAY($E261,$O261))</f>
        <v/>
      </c>
      <c r="Q261" s="80"/>
      <c r="R261" s="131"/>
      <c r="S261" s="69" t="n">
        <f aca="false">IF($Q261="入荷済み",N($L261),0)</f>
        <v>0</v>
      </c>
      <c r="T261" s="80"/>
      <c r="U261" s="80"/>
    </row>
    <row r="262" customFormat="false" ht="15" hidden="false" customHeight="false" outlineLevel="0" collapsed="false">
      <c r="B262" s="66" t="str">
        <f aca="false">IF(OR($E262="",$F262=""),"","PO-"&amp;TEXT($E262,"yyyymmdd")&amp;"-"&amp;TEXT(COUNTIFS($E$6:$E262,$E262,$C$6:$C262,$C262),"000"))</f>
        <v/>
      </c>
      <c r="C262" s="130"/>
      <c r="D262" s="66" t="str">
        <f aca="false">IFERROR(INDEX(定数マスタ!$C$6:$C$105,MATCH($C262,定数マスタ!$B$6:$B$105,0)),"")</f>
        <v/>
      </c>
      <c r="E262" s="131"/>
      <c r="F262" s="130"/>
      <c r="G262" s="66" t="str">
        <f aca="false">IFERROR(INDEX(商品マスタ!$C$6:$C$1005,MATCH($F262,商品マスタ!$B$6:$B$1005,0)),"")</f>
        <v/>
      </c>
      <c r="H262" s="66" t="str">
        <f aca="false">IFERROR(INDEX(商品マスタ!$E$6:$E$1005,MATCH($F262,商品マスタ!$B$6:$B$1005,0)),"")</f>
        <v/>
      </c>
      <c r="I262" s="69" t="str">
        <f aca="false">IFERROR(INDEX(商品マスタ!$F$6:$F$1005,MATCH($F262,商品マスタ!$B$6:$B$1005,0)),"")</f>
        <v/>
      </c>
      <c r="J262" s="69" t="str">
        <f aca="false">IF(OR($F262="",$C262&lt;&gt;'設定（最初に1回）'!$C$4),"",IFERROR(INDEX(発注計算!$Y$6:$Y$405,MATCH($F262,発注計算!$C$6:$C$405,0)),""))</f>
        <v/>
      </c>
      <c r="K262" s="70"/>
      <c r="L262" s="69" t="str">
        <f aca="false">IF($K262="","",N($K262)*N($I262))</f>
        <v/>
      </c>
      <c r="M262" s="71" t="str">
        <f aca="false">IFERROR(INDEX(商品マスタ!$G$6:$G$1005,MATCH($F262,商品マスタ!$B$6:$B$1005,0)),"")</f>
        <v/>
      </c>
      <c r="N262" s="71" t="str">
        <f aca="false">IF($K262="","",N($K262)*N($M262))</f>
        <v/>
      </c>
      <c r="O262" s="66" t="str">
        <f aca="false">IFERROR(INDEX(商品マスタ!$H$6:$H$1005,MATCH($F262,商品マスタ!$B$6:$B$1005,0)),"")</f>
        <v/>
      </c>
      <c r="P262" s="87" t="str">
        <f aca="false">IF(OR($E262="",$O262=""),"",WORKDAY($E262,$O262))</f>
        <v/>
      </c>
      <c r="Q262" s="80"/>
      <c r="R262" s="131"/>
      <c r="S262" s="69" t="n">
        <f aca="false">IF($Q262="入荷済み",N($L262),0)</f>
        <v>0</v>
      </c>
      <c r="T262" s="80"/>
      <c r="U262" s="80"/>
    </row>
    <row r="263" customFormat="false" ht="15" hidden="false" customHeight="false" outlineLevel="0" collapsed="false">
      <c r="B263" s="66" t="str">
        <f aca="false">IF(OR($E263="",$F263=""),"","PO-"&amp;TEXT($E263,"yyyymmdd")&amp;"-"&amp;TEXT(COUNTIFS($E$6:$E263,$E263,$C$6:$C263,$C263),"000"))</f>
        <v/>
      </c>
      <c r="C263" s="130"/>
      <c r="D263" s="66" t="str">
        <f aca="false">IFERROR(INDEX(定数マスタ!$C$6:$C$105,MATCH($C263,定数マスタ!$B$6:$B$105,0)),"")</f>
        <v/>
      </c>
      <c r="E263" s="131"/>
      <c r="F263" s="130"/>
      <c r="G263" s="66" t="str">
        <f aca="false">IFERROR(INDEX(商品マスタ!$C$6:$C$1005,MATCH($F263,商品マスタ!$B$6:$B$1005,0)),"")</f>
        <v/>
      </c>
      <c r="H263" s="66" t="str">
        <f aca="false">IFERROR(INDEX(商品マスタ!$E$6:$E$1005,MATCH($F263,商品マスタ!$B$6:$B$1005,0)),"")</f>
        <v/>
      </c>
      <c r="I263" s="69" t="str">
        <f aca="false">IFERROR(INDEX(商品マスタ!$F$6:$F$1005,MATCH($F263,商品マスタ!$B$6:$B$1005,0)),"")</f>
        <v/>
      </c>
      <c r="J263" s="69" t="str">
        <f aca="false">IF(OR($F263="",$C263&lt;&gt;'設定（最初に1回）'!$C$4),"",IFERROR(INDEX(発注計算!$Y$6:$Y$405,MATCH($F263,発注計算!$C$6:$C$405,0)),""))</f>
        <v/>
      </c>
      <c r="K263" s="70"/>
      <c r="L263" s="69" t="str">
        <f aca="false">IF($K263="","",N($K263)*N($I263))</f>
        <v/>
      </c>
      <c r="M263" s="71" t="str">
        <f aca="false">IFERROR(INDEX(商品マスタ!$G$6:$G$1005,MATCH($F263,商品マスタ!$B$6:$B$1005,0)),"")</f>
        <v/>
      </c>
      <c r="N263" s="71" t="str">
        <f aca="false">IF($K263="","",N($K263)*N($M263))</f>
        <v/>
      </c>
      <c r="O263" s="66" t="str">
        <f aca="false">IFERROR(INDEX(商品マスタ!$H$6:$H$1005,MATCH($F263,商品マスタ!$B$6:$B$1005,0)),"")</f>
        <v/>
      </c>
      <c r="P263" s="87" t="str">
        <f aca="false">IF(OR($E263="",$O263=""),"",WORKDAY($E263,$O263))</f>
        <v/>
      </c>
      <c r="Q263" s="80"/>
      <c r="R263" s="131"/>
      <c r="S263" s="69" t="n">
        <f aca="false">IF($Q263="入荷済み",N($L263),0)</f>
        <v>0</v>
      </c>
      <c r="T263" s="80"/>
      <c r="U263" s="80"/>
    </row>
    <row r="264" customFormat="false" ht="15" hidden="false" customHeight="false" outlineLevel="0" collapsed="false">
      <c r="B264" s="66" t="str">
        <f aca="false">IF(OR($E264="",$F264=""),"","PO-"&amp;TEXT($E264,"yyyymmdd")&amp;"-"&amp;TEXT(COUNTIFS($E$6:$E264,$E264,$C$6:$C264,$C264),"000"))</f>
        <v/>
      </c>
      <c r="C264" s="130"/>
      <c r="D264" s="66" t="str">
        <f aca="false">IFERROR(INDEX(定数マスタ!$C$6:$C$105,MATCH($C264,定数マスタ!$B$6:$B$105,0)),"")</f>
        <v/>
      </c>
      <c r="E264" s="131"/>
      <c r="F264" s="130"/>
      <c r="G264" s="66" t="str">
        <f aca="false">IFERROR(INDEX(商品マスタ!$C$6:$C$1005,MATCH($F264,商品マスタ!$B$6:$B$1005,0)),"")</f>
        <v/>
      </c>
      <c r="H264" s="66" t="str">
        <f aca="false">IFERROR(INDEX(商品マスタ!$E$6:$E$1005,MATCH($F264,商品マスタ!$B$6:$B$1005,0)),"")</f>
        <v/>
      </c>
      <c r="I264" s="69" t="str">
        <f aca="false">IFERROR(INDEX(商品マスタ!$F$6:$F$1005,MATCH($F264,商品マスタ!$B$6:$B$1005,0)),"")</f>
        <v/>
      </c>
      <c r="J264" s="69" t="str">
        <f aca="false">IF(OR($F264="",$C264&lt;&gt;'設定（最初に1回）'!$C$4),"",IFERROR(INDEX(発注計算!$Y$6:$Y$405,MATCH($F264,発注計算!$C$6:$C$405,0)),""))</f>
        <v/>
      </c>
      <c r="K264" s="70"/>
      <c r="L264" s="69" t="str">
        <f aca="false">IF($K264="","",N($K264)*N($I264))</f>
        <v/>
      </c>
      <c r="M264" s="71" t="str">
        <f aca="false">IFERROR(INDEX(商品マスタ!$G$6:$G$1005,MATCH($F264,商品マスタ!$B$6:$B$1005,0)),"")</f>
        <v/>
      </c>
      <c r="N264" s="71" t="str">
        <f aca="false">IF($K264="","",N($K264)*N($M264))</f>
        <v/>
      </c>
      <c r="O264" s="66" t="str">
        <f aca="false">IFERROR(INDEX(商品マスタ!$H$6:$H$1005,MATCH($F264,商品マスタ!$B$6:$B$1005,0)),"")</f>
        <v/>
      </c>
      <c r="P264" s="87" t="str">
        <f aca="false">IF(OR($E264="",$O264=""),"",WORKDAY($E264,$O264))</f>
        <v/>
      </c>
      <c r="Q264" s="80"/>
      <c r="R264" s="131"/>
      <c r="S264" s="69" t="n">
        <f aca="false">IF($Q264="入荷済み",N($L264),0)</f>
        <v>0</v>
      </c>
      <c r="T264" s="80"/>
      <c r="U264" s="80"/>
    </row>
    <row r="265" customFormat="false" ht="15" hidden="false" customHeight="false" outlineLevel="0" collapsed="false">
      <c r="B265" s="66" t="str">
        <f aca="false">IF(OR($E265="",$F265=""),"","PO-"&amp;TEXT($E265,"yyyymmdd")&amp;"-"&amp;TEXT(COUNTIFS($E$6:$E265,$E265,$C$6:$C265,$C265),"000"))</f>
        <v/>
      </c>
      <c r="C265" s="130"/>
      <c r="D265" s="66" t="str">
        <f aca="false">IFERROR(INDEX(定数マスタ!$C$6:$C$105,MATCH($C265,定数マスタ!$B$6:$B$105,0)),"")</f>
        <v/>
      </c>
      <c r="E265" s="131"/>
      <c r="F265" s="130"/>
      <c r="G265" s="66" t="str">
        <f aca="false">IFERROR(INDEX(商品マスタ!$C$6:$C$1005,MATCH($F265,商品マスタ!$B$6:$B$1005,0)),"")</f>
        <v/>
      </c>
      <c r="H265" s="66" t="str">
        <f aca="false">IFERROR(INDEX(商品マスタ!$E$6:$E$1005,MATCH($F265,商品マスタ!$B$6:$B$1005,0)),"")</f>
        <v/>
      </c>
      <c r="I265" s="69" t="str">
        <f aca="false">IFERROR(INDEX(商品マスタ!$F$6:$F$1005,MATCH($F265,商品マスタ!$B$6:$B$1005,0)),"")</f>
        <v/>
      </c>
      <c r="J265" s="69" t="str">
        <f aca="false">IF(OR($F265="",$C265&lt;&gt;'設定（最初に1回）'!$C$4),"",IFERROR(INDEX(発注計算!$Y$6:$Y$405,MATCH($F265,発注計算!$C$6:$C$405,0)),""))</f>
        <v/>
      </c>
      <c r="K265" s="70"/>
      <c r="L265" s="69" t="str">
        <f aca="false">IF($K265="","",N($K265)*N($I265))</f>
        <v/>
      </c>
      <c r="M265" s="71" t="str">
        <f aca="false">IFERROR(INDEX(商品マスタ!$G$6:$G$1005,MATCH($F265,商品マスタ!$B$6:$B$1005,0)),"")</f>
        <v/>
      </c>
      <c r="N265" s="71" t="str">
        <f aca="false">IF($K265="","",N($K265)*N($M265))</f>
        <v/>
      </c>
      <c r="O265" s="66" t="str">
        <f aca="false">IFERROR(INDEX(商品マスタ!$H$6:$H$1005,MATCH($F265,商品マスタ!$B$6:$B$1005,0)),"")</f>
        <v/>
      </c>
      <c r="P265" s="87" t="str">
        <f aca="false">IF(OR($E265="",$O265=""),"",WORKDAY($E265,$O265))</f>
        <v/>
      </c>
      <c r="Q265" s="80"/>
      <c r="R265" s="131"/>
      <c r="S265" s="69" t="n">
        <f aca="false">IF($Q265="入荷済み",N($L265),0)</f>
        <v>0</v>
      </c>
      <c r="T265" s="80"/>
      <c r="U265" s="80"/>
    </row>
    <row r="266" customFormat="false" ht="15" hidden="false" customHeight="false" outlineLevel="0" collapsed="false">
      <c r="B266" s="66" t="str">
        <f aca="false">IF(OR($E266="",$F266=""),"","PO-"&amp;TEXT($E266,"yyyymmdd")&amp;"-"&amp;TEXT(COUNTIFS($E$6:$E266,$E266,$C$6:$C266,$C266),"000"))</f>
        <v/>
      </c>
      <c r="C266" s="130"/>
      <c r="D266" s="66" t="str">
        <f aca="false">IFERROR(INDEX(定数マスタ!$C$6:$C$105,MATCH($C266,定数マスタ!$B$6:$B$105,0)),"")</f>
        <v/>
      </c>
      <c r="E266" s="131"/>
      <c r="F266" s="130"/>
      <c r="G266" s="66" t="str">
        <f aca="false">IFERROR(INDEX(商品マスタ!$C$6:$C$1005,MATCH($F266,商品マスタ!$B$6:$B$1005,0)),"")</f>
        <v/>
      </c>
      <c r="H266" s="66" t="str">
        <f aca="false">IFERROR(INDEX(商品マスタ!$E$6:$E$1005,MATCH($F266,商品マスタ!$B$6:$B$1005,0)),"")</f>
        <v/>
      </c>
      <c r="I266" s="69" t="str">
        <f aca="false">IFERROR(INDEX(商品マスタ!$F$6:$F$1005,MATCH($F266,商品マスタ!$B$6:$B$1005,0)),"")</f>
        <v/>
      </c>
      <c r="J266" s="69" t="str">
        <f aca="false">IF(OR($F266="",$C266&lt;&gt;'設定（最初に1回）'!$C$4),"",IFERROR(INDEX(発注計算!$Y$6:$Y$405,MATCH($F266,発注計算!$C$6:$C$405,0)),""))</f>
        <v/>
      </c>
      <c r="K266" s="70"/>
      <c r="L266" s="69" t="str">
        <f aca="false">IF($K266="","",N($K266)*N($I266))</f>
        <v/>
      </c>
      <c r="M266" s="71" t="str">
        <f aca="false">IFERROR(INDEX(商品マスタ!$G$6:$G$1005,MATCH($F266,商品マスタ!$B$6:$B$1005,0)),"")</f>
        <v/>
      </c>
      <c r="N266" s="71" t="str">
        <f aca="false">IF($K266="","",N($K266)*N($M266))</f>
        <v/>
      </c>
      <c r="O266" s="66" t="str">
        <f aca="false">IFERROR(INDEX(商品マスタ!$H$6:$H$1005,MATCH($F266,商品マスタ!$B$6:$B$1005,0)),"")</f>
        <v/>
      </c>
      <c r="P266" s="87" t="str">
        <f aca="false">IF(OR($E266="",$O266=""),"",WORKDAY($E266,$O266))</f>
        <v/>
      </c>
      <c r="Q266" s="80"/>
      <c r="R266" s="131"/>
      <c r="S266" s="69" t="n">
        <f aca="false">IF($Q266="入荷済み",N($L266),0)</f>
        <v>0</v>
      </c>
      <c r="T266" s="80"/>
      <c r="U266" s="80"/>
    </row>
    <row r="267" customFormat="false" ht="15" hidden="false" customHeight="false" outlineLevel="0" collapsed="false">
      <c r="B267" s="66" t="str">
        <f aca="false">IF(OR($E267="",$F267=""),"","PO-"&amp;TEXT($E267,"yyyymmdd")&amp;"-"&amp;TEXT(COUNTIFS($E$6:$E267,$E267,$C$6:$C267,$C267),"000"))</f>
        <v/>
      </c>
      <c r="C267" s="130"/>
      <c r="D267" s="66" t="str">
        <f aca="false">IFERROR(INDEX(定数マスタ!$C$6:$C$105,MATCH($C267,定数マスタ!$B$6:$B$105,0)),"")</f>
        <v/>
      </c>
      <c r="E267" s="131"/>
      <c r="F267" s="130"/>
      <c r="G267" s="66" t="str">
        <f aca="false">IFERROR(INDEX(商品マスタ!$C$6:$C$1005,MATCH($F267,商品マスタ!$B$6:$B$1005,0)),"")</f>
        <v/>
      </c>
      <c r="H267" s="66" t="str">
        <f aca="false">IFERROR(INDEX(商品マスタ!$E$6:$E$1005,MATCH($F267,商品マスタ!$B$6:$B$1005,0)),"")</f>
        <v/>
      </c>
      <c r="I267" s="69" t="str">
        <f aca="false">IFERROR(INDEX(商品マスタ!$F$6:$F$1005,MATCH($F267,商品マスタ!$B$6:$B$1005,0)),"")</f>
        <v/>
      </c>
      <c r="J267" s="69" t="str">
        <f aca="false">IF(OR($F267="",$C267&lt;&gt;'設定（最初に1回）'!$C$4),"",IFERROR(INDEX(発注計算!$Y$6:$Y$405,MATCH($F267,発注計算!$C$6:$C$405,0)),""))</f>
        <v/>
      </c>
      <c r="K267" s="70"/>
      <c r="L267" s="69" t="str">
        <f aca="false">IF($K267="","",N($K267)*N($I267))</f>
        <v/>
      </c>
      <c r="M267" s="71" t="str">
        <f aca="false">IFERROR(INDEX(商品マスタ!$G$6:$G$1005,MATCH($F267,商品マスタ!$B$6:$B$1005,0)),"")</f>
        <v/>
      </c>
      <c r="N267" s="71" t="str">
        <f aca="false">IF($K267="","",N($K267)*N($M267))</f>
        <v/>
      </c>
      <c r="O267" s="66" t="str">
        <f aca="false">IFERROR(INDEX(商品マスタ!$H$6:$H$1005,MATCH($F267,商品マスタ!$B$6:$B$1005,0)),"")</f>
        <v/>
      </c>
      <c r="P267" s="87" t="str">
        <f aca="false">IF(OR($E267="",$O267=""),"",WORKDAY($E267,$O267))</f>
        <v/>
      </c>
      <c r="Q267" s="80"/>
      <c r="R267" s="131"/>
      <c r="S267" s="69" t="n">
        <f aca="false">IF($Q267="入荷済み",N($L267),0)</f>
        <v>0</v>
      </c>
      <c r="T267" s="80"/>
      <c r="U267" s="80"/>
    </row>
    <row r="268" customFormat="false" ht="15" hidden="false" customHeight="false" outlineLevel="0" collapsed="false">
      <c r="B268" s="66" t="str">
        <f aca="false">IF(OR($E268="",$F268=""),"","PO-"&amp;TEXT($E268,"yyyymmdd")&amp;"-"&amp;TEXT(COUNTIFS($E$6:$E268,$E268,$C$6:$C268,$C268),"000"))</f>
        <v/>
      </c>
      <c r="C268" s="130"/>
      <c r="D268" s="66" t="str">
        <f aca="false">IFERROR(INDEX(定数マスタ!$C$6:$C$105,MATCH($C268,定数マスタ!$B$6:$B$105,0)),"")</f>
        <v/>
      </c>
      <c r="E268" s="131"/>
      <c r="F268" s="130"/>
      <c r="G268" s="66" t="str">
        <f aca="false">IFERROR(INDEX(商品マスタ!$C$6:$C$1005,MATCH($F268,商品マスタ!$B$6:$B$1005,0)),"")</f>
        <v/>
      </c>
      <c r="H268" s="66" t="str">
        <f aca="false">IFERROR(INDEX(商品マスタ!$E$6:$E$1005,MATCH($F268,商品マスタ!$B$6:$B$1005,0)),"")</f>
        <v/>
      </c>
      <c r="I268" s="69" t="str">
        <f aca="false">IFERROR(INDEX(商品マスタ!$F$6:$F$1005,MATCH($F268,商品マスタ!$B$6:$B$1005,0)),"")</f>
        <v/>
      </c>
      <c r="J268" s="69" t="str">
        <f aca="false">IF(OR($F268="",$C268&lt;&gt;'設定（最初に1回）'!$C$4),"",IFERROR(INDEX(発注計算!$Y$6:$Y$405,MATCH($F268,発注計算!$C$6:$C$405,0)),""))</f>
        <v/>
      </c>
      <c r="K268" s="70"/>
      <c r="L268" s="69" t="str">
        <f aca="false">IF($K268="","",N($K268)*N($I268))</f>
        <v/>
      </c>
      <c r="M268" s="71" t="str">
        <f aca="false">IFERROR(INDEX(商品マスタ!$G$6:$G$1005,MATCH($F268,商品マスタ!$B$6:$B$1005,0)),"")</f>
        <v/>
      </c>
      <c r="N268" s="71" t="str">
        <f aca="false">IF($K268="","",N($K268)*N($M268))</f>
        <v/>
      </c>
      <c r="O268" s="66" t="str">
        <f aca="false">IFERROR(INDEX(商品マスタ!$H$6:$H$1005,MATCH($F268,商品マスタ!$B$6:$B$1005,0)),"")</f>
        <v/>
      </c>
      <c r="P268" s="87" t="str">
        <f aca="false">IF(OR($E268="",$O268=""),"",WORKDAY($E268,$O268))</f>
        <v/>
      </c>
      <c r="Q268" s="80"/>
      <c r="R268" s="131"/>
      <c r="S268" s="69" t="n">
        <f aca="false">IF($Q268="入荷済み",N($L268),0)</f>
        <v>0</v>
      </c>
      <c r="T268" s="80"/>
      <c r="U268" s="80"/>
    </row>
    <row r="269" customFormat="false" ht="15" hidden="false" customHeight="false" outlineLevel="0" collapsed="false">
      <c r="B269" s="66" t="str">
        <f aca="false">IF(OR($E269="",$F269=""),"","PO-"&amp;TEXT($E269,"yyyymmdd")&amp;"-"&amp;TEXT(COUNTIFS($E$6:$E269,$E269,$C$6:$C269,$C269),"000"))</f>
        <v/>
      </c>
      <c r="C269" s="130"/>
      <c r="D269" s="66" t="str">
        <f aca="false">IFERROR(INDEX(定数マスタ!$C$6:$C$105,MATCH($C269,定数マスタ!$B$6:$B$105,0)),"")</f>
        <v/>
      </c>
      <c r="E269" s="131"/>
      <c r="F269" s="130"/>
      <c r="G269" s="66" t="str">
        <f aca="false">IFERROR(INDEX(商品マスタ!$C$6:$C$1005,MATCH($F269,商品マスタ!$B$6:$B$1005,0)),"")</f>
        <v/>
      </c>
      <c r="H269" s="66" t="str">
        <f aca="false">IFERROR(INDEX(商品マスタ!$E$6:$E$1005,MATCH($F269,商品マスタ!$B$6:$B$1005,0)),"")</f>
        <v/>
      </c>
      <c r="I269" s="69" t="str">
        <f aca="false">IFERROR(INDEX(商品マスタ!$F$6:$F$1005,MATCH($F269,商品マスタ!$B$6:$B$1005,0)),"")</f>
        <v/>
      </c>
      <c r="J269" s="69" t="str">
        <f aca="false">IF(OR($F269="",$C269&lt;&gt;'設定（最初に1回）'!$C$4),"",IFERROR(INDEX(発注計算!$Y$6:$Y$405,MATCH($F269,発注計算!$C$6:$C$405,0)),""))</f>
        <v/>
      </c>
      <c r="K269" s="70"/>
      <c r="L269" s="69" t="str">
        <f aca="false">IF($K269="","",N($K269)*N($I269))</f>
        <v/>
      </c>
      <c r="M269" s="71" t="str">
        <f aca="false">IFERROR(INDEX(商品マスタ!$G$6:$G$1005,MATCH($F269,商品マスタ!$B$6:$B$1005,0)),"")</f>
        <v/>
      </c>
      <c r="N269" s="71" t="str">
        <f aca="false">IF($K269="","",N($K269)*N($M269))</f>
        <v/>
      </c>
      <c r="O269" s="66" t="str">
        <f aca="false">IFERROR(INDEX(商品マスタ!$H$6:$H$1005,MATCH($F269,商品マスタ!$B$6:$B$1005,0)),"")</f>
        <v/>
      </c>
      <c r="P269" s="87" t="str">
        <f aca="false">IF(OR($E269="",$O269=""),"",WORKDAY($E269,$O269))</f>
        <v/>
      </c>
      <c r="Q269" s="80"/>
      <c r="R269" s="131"/>
      <c r="S269" s="69" t="n">
        <f aca="false">IF($Q269="入荷済み",N($L269),0)</f>
        <v>0</v>
      </c>
      <c r="T269" s="80"/>
      <c r="U269" s="80"/>
    </row>
    <row r="270" customFormat="false" ht="15" hidden="false" customHeight="false" outlineLevel="0" collapsed="false">
      <c r="B270" s="66" t="str">
        <f aca="false">IF(OR($E270="",$F270=""),"","PO-"&amp;TEXT($E270,"yyyymmdd")&amp;"-"&amp;TEXT(COUNTIFS($E$6:$E270,$E270,$C$6:$C270,$C270),"000"))</f>
        <v/>
      </c>
      <c r="C270" s="130"/>
      <c r="D270" s="66" t="str">
        <f aca="false">IFERROR(INDEX(定数マスタ!$C$6:$C$105,MATCH($C270,定数マスタ!$B$6:$B$105,0)),"")</f>
        <v/>
      </c>
      <c r="E270" s="131"/>
      <c r="F270" s="130"/>
      <c r="G270" s="66" t="str">
        <f aca="false">IFERROR(INDEX(商品マスタ!$C$6:$C$1005,MATCH($F270,商品マスタ!$B$6:$B$1005,0)),"")</f>
        <v/>
      </c>
      <c r="H270" s="66" t="str">
        <f aca="false">IFERROR(INDEX(商品マスタ!$E$6:$E$1005,MATCH($F270,商品マスタ!$B$6:$B$1005,0)),"")</f>
        <v/>
      </c>
      <c r="I270" s="69" t="str">
        <f aca="false">IFERROR(INDEX(商品マスタ!$F$6:$F$1005,MATCH($F270,商品マスタ!$B$6:$B$1005,0)),"")</f>
        <v/>
      </c>
      <c r="J270" s="69" t="str">
        <f aca="false">IF(OR($F270="",$C270&lt;&gt;'設定（最初に1回）'!$C$4),"",IFERROR(INDEX(発注計算!$Y$6:$Y$405,MATCH($F270,発注計算!$C$6:$C$405,0)),""))</f>
        <v/>
      </c>
      <c r="K270" s="70"/>
      <c r="L270" s="69" t="str">
        <f aca="false">IF($K270="","",N($K270)*N($I270))</f>
        <v/>
      </c>
      <c r="M270" s="71" t="str">
        <f aca="false">IFERROR(INDEX(商品マスタ!$G$6:$G$1005,MATCH($F270,商品マスタ!$B$6:$B$1005,0)),"")</f>
        <v/>
      </c>
      <c r="N270" s="71" t="str">
        <f aca="false">IF($K270="","",N($K270)*N($M270))</f>
        <v/>
      </c>
      <c r="O270" s="66" t="str">
        <f aca="false">IFERROR(INDEX(商品マスタ!$H$6:$H$1005,MATCH($F270,商品マスタ!$B$6:$B$1005,0)),"")</f>
        <v/>
      </c>
      <c r="P270" s="87" t="str">
        <f aca="false">IF(OR($E270="",$O270=""),"",WORKDAY($E270,$O270))</f>
        <v/>
      </c>
      <c r="Q270" s="80"/>
      <c r="R270" s="131"/>
      <c r="S270" s="69" t="n">
        <f aca="false">IF($Q270="入荷済み",N($L270),0)</f>
        <v>0</v>
      </c>
      <c r="T270" s="80"/>
      <c r="U270" s="80"/>
    </row>
    <row r="271" customFormat="false" ht="15" hidden="false" customHeight="false" outlineLevel="0" collapsed="false">
      <c r="B271" s="66" t="str">
        <f aca="false">IF(OR($E271="",$F271=""),"","PO-"&amp;TEXT($E271,"yyyymmdd")&amp;"-"&amp;TEXT(COUNTIFS($E$6:$E271,$E271,$C$6:$C271,$C271),"000"))</f>
        <v/>
      </c>
      <c r="C271" s="130"/>
      <c r="D271" s="66" t="str">
        <f aca="false">IFERROR(INDEX(定数マスタ!$C$6:$C$105,MATCH($C271,定数マスタ!$B$6:$B$105,0)),"")</f>
        <v/>
      </c>
      <c r="E271" s="131"/>
      <c r="F271" s="130"/>
      <c r="G271" s="66" t="str">
        <f aca="false">IFERROR(INDEX(商品マスタ!$C$6:$C$1005,MATCH($F271,商品マスタ!$B$6:$B$1005,0)),"")</f>
        <v/>
      </c>
      <c r="H271" s="66" t="str">
        <f aca="false">IFERROR(INDEX(商品マスタ!$E$6:$E$1005,MATCH($F271,商品マスタ!$B$6:$B$1005,0)),"")</f>
        <v/>
      </c>
      <c r="I271" s="69" t="str">
        <f aca="false">IFERROR(INDEX(商品マスタ!$F$6:$F$1005,MATCH($F271,商品マスタ!$B$6:$B$1005,0)),"")</f>
        <v/>
      </c>
      <c r="J271" s="69" t="str">
        <f aca="false">IF(OR($F271="",$C271&lt;&gt;'設定（最初に1回）'!$C$4),"",IFERROR(INDEX(発注計算!$Y$6:$Y$405,MATCH($F271,発注計算!$C$6:$C$405,0)),""))</f>
        <v/>
      </c>
      <c r="K271" s="70"/>
      <c r="L271" s="69" t="str">
        <f aca="false">IF($K271="","",N($K271)*N($I271))</f>
        <v/>
      </c>
      <c r="M271" s="71" t="str">
        <f aca="false">IFERROR(INDEX(商品マスタ!$G$6:$G$1005,MATCH($F271,商品マスタ!$B$6:$B$1005,0)),"")</f>
        <v/>
      </c>
      <c r="N271" s="71" t="str">
        <f aca="false">IF($K271="","",N($K271)*N($M271))</f>
        <v/>
      </c>
      <c r="O271" s="66" t="str">
        <f aca="false">IFERROR(INDEX(商品マスタ!$H$6:$H$1005,MATCH($F271,商品マスタ!$B$6:$B$1005,0)),"")</f>
        <v/>
      </c>
      <c r="P271" s="87" t="str">
        <f aca="false">IF(OR($E271="",$O271=""),"",WORKDAY($E271,$O271))</f>
        <v/>
      </c>
      <c r="Q271" s="80"/>
      <c r="R271" s="131"/>
      <c r="S271" s="69" t="n">
        <f aca="false">IF($Q271="入荷済み",N($L271),0)</f>
        <v>0</v>
      </c>
      <c r="T271" s="80"/>
      <c r="U271" s="80"/>
    </row>
    <row r="272" customFormat="false" ht="15" hidden="false" customHeight="false" outlineLevel="0" collapsed="false">
      <c r="B272" s="66" t="str">
        <f aca="false">IF(OR($E272="",$F272=""),"","PO-"&amp;TEXT($E272,"yyyymmdd")&amp;"-"&amp;TEXT(COUNTIFS($E$6:$E272,$E272,$C$6:$C272,$C272),"000"))</f>
        <v/>
      </c>
      <c r="C272" s="130"/>
      <c r="D272" s="66" t="str">
        <f aca="false">IFERROR(INDEX(定数マスタ!$C$6:$C$105,MATCH($C272,定数マスタ!$B$6:$B$105,0)),"")</f>
        <v/>
      </c>
      <c r="E272" s="131"/>
      <c r="F272" s="130"/>
      <c r="G272" s="66" t="str">
        <f aca="false">IFERROR(INDEX(商品マスタ!$C$6:$C$1005,MATCH($F272,商品マスタ!$B$6:$B$1005,0)),"")</f>
        <v/>
      </c>
      <c r="H272" s="66" t="str">
        <f aca="false">IFERROR(INDEX(商品マスタ!$E$6:$E$1005,MATCH($F272,商品マスタ!$B$6:$B$1005,0)),"")</f>
        <v/>
      </c>
      <c r="I272" s="69" t="str">
        <f aca="false">IFERROR(INDEX(商品マスタ!$F$6:$F$1005,MATCH($F272,商品マスタ!$B$6:$B$1005,0)),"")</f>
        <v/>
      </c>
      <c r="J272" s="69" t="str">
        <f aca="false">IF(OR($F272="",$C272&lt;&gt;'設定（最初に1回）'!$C$4),"",IFERROR(INDEX(発注計算!$Y$6:$Y$405,MATCH($F272,発注計算!$C$6:$C$405,0)),""))</f>
        <v/>
      </c>
      <c r="K272" s="70"/>
      <c r="L272" s="69" t="str">
        <f aca="false">IF($K272="","",N($K272)*N($I272))</f>
        <v/>
      </c>
      <c r="M272" s="71" t="str">
        <f aca="false">IFERROR(INDEX(商品マスタ!$G$6:$G$1005,MATCH($F272,商品マスタ!$B$6:$B$1005,0)),"")</f>
        <v/>
      </c>
      <c r="N272" s="71" t="str">
        <f aca="false">IF($K272="","",N($K272)*N($M272))</f>
        <v/>
      </c>
      <c r="O272" s="66" t="str">
        <f aca="false">IFERROR(INDEX(商品マスタ!$H$6:$H$1005,MATCH($F272,商品マスタ!$B$6:$B$1005,0)),"")</f>
        <v/>
      </c>
      <c r="P272" s="87" t="str">
        <f aca="false">IF(OR($E272="",$O272=""),"",WORKDAY($E272,$O272))</f>
        <v/>
      </c>
      <c r="Q272" s="80"/>
      <c r="R272" s="131"/>
      <c r="S272" s="69" t="n">
        <f aca="false">IF($Q272="入荷済み",N($L272),0)</f>
        <v>0</v>
      </c>
      <c r="T272" s="80"/>
      <c r="U272" s="80"/>
    </row>
    <row r="273" customFormat="false" ht="15" hidden="false" customHeight="false" outlineLevel="0" collapsed="false">
      <c r="B273" s="66" t="str">
        <f aca="false">IF(OR($E273="",$F273=""),"","PO-"&amp;TEXT($E273,"yyyymmdd")&amp;"-"&amp;TEXT(COUNTIFS($E$6:$E273,$E273,$C$6:$C273,$C273),"000"))</f>
        <v/>
      </c>
      <c r="C273" s="130"/>
      <c r="D273" s="66" t="str">
        <f aca="false">IFERROR(INDEX(定数マスタ!$C$6:$C$105,MATCH($C273,定数マスタ!$B$6:$B$105,0)),"")</f>
        <v/>
      </c>
      <c r="E273" s="131"/>
      <c r="F273" s="130"/>
      <c r="G273" s="66" t="str">
        <f aca="false">IFERROR(INDEX(商品マスタ!$C$6:$C$1005,MATCH($F273,商品マスタ!$B$6:$B$1005,0)),"")</f>
        <v/>
      </c>
      <c r="H273" s="66" t="str">
        <f aca="false">IFERROR(INDEX(商品マスタ!$E$6:$E$1005,MATCH($F273,商品マスタ!$B$6:$B$1005,0)),"")</f>
        <v/>
      </c>
      <c r="I273" s="69" t="str">
        <f aca="false">IFERROR(INDEX(商品マスタ!$F$6:$F$1005,MATCH($F273,商品マスタ!$B$6:$B$1005,0)),"")</f>
        <v/>
      </c>
      <c r="J273" s="69" t="str">
        <f aca="false">IF(OR($F273="",$C273&lt;&gt;'設定（最初に1回）'!$C$4),"",IFERROR(INDEX(発注計算!$Y$6:$Y$405,MATCH($F273,発注計算!$C$6:$C$405,0)),""))</f>
        <v/>
      </c>
      <c r="K273" s="70"/>
      <c r="L273" s="69" t="str">
        <f aca="false">IF($K273="","",N($K273)*N($I273))</f>
        <v/>
      </c>
      <c r="M273" s="71" t="str">
        <f aca="false">IFERROR(INDEX(商品マスタ!$G$6:$G$1005,MATCH($F273,商品マスタ!$B$6:$B$1005,0)),"")</f>
        <v/>
      </c>
      <c r="N273" s="71" t="str">
        <f aca="false">IF($K273="","",N($K273)*N($M273))</f>
        <v/>
      </c>
      <c r="O273" s="66" t="str">
        <f aca="false">IFERROR(INDEX(商品マスタ!$H$6:$H$1005,MATCH($F273,商品マスタ!$B$6:$B$1005,0)),"")</f>
        <v/>
      </c>
      <c r="P273" s="87" t="str">
        <f aca="false">IF(OR($E273="",$O273=""),"",WORKDAY($E273,$O273))</f>
        <v/>
      </c>
      <c r="Q273" s="80"/>
      <c r="R273" s="131"/>
      <c r="S273" s="69" t="n">
        <f aca="false">IF($Q273="入荷済み",N($L273),0)</f>
        <v>0</v>
      </c>
      <c r="T273" s="80"/>
      <c r="U273" s="80"/>
    </row>
    <row r="274" customFormat="false" ht="15" hidden="false" customHeight="false" outlineLevel="0" collapsed="false">
      <c r="B274" s="66" t="str">
        <f aca="false">IF(OR($E274="",$F274=""),"","PO-"&amp;TEXT($E274,"yyyymmdd")&amp;"-"&amp;TEXT(COUNTIFS($E$6:$E274,$E274,$C$6:$C274,$C274),"000"))</f>
        <v/>
      </c>
      <c r="C274" s="130"/>
      <c r="D274" s="66" t="str">
        <f aca="false">IFERROR(INDEX(定数マスタ!$C$6:$C$105,MATCH($C274,定数マスタ!$B$6:$B$105,0)),"")</f>
        <v/>
      </c>
      <c r="E274" s="131"/>
      <c r="F274" s="130"/>
      <c r="G274" s="66" t="str">
        <f aca="false">IFERROR(INDEX(商品マスタ!$C$6:$C$1005,MATCH($F274,商品マスタ!$B$6:$B$1005,0)),"")</f>
        <v/>
      </c>
      <c r="H274" s="66" t="str">
        <f aca="false">IFERROR(INDEX(商品マスタ!$E$6:$E$1005,MATCH($F274,商品マスタ!$B$6:$B$1005,0)),"")</f>
        <v/>
      </c>
      <c r="I274" s="69" t="str">
        <f aca="false">IFERROR(INDEX(商品マスタ!$F$6:$F$1005,MATCH($F274,商品マスタ!$B$6:$B$1005,0)),"")</f>
        <v/>
      </c>
      <c r="J274" s="69" t="str">
        <f aca="false">IF(OR($F274="",$C274&lt;&gt;'設定（最初に1回）'!$C$4),"",IFERROR(INDEX(発注計算!$Y$6:$Y$405,MATCH($F274,発注計算!$C$6:$C$405,0)),""))</f>
        <v/>
      </c>
      <c r="K274" s="70"/>
      <c r="L274" s="69" t="str">
        <f aca="false">IF($K274="","",N($K274)*N($I274))</f>
        <v/>
      </c>
      <c r="M274" s="71" t="str">
        <f aca="false">IFERROR(INDEX(商品マスタ!$G$6:$G$1005,MATCH($F274,商品マスタ!$B$6:$B$1005,0)),"")</f>
        <v/>
      </c>
      <c r="N274" s="71" t="str">
        <f aca="false">IF($K274="","",N($K274)*N($M274))</f>
        <v/>
      </c>
      <c r="O274" s="66" t="str">
        <f aca="false">IFERROR(INDEX(商品マスタ!$H$6:$H$1005,MATCH($F274,商品マスタ!$B$6:$B$1005,0)),"")</f>
        <v/>
      </c>
      <c r="P274" s="87" t="str">
        <f aca="false">IF(OR($E274="",$O274=""),"",WORKDAY($E274,$O274))</f>
        <v/>
      </c>
      <c r="Q274" s="80"/>
      <c r="R274" s="131"/>
      <c r="S274" s="69" t="n">
        <f aca="false">IF($Q274="入荷済み",N($L274),0)</f>
        <v>0</v>
      </c>
      <c r="T274" s="80"/>
      <c r="U274" s="80"/>
    </row>
    <row r="275" customFormat="false" ht="15" hidden="false" customHeight="false" outlineLevel="0" collapsed="false">
      <c r="B275" s="66" t="str">
        <f aca="false">IF(OR($E275="",$F275=""),"","PO-"&amp;TEXT($E275,"yyyymmdd")&amp;"-"&amp;TEXT(COUNTIFS($E$6:$E275,$E275,$C$6:$C275,$C275),"000"))</f>
        <v/>
      </c>
      <c r="C275" s="130"/>
      <c r="D275" s="66" t="str">
        <f aca="false">IFERROR(INDEX(定数マスタ!$C$6:$C$105,MATCH($C275,定数マスタ!$B$6:$B$105,0)),"")</f>
        <v/>
      </c>
      <c r="E275" s="131"/>
      <c r="F275" s="130"/>
      <c r="G275" s="66" t="str">
        <f aca="false">IFERROR(INDEX(商品マスタ!$C$6:$C$1005,MATCH($F275,商品マスタ!$B$6:$B$1005,0)),"")</f>
        <v/>
      </c>
      <c r="H275" s="66" t="str">
        <f aca="false">IFERROR(INDEX(商品マスタ!$E$6:$E$1005,MATCH($F275,商品マスタ!$B$6:$B$1005,0)),"")</f>
        <v/>
      </c>
      <c r="I275" s="69" t="str">
        <f aca="false">IFERROR(INDEX(商品マスタ!$F$6:$F$1005,MATCH($F275,商品マスタ!$B$6:$B$1005,0)),"")</f>
        <v/>
      </c>
      <c r="J275" s="69" t="str">
        <f aca="false">IF(OR($F275="",$C275&lt;&gt;'設定（最初に1回）'!$C$4),"",IFERROR(INDEX(発注計算!$Y$6:$Y$405,MATCH($F275,発注計算!$C$6:$C$405,0)),""))</f>
        <v/>
      </c>
      <c r="K275" s="70"/>
      <c r="L275" s="69" t="str">
        <f aca="false">IF($K275="","",N($K275)*N($I275))</f>
        <v/>
      </c>
      <c r="M275" s="71" t="str">
        <f aca="false">IFERROR(INDEX(商品マスタ!$G$6:$G$1005,MATCH($F275,商品マスタ!$B$6:$B$1005,0)),"")</f>
        <v/>
      </c>
      <c r="N275" s="71" t="str">
        <f aca="false">IF($K275="","",N($K275)*N($M275))</f>
        <v/>
      </c>
      <c r="O275" s="66" t="str">
        <f aca="false">IFERROR(INDEX(商品マスタ!$H$6:$H$1005,MATCH($F275,商品マスタ!$B$6:$B$1005,0)),"")</f>
        <v/>
      </c>
      <c r="P275" s="87" t="str">
        <f aca="false">IF(OR($E275="",$O275=""),"",WORKDAY($E275,$O275))</f>
        <v/>
      </c>
      <c r="Q275" s="80"/>
      <c r="R275" s="131"/>
      <c r="S275" s="69" t="n">
        <f aca="false">IF($Q275="入荷済み",N($L275),0)</f>
        <v>0</v>
      </c>
      <c r="T275" s="80"/>
      <c r="U275" s="80"/>
    </row>
    <row r="276" customFormat="false" ht="15" hidden="false" customHeight="false" outlineLevel="0" collapsed="false">
      <c r="B276" s="66" t="str">
        <f aca="false">IF(OR($E276="",$F276=""),"","PO-"&amp;TEXT($E276,"yyyymmdd")&amp;"-"&amp;TEXT(COUNTIFS($E$6:$E276,$E276,$C$6:$C276,$C276),"000"))</f>
        <v/>
      </c>
      <c r="C276" s="130"/>
      <c r="D276" s="66" t="str">
        <f aca="false">IFERROR(INDEX(定数マスタ!$C$6:$C$105,MATCH($C276,定数マスタ!$B$6:$B$105,0)),"")</f>
        <v/>
      </c>
      <c r="E276" s="131"/>
      <c r="F276" s="130"/>
      <c r="G276" s="66" t="str">
        <f aca="false">IFERROR(INDEX(商品マスタ!$C$6:$C$1005,MATCH($F276,商品マスタ!$B$6:$B$1005,0)),"")</f>
        <v/>
      </c>
      <c r="H276" s="66" t="str">
        <f aca="false">IFERROR(INDEX(商品マスタ!$E$6:$E$1005,MATCH($F276,商品マスタ!$B$6:$B$1005,0)),"")</f>
        <v/>
      </c>
      <c r="I276" s="69" t="str">
        <f aca="false">IFERROR(INDEX(商品マスタ!$F$6:$F$1005,MATCH($F276,商品マスタ!$B$6:$B$1005,0)),"")</f>
        <v/>
      </c>
      <c r="J276" s="69" t="str">
        <f aca="false">IF(OR($F276="",$C276&lt;&gt;'設定（最初に1回）'!$C$4),"",IFERROR(INDEX(発注計算!$Y$6:$Y$405,MATCH($F276,発注計算!$C$6:$C$405,0)),""))</f>
        <v/>
      </c>
      <c r="K276" s="70"/>
      <c r="L276" s="69" t="str">
        <f aca="false">IF($K276="","",N($K276)*N($I276))</f>
        <v/>
      </c>
      <c r="M276" s="71" t="str">
        <f aca="false">IFERROR(INDEX(商品マスタ!$G$6:$G$1005,MATCH($F276,商品マスタ!$B$6:$B$1005,0)),"")</f>
        <v/>
      </c>
      <c r="N276" s="71" t="str">
        <f aca="false">IF($K276="","",N($K276)*N($M276))</f>
        <v/>
      </c>
      <c r="O276" s="66" t="str">
        <f aca="false">IFERROR(INDEX(商品マスタ!$H$6:$H$1005,MATCH($F276,商品マスタ!$B$6:$B$1005,0)),"")</f>
        <v/>
      </c>
      <c r="P276" s="87" t="str">
        <f aca="false">IF(OR($E276="",$O276=""),"",WORKDAY($E276,$O276))</f>
        <v/>
      </c>
      <c r="Q276" s="80"/>
      <c r="R276" s="131"/>
      <c r="S276" s="69" t="n">
        <f aca="false">IF($Q276="入荷済み",N($L276),0)</f>
        <v>0</v>
      </c>
      <c r="T276" s="80"/>
      <c r="U276" s="80"/>
    </row>
    <row r="277" customFormat="false" ht="15" hidden="false" customHeight="false" outlineLevel="0" collapsed="false">
      <c r="B277" s="66" t="str">
        <f aca="false">IF(OR($E277="",$F277=""),"","PO-"&amp;TEXT($E277,"yyyymmdd")&amp;"-"&amp;TEXT(COUNTIFS($E$6:$E277,$E277,$C$6:$C277,$C277),"000"))</f>
        <v/>
      </c>
      <c r="C277" s="130"/>
      <c r="D277" s="66" t="str">
        <f aca="false">IFERROR(INDEX(定数マスタ!$C$6:$C$105,MATCH($C277,定数マスタ!$B$6:$B$105,0)),"")</f>
        <v/>
      </c>
      <c r="E277" s="131"/>
      <c r="F277" s="130"/>
      <c r="G277" s="66" t="str">
        <f aca="false">IFERROR(INDEX(商品マスタ!$C$6:$C$1005,MATCH($F277,商品マスタ!$B$6:$B$1005,0)),"")</f>
        <v/>
      </c>
      <c r="H277" s="66" t="str">
        <f aca="false">IFERROR(INDEX(商品マスタ!$E$6:$E$1005,MATCH($F277,商品マスタ!$B$6:$B$1005,0)),"")</f>
        <v/>
      </c>
      <c r="I277" s="69" t="str">
        <f aca="false">IFERROR(INDEX(商品マスタ!$F$6:$F$1005,MATCH($F277,商品マスタ!$B$6:$B$1005,0)),"")</f>
        <v/>
      </c>
      <c r="J277" s="69" t="str">
        <f aca="false">IF(OR($F277="",$C277&lt;&gt;'設定（最初に1回）'!$C$4),"",IFERROR(INDEX(発注計算!$Y$6:$Y$405,MATCH($F277,発注計算!$C$6:$C$405,0)),""))</f>
        <v/>
      </c>
      <c r="K277" s="70"/>
      <c r="L277" s="69" t="str">
        <f aca="false">IF($K277="","",N($K277)*N($I277))</f>
        <v/>
      </c>
      <c r="M277" s="71" t="str">
        <f aca="false">IFERROR(INDEX(商品マスタ!$G$6:$G$1005,MATCH($F277,商品マスタ!$B$6:$B$1005,0)),"")</f>
        <v/>
      </c>
      <c r="N277" s="71" t="str">
        <f aca="false">IF($K277="","",N($K277)*N($M277))</f>
        <v/>
      </c>
      <c r="O277" s="66" t="str">
        <f aca="false">IFERROR(INDEX(商品マスタ!$H$6:$H$1005,MATCH($F277,商品マスタ!$B$6:$B$1005,0)),"")</f>
        <v/>
      </c>
      <c r="P277" s="87" t="str">
        <f aca="false">IF(OR($E277="",$O277=""),"",WORKDAY($E277,$O277))</f>
        <v/>
      </c>
      <c r="Q277" s="80"/>
      <c r="R277" s="131"/>
      <c r="S277" s="69" t="n">
        <f aca="false">IF($Q277="入荷済み",N($L277),0)</f>
        <v>0</v>
      </c>
      <c r="T277" s="80"/>
      <c r="U277" s="80"/>
    </row>
    <row r="278" customFormat="false" ht="15" hidden="false" customHeight="false" outlineLevel="0" collapsed="false">
      <c r="B278" s="66" t="str">
        <f aca="false">IF(OR($E278="",$F278=""),"","PO-"&amp;TEXT($E278,"yyyymmdd")&amp;"-"&amp;TEXT(COUNTIFS($E$6:$E278,$E278,$C$6:$C278,$C278),"000"))</f>
        <v/>
      </c>
      <c r="C278" s="130"/>
      <c r="D278" s="66" t="str">
        <f aca="false">IFERROR(INDEX(定数マスタ!$C$6:$C$105,MATCH($C278,定数マスタ!$B$6:$B$105,0)),"")</f>
        <v/>
      </c>
      <c r="E278" s="131"/>
      <c r="F278" s="130"/>
      <c r="G278" s="66" t="str">
        <f aca="false">IFERROR(INDEX(商品マスタ!$C$6:$C$1005,MATCH($F278,商品マスタ!$B$6:$B$1005,0)),"")</f>
        <v/>
      </c>
      <c r="H278" s="66" t="str">
        <f aca="false">IFERROR(INDEX(商品マスタ!$E$6:$E$1005,MATCH($F278,商品マスタ!$B$6:$B$1005,0)),"")</f>
        <v/>
      </c>
      <c r="I278" s="69" t="str">
        <f aca="false">IFERROR(INDEX(商品マスタ!$F$6:$F$1005,MATCH($F278,商品マスタ!$B$6:$B$1005,0)),"")</f>
        <v/>
      </c>
      <c r="J278" s="69" t="str">
        <f aca="false">IF(OR($F278="",$C278&lt;&gt;'設定（最初に1回）'!$C$4),"",IFERROR(INDEX(発注計算!$Y$6:$Y$405,MATCH($F278,発注計算!$C$6:$C$405,0)),""))</f>
        <v/>
      </c>
      <c r="K278" s="70"/>
      <c r="L278" s="69" t="str">
        <f aca="false">IF($K278="","",N($K278)*N($I278))</f>
        <v/>
      </c>
      <c r="M278" s="71" t="str">
        <f aca="false">IFERROR(INDEX(商品マスタ!$G$6:$G$1005,MATCH($F278,商品マスタ!$B$6:$B$1005,0)),"")</f>
        <v/>
      </c>
      <c r="N278" s="71" t="str">
        <f aca="false">IF($K278="","",N($K278)*N($M278))</f>
        <v/>
      </c>
      <c r="O278" s="66" t="str">
        <f aca="false">IFERROR(INDEX(商品マスタ!$H$6:$H$1005,MATCH($F278,商品マスタ!$B$6:$B$1005,0)),"")</f>
        <v/>
      </c>
      <c r="P278" s="87" t="str">
        <f aca="false">IF(OR($E278="",$O278=""),"",WORKDAY($E278,$O278))</f>
        <v/>
      </c>
      <c r="Q278" s="80"/>
      <c r="R278" s="131"/>
      <c r="S278" s="69" t="n">
        <f aca="false">IF($Q278="入荷済み",N($L278),0)</f>
        <v>0</v>
      </c>
      <c r="T278" s="80"/>
      <c r="U278" s="80"/>
    </row>
    <row r="279" customFormat="false" ht="15" hidden="false" customHeight="false" outlineLevel="0" collapsed="false">
      <c r="B279" s="66" t="str">
        <f aca="false">IF(OR($E279="",$F279=""),"","PO-"&amp;TEXT($E279,"yyyymmdd")&amp;"-"&amp;TEXT(COUNTIFS($E$6:$E279,$E279,$C$6:$C279,$C279),"000"))</f>
        <v/>
      </c>
      <c r="C279" s="130"/>
      <c r="D279" s="66" t="str">
        <f aca="false">IFERROR(INDEX(定数マスタ!$C$6:$C$105,MATCH($C279,定数マスタ!$B$6:$B$105,0)),"")</f>
        <v/>
      </c>
      <c r="E279" s="131"/>
      <c r="F279" s="130"/>
      <c r="G279" s="66" t="str">
        <f aca="false">IFERROR(INDEX(商品マスタ!$C$6:$C$1005,MATCH($F279,商品マスタ!$B$6:$B$1005,0)),"")</f>
        <v/>
      </c>
      <c r="H279" s="66" t="str">
        <f aca="false">IFERROR(INDEX(商品マスタ!$E$6:$E$1005,MATCH($F279,商品マスタ!$B$6:$B$1005,0)),"")</f>
        <v/>
      </c>
      <c r="I279" s="69" t="str">
        <f aca="false">IFERROR(INDEX(商品マスタ!$F$6:$F$1005,MATCH($F279,商品マスタ!$B$6:$B$1005,0)),"")</f>
        <v/>
      </c>
      <c r="J279" s="69" t="str">
        <f aca="false">IF(OR($F279="",$C279&lt;&gt;'設定（最初に1回）'!$C$4),"",IFERROR(INDEX(発注計算!$Y$6:$Y$405,MATCH($F279,発注計算!$C$6:$C$405,0)),""))</f>
        <v/>
      </c>
      <c r="K279" s="70"/>
      <c r="L279" s="69" t="str">
        <f aca="false">IF($K279="","",N($K279)*N($I279))</f>
        <v/>
      </c>
      <c r="M279" s="71" t="str">
        <f aca="false">IFERROR(INDEX(商品マスタ!$G$6:$G$1005,MATCH($F279,商品マスタ!$B$6:$B$1005,0)),"")</f>
        <v/>
      </c>
      <c r="N279" s="71" t="str">
        <f aca="false">IF($K279="","",N($K279)*N($M279))</f>
        <v/>
      </c>
      <c r="O279" s="66" t="str">
        <f aca="false">IFERROR(INDEX(商品マスタ!$H$6:$H$1005,MATCH($F279,商品マスタ!$B$6:$B$1005,0)),"")</f>
        <v/>
      </c>
      <c r="P279" s="87" t="str">
        <f aca="false">IF(OR($E279="",$O279=""),"",WORKDAY($E279,$O279))</f>
        <v/>
      </c>
      <c r="Q279" s="80"/>
      <c r="R279" s="131"/>
      <c r="S279" s="69" t="n">
        <f aca="false">IF($Q279="入荷済み",N($L279),0)</f>
        <v>0</v>
      </c>
      <c r="T279" s="80"/>
      <c r="U279" s="80"/>
    </row>
    <row r="280" customFormat="false" ht="15" hidden="false" customHeight="false" outlineLevel="0" collapsed="false">
      <c r="B280" s="66" t="str">
        <f aca="false">IF(OR($E280="",$F280=""),"","PO-"&amp;TEXT($E280,"yyyymmdd")&amp;"-"&amp;TEXT(COUNTIFS($E$6:$E280,$E280,$C$6:$C280,$C280),"000"))</f>
        <v/>
      </c>
      <c r="C280" s="130"/>
      <c r="D280" s="66" t="str">
        <f aca="false">IFERROR(INDEX(定数マスタ!$C$6:$C$105,MATCH($C280,定数マスタ!$B$6:$B$105,0)),"")</f>
        <v/>
      </c>
      <c r="E280" s="131"/>
      <c r="F280" s="130"/>
      <c r="G280" s="66" t="str">
        <f aca="false">IFERROR(INDEX(商品マスタ!$C$6:$C$1005,MATCH($F280,商品マスタ!$B$6:$B$1005,0)),"")</f>
        <v/>
      </c>
      <c r="H280" s="66" t="str">
        <f aca="false">IFERROR(INDEX(商品マスタ!$E$6:$E$1005,MATCH($F280,商品マスタ!$B$6:$B$1005,0)),"")</f>
        <v/>
      </c>
      <c r="I280" s="69" t="str">
        <f aca="false">IFERROR(INDEX(商品マスタ!$F$6:$F$1005,MATCH($F280,商品マスタ!$B$6:$B$1005,0)),"")</f>
        <v/>
      </c>
      <c r="J280" s="69" t="str">
        <f aca="false">IF(OR($F280="",$C280&lt;&gt;'設定（最初に1回）'!$C$4),"",IFERROR(INDEX(発注計算!$Y$6:$Y$405,MATCH($F280,発注計算!$C$6:$C$405,0)),""))</f>
        <v/>
      </c>
      <c r="K280" s="70"/>
      <c r="L280" s="69" t="str">
        <f aca="false">IF($K280="","",N($K280)*N($I280))</f>
        <v/>
      </c>
      <c r="M280" s="71" t="str">
        <f aca="false">IFERROR(INDEX(商品マスタ!$G$6:$G$1005,MATCH($F280,商品マスタ!$B$6:$B$1005,0)),"")</f>
        <v/>
      </c>
      <c r="N280" s="71" t="str">
        <f aca="false">IF($K280="","",N($K280)*N($M280))</f>
        <v/>
      </c>
      <c r="O280" s="66" t="str">
        <f aca="false">IFERROR(INDEX(商品マスタ!$H$6:$H$1005,MATCH($F280,商品マスタ!$B$6:$B$1005,0)),"")</f>
        <v/>
      </c>
      <c r="P280" s="87" t="str">
        <f aca="false">IF(OR($E280="",$O280=""),"",WORKDAY($E280,$O280))</f>
        <v/>
      </c>
      <c r="Q280" s="80"/>
      <c r="R280" s="131"/>
      <c r="S280" s="69" t="n">
        <f aca="false">IF($Q280="入荷済み",N($L280),0)</f>
        <v>0</v>
      </c>
      <c r="T280" s="80"/>
      <c r="U280" s="80"/>
    </row>
    <row r="281" customFormat="false" ht="15" hidden="false" customHeight="false" outlineLevel="0" collapsed="false">
      <c r="B281" s="66" t="str">
        <f aca="false">IF(OR($E281="",$F281=""),"","PO-"&amp;TEXT($E281,"yyyymmdd")&amp;"-"&amp;TEXT(COUNTIFS($E$6:$E281,$E281,$C$6:$C281,$C281),"000"))</f>
        <v/>
      </c>
      <c r="C281" s="130"/>
      <c r="D281" s="66" t="str">
        <f aca="false">IFERROR(INDEX(定数マスタ!$C$6:$C$105,MATCH($C281,定数マスタ!$B$6:$B$105,0)),"")</f>
        <v/>
      </c>
      <c r="E281" s="131"/>
      <c r="F281" s="130"/>
      <c r="G281" s="66" t="str">
        <f aca="false">IFERROR(INDEX(商品マスタ!$C$6:$C$1005,MATCH($F281,商品マスタ!$B$6:$B$1005,0)),"")</f>
        <v/>
      </c>
      <c r="H281" s="66" t="str">
        <f aca="false">IFERROR(INDEX(商品マスタ!$E$6:$E$1005,MATCH($F281,商品マスタ!$B$6:$B$1005,0)),"")</f>
        <v/>
      </c>
      <c r="I281" s="69" t="str">
        <f aca="false">IFERROR(INDEX(商品マスタ!$F$6:$F$1005,MATCH($F281,商品マスタ!$B$6:$B$1005,0)),"")</f>
        <v/>
      </c>
      <c r="J281" s="69" t="str">
        <f aca="false">IF(OR($F281="",$C281&lt;&gt;'設定（最初に1回）'!$C$4),"",IFERROR(INDEX(発注計算!$Y$6:$Y$405,MATCH($F281,発注計算!$C$6:$C$405,0)),""))</f>
        <v/>
      </c>
      <c r="K281" s="70"/>
      <c r="L281" s="69" t="str">
        <f aca="false">IF($K281="","",N($K281)*N($I281))</f>
        <v/>
      </c>
      <c r="M281" s="71" t="str">
        <f aca="false">IFERROR(INDEX(商品マスタ!$G$6:$G$1005,MATCH($F281,商品マスタ!$B$6:$B$1005,0)),"")</f>
        <v/>
      </c>
      <c r="N281" s="71" t="str">
        <f aca="false">IF($K281="","",N($K281)*N($M281))</f>
        <v/>
      </c>
      <c r="O281" s="66" t="str">
        <f aca="false">IFERROR(INDEX(商品マスタ!$H$6:$H$1005,MATCH($F281,商品マスタ!$B$6:$B$1005,0)),"")</f>
        <v/>
      </c>
      <c r="P281" s="87" t="str">
        <f aca="false">IF(OR($E281="",$O281=""),"",WORKDAY($E281,$O281))</f>
        <v/>
      </c>
      <c r="Q281" s="80"/>
      <c r="R281" s="131"/>
      <c r="S281" s="69" t="n">
        <f aca="false">IF($Q281="入荷済み",N($L281),0)</f>
        <v>0</v>
      </c>
      <c r="T281" s="80"/>
      <c r="U281" s="80"/>
    </row>
    <row r="282" customFormat="false" ht="15" hidden="false" customHeight="false" outlineLevel="0" collapsed="false">
      <c r="B282" s="66" t="str">
        <f aca="false">IF(OR($E282="",$F282=""),"","PO-"&amp;TEXT($E282,"yyyymmdd")&amp;"-"&amp;TEXT(COUNTIFS($E$6:$E282,$E282,$C$6:$C282,$C282),"000"))</f>
        <v/>
      </c>
      <c r="C282" s="130"/>
      <c r="D282" s="66" t="str">
        <f aca="false">IFERROR(INDEX(定数マスタ!$C$6:$C$105,MATCH($C282,定数マスタ!$B$6:$B$105,0)),"")</f>
        <v/>
      </c>
      <c r="E282" s="131"/>
      <c r="F282" s="130"/>
      <c r="G282" s="66" t="str">
        <f aca="false">IFERROR(INDEX(商品マスタ!$C$6:$C$1005,MATCH($F282,商品マスタ!$B$6:$B$1005,0)),"")</f>
        <v/>
      </c>
      <c r="H282" s="66" t="str">
        <f aca="false">IFERROR(INDEX(商品マスタ!$E$6:$E$1005,MATCH($F282,商品マスタ!$B$6:$B$1005,0)),"")</f>
        <v/>
      </c>
      <c r="I282" s="69" t="str">
        <f aca="false">IFERROR(INDEX(商品マスタ!$F$6:$F$1005,MATCH($F282,商品マスタ!$B$6:$B$1005,0)),"")</f>
        <v/>
      </c>
      <c r="J282" s="69" t="str">
        <f aca="false">IF(OR($F282="",$C282&lt;&gt;'設定（最初に1回）'!$C$4),"",IFERROR(INDEX(発注計算!$Y$6:$Y$405,MATCH($F282,発注計算!$C$6:$C$405,0)),""))</f>
        <v/>
      </c>
      <c r="K282" s="70"/>
      <c r="L282" s="69" t="str">
        <f aca="false">IF($K282="","",N($K282)*N($I282))</f>
        <v/>
      </c>
      <c r="M282" s="71" t="str">
        <f aca="false">IFERROR(INDEX(商品マスタ!$G$6:$G$1005,MATCH($F282,商品マスタ!$B$6:$B$1005,0)),"")</f>
        <v/>
      </c>
      <c r="N282" s="71" t="str">
        <f aca="false">IF($K282="","",N($K282)*N($M282))</f>
        <v/>
      </c>
      <c r="O282" s="66" t="str">
        <f aca="false">IFERROR(INDEX(商品マスタ!$H$6:$H$1005,MATCH($F282,商品マスタ!$B$6:$B$1005,0)),"")</f>
        <v/>
      </c>
      <c r="P282" s="87" t="str">
        <f aca="false">IF(OR($E282="",$O282=""),"",WORKDAY($E282,$O282))</f>
        <v/>
      </c>
      <c r="Q282" s="80"/>
      <c r="R282" s="131"/>
      <c r="S282" s="69" t="n">
        <f aca="false">IF($Q282="入荷済み",N($L282),0)</f>
        <v>0</v>
      </c>
      <c r="T282" s="80"/>
      <c r="U282" s="80"/>
    </row>
    <row r="283" customFormat="false" ht="15" hidden="false" customHeight="false" outlineLevel="0" collapsed="false">
      <c r="B283" s="66" t="str">
        <f aca="false">IF(OR($E283="",$F283=""),"","PO-"&amp;TEXT($E283,"yyyymmdd")&amp;"-"&amp;TEXT(COUNTIFS($E$6:$E283,$E283,$C$6:$C283,$C283),"000"))</f>
        <v/>
      </c>
      <c r="C283" s="130"/>
      <c r="D283" s="66" t="str">
        <f aca="false">IFERROR(INDEX(定数マスタ!$C$6:$C$105,MATCH($C283,定数マスタ!$B$6:$B$105,0)),"")</f>
        <v/>
      </c>
      <c r="E283" s="131"/>
      <c r="F283" s="130"/>
      <c r="G283" s="66" t="str">
        <f aca="false">IFERROR(INDEX(商品マスタ!$C$6:$C$1005,MATCH($F283,商品マスタ!$B$6:$B$1005,0)),"")</f>
        <v/>
      </c>
      <c r="H283" s="66" t="str">
        <f aca="false">IFERROR(INDEX(商品マスタ!$E$6:$E$1005,MATCH($F283,商品マスタ!$B$6:$B$1005,0)),"")</f>
        <v/>
      </c>
      <c r="I283" s="69" t="str">
        <f aca="false">IFERROR(INDEX(商品マスタ!$F$6:$F$1005,MATCH($F283,商品マスタ!$B$6:$B$1005,0)),"")</f>
        <v/>
      </c>
      <c r="J283" s="69" t="str">
        <f aca="false">IF(OR($F283="",$C283&lt;&gt;'設定（最初に1回）'!$C$4),"",IFERROR(INDEX(発注計算!$Y$6:$Y$405,MATCH($F283,発注計算!$C$6:$C$405,0)),""))</f>
        <v/>
      </c>
      <c r="K283" s="70"/>
      <c r="L283" s="69" t="str">
        <f aca="false">IF($K283="","",N($K283)*N($I283))</f>
        <v/>
      </c>
      <c r="M283" s="71" t="str">
        <f aca="false">IFERROR(INDEX(商品マスタ!$G$6:$G$1005,MATCH($F283,商品マスタ!$B$6:$B$1005,0)),"")</f>
        <v/>
      </c>
      <c r="N283" s="71" t="str">
        <f aca="false">IF($K283="","",N($K283)*N($M283))</f>
        <v/>
      </c>
      <c r="O283" s="66" t="str">
        <f aca="false">IFERROR(INDEX(商品マスタ!$H$6:$H$1005,MATCH($F283,商品マスタ!$B$6:$B$1005,0)),"")</f>
        <v/>
      </c>
      <c r="P283" s="87" t="str">
        <f aca="false">IF(OR($E283="",$O283=""),"",WORKDAY($E283,$O283))</f>
        <v/>
      </c>
      <c r="Q283" s="80"/>
      <c r="R283" s="131"/>
      <c r="S283" s="69" t="n">
        <f aca="false">IF($Q283="入荷済み",N($L283),0)</f>
        <v>0</v>
      </c>
      <c r="T283" s="80"/>
      <c r="U283" s="80"/>
    </row>
    <row r="284" customFormat="false" ht="15" hidden="false" customHeight="false" outlineLevel="0" collapsed="false">
      <c r="B284" s="66" t="str">
        <f aca="false">IF(OR($E284="",$F284=""),"","PO-"&amp;TEXT($E284,"yyyymmdd")&amp;"-"&amp;TEXT(COUNTIFS($E$6:$E284,$E284,$C$6:$C284,$C284),"000"))</f>
        <v/>
      </c>
      <c r="C284" s="130"/>
      <c r="D284" s="66" t="str">
        <f aca="false">IFERROR(INDEX(定数マスタ!$C$6:$C$105,MATCH($C284,定数マスタ!$B$6:$B$105,0)),"")</f>
        <v/>
      </c>
      <c r="E284" s="131"/>
      <c r="F284" s="130"/>
      <c r="G284" s="66" t="str">
        <f aca="false">IFERROR(INDEX(商品マスタ!$C$6:$C$1005,MATCH($F284,商品マスタ!$B$6:$B$1005,0)),"")</f>
        <v/>
      </c>
      <c r="H284" s="66" t="str">
        <f aca="false">IFERROR(INDEX(商品マスタ!$E$6:$E$1005,MATCH($F284,商品マスタ!$B$6:$B$1005,0)),"")</f>
        <v/>
      </c>
      <c r="I284" s="69" t="str">
        <f aca="false">IFERROR(INDEX(商品マスタ!$F$6:$F$1005,MATCH($F284,商品マスタ!$B$6:$B$1005,0)),"")</f>
        <v/>
      </c>
      <c r="J284" s="69" t="str">
        <f aca="false">IF(OR($F284="",$C284&lt;&gt;'設定（最初に1回）'!$C$4),"",IFERROR(INDEX(発注計算!$Y$6:$Y$405,MATCH($F284,発注計算!$C$6:$C$405,0)),""))</f>
        <v/>
      </c>
      <c r="K284" s="70"/>
      <c r="L284" s="69" t="str">
        <f aca="false">IF($K284="","",N($K284)*N($I284))</f>
        <v/>
      </c>
      <c r="M284" s="71" t="str">
        <f aca="false">IFERROR(INDEX(商品マスタ!$G$6:$G$1005,MATCH($F284,商品マスタ!$B$6:$B$1005,0)),"")</f>
        <v/>
      </c>
      <c r="N284" s="71" t="str">
        <f aca="false">IF($K284="","",N($K284)*N($M284))</f>
        <v/>
      </c>
      <c r="O284" s="66" t="str">
        <f aca="false">IFERROR(INDEX(商品マスタ!$H$6:$H$1005,MATCH($F284,商品マスタ!$B$6:$B$1005,0)),"")</f>
        <v/>
      </c>
      <c r="P284" s="87" t="str">
        <f aca="false">IF(OR($E284="",$O284=""),"",WORKDAY($E284,$O284))</f>
        <v/>
      </c>
      <c r="Q284" s="80"/>
      <c r="R284" s="131"/>
      <c r="S284" s="69" t="n">
        <f aca="false">IF($Q284="入荷済み",N($L284),0)</f>
        <v>0</v>
      </c>
      <c r="T284" s="80"/>
      <c r="U284" s="80"/>
    </row>
    <row r="285" customFormat="false" ht="15" hidden="false" customHeight="false" outlineLevel="0" collapsed="false">
      <c r="B285" s="66" t="str">
        <f aca="false">IF(OR($E285="",$F285=""),"","PO-"&amp;TEXT($E285,"yyyymmdd")&amp;"-"&amp;TEXT(COUNTIFS($E$6:$E285,$E285,$C$6:$C285,$C285),"000"))</f>
        <v/>
      </c>
      <c r="C285" s="130"/>
      <c r="D285" s="66" t="str">
        <f aca="false">IFERROR(INDEX(定数マスタ!$C$6:$C$105,MATCH($C285,定数マスタ!$B$6:$B$105,0)),"")</f>
        <v/>
      </c>
      <c r="E285" s="131"/>
      <c r="F285" s="130"/>
      <c r="G285" s="66" t="str">
        <f aca="false">IFERROR(INDEX(商品マスタ!$C$6:$C$1005,MATCH($F285,商品マスタ!$B$6:$B$1005,0)),"")</f>
        <v/>
      </c>
      <c r="H285" s="66" t="str">
        <f aca="false">IFERROR(INDEX(商品マスタ!$E$6:$E$1005,MATCH($F285,商品マスタ!$B$6:$B$1005,0)),"")</f>
        <v/>
      </c>
      <c r="I285" s="69" t="str">
        <f aca="false">IFERROR(INDEX(商品マスタ!$F$6:$F$1005,MATCH($F285,商品マスタ!$B$6:$B$1005,0)),"")</f>
        <v/>
      </c>
      <c r="J285" s="69" t="str">
        <f aca="false">IF(OR($F285="",$C285&lt;&gt;'設定（最初に1回）'!$C$4),"",IFERROR(INDEX(発注計算!$Y$6:$Y$405,MATCH($F285,発注計算!$C$6:$C$405,0)),""))</f>
        <v/>
      </c>
      <c r="K285" s="70"/>
      <c r="L285" s="69" t="str">
        <f aca="false">IF($K285="","",N($K285)*N($I285))</f>
        <v/>
      </c>
      <c r="M285" s="71" t="str">
        <f aca="false">IFERROR(INDEX(商品マスタ!$G$6:$G$1005,MATCH($F285,商品マスタ!$B$6:$B$1005,0)),"")</f>
        <v/>
      </c>
      <c r="N285" s="71" t="str">
        <f aca="false">IF($K285="","",N($K285)*N($M285))</f>
        <v/>
      </c>
      <c r="O285" s="66" t="str">
        <f aca="false">IFERROR(INDEX(商品マスタ!$H$6:$H$1005,MATCH($F285,商品マスタ!$B$6:$B$1005,0)),"")</f>
        <v/>
      </c>
      <c r="P285" s="87" t="str">
        <f aca="false">IF(OR($E285="",$O285=""),"",WORKDAY($E285,$O285))</f>
        <v/>
      </c>
      <c r="Q285" s="80"/>
      <c r="R285" s="131"/>
      <c r="S285" s="69" t="n">
        <f aca="false">IF($Q285="入荷済み",N($L285),0)</f>
        <v>0</v>
      </c>
      <c r="T285" s="80"/>
      <c r="U285" s="80"/>
    </row>
    <row r="286" customFormat="false" ht="15" hidden="false" customHeight="false" outlineLevel="0" collapsed="false">
      <c r="B286" s="66" t="str">
        <f aca="false">IF(OR($E286="",$F286=""),"","PO-"&amp;TEXT($E286,"yyyymmdd")&amp;"-"&amp;TEXT(COUNTIFS($E$6:$E286,$E286,$C$6:$C286,$C286),"000"))</f>
        <v/>
      </c>
      <c r="C286" s="130"/>
      <c r="D286" s="66" t="str">
        <f aca="false">IFERROR(INDEX(定数マスタ!$C$6:$C$105,MATCH($C286,定数マスタ!$B$6:$B$105,0)),"")</f>
        <v/>
      </c>
      <c r="E286" s="131"/>
      <c r="F286" s="130"/>
      <c r="G286" s="66" t="str">
        <f aca="false">IFERROR(INDEX(商品マスタ!$C$6:$C$1005,MATCH($F286,商品マスタ!$B$6:$B$1005,0)),"")</f>
        <v/>
      </c>
      <c r="H286" s="66" t="str">
        <f aca="false">IFERROR(INDEX(商品マスタ!$E$6:$E$1005,MATCH($F286,商品マスタ!$B$6:$B$1005,0)),"")</f>
        <v/>
      </c>
      <c r="I286" s="69" t="str">
        <f aca="false">IFERROR(INDEX(商品マスタ!$F$6:$F$1005,MATCH($F286,商品マスタ!$B$6:$B$1005,0)),"")</f>
        <v/>
      </c>
      <c r="J286" s="69" t="str">
        <f aca="false">IF(OR($F286="",$C286&lt;&gt;'設定（最初に1回）'!$C$4),"",IFERROR(INDEX(発注計算!$Y$6:$Y$405,MATCH($F286,発注計算!$C$6:$C$405,0)),""))</f>
        <v/>
      </c>
      <c r="K286" s="70"/>
      <c r="L286" s="69" t="str">
        <f aca="false">IF($K286="","",N($K286)*N($I286))</f>
        <v/>
      </c>
      <c r="M286" s="71" t="str">
        <f aca="false">IFERROR(INDEX(商品マスタ!$G$6:$G$1005,MATCH($F286,商品マスタ!$B$6:$B$1005,0)),"")</f>
        <v/>
      </c>
      <c r="N286" s="71" t="str">
        <f aca="false">IF($K286="","",N($K286)*N($M286))</f>
        <v/>
      </c>
      <c r="O286" s="66" t="str">
        <f aca="false">IFERROR(INDEX(商品マスタ!$H$6:$H$1005,MATCH($F286,商品マスタ!$B$6:$B$1005,0)),"")</f>
        <v/>
      </c>
      <c r="P286" s="87" t="str">
        <f aca="false">IF(OR($E286="",$O286=""),"",WORKDAY($E286,$O286))</f>
        <v/>
      </c>
      <c r="Q286" s="80"/>
      <c r="R286" s="131"/>
      <c r="S286" s="69" t="n">
        <f aca="false">IF($Q286="入荷済み",N($L286),0)</f>
        <v>0</v>
      </c>
      <c r="T286" s="80"/>
      <c r="U286" s="80"/>
    </row>
    <row r="287" customFormat="false" ht="15" hidden="false" customHeight="false" outlineLevel="0" collapsed="false">
      <c r="B287" s="66" t="str">
        <f aca="false">IF(OR($E287="",$F287=""),"","PO-"&amp;TEXT($E287,"yyyymmdd")&amp;"-"&amp;TEXT(COUNTIFS($E$6:$E287,$E287,$C$6:$C287,$C287),"000"))</f>
        <v/>
      </c>
      <c r="C287" s="130"/>
      <c r="D287" s="66" t="str">
        <f aca="false">IFERROR(INDEX(定数マスタ!$C$6:$C$105,MATCH($C287,定数マスタ!$B$6:$B$105,0)),"")</f>
        <v/>
      </c>
      <c r="E287" s="131"/>
      <c r="F287" s="130"/>
      <c r="G287" s="66" t="str">
        <f aca="false">IFERROR(INDEX(商品マスタ!$C$6:$C$1005,MATCH($F287,商品マスタ!$B$6:$B$1005,0)),"")</f>
        <v/>
      </c>
      <c r="H287" s="66" t="str">
        <f aca="false">IFERROR(INDEX(商品マスタ!$E$6:$E$1005,MATCH($F287,商品マスタ!$B$6:$B$1005,0)),"")</f>
        <v/>
      </c>
      <c r="I287" s="69" t="str">
        <f aca="false">IFERROR(INDEX(商品マスタ!$F$6:$F$1005,MATCH($F287,商品マスタ!$B$6:$B$1005,0)),"")</f>
        <v/>
      </c>
      <c r="J287" s="69" t="str">
        <f aca="false">IF(OR($F287="",$C287&lt;&gt;'設定（最初に1回）'!$C$4),"",IFERROR(INDEX(発注計算!$Y$6:$Y$405,MATCH($F287,発注計算!$C$6:$C$405,0)),""))</f>
        <v/>
      </c>
      <c r="K287" s="70"/>
      <c r="L287" s="69" t="str">
        <f aca="false">IF($K287="","",N($K287)*N($I287))</f>
        <v/>
      </c>
      <c r="M287" s="71" t="str">
        <f aca="false">IFERROR(INDEX(商品マスタ!$G$6:$G$1005,MATCH($F287,商品マスタ!$B$6:$B$1005,0)),"")</f>
        <v/>
      </c>
      <c r="N287" s="71" t="str">
        <f aca="false">IF($K287="","",N($K287)*N($M287))</f>
        <v/>
      </c>
      <c r="O287" s="66" t="str">
        <f aca="false">IFERROR(INDEX(商品マスタ!$H$6:$H$1005,MATCH($F287,商品マスタ!$B$6:$B$1005,0)),"")</f>
        <v/>
      </c>
      <c r="P287" s="87" t="str">
        <f aca="false">IF(OR($E287="",$O287=""),"",WORKDAY($E287,$O287))</f>
        <v/>
      </c>
      <c r="Q287" s="80"/>
      <c r="R287" s="131"/>
      <c r="S287" s="69" t="n">
        <f aca="false">IF($Q287="入荷済み",N($L287),0)</f>
        <v>0</v>
      </c>
      <c r="T287" s="80"/>
      <c r="U287" s="80"/>
    </row>
    <row r="288" customFormat="false" ht="15" hidden="false" customHeight="false" outlineLevel="0" collapsed="false">
      <c r="B288" s="66" t="str">
        <f aca="false">IF(OR($E288="",$F288=""),"","PO-"&amp;TEXT($E288,"yyyymmdd")&amp;"-"&amp;TEXT(COUNTIFS($E$6:$E288,$E288,$C$6:$C288,$C288),"000"))</f>
        <v/>
      </c>
      <c r="C288" s="130"/>
      <c r="D288" s="66" t="str">
        <f aca="false">IFERROR(INDEX(定数マスタ!$C$6:$C$105,MATCH($C288,定数マスタ!$B$6:$B$105,0)),"")</f>
        <v/>
      </c>
      <c r="E288" s="131"/>
      <c r="F288" s="130"/>
      <c r="G288" s="66" t="str">
        <f aca="false">IFERROR(INDEX(商品マスタ!$C$6:$C$1005,MATCH($F288,商品マスタ!$B$6:$B$1005,0)),"")</f>
        <v/>
      </c>
      <c r="H288" s="66" t="str">
        <f aca="false">IFERROR(INDEX(商品マスタ!$E$6:$E$1005,MATCH($F288,商品マスタ!$B$6:$B$1005,0)),"")</f>
        <v/>
      </c>
      <c r="I288" s="69" t="str">
        <f aca="false">IFERROR(INDEX(商品マスタ!$F$6:$F$1005,MATCH($F288,商品マスタ!$B$6:$B$1005,0)),"")</f>
        <v/>
      </c>
      <c r="J288" s="69" t="str">
        <f aca="false">IF(OR($F288="",$C288&lt;&gt;'設定（最初に1回）'!$C$4),"",IFERROR(INDEX(発注計算!$Y$6:$Y$405,MATCH($F288,発注計算!$C$6:$C$405,0)),""))</f>
        <v/>
      </c>
      <c r="K288" s="70"/>
      <c r="L288" s="69" t="str">
        <f aca="false">IF($K288="","",N($K288)*N($I288))</f>
        <v/>
      </c>
      <c r="M288" s="71" t="str">
        <f aca="false">IFERROR(INDEX(商品マスタ!$G$6:$G$1005,MATCH($F288,商品マスタ!$B$6:$B$1005,0)),"")</f>
        <v/>
      </c>
      <c r="N288" s="71" t="str">
        <f aca="false">IF($K288="","",N($K288)*N($M288))</f>
        <v/>
      </c>
      <c r="O288" s="66" t="str">
        <f aca="false">IFERROR(INDEX(商品マスタ!$H$6:$H$1005,MATCH($F288,商品マスタ!$B$6:$B$1005,0)),"")</f>
        <v/>
      </c>
      <c r="P288" s="87" t="str">
        <f aca="false">IF(OR($E288="",$O288=""),"",WORKDAY($E288,$O288))</f>
        <v/>
      </c>
      <c r="Q288" s="80"/>
      <c r="R288" s="131"/>
      <c r="S288" s="69" t="n">
        <f aca="false">IF($Q288="入荷済み",N($L288),0)</f>
        <v>0</v>
      </c>
      <c r="T288" s="80"/>
      <c r="U288" s="80"/>
    </row>
    <row r="289" customFormat="false" ht="15" hidden="false" customHeight="false" outlineLevel="0" collapsed="false">
      <c r="B289" s="66" t="str">
        <f aca="false">IF(OR($E289="",$F289=""),"","PO-"&amp;TEXT($E289,"yyyymmdd")&amp;"-"&amp;TEXT(COUNTIFS($E$6:$E289,$E289,$C$6:$C289,$C289),"000"))</f>
        <v/>
      </c>
      <c r="C289" s="130"/>
      <c r="D289" s="66" t="str">
        <f aca="false">IFERROR(INDEX(定数マスタ!$C$6:$C$105,MATCH($C289,定数マスタ!$B$6:$B$105,0)),"")</f>
        <v/>
      </c>
      <c r="E289" s="131"/>
      <c r="F289" s="130"/>
      <c r="G289" s="66" t="str">
        <f aca="false">IFERROR(INDEX(商品マスタ!$C$6:$C$1005,MATCH($F289,商品マスタ!$B$6:$B$1005,0)),"")</f>
        <v/>
      </c>
      <c r="H289" s="66" t="str">
        <f aca="false">IFERROR(INDEX(商品マスタ!$E$6:$E$1005,MATCH($F289,商品マスタ!$B$6:$B$1005,0)),"")</f>
        <v/>
      </c>
      <c r="I289" s="69" t="str">
        <f aca="false">IFERROR(INDEX(商品マスタ!$F$6:$F$1005,MATCH($F289,商品マスタ!$B$6:$B$1005,0)),"")</f>
        <v/>
      </c>
      <c r="J289" s="69" t="str">
        <f aca="false">IF(OR($F289="",$C289&lt;&gt;'設定（最初に1回）'!$C$4),"",IFERROR(INDEX(発注計算!$Y$6:$Y$405,MATCH($F289,発注計算!$C$6:$C$405,0)),""))</f>
        <v/>
      </c>
      <c r="K289" s="70"/>
      <c r="L289" s="69" t="str">
        <f aca="false">IF($K289="","",N($K289)*N($I289))</f>
        <v/>
      </c>
      <c r="M289" s="71" t="str">
        <f aca="false">IFERROR(INDEX(商品マスタ!$G$6:$G$1005,MATCH($F289,商品マスタ!$B$6:$B$1005,0)),"")</f>
        <v/>
      </c>
      <c r="N289" s="71" t="str">
        <f aca="false">IF($K289="","",N($K289)*N($M289))</f>
        <v/>
      </c>
      <c r="O289" s="66" t="str">
        <f aca="false">IFERROR(INDEX(商品マスタ!$H$6:$H$1005,MATCH($F289,商品マスタ!$B$6:$B$1005,0)),"")</f>
        <v/>
      </c>
      <c r="P289" s="87" t="str">
        <f aca="false">IF(OR($E289="",$O289=""),"",WORKDAY($E289,$O289))</f>
        <v/>
      </c>
      <c r="Q289" s="80"/>
      <c r="R289" s="131"/>
      <c r="S289" s="69" t="n">
        <f aca="false">IF($Q289="入荷済み",N($L289),0)</f>
        <v>0</v>
      </c>
      <c r="T289" s="80"/>
      <c r="U289" s="80"/>
    </row>
    <row r="290" customFormat="false" ht="15" hidden="false" customHeight="false" outlineLevel="0" collapsed="false">
      <c r="B290" s="66" t="str">
        <f aca="false">IF(OR($E290="",$F290=""),"","PO-"&amp;TEXT($E290,"yyyymmdd")&amp;"-"&amp;TEXT(COUNTIFS($E$6:$E290,$E290,$C$6:$C290,$C290),"000"))</f>
        <v/>
      </c>
      <c r="C290" s="130"/>
      <c r="D290" s="66" t="str">
        <f aca="false">IFERROR(INDEX(定数マスタ!$C$6:$C$105,MATCH($C290,定数マスタ!$B$6:$B$105,0)),"")</f>
        <v/>
      </c>
      <c r="E290" s="131"/>
      <c r="F290" s="130"/>
      <c r="G290" s="66" t="str">
        <f aca="false">IFERROR(INDEX(商品マスタ!$C$6:$C$1005,MATCH($F290,商品マスタ!$B$6:$B$1005,0)),"")</f>
        <v/>
      </c>
      <c r="H290" s="66" t="str">
        <f aca="false">IFERROR(INDEX(商品マスタ!$E$6:$E$1005,MATCH($F290,商品マスタ!$B$6:$B$1005,0)),"")</f>
        <v/>
      </c>
      <c r="I290" s="69" t="str">
        <f aca="false">IFERROR(INDEX(商品マスタ!$F$6:$F$1005,MATCH($F290,商品マスタ!$B$6:$B$1005,0)),"")</f>
        <v/>
      </c>
      <c r="J290" s="69" t="str">
        <f aca="false">IF(OR($F290="",$C290&lt;&gt;'設定（最初に1回）'!$C$4),"",IFERROR(INDEX(発注計算!$Y$6:$Y$405,MATCH($F290,発注計算!$C$6:$C$405,0)),""))</f>
        <v/>
      </c>
      <c r="K290" s="70"/>
      <c r="L290" s="69" t="str">
        <f aca="false">IF($K290="","",N($K290)*N($I290))</f>
        <v/>
      </c>
      <c r="M290" s="71" t="str">
        <f aca="false">IFERROR(INDEX(商品マスタ!$G$6:$G$1005,MATCH($F290,商品マスタ!$B$6:$B$1005,0)),"")</f>
        <v/>
      </c>
      <c r="N290" s="71" t="str">
        <f aca="false">IF($K290="","",N($K290)*N($M290))</f>
        <v/>
      </c>
      <c r="O290" s="66" t="str">
        <f aca="false">IFERROR(INDEX(商品マスタ!$H$6:$H$1005,MATCH($F290,商品マスタ!$B$6:$B$1005,0)),"")</f>
        <v/>
      </c>
      <c r="P290" s="87" t="str">
        <f aca="false">IF(OR($E290="",$O290=""),"",WORKDAY($E290,$O290))</f>
        <v/>
      </c>
      <c r="Q290" s="80"/>
      <c r="R290" s="131"/>
      <c r="S290" s="69" t="n">
        <f aca="false">IF($Q290="入荷済み",N($L290),0)</f>
        <v>0</v>
      </c>
      <c r="T290" s="80"/>
      <c r="U290" s="80"/>
    </row>
    <row r="291" customFormat="false" ht="15" hidden="false" customHeight="false" outlineLevel="0" collapsed="false">
      <c r="B291" s="66" t="str">
        <f aca="false">IF(OR($E291="",$F291=""),"","PO-"&amp;TEXT($E291,"yyyymmdd")&amp;"-"&amp;TEXT(COUNTIFS($E$6:$E291,$E291,$C$6:$C291,$C291),"000"))</f>
        <v/>
      </c>
      <c r="C291" s="130"/>
      <c r="D291" s="66" t="str">
        <f aca="false">IFERROR(INDEX(定数マスタ!$C$6:$C$105,MATCH($C291,定数マスタ!$B$6:$B$105,0)),"")</f>
        <v/>
      </c>
      <c r="E291" s="131"/>
      <c r="F291" s="130"/>
      <c r="G291" s="66" t="str">
        <f aca="false">IFERROR(INDEX(商品マスタ!$C$6:$C$1005,MATCH($F291,商品マスタ!$B$6:$B$1005,0)),"")</f>
        <v/>
      </c>
      <c r="H291" s="66" t="str">
        <f aca="false">IFERROR(INDEX(商品マスタ!$E$6:$E$1005,MATCH($F291,商品マスタ!$B$6:$B$1005,0)),"")</f>
        <v/>
      </c>
      <c r="I291" s="69" t="str">
        <f aca="false">IFERROR(INDEX(商品マスタ!$F$6:$F$1005,MATCH($F291,商品マスタ!$B$6:$B$1005,0)),"")</f>
        <v/>
      </c>
      <c r="J291" s="69" t="str">
        <f aca="false">IF(OR($F291="",$C291&lt;&gt;'設定（最初に1回）'!$C$4),"",IFERROR(INDEX(発注計算!$Y$6:$Y$405,MATCH($F291,発注計算!$C$6:$C$405,0)),""))</f>
        <v/>
      </c>
      <c r="K291" s="70"/>
      <c r="L291" s="69" t="str">
        <f aca="false">IF($K291="","",N($K291)*N($I291))</f>
        <v/>
      </c>
      <c r="M291" s="71" t="str">
        <f aca="false">IFERROR(INDEX(商品マスタ!$G$6:$G$1005,MATCH($F291,商品マスタ!$B$6:$B$1005,0)),"")</f>
        <v/>
      </c>
      <c r="N291" s="71" t="str">
        <f aca="false">IF($K291="","",N($K291)*N($M291))</f>
        <v/>
      </c>
      <c r="O291" s="66" t="str">
        <f aca="false">IFERROR(INDEX(商品マスタ!$H$6:$H$1005,MATCH($F291,商品マスタ!$B$6:$B$1005,0)),"")</f>
        <v/>
      </c>
      <c r="P291" s="87" t="str">
        <f aca="false">IF(OR($E291="",$O291=""),"",WORKDAY($E291,$O291))</f>
        <v/>
      </c>
      <c r="Q291" s="80"/>
      <c r="R291" s="131"/>
      <c r="S291" s="69" t="n">
        <f aca="false">IF($Q291="入荷済み",N($L291),0)</f>
        <v>0</v>
      </c>
      <c r="T291" s="80"/>
      <c r="U291" s="80"/>
    </row>
    <row r="292" customFormat="false" ht="15" hidden="false" customHeight="false" outlineLevel="0" collapsed="false">
      <c r="B292" s="66" t="str">
        <f aca="false">IF(OR($E292="",$F292=""),"","PO-"&amp;TEXT($E292,"yyyymmdd")&amp;"-"&amp;TEXT(COUNTIFS($E$6:$E292,$E292,$C$6:$C292,$C292),"000"))</f>
        <v/>
      </c>
      <c r="C292" s="130"/>
      <c r="D292" s="66" t="str">
        <f aca="false">IFERROR(INDEX(定数マスタ!$C$6:$C$105,MATCH($C292,定数マスタ!$B$6:$B$105,0)),"")</f>
        <v/>
      </c>
      <c r="E292" s="131"/>
      <c r="F292" s="130"/>
      <c r="G292" s="66" t="str">
        <f aca="false">IFERROR(INDEX(商品マスタ!$C$6:$C$1005,MATCH($F292,商品マスタ!$B$6:$B$1005,0)),"")</f>
        <v/>
      </c>
      <c r="H292" s="66" t="str">
        <f aca="false">IFERROR(INDEX(商品マスタ!$E$6:$E$1005,MATCH($F292,商品マスタ!$B$6:$B$1005,0)),"")</f>
        <v/>
      </c>
      <c r="I292" s="69" t="str">
        <f aca="false">IFERROR(INDEX(商品マスタ!$F$6:$F$1005,MATCH($F292,商品マスタ!$B$6:$B$1005,0)),"")</f>
        <v/>
      </c>
      <c r="J292" s="69" t="str">
        <f aca="false">IF(OR($F292="",$C292&lt;&gt;'設定（最初に1回）'!$C$4),"",IFERROR(INDEX(発注計算!$Y$6:$Y$405,MATCH($F292,発注計算!$C$6:$C$405,0)),""))</f>
        <v/>
      </c>
      <c r="K292" s="70"/>
      <c r="L292" s="69" t="str">
        <f aca="false">IF($K292="","",N($K292)*N($I292))</f>
        <v/>
      </c>
      <c r="M292" s="71" t="str">
        <f aca="false">IFERROR(INDEX(商品マスタ!$G$6:$G$1005,MATCH($F292,商品マスタ!$B$6:$B$1005,0)),"")</f>
        <v/>
      </c>
      <c r="N292" s="71" t="str">
        <f aca="false">IF($K292="","",N($K292)*N($M292))</f>
        <v/>
      </c>
      <c r="O292" s="66" t="str">
        <f aca="false">IFERROR(INDEX(商品マスタ!$H$6:$H$1005,MATCH($F292,商品マスタ!$B$6:$B$1005,0)),"")</f>
        <v/>
      </c>
      <c r="P292" s="87" t="str">
        <f aca="false">IF(OR($E292="",$O292=""),"",WORKDAY($E292,$O292))</f>
        <v/>
      </c>
      <c r="Q292" s="80"/>
      <c r="R292" s="131"/>
      <c r="S292" s="69" t="n">
        <f aca="false">IF($Q292="入荷済み",N($L292),0)</f>
        <v>0</v>
      </c>
      <c r="T292" s="80"/>
      <c r="U292" s="80"/>
    </row>
    <row r="293" customFormat="false" ht="15" hidden="false" customHeight="false" outlineLevel="0" collapsed="false">
      <c r="B293" s="66" t="str">
        <f aca="false">IF(OR($E293="",$F293=""),"","PO-"&amp;TEXT($E293,"yyyymmdd")&amp;"-"&amp;TEXT(COUNTIFS($E$6:$E293,$E293,$C$6:$C293,$C293),"000"))</f>
        <v/>
      </c>
      <c r="C293" s="130"/>
      <c r="D293" s="66" t="str">
        <f aca="false">IFERROR(INDEX(定数マスタ!$C$6:$C$105,MATCH($C293,定数マスタ!$B$6:$B$105,0)),"")</f>
        <v/>
      </c>
      <c r="E293" s="131"/>
      <c r="F293" s="130"/>
      <c r="G293" s="66" t="str">
        <f aca="false">IFERROR(INDEX(商品マスタ!$C$6:$C$1005,MATCH($F293,商品マスタ!$B$6:$B$1005,0)),"")</f>
        <v/>
      </c>
      <c r="H293" s="66" t="str">
        <f aca="false">IFERROR(INDEX(商品マスタ!$E$6:$E$1005,MATCH($F293,商品マスタ!$B$6:$B$1005,0)),"")</f>
        <v/>
      </c>
      <c r="I293" s="69" t="str">
        <f aca="false">IFERROR(INDEX(商品マスタ!$F$6:$F$1005,MATCH($F293,商品マスタ!$B$6:$B$1005,0)),"")</f>
        <v/>
      </c>
      <c r="J293" s="69" t="str">
        <f aca="false">IF(OR($F293="",$C293&lt;&gt;'設定（最初に1回）'!$C$4),"",IFERROR(INDEX(発注計算!$Y$6:$Y$405,MATCH($F293,発注計算!$C$6:$C$405,0)),""))</f>
        <v/>
      </c>
      <c r="K293" s="70"/>
      <c r="L293" s="69" t="str">
        <f aca="false">IF($K293="","",N($K293)*N($I293))</f>
        <v/>
      </c>
      <c r="M293" s="71" t="str">
        <f aca="false">IFERROR(INDEX(商品マスタ!$G$6:$G$1005,MATCH($F293,商品マスタ!$B$6:$B$1005,0)),"")</f>
        <v/>
      </c>
      <c r="N293" s="71" t="str">
        <f aca="false">IF($K293="","",N($K293)*N($M293))</f>
        <v/>
      </c>
      <c r="O293" s="66" t="str">
        <f aca="false">IFERROR(INDEX(商品マスタ!$H$6:$H$1005,MATCH($F293,商品マスタ!$B$6:$B$1005,0)),"")</f>
        <v/>
      </c>
      <c r="P293" s="87" t="str">
        <f aca="false">IF(OR($E293="",$O293=""),"",WORKDAY($E293,$O293))</f>
        <v/>
      </c>
      <c r="Q293" s="80"/>
      <c r="R293" s="131"/>
      <c r="S293" s="69" t="n">
        <f aca="false">IF($Q293="入荷済み",N($L293),0)</f>
        <v>0</v>
      </c>
      <c r="T293" s="80"/>
      <c r="U293" s="80"/>
    </row>
    <row r="294" customFormat="false" ht="15" hidden="false" customHeight="false" outlineLevel="0" collapsed="false">
      <c r="B294" s="66" t="str">
        <f aca="false">IF(OR($E294="",$F294=""),"","PO-"&amp;TEXT($E294,"yyyymmdd")&amp;"-"&amp;TEXT(COUNTIFS($E$6:$E294,$E294,$C$6:$C294,$C294),"000"))</f>
        <v/>
      </c>
      <c r="C294" s="130"/>
      <c r="D294" s="66" t="str">
        <f aca="false">IFERROR(INDEX(定数マスタ!$C$6:$C$105,MATCH($C294,定数マスタ!$B$6:$B$105,0)),"")</f>
        <v/>
      </c>
      <c r="E294" s="131"/>
      <c r="F294" s="130"/>
      <c r="G294" s="66" t="str">
        <f aca="false">IFERROR(INDEX(商品マスタ!$C$6:$C$1005,MATCH($F294,商品マスタ!$B$6:$B$1005,0)),"")</f>
        <v/>
      </c>
      <c r="H294" s="66" t="str">
        <f aca="false">IFERROR(INDEX(商品マスタ!$E$6:$E$1005,MATCH($F294,商品マスタ!$B$6:$B$1005,0)),"")</f>
        <v/>
      </c>
      <c r="I294" s="69" t="str">
        <f aca="false">IFERROR(INDEX(商品マスタ!$F$6:$F$1005,MATCH($F294,商品マスタ!$B$6:$B$1005,0)),"")</f>
        <v/>
      </c>
      <c r="J294" s="69" t="str">
        <f aca="false">IF(OR($F294="",$C294&lt;&gt;'設定（最初に1回）'!$C$4),"",IFERROR(INDEX(発注計算!$Y$6:$Y$405,MATCH($F294,発注計算!$C$6:$C$405,0)),""))</f>
        <v/>
      </c>
      <c r="K294" s="70"/>
      <c r="L294" s="69" t="str">
        <f aca="false">IF($K294="","",N($K294)*N($I294))</f>
        <v/>
      </c>
      <c r="M294" s="71" t="str">
        <f aca="false">IFERROR(INDEX(商品マスタ!$G$6:$G$1005,MATCH($F294,商品マスタ!$B$6:$B$1005,0)),"")</f>
        <v/>
      </c>
      <c r="N294" s="71" t="str">
        <f aca="false">IF($K294="","",N($K294)*N($M294))</f>
        <v/>
      </c>
      <c r="O294" s="66" t="str">
        <f aca="false">IFERROR(INDEX(商品マスタ!$H$6:$H$1005,MATCH($F294,商品マスタ!$B$6:$B$1005,0)),"")</f>
        <v/>
      </c>
      <c r="P294" s="87" t="str">
        <f aca="false">IF(OR($E294="",$O294=""),"",WORKDAY($E294,$O294))</f>
        <v/>
      </c>
      <c r="Q294" s="80"/>
      <c r="R294" s="131"/>
      <c r="S294" s="69" t="n">
        <f aca="false">IF($Q294="入荷済み",N($L294),0)</f>
        <v>0</v>
      </c>
      <c r="T294" s="80"/>
      <c r="U294" s="80"/>
    </row>
    <row r="295" customFormat="false" ht="15" hidden="false" customHeight="false" outlineLevel="0" collapsed="false">
      <c r="B295" s="66" t="str">
        <f aca="false">IF(OR($E295="",$F295=""),"","PO-"&amp;TEXT($E295,"yyyymmdd")&amp;"-"&amp;TEXT(COUNTIFS($E$6:$E295,$E295,$C$6:$C295,$C295),"000"))</f>
        <v/>
      </c>
      <c r="C295" s="130"/>
      <c r="D295" s="66" t="str">
        <f aca="false">IFERROR(INDEX(定数マスタ!$C$6:$C$105,MATCH($C295,定数マスタ!$B$6:$B$105,0)),"")</f>
        <v/>
      </c>
      <c r="E295" s="131"/>
      <c r="F295" s="130"/>
      <c r="G295" s="66" t="str">
        <f aca="false">IFERROR(INDEX(商品マスタ!$C$6:$C$1005,MATCH($F295,商品マスタ!$B$6:$B$1005,0)),"")</f>
        <v/>
      </c>
      <c r="H295" s="66" t="str">
        <f aca="false">IFERROR(INDEX(商品マスタ!$E$6:$E$1005,MATCH($F295,商品マスタ!$B$6:$B$1005,0)),"")</f>
        <v/>
      </c>
      <c r="I295" s="69" t="str">
        <f aca="false">IFERROR(INDEX(商品マスタ!$F$6:$F$1005,MATCH($F295,商品マスタ!$B$6:$B$1005,0)),"")</f>
        <v/>
      </c>
      <c r="J295" s="69" t="str">
        <f aca="false">IF(OR($F295="",$C295&lt;&gt;'設定（最初に1回）'!$C$4),"",IFERROR(INDEX(発注計算!$Y$6:$Y$405,MATCH($F295,発注計算!$C$6:$C$405,0)),""))</f>
        <v/>
      </c>
      <c r="K295" s="70"/>
      <c r="L295" s="69" t="str">
        <f aca="false">IF($K295="","",N($K295)*N($I295))</f>
        <v/>
      </c>
      <c r="M295" s="71" t="str">
        <f aca="false">IFERROR(INDEX(商品マスタ!$G$6:$G$1005,MATCH($F295,商品マスタ!$B$6:$B$1005,0)),"")</f>
        <v/>
      </c>
      <c r="N295" s="71" t="str">
        <f aca="false">IF($K295="","",N($K295)*N($M295))</f>
        <v/>
      </c>
      <c r="O295" s="66" t="str">
        <f aca="false">IFERROR(INDEX(商品マスタ!$H$6:$H$1005,MATCH($F295,商品マスタ!$B$6:$B$1005,0)),"")</f>
        <v/>
      </c>
      <c r="P295" s="87" t="str">
        <f aca="false">IF(OR($E295="",$O295=""),"",WORKDAY($E295,$O295))</f>
        <v/>
      </c>
      <c r="Q295" s="80"/>
      <c r="R295" s="131"/>
      <c r="S295" s="69" t="n">
        <f aca="false">IF($Q295="入荷済み",N($L295),0)</f>
        <v>0</v>
      </c>
      <c r="T295" s="80"/>
      <c r="U295" s="80"/>
    </row>
    <row r="296" customFormat="false" ht="15" hidden="false" customHeight="false" outlineLevel="0" collapsed="false">
      <c r="B296" s="66" t="str">
        <f aca="false">IF(OR($E296="",$F296=""),"","PO-"&amp;TEXT($E296,"yyyymmdd")&amp;"-"&amp;TEXT(COUNTIFS($E$6:$E296,$E296,$C$6:$C296,$C296),"000"))</f>
        <v/>
      </c>
      <c r="C296" s="130"/>
      <c r="D296" s="66" t="str">
        <f aca="false">IFERROR(INDEX(定数マスタ!$C$6:$C$105,MATCH($C296,定数マスタ!$B$6:$B$105,0)),"")</f>
        <v/>
      </c>
      <c r="E296" s="131"/>
      <c r="F296" s="130"/>
      <c r="G296" s="66" t="str">
        <f aca="false">IFERROR(INDEX(商品マスタ!$C$6:$C$1005,MATCH($F296,商品マスタ!$B$6:$B$1005,0)),"")</f>
        <v/>
      </c>
      <c r="H296" s="66" t="str">
        <f aca="false">IFERROR(INDEX(商品マスタ!$E$6:$E$1005,MATCH($F296,商品マスタ!$B$6:$B$1005,0)),"")</f>
        <v/>
      </c>
      <c r="I296" s="69" t="str">
        <f aca="false">IFERROR(INDEX(商品マスタ!$F$6:$F$1005,MATCH($F296,商品マスタ!$B$6:$B$1005,0)),"")</f>
        <v/>
      </c>
      <c r="J296" s="69" t="str">
        <f aca="false">IF(OR($F296="",$C296&lt;&gt;'設定（最初に1回）'!$C$4),"",IFERROR(INDEX(発注計算!$Y$6:$Y$405,MATCH($F296,発注計算!$C$6:$C$405,0)),""))</f>
        <v/>
      </c>
      <c r="K296" s="70"/>
      <c r="L296" s="69" t="str">
        <f aca="false">IF($K296="","",N($K296)*N($I296))</f>
        <v/>
      </c>
      <c r="M296" s="71" t="str">
        <f aca="false">IFERROR(INDEX(商品マスタ!$G$6:$G$1005,MATCH($F296,商品マスタ!$B$6:$B$1005,0)),"")</f>
        <v/>
      </c>
      <c r="N296" s="71" t="str">
        <f aca="false">IF($K296="","",N($K296)*N($M296))</f>
        <v/>
      </c>
      <c r="O296" s="66" t="str">
        <f aca="false">IFERROR(INDEX(商品マスタ!$H$6:$H$1005,MATCH($F296,商品マスタ!$B$6:$B$1005,0)),"")</f>
        <v/>
      </c>
      <c r="P296" s="87" t="str">
        <f aca="false">IF(OR($E296="",$O296=""),"",WORKDAY($E296,$O296))</f>
        <v/>
      </c>
      <c r="Q296" s="80"/>
      <c r="R296" s="131"/>
      <c r="S296" s="69" t="n">
        <f aca="false">IF($Q296="入荷済み",N($L296),0)</f>
        <v>0</v>
      </c>
      <c r="T296" s="80"/>
      <c r="U296" s="80"/>
    </row>
    <row r="297" customFormat="false" ht="15" hidden="false" customHeight="false" outlineLevel="0" collapsed="false">
      <c r="B297" s="66" t="str">
        <f aca="false">IF(OR($E297="",$F297=""),"","PO-"&amp;TEXT($E297,"yyyymmdd")&amp;"-"&amp;TEXT(COUNTIFS($E$6:$E297,$E297,$C$6:$C297,$C297),"000"))</f>
        <v/>
      </c>
      <c r="C297" s="130"/>
      <c r="D297" s="66" t="str">
        <f aca="false">IFERROR(INDEX(定数マスタ!$C$6:$C$105,MATCH($C297,定数マスタ!$B$6:$B$105,0)),"")</f>
        <v/>
      </c>
      <c r="E297" s="131"/>
      <c r="F297" s="130"/>
      <c r="G297" s="66" t="str">
        <f aca="false">IFERROR(INDEX(商品マスタ!$C$6:$C$1005,MATCH($F297,商品マスタ!$B$6:$B$1005,0)),"")</f>
        <v/>
      </c>
      <c r="H297" s="66" t="str">
        <f aca="false">IFERROR(INDEX(商品マスタ!$E$6:$E$1005,MATCH($F297,商品マスタ!$B$6:$B$1005,0)),"")</f>
        <v/>
      </c>
      <c r="I297" s="69" t="str">
        <f aca="false">IFERROR(INDEX(商品マスタ!$F$6:$F$1005,MATCH($F297,商品マスタ!$B$6:$B$1005,0)),"")</f>
        <v/>
      </c>
      <c r="J297" s="69" t="str">
        <f aca="false">IF(OR($F297="",$C297&lt;&gt;'設定（最初に1回）'!$C$4),"",IFERROR(INDEX(発注計算!$Y$6:$Y$405,MATCH($F297,発注計算!$C$6:$C$405,0)),""))</f>
        <v/>
      </c>
      <c r="K297" s="70"/>
      <c r="L297" s="69" t="str">
        <f aca="false">IF($K297="","",N($K297)*N($I297))</f>
        <v/>
      </c>
      <c r="M297" s="71" t="str">
        <f aca="false">IFERROR(INDEX(商品マスタ!$G$6:$G$1005,MATCH($F297,商品マスタ!$B$6:$B$1005,0)),"")</f>
        <v/>
      </c>
      <c r="N297" s="71" t="str">
        <f aca="false">IF($K297="","",N($K297)*N($M297))</f>
        <v/>
      </c>
      <c r="O297" s="66" t="str">
        <f aca="false">IFERROR(INDEX(商品マスタ!$H$6:$H$1005,MATCH($F297,商品マスタ!$B$6:$B$1005,0)),"")</f>
        <v/>
      </c>
      <c r="P297" s="87" t="str">
        <f aca="false">IF(OR($E297="",$O297=""),"",WORKDAY($E297,$O297))</f>
        <v/>
      </c>
      <c r="Q297" s="80"/>
      <c r="R297" s="131"/>
      <c r="S297" s="69" t="n">
        <f aca="false">IF($Q297="入荷済み",N($L297),0)</f>
        <v>0</v>
      </c>
      <c r="T297" s="80"/>
      <c r="U297" s="80"/>
    </row>
    <row r="298" customFormat="false" ht="15" hidden="false" customHeight="false" outlineLevel="0" collapsed="false">
      <c r="B298" s="66" t="str">
        <f aca="false">IF(OR($E298="",$F298=""),"","PO-"&amp;TEXT($E298,"yyyymmdd")&amp;"-"&amp;TEXT(COUNTIFS($E$6:$E298,$E298,$C$6:$C298,$C298),"000"))</f>
        <v/>
      </c>
      <c r="C298" s="130"/>
      <c r="D298" s="66" t="str">
        <f aca="false">IFERROR(INDEX(定数マスタ!$C$6:$C$105,MATCH($C298,定数マスタ!$B$6:$B$105,0)),"")</f>
        <v/>
      </c>
      <c r="E298" s="131"/>
      <c r="F298" s="130"/>
      <c r="G298" s="66" t="str">
        <f aca="false">IFERROR(INDEX(商品マスタ!$C$6:$C$1005,MATCH($F298,商品マスタ!$B$6:$B$1005,0)),"")</f>
        <v/>
      </c>
      <c r="H298" s="66" t="str">
        <f aca="false">IFERROR(INDEX(商品マスタ!$E$6:$E$1005,MATCH($F298,商品マスタ!$B$6:$B$1005,0)),"")</f>
        <v/>
      </c>
      <c r="I298" s="69" t="str">
        <f aca="false">IFERROR(INDEX(商品マスタ!$F$6:$F$1005,MATCH($F298,商品マスタ!$B$6:$B$1005,0)),"")</f>
        <v/>
      </c>
      <c r="J298" s="69" t="str">
        <f aca="false">IF(OR($F298="",$C298&lt;&gt;'設定（最初に1回）'!$C$4),"",IFERROR(INDEX(発注計算!$Y$6:$Y$405,MATCH($F298,発注計算!$C$6:$C$405,0)),""))</f>
        <v/>
      </c>
      <c r="K298" s="70"/>
      <c r="L298" s="69" t="str">
        <f aca="false">IF($K298="","",N($K298)*N($I298))</f>
        <v/>
      </c>
      <c r="M298" s="71" t="str">
        <f aca="false">IFERROR(INDEX(商品マスタ!$G$6:$G$1005,MATCH($F298,商品マスタ!$B$6:$B$1005,0)),"")</f>
        <v/>
      </c>
      <c r="N298" s="71" t="str">
        <f aca="false">IF($K298="","",N($K298)*N($M298))</f>
        <v/>
      </c>
      <c r="O298" s="66" t="str">
        <f aca="false">IFERROR(INDEX(商品マスタ!$H$6:$H$1005,MATCH($F298,商品マスタ!$B$6:$B$1005,0)),"")</f>
        <v/>
      </c>
      <c r="P298" s="87" t="str">
        <f aca="false">IF(OR($E298="",$O298=""),"",WORKDAY($E298,$O298))</f>
        <v/>
      </c>
      <c r="Q298" s="80"/>
      <c r="R298" s="131"/>
      <c r="S298" s="69" t="n">
        <f aca="false">IF($Q298="入荷済み",N($L298),0)</f>
        <v>0</v>
      </c>
      <c r="T298" s="80"/>
      <c r="U298" s="80"/>
    </row>
    <row r="299" customFormat="false" ht="15" hidden="false" customHeight="false" outlineLevel="0" collapsed="false">
      <c r="B299" s="66" t="str">
        <f aca="false">IF(OR($E299="",$F299=""),"","PO-"&amp;TEXT($E299,"yyyymmdd")&amp;"-"&amp;TEXT(COUNTIFS($E$6:$E299,$E299,$C$6:$C299,$C299),"000"))</f>
        <v/>
      </c>
      <c r="C299" s="130"/>
      <c r="D299" s="66" t="str">
        <f aca="false">IFERROR(INDEX(定数マスタ!$C$6:$C$105,MATCH($C299,定数マスタ!$B$6:$B$105,0)),"")</f>
        <v/>
      </c>
      <c r="E299" s="131"/>
      <c r="F299" s="130"/>
      <c r="G299" s="66" t="str">
        <f aca="false">IFERROR(INDEX(商品マスタ!$C$6:$C$1005,MATCH($F299,商品マスタ!$B$6:$B$1005,0)),"")</f>
        <v/>
      </c>
      <c r="H299" s="66" t="str">
        <f aca="false">IFERROR(INDEX(商品マスタ!$E$6:$E$1005,MATCH($F299,商品マスタ!$B$6:$B$1005,0)),"")</f>
        <v/>
      </c>
      <c r="I299" s="69" t="str">
        <f aca="false">IFERROR(INDEX(商品マスタ!$F$6:$F$1005,MATCH($F299,商品マスタ!$B$6:$B$1005,0)),"")</f>
        <v/>
      </c>
      <c r="J299" s="69" t="str">
        <f aca="false">IF(OR($F299="",$C299&lt;&gt;'設定（最初に1回）'!$C$4),"",IFERROR(INDEX(発注計算!$Y$6:$Y$405,MATCH($F299,発注計算!$C$6:$C$405,0)),""))</f>
        <v/>
      </c>
      <c r="K299" s="70"/>
      <c r="L299" s="69" t="str">
        <f aca="false">IF($K299="","",N($K299)*N($I299))</f>
        <v/>
      </c>
      <c r="M299" s="71" t="str">
        <f aca="false">IFERROR(INDEX(商品マスタ!$G$6:$G$1005,MATCH($F299,商品マスタ!$B$6:$B$1005,0)),"")</f>
        <v/>
      </c>
      <c r="N299" s="71" t="str">
        <f aca="false">IF($K299="","",N($K299)*N($M299))</f>
        <v/>
      </c>
      <c r="O299" s="66" t="str">
        <f aca="false">IFERROR(INDEX(商品マスタ!$H$6:$H$1005,MATCH($F299,商品マスタ!$B$6:$B$1005,0)),"")</f>
        <v/>
      </c>
      <c r="P299" s="87" t="str">
        <f aca="false">IF(OR($E299="",$O299=""),"",WORKDAY($E299,$O299))</f>
        <v/>
      </c>
      <c r="Q299" s="80"/>
      <c r="R299" s="131"/>
      <c r="S299" s="69" t="n">
        <f aca="false">IF($Q299="入荷済み",N($L299),0)</f>
        <v>0</v>
      </c>
      <c r="T299" s="80"/>
      <c r="U299" s="80"/>
    </row>
    <row r="300" customFormat="false" ht="15" hidden="false" customHeight="false" outlineLevel="0" collapsed="false">
      <c r="B300" s="66" t="str">
        <f aca="false">IF(OR($E300="",$F300=""),"","PO-"&amp;TEXT($E300,"yyyymmdd")&amp;"-"&amp;TEXT(COUNTIFS($E$6:$E300,$E300,$C$6:$C300,$C300),"000"))</f>
        <v/>
      </c>
      <c r="C300" s="130"/>
      <c r="D300" s="66" t="str">
        <f aca="false">IFERROR(INDEX(定数マスタ!$C$6:$C$105,MATCH($C300,定数マスタ!$B$6:$B$105,0)),"")</f>
        <v/>
      </c>
      <c r="E300" s="131"/>
      <c r="F300" s="130"/>
      <c r="G300" s="66" t="str">
        <f aca="false">IFERROR(INDEX(商品マスタ!$C$6:$C$1005,MATCH($F300,商品マスタ!$B$6:$B$1005,0)),"")</f>
        <v/>
      </c>
      <c r="H300" s="66" t="str">
        <f aca="false">IFERROR(INDEX(商品マスタ!$E$6:$E$1005,MATCH($F300,商品マスタ!$B$6:$B$1005,0)),"")</f>
        <v/>
      </c>
      <c r="I300" s="69" t="str">
        <f aca="false">IFERROR(INDEX(商品マスタ!$F$6:$F$1005,MATCH($F300,商品マスタ!$B$6:$B$1005,0)),"")</f>
        <v/>
      </c>
      <c r="J300" s="69" t="str">
        <f aca="false">IF(OR($F300="",$C300&lt;&gt;'設定（最初に1回）'!$C$4),"",IFERROR(INDEX(発注計算!$Y$6:$Y$405,MATCH($F300,発注計算!$C$6:$C$405,0)),""))</f>
        <v/>
      </c>
      <c r="K300" s="70"/>
      <c r="L300" s="69" t="str">
        <f aca="false">IF($K300="","",N($K300)*N($I300))</f>
        <v/>
      </c>
      <c r="M300" s="71" t="str">
        <f aca="false">IFERROR(INDEX(商品マスタ!$G$6:$G$1005,MATCH($F300,商品マスタ!$B$6:$B$1005,0)),"")</f>
        <v/>
      </c>
      <c r="N300" s="71" t="str">
        <f aca="false">IF($K300="","",N($K300)*N($M300))</f>
        <v/>
      </c>
      <c r="O300" s="66" t="str">
        <f aca="false">IFERROR(INDEX(商品マスタ!$H$6:$H$1005,MATCH($F300,商品マスタ!$B$6:$B$1005,0)),"")</f>
        <v/>
      </c>
      <c r="P300" s="87" t="str">
        <f aca="false">IF(OR($E300="",$O300=""),"",WORKDAY($E300,$O300))</f>
        <v/>
      </c>
      <c r="Q300" s="80"/>
      <c r="R300" s="131"/>
      <c r="S300" s="69" t="n">
        <f aca="false">IF($Q300="入荷済み",N($L300),0)</f>
        <v>0</v>
      </c>
      <c r="T300" s="80"/>
      <c r="U300" s="80"/>
    </row>
    <row r="301" customFormat="false" ht="15" hidden="false" customHeight="false" outlineLevel="0" collapsed="false">
      <c r="B301" s="66" t="str">
        <f aca="false">IF(OR($E301="",$F301=""),"","PO-"&amp;TEXT($E301,"yyyymmdd")&amp;"-"&amp;TEXT(COUNTIFS($E$6:$E301,$E301,$C$6:$C301,$C301),"000"))</f>
        <v/>
      </c>
      <c r="C301" s="130"/>
      <c r="D301" s="66" t="str">
        <f aca="false">IFERROR(INDEX(定数マスタ!$C$6:$C$105,MATCH($C301,定数マスタ!$B$6:$B$105,0)),"")</f>
        <v/>
      </c>
      <c r="E301" s="131"/>
      <c r="F301" s="130"/>
      <c r="G301" s="66" t="str">
        <f aca="false">IFERROR(INDEX(商品マスタ!$C$6:$C$1005,MATCH($F301,商品マスタ!$B$6:$B$1005,0)),"")</f>
        <v/>
      </c>
      <c r="H301" s="66" t="str">
        <f aca="false">IFERROR(INDEX(商品マスタ!$E$6:$E$1005,MATCH($F301,商品マスタ!$B$6:$B$1005,0)),"")</f>
        <v/>
      </c>
      <c r="I301" s="69" t="str">
        <f aca="false">IFERROR(INDEX(商品マスタ!$F$6:$F$1005,MATCH($F301,商品マスタ!$B$6:$B$1005,0)),"")</f>
        <v/>
      </c>
      <c r="J301" s="69" t="str">
        <f aca="false">IF(OR($F301="",$C301&lt;&gt;'設定（最初に1回）'!$C$4),"",IFERROR(INDEX(発注計算!$Y$6:$Y$405,MATCH($F301,発注計算!$C$6:$C$405,0)),""))</f>
        <v/>
      </c>
      <c r="K301" s="70"/>
      <c r="L301" s="69" t="str">
        <f aca="false">IF($K301="","",N($K301)*N($I301))</f>
        <v/>
      </c>
      <c r="M301" s="71" t="str">
        <f aca="false">IFERROR(INDEX(商品マスタ!$G$6:$G$1005,MATCH($F301,商品マスタ!$B$6:$B$1005,0)),"")</f>
        <v/>
      </c>
      <c r="N301" s="71" t="str">
        <f aca="false">IF($K301="","",N($K301)*N($M301))</f>
        <v/>
      </c>
      <c r="O301" s="66" t="str">
        <f aca="false">IFERROR(INDEX(商品マスタ!$H$6:$H$1005,MATCH($F301,商品マスタ!$B$6:$B$1005,0)),"")</f>
        <v/>
      </c>
      <c r="P301" s="87" t="str">
        <f aca="false">IF(OR($E301="",$O301=""),"",WORKDAY($E301,$O301))</f>
        <v/>
      </c>
      <c r="Q301" s="80"/>
      <c r="R301" s="131"/>
      <c r="S301" s="69" t="n">
        <f aca="false">IF($Q301="入荷済み",N($L301),0)</f>
        <v>0</v>
      </c>
      <c r="T301" s="80"/>
      <c r="U301" s="80"/>
    </row>
    <row r="302" customFormat="false" ht="15" hidden="false" customHeight="false" outlineLevel="0" collapsed="false">
      <c r="B302" s="66" t="str">
        <f aca="false">IF(OR($E302="",$F302=""),"","PO-"&amp;TEXT($E302,"yyyymmdd")&amp;"-"&amp;TEXT(COUNTIFS($E$6:$E302,$E302,$C$6:$C302,$C302),"000"))</f>
        <v/>
      </c>
      <c r="C302" s="130"/>
      <c r="D302" s="66" t="str">
        <f aca="false">IFERROR(INDEX(定数マスタ!$C$6:$C$105,MATCH($C302,定数マスタ!$B$6:$B$105,0)),"")</f>
        <v/>
      </c>
      <c r="E302" s="131"/>
      <c r="F302" s="130"/>
      <c r="G302" s="66" t="str">
        <f aca="false">IFERROR(INDEX(商品マスタ!$C$6:$C$1005,MATCH($F302,商品マスタ!$B$6:$B$1005,0)),"")</f>
        <v/>
      </c>
      <c r="H302" s="66" t="str">
        <f aca="false">IFERROR(INDEX(商品マスタ!$E$6:$E$1005,MATCH($F302,商品マスタ!$B$6:$B$1005,0)),"")</f>
        <v/>
      </c>
      <c r="I302" s="69" t="str">
        <f aca="false">IFERROR(INDEX(商品マスタ!$F$6:$F$1005,MATCH($F302,商品マスタ!$B$6:$B$1005,0)),"")</f>
        <v/>
      </c>
      <c r="J302" s="69" t="str">
        <f aca="false">IF(OR($F302="",$C302&lt;&gt;'設定（最初に1回）'!$C$4),"",IFERROR(INDEX(発注計算!$Y$6:$Y$405,MATCH($F302,発注計算!$C$6:$C$405,0)),""))</f>
        <v/>
      </c>
      <c r="K302" s="70"/>
      <c r="L302" s="69" t="str">
        <f aca="false">IF($K302="","",N($K302)*N($I302))</f>
        <v/>
      </c>
      <c r="M302" s="71" t="str">
        <f aca="false">IFERROR(INDEX(商品マスタ!$G$6:$G$1005,MATCH($F302,商品マスタ!$B$6:$B$1005,0)),"")</f>
        <v/>
      </c>
      <c r="N302" s="71" t="str">
        <f aca="false">IF($K302="","",N($K302)*N($M302))</f>
        <v/>
      </c>
      <c r="O302" s="66" t="str">
        <f aca="false">IFERROR(INDEX(商品マスタ!$H$6:$H$1005,MATCH($F302,商品マスタ!$B$6:$B$1005,0)),"")</f>
        <v/>
      </c>
      <c r="P302" s="87" t="str">
        <f aca="false">IF(OR($E302="",$O302=""),"",WORKDAY($E302,$O302))</f>
        <v/>
      </c>
      <c r="Q302" s="80"/>
      <c r="R302" s="131"/>
      <c r="S302" s="69" t="n">
        <f aca="false">IF($Q302="入荷済み",N($L302),0)</f>
        <v>0</v>
      </c>
      <c r="T302" s="80"/>
      <c r="U302" s="80"/>
    </row>
    <row r="303" customFormat="false" ht="15" hidden="false" customHeight="false" outlineLevel="0" collapsed="false">
      <c r="B303" s="66" t="str">
        <f aca="false">IF(OR($E303="",$F303=""),"","PO-"&amp;TEXT($E303,"yyyymmdd")&amp;"-"&amp;TEXT(COUNTIFS($E$6:$E303,$E303,$C$6:$C303,$C303),"000"))</f>
        <v/>
      </c>
      <c r="C303" s="130"/>
      <c r="D303" s="66" t="str">
        <f aca="false">IFERROR(INDEX(定数マスタ!$C$6:$C$105,MATCH($C303,定数マスタ!$B$6:$B$105,0)),"")</f>
        <v/>
      </c>
      <c r="E303" s="131"/>
      <c r="F303" s="130"/>
      <c r="G303" s="66" t="str">
        <f aca="false">IFERROR(INDEX(商品マスタ!$C$6:$C$1005,MATCH($F303,商品マスタ!$B$6:$B$1005,0)),"")</f>
        <v/>
      </c>
      <c r="H303" s="66" t="str">
        <f aca="false">IFERROR(INDEX(商品マスタ!$E$6:$E$1005,MATCH($F303,商品マスタ!$B$6:$B$1005,0)),"")</f>
        <v/>
      </c>
      <c r="I303" s="69" t="str">
        <f aca="false">IFERROR(INDEX(商品マスタ!$F$6:$F$1005,MATCH($F303,商品マスタ!$B$6:$B$1005,0)),"")</f>
        <v/>
      </c>
      <c r="J303" s="69" t="str">
        <f aca="false">IF(OR($F303="",$C303&lt;&gt;'設定（最初に1回）'!$C$4),"",IFERROR(INDEX(発注計算!$Y$6:$Y$405,MATCH($F303,発注計算!$C$6:$C$405,0)),""))</f>
        <v/>
      </c>
      <c r="K303" s="70"/>
      <c r="L303" s="69" t="str">
        <f aca="false">IF($K303="","",N($K303)*N($I303))</f>
        <v/>
      </c>
      <c r="M303" s="71" t="str">
        <f aca="false">IFERROR(INDEX(商品マスタ!$G$6:$G$1005,MATCH($F303,商品マスタ!$B$6:$B$1005,0)),"")</f>
        <v/>
      </c>
      <c r="N303" s="71" t="str">
        <f aca="false">IF($K303="","",N($K303)*N($M303))</f>
        <v/>
      </c>
      <c r="O303" s="66" t="str">
        <f aca="false">IFERROR(INDEX(商品マスタ!$H$6:$H$1005,MATCH($F303,商品マスタ!$B$6:$B$1005,0)),"")</f>
        <v/>
      </c>
      <c r="P303" s="87" t="str">
        <f aca="false">IF(OR($E303="",$O303=""),"",WORKDAY($E303,$O303))</f>
        <v/>
      </c>
      <c r="Q303" s="80"/>
      <c r="R303" s="131"/>
      <c r="S303" s="69" t="n">
        <f aca="false">IF($Q303="入荷済み",N($L303),0)</f>
        <v>0</v>
      </c>
      <c r="T303" s="80"/>
      <c r="U303" s="80"/>
    </row>
    <row r="304" customFormat="false" ht="15" hidden="false" customHeight="false" outlineLevel="0" collapsed="false">
      <c r="B304" s="66" t="str">
        <f aca="false">IF(OR($E304="",$F304=""),"","PO-"&amp;TEXT($E304,"yyyymmdd")&amp;"-"&amp;TEXT(COUNTIFS($E$6:$E304,$E304,$C$6:$C304,$C304),"000"))</f>
        <v/>
      </c>
      <c r="C304" s="130"/>
      <c r="D304" s="66" t="str">
        <f aca="false">IFERROR(INDEX(定数マスタ!$C$6:$C$105,MATCH($C304,定数マスタ!$B$6:$B$105,0)),"")</f>
        <v/>
      </c>
      <c r="E304" s="131"/>
      <c r="F304" s="130"/>
      <c r="G304" s="66" t="str">
        <f aca="false">IFERROR(INDEX(商品マスタ!$C$6:$C$1005,MATCH($F304,商品マスタ!$B$6:$B$1005,0)),"")</f>
        <v/>
      </c>
      <c r="H304" s="66" t="str">
        <f aca="false">IFERROR(INDEX(商品マスタ!$E$6:$E$1005,MATCH($F304,商品マスタ!$B$6:$B$1005,0)),"")</f>
        <v/>
      </c>
      <c r="I304" s="69" t="str">
        <f aca="false">IFERROR(INDEX(商品マスタ!$F$6:$F$1005,MATCH($F304,商品マスタ!$B$6:$B$1005,0)),"")</f>
        <v/>
      </c>
      <c r="J304" s="69" t="str">
        <f aca="false">IF(OR($F304="",$C304&lt;&gt;'設定（最初に1回）'!$C$4),"",IFERROR(INDEX(発注計算!$Y$6:$Y$405,MATCH($F304,発注計算!$C$6:$C$405,0)),""))</f>
        <v/>
      </c>
      <c r="K304" s="70"/>
      <c r="L304" s="69" t="str">
        <f aca="false">IF($K304="","",N($K304)*N($I304))</f>
        <v/>
      </c>
      <c r="M304" s="71" t="str">
        <f aca="false">IFERROR(INDEX(商品マスタ!$G$6:$G$1005,MATCH($F304,商品マスタ!$B$6:$B$1005,0)),"")</f>
        <v/>
      </c>
      <c r="N304" s="71" t="str">
        <f aca="false">IF($K304="","",N($K304)*N($M304))</f>
        <v/>
      </c>
      <c r="O304" s="66" t="str">
        <f aca="false">IFERROR(INDEX(商品マスタ!$H$6:$H$1005,MATCH($F304,商品マスタ!$B$6:$B$1005,0)),"")</f>
        <v/>
      </c>
      <c r="P304" s="87" t="str">
        <f aca="false">IF(OR($E304="",$O304=""),"",WORKDAY($E304,$O304))</f>
        <v/>
      </c>
      <c r="Q304" s="80"/>
      <c r="R304" s="131"/>
      <c r="S304" s="69" t="n">
        <f aca="false">IF($Q304="入荷済み",N($L304),0)</f>
        <v>0</v>
      </c>
      <c r="T304" s="80"/>
      <c r="U304" s="80"/>
    </row>
    <row r="305" customFormat="false" ht="15" hidden="false" customHeight="false" outlineLevel="0" collapsed="false">
      <c r="B305" s="66" t="str">
        <f aca="false">IF(OR($E305="",$F305=""),"","PO-"&amp;TEXT($E305,"yyyymmdd")&amp;"-"&amp;TEXT(COUNTIFS($E$6:$E305,$E305,$C$6:$C305,$C305),"000"))</f>
        <v/>
      </c>
      <c r="C305" s="130"/>
      <c r="D305" s="66" t="str">
        <f aca="false">IFERROR(INDEX(定数マスタ!$C$6:$C$105,MATCH($C305,定数マスタ!$B$6:$B$105,0)),"")</f>
        <v/>
      </c>
      <c r="E305" s="131"/>
      <c r="F305" s="130"/>
      <c r="G305" s="66" t="str">
        <f aca="false">IFERROR(INDEX(商品マスタ!$C$6:$C$1005,MATCH($F305,商品マスタ!$B$6:$B$1005,0)),"")</f>
        <v/>
      </c>
      <c r="H305" s="66" t="str">
        <f aca="false">IFERROR(INDEX(商品マスタ!$E$6:$E$1005,MATCH($F305,商品マスタ!$B$6:$B$1005,0)),"")</f>
        <v/>
      </c>
      <c r="I305" s="69" t="str">
        <f aca="false">IFERROR(INDEX(商品マスタ!$F$6:$F$1005,MATCH($F305,商品マスタ!$B$6:$B$1005,0)),"")</f>
        <v/>
      </c>
      <c r="J305" s="69" t="str">
        <f aca="false">IF(OR($F305="",$C305&lt;&gt;'設定（最初に1回）'!$C$4),"",IFERROR(INDEX(発注計算!$Y$6:$Y$405,MATCH($F305,発注計算!$C$6:$C$405,0)),""))</f>
        <v/>
      </c>
      <c r="K305" s="70"/>
      <c r="L305" s="69" t="str">
        <f aca="false">IF($K305="","",N($K305)*N($I305))</f>
        <v/>
      </c>
      <c r="M305" s="71" t="str">
        <f aca="false">IFERROR(INDEX(商品マスタ!$G$6:$G$1005,MATCH($F305,商品マスタ!$B$6:$B$1005,0)),"")</f>
        <v/>
      </c>
      <c r="N305" s="71" t="str">
        <f aca="false">IF($K305="","",N($K305)*N($M305))</f>
        <v/>
      </c>
      <c r="O305" s="66" t="str">
        <f aca="false">IFERROR(INDEX(商品マスタ!$H$6:$H$1005,MATCH($F305,商品マスタ!$B$6:$B$1005,0)),"")</f>
        <v/>
      </c>
      <c r="P305" s="87" t="str">
        <f aca="false">IF(OR($E305="",$O305=""),"",WORKDAY($E305,$O305))</f>
        <v/>
      </c>
      <c r="Q305" s="80"/>
      <c r="R305" s="131"/>
      <c r="S305" s="69" t="n">
        <f aca="false">IF($Q305="入荷済み",N($L305),0)</f>
        <v>0</v>
      </c>
      <c r="T305" s="80"/>
      <c r="U305" s="80"/>
    </row>
    <row r="306" customFormat="false" ht="15" hidden="false" customHeight="false" outlineLevel="0" collapsed="false">
      <c r="B306" s="66" t="str">
        <f aca="false">IF(OR($E306="",$F306=""),"","PO-"&amp;TEXT($E306,"yyyymmdd")&amp;"-"&amp;TEXT(COUNTIFS($E$6:$E306,$E306,$C$6:$C306,$C306),"000"))</f>
        <v/>
      </c>
      <c r="C306" s="130"/>
      <c r="D306" s="66" t="str">
        <f aca="false">IFERROR(INDEX(定数マスタ!$C$6:$C$105,MATCH($C306,定数マスタ!$B$6:$B$105,0)),"")</f>
        <v/>
      </c>
      <c r="E306" s="131"/>
      <c r="F306" s="130"/>
      <c r="G306" s="66" t="str">
        <f aca="false">IFERROR(INDEX(商品マスタ!$C$6:$C$1005,MATCH($F306,商品マスタ!$B$6:$B$1005,0)),"")</f>
        <v/>
      </c>
      <c r="H306" s="66" t="str">
        <f aca="false">IFERROR(INDEX(商品マスタ!$E$6:$E$1005,MATCH($F306,商品マスタ!$B$6:$B$1005,0)),"")</f>
        <v/>
      </c>
      <c r="I306" s="69" t="str">
        <f aca="false">IFERROR(INDEX(商品マスタ!$F$6:$F$1005,MATCH($F306,商品マスタ!$B$6:$B$1005,0)),"")</f>
        <v/>
      </c>
      <c r="J306" s="69" t="str">
        <f aca="false">IF(OR($F306="",$C306&lt;&gt;'設定（最初に1回）'!$C$4),"",IFERROR(INDEX(発注計算!$Y$6:$Y$405,MATCH($F306,発注計算!$C$6:$C$405,0)),""))</f>
        <v/>
      </c>
      <c r="K306" s="70"/>
      <c r="L306" s="69" t="str">
        <f aca="false">IF($K306="","",N($K306)*N($I306))</f>
        <v/>
      </c>
      <c r="M306" s="71" t="str">
        <f aca="false">IFERROR(INDEX(商品マスタ!$G$6:$G$1005,MATCH($F306,商品マスタ!$B$6:$B$1005,0)),"")</f>
        <v/>
      </c>
      <c r="N306" s="71" t="str">
        <f aca="false">IF($K306="","",N($K306)*N($M306))</f>
        <v/>
      </c>
      <c r="O306" s="66" t="str">
        <f aca="false">IFERROR(INDEX(商品マスタ!$H$6:$H$1005,MATCH($F306,商品マスタ!$B$6:$B$1005,0)),"")</f>
        <v/>
      </c>
      <c r="P306" s="87" t="str">
        <f aca="false">IF(OR($E306="",$O306=""),"",WORKDAY($E306,$O306))</f>
        <v/>
      </c>
      <c r="Q306" s="80"/>
      <c r="R306" s="131"/>
      <c r="S306" s="69" t="n">
        <f aca="false">IF($Q306="入荷済み",N($L306),0)</f>
        <v>0</v>
      </c>
      <c r="T306" s="80"/>
      <c r="U306" s="80"/>
    </row>
    <row r="307" customFormat="false" ht="15" hidden="false" customHeight="false" outlineLevel="0" collapsed="false">
      <c r="B307" s="66" t="str">
        <f aca="false">IF(OR($E307="",$F307=""),"","PO-"&amp;TEXT($E307,"yyyymmdd")&amp;"-"&amp;TEXT(COUNTIFS($E$6:$E307,$E307,$C$6:$C307,$C307),"000"))</f>
        <v/>
      </c>
      <c r="C307" s="130"/>
      <c r="D307" s="66" t="str">
        <f aca="false">IFERROR(INDEX(定数マスタ!$C$6:$C$105,MATCH($C307,定数マスタ!$B$6:$B$105,0)),"")</f>
        <v/>
      </c>
      <c r="E307" s="131"/>
      <c r="F307" s="130"/>
      <c r="G307" s="66" t="str">
        <f aca="false">IFERROR(INDEX(商品マスタ!$C$6:$C$1005,MATCH($F307,商品マスタ!$B$6:$B$1005,0)),"")</f>
        <v/>
      </c>
      <c r="H307" s="66" t="str">
        <f aca="false">IFERROR(INDEX(商品マスタ!$E$6:$E$1005,MATCH($F307,商品マスタ!$B$6:$B$1005,0)),"")</f>
        <v/>
      </c>
      <c r="I307" s="69" t="str">
        <f aca="false">IFERROR(INDEX(商品マスタ!$F$6:$F$1005,MATCH($F307,商品マスタ!$B$6:$B$1005,0)),"")</f>
        <v/>
      </c>
      <c r="J307" s="69" t="str">
        <f aca="false">IF(OR($F307="",$C307&lt;&gt;'設定（最初に1回）'!$C$4),"",IFERROR(INDEX(発注計算!$Y$6:$Y$405,MATCH($F307,発注計算!$C$6:$C$405,0)),""))</f>
        <v/>
      </c>
      <c r="K307" s="70"/>
      <c r="L307" s="69" t="str">
        <f aca="false">IF($K307="","",N($K307)*N($I307))</f>
        <v/>
      </c>
      <c r="M307" s="71" t="str">
        <f aca="false">IFERROR(INDEX(商品マスタ!$G$6:$G$1005,MATCH($F307,商品マスタ!$B$6:$B$1005,0)),"")</f>
        <v/>
      </c>
      <c r="N307" s="71" t="str">
        <f aca="false">IF($K307="","",N($K307)*N($M307))</f>
        <v/>
      </c>
      <c r="O307" s="66" t="str">
        <f aca="false">IFERROR(INDEX(商品マスタ!$H$6:$H$1005,MATCH($F307,商品マスタ!$B$6:$B$1005,0)),"")</f>
        <v/>
      </c>
      <c r="P307" s="87" t="str">
        <f aca="false">IF(OR($E307="",$O307=""),"",WORKDAY($E307,$O307))</f>
        <v/>
      </c>
      <c r="Q307" s="80"/>
      <c r="R307" s="131"/>
      <c r="S307" s="69" t="n">
        <f aca="false">IF($Q307="入荷済み",N($L307),0)</f>
        <v>0</v>
      </c>
      <c r="T307" s="80"/>
      <c r="U307" s="80"/>
    </row>
    <row r="308" customFormat="false" ht="15" hidden="false" customHeight="false" outlineLevel="0" collapsed="false">
      <c r="B308" s="66" t="str">
        <f aca="false">IF(OR($E308="",$F308=""),"","PO-"&amp;TEXT($E308,"yyyymmdd")&amp;"-"&amp;TEXT(COUNTIFS($E$6:$E308,$E308,$C$6:$C308,$C308),"000"))</f>
        <v/>
      </c>
      <c r="C308" s="130"/>
      <c r="D308" s="66" t="str">
        <f aca="false">IFERROR(INDEX(定数マスタ!$C$6:$C$105,MATCH($C308,定数マスタ!$B$6:$B$105,0)),"")</f>
        <v/>
      </c>
      <c r="E308" s="131"/>
      <c r="F308" s="130"/>
      <c r="G308" s="66" t="str">
        <f aca="false">IFERROR(INDEX(商品マスタ!$C$6:$C$1005,MATCH($F308,商品マスタ!$B$6:$B$1005,0)),"")</f>
        <v/>
      </c>
      <c r="H308" s="66" t="str">
        <f aca="false">IFERROR(INDEX(商品マスタ!$E$6:$E$1005,MATCH($F308,商品マスタ!$B$6:$B$1005,0)),"")</f>
        <v/>
      </c>
      <c r="I308" s="69" t="str">
        <f aca="false">IFERROR(INDEX(商品マスタ!$F$6:$F$1005,MATCH($F308,商品マスタ!$B$6:$B$1005,0)),"")</f>
        <v/>
      </c>
      <c r="J308" s="69" t="str">
        <f aca="false">IF(OR($F308="",$C308&lt;&gt;'設定（最初に1回）'!$C$4),"",IFERROR(INDEX(発注計算!$Y$6:$Y$405,MATCH($F308,発注計算!$C$6:$C$405,0)),""))</f>
        <v/>
      </c>
      <c r="K308" s="70"/>
      <c r="L308" s="69" t="str">
        <f aca="false">IF($K308="","",N($K308)*N($I308))</f>
        <v/>
      </c>
      <c r="M308" s="71" t="str">
        <f aca="false">IFERROR(INDEX(商品マスタ!$G$6:$G$1005,MATCH($F308,商品マスタ!$B$6:$B$1005,0)),"")</f>
        <v/>
      </c>
      <c r="N308" s="71" t="str">
        <f aca="false">IF($K308="","",N($K308)*N($M308))</f>
        <v/>
      </c>
      <c r="O308" s="66" t="str">
        <f aca="false">IFERROR(INDEX(商品マスタ!$H$6:$H$1005,MATCH($F308,商品マスタ!$B$6:$B$1005,0)),"")</f>
        <v/>
      </c>
      <c r="P308" s="87" t="str">
        <f aca="false">IF(OR($E308="",$O308=""),"",WORKDAY($E308,$O308))</f>
        <v/>
      </c>
      <c r="Q308" s="80"/>
      <c r="R308" s="131"/>
      <c r="S308" s="69" t="n">
        <f aca="false">IF($Q308="入荷済み",N($L308),0)</f>
        <v>0</v>
      </c>
      <c r="T308" s="80"/>
      <c r="U308" s="80"/>
    </row>
    <row r="309" customFormat="false" ht="15" hidden="false" customHeight="false" outlineLevel="0" collapsed="false">
      <c r="B309" s="66" t="str">
        <f aca="false">IF(OR($E309="",$F309=""),"","PO-"&amp;TEXT($E309,"yyyymmdd")&amp;"-"&amp;TEXT(COUNTIFS($E$6:$E309,$E309,$C$6:$C309,$C309),"000"))</f>
        <v/>
      </c>
      <c r="C309" s="130"/>
      <c r="D309" s="66" t="str">
        <f aca="false">IFERROR(INDEX(定数マスタ!$C$6:$C$105,MATCH($C309,定数マスタ!$B$6:$B$105,0)),"")</f>
        <v/>
      </c>
      <c r="E309" s="131"/>
      <c r="F309" s="130"/>
      <c r="G309" s="66" t="str">
        <f aca="false">IFERROR(INDEX(商品マスタ!$C$6:$C$1005,MATCH($F309,商品マスタ!$B$6:$B$1005,0)),"")</f>
        <v/>
      </c>
      <c r="H309" s="66" t="str">
        <f aca="false">IFERROR(INDEX(商品マスタ!$E$6:$E$1005,MATCH($F309,商品マスタ!$B$6:$B$1005,0)),"")</f>
        <v/>
      </c>
      <c r="I309" s="69" t="str">
        <f aca="false">IFERROR(INDEX(商品マスタ!$F$6:$F$1005,MATCH($F309,商品マスタ!$B$6:$B$1005,0)),"")</f>
        <v/>
      </c>
      <c r="J309" s="69" t="str">
        <f aca="false">IF(OR($F309="",$C309&lt;&gt;'設定（最初に1回）'!$C$4),"",IFERROR(INDEX(発注計算!$Y$6:$Y$405,MATCH($F309,発注計算!$C$6:$C$405,0)),""))</f>
        <v/>
      </c>
      <c r="K309" s="70"/>
      <c r="L309" s="69" t="str">
        <f aca="false">IF($K309="","",N($K309)*N($I309))</f>
        <v/>
      </c>
      <c r="M309" s="71" t="str">
        <f aca="false">IFERROR(INDEX(商品マスタ!$G$6:$G$1005,MATCH($F309,商品マスタ!$B$6:$B$1005,0)),"")</f>
        <v/>
      </c>
      <c r="N309" s="71" t="str">
        <f aca="false">IF($K309="","",N($K309)*N($M309))</f>
        <v/>
      </c>
      <c r="O309" s="66" t="str">
        <f aca="false">IFERROR(INDEX(商品マスタ!$H$6:$H$1005,MATCH($F309,商品マスタ!$B$6:$B$1005,0)),"")</f>
        <v/>
      </c>
      <c r="P309" s="87" t="str">
        <f aca="false">IF(OR($E309="",$O309=""),"",WORKDAY($E309,$O309))</f>
        <v/>
      </c>
      <c r="Q309" s="80"/>
      <c r="R309" s="131"/>
      <c r="S309" s="69" t="n">
        <f aca="false">IF($Q309="入荷済み",N($L309),0)</f>
        <v>0</v>
      </c>
      <c r="T309" s="80"/>
      <c r="U309" s="80"/>
    </row>
    <row r="310" customFormat="false" ht="15" hidden="false" customHeight="false" outlineLevel="0" collapsed="false">
      <c r="B310" s="66" t="str">
        <f aca="false">IF(OR($E310="",$F310=""),"","PO-"&amp;TEXT($E310,"yyyymmdd")&amp;"-"&amp;TEXT(COUNTIFS($E$6:$E310,$E310,$C$6:$C310,$C310),"000"))</f>
        <v/>
      </c>
      <c r="C310" s="130"/>
      <c r="D310" s="66" t="str">
        <f aca="false">IFERROR(INDEX(定数マスタ!$C$6:$C$105,MATCH($C310,定数マスタ!$B$6:$B$105,0)),"")</f>
        <v/>
      </c>
      <c r="E310" s="131"/>
      <c r="F310" s="130"/>
      <c r="G310" s="66" t="str">
        <f aca="false">IFERROR(INDEX(商品マスタ!$C$6:$C$1005,MATCH($F310,商品マスタ!$B$6:$B$1005,0)),"")</f>
        <v/>
      </c>
      <c r="H310" s="66" t="str">
        <f aca="false">IFERROR(INDEX(商品マスタ!$E$6:$E$1005,MATCH($F310,商品マスタ!$B$6:$B$1005,0)),"")</f>
        <v/>
      </c>
      <c r="I310" s="69" t="str">
        <f aca="false">IFERROR(INDEX(商品マスタ!$F$6:$F$1005,MATCH($F310,商品マスタ!$B$6:$B$1005,0)),"")</f>
        <v/>
      </c>
      <c r="J310" s="69" t="str">
        <f aca="false">IF(OR($F310="",$C310&lt;&gt;'設定（最初に1回）'!$C$4),"",IFERROR(INDEX(発注計算!$Y$6:$Y$405,MATCH($F310,発注計算!$C$6:$C$405,0)),""))</f>
        <v/>
      </c>
      <c r="K310" s="70"/>
      <c r="L310" s="69" t="str">
        <f aca="false">IF($K310="","",N($K310)*N($I310))</f>
        <v/>
      </c>
      <c r="M310" s="71" t="str">
        <f aca="false">IFERROR(INDEX(商品マスタ!$G$6:$G$1005,MATCH($F310,商品マスタ!$B$6:$B$1005,0)),"")</f>
        <v/>
      </c>
      <c r="N310" s="71" t="str">
        <f aca="false">IF($K310="","",N($K310)*N($M310))</f>
        <v/>
      </c>
      <c r="O310" s="66" t="str">
        <f aca="false">IFERROR(INDEX(商品マスタ!$H$6:$H$1005,MATCH($F310,商品マスタ!$B$6:$B$1005,0)),"")</f>
        <v/>
      </c>
      <c r="P310" s="87" t="str">
        <f aca="false">IF(OR($E310="",$O310=""),"",WORKDAY($E310,$O310))</f>
        <v/>
      </c>
      <c r="Q310" s="80"/>
      <c r="R310" s="131"/>
      <c r="S310" s="69" t="n">
        <f aca="false">IF($Q310="入荷済み",N($L310),0)</f>
        <v>0</v>
      </c>
      <c r="T310" s="80"/>
      <c r="U310" s="80"/>
    </row>
    <row r="311" customFormat="false" ht="15" hidden="false" customHeight="false" outlineLevel="0" collapsed="false">
      <c r="B311" s="66" t="str">
        <f aca="false">IF(OR($E311="",$F311=""),"","PO-"&amp;TEXT($E311,"yyyymmdd")&amp;"-"&amp;TEXT(COUNTIFS($E$6:$E311,$E311,$C$6:$C311,$C311),"000"))</f>
        <v/>
      </c>
      <c r="C311" s="130"/>
      <c r="D311" s="66" t="str">
        <f aca="false">IFERROR(INDEX(定数マスタ!$C$6:$C$105,MATCH($C311,定数マスタ!$B$6:$B$105,0)),"")</f>
        <v/>
      </c>
      <c r="E311" s="131"/>
      <c r="F311" s="130"/>
      <c r="G311" s="66" t="str">
        <f aca="false">IFERROR(INDEX(商品マスタ!$C$6:$C$1005,MATCH($F311,商品マスタ!$B$6:$B$1005,0)),"")</f>
        <v/>
      </c>
      <c r="H311" s="66" t="str">
        <f aca="false">IFERROR(INDEX(商品マスタ!$E$6:$E$1005,MATCH($F311,商品マスタ!$B$6:$B$1005,0)),"")</f>
        <v/>
      </c>
      <c r="I311" s="69" t="str">
        <f aca="false">IFERROR(INDEX(商品マスタ!$F$6:$F$1005,MATCH($F311,商品マスタ!$B$6:$B$1005,0)),"")</f>
        <v/>
      </c>
      <c r="J311" s="69" t="str">
        <f aca="false">IF(OR($F311="",$C311&lt;&gt;'設定（最初に1回）'!$C$4),"",IFERROR(INDEX(発注計算!$Y$6:$Y$405,MATCH($F311,発注計算!$C$6:$C$405,0)),""))</f>
        <v/>
      </c>
      <c r="K311" s="70"/>
      <c r="L311" s="69" t="str">
        <f aca="false">IF($K311="","",N($K311)*N($I311))</f>
        <v/>
      </c>
      <c r="M311" s="71" t="str">
        <f aca="false">IFERROR(INDEX(商品マスタ!$G$6:$G$1005,MATCH($F311,商品マスタ!$B$6:$B$1005,0)),"")</f>
        <v/>
      </c>
      <c r="N311" s="71" t="str">
        <f aca="false">IF($K311="","",N($K311)*N($M311))</f>
        <v/>
      </c>
      <c r="O311" s="66" t="str">
        <f aca="false">IFERROR(INDEX(商品マスタ!$H$6:$H$1005,MATCH($F311,商品マスタ!$B$6:$B$1005,0)),"")</f>
        <v/>
      </c>
      <c r="P311" s="87" t="str">
        <f aca="false">IF(OR($E311="",$O311=""),"",WORKDAY($E311,$O311))</f>
        <v/>
      </c>
      <c r="Q311" s="80"/>
      <c r="R311" s="131"/>
      <c r="S311" s="69" t="n">
        <f aca="false">IF($Q311="入荷済み",N($L311),0)</f>
        <v>0</v>
      </c>
      <c r="T311" s="80"/>
      <c r="U311" s="80"/>
    </row>
    <row r="312" customFormat="false" ht="15" hidden="false" customHeight="false" outlineLevel="0" collapsed="false">
      <c r="B312" s="66" t="str">
        <f aca="false">IF(OR($E312="",$F312=""),"","PO-"&amp;TEXT($E312,"yyyymmdd")&amp;"-"&amp;TEXT(COUNTIFS($E$6:$E312,$E312,$C$6:$C312,$C312),"000"))</f>
        <v/>
      </c>
      <c r="C312" s="130"/>
      <c r="D312" s="66" t="str">
        <f aca="false">IFERROR(INDEX(定数マスタ!$C$6:$C$105,MATCH($C312,定数マスタ!$B$6:$B$105,0)),"")</f>
        <v/>
      </c>
      <c r="E312" s="131"/>
      <c r="F312" s="130"/>
      <c r="G312" s="66" t="str">
        <f aca="false">IFERROR(INDEX(商品マスタ!$C$6:$C$1005,MATCH($F312,商品マスタ!$B$6:$B$1005,0)),"")</f>
        <v/>
      </c>
      <c r="H312" s="66" t="str">
        <f aca="false">IFERROR(INDEX(商品マスタ!$E$6:$E$1005,MATCH($F312,商品マスタ!$B$6:$B$1005,0)),"")</f>
        <v/>
      </c>
      <c r="I312" s="69" t="str">
        <f aca="false">IFERROR(INDEX(商品マスタ!$F$6:$F$1005,MATCH($F312,商品マスタ!$B$6:$B$1005,0)),"")</f>
        <v/>
      </c>
      <c r="J312" s="69" t="str">
        <f aca="false">IF(OR($F312="",$C312&lt;&gt;'設定（最初に1回）'!$C$4),"",IFERROR(INDEX(発注計算!$Y$6:$Y$405,MATCH($F312,発注計算!$C$6:$C$405,0)),""))</f>
        <v/>
      </c>
      <c r="K312" s="70"/>
      <c r="L312" s="69" t="str">
        <f aca="false">IF($K312="","",N($K312)*N($I312))</f>
        <v/>
      </c>
      <c r="M312" s="71" t="str">
        <f aca="false">IFERROR(INDEX(商品マスタ!$G$6:$G$1005,MATCH($F312,商品マスタ!$B$6:$B$1005,0)),"")</f>
        <v/>
      </c>
      <c r="N312" s="71" t="str">
        <f aca="false">IF($K312="","",N($K312)*N($M312))</f>
        <v/>
      </c>
      <c r="O312" s="66" t="str">
        <f aca="false">IFERROR(INDEX(商品マスタ!$H$6:$H$1005,MATCH($F312,商品マスタ!$B$6:$B$1005,0)),"")</f>
        <v/>
      </c>
      <c r="P312" s="87" t="str">
        <f aca="false">IF(OR($E312="",$O312=""),"",WORKDAY($E312,$O312))</f>
        <v/>
      </c>
      <c r="Q312" s="80"/>
      <c r="R312" s="131"/>
      <c r="S312" s="69" t="n">
        <f aca="false">IF($Q312="入荷済み",N($L312),0)</f>
        <v>0</v>
      </c>
      <c r="T312" s="80"/>
      <c r="U312" s="80"/>
    </row>
    <row r="313" customFormat="false" ht="15" hidden="false" customHeight="false" outlineLevel="0" collapsed="false">
      <c r="B313" s="66" t="str">
        <f aca="false">IF(OR($E313="",$F313=""),"","PO-"&amp;TEXT($E313,"yyyymmdd")&amp;"-"&amp;TEXT(COUNTIFS($E$6:$E313,$E313,$C$6:$C313,$C313),"000"))</f>
        <v/>
      </c>
      <c r="C313" s="130"/>
      <c r="D313" s="66" t="str">
        <f aca="false">IFERROR(INDEX(定数マスタ!$C$6:$C$105,MATCH($C313,定数マスタ!$B$6:$B$105,0)),"")</f>
        <v/>
      </c>
      <c r="E313" s="131"/>
      <c r="F313" s="130"/>
      <c r="G313" s="66" t="str">
        <f aca="false">IFERROR(INDEX(商品マスタ!$C$6:$C$1005,MATCH($F313,商品マスタ!$B$6:$B$1005,0)),"")</f>
        <v/>
      </c>
      <c r="H313" s="66" t="str">
        <f aca="false">IFERROR(INDEX(商品マスタ!$E$6:$E$1005,MATCH($F313,商品マスタ!$B$6:$B$1005,0)),"")</f>
        <v/>
      </c>
      <c r="I313" s="69" t="str">
        <f aca="false">IFERROR(INDEX(商品マスタ!$F$6:$F$1005,MATCH($F313,商品マスタ!$B$6:$B$1005,0)),"")</f>
        <v/>
      </c>
      <c r="J313" s="69" t="str">
        <f aca="false">IF(OR($F313="",$C313&lt;&gt;'設定（最初に1回）'!$C$4),"",IFERROR(INDEX(発注計算!$Y$6:$Y$405,MATCH($F313,発注計算!$C$6:$C$405,0)),""))</f>
        <v/>
      </c>
      <c r="K313" s="70"/>
      <c r="L313" s="69" t="str">
        <f aca="false">IF($K313="","",N($K313)*N($I313))</f>
        <v/>
      </c>
      <c r="M313" s="71" t="str">
        <f aca="false">IFERROR(INDEX(商品マスタ!$G$6:$G$1005,MATCH($F313,商品マスタ!$B$6:$B$1005,0)),"")</f>
        <v/>
      </c>
      <c r="N313" s="71" t="str">
        <f aca="false">IF($K313="","",N($K313)*N($M313))</f>
        <v/>
      </c>
      <c r="O313" s="66" t="str">
        <f aca="false">IFERROR(INDEX(商品マスタ!$H$6:$H$1005,MATCH($F313,商品マスタ!$B$6:$B$1005,0)),"")</f>
        <v/>
      </c>
      <c r="P313" s="87" t="str">
        <f aca="false">IF(OR($E313="",$O313=""),"",WORKDAY($E313,$O313))</f>
        <v/>
      </c>
      <c r="Q313" s="80"/>
      <c r="R313" s="131"/>
      <c r="S313" s="69" t="n">
        <f aca="false">IF($Q313="入荷済み",N($L313),0)</f>
        <v>0</v>
      </c>
      <c r="T313" s="80"/>
      <c r="U313" s="80"/>
    </row>
    <row r="314" customFormat="false" ht="15" hidden="false" customHeight="false" outlineLevel="0" collapsed="false">
      <c r="B314" s="66" t="str">
        <f aca="false">IF(OR($E314="",$F314=""),"","PO-"&amp;TEXT($E314,"yyyymmdd")&amp;"-"&amp;TEXT(COUNTIFS($E$6:$E314,$E314,$C$6:$C314,$C314),"000"))</f>
        <v/>
      </c>
      <c r="C314" s="130"/>
      <c r="D314" s="66" t="str">
        <f aca="false">IFERROR(INDEX(定数マスタ!$C$6:$C$105,MATCH($C314,定数マスタ!$B$6:$B$105,0)),"")</f>
        <v/>
      </c>
      <c r="E314" s="131"/>
      <c r="F314" s="130"/>
      <c r="G314" s="66" t="str">
        <f aca="false">IFERROR(INDEX(商品マスタ!$C$6:$C$1005,MATCH($F314,商品マスタ!$B$6:$B$1005,0)),"")</f>
        <v/>
      </c>
      <c r="H314" s="66" t="str">
        <f aca="false">IFERROR(INDEX(商品マスタ!$E$6:$E$1005,MATCH($F314,商品マスタ!$B$6:$B$1005,0)),"")</f>
        <v/>
      </c>
      <c r="I314" s="69" t="str">
        <f aca="false">IFERROR(INDEX(商品マスタ!$F$6:$F$1005,MATCH($F314,商品マスタ!$B$6:$B$1005,0)),"")</f>
        <v/>
      </c>
      <c r="J314" s="69" t="str">
        <f aca="false">IF(OR($F314="",$C314&lt;&gt;'設定（最初に1回）'!$C$4),"",IFERROR(INDEX(発注計算!$Y$6:$Y$405,MATCH($F314,発注計算!$C$6:$C$405,0)),""))</f>
        <v/>
      </c>
      <c r="K314" s="70"/>
      <c r="L314" s="69" t="str">
        <f aca="false">IF($K314="","",N($K314)*N($I314))</f>
        <v/>
      </c>
      <c r="M314" s="71" t="str">
        <f aca="false">IFERROR(INDEX(商品マスタ!$G$6:$G$1005,MATCH($F314,商品マスタ!$B$6:$B$1005,0)),"")</f>
        <v/>
      </c>
      <c r="N314" s="71" t="str">
        <f aca="false">IF($K314="","",N($K314)*N($M314))</f>
        <v/>
      </c>
      <c r="O314" s="66" t="str">
        <f aca="false">IFERROR(INDEX(商品マスタ!$H$6:$H$1005,MATCH($F314,商品マスタ!$B$6:$B$1005,0)),"")</f>
        <v/>
      </c>
      <c r="P314" s="87" t="str">
        <f aca="false">IF(OR($E314="",$O314=""),"",WORKDAY($E314,$O314))</f>
        <v/>
      </c>
      <c r="Q314" s="80"/>
      <c r="R314" s="131"/>
      <c r="S314" s="69" t="n">
        <f aca="false">IF($Q314="入荷済み",N($L314),0)</f>
        <v>0</v>
      </c>
      <c r="T314" s="80"/>
      <c r="U314" s="80"/>
    </row>
    <row r="315" customFormat="false" ht="15" hidden="false" customHeight="false" outlineLevel="0" collapsed="false">
      <c r="B315" s="66" t="str">
        <f aca="false">IF(OR($E315="",$F315=""),"","PO-"&amp;TEXT($E315,"yyyymmdd")&amp;"-"&amp;TEXT(COUNTIFS($E$6:$E315,$E315,$C$6:$C315,$C315),"000"))</f>
        <v/>
      </c>
      <c r="C315" s="130"/>
      <c r="D315" s="66" t="str">
        <f aca="false">IFERROR(INDEX(定数マスタ!$C$6:$C$105,MATCH($C315,定数マスタ!$B$6:$B$105,0)),"")</f>
        <v/>
      </c>
      <c r="E315" s="131"/>
      <c r="F315" s="130"/>
      <c r="G315" s="66" t="str">
        <f aca="false">IFERROR(INDEX(商品マスタ!$C$6:$C$1005,MATCH($F315,商品マスタ!$B$6:$B$1005,0)),"")</f>
        <v/>
      </c>
      <c r="H315" s="66" t="str">
        <f aca="false">IFERROR(INDEX(商品マスタ!$E$6:$E$1005,MATCH($F315,商品マスタ!$B$6:$B$1005,0)),"")</f>
        <v/>
      </c>
      <c r="I315" s="69" t="str">
        <f aca="false">IFERROR(INDEX(商品マスタ!$F$6:$F$1005,MATCH($F315,商品マスタ!$B$6:$B$1005,0)),"")</f>
        <v/>
      </c>
      <c r="J315" s="69" t="str">
        <f aca="false">IF(OR($F315="",$C315&lt;&gt;'設定（最初に1回）'!$C$4),"",IFERROR(INDEX(発注計算!$Y$6:$Y$405,MATCH($F315,発注計算!$C$6:$C$405,0)),""))</f>
        <v/>
      </c>
      <c r="K315" s="70"/>
      <c r="L315" s="69" t="str">
        <f aca="false">IF($K315="","",N($K315)*N($I315))</f>
        <v/>
      </c>
      <c r="M315" s="71" t="str">
        <f aca="false">IFERROR(INDEX(商品マスタ!$G$6:$G$1005,MATCH($F315,商品マスタ!$B$6:$B$1005,0)),"")</f>
        <v/>
      </c>
      <c r="N315" s="71" t="str">
        <f aca="false">IF($K315="","",N($K315)*N($M315))</f>
        <v/>
      </c>
      <c r="O315" s="66" t="str">
        <f aca="false">IFERROR(INDEX(商品マスタ!$H$6:$H$1005,MATCH($F315,商品マスタ!$B$6:$B$1005,0)),"")</f>
        <v/>
      </c>
      <c r="P315" s="87" t="str">
        <f aca="false">IF(OR($E315="",$O315=""),"",WORKDAY($E315,$O315))</f>
        <v/>
      </c>
      <c r="Q315" s="80"/>
      <c r="R315" s="131"/>
      <c r="S315" s="69" t="n">
        <f aca="false">IF($Q315="入荷済み",N($L315),0)</f>
        <v>0</v>
      </c>
      <c r="T315" s="80"/>
      <c r="U315" s="80"/>
    </row>
    <row r="316" customFormat="false" ht="15" hidden="false" customHeight="false" outlineLevel="0" collapsed="false">
      <c r="B316" s="66" t="str">
        <f aca="false">IF(OR($E316="",$F316=""),"","PO-"&amp;TEXT($E316,"yyyymmdd")&amp;"-"&amp;TEXT(COUNTIFS($E$6:$E316,$E316,$C$6:$C316,$C316),"000"))</f>
        <v/>
      </c>
      <c r="C316" s="130"/>
      <c r="D316" s="66" t="str">
        <f aca="false">IFERROR(INDEX(定数マスタ!$C$6:$C$105,MATCH($C316,定数マスタ!$B$6:$B$105,0)),"")</f>
        <v/>
      </c>
      <c r="E316" s="131"/>
      <c r="F316" s="130"/>
      <c r="G316" s="66" t="str">
        <f aca="false">IFERROR(INDEX(商品マスタ!$C$6:$C$1005,MATCH($F316,商品マスタ!$B$6:$B$1005,0)),"")</f>
        <v/>
      </c>
      <c r="H316" s="66" t="str">
        <f aca="false">IFERROR(INDEX(商品マスタ!$E$6:$E$1005,MATCH($F316,商品マスタ!$B$6:$B$1005,0)),"")</f>
        <v/>
      </c>
      <c r="I316" s="69" t="str">
        <f aca="false">IFERROR(INDEX(商品マスタ!$F$6:$F$1005,MATCH($F316,商品マスタ!$B$6:$B$1005,0)),"")</f>
        <v/>
      </c>
      <c r="J316" s="69" t="str">
        <f aca="false">IF(OR($F316="",$C316&lt;&gt;'設定（最初に1回）'!$C$4),"",IFERROR(INDEX(発注計算!$Y$6:$Y$405,MATCH($F316,発注計算!$C$6:$C$405,0)),""))</f>
        <v/>
      </c>
      <c r="K316" s="70"/>
      <c r="L316" s="69" t="str">
        <f aca="false">IF($K316="","",N($K316)*N($I316))</f>
        <v/>
      </c>
      <c r="M316" s="71" t="str">
        <f aca="false">IFERROR(INDEX(商品マスタ!$G$6:$G$1005,MATCH($F316,商品マスタ!$B$6:$B$1005,0)),"")</f>
        <v/>
      </c>
      <c r="N316" s="71" t="str">
        <f aca="false">IF($K316="","",N($K316)*N($M316))</f>
        <v/>
      </c>
      <c r="O316" s="66" t="str">
        <f aca="false">IFERROR(INDEX(商品マスタ!$H$6:$H$1005,MATCH($F316,商品マスタ!$B$6:$B$1005,0)),"")</f>
        <v/>
      </c>
      <c r="P316" s="87" t="str">
        <f aca="false">IF(OR($E316="",$O316=""),"",WORKDAY($E316,$O316))</f>
        <v/>
      </c>
      <c r="Q316" s="80"/>
      <c r="R316" s="131"/>
      <c r="S316" s="69" t="n">
        <f aca="false">IF($Q316="入荷済み",N($L316),0)</f>
        <v>0</v>
      </c>
      <c r="T316" s="80"/>
      <c r="U316" s="80"/>
    </row>
    <row r="317" customFormat="false" ht="15" hidden="false" customHeight="false" outlineLevel="0" collapsed="false">
      <c r="B317" s="66" t="str">
        <f aca="false">IF(OR($E317="",$F317=""),"","PO-"&amp;TEXT($E317,"yyyymmdd")&amp;"-"&amp;TEXT(COUNTIFS($E$6:$E317,$E317,$C$6:$C317,$C317),"000"))</f>
        <v/>
      </c>
      <c r="C317" s="130"/>
      <c r="D317" s="66" t="str">
        <f aca="false">IFERROR(INDEX(定数マスタ!$C$6:$C$105,MATCH($C317,定数マスタ!$B$6:$B$105,0)),"")</f>
        <v/>
      </c>
      <c r="E317" s="131"/>
      <c r="F317" s="130"/>
      <c r="G317" s="66" t="str">
        <f aca="false">IFERROR(INDEX(商品マスタ!$C$6:$C$1005,MATCH($F317,商品マスタ!$B$6:$B$1005,0)),"")</f>
        <v/>
      </c>
      <c r="H317" s="66" t="str">
        <f aca="false">IFERROR(INDEX(商品マスタ!$E$6:$E$1005,MATCH($F317,商品マスタ!$B$6:$B$1005,0)),"")</f>
        <v/>
      </c>
      <c r="I317" s="69" t="str">
        <f aca="false">IFERROR(INDEX(商品マスタ!$F$6:$F$1005,MATCH($F317,商品マスタ!$B$6:$B$1005,0)),"")</f>
        <v/>
      </c>
      <c r="J317" s="69" t="str">
        <f aca="false">IF(OR($F317="",$C317&lt;&gt;'設定（最初に1回）'!$C$4),"",IFERROR(INDEX(発注計算!$Y$6:$Y$405,MATCH($F317,発注計算!$C$6:$C$405,0)),""))</f>
        <v/>
      </c>
      <c r="K317" s="70"/>
      <c r="L317" s="69" t="str">
        <f aca="false">IF($K317="","",N($K317)*N($I317))</f>
        <v/>
      </c>
      <c r="M317" s="71" t="str">
        <f aca="false">IFERROR(INDEX(商品マスタ!$G$6:$G$1005,MATCH($F317,商品マスタ!$B$6:$B$1005,0)),"")</f>
        <v/>
      </c>
      <c r="N317" s="71" t="str">
        <f aca="false">IF($K317="","",N($K317)*N($M317))</f>
        <v/>
      </c>
      <c r="O317" s="66" t="str">
        <f aca="false">IFERROR(INDEX(商品マスタ!$H$6:$H$1005,MATCH($F317,商品マスタ!$B$6:$B$1005,0)),"")</f>
        <v/>
      </c>
      <c r="P317" s="87" t="str">
        <f aca="false">IF(OR($E317="",$O317=""),"",WORKDAY($E317,$O317))</f>
        <v/>
      </c>
      <c r="Q317" s="80"/>
      <c r="R317" s="131"/>
      <c r="S317" s="69" t="n">
        <f aca="false">IF($Q317="入荷済み",N($L317),0)</f>
        <v>0</v>
      </c>
      <c r="T317" s="80"/>
      <c r="U317" s="80"/>
    </row>
    <row r="318" customFormat="false" ht="15" hidden="false" customHeight="false" outlineLevel="0" collapsed="false">
      <c r="B318" s="66" t="str">
        <f aca="false">IF(OR($E318="",$F318=""),"","PO-"&amp;TEXT($E318,"yyyymmdd")&amp;"-"&amp;TEXT(COUNTIFS($E$6:$E318,$E318,$C$6:$C318,$C318),"000"))</f>
        <v/>
      </c>
      <c r="C318" s="130"/>
      <c r="D318" s="66" t="str">
        <f aca="false">IFERROR(INDEX(定数マスタ!$C$6:$C$105,MATCH($C318,定数マスタ!$B$6:$B$105,0)),"")</f>
        <v/>
      </c>
      <c r="E318" s="131"/>
      <c r="F318" s="130"/>
      <c r="G318" s="66" t="str">
        <f aca="false">IFERROR(INDEX(商品マスタ!$C$6:$C$1005,MATCH($F318,商品マスタ!$B$6:$B$1005,0)),"")</f>
        <v/>
      </c>
      <c r="H318" s="66" t="str">
        <f aca="false">IFERROR(INDEX(商品マスタ!$E$6:$E$1005,MATCH($F318,商品マスタ!$B$6:$B$1005,0)),"")</f>
        <v/>
      </c>
      <c r="I318" s="69" t="str">
        <f aca="false">IFERROR(INDEX(商品マスタ!$F$6:$F$1005,MATCH($F318,商品マスタ!$B$6:$B$1005,0)),"")</f>
        <v/>
      </c>
      <c r="J318" s="69" t="str">
        <f aca="false">IF(OR($F318="",$C318&lt;&gt;'設定（最初に1回）'!$C$4),"",IFERROR(INDEX(発注計算!$Y$6:$Y$405,MATCH($F318,発注計算!$C$6:$C$405,0)),""))</f>
        <v/>
      </c>
      <c r="K318" s="70"/>
      <c r="L318" s="69" t="str">
        <f aca="false">IF($K318="","",N($K318)*N($I318))</f>
        <v/>
      </c>
      <c r="M318" s="71" t="str">
        <f aca="false">IFERROR(INDEX(商品マスタ!$G$6:$G$1005,MATCH($F318,商品マスタ!$B$6:$B$1005,0)),"")</f>
        <v/>
      </c>
      <c r="N318" s="71" t="str">
        <f aca="false">IF($K318="","",N($K318)*N($M318))</f>
        <v/>
      </c>
      <c r="O318" s="66" t="str">
        <f aca="false">IFERROR(INDEX(商品マスタ!$H$6:$H$1005,MATCH($F318,商品マスタ!$B$6:$B$1005,0)),"")</f>
        <v/>
      </c>
      <c r="P318" s="87" t="str">
        <f aca="false">IF(OR($E318="",$O318=""),"",WORKDAY($E318,$O318))</f>
        <v/>
      </c>
      <c r="Q318" s="80"/>
      <c r="R318" s="131"/>
      <c r="S318" s="69" t="n">
        <f aca="false">IF($Q318="入荷済み",N($L318),0)</f>
        <v>0</v>
      </c>
      <c r="T318" s="80"/>
      <c r="U318" s="80"/>
    </row>
    <row r="319" customFormat="false" ht="15" hidden="false" customHeight="false" outlineLevel="0" collapsed="false">
      <c r="B319" s="66" t="str">
        <f aca="false">IF(OR($E319="",$F319=""),"","PO-"&amp;TEXT($E319,"yyyymmdd")&amp;"-"&amp;TEXT(COUNTIFS($E$6:$E319,$E319,$C$6:$C319,$C319),"000"))</f>
        <v/>
      </c>
      <c r="C319" s="130"/>
      <c r="D319" s="66" t="str">
        <f aca="false">IFERROR(INDEX(定数マスタ!$C$6:$C$105,MATCH($C319,定数マスタ!$B$6:$B$105,0)),"")</f>
        <v/>
      </c>
      <c r="E319" s="131"/>
      <c r="F319" s="130"/>
      <c r="G319" s="66" t="str">
        <f aca="false">IFERROR(INDEX(商品マスタ!$C$6:$C$1005,MATCH($F319,商品マスタ!$B$6:$B$1005,0)),"")</f>
        <v/>
      </c>
      <c r="H319" s="66" t="str">
        <f aca="false">IFERROR(INDEX(商品マスタ!$E$6:$E$1005,MATCH($F319,商品マスタ!$B$6:$B$1005,0)),"")</f>
        <v/>
      </c>
      <c r="I319" s="69" t="str">
        <f aca="false">IFERROR(INDEX(商品マスタ!$F$6:$F$1005,MATCH($F319,商品マスタ!$B$6:$B$1005,0)),"")</f>
        <v/>
      </c>
      <c r="J319" s="69" t="str">
        <f aca="false">IF(OR($F319="",$C319&lt;&gt;'設定（最初に1回）'!$C$4),"",IFERROR(INDEX(発注計算!$Y$6:$Y$405,MATCH($F319,発注計算!$C$6:$C$405,0)),""))</f>
        <v/>
      </c>
      <c r="K319" s="70"/>
      <c r="L319" s="69" t="str">
        <f aca="false">IF($K319="","",N($K319)*N($I319))</f>
        <v/>
      </c>
      <c r="M319" s="71" t="str">
        <f aca="false">IFERROR(INDEX(商品マスタ!$G$6:$G$1005,MATCH($F319,商品マスタ!$B$6:$B$1005,0)),"")</f>
        <v/>
      </c>
      <c r="N319" s="71" t="str">
        <f aca="false">IF($K319="","",N($K319)*N($M319))</f>
        <v/>
      </c>
      <c r="O319" s="66" t="str">
        <f aca="false">IFERROR(INDEX(商品マスタ!$H$6:$H$1005,MATCH($F319,商品マスタ!$B$6:$B$1005,0)),"")</f>
        <v/>
      </c>
      <c r="P319" s="87" t="str">
        <f aca="false">IF(OR($E319="",$O319=""),"",WORKDAY($E319,$O319))</f>
        <v/>
      </c>
      <c r="Q319" s="80"/>
      <c r="R319" s="131"/>
      <c r="S319" s="69" t="n">
        <f aca="false">IF($Q319="入荷済み",N($L319),0)</f>
        <v>0</v>
      </c>
      <c r="T319" s="80"/>
      <c r="U319" s="80"/>
    </row>
    <row r="320" customFormat="false" ht="15" hidden="false" customHeight="false" outlineLevel="0" collapsed="false">
      <c r="B320" s="66" t="str">
        <f aca="false">IF(OR($E320="",$F320=""),"","PO-"&amp;TEXT($E320,"yyyymmdd")&amp;"-"&amp;TEXT(COUNTIFS($E$6:$E320,$E320,$C$6:$C320,$C320),"000"))</f>
        <v/>
      </c>
      <c r="C320" s="130"/>
      <c r="D320" s="66" t="str">
        <f aca="false">IFERROR(INDEX(定数マスタ!$C$6:$C$105,MATCH($C320,定数マスタ!$B$6:$B$105,0)),"")</f>
        <v/>
      </c>
      <c r="E320" s="131"/>
      <c r="F320" s="130"/>
      <c r="G320" s="66" t="str">
        <f aca="false">IFERROR(INDEX(商品マスタ!$C$6:$C$1005,MATCH($F320,商品マスタ!$B$6:$B$1005,0)),"")</f>
        <v/>
      </c>
      <c r="H320" s="66" t="str">
        <f aca="false">IFERROR(INDEX(商品マスタ!$E$6:$E$1005,MATCH($F320,商品マスタ!$B$6:$B$1005,0)),"")</f>
        <v/>
      </c>
      <c r="I320" s="69" t="str">
        <f aca="false">IFERROR(INDEX(商品マスタ!$F$6:$F$1005,MATCH($F320,商品マスタ!$B$6:$B$1005,0)),"")</f>
        <v/>
      </c>
      <c r="J320" s="69" t="str">
        <f aca="false">IF(OR($F320="",$C320&lt;&gt;'設定（最初に1回）'!$C$4),"",IFERROR(INDEX(発注計算!$Y$6:$Y$405,MATCH($F320,発注計算!$C$6:$C$405,0)),""))</f>
        <v/>
      </c>
      <c r="K320" s="70"/>
      <c r="L320" s="69" t="str">
        <f aca="false">IF($K320="","",N($K320)*N($I320))</f>
        <v/>
      </c>
      <c r="M320" s="71" t="str">
        <f aca="false">IFERROR(INDEX(商品マスタ!$G$6:$G$1005,MATCH($F320,商品マスタ!$B$6:$B$1005,0)),"")</f>
        <v/>
      </c>
      <c r="N320" s="71" t="str">
        <f aca="false">IF($K320="","",N($K320)*N($M320))</f>
        <v/>
      </c>
      <c r="O320" s="66" t="str">
        <f aca="false">IFERROR(INDEX(商品マスタ!$H$6:$H$1005,MATCH($F320,商品マスタ!$B$6:$B$1005,0)),"")</f>
        <v/>
      </c>
      <c r="P320" s="87" t="str">
        <f aca="false">IF(OR($E320="",$O320=""),"",WORKDAY($E320,$O320))</f>
        <v/>
      </c>
      <c r="Q320" s="80"/>
      <c r="R320" s="131"/>
      <c r="S320" s="69" t="n">
        <f aca="false">IF($Q320="入荷済み",N($L320),0)</f>
        <v>0</v>
      </c>
      <c r="T320" s="80"/>
      <c r="U320" s="80"/>
    </row>
    <row r="321" customFormat="false" ht="15" hidden="false" customHeight="false" outlineLevel="0" collapsed="false">
      <c r="B321" s="66" t="str">
        <f aca="false">IF(OR($E321="",$F321=""),"","PO-"&amp;TEXT($E321,"yyyymmdd")&amp;"-"&amp;TEXT(COUNTIFS($E$6:$E321,$E321,$C$6:$C321,$C321),"000"))</f>
        <v/>
      </c>
      <c r="C321" s="130"/>
      <c r="D321" s="66" t="str">
        <f aca="false">IFERROR(INDEX(定数マスタ!$C$6:$C$105,MATCH($C321,定数マスタ!$B$6:$B$105,0)),"")</f>
        <v/>
      </c>
      <c r="E321" s="131"/>
      <c r="F321" s="130"/>
      <c r="G321" s="66" t="str">
        <f aca="false">IFERROR(INDEX(商品マスタ!$C$6:$C$1005,MATCH($F321,商品マスタ!$B$6:$B$1005,0)),"")</f>
        <v/>
      </c>
      <c r="H321" s="66" t="str">
        <f aca="false">IFERROR(INDEX(商品マスタ!$E$6:$E$1005,MATCH($F321,商品マスタ!$B$6:$B$1005,0)),"")</f>
        <v/>
      </c>
      <c r="I321" s="69" t="str">
        <f aca="false">IFERROR(INDEX(商品マスタ!$F$6:$F$1005,MATCH($F321,商品マスタ!$B$6:$B$1005,0)),"")</f>
        <v/>
      </c>
      <c r="J321" s="69" t="str">
        <f aca="false">IF(OR($F321="",$C321&lt;&gt;'設定（最初に1回）'!$C$4),"",IFERROR(INDEX(発注計算!$Y$6:$Y$405,MATCH($F321,発注計算!$C$6:$C$405,0)),""))</f>
        <v/>
      </c>
      <c r="K321" s="70"/>
      <c r="L321" s="69" t="str">
        <f aca="false">IF($K321="","",N($K321)*N($I321))</f>
        <v/>
      </c>
      <c r="M321" s="71" t="str">
        <f aca="false">IFERROR(INDEX(商品マスタ!$G$6:$G$1005,MATCH($F321,商品マスタ!$B$6:$B$1005,0)),"")</f>
        <v/>
      </c>
      <c r="N321" s="71" t="str">
        <f aca="false">IF($K321="","",N($K321)*N($M321))</f>
        <v/>
      </c>
      <c r="O321" s="66" t="str">
        <f aca="false">IFERROR(INDEX(商品マスタ!$H$6:$H$1005,MATCH($F321,商品マスタ!$B$6:$B$1005,0)),"")</f>
        <v/>
      </c>
      <c r="P321" s="87" t="str">
        <f aca="false">IF(OR($E321="",$O321=""),"",WORKDAY($E321,$O321))</f>
        <v/>
      </c>
      <c r="Q321" s="80"/>
      <c r="R321" s="131"/>
      <c r="S321" s="69" t="n">
        <f aca="false">IF($Q321="入荷済み",N($L321),0)</f>
        <v>0</v>
      </c>
      <c r="T321" s="80"/>
      <c r="U321" s="80"/>
    </row>
    <row r="322" customFormat="false" ht="15" hidden="false" customHeight="false" outlineLevel="0" collapsed="false">
      <c r="B322" s="66" t="str">
        <f aca="false">IF(OR($E322="",$F322=""),"","PO-"&amp;TEXT($E322,"yyyymmdd")&amp;"-"&amp;TEXT(COUNTIFS($E$6:$E322,$E322,$C$6:$C322,$C322),"000"))</f>
        <v/>
      </c>
      <c r="C322" s="130"/>
      <c r="D322" s="66" t="str">
        <f aca="false">IFERROR(INDEX(定数マスタ!$C$6:$C$105,MATCH($C322,定数マスタ!$B$6:$B$105,0)),"")</f>
        <v/>
      </c>
      <c r="E322" s="131"/>
      <c r="F322" s="130"/>
      <c r="G322" s="66" t="str">
        <f aca="false">IFERROR(INDEX(商品マスタ!$C$6:$C$1005,MATCH($F322,商品マスタ!$B$6:$B$1005,0)),"")</f>
        <v/>
      </c>
      <c r="H322" s="66" t="str">
        <f aca="false">IFERROR(INDEX(商品マスタ!$E$6:$E$1005,MATCH($F322,商品マスタ!$B$6:$B$1005,0)),"")</f>
        <v/>
      </c>
      <c r="I322" s="69" t="str">
        <f aca="false">IFERROR(INDEX(商品マスタ!$F$6:$F$1005,MATCH($F322,商品マスタ!$B$6:$B$1005,0)),"")</f>
        <v/>
      </c>
      <c r="J322" s="69" t="str">
        <f aca="false">IF(OR($F322="",$C322&lt;&gt;'設定（最初に1回）'!$C$4),"",IFERROR(INDEX(発注計算!$Y$6:$Y$405,MATCH($F322,発注計算!$C$6:$C$405,0)),""))</f>
        <v/>
      </c>
      <c r="K322" s="70"/>
      <c r="L322" s="69" t="str">
        <f aca="false">IF($K322="","",N($K322)*N($I322))</f>
        <v/>
      </c>
      <c r="M322" s="71" t="str">
        <f aca="false">IFERROR(INDEX(商品マスタ!$G$6:$G$1005,MATCH($F322,商品マスタ!$B$6:$B$1005,0)),"")</f>
        <v/>
      </c>
      <c r="N322" s="71" t="str">
        <f aca="false">IF($K322="","",N($K322)*N($M322))</f>
        <v/>
      </c>
      <c r="O322" s="66" t="str">
        <f aca="false">IFERROR(INDEX(商品マスタ!$H$6:$H$1005,MATCH($F322,商品マスタ!$B$6:$B$1005,0)),"")</f>
        <v/>
      </c>
      <c r="P322" s="87" t="str">
        <f aca="false">IF(OR($E322="",$O322=""),"",WORKDAY($E322,$O322))</f>
        <v/>
      </c>
      <c r="Q322" s="80"/>
      <c r="R322" s="131"/>
      <c r="S322" s="69" t="n">
        <f aca="false">IF($Q322="入荷済み",N($L322),0)</f>
        <v>0</v>
      </c>
      <c r="T322" s="80"/>
      <c r="U322" s="80"/>
    </row>
    <row r="323" customFormat="false" ht="15" hidden="false" customHeight="false" outlineLevel="0" collapsed="false">
      <c r="B323" s="66" t="str">
        <f aca="false">IF(OR($E323="",$F323=""),"","PO-"&amp;TEXT($E323,"yyyymmdd")&amp;"-"&amp;TEXT(COUNTIFS($E$6:$E323,$E323,$C$6:$C323,$C323),"000"))</f>
        <v/>
      </c>
      <c r="C323" s="130"/>
      <c r="D323" s="66" t="str">
        <f aca="false">IFERROR(INDEX(定数マスタ!$C$6:$C$105,MATCH($C323,定数マスタ!$B$6:$B$105,0)),"")</f>
        <v/>
      </c>
      <c r="E323" s="131"/>
      <c r="F323" s="130"/>
      <c r="G323" s="66" t="str">
        <f aca="false">IFERROR(INDEX(商品マスタ!$C$6:$C$1005,MATCH($F323,商品マスタ!$B$6:$B$1005,0)),"")</f>
        <v/>
      </c>
      <c r="H323" s="66" t="str">
        <f aca="false">IFERROR(INDEX(商品マスタ!$E$6:$E$1005,MATCH($F323,商品マスタ!$B$6:$B$1005,0)),"")</f>
        <v/>
      </c>
      <c r="I323" s="69" t="str">
        <f aca="false">IFERROR(INDEX(商品マスタ!$F$6:$F$1005,MATCH($F323,商品マスタ!$B$6:$B$1005,0)),"")</f>
        <v/>
      </c>
      <c r="J323" s="69" t="str">
        <f aca="false">IF(OR($F323="",$C323&lt;&gt;'設定（最初に1回）'!$C$4),"",IFERROR(INDEX(発注計算!$Y$6:$Y$405,MATCH($F323,発注計算!$C$6:$C$405,0)),""))</f>
        <v/>
      </c>
      <c r="K323" s="70"/>
      <c r="L323" s="69" t="str">
        <f aca="false">IF($K323="","",N($K323)*N($I323))</f>
        <v/>
      </c>
      <c r="M323" s="71" t="str">
        <f aca="false">IFERROR(INDEX(商品マスタ!$G$6:$G$1005,MATCH($F323,商品マスタ!$B$6:$B$1005,0)),"")</f>
        <v/>
      </c>
      <c r="N323" s="71" t="str">
        <f aca="false">IF($K323="","",N($K323)*N($M323))</f>
        <v/>
      </c>
      <c r="O323" s="66" t="str">
        <f aca="false">IFERROR(INDEX(商品マスタ!$H$6:$H$1005,MATCH($F323,商品マスタ!$B$6:$B$1005,0)),"")</f>
        <v/>
      </c>
      <c r="P323" s="87" t="str">
        <f aca="false">IF(OR($E323="",$O323=""),"",WORKDAY($E323,$O323))</f>
        <v/>
      </c>
      <c r="Q323" s="80"/>
      <c r="R323" s="131"/>
      <c r="S323" s="69" t="n">
        <f aca="false">IF($Q323="入荷済み",N($L323),0)</f>
        <v>0</v>
      </c>
      <c r="T323" s="80"/>
      <c r="U323" s="80"/>
    </row>
    <row r="324" customFormat="false" ht="15" hidden="false" customHeight="false" outlineLevel="0" collapsed="false">
      <c r="B324" s="66" t="str">
        <f aca="false">IF(OR($E324="",$F324=""),"","PO-"&amp;TEXT($E324,"yyyymmdd")&amp;"-"&amp;TEXT(COUNTIFS($E$6:$E324,$E324,$C$6:$C324,$C324),"000"))</f>
        <v/>
      </c>
      <c r="C324" s="130"/>
      <c r="D324" s="66" t="str">
        <f aca="false">IFERROR(INDEX(定数マスタ!$C$6:$C$105,MATCH($C324,定数マスタ!$B$6:$B$105,0)),"")</f>
        <v/>
      </c>
      <c r="E324" s="131"/>
      <c r="F324" s="130"/>
      <c r="G324" s="66" t="str">
        <f aca="false">IFERROR(INDEX(商品マスタ!$C$6:$C$1005,MATCH($F324,商品マスタ!$B$6:$B$1005,0)),"")</f>
        <v/>
      </c>
      <c r="H324" s="66" t="str">
        <f aca="false">IFERROR(INDEX(商品マスタ!$E$6:$E$1005,MATCH($F324,商品マスタ!$B$6:$B$1005,0)),"")</f>
        <v/>
      </c>
      <c r="I324" s="69" t="str">
        <f aca="false">IFERROR(INDEX(商品マスタ!$F$6:$F$1005,MATCH($F324,商品マスタ!$B$6:$B$1005,0)),"")</f>
        <v/>
      </c>
      <c r="J324" s="69" t="str">
        <f aca="false">IF(OR($F324="",$C324&lt;&gt;'設定（最初に1回）'!$C$4),"",IFERROR(INDEX(発注計算!$Y$6:$Y$405,MATCH($F324,発注計算!$C$6:$C$405,0)),""))</f>
        <v/>
      </c>
      <c r="K324" s="70"/>
      <c r="L324" s="69" t="str">
        <f aca="false">IF($K324="","",N($K324)*N($I324))</f>
        <v/>
      </c>
      <c r="M324" s="71" t="str">
        <f aca="false">IFERROR(INDEX(商品マスタ!$G$6:$G$1005,MATCH($F324,商品マスタ!$B$6:$B$1005,0)),"")</f>
        <v/>
      </c>
      <c r="N324" s="71" t="str">
        <f aca="false">IF($K324="","",N($K324)*N($M324))</f>
        <v/>
      </c>
      <c r="O324" s="66" t="str">
        <f aca="false">IFERROR(INDEX(商品マスタ!$H$6:$H$1005,MATCH($F324,商品マスタ!$B$6:$B$1005,0)),"")</f>
        <v/>
      </c>
      <c r="P324" s="87" t="str">
        <f aca="false">IF(OR($E324="",$O324=""),"",WORKDAY($E324,$O324))</f>
        <v/>
      </c>
      <c r="Q324" s="80"/>
      <c r="R324" s="131"/>
      <c r="S324" s="69" t="n">
        <f aca="false">IF($Q324="入荷済み",N($L324),0)</f>
        <v>0</v>
      </c>
      <c r="T324" s="80"/>
      <c r="U324" s="80"/>
    </row>
    <row r="325" customFormat="false" ht="15" hidden="false" customHeight="false" outlineLevel="0" collapsed="false">
      <c r="B325" s="66" t="str">
        <f aca="false">IF(OR($E325="",$F325=""),"","PO-"&amp;TEXT($E325,"yyyymmdd")&amp;"-"&amp;TEXT(COUNTIFS($E$6:$E325,$E325,$C$6:$C325,$C325),"000"))</f>
        <v/>
      </c>
      <c r="C325" s="130"/>
      <c r="D325" s="66" t="str">
        <f aca="false">IFERROR(INDEX(定数マスタ!$C$6:$C$105,MATCH($C325,定数マスタ!$B$6:$B$105,0)),"")</f>
        <v/>
      </c>
      <c r="E325" s="131"/>
      <c r="F325" s="130"/>
      <c r="G325" s="66" t="str">
        <f aca="false">IFERROR(INDEX(商品マスタ!$C$6:$C$1005,MATCH($F325,商品マスタ!$B$6:$B$1005,0)),"")</f>
        <v/>
      </c>
      <c r="H325" s="66" t="str">
        <f aca="false">IFERROR(INDEX(商品マスタ!$E$6:$E$1005,MATCH($F325,商品マスタ!$B$6:$B$1005,0)),"")</f>
        <v/>
      </c>
      <c r="I325" s="69" t="str">
        <f aca="false">IFERROR(INDEX(商品マスタ!$F$6:$F$1005,MATCH($F325,商品マスタ!$B$6:$B$1005,0)),"")</f>
        <v/>
      </c>
      <c r="J325" s="69" t="str">
        <f aca="false">IF(OR($F325="",$C325&lt;&gt;'設定（最初に1回）'!$C$4),"",IFERROR(INDEX(発注計算!$Y$6:$Y$405,MATCH($F325,発注計算!$C$6:$C$405,0)),""))</f>
        <v/>
      </c>
      <c r="K325" s="70"/>
      <c r="L325" s="69" t="str">
        <f aca="false">IF($K325="","",N($K325)*N($I325))</f>
        <v/>
      </c>
      <c r="M325" s="71" t="str">
        <f aca="false">IFERROR(INDEX(商品マスタ!$G$6:$G$1005,MATCH($F325,商品マスタ!$B$6:$B$1005,0)),"")</f>
        <v/>
      </c>
      <c r="N325" s="71" t="str">
        <f aca="false">IF($K325="","",N($K325)*N($M325))</f>
        <v/>
      </c>
      <c r="O325" s="66" t="str">
        <f aca="false">IFERROR(INDEX(商品マスタ!$H$6:$H$1005,MATCH($F325,商品マスタ!$B$6:$B$1005,0)),"")</f>
        <v/>
      </c>
      <c r="P325" s="87" t="str">
        <f aca="false">IF(OR($E325="",$O325=""),"",WORKDAY($E325,$O325))</f>
        <v/>
      </c>
      <c r="Q325" s="80"/>
      <c r="R325" s="131"/>
      <c r="S325" s="69" t="n">
        <f aca="false">IF($Q325="入荷済み",N($L325),0)</f>
        <v>0</v>
      </c>
      <c r="T325" s="80"/>
      <c r="U325" s="80"/>
    </row>
    <row r="326" customFormat="false" ht="15" hidden="false" customHeight="false" outlineLevel="0" collapsed="false">
      <c r="B326" s="66" t="str">
        <f aca="false">IF(OR($E326="",$F326=""),"","PO-"&amp;TEXT($E326,"yyyymmdd")&amp;"-"&amp;TEXT(COUNTIFS($E$6:$E326,$E326,$C$6:$C326,$C326),"000"))</f>
        <v/>
      </c>
      <c r="C326" s="130"/>
      <c r="D326" s="66" t="str">
        <f aca="false">IFERROR(INDEX(定数マスタ!$C$6:$C$105,MATCH($C326,定数マスタ!$B$6:$B$105,0)),"")</f>
        <v/>
      </c>
      <c r="E326" s="131"/>
      <c r="F326" s="130"/>
      <c r="G326" s="66" t="str">
        <f aca="false">IFERROR(INDEX(商品マスタ!$C$6:$C$1005,MATCH($F326,商品マスタ!$B$6:$B$1005,0)),"")</f>
        <v/>
      </c>
      <c r="H326" s="66" t="str">
        <f aca="false">IFERROR(INDEX(商品マスタ!$E$6:$E$1005,MATCH($F326,商品マスタ!$B$6:$B$1005,0)),"")</f>
        <v/>
      </c>
      <c r="I326" s="69" t="str">
        <f aca="false">IFERROR(INDEX(商品マスタ!$F$6:$F$1005,MATCH($F326,商品マスタ!$B$6:$B$1005,0)),"")</f>
        <v/>
      </c>
      <c r="J326" s="69" t="str">
        <f aca="false">IF(OR($F326="",$C326&lt;&gt;'設定（最初に1回）'!$C$4),"",IFERROR(INDEX(発注計算!$Y$6:$Y$405,MATCH($F326,発注計算!$C$6:$C$405,0)),""))</f>
        <v/>
      </c>
      <c r="K326" s="70"/>
      <c r="L326" s="69" t="str">
        <f aca="false">IF($K326="","",N($K326)*N($I326))</f>
        <v/>
      </c>
      <c r="M326" s="71" t="str">
        <f aca="false">IFERROR(INDEX(商品マスタ!$G$6:$G$1005,MATCH($F326,商品マスタ!$B$6:$B$1005,0)),"")</f>
        <v/>
      </c>
      <c r="N326" s="71" t="str">
        <f aca="false">IF($K326="","",N($K326)*N($M326))</f>
        <v/>
      </c>
      <c r="O326" s="66" t="str">
        <f aca="false">IFERROR(INDEX(商品マスタ!$H$6:$H$1005,MATCH($F326,商品マスタ!$B$6:$B$1005,0)),"")</f>
        <v/>
      </c>
      <c r="P326" s="87" t="str">
        <f aca="false">IF(OR($E326="",$O326=""),"",WORKDAY($E326,$O326))</f>
        <v/>
      </c>
      <c r="Q326" s="80"/>
      <c r="R326" s="131"/>
      <c r="S326" s="69" t="n">
        <f aca="false">IF($Q326="入荷済み",N($L326),0)</f>
        <v>0</v>
      </c>
      <c r="T326" s="80"/>
      <c r="U326" s="80"/>
    </row>
    <row r="327" customFormat="false" ht="15" hidden="false" customHeight="false" outlineLevel="0" collapsed="false">
      <c r="B327" s="66" t="str">
        <f aca="false">IF(OR($E327="",$F327=""),"","PO-"&amp;TEXT($E327,"yyyymmdd")&amp;"-"&amp;TEXT(COUNTIFS($E$6:$E327,$E327,$C$6:$C327,$C327),"000"))</f>
        <v/>
      </c>
      <c r="C327" s="130"/>
      <c r="D327" s="66" t="str">
        <f aca="false">IFERROR(INDEX(定数マスタ!$C$6:$C$105,MATCH($C327,定数マスタ!$B$6:$B$105,0)),"")</f>
        <v/>
      </c>
      <c r="E327" s="131"/>
      <c r="F327" s="130"/>
      <c r="G327" s="66" t="str">
        <f aca="false">IFERROR(INDEX(商品マスタ!$C$6:$C$1005,MATCH($F327,商品マスタ!$B$6:$B$1005,0)),"")</f>
        <v/>
      </c>
      <c r="H327" s="66" t="str">
        <f aca="false">IFERROR(INDEX(商品マスタ!$E$6:$E$1005,MATCH($F327,商品マスタ!$B$6:$B$1005,0)),"")</f>
        <v/>
      </c>
      <c r="I327" s="69" t="str">
        <f aca="false">IFERROR(INDEX(商品マスタ!$F$6:$F$1005,MATCH($F327,商品マスタ!$B$6:$B$1005,0)),"")</f>
        <v/>
      </c>
      <c r="J327" s="69" t="str">
        <f aca="false">IF(OR($F327="",$C327&lt;&gt;'設定（最初に1回）'!$C$4),"",IFERROR(INDEX(発注計算!$Y$6:$Y$405,MATCH($F327,発注計算!$C$6:$C$405,0)),""))</f>
        <v/>
      </c>
      <c r="K327" s="70"/>
      <c r="L327" s="69" t="str">
        <f aca="false">IF($K327="","",N($K327)*N($I327))</f>
        <v/>
      </c>
      <c r="M327" s="71" t="str">
        <f aca="false">IFERROR(INDEX(商品マスタ!$G$6:$G$1005,MATCH($F327,商品マスタ!$B$6:$B$1005,0)),"")</f>
        <v/>
      </c>
      <c r="N327" s="71" t="str">
        <f aca="false">IF($K327="","",N($K327)*N($M327))</f>
        <v/>
      </c>
      <c r="O327" s="66" t="str">
        <f aca="false">IFERROR(INDEX(商品マスタ!$H$6:$H$1005,MATCH($F327,商品マスタ!$B$6:$B$1005,0)),"")</f>
        <v/>
      </c>
      <c r="P327" s="87" t="str">
        <f aca="false">IF(OR($E327="",$O327=""),"",WORKDAY($E327,$O327))</f>
        <v/>
      </c>
      <c r="Q327" s="80"/>
      <c r="R327" s="131"/>
      <c r="S327" s="69" t="n">
        <f aca="false">IF($Q327="入荷済み",N($L327),0)</f>
        <v>0</v>
      </c>
      <c r="T327" s="80"/>
      <c r="U327" s="80"/>
    </row>
    <row r="328" customFormat="false" ht="15" hidden="false" customHeight="false" outlineLevel="0" collapsed="false">
      <c r="B328" s="66" t="str">
        <f aca="false">IF(OR($E328="",$F328=""),"","PO-"&amp;TEXT($E328,"yyyymmdd")&amp;"-"&amp;TEXT(COUNTIFS($E$6:$E328,$E328,$C$6:$C328,$C328),"000"))</f>
        <v/>
      </c>
      <c r="C328" s="130"/>
      <c r="D328" s="66" t="str">
        <f aca="false">IFERROR(INDEX(定数マスタ!$C$6:$C$105,MATCH($C328,定数マスタ!$B$6:$B$105,0)),"")</f>
        <v/>
      </c>
      <c r="E328" s="131"/>
      <c r="F328" s="130"/>
      <c r="G328" s="66" t="str">
        <f aca="false">IFERROR(INDEX(商品マスタ!$C$6:$C$1005,MATCH($F328,商品マスタ!$B$6:$B$1005,0)),"")</f>
        <v/>
      </c>
      <c r="H328" s="66" t="str">
        <f aca="false">IFERROR(INDEX(商品マスタ!$E$6:$E$1005,MATCH($F328,商品マスタ!$B$6:$B$1005,0)),"")</f>
        <v/>
      </c>
      <c r="I328" s="69" t="str">
        <f aca="false">IFERROR(INDEX(商品マスタ!$F$6:$F$1005,MATCH($F328,商品マスタ!$B$6:$B$1005,0)),"")</f>
        <v/>
      </c>
      <c r="J328" s="69" t="str">
        <f aca="false">IF(OR($F328="",$C328&lt;&gt;'設定（最初に1回）'!$C$4),"",IFERROR(INDEX(発注計算!$Y$6:$Y$405,MATCH($F328,発注計算!$C$6:$C$405,0)),""))</f>
        <v/>
      </c>
      <c r="K328" s="70"/>
      <c r="L328" s="69" t="str">
        <f aca="false">IF($K328="","",N($K328)*N($I328))</f>
        <v/>
      </c>
      <c r="M328" s="71" t="str">
        <f aca="false">IFERROR(INDEX(商品マスタ!$G$6:$G$1005,MATCH($F328,商品マスタ!$B$6:$B$1005,0)),"")</f>
        <v/>
      </c>
      <c r="N328" s="71" t="str">
        <f aca="false">IF($K328="","",N($K328)*N($M328))</f>
        <v/>
      </c>
      <c r="O328" s="66" t="str">
        <f aca="false">IFERROR(INDEX(商品マスタ!$H$6:$H$1005,MATCH($F328,商品マスタ!$B$6:$B$1005,0)),"")</f>
        <v/>
      </c>
      <c r="P328" s="87" t="str">
        <f aca="false">IF(OR($E328="",$O328=""),"",WORKDAY($E328,$O328))</f>
        <v/>
      </c>
      <c r="Q328" s="80"/>
      <c r="R328" s="131"/>
      <c r="S328" s="69" t="n">
        <f aca="false">IF($Q328="入荷済み",N($L328),0)</f>
        <v>0</v>
      </c>
      <c r="T328" s="80"/>
      <c r="U328" s="80"/>
    </row>
    <row r="329" customFormat="false" ht="15" hidden="false" customHeight="false" outlineLevel="0" collapsed="false">
      <c r="B329" s="66" t="str">
        <f aca="false">IF(OR($E329="",$F329=""),"","PO-"&amp;TEXT($E329,"yyyymmdd")&amp;"-"&amp;TEXT(COUNTIFS($E$6:$E329,$E329,$C$6:$C329,$C329),"000"))</f>
        <v/>
      </c>
      <c r="C329" s="130"/>
      <c r="D329" s="66" t="str">
        <f aca="false">IFERROR(INDEX(定数マスタ!$C$6:$C$105,MATCH($C329,定数マスタ!$B$6:$B$105,0)),"")</f>
        <v/>
      </c>
      <c r="E329" s="131"/>
      <c r="F329" s="130"/>
      <c r="G329" s="66" t="str">
        <f aca="false">IFERROR(INDEX(商品マスタ!$C$6:$C$1005,MATCH($F329,商品マスタ!$B$6:$B$1005,0)),"")</f>
        <v/>
      </c>
      <c r="H329" s="66" t="str">
        <f aca="false">IFERROR(INDEX(商品マスタ!$E$6:$E$1005,MATCH($F329,商品マスタ!$B$6:$B$1005,0)),"")</f>
        <v/>
      </c>
      <c r="I329" s="69" t="str">
        <f aca="false">IFERROR(INDEX(商品マスタ!$F$6:$F$1005,MATCH($F329,商品マスタ!$B$6:$B$1005,0)),"")</f>
        <v/>
      </c>
      <c r="J329" s="69" t="str">
        <f aca="false">IF(OR($F329="",$C329&lt;&gt;'設定（最初に1回）'!$C$4),"",IFERROR(INDEX(発注計算!$Y$6:$Y$405,MATCH($F329,発注計算!$C$6:$C$405,0)),""))</f>
        <v/>
      </c>
      <c r="K329" s="70"/>
      <c r="L329" s="69" t="str">
        <f aca="false">IF($K329="","",N($K329)*N($I329))</f>
        <v/>
      </c>
      <c r="M329" s="71" t="str">
        <f aca="false">IFERROR(INDEX(商品マスタ!$G$6:$G$1005,MATCH($F329,商品マスタ!$B$6:$B$1005,0)),"")</f>
        <v/>
      </c>
      <c r="N329" s="71" t="str">
        <f aca="false">IF($K329="","",N($K329)*N($M329))</f>
        <v/>
      </c>
      <c r="O329" s="66" t="str">
        <f aca="false">IFERROR(INDEX(商品マスタ!$H$6:$H$1005,MATCH($F329,商品マスタ!$B$6:$B$1005,0)),"")</f>
        <v/>
      </c>
      <c r="P329" s="87" t="str">
        <f aca="false">IF(OR($E329="",$O329=""),"",WORKDAY($E329,$O329))</f>
        <v/>
      </c>
      <c r="Q329" s="80"/>
      <c r="R329" s="131"/>
      <c r="S329" s="69" t="n">
        <f aca="false">IF($Q329="入荷済み",N($L329),0)</f>
        <v>0</v>
      </c>
      <c r="T329" s="80"/>
      <c r="U329" s="80"/>
    </row>
    <row r="330" customFormat="false" ht="15" hidden="false" customHeight="false" outlineLevel="0" collapsed="false">
      <c r="B330" s="66" t="str">
        <f aca="false">IF(OR($E330="",$F330=""),"","PO-"&amp;TEXT($E330,"yyyymmdd")&amp;"-"&amp;TEXT(COUNTIFS($E$6:$E330,$E330,$C$6:$C330,$C330),"000"))</f>
        <v/>
      </c>
      <c r="C330" s="130"/>
      <c r="D330" s="66" t="str">
        <f aca="false">IFERROR(INDEX(定数マスタ!$C$6:$C$105,MATCH($C330,定数マスタ!$B$6:$B$105,0)),"")</f>
        <v/>
      </c>
      <c r="E330" s="131"/>
      <c r="F330" s="130"/>
      <c r="G330" s="66" t="str">
        <f aca="false">IFERROR(INDEX(商品マスタ!$C$6:$C$1005,MATCH($F330,商品マスタ!$B$6:$B$1005,0)),"")</f>
        <v/>
      </c>
      <c r="H330" s="66" t="str">
        <f aca="false">IFERROR(INDEX(商品マスタ!$E$6:$E$1005,MATCH($F330,商品マスタ!$B$6:$B$1005,0)),"")</f>
        <v/>
      </c>
      <c r="I330" s="69" t="str">
        <f aca="false">IFERROR(INDEX(商品マスタ!$F$6:$F$1005,MATCH($F330,商品マスタ!$B$6:$B$1005,0)),"")</f>
        <v/>
      </c>
      <c r="J330" s="69" t="str">
        <f aca="false">IF(OR($F330="",$C330&lt;&gt;'設定（最初に1回）'!$C$4),"",IFERROR(INDEX(発注計算!$Y$6:$Y$405,MATCH($F330,発注計算!$C$6:$C$405,0)),""))</f>
        <v/>
      </c>
      <c r="K330" s="70"/>
      <c r="L330" s="69" t="str">
        <f aca="false">IF($K330="","",N($K330)*N($I330))</f>
        <v/>
      </c>
      <c r="M330" s="71" t="str">
        <f aca="false">IFERROR(INDEX(商品マスタ!$G$6:$G$1005,MATCH($F330,商品マスタ!$B$6:$B$1005,0)),"")</f>
        <v/>
      </c>
      <c r="N330" s="71" t="str">
        <f aca="false">IF($K330="","",N($K330)*N($M330))</f>
        <v/>
      </c>
      <c r="O330" s="66" t="str">
        <f aca="false">IFERROR(INDEX(商品マスタ!$H$6:$H$1005,MATCH($F330,商品マスタ!$B$6:$B$1005,0)),"")</f>
        <v/>
      </c>
      <c r="P330" s="87" t="str">
        <f aca="false">IF(OR($E330="",$O330=""),"",WORKDAY($E330,$O330))</f>
        <v/>
      </c>
      <c r="Q330" s="80"/>
      <c r="R330" s="131"/>
      <c r="S330" s="69" t="n">
        <f aca="false">IF($Q330="入荷済み",N($L330),0)</f>
        <v>0</v>
      </c>
      <c r="T330" s="80"/>
      <c r="U330" s="80"/>
    </row>
    <row r="331" customFormat="false" ht="15" hidden="false" customHeight="false" outlineLevel="0" collapsed="false">
      <c r="B331" s="66" t="str">
        <f aca="false">IF(OR($E331="",$F331=""),"","PO-"&amp;TEXT($E331,"yyyymmdd")&amp;"-"&amp;TEXT(COUNTIFS($E$6:$E331,$E331,$C$6:$C331,$C331),"000"))</f>
        <v/>
      </c>
      <c r="C331" s="130"/>
      <c r="D331" s="66" t="str">
        <f aca="false">IFERROR(INDEX(定数マスタ!$C$6:$C$105,MATCH($C331,定数マスタ!$B$6:$B$105,0)),"")</f>
        <v/>
      </c>
      <c r="E331" s="131"/>
      <c r="F331" s="130"/>
      <c r="G331" s="66" t="str">
        <f aca="false">IFERROR(INDEX(商品マスタ!$C$6:$C$1005,MATCH($F331,商品マスタ!$B$6:$B$1005,0)),"")</f>
        <v/>
      </c>
      <c r="H331" s="66" t="str">
        <f aca="false">IFERROR(INDEX(商品マスタ!$E$6:$E$1005,MATCH($F331,商品マスタ!$B$6:$B$1005,0)),"")</f>
        <v/>
      </c>
      <c r="I331" s="69" t="str">
        <f aca="false">IFERROR(INDEX(商品マスタ!$F$6:$F$1005,MATCH($F331,商品マスタ!$B$6:$B$1005,0)),"")</f>
        <v/>
      </c>
      <c r="J331" s="69" t="str">
        <f aca="false">IF(OR($F331="",$C331&lt;&gt;'設定（最初に1回）'!$C$4),"",IFERROR(INDEX(発注計算!$Y$6:$Y$405,MATCH($F331,発注計算!$C$6:$C$405,0)),""))</f>
        <v/>
      </c>
      <c r="K331" s="70"/>
      <c r="L331" s="69" t="str">
        <f aca="false">IF($K331="","",N($K331)*N($I331))</f>
        <v/>
      </c>
      <c r="M331" s="71" t="str">
        <f aca="false">IFERROR(INDEX(商品マスタ!$G$6:$G$1005,MATCH($F331,商品マスタ!$B$6:$B$1005,0)),"")</f>
        <v/>
      </c>
      <c r="N331" s="71" t="str">
        <f aca="false">IF($K331="","",N($K331)*N($M331))</f>
        <v/>
      </c>
      <c r="O331" s="66" t="str">
        <f aca="false">IFERROR(INDEX(商品マスタ!$H$6:$H$1005,MATCH($F331,商品マスタ!$B$6:$B$1005,0)),"")</f>
        <v/>
      </c>
      <c r="P331" s="87" t="str">
        <f aca="false">IF(OR($E331="",$O331=""),"",WORKDAY($E331,$O331))</f>
        <v/>
      </c>
      <c r="Q331" s="80"/>
      <c r="R331" s="131"/>
      <c r="S331" s="69" t="n">
        <f aca="false">IF($Q331="入荷済み",N($L331),0)</f>
        <v>0</v>
      </c>
      <c r="T331" s="80"/>
      <c r="U331" s="80"/>
    </row>
    <row r="332" customFormat="false" ht="15" hidden="false" customHeight="false" outlineLevel="0" collapsed="false">
      <c r="B332" s="66" t="str">
        <f aca="false">IF(OR($E332="",$F332=""),"","PO-"&amp;TEXT($E332,"yyyymmdd")&amp;"-"&amp;TEXT(COUNTIFS($E$6:$E332,$E332,$C$6:$C332,$C332),"000"))</f>
        <v/>
      </c>
      <c r="C332" s="130"/>
      <c r="D332" s="66" t="str">
        <f aca="false">IFERROR(INDEX(定数マスタ!$C$6:$C$105,MATCH($C332,定数マスタ!$B$6:$B$105,0)),"")</f>
        <v/>
      </c>
      <c r="E332" s="131"/>
      <c r="F332" s="130"/>
      <c r="G332" s="66" t="str">
        <f aca="false">IFERROR(INDEX(商品マスタ!$C$6:$C$1005,MATCH($F332,商品マスタ!$B$6:$B$1005,0)),"")</f>
        <v/>
      </c>
      <c r="H332" s="66" t="str">
        <f aca="false">IFERROR(INDEX(商品マスタ!$E$6:$E$1005,MATCH($F332,商品マスタ!$B$6:$B$1005,0)),"")</f>
        <v/>
      </c>
      <c r="I332" s="69" t="str">
        <f aca="false">IFERROR(INDEX(商品マスタ!$F$6:$F$1005,MATCH($F332,商品マスタ!$B$6:$B$1005,0)),"")</f>
        <v/>
      </c>
      <c r="J332" s="69" t="str">
        <f aca="false">IF(OR($F332="",$C332&lt;&gt;'設定（最初に1回）'!$C$4),"",IFERROR(INDEX(発注計算!$Y$6:$Y$405,MATCH($F332,発注計算!$C$6:$C$405,0)),""))</f>
        <v/>
      </c>
      <c r="K332" s="70"/>
      <c r="L332" s="69" t="str">
        <f aca="false">IF($K332="","",N($K332)*N($I332))</f>
        <v/>
      </c>
      <c r="M332" s="71" t="str">
        <f aca="false">IFERROR(INDEX(商品マスタ!$G$6:$G$1005,MATCH($F332,商品マスタ!$B$6:$B$1005,0)),"")</f>
        <v/>
      </c>
      <c r="N332" s="71" t="str">
        <f aca="false">IF($K332="","",N($K332)*N($M332))</f>
        <v/>
      </c>
      <c r="O332" s="66" t="str">
        <f aca="false">IFERROR(INDEX(商品マスタ!$H$6:$H$1005,MATCH($F332,商品マスタ!$B$6:$B$1005,0)),"")</f>
        <v/>
      </c>
      <c r="P332" s="87" t="str">
        <f aca="false">IF(OR($E332="",$O332=""),"",WORKDAY($E332,$O332))</f>
        <v/>
      </c>
      <c r="Q332" s="80"/>
      <c r="R332" s="131"/>
      <c r="S332" s="69" t="n">
        <f aca="false">IF($Q332="入荷済み",N($L332),0)</f>
        <v>0</v>
      </c>
      <c r="T332" s="80"/>
      <c r="U332" s="80"/>
    </row>
    <row r="333" customFormat="false" ht="15" hidden="false" customHeight="false" outlineLevel="0" collapsed="false">
      <c r="B333" s="66" t="str">
        <f aca="false">IF(OR($E333="",$F333=""),"","PO-"&amp;TEXT($E333,"yyyymmdd")&amp;"-"&amp;TEXT(COUNTIFS($E$6:$E333,$E333,$C$6:$C333,$C333),"000"))</f>
        <v/>
      </c>
      <c r="C333" s="130"/>
      <c r="D333" s="66" t="str">
        <f aca="false">IFERROR(INDEX(定数マスタ!$C$6:$C$105,MATCH($C333,定数マスタ!$B$6:$B$105,0)),"")</f>
        <v/>
      </c>
      <c r="E333" s="131"/>
      <c r="F333" s="130"/>
      <c r="G333" s="66" t="str">
        <f aca="false">IFERROR(INDEX(商品マスタ!$C$6:$C$1005,MATCH($F333,商品マスタ!$B$6:$B$1005,0)),"")</f>
        <v/>
      </c>
      <c r="H333" s="66" t="str">
        <f aca="false">IFERROR(INDEX(商品マスタ!$E$6:$E$1005,MATCH($F333,商品マスタ!$B$6:$B$1005,0)),"")</f>
        <v/>
      </c>
      <c r="I333" s="69" t="str">
        <f aca="false">IFERROR(INDEX(商品マスタ!$F$6:$F$1005,MATCH($F333,商品マスタ!$B$6:$B$1005,0)),"")</f>
        <v/>
      </c>
      <c r="J333" s="69" t="str">
        <f aca="false">IF(OR($F333="",$C333&lt;&gt;'設定（最初に1回）'!$C$4),"",IFERROR(INDEX(発注計算!$Y$6:$Y$405,MATCH($F333,発注計算!$C$6:$C$405,0)),""))</f>
        <v/>
      </c>
      <c r="K333" s="70"/>
      <c r="L333" s="69" t="str">
        <f aca="false">IF($K333="","",N($K333)*N($I333))</f>
        <v/>
      </c>
      <c r="M333" s="71" t="str">
        <f aca="false">IFERROR(INDEX(商品マスタ!$G$6:$G$1005,MATCH($F333,商品マスタ!$B$6:$B$1005,0)),"")</f>
        <v/>
      </c>
      <c r="N333" s="71" t="str">
        <f aca="false">IF($K333="","",N($K333)*N($M333))</f>
        <v/>
      </c>
      <c r="O333" s="66" t="str">
        <f aca="false">IFERROR(INDEX(商品マスタ!$H$6:$H$1005,MATCH($F333,商品マスタ!$B$6:$B$1005,0)),"")</f>
        <v/>
      </c>
      <c r="P333" s="87" t="str">
        <f aca="false">IF(OR($E333="",$O333=""),"",WORKDAY($E333,$O333))</f>
        <v/>
      </c>
      <c r="Q333" s="80"/>
      <c r="R333" s="131"/>
      <c r="S333" s="69" t="n">
        <f aca="false">IF($Q333="入荷済み",N($L333),0)</f>
        <v>0</v>
      </c>
      <c r="T333" s="80"/>
      <c r="U333" s="80"/>
    </row>
    <row r="334" customFormat="false" ht="15" hidden="false" customHeight="false" outlineLevel="0" collapsed="false">
      <c r="B334" s="66" t="str">
        <f aca="false">IF(OR($E334="",$F334=""),"","PO-"&amp;TEXT($E334,"yyyymmdd")&amp;"-"&amp;TEXT(COUNTIFS($E$6:$E334,$E334,$C$6:$C334,$C334),"000"))</f>
        <v/>
      </c>
      <c r="C334" s="130"/>
      <c r="D334" s="66" t="str">
        <f aca="false">IFERROR(INDEX(定数マスタ!$C$6:$C$105,MATCH($C334,定数マスタ!$B$6:$B$105,0)),"")</f>
        <v/>
      </c>
      <c r="E334" s="131"/>
      <c r="F334" s="130"/>
      <c r="G334" s="66" t="str">
        <f aca="false">IFERROR(INDEX(商品マスタ!$C$6:$C$1005,MATCH($F334,商品マスタ!$B$6:$B$1005,0)),"")</f>
        <v/>
      </c>
      <c r="H334" s="66" t="str">
        <f aca="false">IFERROR(INDEX(商品マスタ!$E$6:$E$1005,MATCH($F334,商品マスタ!$B$6:$B$1005,0)),"")</f>
        <v/>
      </c>
      <c r="I334" s="69" t="str">
        <f aca="false">IFERROR(INDEX(商品マスタ!$F$6:$F$1005,MATCH($F334,商品マスタ!$B$6:$B$1005,0)),"")</f>
        <v/>
      </c>
      <c r="J334" s="69" t="str">
        <f aca="false">IF(OR($F334="",$C334&lt;&gt;'設定（最初に1回）'!$C$4),"",IFERROR(INDEX(発注計算!$Y$6:$Y$405,MATCH($F334,発注計算!$C$6:$C$405,0)),""))</f>
        <v/>
      </c>
      <c r="K334" s="70"/>
      <c r="L334" s="69" t="str">
        <f aca="false">IF($K334="","",N($K334)*N($I334))</f>
        <v/>
      </c>
      <c r="M334" s="71" t="str">
        <f aca="false">IFERROR(INDEX(商品マスタ!$G$6:$G$1005,MATCH($F334,商品マスタ!$B$6:$B$1005,0)),"")</f>
        <v/>
      </c>
      <c r="N334" s="71" t="str">
        <f aca="false">IF($K334="","",N($K334)*N($M334))</f>
        <v/>
      </c>
      <c r="O334" s="66" t="str">
        <f aca="false">IFERROR(INDEX(商品マスタ!$H$6:$H$1005,MATCH($F334,商品マスタ!$B$6:$B$1005,0)),"")</f>
        <v/>
      </c>
      <c r="P334" s="87" t="str">
        <f aca="false">IF(OR($E334="",$O334=""),"",WORKDAY($E334,$O334))</f>
        <v/>
      </c>
      <c r="Q334" s="80"/>
      <c r="R334" s="131"/>
      <c r="S334" s="69" t="n">
        <f aca="false">IF($Q334="入荷済み",N($L334),0)</f>
        <v>0</v>
      </c>
      <c r="T334" s="80"/>
      <c r="U334" s="80"/>
    </row>
    <row r="335" customFormat="false" ht="15" hidden="false" customHeight="false" outlineLevel="0" collapsed="false">
      <c r="B335" s="66" t="str">
        <f aca="false">IF(OR($E335="",$F335=""),"","PO-"&amp;TEXT($E335,"yyyymmdd")&amp;"-"&amp;TEXT(COUNTIFS($E$6:$E335,$E335,$C$6:$C335,$C335),"000"))</f>
        <v/>
      </c>
      <c r="C335" s="130"/>
      <c r="D335" s="66" t="str">
        <f aca="false">IFERROR(INDEX(定数マスタ!$C$6:$C$105,MATCH($C335,定数マスタ!$B$6:$B$105,0)),"")</f>
        <v/>
      </c>
      <c r="E335" s="131"/>
      <c r="F335" s="130"/>
      <c r="G335" s="66" t="str">
        <f aca="false">IFERROR(INDEX(商品マスタ!$C$6:$C$1005,MATCH($F335,商品マスタ!$B$6:$B$1005,0)),"")</f>
        <v/>
      </c>
      <c r="H335" s="66" t="str">
        <f aca="false">IFERROR(INDEX(商品マスタ!$E$6:$E$1005,MATCH($F335,商品マスタ!$B$6:$B$1005,0)),"")</f>
        <v/>
      </c>
      <c r="I335" s="69" t="str">
        <f aca="false">IFERROR(INDEX(商品マスタ!$F$6:$F$1005,MATCH($F335,商品マスタ!$B$6:$B$1005,0)),"")</f>
        <v/>
      </c>
      <c r="J335" s="69" t="str">
        <f aca="false">IF(OR($F335="",$C335&lt;&gt;'設定（最初に1回）'!$C$4),"",IFERROR(INDEX(発注計算!$Y$6:$Y$405,MATCH($F335,発注計算!$C$6:$C$405,0)),""))</f>
        <v/>
      </c>
      <c r="K335" s="70"/>
      <c r="L335" s="69" t="str">
        <f aca="false">IF($K335="","",N($K335)*N($I335))</f>
        <v/>
      </c>
      <c r="M335" s="71" t="str">
        <f aca="false">IFERROR(INDEX(商品マスタ!$G$6:$G$1005,MATCH($F335,商品マスタ!$B$6:$B$1005,0)),"")</f>
        <v/>
      </c>
      <c r="N335" s="71" t="str">
        <f aca="false">IF($K335="","",N($K335)*N($M335))</f>
        <v/>
      </c>
      <c r="O335" s="66" t="str">
        <f aca="false">IFERROR(INDEX(商品マスタ!$H$6:$H$1005,MATCH($F335,商品マスタ!$B$6:$B$1005,0)),"")</f>
        <v/>
      </c>
      <c r="P335" s="87" t="str">
        <f aca="false">IF(OR($E335="",$O335=""),"",WORKDAY($E335,$O335))</f>
        <v/>
      </c>
      <c r="Q335" s="80"/>
      <c r="R335" s="131"/>
      <c r="S335" s="69" t="n">
        <f aca="false">IF($Q335="入荷済み",N($L335),0)</f>
        <v>0</v>
      </c>
      <c r="T335" s="80"/>
      <c r="U335" s="80"/>
    </row>
    <row r="336" customFormat="false" ht="15" hidden="false" customHeight="false" outlineLevel="0" collapsed="false">
      <c r="B336" s="66" t="str">
        <f aca="false">IF(OR($E336="",$F336=""),"","PO-"&amp;TEXT($E336,"yyyymmdd")&amp;"-"&amp;TEXT(COUNTIFS($E$6:$E336,$E336,$C$6:$C336,$C336),"000"))</f>
        <v/>
      </c>
      <c r="C336" s="130"/>
      <c r="D336" s="66" t="str">
        <f aca="false">IFERROR(INDEX(定数マスタ!$C$6:$C$105,MATCH($C336,定数マスタ!$B$6:$B$105,0)),"")</f>
        <v/>
      </c>
      <c r="E336" s="131"/>
      <c r="F336" s="130"/>
      <c r="G336" s="66" t="str">
        <f aca="false">IFERROR(INDEX(商品マスタ!$C$6:$C$1005,MATCH($F336,商品マスタ!$B$6:$B$1005,0)),"")</f>
        <v/>
      </c>
      <c r="H336" s="66" t="str">
        <f aca="false">IFERROR(INDEX(商品マスタ!$E$6:$E$1005,MATCH($F336,商品マスタ!$B$6:$B$1005,0)),"")</f>
        <v/>
      </c>
      <c r="I336" s="69" t="str">
        <f aca="false">IFERROR(INDEX(商品マスタ!$F$6:$F$1005,MATCH($F336,商品マスタ!$B$6:$B$1005,0)),"")</f>
        <v/>
      </c>
      <c r="J336" s="69" t="str">
        <f aca="false">IF(OR($F336="",$C336&lt;&gt;'設定（最初に1回）'!$C$4),"",IFERROR(INDEX(発注計算!$Y$6:$Y$405,MATCH($F336,発注計算!$C$6:$C$405,0)),""))</f>
        <v/>
      </c>
      <c r="K336" s="70"/>
      <c r="L336" s="69" t="str">
        <f aca="false">IF($K336="","",N($K336)*N($I336))</f>
        <v/>
      </c>
      <c r="M336" s="71" t="str">
        <f aca="false">IFERROR(INDEX(商品マスタ!$G$6:$G$1005,MATCH($F336,商品マスタ!$B$6:$B$1005,0)),"")</f>
        <v/>
      </c>
      <c r="N336" s="71" t="str">
        <f aca="false">IF($K336="","",N($K336)*N($M336))</f>
        <v/>
      </c>
      <c r="O336" s="66" t="str">
        <f aca="false">IFERROR(INDEX(商品マスタ!$H$6:$H$1005,MATCH($F336,商品マスタ!$B$6:$B$1005,0)),"")</f>
        <v/>
      </c>
      <c r="P336" s="87" t="str">
        <f aca="false">IF(OR($E336="",$O336=""),"",WORKDAY($E336,$O336))</f>
        <v/>
      </c>
      <c r="Q336" s="80"/>
      <c r="R336" s="131"/>
      <c r="S336" s="69" t="n">
        <f aca="false">IF($Q336="入荷済み",N($L336),0)</f>
        <v>0</v>
      </c>
      <c r="T336" s="80"/>
      <c r="U336" s="80"/>
    </row>
    <row r="337" customFormat="false" ht="15" hidden="false" customHeight="false" outlineLevel="0" collapsed="false">
      <c r="B337" s="66" t="str">
        <f aca="false">IF(OR($E337="",$F337=""),"","PO-"&amp;TEXT($E337,"yyyymmdd")&amp;"-"&amp;TEXT(COUNTIFS($E$6:$E337,$E337,$C$6:$C337,$C337),"000"))</f>
        <v/>
      </c>
      <c r="C337" s="130"/>
      <c r="D337" s="66" t="str">
        <f aca="false">IFERROR(INDEX(定数マスタ!$C$6:$C$105,MATCH($C337,定数マスタ!$B$6:$B$105,0)),"")</f>
        <v/>
      </c>
      <c r="E337" s="131"/>
      <c r="F337" s="130"/>
      <c r="G337" s="66" t="str">
        <f aca="false">IFERROR(INDEX(商品マスタ!$C$6:$C$1005,MATCH($F337,商品マスタ!$B$6:$B$1005,0)),"")</f>
        <v/>
      </c>
      <c r="H337" s="66" t="str">
        <f aca="false">IFERROR(INDEX(商品マスタ!$E$6:$E$1005,MATCH($F337,商品マスタ!$B$6:$B$1005,0)),"")</f>
        <v/>
      </c>
      <c r="I337" s="69" t="str">
        <f aca="false">IFERROR(INDEX(商品マスタ!$F$6:$F$1005,MATCH($F337,商品マスタ!$B$6:$B$1005,0)),"")</f>
        <v/>
      </c>
      <c r="J337" s="69" t="str">
        <f aca="false">IF(OR($F337="",$C337&lt;&gt;'設定（最初に1回）'!$C$4),"",IFERROR(INDEX(発注計算!$Y$6:$Y$405,MATCH($F337,発注計算!$C$6:$C$405,0)),""))</f>
        <v/>
      </c>
      <c r="K337" s="70"/>
      <c r="L337" s="69" t="str">
        <f aca="false">IF($K337="","",N($K337)*N($I337))</f>
        <v/>
      </c>
      <c r="M337" s="71" t="str">
        <f aca="false">IFERROR(INDEX(商品マスタ!$G$6:$G$1005,MATCH($F337,商品マスタ!$B$6:$B$1005,0)),"")</f>
        <v/>
      </c>
      <c r="N337" s="71" t="str">
        <f aca="false">IF($K337="","",N($K337)*N($M337))</f>
        <v/>
      </c>
      <c r="O337" s="66" t="str">
        <f aca="false">IFERROR(INDEX(商品マスタ!$H$6:$H$1005,MATCH($F337,商品マスタ!$B$6:$B$1005,0)),"")</f>
        <v/>
      </c>
      <c r="P337" s="87" t="str">
        <f aca="false">IF(OR($E337="",$O337=""),"",WORKDAY($E337,$O337))</f>
        <v/>
      </c>
      <c r="Q337" s="80"/>
      <c r="R337" s="131"/>
      <c r="S337" s="69" t="n">
        <f aca="false">IF($Q337="入荷済み",N($L337),0)</f>
        <v>0</v>
      </c>
      <c r="T337" s="80"/>
      <c r="U337" s="80"/>
    </row>
    <row r="338" customFormat="false" ht="15" hidden="false" customHeight="false" outlineLevel="0" collapsed="false">
      <c r="B338" s="66" t="str">
        <f aca="false">IF(OR($E338="",$F338=""),"","PO-"&amp;TEXT($E338,"yyyymmdd")&amp;"-"&amp;TEXT(COUNTIFS($E$6:$E338,$E338,$C$6:$C338,$C338),"000"))</f>
        <v/>
      </c>
      <c r="C338" s="130"/>
      <c r="D338" s="66" t="str">
        <f aca="false">IFERROR(INDEX(定数マスタ!$C$6:$C$105,MATCH($C338,定数マスタ!$B$6:$B$105,0)),"")</f>
        <v/>
      </c>
      <c r="E338" s="131"/>
      <c r="F338" s="130"/>
      <c r="G338" s="66" t="str">
        <f aca="false">IFERROR(INDEX(商品マスタ!$C$6:$C$1005,MATCH($F338,商品マスタ!$B$6:$B$1005,0)),"")</f>
        <v/>
      </c>
      <c r="H338" s="66" t="str">
        <f aca="false">IFERROR(INDEX(商品マスタ!$E$6:$E$1005,MATCH($F338,商品マスタ!$B$6:$B$1005,0)),"")</f>
        <v/>
      </c>
      <c r="I338" s="69" t="str">
        <f aca="false">IFERROR(INDEX(商品マスタ!$F$6:$F$1005,MATCH($F338,商品マスタ!$B$6:$B$1005,0)),"")</f>
        <v/>
      </c>
      <c r="J338" s="69" t="str">
        <f aca="false">IF(OR($F338="",$C338&lt;&gt;'設定（最初に1回）'!$C$4),"",IFERROR(INDEX(発注計算!$Y$6:$Y$405,MATCH($F338,発注計算!$C$6:$C$405,0)),""))</f>
        <v/>
      </c>
      <c r="K338" s="70"/>
      <c r="L338" s="69" t="str">
        <f aca="false">IF($K338="","",N($K338)*N($I338))</f>
        <v/>
      </c>
      <c r="M338" s="71" t="str">
        <f aca="false">IFERROR(INDEX(商品マスタ!$G$6:$G$1005,MATCH($F338,商品マスタ!$B$6:$B$1005,0)),"")</f>
        <v/>
      </c>
      <c r="N338" s="71" t="str">
        <f aca="false">IF($K338="","",N($K338)*N($M338))</f>
        <v/>
      </c>
      <c r="O338" s="66" t="str">
        <f aca="false">IFERROR(INDEX(商品マスタ!$H$6:$H$1005,MATCH($F338,商品マスタ!$B$6:$B$1005,0)),"")</f>
        <v/>
      </c>
      <c r="P338" s="87" t="str">
        <f aca="false">IF(OR($E338="",$O338=""),"",WORKDAY($E338,$O338))</f>
        <v/>
      </c>
      <c r="Q338" s="80"/>
      <c r="R338" s="131"/>
      <c r="S338" s="69" t="n">
        <f aca="false">IF($Q338="入荷済み",N($L338),0)</f>
        <v>0</v>
      </c>
      <c r="T338" s="80"/>
      <c r="U338" s="80"/>
    </row>
    <row r="339" customFormat="false" ht="15" hidden="false" customHeight="false" outlineLevel="0" collapsed="false">
      <c r="B339" s="66" t="str">
        <f aca="false">IF(OR($E339="",$F339=""),"","PO-"&amp;TEXT($E339,"yyyymmdd")&amp;"-"&amp;TEXT(COUNTIFS($E$6:$E339,$E339,$C$6:$C339,$C339),"000"))</f>
        <v/>
      </c>
      <c r="C339" s="130"/>
      <c r="D339" s="66" t="str">
        <f aca="false">IFERROR(INDEX(定数マスタ!$C$6:$C$105,MATCH($C339,定数マスタ!$B$6:$B$105,0)),"")</f>
        <v/>
      </c>
      <c r="E339" s="131"/>
      <c r="F339" s="130"/>
      <c r="G339" s="66" t="str">
        <f aca="false">IFERROR(INDEX(商品マスタ!$C$6:$C$1005,MATCH($F339,商品マスタ!$B$6:$B$1005,0)),"")</f>
        <v/>
      </c>
      <c r="H339" s="66" t="str">
        <f aca="false">IFERROR(INDEX(商品マスタ!$E$6:$E$1005,MATCH($F339,商品マスタ!$B$6:$B$1005,0)),"")</f>
        <v/>
      </c>
      <c r="I339" s="69" t="str">
        <f aca="false">IFERROR(INDEX(商品マスタ!$F$6:$F$1005,MATCH($F339,商品マスタ!$B$6:$B$1005,0)),"")</f>
        <v/>
      </c>
      <c r="J339" s="69" t="str">
        <f aca="false">IF(OR($F339="",$C339&lt;&gt;'設定（最初に1回）'!$C$4),"",IFERROR(INDEX(発注計算!$Y$6:$Y$405,MATCH($F339,発注計算!$C$6:$C$405,0)),""))</f>
        <v/>
      </c>
      <c r="K339" s="70"/>
      <c r="L339" s="69" t="str">
        <f aca="false">IF($K339="","",N($K339)*N($I339))</f>
        <v/>
      </c>
      <c r="M339" s="71" t="str">
        <f aca="false">IFERROR(INDEX(商品マスタ!$G$6:$G$1005,MATCH($F339,商品マスタ!$B$6:$B$1005,0)),"")</f>
        <v/>
      </c>
      <c r="N339" s="71" t="str">
        <f aca="false">IF($K339="","",N($K339)*N($M339))</f>
        <v/>
      </c>
      <c r="O339" s="66" t="str">
        <f aca="false">IFERROR(INDEX(商品マスタ!$H$6:$H$1005,MATCH($F339,商品マスタ!$B$6:$B$1005,0)),"")</f>
        <v/>
      </c>
      <c r="P339" s="87" t="str">
        <f aca="false">IF(OR($E339="",$O339=""),"",WORKDAY($E339,$O339))</f>
        <v/>
      </c>
      <c r="Q339" s="80"/>
      <c r="R339" s="131"/>
      <c r="S339" s="69" t="n">
        <f aca="false">IF($Q339="入荷済み",N($L339),0)</f>
        <v>0</v>
      </c>
      <c r="T339" s="80"/>
      <c r="U339" s="80"/>
    </row>
    <row r="340" customFormat="false" ht="15" hidden="false" customHeight="false" outlineLevel="0" collapsed="false">
      <c r="B340" s="66" t="str">
        <f aca="false">IF(OR($E340="",$F340=""),"","PO-"&amp;TEXT($E340,"yyyymmdd")&amp;"-"&amp;TEXT(COUNTIFS($E$6:$E340,$E340,$C$6:$C340,$C340),"000"))</f>
        <v/>
      </c>
      <c r="C340" s="130"/>
      <c r="D340" s="66" t="str">
        <f aca="false">IFERROR(INDEX(定数マスタ!$C$6:$C$105,MATCH($C340,定数マスタ!$B$6:$B$105,0)),"")</f>
        <v/>
      </c>
      <c r="E340" s="131"/>
      <c r="F340" s="130"/>
      <c r="G340" s="66" t="str">
        <f aca="false">IFERROR(INDEX(商品マスタ!$C$6:$C$1005,MATCH($F340,商品マスタ!$B$6:$B$1005,0)),"")</f>
        <v/>
      </c>
      <c r="H340" s="66" t="str">
        <f aca="false">IFERROR(INDEX(商品マスタ!$E$6:$E$1005,MATCH($F340,商品マスタ!$B$6:$B$1005,0)),"")</f>
        <v/>
      </c>
      <c r="I340" s="69" t="str">
        <f aca="false">IFERROR(INDEX(商品マスタ!$F$6:$F$1005,MATCH($F340,商品マスタ!$B$6:$B$1005,0)),"")</f>
        <v/>
      </c>
      <c r="J340" s="69" t="str">
        <f aca="false">IF(OR($F340="",$C340&lt;&gt;'設定（最初に1回）'!$C$4),"",IFERROR(INDEX(発注計算!$Y$6:$Y$405,MATCH($F340,発注計算!$C$6:$C$405,0)),""))</f>
        <v/>
      </c>
      <c r="K340" s="70"/>
      <c r="L340" s="69" t="str">
        <f aca="false">IF($K340="","",N($K340)*N($I340))</f>
        <v/>
      </c>
      <c r="M340" s="71" t="str">
        <f aca="false">IFERROR(INDEX(商品マスタ!$G$6:$G$1005,MATCH($F340,商品マスタ!$B$6:$B$1005,0)),"")</f>
        <v/>
      </c>
      <c r="N340" s="71" t="str">
        <f aca="false">IF($K340="","",N($K340)*N($M340))</f>
        <v/>
      </c>
      <c r="O340" s="66" t="str">
        <f aca="false">IFERROR(INDEX(商品マスタ!$H$6:$H$1005,MATCH($F340,商品マスタ!$B$6:$B$1005,0)),"")</f>
        <v/>
      </c>
      <c r="P340" s="87" t="str">
        <f aca="false">IF(OR($E340="",$O340=""),"",WORKDAY($E340,$O340))</f>
        <v/>
      </c>
      <c r="Q340" s="80"/>
      <c r="R340" s="131"/>
      <c r="S340" s="69" t="n">
        <f aca="false">IF($Q340="入荷済み",N($L340),0)</f>
        <v>0</v>
      </c>
      <c r="T340" s="80"/>
      <c r="U340" s="80"/>
    </row>
    <row r="341" customFormat="false" ht="15" hidden="false" customHeight="false" outlineLevel="0" collapsed="false">
      <c r="B341" s="66" t="str">
        <f aca="false">IF(OR($E341="",$F341=""),"","PO-"&amp;TEXT($E341,"yyyymmdd")&amp;"-"&amp;TEXT(COUNTIFS($E$6:$E341,$E341,$C$6:$C341,$C341),"000"))</f>
        <v/>
      </c>
      <c r="C341" s="130"/>
      <c r="D341" s="66" t="str">
        <f aca="false">IFERROR(INDEX(定数マスタ!$C$6:$C$105,MATCH($C341,定数マスタ!$B$6:$B$105,0)),"")</f>
        <v/>
      </c>
      <c r="E341" s="131"/>
      <c r="F341" s="130"/>
      <c r="G341" s="66" t="str">
        <f aca="false">IFERROR(INDEX(商品マスタ!$C$6:$C$1005,MATCH($F341,商品マスタ!$B$6:$B$1005,0)),"")</f>
        <v/>
      </c>
      <c r="H341" s="66" t="str">
        <f aca="false">IFERROR(INDEX(商品マスタ!$E$6:$E$1005,MATCH($F341,商品マスタ!$B$6:$B$1005,0)),"")</f>
        <v/>
      </c>
      <c r="I341" s="69" t="str">
        <f aca="false">IFERROR(INDEX(商品マスタ!$F$6:$F$1005,MATCH($F341,商品マスタ!$B$6:$B$1005,0)),"")</f>
        <v/>
      </c>
      <c r="J341" s="69" t="str">
        <f aca="false">IF(OR($F341="",$C341&lt;&gt;'設定（最初に1回）'!$C$4),"",IFERROR(INDEX(発注計算!$Y$6:$Y$405,MATCH($F341,発注計算!$C$6:$C$405,0)),""))</f>
        <v/>
      </c>
      <c r="K341" s="70"/>
      <c r="L341" s="69" t="str">
        <f aca="false">IF($K341="","",N($K341)*N($I341))</f>
        <v/>
      </c>
      <c r="M341" s="71" t="str">
        <f aca="false">IFERROR(INDEX(商品マスタ!$G$6:$G$1005,MATCH($F341,商品マスタ!$B$6:$B$1005,0)),"")</f>
        <v/>
      </c>
      <c r="N341" s="71" t="str">
        <f aca="false">IF($K341="","",N($K341)*N($M341))</f>
        <v/>
      </c>
      <c r="O341" s="66" t="str">
        <f aca="false">IFERROR(INDEX(商品マスタ!$H$6:$H$1005,MATCH($F341,商品マスタ!$B$6:$B$1005,0)),"")</f>
        <v/>
      </c>
      <c r="P341" s="87" t="str">
        <f aca="false">IF(OR($E341="",$O341=""),"",WORKDAY($E341,$O341))</f>
        <v/>
      </c>
      <c r="Q341" s="80"/>
      <c r="R341" s="131"/>
      <c r="S341" s="69" t="n">
        <f aca="false">IF($Q341="入荷済み",N($L341),0)</f>
        <v>0</v>
      </c>
      <c r="T341" s="80"/>
      <c r="U341" s="80"/>
    </row>
    <row r="342" customFormat="false" ht="15" hidden="false" customHeight="false" outlineLevel="0" collapsed="false">
      <c r="B342" s="66" t="str">
        <f aca="false">IF(OR($E342="",$F342=""),"","PO-"&amp;TEXT($E342,"yyyymmdd")&amp;"-"&amp;TEXT(COUNTIFS($E$6:$E342,$E342,$C$6:$C342,$C342),"000"))</f>
        <v/>
      </c>
      <c r="C342" s="130"/>
      <c r="D342" s="66" t="str">
        <f aca="false">IFERROR(INDEX(定数マスタ!$C$6:$C$105,MATCH($C342,定数マスタ!$B$6:$B$105,0)),"")</f>
        <v/>
      </c>
      <c r="E342" s="131"/>
      <c r="F342" s="130"/>
      <c r="G342" s="66" t="str">
        <f aca="false">IFERROR(INDEX(商品マスタ!$C$6:$C$1005,MATCH($F342,商品マスタ!$B$6:$B$1005,0)),"")</f>
        <v/>
      </c>
      <c r="H342" s="66" t="str">
        <f aca="false">IFERROR(INDEX(商品マスタ!$E$6:$E$1005,MATCH($F342,商品マスタ!$B$6:$B$1005,0)),"")</f>
        <v/>
      </c>
      <c r="I342" s="69" t="str">
        <f aca="false">IFERROR(INDEX(商品マスタ!$F$6:$F$1005,MATCH($F342,商品マスタ!$B$6:$B$1005,0)),"")</f>
        <v/>
      </c>
      <c r="J342" s="69" t="str">
        <f aca="false">IF(OR($F342="",$C342&lt;&gt;'設定（最初に1回）'!$C$4),"",IFERROR(INDEX(発注計算!$Y$6:$Y$405,MATCH($F342,発注計算!$C$6:$C$405,0)),""))</f>
        <v/>
      </c>
      <c r="K342" s="70"/>
      <c r="L342" s="69" t="str">
        <f aca="false">IF($K342="","",N($K342)*N($I342))</f>
        <v/>
      </c>
      <c r="M342" s="71" t="str">
        <f aca="false">IFERROR(INDEX(商品マスタ!$G$6:$G$1005,MATCH($F342,商品マスタ!$B$6:$B$1005,0)),"")</f>
        <v/>
      </c>
      <c r="N342" s="71" t="str">
        <f aca="false">IF($K342="","",N($K342)*N($M342))</f>
        <v/>
      </c>
      <c r="O342" s="66" t="str">
        <f aca="false">IFERROR(INDEX(商品マスタ!$H$6:$H$1005,MATCH($F342,商品マスタ!$B$6:$B$1005,0)),"")</f>
        <v/>
      </c>
      <c r="P342" s="87" t="str">
        <f aca="false">IF(OR($E342="",$O342=""),"",WORKDAY($E342,$O342))</f>
        <v/>
      </c>
      <c r="Q342" s="80"/>
      <c r="R342" s="131"/>
      <c r="S342" s="69" t="n">
        <f aca="false">IF($Q342="入荷済み",N($L342),0)</f>
        <v>0</v>
      </c>
      <c r="T342" s="80"/>
      <c r="U342" s="80"/>
    </row>
    <row r="343" customFormat="false" ht="15" hidden="false" customHeight="false" outlineLevel="0" collapsed="false">
      <c r="B343" s="66" t="str">
        <f aca="false">IF(OR($E343="",$F343=""),"","PO-"&amp;TEXT($E343,"yyyymmdd")&amp;"-"&amp;TEXT(COUNTIFS($E$6:$E343,$E343,$C$6:$C343,$C343),"000"))</f>
        <v/>
      </c>
      <c r="C343" s="130"/>
      <c r="D343" s="66" t="str">
        <f aca="false">IFERROR(INDEX(定数マスタ!$C$6:$C$105,MATCH($C343,定数マスタ!$B$6:$B$105,0)),"")</f>
        <v/>
      </c>
      <c r="E343" s="131"/>
      <c r="F343" s="130"/>
      <c r="G343" s="66" t="str">
        <f aca="false">IFERROR(INDEX(商品マスタ!$C$6:$C$1005,MATCH($F343,商品マスタ!$B$6:$B$1005,0)),"")</f>
        <v/>
      </c>
      <c r="H343" s="66" t="str">
        <f aca="false">IFERROR(INDEX(商品マスタ!$E$6:$E$1005,MATCH($F343,商品マスタ!$B$6:$B$1005,0)),"")</f>
        <v/>
      </c>
      <c r="I343" s="69" t="str">
        <f aca="false">IFERROR(INDEX(商品マスタ!$F$6:$F$1005,MATCH($F343,商品マスタ!$B$6:$B$1005,0)),"")</f>
        <v/>
      </c>
      <c r="J343" s="69" t="str">
        <f aca="false">IF(OR($F343="",$C343&lt;&gt;'設定（最初に1回）'!$C$4),"",IFERROR(INDEX(発注計算!$Y$6:$Y$405,MATCH($F343,発注計算!$C$6:$C$405,0)),""))</f>
        <v/>
      </c>
      <c r="K343" s="70"/>
      <c r="L343" s="69" t="str">
        <f aca="false">IF($K343="","",N($K343)*N($I343))</f>
        <v/>
      </c>
      <c r="M343" s="71" t="str">
        <f aca="false">IFERROR(INDEX(商品マスタ!$G$6:$G$1005,MATCH($F343,商品マスタ!$B$6:$B$1005,0)),"")</f>
        <v/>
      </c>
      <c r="N343" s="71" t="str">
        <f aca="false">IF($K343="","",N($K343)*N($M343))</f>
        <v/>
      </c>
      <c r="O343" s="66" t="str">
        <f aca="false">IFERROR(INDEX(商品マスタ!$H$6:$H$1005,MATCH($F343,商品マスタ!$B$6:$B$1005,0)),"")</f>
        <v/>
      </c>
      <c r="P343" s="87" t="str">
        <f aca="false">IF(OR($E343="",$O343=""),"",WORKDAY($E343,$O343))</f>
        <v/>
      </c>
      <c r="Q343" s="80"/>
      <c r="R343" s="131"/>
      <c r="S343" s="69" t="n">
        <f aca="false">IF($Q343="入荷済み",N($L343),0)</f>
        <v>0</v>
      </c>
      <c r="T343" s="80"/>
      <c r="U343" s="80"/>
    </row>
    <row r="344" customFormat="false" ht="15" hidden="false" customHeight="false" outlineLevel="0" collapsed="false">
      <c r="B344" s="66" t="str">
        <f aca="false">IF(OR($E344="",$F344=""),"","PO-"&amp;TEXT($E344,"yyyymmdd")&amp;"-"&amp;TEXT(COUNTIFS($E$6:$E344,$E344,$C$6:$C344,$C344),"000"))</f>
        <v/>
      </c>
      <c r="C344" s="130"/>
      <c r="D344" s="66" t="str">
        <f aca="false">IFERROR(INDEX(定数マスタ!$C$6:$C$105,MATCH($C344,定数マスタ!$B$6:$B$105,0)),"")</f>
        <v/>
      </c>
      <c r="E344" s="131"/>
      <c r="F344" s="130"/>
      <c r="G344" s="66" t="str">
        <f aca="false">IFERROR(INDEX(商品マスタ!$C$6:$C$1005,MATCH($F344,商品マスタ!$B$6:$B$1005,0)),"")</f>
        <v/>
      </c>
      <c r="H344" s="66" t="str">
        <f aca="false">IFERROR(INDEX(商品マスタ!$E$6:$E$1005,MATCH($F344,商品マスタ!$B$6:$B$1005,0)),"")</f>
        <v/>
      </c>
      <c r="I344" s="69" t="str">
        <f aca="false">IFERROR(INDEX(商品マスタ!$F$6:$F$1005,MATCH($F344,商品マスタ!$B$6:$B$1005,0)),"")</f>
        <v/>
      </c>
      <c r="J344" s="69" t="str">
        <f aca="false">IF(OR($F344="",$C344&lt;&gt;'設定（最初に1回）'!$C$4),"",IFERROR(INDEX(発注計算!$Y$6:$Y$405,MATCH($F344,発注計算!$C$6:$C$405,0)),""))</f>
        <v/>
      </c>
      <c r="K344" s="70"/>
      <c r="L344" s="69" t="str">
        <f aca="false">IF($K344="","",N($K344)*N($I344))</f>
        <v/>
      </c>
      <c r="M344" s="71" t="str">
        <f aca="false">IFERROR(INDEX(商品マスタ!$G$6:$G$1005,MATCH($F344,商品マスタ!$B$6:$B$1005,0)),"")</f>
        <v/>
      </c>
      <c r="N344" s="71" t="str">
        <f aca="false">IF($K344="","",N($K344)*N($M344))</f>
        <v/>
      </c>
      <c r="O344" s="66" t="str">
        <f aca="false">IFERROR(INDEX(商品マスタ!$H$6:$H$1005,MATCH($F344,商品マスタ!$B$6:$B$1005,0)),"")</f>
        <v/>
      </c>
      <c r="P344" s="87" t="str">
        <f aca="false">IF(OR($E344="",$O344=""),"",WORKDAY($E344,$O344))</f>
        <v/>
      </c>
      <c r="Q344" s="80"/>
      <c r="R344" s="131"/>
      <c r="S344" s="69" t="n">
        <f aca="false">IF($Q344="入荷済み",N($L344),0)</f>
        <v>0</v>
      </c>
      <c r="T344" s="80"/>
      <c r="U344" s="80"/>
    </row>
    <row r="345" customFormat="false" ht="15" hidden="false" customHeight="false" outlineLevel="0" collapsed="false">
      <c r="B345" s="66" t="str">
        <f aca="false">IF(OR($E345="",$F345=""),"","PO-"&amp;TEXT($E345,"yyyymmdd")&amp;"-"&amp;TEXT(COUNTIFS($E$6:$E345,$E345,$C$6:$C345,$C345),"000"))</f>
        <v/>
      </c>
      <c r="C345" s="130"/>
      <c r="D345" s="66" t="str">
        <f aca="false">IFERROR(INDEX(定数マスタ!$C$6:$C$105,MATCH($C345,定数マスタ!$B$6:$B$105,0)),"")</f>
        <v/>
      </c>
      <c r="E345" s="131"/>
      <c r="F345" s="130"/>
      <c r="G345" s="66" t="str">
        <f aca="false">IFERROR(INDEX(商品マスタ!$C$6:$C$1005,MATCH($F345,商品マスタ!$B$6:$B$1005,0)),"")</f>
        <v/>
      </c>
      <c r="H345" s="66" t="str">
        <f aca="false">IFERROR(INDEX(商品マスタ!$E$6:$E$1005,MATCH($F345,商品マスタ!$B$6:$B$1005,0)),"")</f>
        <v/>
      </c>
      <c r="I345" s="69" t="str">
        <f aca="false">IFERROR(INDEX(商品マスタ!$F$6:$F$1005,MATCH($F345,商品マスタ!$B$6:$B$1005,0)),"")</f>
        <v/>
      </c>
      <c r="J345" s="69" t="str">
        <f aca="false">IF(OR($F345="",$C345&lt;&gt;'設定（最初に1回）'!$C$4),"",IFERROR(INDEX(発注計算!$Y$6:$Y$405,MATCH($F345,発注計算!$C$6:$C$405,0)),""))</f>
        <v/>
      </c>
      <c r="K345" s="70"/>
      <c r="L345" s="69" t="str">
        <f aca="false">IF($K345="","",N($K345)*N($I345))</f>
        <v/>
      </c>
      <c r="M345" s="71" t="str">
        <f aca="false">IFERROR(INDEX(商品マスタ!$G$6:$G$1005,MATCH($F345,商品マスタ!$B$6:$B$1005,0)),"")</f>
        <v/>
      </c>
      <c r="N345" s="71" t="str">
        <f aca="false">IF($K345="","",N($K345)*N($M345))</f>
        <v/>
      </c>
      <c r="O345" s="66" t="str">
        <f aca="false">IFERROR(INDEX(商品マスタ!$H$6:$H$1005,MATCH($F345,商品マスタ!$B$6:$B$1005,0)),"")</f>
        <v/>
      </c>
      <c r="P345" s="87" t="str">
        <f aca="false">IF(OR($E345="",$O345=""),"",WORKDAY($E345,$O345))</f>
        <v/>
      </c>
      <c r="Q345" s="80"/>
      <c r="R345" s="131"/>
      <c r="S345" s="69" t="n">
        <f aca="false">IF($Q345="入荷済み",N($L345),0)</f>
        <v>0</v>
      </c>
      <c r="T345" s="80"/>
      <c r="U345" s="80"/>
    </row>
    <row r="346" customFormat="false" ht="15" hidden="false" customHeight="false" outlineLevel="0" collapsed="false">
      <c r="B346" s="66" t="str">
        <f aca="false">IF(OR($E346="",$F346=""),"","PO-"&amp;TEXT($E346,"yyyymmdd")&amp;"-"&amp;TEXT(COUNTIFS($E$6:$E346,$E346,$C$6:$C346,$C346),"000"))</f>
        <v/>
      </c>
      <c r="C346" s="130"/>
      <c r="D346" s="66" t="str">
        <f aca="false">IFERROR(INDEX(定数マスタ!$C$6:$C$105,MATCH($C346,定数マスタ!$B$6:$B$105,0)),"")</f>
        <v/>
      </c>
      <c r="E346" s="131"/>
      <c r="F346" s="130"/>
      <c r="G346" s="66" t="str">
        <f aca="false">IFERROR(INDEX(商品マスタ!$C$6:$C$1005,MATCH($F346,商品マスタ!$B$6:$B$1005,0)),"")</f>
        <v/>
      </c>
      <c r="H346" s="66" t="str">
        <f aca="false">IFERROR(INDEX(商品マスタ!$E$6:$E$1005,MATCH($F346,商品マスタ!$B$6:$B$1005,0)),"")</f>
        <v/>
      </c>
      <c r="I346" s="69" t="str">
        <f aca="false">IFERROR(INDEX(商品マスタ!$F$6:$F$1005,MATCH($F346,商品マスタ!$B$6:$B$1005,0)),"")</f>
        <v/>
      </c>
      <c r="J346" s="69" t="str">
        <f aca="false">IF(OR($F346="",$C346&lt;&gt;'設定（最初に1回）'!$C$4),"",IFERROR(INDEX(発注計算!$Y$6:$Y$405,MATCH($F346,発注計算!$C$6:$C$405,0)),""))</f>
        <v/>
      </c>
      <c r="K346" s="70"/>
      <c r="L346" s="69" t="str">
        <f aca="false">IF($K346="","",N($K346)*N($I346))</f>
        <v/>
      </c>
      <c r="M346" s="71" t="str">
        <f aca="false">IFERROR(INDEX(商品マスタ!$G$6:$G$1005,MATCH($F346,商品マスタ!$B$6:$B$1005,0)),"")</f>
        <v/>
      </c>
      <c r="N346" s="71" t="str">
        <f aca="false">IF($K346="","",N($K346)*N($M346))</f>
        <v/>
      </c>
      <c r="O346" s="66" t="str">
        <f aca="false">IFERROR(INDEX(商品マスタ!$H$6:$H$1005,MATCH($F346,商品マスタ!$B$6:$B$1005,0)),"")</f>
        <v/>
      </c>
      <c r="P346" s="87" t="str">
        <f aca="false">IF(OR($E346="",$O346=""),"",WORKDAY($E346,$O346))</f>
        <v/>
      </c>
      <c r="Q346" s="80"/>
      <c r="R346" s="131"/>
      <c r="S346" s="69" t="n">
        <f aca="false">IF($Q346="入荷済み",N($L346),0)</f>
        <v>0</v>
      </c>
      <c r="T346" s="80"/>
      <c r="U346" s="80"/>
    </row>
    <row r="347" customFormat="false" ht="15" hidden="false" customHeight="false" outlineLevel="0" collapsed="false">
      <c r="B347" s="66" t="str">
        <f aca="false">IF(OR($E347="",$F347=""),"","PO-"&amp;TEXT($E347,"yyyymmdd")&amp;"-"&amp;TEXT(COUNTIFS($E$6:$E347,$E347,$C$6:$C347,$C347),"000"))</f>
        <v/>
      </c>
      <c r="C347" s="130"/>
      <c r="D347" s="66" t="str">
        <f aca="false">IFERROR(INDEX(定数マスタ!$C$6:$C$105,MATCH($C347,定数マスタ!$B$6:$B$105,0)),"")</f>
        <v/>
      </c>
      <c r="E347" s="131"/>
      <c r="F347" s="130"/>
      <c r="G347" s="66" t="str">
        <f aca="false">IFERROR(INDEX(商品マスタ!$C$6:$C$1005,MATCH($F347,商品マスタ!$B$6:$B$1005,0)),"")</f>
        <v/>
      </c>
      <c r="H347" s="66" t="str">
        <f aca="false">IFERROR(INDEX(商品マスタ!$E$6:$E$1005,MATCH($F347,商品マスタ!$B$6:$B$1005,0)),"")</f>
        <v/>
      </c>
      <c r="I347" s="69" t="str">
        <f aca="false">IFERROR(INDEX(商品マスタ!$F$6:$F$1005,MATCH($F347,商品マスタ!$B$6:$B$1005,0)),"")</f>
        <v/>
      </c>
      <c r="J347" s="69" t="str">
        <f aca="false">IF(OR($F347="",$C347&lt;&gt;'設定（最初に1回）'!$C$4),"",IFERROR(INDEX(発注計算!$Y$6:$Y$405,MATCH($F347,発注計算!$C$6:$C$405,0)),""))</f>
        <v/>
      </c>
      <c r="K347" s="70"/>
      <c r="L347" s="69" t="str">
        <f aca="false">IF($K347="","",N($K347)*N($I347))</f>
        <v/>
      </c>
      <c r="M347" s="71" t="str">
        <f aca="false">IFERROR(INDEX(商品マスタ!$G$6:$G$1005,MATCH($F347,商品マスタ!$B$6:$B$1005,0)),"")</f>
        <v/>
      </c>
      <c r="N347" s="71" t="str">
        <f aca="false">IF($K347="","",N($K347)*N($M347))</f>
        <v/>
      </c>
      <c r="O347" s="66" t="str">
        <f aca="false">IFERROR(INDEX(商品マスタ!$H$6:$H$1005,MATCH($F347,商品マスタ!$B$6:$B$1005,0)),"")</f>
        <v/>
      </c>
      <c r="P347" s="87" t="str">
        <f aca="false">IF(OR($E347="",$O347=""),"",WORKDAY($E347,$O347))</f>
        <v/>
      </c>
      <c r="Q347" s="80"/>
      <c r="R347" s="131"/>
      <c r="S347" s="69" t="n">
        <f aca="false">IF($Q347="入荷済み",N($L347),0)</f>
        <v>0</v>
      </c>
      <c r="T347" s="80"/>
      <c r="U347" s="80"/>
    </row>
    <row r="348" customFormat="false" ht="15" hidden="false" customHeight="false" outlineLevel="0" collapsed="false">
      <c r="B348" s="66" t="str">
        <f aca="false">IF(OR($E348="",$F348=""),"","PO-"&amp;TEXT($E348,"yyyymmdd")&amp;"-"&amp;TEXT(COUNTIFS($E$6:$E348,$E348,$C$6:$C348,$C348),"000"))</f>
        <v/>
      </c>
      <c r="C348" s="130"/>
      <c r="D348" s="66" t="str">
        <f aca="false">IFERROR(INDEX(定数マスタ!$C$6:$C$105,MATCH($C348,定数マスタ!$B$6:$B$105,0)),"")</f>
        <v/>
      </c>
      <c r="E348" s="131"/>
      <c r="F348" s="130"/>
      <c r="G348" s="66" t="str">
        <f aca="false">IFERROR(INDEX(商品マスタ!$C$6:$C$1005,MATCH($F348,商品マスタ!$B$6:$B$1005,0)),"")</f>
        <v/>
      </c>
      <c r="H348" s="66" t="str">
        <f aca="false">IFERROR(INDEX(商品マスタ!$E$6:$E$1005,MATCH($F348,商品マスタ!$B$6:$B$1005,0)),"")</f>
        <v/>
      </c>
      <c r="I348" s="69" t="str">
        <f aca="false">IFERROR(INDEX(商品マスタ!$F$6:$F$1005,MATCH($F348,商品マスタ!$B$6:$B$1005,0)),"")</f>
        <v/>
      </c>
      <c r="J348" s="69" t="str">
        <f aca="false">IF(OR($F348="",$C348&lt;&gt;'設定（最初に1回）'!$C$4),"",IFERROR(INDEX(発注計算!$Y$6:$Y$405,MATCH($F348,発注計算!$C$6:$C$405,0)),""))</f>
        <v/>
      </c>
      <c r="K348" s="70"/>
      <c r="L348" s="69" t="str">
        <f aca="false">IF($K348="","",N($K348)*N($I348))</f>
        <v/>
      </c>
      <c r="M348" s="71" t="str">
        <f aca="false">IFERROR(INDEX(商品マスタ!$G$6:$G$1005,MATCH($F348,商品マスタ!$B$6:$B$1005,0)),"")</f>
        <v/>
      </c>
      <c r="N348" s="71" t="str">
        <f aca="false">IF($K348="","",N($K348)*N($M348))</f>
        <v/>
      </c>
      <c r="O348" s="66" t="str">
        <f aca="false">IFERROR(INDEX(商品マスタ!$H$6:$H$1005,MATCH($F348,商品マスタ!$B$6:$B$1005,0)),"")</f>
        <v/>
      </c>
      <c r="P348" s="87" t="str">
        <f aca="false">IF(OR($E348="",$O348=""),"",WORKDAY($E348,$O348))</f>
        <v/>
      </c>
      <c r="Q348" s="80"/>
      <c r="R348" s="131"/>
      <c r="S348" s="69" t="n">
        <f aca="false">IF($Q348="入荷済み",N($L348),0)</f>
        <v>0</v>
      </c>
      <c r="T348" s="80"/>
      <c r="U348" s="80"/>
    </row>
    <row r="349" customFormat="false" ht="15" hidden="false" customHeight="false" outlineLevel="0" collapsed="false">
      <c r="B349" s="66" t="str">
        <f aca="false">IF(OR($E349="",$F349=""),"","PO-"&amp;TEXT($E349,"yyyymmdd")&amp;"-"&amp;TEXT(COUNTIFS($E$6:$E349,$E349,$C$6:$C349,$C349),"000"))</f>
        <v/>
      </c>
      <c r="C349" s="130"/>
      <c r="D349" s="66" t="str">
        <f aca="false">IFERROR(INDEX(定数マスタ!$C$6:$C$105,MATCH($C349,定数マスタ!$B$6:$B$105,0)),"")</f>
        <v/>
      </c>
      <c r="E349" s="131"/>
      <c r="F349" s="130"/>
      <c r="G349" s="66" t="str">
        <f aca="false">IFERROR(INDEX(商品マスタ!$C$6:$C$1005,MATCH($F349,商品マスタ!$B$6:$B$1005,0)),"")</f>
        <v/>
      </c>
      <c r="H349" s="66" t="str">
        <f aca="false">IFERROR(INDEX(商品マスタ!$E$6:$E$1005,MATCH($F349,商品マスタ!$B$6:$B$1005,0)),"")</f>
        <v/>
      </c>
      <c r="I349" s="69" t="str">
        <f aca="false">IFERROR(INDEX(商品マスタ!$F$6:$F$1005,MATCH($F349,商品マスタ!$B$6:$B$1005,0)),"")</f>
        <v/>
      </c>
      <c r="J349" s="69" t="str">
        <f aca="false">IF(OR($F349="",$C349&lt;&gt;'設定（最初に1回）'!$C$4),"",IFERROR(INDEX(発注計算!$Y$6:$Y$405,MATCH($F349,発注計算!$C$6:$C$405,0)),""))</f>
        <v/>
      </c>
      <c r="K349" s="70"/>
      <c r="L349" s="69" t="str">
        <f aca="false">IF($K349="","",N($K349)*N($I349))</f>
        <v/>
      </c>
      <c r="M349" s="71" t="str">
        <f aca="false">IFERROR(INDEX(商品マスタ!$G$6:$G$1005,MATCH($F349,商品マスタ!$B$6:$B$1005,0)),"")</f>
        <v/>
      </c>
      <c r="N349" s="71" t="str">
        <f aca="false">IF($K349="","",N($K349)*N($M349))</f>
        <v/>
      </c>
      <c r="O349" s="66" t="str">
        <f aca="false">IFERROR(INDEX(商品マスタ!$H$6:$H$1005,MATCH($F349,商品マスタ!$B$6:$B$1005,0)),"")</f>
        <v/>
      </c>
      <c r="P349" s="87" t="str">
        <f aca="false">IF(OR($E349="",$O349=""),"",WORKDAY($E349,$O349))</f>
        <v/>
      </c>
      <c r="Q349" s="80"/>
      <c r="R349" s="131"/>
      <c r="S349" s="69" t="n">
        <f aca="false">IF($Q349="入荷済み",N($L349),0)</f>
        <v>0</v>
      </c>
      <c r="T349" s="80"/>
      <c r="U349" s="80"/>
    </row>
    <row r="350" customFormat="false" ht="15" hidden="false" customHeight="false" outlineLevel="0" collapsed="false">
      <c r="B350" s="66" t="str">
        <f aca="false">IF(OR($E350="",$F350=""),"","PO-"&amp;TEXT($E350,"yyyymmdd")&amp;"-"&amp;TEXT(COUNTIFS($E$6:$E350,$E350,$C$6:$C350,$C350),"000"))</f>
        <v/>
      </c>
      <c r="C350" s="130"/>
      <c r="D350" s="66" t="str">
        <f aca="false">IFERROR(INDEX(定数マスタ!$C$6:$C$105,MATCH($C350,定数マスタ!$B$6:$B$105,0)),"")</f>
        <v/>
      </c>
      <c r="E350" s="131"/>
      <c r="F350" s="130"/>
      <c r="G350" s="66" t="str">
        <f aca="false">IFERROR(INDEX(商品マスタ!$C$6:$C$1005,MATCH($F350,商品マスタ!$B$6:$B$1005,0)),"")</f>
        <v/>
      </c>
      <c r="H350" s="66" t="str">
        <f aca="false">IFERROR(INDEX(商品マスタ!$E$6:$E$1005,MATCH($F350,商品マスタ!$B$6:$B$1005,0)),"")</f>
        <v/>
      </c>
      <c r="I350" s="69" t="str">
        <f aca="false">IFERROR(INDEX(商品マスタ!$F$6:$F$1005,MATCH($F350,商品マスタ!$B$6:$B$1005,0)),"")</f>
        <v/>
      </c>
      <c r="J350" s="69" t="str">
        <f aca="false">IF(OR($F350="",$C350&lt;&gt;'設定（最初に1回）'!$C$4),"",IFERROR(INDEX(発注計算!$Y$6:$Y$405,MATCH($F350,発注計算!$C$6:$C$405,0)),""))</f>
        <v/>
      </c>
      <c r="K350" s="70"/>
      <c r="L350" s="69" t="str">
        <f aca="false">IF($K350="","",N($K350)*N($I350))</f>
        <v/>
      </c>
      <c r="M350" s="71" t="str">
        <f aca="false">IFERROR(INDEX(商品マスタ!$G$6:$G$1005,MATCH($F350,商品マスタ!$B$6:$B$1005,0)),"")</f>
        <v/>
      </c>
      <c r="N350" s="71" t="str">
        <f aca="false">IF($K350="","",N($K350)*N($M350))</f>
        <v/>
      </c>
      <c r="O350" s="66" t="str">
        <f aca="false">IFERROR(INDEX(商品マスタ!$H$6:$H$1005,MATCH($F350,商品マスタ!$B$6:$B$1005,0)),"")</f>
        <v/>
      </c>
      <c r="P350" s="87" t="str">
        <f aca="false">IF(OR($E350="",$O350=""),"",WORKDAY($E350,$O350))</f>
        <v/>
      </c>
      <c r="Q350" s="80"/>
      <c r="R350" s="131"/>
      <c r="S350" s="69" t="n">
        <f aca="false">IF($Q350="入荷済み",N($L350),0)</f>
        <v>0</v>
      </c>
      <c r="T350" s="80"/>
      <c r="U350" s="80"/>
    </row>
    <row r="351" customFormat="false" ht="15" hidden="false" customHeight="false" outlineLevel="0" collapsed="false">
      <c r="B351" s="66" t="str">
        <f aca="false">IF(OR($E351="",$F351=""),"","PO-"&amp;TEXT($E351,"yyyymmdd")&amp;"-"&amp;TEXT(COUNTIFS($E$6:$E351,$E351,$C$6:$C351,$C351),"000"))</f>
        <v/>
      </c>
      <c r="C351" s="130"/>
      <c r="D351" s="66" t="str">
        <f aca="false">IFERROR(INDEX(定数マスタ!$C$6:$C$105,MATCH($C351,定数マスタ!$B$6:$B$105,0)),"")</f>
        <v/>
      </c>
      <c r="E351" s="131"/>
      <c r="F351" s="130"/>
      <c r="G351" s="66" t="str">
        <f aca="false">IFERROR(INDEX(商品マスタ!$C$6:$C$1005,MATCH($F351,商品マスタ!$B$6:$B$1005,0)),"")</f>
        <v/>
      </c>
      <c r="H351" s="66" t="str">
        <f aca="false">IFERROR(INDEX(商品マスタ!$E$6:$E$1005,MATCH($F351,商品マスタ!$B$6:$B$1005,0)),"")</f>
        <v/>
      </c>
      <c r="I351" s="69" t="str">
        <f aca="false">IFERROR(INDEX(商品マスタ!$F$6:$F$1005,MATCH($F351,商品マスタ!$B$6:$B$1005,0)),"")</f>
        <v/>
      </c>
      <c r="J351" s="69" t="str">
        <f aca="false">IF(OR($F351="",$C351&lt;&gt;'設定（最初に1回）'!$C$4),"",IFERROR(INDEX(発注計算!$Y$6:$Y$405,MATCH($F351,発注計算!$C$6:$C$405,0)),""))</f>
        <v/>
      </c>
      <c r="K351" s="70"/>
      <c r="L351" s="69" t="str">
        <f aca="false">IF($K351="","",N($K351)*N($I351))</f>
        <v/>
      </c>
      <c r="M351" s="71" t="str">
        <f aca="false">IFERROR(INDEX(商品マスタ!$G$6:$G$1005,MATCH($F351,商品マスタ!$B$6:$B$1005,0)),"")</f>
        <v/>
      </c>
      <c r="N351" s="71" t="str">
        <f aca="false">IF($K351="","",N($K351)*N($M351))</f>
        <v/>
      </c>
      <c r="O351" s="66" t="str">
        <f aca="false">IFERROR(INDEX(商品マスタ!$H$6:$H$1005,MATCH($F351,商品マスタ!$B$6:$B$1005,0)),"")</f>
        <v/>
      </c>
      <c r="P351" s="87" t="str">
        <f aca="false">IF(OR($E351="",$O351=""),"",WORKDAY($E351,$O351))</f>
        <v/>
      </c>
      <c r="Q351" s="80"/>
      <c r="R351" s="131"/>
      <c r="S351" s="69" t="n">
        <f aca="false">IF($Q351="入荷済み",N($L351),0)</f>
        <v>0</v>
      </c>
      <c r="T351" s="80"/>
      <c r="U351" s="80"/>
    </row>
    <row r="352" customFormat="false" ht="15" hidden="false" customHeight="false" outlineLevel="0" collapsed="false">
      <c r="B352" s="66" t="str">
        <f aca="false">IF(OR($E352="",$F352=""),"","PO-"&amp;TEXT($E352,"yyyymmdd")&amp;"-"&amp;TEXT(COUNTIFS($E$6:$E352,$E352,$C$6:$C352,$C352),"000"))</f>
        <v/>
      </c>
      <c r="C352" s="130"/>
      <c r="D352" s="66" t="str">
        <f aca="false">IFERROR(INDEX(定数マスタ!$C$6:$C$105,MATCH($C352,定数マスタ!$B$6:$B$105,0)),"")</f>
        <v/>
      </c>
      <c r="E352" s="131"/>
      <c r="F352" s="130"/>
      <c r="G352" s="66" t="str">
        <f aca="false">IFERROR(INDEX(商品マスタ!$C$6:$C$1005,MATCH($F352,商品マスタ!$B$6:$B$1005,0)),"")</f>
        <v/>
      </c>
      <c r="H352" s="66" t="str">
        <f aca="false">IFERROR(INDEX(商品マスタ!$E$6:$E$1005,MATCH($F352,商品マスタ!$B$6:$B$1005,0)),"")</f>
        <v/>
      </c>
      <c r="I352" s="69" t="str">
        <f aca="false">IFERROR(INDEX(商品マスタ!$F$6:$F$1005,MATCH($F352,商品マスタ!$B$6:$B$1005,0)),"")</f>
        <v/>
      </c>
      <c r="J352" s="69" t="str">
        <f aca="false">IF(OR($F352="",$C352&lt;&gt;'設定（最初に1回）'!$C$4),"",IFERROR(INDEX(発注計算!$Y$6:$Y$405,MATCH($F352,発注計算!$C$6:$C$405,0)),""))</f>
        <v/>
      </c>
      <c r="K352" s="70"/>
      <c r="L352" s="69" t="str">
        <f aca="false">IF($K352="","",N($K352)*N($I352))</f>
        <v/>
      </c>
      <c r="M352" s="71" t="str">
        <f aca="false">IFERROR(INDEX(商品マスタ!$G$6:$G$1005,MATCH($F352,商品マスタ!$B$6:$B$1005,0)),"")</f>
        <v/>
      </c>
      <c r="N352" s="71" t="str">
        <f aca="false">IF($K352="","",N($K352)*N($M352))</f>
        <v/>
      </c>
      <c r="O352" s="66" t="str">
        <f aca="false">IFERROR(INDEX(商品マスタ!$H$6:$H$1005,MATCH($F352,商品マスタ!$B$6:$B$1005,0)),"")</f>
        <v/>
      </c>
      <c r="P352" s="87" t="str">
        <f aca="false">IF(OR($E352="",$O352=""),"",WORKDAY($E352,$O352))</f>
        <v/>
      </c>
      <c r="Q352" s="80"/>
      <c r="R352" s="131"/>
      <c r="S352" s="69" t="n">
        <f aca="false">IF($Q352="入荷済み",N($L352),0)</f>
        <v>0</v>
      </c>
      <c r="T352" s="80"/>
      <c r="U352" s="80"/>
    </row>
    <row r="353" customFormat="false" ht="15" hidden="false" customHeight="false" outlineLevel="0" collapsed="false">
      <c r="B353" s="66" t="str">
        <f aca="false">IF(OR($E353="",$F353=""),"","PO-"&amp;TEXT($E353,"yyyymmdd")&amp;"-"&amp;TEXT(COUNTIFS($E$6:$E353,$E353,$C$6:$C353,$C353),"000"))</f>
        <v/>
      </c>
      <c r="C353" s="130"/>
      <c r="D353" s="66" t="str">
        <f aca="false">IFERROR(INDEX(定数マスタ!$C$6:$C$105,MATCH($C353,定数マスタ!$B$6:$B$105,0)),"")</f>
        <v/>
      </c>
      <c r="E353" s="131"/>
      <c r="F353" s="130"/>
      <c r="G353" s="66" t="str">
        <f aca="false">IFERROR(INDEX(商品マスタ!$C$6:$C$1005,MATCH($F353,商品マスタ!$B$6:$B$1005,0)),"")</f>
        <v/>
      </c>
      <c r="H353" s="66" t="str">
        <f aca="false">IFERROR(INDEX(商品マスタ!$E$6:$E$1005,MATCH($F353,商品マスタ!$B$6:$B$1005,0)),"")</f>
        <v/>
      </c>
      <c r="I353" s="69" t="str">
        <f aca="false">IFERROR(INDEX(商品マスタ!$F$6:$F$1005,MATCH($F353,商品マスタ!$B$6:$B$1005,0)),"")</f>
        <v/>
      </c>
      <c r="J353" s="69" t="str">
        <f aca="false">IF(OR($F353="",$C353&lt;&gt;'設定（最初に1回）'!$C$4),"",IFERROR(INDEX(発注計算!$Y$6:$Y$405,MATCH($F353,発注計算!$C$6:$C$405,0)),""))</f>
        <v/>
      </c>
      <c r="K353" s="70"/>
      <c r="L353" s="69" t="str">
        <f aca="false">IF($K353="","",N($K353)*N($I353))</f>
        <v/>
      </c>
      <c r="M353" s="71" t="str">
        <f aca="false">IFERROR(INDEX(商品マスタ!$G$6:$G$1005,MATCH($F353,商品マスタ!$B$6:$B$1005,0)),"")</f>
        <v/>
      </c>
      <c r="N353" s="71" t="str">
        <f aca="false">IF($K353="","",N($K353)*N($M353))</f>
        <v/>
      </c>
      <c r="O353" s="66" t="str">
        <f aca="false">IFERROR(INDEX(商品マスタ!$H$6:$H$1005,MATCH($F353,商品マスタ!$B$6:$B$1005,0)),"")</f>
        <v/>
      </c>
      <c r="P353" s="87" t="str">
        <f aca="false">IF(OR($E353="",$O353=""),"",WORKDAY($E353,$O353))</f>
        <v/>
      </c>
      <c r="Q353" s="80"/>
      <c r="R353" s="131"/>
      <c r="S353" s="69" t="n">
        <f aca="false">IF($Q353="入荷済み",N($L353),0)</f>
        <v>0</v>
      </c>
      <c r="T353" s="80"/>
      <c r="U353" s="80"/>
    </row>
    <row r="354" customFormat="false" ht="15" hidden="false" customHeight="false" outlineLevel="0" collapsed="false">
      <c r="B354" s="66" t="str">
        <f aca="false">IF(OR($E354="",$F354=""),"","PO-"&amp;TEXT($E354,"yyyymmdd")&amp;"-"&amp;TEXT(COUNTIFS($E$6:$E354,$E354,$C$6:$C354,$C354),"000"))</f>
        <v/>
      </c>
      <c r="C354" s="130"/>
      <c r="D354" s="66" t="str">
        <f aca="false">IFERROR(INDEX(定数マスタ!$C$6:$C$105,MATCH($C354,定数マスタ!$B$6:$B$105,0)),"")</f>
        <v/>
      </c>
      <c r="E354" s="131"/>
      <c r="F354" s="130"/>
      <c r="G354" s="66" t="str">
        <f aca="false">IFERROR(INDEX(商品マスタ!$C$6:$C$1005,MATCH($F354,商品マスタ!$B$6:$B$1005,0)),"")</f>
        <v/>
      </c>
      <c r="H354" s="66" t="str">
        <f aca="false">IFERROR(INDEX(商品マスタ!$E$6:$E$1005,MATCH($F354,商品マスタ!$B$6:$B$1005,0)),"")</f>
        <v/>
      </c>
      <c r="I354" s="69" t="str">
        <f aca="false">IFERROR(INDEX(商品マスタ!$F$6:$F$1005,MATCH($F354,商品マスタ!$B$6:$B$1005,0)),"")</f>
        <v/>
      </c>
      <c r="J354" s="69" t="str">
        <f aca="false">IF(OR($F354="",$C354&lt;&gt;'設定（最初に1回）'!$C$4),"",IFERROR(INDEX(発注計算!$Y$6:$Y$405,MATCH($F354,発注計算!$C$6:$C$405,0)),""))</f>
        <v/>
      </c>
      <c r="K354" s="70"/>
      <c r="L354" s="69" t="str">
        <f aca="false">IF($K354="","",N($K354)*N($I354))</f>
        <v/>
      </c>
      <c r="M354" s="71" t="str">
        <f aca="false">IFERROR(INDEX(商品マスタ!$G$6:$G$1005,MATCH($F354,商品マスタ!$B$6:$B$1005,0)),"")</f>
        <v/>
      </c>
      <c r="N354" s="71" t="str">
        <f aca="false">IF($K354="","",N($K354)*N($M354))</f>
        <v/>
      </c>
      <c r="O354" s="66" t="str">
        <f aca="false">IFERROR(INDEX(商品マスタ!$H$6:$H$1005,MATCH($F354,商品マスタ!$B$6:$B$1005,0)),"")</f>
        <v/>
      </c>
      <c r="P354" s="87" t="str">
        <f aca="false">IF(OR($E354="",$O354=""),"",WORKDAY($E354,$O354))</f>
        <v/>
      </c>
      <c r="Q354" s="80"/>
      <c r="R354" s="131"/>
      <c r="S354" s="69" t="n">
        <f aca="false">IF($Q354="入荷済み",N($L354),0)</f>
        <v>0</v>
      </c>
      <c r="T354" s="80"/>
      <c r="U354" s="80"/>
    </row>
    <row r="355" customFormat="false" ht="15" hidden="false" customHeight="false" outlineLevel="0" collapsed="false">
      <c r="B355" s="66" t="str">
        <f aca="false">IF(OR($E355="",$F355=""),"","PO-"&amp;TEXT($E355,"yyyymmdd")&amp;"-"&amp;TEXT(COUNTIFS($E$6:$E355,$E355,$C$6:$C355,$C355),"000"))</f>
        <v/>
      </c>
      <c r="C355" s="130"/>
      <c r="D355" s="66" t="str">
        <f aca="false">IFERROR(INDEX(定数マスタ!$C$6:$C$105,MATCH($C355,定数マスタ!$B$6:$B$105,0)),"")</f>
        <v/>
      </c>
      <c r="E355" s="131"/>
      <c r="F355" s="130"/>
      <c r="G355" s="66" t="str">
        <f aca="false">IFERROR(INDEX(商品マスタ!$C$6:$C$1005,MATCH($F355,商品マスタ!$B$6:$B$1005,0)),"")</f>
        <v/>
      </c>
      <c r="H355" s="66" t="str">
        <f aca="false">IFERROR(INDEX(商品マスタ!$E$6:$E$1005,MATCH($F355,商品マスタ!$B$6:$B$1005,0)),"")</f>
        <v/>
      </c>
      <c r="I355" s="69" t="str">
        <f aca="false">IFERROR(INDEX(商品マスタ!$F$6:$F$1005,MATCH($F355,商品マスタ!$B$6:$B$1005,0)),"")</f>
        <v/>
      </c>
      <c r="J355" s="69" t="str">
        <f aca="false">IF(OR($F355="",$C355&lt;&gt;'設定（最初に1回）'!$C$4),"",IFERROR(INDEX(発注計算!$Y$6:$Y$405,MATCH($F355,発注計算!$C$6:$C$405,0)),""))</f>
        <v/>
      </c>
      <c r="K355" s="70"/>
      <c r="L355" s="69" t="str">
        <f aca="false">IF($K355="","",N($K355)*N($I355))</f>
        <v/>
      </c>
      <c r="M355" s="71" t="str">
        <f aca="false">IFERROR(INDEX(商品マスタ!$G$6:$G$1005,MATCH($F355,商品マスタ!$B$6:$B$1005,0)),"")</f>
        <v/>
      </c>
      <c r="N355" s="71" t="str">
        <f aca="false">IF($K355="","",N($K355)*N($M355))</f>
        <v/>
      </c>
      <c r="O355" s="66" t="str">
        <f aca="false">IFERROR(INDEX(商品マスタ!$H$6:$H$1005,MATCH($F355,商品マスタ!$B$6:$B$1005,0)),"")</f>
        <v/>
      </c>
      <c r="P355" s="87" t="str">
        <f aca="false">IF(OR($E355="",$O355=""),"",WORKDAY($E355,$O355))</f>
        <v/>
      </c>
      <c r="Q355" s="80"/>
      <c r="R355" s="131"/>
      <c r="S355" s="69" t="n">
        <f aca="false">IF($Q355="入荷済み",N($L355),0)</f>
        <v>0</v>
      </c>
      <c r="T355" s="80"/>
      <c r="U355" s="80"/>
    </row>
    <row r="356" customFormat="false" ht="15" hidden="false" customHeight="false" outlineLevel="0" collapsed="false">
      <c r="B356" s="66" t="str">
        <f aca="false">IF(OR($E356="",$F356=""),"","PO-"&amp;TEXT($E356,"yyyymmdd")&amp;"-"&amp;TEXT(COUNTIFS($E$6:$E356,$E356,$C$6:$C356,$C356),"000"))</f>
        <v/>
      </c>
      <c r="C356" s="130"/>
      <c r="D356" s="66" t="str">
        <f aca="false">IFERROR(INDEX(定数マスタ!$C$6:$C$105,MATCH($C356,定数マスタ!$B$6:$B$105,0)),"")</f>
        <v/>
      </c>
      <c r="E356" s="131"/>
      <c r="F356" s="130"/>
      <c r="G356" s="66" t="str">
        <f aca="false">IFERROR(INDEX(商品マスタ!$C$6:$C$1005,MATCH($F356,商品マスタ!$B$6:$B$1005,0)),"")</f>
        <v/>
      </c>
      <c r="H356" s="66" t="str">
        <f aca="false">IFERROR(INDEX(商品マスタ!$E$6:$E$1005,MATCH($F356,商品マスタ!$B$6:$B$1005,0)),"")</f>
        <v/>
      </c>
      <c r="I356" s="69" t="str">
        <f aca="false">IFERROR(INDEX(商品マスタ!$F$6:$F$1005,MATCH($F356,商品マスタ!$B$6:$B$1005,0)),"")</f>
        <v/>
      </c>
      <c r="J356" s="69" t="str">
        <f aca="false">IF(OR($F356="",$C356&lt;&gt;'設定（最初に1回）'!$C$4),"",IFERROR(INDEX(発注計算!$Y$6:$Y$405,MATCH($F356,発注計算!$C$6:$C$405,0)),""))</f>
        <v/>
      </c>
      <c r="K356" s="70"/>
      <c r="L356" s="69" t="str">
        <f aca="false">IF($K356="","",N($K356)*N($I356))</f>
        <v/>
      </c>
      <c r="M356" s="71" t="str">
        <f aca="false">IFERROR(INDEX(商品マスタ!$G$6:$G$1005,MATCH($F356,商品マスタ!$B$6:$B$1005,0)),"")</f>
        <v/>
      </c>
      <c r="N356" s="71" t="str">
        <f aca="false">IF($K356="","",N($K356)*N($M356))</f>
        <v/>
      </c>
      <c r="O356" s="66" t="str">
        <f aca="false">IFERROR(INDEX(商品マスタ!$H$6:$H$1005,MATCH($F356,商品マスタ!$B$6:$B$1005,0)),"")</f>
        <v/>
      </c>
      <c r="P356" s="87" t="str">
        <f aca="false">IF(OR($E356="",$O356=""),"",WORKDAY($E356,$O356))</f>
        <v/>
      </c>
      <c r="Q356" s="80"/>
      <c r="R356" s="131"/>
      <c r="S356" s="69" t="n">
        <f aca="false">IF($Q356="入荷済み",N($L356),0)</f>
        <v>0</v>
      </c>
      <c r="T356" s="80"/>
      <c r="U356" s="80"/>
    </row>
    <row r="357" customFormat="false" ht="15" hidden="false" customHeight="false" outlineLevel="0" collapsed="false">
      <c r="B357" s="66" t="str">
        <f aca="false">IF(OR($E357="",$F357=""),"","PO-"&amp;TEXT($E357,"yyyymmdd")&amp;"-"&amp;TEXT(COUNTIFS($E$6:$E357,$E357,$C$6:$C357,$C357),"000"))</f>
        <v/>
      </c>
      <c r="C357" s="130"/>
      <c r="D357" s="66" t="str">
        <f aca="false">IFERROR(INDEX(定数マスタ!$C$6:$C$105,MATCH($C357,定数マスタ!$B$6:$B$105,0)),"")</f>
        <v/>
      </c>
      <c r="E357" s="131"/>
      <c r="F357" s="130"/>
      <c r="G357" s="66" t="str">
        <f aca="false">IFERROR(INDEX(商品マスタ!$C$6:$C$1005,MATCH($F357,商品マスタ!$B$6:$B$1005,0)),"")</f>
        <v/>
      </c>
      <c r="H357" s="66" t="str">
        <f aca="false">IFERROR(INDEX(商品マスタ!$E$6:$E$1005,MATCH($F357,商品マスタ!$B$6:$B$1005,0)),"")</f>
        <v/>
      </c>
      <c r="I357" s="69" t="str">
        <f aca="false">IFERROR(INDEX(商品マスタ!$F$6:$F$1005,MATCH($F357,商品マスタ!$B$6:$B$1005,0)),"")</f>
        <v/>
      </c>
      <c r="J357" s="69" t="str">
        <f aca="false">IF(OR($F357="",$C357&lt;&gt;'設定（最初に1回）'!$C$4),"",IFERROR(INDEX(発注計算!$Y$6:$Y$405,MATCH($F357,発注計算!$C$6:$C$405,0)),""))</f>
        <v/>
      </c>
      <c r="K357" s="70"/>
      <c r="L357" s="69" t="str">
        <f aca="false">IF($K357="","",N($K357)*N($I357))</f>
        <v/>
      </c>
      <c r="M357" s="71" t="str">
        <f aca="false">IFERROR(INDEX(商品マスタ!$G$6:$G$1005,MATCH($F357,商品マスタ!$B$6:$B$1005,0)),"")</f>
        <v/>
      </c>
      <c r="N357" s="71" t="str">
        <f aca="false">IF($K357="","",N($K357)*N($M357))</f>
        <v/>
      </c>
      <c r="O357" s="66" t="str">
        <f aca="false">IFERROR(INDEX(商品マスタ!$H$6:$H$1005,MATCH($F357,商品マスタ!$B$6:$B$1005,0)),"")</f>
        <v/>
      </c>
      <c r="P357" s="87" t="str">
        <f aca="false">IF(OR($E357="",$O357=""),"",WORKDAY($E357,$O357))</f>
        <v/>
      </c>
      <c r="Q357" s="80"/>
      <c r="R357" s="131"/>
      <c r="S357" s="69" t="n">
        <f aca="false">IF($Q357="入荷済み",N($L357),0)</f>
        <v>0</v>
      </c>
      <c r="T357" s="80"/>
      <c r="U357" s="80"/>
    </row>
    <row r="358" customFormat="false" ht="15" hidden="false" customHeight="false" outlineLevel="0" collapsed="false">
      <c r="B358" s="66" t="str">
        <f aca="false">IF(OR($E358="",$F358=""),"","PO-"&amp;TEXT($E358,"yyyymmdd")&amp;"-"&amp;TEXT(COUNTIFS($E$6:$E358,$E358,$C$6:$C358,$C358),"000"))</f>
        <v/>
      </c>
      <c r="C358" s="130"/>
      <c r="D358" s="66" t="str">
        <f aca="false">IFERROR(INDEX(定数マスタ!$C$6:$C$105,MATCH($C358,定数マスタ!$B$6:$B$105,0)),"")</f>
        <v/>
      </c>
      <c r="E358" s="131"/>
      <c r="F358" s="130"/>
      <c r="G358" s="66" t="str">
        <f aca="false">IFERROR(INDEX(商品マスタ!$C$6:$C$1005,MATCH($F358,商品マスタ!$B$6:$B$1005,0)),"")</f>
        <v/>
      </c>
      <c r="H358" s="66" t="str">
        <f aca="false">IFERROR(INDEX(商品マスタ!$E$6:$E$1005,MATCH($F358,商品マスタ!$B$6:$B$1005,0)),"")</f>
        <v/>
      </c>
      <c r="I358" s="69" t="str">
        <f aca="false">IFERROR(INDEX(商品マスタ!$F$6:$F$1005,MATCH($F358,商品マスタ!$B$6:$B$1005,0)),"")</f>
        <v/>
      </c>
      <c r="J358" s="69" t="str">
        <f aca="false">IF(OR($F358="",$C358&lt;&gt;'設定（最初に1回）'!$C$4),"",IFERROR(INDEX(発注計算!$Y$6:$Y$405,MATCH($F358,発注計算!$C$6:$C$405,0)),""))</f>
        <v/>
      </c>
      <c r="K358" s="70"/>
      <c r="L358" s="69" t="str">
        <f aca="false">IF($K358="","",N($K358)*N($I358))</f>
        <v/>
      </c>
      <c r="M358" s="71" t="str">
        <f aca="false">IFERROR(INDEX(商品マスタ!$G$6:$G$1005,MATCH($F358,商品マスタ!$B$6:$B$1005,0)),"")</f>
        <v/>
      </c>
      <c r="N358" s="71" t="str">
        <f aca="false">IF($K358="","",N($K358)*N($M358))</f>
        <v/>
      </c>
      <c r="O358" s="66" t="str">
        <f aca="false">IFERROR(INDEX(商品マスタ!$H$6:$H$1005,MATCH($F358,商品マスタ!$B$6:$B$1005,0)),"")</f>
        <v/>
      </c>
      <c r="P358" s="87" t="str">
        <f aca="false">IF(OR($E358="",$O358=""),"",WORKDAY($E358,$O358))</f>
        <v/>
      </c>
      <c r="Q358" s="80"/>
      <c r="R358" s="131"/>
      <c r="S358" s="69" t="n">
        <f aca="false">IF($Q358="入荷済み",N($L358),0)</f>
        <v>0</v>
      </c>
      <c r="T358" s="80"/>
      <c r="U358" s="80"/>
    </row>
    <row r="359" customFormat="false" ht="15" hidden="false" customHeight="false" outlineLevel="0" collapsed="false">
      <c r="B359" s="66" t="str">
        <f aca="false">IF(OR($E359="",$F359=""),"","PO-"&amp;TEXT($E359,"yyyymmdd")&amp;"-"&amp;TEXT(COUNTIFS($E$6:$E359,$E359,$C$6:$C359,$C359),"000"))</f>
        <v/>
      </c>
      <c r="C359" s="130"/>
      <c r="D359" s="66" t="str">
        <f aca="false">IFERROR(INDEX(定数マスタ!$C$6:$C$105,MATCH($C359,定数マスタ!$B$6:$B$105,0)),"")</f>
        <v/>
      </c>
      <c r="E359" s="131"/>
      <c r="F359" s="130"/>
      <c r="G359" s="66" t="str">
        <f aca="false">IFERROR(INDEX(商品マスタ!$C$6:$C$1005,MATCH($F359,商品マスタ!$B$6:$B$1005,0)),"")</f>
        <v/>
      </c>
      <c r="H359" s="66" t="str">
        <f aca="false">IFERROR(INDEX(商品マスタ!$E$6:$E$1005,MATCH($F359,商品マスタ!$B$6:$B$1005,0)),"")</f>
        <v/>
      </c>
      <c r="I359" s="69" t="str">
        <f aca="false">IFERROR(INDEX(商品マスタ!$F$6:$F$1005,MATCH($F359,商品マスタ!$B$6:$B$1005,0)),"")</f>
        <v/>
      </c>
      <c r="J359" s="69" t="str">
        <f aca="false">IF(OR($F359="",$C359&lt;&gt;'設定（最初に1回）'!$C$4),"",IFERROR(INDEX(発注計算!$Y$6:$Y$405,MATCH($F359,発注計算!$C$6:$C$405,0)),""))</f>
        <v/>
      </c>
      <c r="K359" s="70"/>
      <c r="L359" s="69" t="str">
        <f aca="false">IF($K359="","",N($K359)*N($I359))</f>
        <v/>
      </c>
      <c r="M359" s="71" t="str">
        <f aca="false">IFERROR(INDEX(商品マスタ!$G$6:$G$1005,MATCH($F359,商品マスタ!$B$6:$B$1005,0)),"")</f>
        <v/>
      </c>
      <c r="N359" s="71" t="str">
        <f aca="false">IF($K359="","",N($K359)*N($M359))</f>
        <v/>
      </c>
      <c r="O359" s="66" t="str">
        <f aca="false">IFERROR(INDEX(商品マスタ!$H$6:$H$1005,MATCH($F359,商品マスタ!$B$6:$B$1005,0)),"")</f>
        <v/>
      </c>
      <c r="P359" s="87" t="str">
        <f aca="false">IF(OR($E359="",$O359=""),"",WORKDAY($E359,$O359))</f>
        <v/>
      </c>
      <c r="Q359" s="80"/>
      <c r="R359" s="131"/>
      <c r="S359" s="69" t="n">
        <f aca="false">IF($Q359="入荷済み",N($L359),0)</f>
        <v>0</v>
      </c>
      <c r="T359" s="80"/>
      <c r="U359" s="80"/>
    </row>
    <row r="360" customFormat="false" ht="15" hidden="false" customHeight="false" outlineLevel="0" collapsed="false">
      <c r="B360" s="66" t="str">
        <f aca="false">IF(OR($E360="",$F360=""),"","PO-"&amp;TEXT($E360,"yyyymmdd")&amp;"-"&amp;TEXT(COUNTIFS($E$6:$E360,$E360,$C$6:$C360,$C360),"000"))</f>
        <v/>
      </c>
      <c r="C360" s="130"/>
      <c r="D360" s="66" t="str">
        <f aca="false">IFERROR(INDEX(定数マスタ!$C$6:$C$105,MATCH($C360,定数マスタ!$B$6:$B$105,0)),"")</f>
        <v/>
      </c>
      <c r="E360" s="131"/>
      <c r="F360" s="130"/>
      <c r="G360" s="66" t="str">
        <f aca="false">IFERROR(INDEX(商品マスタ!$C$6:$C$1005,MATCH($F360,商品マスタ!$B$6:$B$1005,0)),"")</f>
        <v/>
      </c>
      <c r="H360" s="66" t="str">
        <f aca="false">IFERROR(INDEX(商品マスタ!$E$6:$E$1005,MATCH($F360,商品マスタ!$B$6:$B$1005,0)),"")</f>
        <v/>
      </c>
      <c r="I360" s="69" t="str">
        <f aca="false">IFERROR(INDEX(商品マスタ!$F$6:$F$1005,MATCH($F360,商品マスタ!$B$6:$B$1005,0)),"")</f>
        <v/>
      </c>
      <c r="J360" s="69" t="str">
        <f aca="false">IF(OR($F360="",$C360&lt;&gt;'設定（最初に1回）'!$C$4),"",IFERROR(INDEX(発注計算!$Y$6:$Y$405,MATCH($F360,発注計算!$C$6:$C$405,0)),""))</f>
        <v/>
      </c>
      <c r="K360" s="70"/>
      <c r="L360" s="69" t="str">
        <f aca="false">IF($K360="","",N($K360)*N($I360))</f>
        <v/>
      </c>
      <c r="M360" s="71" t="str">
        <f aca="false">IFERROR(INDEX(商品マスタ!$G$6:$G$1005,MATCH($F360,商品マスタ!$B$6:$B$1005,0)),"")</f>
        <v/>
      </c>
      <c r="N360" s="71" t="str">
        <f aca="false">IF($K360="","",N($K360)*N($M360))</f>
        <v/>
      </c>
      <c r="O360" s="66" t="str">
        <f aca="false">IFERROR(INDEX(商品マスタ!$H$6:$H$1005,MATCH($F360,商品マスタ!$B$6:$B$1005,0)),"")</f>
        <v/>
      </c>
      <c r="P360" s="87" t="str">
        <f aca="false">IF(OR($E360="",$O360=""),"",WORKDAY($E360,$O360))</f>
        <v/>
      </c>
      <c r="Q360" s="80"/>
      <c r="R360" s="131"/>
      <c r="S360" s="69" t="n">
        <f aca="false">IF($Q360="入荷済み",N($L360),0)</f>
        <v>0</v>
      </c>
      <c r="T360" s="80"/>
      <c r="U360" s="80"/>
    </row>
    <row r="361" customFormat="false" ht="15" hidden="false" customHeight="false" outlineLevel="0" collapsed="false">
      <c r="B361" s="66" t="str">
        <f aca="false">IF(OR($E361="",$F361=""),"","PO-"&amp;TEXT($E361,"yyyymmdd")&amp;"-"&amp;TEXT(COUNTIFS($E$6:$E361,$E361,$C$6:$C361,$C361),"000"))</f>
        <v/>
      </c>
      <c r="C361" s="130"/>
      <c r="D361" s="66" t="str">
        <f aca="false">IFERROR(INDEX(定数マスタ!$C$6:$C$105,MATCH($C361,定数マスタ!$B$6:$B$105,0)),"")</f>
        <v/>
      </c>
      <c r="E361" s="131"/>
      <c r="F361" s="130"/>
      <c r="G361" s="66" t="str">
        <f aca="false">IFERROR(INDEX(商品マスタ!$C$6:$C$1005,MATCH($F361,商品マスタ!$B$6:$B$1005,0)),"")</f>
        <v/>
      </c>
      <c r="H361" s="66" t="str">
        <f aca="false">IFERROR(INDEX(商品マスタ!$E$6:$E$1005,MATCH($F361,商品マスタ!$B$6:$B$1005,0)),"")</f>
        <v/>
      </c>
      <c r="I361" s="69" t="str">
        <f aca="false">IFERROR(INDEX(商品マスタ!$F$6:$F$1005,MATCH($F361,商品マスタ!$B$6:$B$1005,0)),"")</f>
        <v/>
      </c>
      <c r="J361" s="69" t="str">
        <f aca="false">IF(OR($F361="",$C361&lt;&gt;'設定（最初に1回）'!$C$4),"",IFERROR(INDEX(発注計算!$Y$6:$Y$405,MATCH($F361,発注計算!$C$6:$C$405,0)),""))</f>
        <v/>
      </c>
      <c r="K361" s="70"/>
      <c r="L361" s="69" t="str">
        <f aca="false">IF($K361="","",N($K361)*N($I361))</f>
        <v/>
      </c>
      <c r="M361" s="71" t="str">
        <f aca="false">IFERROR(INDEX(商品マスタ!$G$6:$G$1005,MATCH($F361,商品マスタ!$B$6:$B$1005,0)),"")</f>
        <v/>
      </c>
      <c r="N361" s="71" t="str">
        <f aca="false">IF($K361="","",N($K361)*N($M361))</f>
        <v/>
      </c>
      <c r="O361" s="66" t="str">
        <f aca="false">IFERROR(INDEX(商品マスタ!$H$6:$H$1005,MATCH($F361,商品マスタ!$B$6:$B$1005,0)),"")</f>
        <v/>
      </c>
      <c r="P361" s="87" t="str">
        <f aca="false">IF(OR($E361="",$O361=""),"",WORKDAY($E361,$O361))</f>
        <v/>
      </c>
      <c r="Q361" s="80"/>
      <c r="R361" s="131"/>
      <c r="S361" s="69" t="n">
        <f aca="false">IF($Q361="入荷済み",N($L361),0)</f>
        <v>0</v>
      </c>
      <c r="T361" s="80"/>
      <c r="U361" s="80"/>
    </row>
    <row r="362" customFormat="false" ht="15" hidden="false" customHeight="false" outlineLevel="0" collapsed="false">
      <c r="B362" s="66" t="str">
        <f aca="false">IF(OR($E362="",$F362=""),"","PO-"&amp;TEXT($E362,"yyyymmdd")&amp;"-"&amp;TEXT(COUNTIFS($E$6:$E362,$E362,$C$6:$C362,$C362),"000"))</f>
        <v/>
      </c>
      <c r="C362" s="130"/>
      <c r="D362" s="66" t="str">
        <f aca="false">IFERROR(INDEX(定数マスタ!$C$6:$C$105,MATCH($C362,定数マスタ!$B$6:$B$105,0)),"")</f>
        <v/>
      </c>
      <c r="E362" s="131"/>
      <c r="F362" s="130"/>
      <c r="G362" s="66" t="str">
        <f aca="false">IFERROR(INDEX(商品マスタ!$C$6:$C$1005,MATCH($F362,商品マスタ!$B$6:$B$1005,0)),"")</f>
        <v/>
      </c>
      <c r="H362" s="66" t="str">
        <f aca="false">IFERROR(INDEX(商品マスタ!$E$6:$E$1005,MATCH($F362,商品マスタ!$B$6:$B$1005,0)),"")</f>
        <v/>
      </c>
      <c r="I362" s="69" t="str">
        <f aca="false">IFERROR(INDEX(商品マスタ!$F$6:$F$1005,MATCH($F362,商品マスタ!$B$6:$B$1005,0)),"")</f>
        <v/>
      </c>
      <c r="J362" s="69" t="str">
        <f aca="false">IF(OR($F362="",$C362&lt;&gt;'設定（最初に1回）'!$C$4),"",IFERROR(INDEX(発注計算!$Y$6:$Y$405,MATCH($F362,発注計算!$C$6:$C$405,0)),""))</f>
        <v/>
      </c>
      <c r="K362" s="70"/>
      <c r="L362" s="69" t="str">
        <f aca="false">IF($K362="","",N($K362)*N($I362))</f>
        <v/>
      </c>
      <c r="M362" s="71" t="str">
        <f aca="false">IFERROR(INDEX(商品マスタ!$G$6:$G$1005,MATCH($F362,商品マスタ!$B$6:$B$1005,0)),"")</f>
        <v/>
      </c>
      <c r="N362" s="71" t="str">
        <f aca="false">IF($K362="","",N($K362)*N($M362))</f>
        <v/>
      </c>
      <c r="O362" s="66" t="str">
        <f aca="false">IFERROR(INDEX(商品マスタ!$H$6:$H$1005,MATCH($F362,商品マスタ!$B$6:$B$1005,0)),"")</f>
        <v/>
      </c>
      <c r="P362" s="87" t="str">
        <f aca="false">IF(OR($E362="",$O362=""),"",WORKDAY($E362,$O362))</f>
        <v/>
      </c>
      <c r="Q362" s="80"/>
      <c r="R362" s="131"/>
      <c r="S362" s="69" t="n">
        <f aca="false">IF($Q362="入荷済み",N($L362),0)</f>
        <v>0</v>
      </c>
      <c r="T362" s="80"/>
      <c r="U362" s="80"/>
    </row>
    <row r="363" customFormat="false" ht="15" hidden="false" customHeight="false" outlineLevel="0" collapsed="false">
      <c r="B363" s="66" t="str">
        <f aca="false">IF(OR($E363="",$F363=""),"","PO-"&amp;TEXT($E363,"yyyymmdd")&amp;"-"&amp;TEXT(COUNTIFS($E$6:$E363,$E363,$C$6:$C363,$C363),"000"))</f>
        <v/>
      </c>
      <c r="C363" s="130"/>
      <c r="D363" s="66" t="str">
        <f aca="false">IFERROR(INDEX(定数マスタ!$C$6:$C$105,MATCH($C363,定数マスタ!$B$6:$B$105,0)),"")</f>
        <v/>
      </c>
      <c r="E363" s="131"/>
      <c r="F363" s="130"/>
      <c r="G363" s="66" t="str">
        <f aca="false">IFERROR(INDEX(商品マスタ!$C$6:$C$1005,MATCH($F363,商品マスタ!$B$6:$B$1005,0)),"")</f>
        <v/>
      </c>
      <c r="H363" s="66" t="str">
        <f aca="false">IFERROR(INDEX(商品マスタ!$E$6:$E$1005,MATCH($F363,商品マスタ!$B$6:$B$1005,0)),"")</f>
        <v/>
      </c>
      <c r="I363" s="69" t="str">
        <f aca="false">IFERROR(INDEX(商品マスタ!$F$6:$F$1005,MATCH($F363,商品マスタ!$B$6:$B$1005,0)),"")</f>
        <v/>
      </c>
      <c r="J363" s="69" t="str">
        <f aca="false">IF(OR($F363="",$C363&lt;&gt;'設定（最初に1回）'!$C$4),"",IFERROR(INDEX(発注計算!$Y$6:$Y$405,MATCH($F363,発注計算!$C$6:$C$405,0)),""))</f>
        <v/>
      </c>
      <c r="K363" s="70"/>
      <c r="L363" s="69" t="str">
        <f aca="false">IF($K363="","",N($K363)*N($I363))</f>
        <v/>
      </c>
      <c r="M363" s="71" t="str">
        <f aca="false">IFERROR(INDEX(商品マスタ!$G$6:$G$1005,MATCH($F363,商品マスタ!$B$6:$B$1005,0)),"")</f>
        <v/>
      </c>
      <c r="N363" s="71" t="str">
        <f aca="false">IF($K363="","",N($K363)*N($M363))</f>
        <v/>
      </c>
      <c r="O363" s="66" t="str">
        <f aca="false">IFERROR(INDEX(商品マスタ!$H$6:$H$1005,MATCH($F363,商品マスタ!$B$6:$B$1005,0)),"")</f>
        <v/>
      </c>
      <c r="P363" s="87" t="str">
        <f aca="false">IF(OR($E363="",$O363=""),"",WORKDAY($E363,$O363))</f>
        <v/>
      </c>
      <c r="Q363" s="80"/>
      <c r="R363" s="131"/>
      <c r="S363" s="69" t="n">
        <f aca="false">IF($Q363="入荷済み",N($L363),0)</f>
        <v>0</v>
      </c>
      <c r="T363" s="80"/>
      <c r="U363" s="80"/>
    </row>
    <row r="364" customFormat="false" ht="15" hidden="false" customHeight="false" outlineLevel="0" collapsed="false">
      <c r="B364" s="66" t="str">
        <f aca="false">IF(OR($E364="",$F364=""),"","PO-"&amp;TEXT($E364,"yyyymmdd")&amp;"-"&amp;TEXT(COUNTIFS($E$6:$E364,$E364,$C$6:$C364,$C364),"000"))</f>
        <v/>
      </c>
      <c r="C364" s="130"/>
      <c r="D364" s="66" t="str">
        <f aca="false">IFERROR(INDEX(定数マスタ!$C$6:$C$105,MATCH($C364,定数マスタ!$B$6:$B$105,0)),"")</f>
        <v/>
      </c>
      <c r="E364" s="131"/>
      <c r="F364" s="130"/>
      <c r="G364" s="66" t="str">
        <f aca="false">IFERROR(INDEX(商品マスタ!$C$6:$C$1005,MATCH($F364,商品マスタ!$B$6:$B$1005,0)),"")</f>
        <v/>
      </c>
      <c r="H364" s="66" t="str">
        <f aca="false">IFERROR(INDEX(商品マスタ!$E$6:$E$1005,MATCH($F364,商品マスタ!$B$6:$B$1005,0)),"")</f>
        <v/>
      </c>
      <c r="I364" s="69" t="str">
        <f aca="false">IFERROR(INDEX(商品マスタ!$F$6:$F$1005,MATCH($F364,商品マスタ!$B$6:$B$1005,0)),"")</f>
        <v/>
      </c>
      <c r="J364" s="69" t="str">
        <f aca="false">IF(OR($F364="",$C364&lt;&gt;'設定（最初に1回）'!$C$4),"",IFERROR(INDEX(発注計算!$Y$6:$Y$405,MATCH($F364,発注計算!$C$6:$C$405,0)),""))</f>
        <v/>
      </c>
      <c r="K364" s="70"/>
      <c r="L364" s="69" t="str">
        <f aca="false">IF($K364="","",N($K364)*N($I364))</f>
        <v/>
      </c>
      <c r="M364" s="71" t="str">
        <f aca="false">IFERROR(INDEX(商品マスタ!$G$6:$G$1005,MATCH($F364,商品マスタ!$B$6:$B$1005,0)),"")</f>
        <v/>
      </c>
      <c r="N364" s="71" t="str">
        <f aca="false">IF($K364="","",N($K364)*N($M364))</f>
        <v/>
      </c>
      <c r="O364" s="66" t="str">
        <f aca="false">IFERROR(INDEX(商品マスタ!$H$6:$H$1005,MATCH($F364,商品マスタ!$B$6:$B$1005,0)),"")</f>
        <v/>
      </c>
      <c r="P364" s="87" t="str">
        <f aca="false">IF(OR($E364="",$O364=""),"",WORKDAY($E364,$O364))</f>
        <v/>
      </c>
      <c r="Q364" s="80"/>
      <c r="R364" s="131"/>
      <c r="S364" s="69" t="n">
        <f aca="false">IF($Q364="入荷済み",N($L364),0)</f>
        <v>0</v>
      </c>
      <c r="T364" s="80"/>
      <c r="U364" s="80"/>
    </row>
    <row r="365" customFormat="false" ht="15" hidden="false" customHeight="false" outlineLevel="0" collapsed="false">
      <c r="B365" s="66" t="str">
        <f aca="false">IF(OR($E365="",$F365=""),"","PO-"&amp;TEXT($E365,"yyyymmdd")&amp;"-"&amp;TEXT(COUNTIFS($E$6:$E365,$E365,$C$6:$C365,$C365),"000"))</f>
        <v/>
      </c>
      <c r="C365" s="130"/>
      <c r="D365" s="66" t="str">
        <f aca="false">IFERROR(INDEX(定数マスタ!$C$6:$C$105,MATCH($C365,定数マスタ!$B$6:$B$105,0)),"")</f>
        <v/>
      </c>
      <c r="E365" s="131"/>
      <c r="F365" s="130"/>
      <c r="G365" s="66" t="str">
        <f aca="false">IFERROR(INDEX(商品マスタ!$C$6:$C$1005,MATCH($F365,商品マスタ!$B$6:$B$1005,0)),"")</f>
        <v/>
      </c>
      <c r="H365" s="66" t="str">
        <f aca="false">IFERROR(INDEX(商品マスタ!$E$6:$E$1005,MATCH($F365,商品マスタ!$B$6:$B$1005,0)),"")</f>
        <v/>
      </c>
      <c r="I365" s="69" t="str">
        <f aca="false">IFERROR(INDEX(商品マスタ!$F$6:$F$1005,MATCH($F365,商品マスタ!$B$6:$B$1005,0)),"")</f>
        <v/>
      </c>
      <c r="J365" s="69" t="str">
        <f aca="false">IF(OR($F365="",$C365&lt;&gt;'設定（最初に1回）'!$C$4),"",IFERROR(INDEX(発注計算!$Y$6:$Y$405,MATCH($F365,発注計算!$C$6:$C$405,0)),""))</f>
        <v/>
      </c>
      <c r="K365" s="70"/>
      <c r="L365" s="69" t="str">
        <f aca="false">IF($K365="","",N($K365)*N($I365))</f>
        <v/>
      </c>
      <c r="M365" s="71" t="str">
        <f aca="false">IFERROR(INDEX(商品マスタ!$G$6:$G$1005,MATCH($F365,商品マスタ!$B$6:$B$1005,0)),"")</f>
        <v/>
      </c>
      <c r="N365" s="71" t="str">
        <f aca="false">IF($K365="","",N($K365)*N($M365))</f>
        <v/>
      </c>
      <c r="O365" s="66" t="str">
        <f aca="false">IFERROR(INDEX(商品マスタ!$H$6:$H$1005,MATCH($F365,商品マスタ!$B$6:$B$1005,0)),"")</f>
        <v/>
      </c>
      <c r="P365" s="87" t="str">
        <f aca="false">IF(OR($E365="",$O365=""),"",WORKDAY($E365,$O365))</f>
        <v/>
      </c>
      <c r="Q365" s="80"/>
      <c r="R365" s="131"/>
      <c r="S365" s="69" t="n">
        <f aca="false">IF($Q365="入荷済み",N($L365),0)</f>
        <v>0</v>
      </c>
      <c r="T365" s="80"/>
      <c r="U365" s="80"/>
    </row>
    <row r="366" customFormat="false" ht="15" hidden="false" customHeight="false" outlineLevel="0" collapsed="false">
      <c r="B366" s="66" t="str">
        <f aca="false">IF(OR($E366="",$F366=""),"","PO-"&amp;TEXT($E366,"yyyymmdd")&amp;"-"&amp;TEXT(COUNTIFS($E$6:$E366,$E366,$C$6:$C366,$C366),"000"))</f>
        <v/>
      </c>
      <c r="C366" s="130"/>
      <c r="D366" s="66" t="str">
        <f aca="false">IFERROR(INDEX(定数マスタ!$C$6:$C$105,MATCH($C366,定数マスタ!$B$6:$B$105,0)),"")</f>
        <v/>
      </c>
      <c r="E366" s="131"/>
      <c r="F366" s="130"/>
      <c r="G366" s="66" t="str">
        <f aca="false">IFERROR(INDEX(商品マスタ!$C$6:$C$1005,MATCH($F366,商品マスタ!$B$6:$B$1005,0)),"")</f>
        <v/>
      </c>
      <c r="H366" s="66" t="str">
        <f aca="false">IFERROR(INDEX(商品マスタ!$E$6:$E$1005,MATCH($F366,商品マスタ!$B$6:$B$1005,0)),"")</f>
        <v/>
      </c>
      <c r="I366" s="69" t="str">
        <f aca="false">IFERROR(INDEX(商品マスタ!$F$6:$F$1005,MATCH($F366,商品マスタ!$B$6:$B$1005,0)),"")</f>
        <v/>
      </c>
      <c r="J366" s="69" t="str">
        <f aca="false">IF(OR($F366="",$C366&lt;&gt;'設定（最初に1回）'!$C$4),"",IFERROR(INDEX(発注計算!$Y$6:$Y$405,MATCH($F366,発注計算!$C$6:$C$405,0)),""))</f>
        <v/>
      </c>
      <c r="K366" s="70"/>
      <c r="L366" s="69" t="str">
        <f aca="false">IF($K366="","",N($K366)*N($I366))</f>
        <v/>
      </c>
      <c r="M366" s="71" t="str">
        <f aca="false">IFERROR(INDEX(商品マスタ!$G$6:$G$1005,MATCH($F366,商品マスタ!$B$6:$B$1005,0)),"")</f>
        <v/>
      </c>
      <c r="N366" s="71" t="str">
        <f aca="false">IF($K366="","",N($K366)*N($M366))</f>
        <v/>
      </c>
      <c r="O366" s="66" t="str">
        <f aca="false">IFERROR(INDEX(商品マスタ!$H$6:$H$1005,MATCH($F366,商品マスタ!$B$6:$B$1005,0)),"")</f>
        <v/>
      </c>
      <c r="P366" s="87" t="str">
        <f aca="false">IF(OR($E366="",$O366=""),"",WORKDAY($E366,$O366))</f>
        <v/>
      </c>
      <c r="Q366" s="80"/>
      <c r="R366" s="131"/>
      <c r="S366" s="69" t="n">
        <f aca="false">IF($Q366="入荷済み",N($L366),0)</f>
        <v>0</v>
      </c>
      <c r="T366" s="80"/>
      <c r="U366" s="80"/>
    </row>
    <row r="367" customFormat="false" ht="15" hidden="false" customHeight="false" outlineLevel="0" collapsed="false">
      <c r="B367" s="66" t="str">
        <f aca="false">IF(OR($E367="",$F367=""),"","PO-"&amp;TEXT($E367,"yyyymmdd")&amp;"-"&amp;TEXT(COUNTIFS($E$6:$E367,$E367,$C$6:$C367,$C367),"000"))</f>
        <v/>
      </c>
      <c r="C367" s="130"/>
      <c r="D367" s="66" t="str">
        <f aca="false">IFERROR(INDEX(定数マスタ!$C$6:$C$105,MATCH($C367,定数マスタ!$B$6:$B$105,0)),"")</f>
        <v/>
      </c>
      <c r="E367" s="131"/>
      <c r="F367" s="130"/>
      <c r="G367" s="66" t="str">
        <f aca="false">IFERROR(INDEX(商品マスタ!$C$6:$C$1005,MATCH($F367,商品マスタ!$B$6:$B$1005,0)),"")</f>
        <v/>
      </c>
      <c r="H367" s="66" t="str">
        <f aca="false">IFERROR(INDEX(商品マスタ!$E$6:$E$1005,MATCH($F367,商品マスタ!$B$6:$B$1005,0)),"")</f>
        <v/>
      </c>
      <c r="I367" s="69" t="str">
        <f aca="false">IFERROR(INDEX(商品マスタ!$F$6:$F$1005,MATCH($F367,商品マスタ!$B$6:$B$1005,0)),"")</f>
        <v/>
      </c>
      <c r="J367" s="69" t="str">
        <f aca="false">IF(OR($F367="",$C367&lt;&gt;'設定（最初に1回）'!$C$4),"",IFERROR(INDEX(発注計算!$Y$6:$Y$405,MATCH($F367,発注計算!$C$6:$C$405,0)),""))</f>
        <v/>
      </c>
      <c r="K367" s="70"/>
      <c r="L367" s="69" t="str">
        <f aca="false">IF($K367="","",N($K367)*N($I367))</f>
        <v/>
      </c>
      <c r="M367" s="71" t="str">
        <f aca="false">IFERROR(INDEX(商品マスタ!$G$6:$G$1005,MATCH($F367,商品マスタ!$B$6:$B$1005,0)),"")</f>
        <v/>
      </c>
      <c r="N367" s="71" t="str">
        <f aca="false">IF($K367="","",N($K367)*N($M367))</f>
        <v/>
      </c>
      <c r="O367" s="66" t="str">
        <f aca="false">IFERROR(INDEX(商品マスタ!$H$6:$H$1005,MATCH($F367,商品マスタ!$B$6:$B$1005,0)),"")</f>
        <v/>
      </c>
      <c r="P367" s="87" t="str">
        <f aca="false">IF(OR($E367="",$O367=""),"",WORKDAY($E367,$O367))</f>
        <v/>
      </c>
      <c r="Q367" s="80"/>
      <c r="R367" s="131"/>
      <c r="S367" s="69" t="n">
        <f aca="false">IF($Q367="入荷済み",N($L367),0)</f>
        <v>0</v>
      </c>
      <c r="T367" s="80"/>
      <c r="U367" s="80"/>
    </row>
    <row r="368" customFormat="false" ht="15" hidden="false" customHeight="false" outlineLevel="0" collapsed="false">
      <c r="B368" s="66" t="str">
        <f aca="false">IF(OR($E368="",$F368=""),"","PO-"&amp;TEXT($E368,"yyyymmdd")&amp;"-"&amp;TEXT(COUNTIFS($E$6:$E368,$E368,$C$6:$C368,$C368),"000"))</f>
        <v/>
      </c>
      <c r="C368" s="130"/>
      <c r="D368" s="66" t="str">
        <f aca="false">IFERROR(INDEX(定数マスタ!$C$6:$C$105,MATCH($C368,定数マスタ!$B$6:$B$105,0)),"")</f>
        <v/>
      </c>
      <c r="E368" s="131"/>
      <c r="F368" s="130"/>
      <c r="G368" s="66" t="str">
        <f aca="false">IFERROR(INDEX(商品マスタ!$C$6:$C$1005,MATCH($F368,商品マスタ!$B$6:$B$1005,0)),"")</f>
        <v/>
      </c>
      <c r="H368" s="66" t="str">
        <f aca="false">IFERROR(INDEX(商品マスタ!$E$6:$E$1005,MATCH($F368,商品マスタ!$B$6:$B$1005,0)),"")</f>
        <v/>
      </c>
      <c r="I368" s="69" t="str">
        <f aca="false">IFERROR(INDEX(商品マスタ!$F$6:$F$1005,MATCH($F368,商品マスタ!$B$6:$B$1005,0)),"")</f>
        <v/>
      </c>
      <c r="J368" s="69" t="str">
        <f aca="false">IF(OR($F368="",$C368&lt;&gt;'設定（最初に1回）'!$C$4),"",IFERROR(INDEX(発注計算!$Y$6:$Y$405,MATCH($F368,発注計算!$C$6:$C$405,0)),""))</f>
        <v/>
      </c>
      <c r="K368" s="70"/>
      <c r="L368" s="69" t="str">
        <f aca="false">IF($K368="","",N($K368)*N($I368))</f>
        <v/>
      </c>
      <c r="M368" s="71" t="str">
        <f aca="false">IFERROR(INDEX(商品マスタ!$G$6:$G$1005,MATCH($F368,商品マスタ!$B$6:$B$1005,0)),"")</f>
        <v/>
      </c>
      <c r="N368" s="71" t="str">
        <f aca="false">IF($K368="","",N($K368)*N($M368))</f>
        <v/>
      </c>
      <c r="O368" s="66" t="str">
        <f aca="false">IFERROR(INDEX(商品マスタ!$H$6:$H$1005,MATCH($F368,商品マスタ!$B$6:$B$1005,0)),"")</f>
        <v/>
      </c>
      <c r="P368" s="87" t="str">
        <f aca="false">IF(OR($E368="",$O368=""),"",WORKDAY($E368,$O368))</f>
        <v/>
      </c>
      <c r="Q368" s="80"/>
      <c r="R368" s="131"/>
      <c r="S368" s="69" t="n">
        <f aca="false">IF($Q368="入荷済み",N($L368),0)</f>
        <v>0</v>
      </c>
      <c r="T368" s="80"/>
      <c r="U368" s="80"/>
    </row>
    <row r="369" customFormat="false" ht="15" hidden="false" customHeight="false" outlineLevel="0" collapsed="false">
      <c r="B369" s="66" t="str">
        <f aca="false">IF(OR($E369="",$F369=""),"","PO-"&amp;TEXT($E369,"yyyymmdd")&amp;"-"&amp;TEXT(COUNTIFS($E$6:$E369,$E369,$C$6:$C369,$C369),"000"))</f>
        <v/>
      </c>
      <c r="C369" s="130"/>
      <c r="D369" s="66" t="str">
        <f aca="false">IFERROR(INDEX(定数マスタ!$C$6:$C$105,MATCH($C369,定数マスタ!$B$6:$B$105,0)),"")</f>
        <v/>
      </c>
      <c r="E369" s="131"/>
      <c r="F369" s="130"/>
      <c r="G369" s="66" t="str">
        <f aca="false">IFERROR(INDEX(商品マスタ!$C$6:$C$1005,MATCH($F369,商品マスタ!$B$6:$B$1005,0)),"")</f>
        <v/>
      </c>
      <c r="H369" s="66" t="str">
        <f aca="false">IFERROR(INDEX(商品マスタ!$E$6:$E$1005,MATCH($F369,商品マスタ!$B$6:$B$1005,0)),"")</f>
        <v/>
      </c>
      <c r="I369" s="69" t="str">
        <f aca="false">IFERROR(INDEX(商品マスタ!$F$6:$F$1005,MATCH($F369,商品マスタ!$B$6:$B$1005,0)),"")</f>
        <v/>
      </c>
      <c r="J369" s="69" t="str">
        <f aca="false">IF(OR($F369="",$C369&lt;&gt;'設定（最初に1回）'!$C$4),"",IFERROR(INDEX(発注計算!$Y$6:$Y$405,MATCH($F369,発注計算!$C$6:$C$405,0)),""))</f>
        <v/>
      </c>
      <c r="K369" s="70"/>
      <c r="L369" s="69" t="str">
        <f aca="false">IF($K369="","",N($K369)*N($I369))</f>
        <v/>
      </c>
      <c r="M369" s="71" t="str">
        <f aca="false">IFERROR(INDEX(商品マスタ!$G$6:$G$1005,MATCH($F369,商品マスタ!$B$6:$B$1005,0)),"")</f>
        <v/>
      </c>
      <c r="N369" s="71" t="str">
        <f aca="false">IF($K369="","",N($K369)*N($M369))</f>
        <v/>
      </c>
      <c r="O369" s="66" t="str">
        <f aca="false">IFERROR(INDEX(商品マスタ!$H$6:$H$1005,MATCH($F369,商品マスタ!$B$6:$B$1005,0)),"")</f>
        <v/>
      </c>
      <c r="P369" s="87" t="str">
        <f aca="false">IF(OR($E369="",$O369=""),"",WORKDAY($E369,$O369))</f>
        <v/>
      </c>
      <c r="Q369" s="80"/>
      <c r="R369" s="131"/>
      <c r="S369" s="69" t="n">
        <f aca="false">IF($Q369="入荷済み",N($L369),0)</f>
        <v>0</v>
      </c>
      <c r="T369" s="80"/>
      <c r="U369" s="80"/>
    </row>
    <row r="370" customFormat="false" ht="15" hidden="false" customHeight="false" outlineLevel="0" collapsed="false">
      <c r="B370" s="66" t="str">
        <f aca="false">IF(OR($E370="",$F370=""),"","PO-"&amp;TEXT($E370,"yyyymmdd")&amp;"-"&amp;TEXT(COUNTIFS($E$6:$E370,$E370,$C$6:$C370,$C370),"000"))</f>
        <v/>
      </c>
      <c r="C370" s="130"/>
      <c r="D370" s="66" t="str">
        <f aca="false">IFERROR(INDEX(定数マスタ!$C$6:$C$105,MATCH($C370,定数マスタ!$B$6:$B$105,0)),"")</f>
        <v/>
      </c>
      <c r="E370" s="131"/>
      <c r="F370" s="130"/>
      <c r="G370" s="66" t="str">
        <f aca="false">IFERROR(INDEX(商品マスタ!$C$6:$C$1005,MATCH($F370,商品マスタ!$B$6:$B$1005,0)),"")</f>
        <v/>
      </c>
      <c r="H370" s="66" t="str">
        <f aca="false">IFERROR(INDEX(商品マスタ!$E$6:$E$1005,MATCH($F370,商品マスタ!$B$6:$B$1005,0)),"")</f>
        <v/>
      </c>
      <c r="I370" s="69" t="str">
        <f aca="false">IFERROR(INDEX(商品マスタ!$F$6:$F$1005,MATCH($F370,商品マスタ!$B$6:$B$1005,0)),"")</f>
        <v/>
      </c>
      <c r="J370" s="69" t="str">
        <f aca="false">IF(OR($F370="",$C370&lt;&gt;'設定（最初に1回）'!$C$4),"",IFERROR(INDEX(発注計算!$Y$6:$Y$405,MATCH($F370,発注計算!$C$6:$C$405,0)),""))</f>
        <v/>
      </c>
      <c r="K370" s="70"/>
      <c r="L370" s="69" t="str">
        <f aca="false">IF($K370="","",N($K370)*N($I370))</f>
        <v/>
      </c>
      <c r="M370" s="71" t="str">
        <f aca="false">IFERROR(INDEX(商品マスタ!$G$6:$G$1005,MATCH($F370,商品マスタ!$B$6:$B$1005,0)),"")</f>
        <v/>
      </c>
      <c r="N370" s="71" t="str">
        <f aca="false">IF($K370="","",N($K370)*N($M370))</f>
        <v/>
      </c>
      <c r="O370" s="66" t="str">
        <f aca="false">IFERROR(INDEX(商品マスタ!$H$6:$H$1005,MATCH($F370,商品マスタ!$B$6:$B$1005,0)),"")</f>
        <v/>
      </c>
      <c r="P370" s="87" t="str">
        <f aca="false">IF(OR($E370="",$O370=""),"",WORKDAY($E370,$O370))</f>
        <v/>
      </c>
      <c r="Q370" s="80"/>
      <c r="R370" s="131"/>
      <c r="S370" s="69" t="n">
        <f aca="false">IF($Q370="入荷済み",N($L370),0)</f>
        <v>0</v>
      </c>
      <c r="T370" s="80"/>
      <c r="U370" s="80"/>
    </row>
    <row r="371" customFormat="false" ht="15" hidden="false" customHeight="false" outlineLevel="0" collapsed="false">
      <c r="B371" s="66" t="str">
        <f aca="false">IF(OR($E371="",$F371=""),"","PO-"&amp;TEXT($E371,"yyyymmdd")&amp;"-"&amp;TEXT(COUNTIFS($E$6:$E371,$E371,$C$6:$C371,$C371),"000"))</f>
        <v/>
      </c>
      <c r="C371" s="130"/>
      <c r="D371" s="66" t="str">
        <f aca="false">IFERROR(INDEX(定数マスタ!$C$6:$C$105,MATCH($C371,定数マスタ!$B$6:$B$105,0)),"")</f>
        <v/>
      </c>
      <c r="E371" s="131"/>
      <c r="F371" s="130"/>
      <c r="G371" s="66" t="str">
        <f aca="false">IFERROR(INDEX(商品マスタ!$C$6:$C$1005,MATCH($F371,商品マスタ!$B$6:$B$1005,0)),"")</f>
        <v/>
      </c>
      <c r="H371" s="66" t="str">
        <f aca="false">IFERROR(INDEX(商品マスタ!$E$6:$E$1005,MATCH($F371,商品マスタ!$B$6:$B$1005,0)),"")</f>
        <v/>
      </c>
      <c r="I371" s="69" t="str">
        <f aca="false">IFERROR(INDEX(商品マスタ!$F$6:$F$1005,MATCH($F371,商品マスタ!$B$6:$B$1005,0)),"")</f>
        <v/>
      </c>
      <c r="J371" s="69" t="str">
        <f aca="false">IF(OR($F371="",$C371&lt;&gt;'設定（最初に1回）'!$C$4),"",IFERROR(INDEX(発注計算!$Y$6:$Y$405,MATCH($F371,発注計算!$C$6:$C$405,0)),""))</f>
        <v/>
      </c>
      <c r="K371" s="70"/>
      <c r="L371" s="69" t="str">
        <f aca="false">IF($K371="","",N($K371)*N($I371))</f>
        <v/>
      </c>
      <c r="M371" s="71" t="str">
        <f aca="false">IFERROR(INDEX(商品マスタ!$G$6:$G$1005,MATCH($F371,商品マスタ!$B$6:$B$1005,0)),"")</f>
        <v/>
      </c>
      <c r="N371" s="71" t="str">
        <f aca="false">IF($K371="","",N($K371)*N($M371))</f>
        <v/>
      </c>
      <c r="O371" s="66" t="str">
        <f aca="false">IFERROR(INDEX(商品マスタ!$H$6:$H$1005,MATCH($F371,商品マスタ!$B$6:$B$1005,0)),"")</f>
        <v/>
      </c>
      <c r="P371" s="87" t="str">
        <f aca="false">IF(OR($E371="",$O371=""),"",WORKDAY($E371,$O371))</f>
        <v/>
      </c>
      <c r="Q371" s="80"/>
      <c r="R371" s="131"/>
      <c r="S371" s="69" t="n">
        <f aca="false">IF($Q371="入荷済み",N($L371),0)</f>
        <v>0</v>
      </c>
      <c r="T371" s="80"/>
      <c r="U371" s="80"/>
    </row>
    <row r="372" customFormat="false" ht="15" hidden="false" customHeight="false" outlineLevel="0" collapsed="false">
      <c r="B372" s="66" t="str">
        <f aca="false">IF(OR($E372="",$F372=""),"","PO-"&amp;TEXT($E372,"yyyymmdd")&amp;"-"&amp;TEXT(COUNTIFS($E$6:$E372,$E372,$C$6:$C372,$C372),"000"))</f>
        <v/>
      </c>
      <c r="C372" s="130"/>
      <c r="D372" s="66" t="str">
        <f aca="false">IFERROR(INDEX(定数マスタ!$C$6:$C$105,MATCH($C372,定数マスタ!$B$6:$B$105,0)),"")</f>
        <v/>
      </c>
      <c r="E372" s="131"/>
      <c r="F372" s="130"/>
      <c r="G372" s="66" t="str">
        <f aca="false">IFERROR(INDEX(商品マスタ!$C$6:$C$1005,MATCH($F372,商品マスタ!$B$6:$B$1005,0)),"")</f>
        <v/>
      </c>
      <c r="H372" s="66" t="str">
        <f aca="false">IFERROR(INDEX(商品マスタ!$E$6:$E$1005,MATCH($F372,商品マスタ!$B$6:$B$1005,0)),"")</f>
        <v/>
      </c>
      <c r="I372" s="69" t="str">
        <f aca="false">IFERROR(INDEX(商品マスタ!$F$6:$F$1005,MATCH($F372,商品マスタ!$B$6:$B$1005,0)),"")</f>
        <v/>
      </c>
      <c r="J372" s="69" t="str">
        <f aca="false">IF(OR($F372="",$C372&lt;&gt;'設定（最初に1回）'!$C$4),"",IFERROR(INDEX(発注計算!$Y$6:$Y$405,MATCH($F372,発注計算!$C$6:$C$405,0)),""))</f>
        <v/>
      </c>
      <c r="K372" s="70"/>
      <c r="L372" s="69" t="str">
        <f aca="false">IF($K372="","",N($K372)*N($I372))</f>
        <v/>
      </c>
      <c r="M372" s="71" t="str">
        <f aca="false">IFERROR(INDEX(商品マスタ!$G$6:$G$1005,MATCH($F372,商品マスタ!$B$6:$B$1005,0)),"")</f>
        <v/>
      </c>
      <c r="N372" s="71" t="str">
        <f aca="false">IF($K372="","",N($K372)*N($M372))</f>
        <v/>
      </c>
      <c r="O372" s="66" t="str">
        <f aca="false">IFERROR(INDEX(商品マスタ!$H$6:$H$1005,MATCH($F372,商品マスタ!$B$6:$B$1005,0)),"")</f>
        <v/>
      </c>
      <c r="P372" s="87" t="str">
        <f aca="false">IF(OR($E372="",$O372=""),"",WORKDAY($E372,$O372))</f>
        <v/>
      </c>
      <c r="Q372" s="80"/>
      <c r="R372" s="131"/>
      <c r="S372" s="69" t="n">
        <f aca="false">IF($Q372="入荷済み",N($L372),0)</f>
        <v>0</v>
      </c>
      <c r="T372" s="80"/>
      <c r="U372" s="80"/>
    </row>
    <row r="373" customFormat="false" ht="15" hidden="false" customHeight="false" outlineLevel="0" collapsed="false">
      <c r="B373" s="66" t="str">
        <f aca="false">IF(OR($E373="",$F373=""),"","PO-"&amp;TEXT($E373,"yyyymmdd")&amp;"-"&amp;TEXT(COUNTIFS($E$6:$E373,$E373,$C$6:$C373,$C373),"000"))</f>
        <v/>
      </c>
      <c r="C373" s="130"/>
      <c r="D373" s="66" t="str">
        <f aca="false">IFERROR(INDEX(定数マスタ!$C$6:$C$105,MATCH($C373,定数マスタ!$B$6:$B$105,0)),"")</f>
        <v/>
      </c>
      <c r="E373" s="131"/>
      <c r="F373" s="130"/>
      <c r="G373" s="66" t="str">
        <f aca="false">IFERROR(INDEX(商品マスタ!$C$6:$C$1005,MATCH($F373,商品マスタ!$B$6:$B$1005,0)),"")</f>
        <v/>
      </c>
      <c r="H373" s="66" t="str">
        <f aca="false">IFERROR(INDEX(商品マスタ!$E$6:$E$1005,MATCH($F373,商品マスタ!$B$6:$B$1005,0)),"")</f>
        <v/>
      </c>
      <c r="I373" s="69" t="str">
        <f aca="false">IFERROR(INDEX(商品マスタ!$F$6:$F$1005,MATCH($F373,商品マスタ!$B$6:$B$1005,0)),"")</f>
        <v/>
      </c>
      <c r="J373" s="69" t="str">
        <f aca="false">IF(OR($F373="",$C373&lt;&gt;'設定（最初に1回）'!$C$4),"",IFERROR(INDEX(発注計算!$Y$6:$Y$405,MATCH($F373,発注計算!$C$6:$C$405,0)),""))</f>
        <v/>
      </c>
      <c r="K373" s="70"/>
      <c r="L373" s="69" t="str">
        <f aca="false">IF($K373="","",N($K373)*N($I373))</f>
        <v/>
      </c>
      <c r="M373" s="71" t="str">
        <f aca="false">IFERROR(INDEX(商品マスタ!$G$6:$G$1005,MATCH($F373,商品マスタ!$B$6:$B$1005,0)),"")</f>
        <v/>
      </c>
      <c r="N373" s="71" t="str">
        <f aca="false">IF($K373="","",N($K373)*N($M373))</f>
        <v/>
      </c>
      <c r="O373" s="66" t="str">
        <f aca="false">IFERROR(INDEX(商品マスタ!$H$6:$H$1005,MATCH($F373,商品マスタ!$B$6:$B$1005,0)),"")</f>
        <v/>
      </c>
      <c r="P373" s="87" t="str">
        <f aca="false">IF(OR($E373="",$O373=""),"",WORKDAY($E373,$O373))</f>
        <v/>
      </c>
      <c r="Q373" s="80"/>
      <c r="R373" s="131"/>
      <c r="S373" s="69" t="n">
        <f aca="false">IF($Q373="入荷済み",N($L373),0)</f>
        <v>0</v>
      </c>
      <c r="T373" s="80"/>
      <c r="U373" s="80"/>
    </row>
    <row r="374" customFormat="false" ht="15" hidden="false" customHeight="false" outlineLevel="0" collapsed="false">
      <c r="B374" s="66" t="str">
        <f aca="false">IF(OR($E374="",$F374=""),"","PO-"&amp;TEXT($E374,"yyyymmdd")&amp;"-"&amp;TEXT(COUNTIFS($E$6:$E374,$E374,$C$6:$C374,$C374),"000"))</f>
        <v/>
      </c>
      <c r="C374" s="130"/>
      <c r="D374" s="66" t="str">
        <f aca="false">IFERROR(INDEX(定数マスタ!$C$6:$C$105,MATCH($C374,定数マスタ!$B$6:$B$105,0)),"")</f>
        <v/>
      </c>
      <c r="E374" s="131"/>
      <c r="F374" s="130"/>
      <c r="G374" s="66" t="str">
        <f aca="false">IFERROR(INDEX(商品マスタ!$C$6:$C$1005,MATCH($F374,商品マスタ!$B$6:$B$1005,0)),"")</f>
        <v/>
      </c>
      <c r="H374" s="66" t="str">
        <f aca="false">IFERROR(INDEX(商品マスタ!$E$6:$E$1005,MATCH($F374,商品マスタ!$B$6:$B$1005,0)),"")</f>
        <v/>
      </c>
      <c r="I374" s="69" t="str">
        <f aca="false">IFERROR(INDEX(商品マスタ!$F$6:$F$1005,MATCH($F374,商品マスタ!$B$6:$B$1005,0)),"")</f>
        <v/>
      </c>
      <c r="J374" s="69" t="str">
        <f aca="false">IF(OR($F374="",$C374&lt;&gt;'設定（最初に1回）'!$C$4),"",IFERROR(INDEX(発注計算!$Y$6:$Y$405,MATCH($F374,発注計算!$C$6:$C$405,0)),""))</f>
        <v/>
      </c>
      <c r="K374" s="70"/>
      <c r="L374" s="69" t="str">
        <f aca="false">IF($K374="","",N($K374)*N($I374))</f>
        <v/>
      </c>
      <c r="M374" s="71" t="str">
        <f aca="false">IFERROR(INDEX(商品マスタ!$G$6:$G$1005,MATCH($F374,商品マスタ!$B$6:$B$1005,0)),"")</f>
        <v/>
      </c>
      <c r="N374" s="71" t="str">
        <f aca="false">IF($K374="","",N($K374)*N($M374))</f>
        <v/>
      </c>
      <c r="O374" s="66" t="str">
        <f aca="false">IFERROR(INDEX(商品マスタ!$H$6:$H$1005,MATCH($F374,商品マスタ!$B$6:$B$1005,0)),"")</f>
        <v/>
      </c>
      <c r="P374" s="87" t="str">
        <f aca="false">IF(OR($E374="",$O374=""),"",WORKDAY($E374,$O374))</f>
        <v/>
      </c>
      <c r="Q374" s="80"/>
      <c r="R374" s="131"/>
      <c r="S374" s="69" t="n">
        <f aca="false">IF($Q374="入荷済み",N($L374),0)</f>
        <v>0</v>
      </c>
      <c r="T374" s="80"/>
      <c r="U374" s="80"/>
    </row>
    <row r="375" customFormat="false" ht="15" hidden="false" customHeight="false" outlineLevel="0" collapsed="false">
      <c r="B375" s="66" t="str">
        <f aca="false">IF(OR($E375="",$F375=""),"","PO-"&amp;TEXT($E375,"yyyymmdd")&amp;"-"&amp;TEXT(COUNTIFS($E$6:$E375,$E375,$C$6:$C375,$C375),"000"))</f>
        <v/>
      </c>
      <c r="C375" s="130"/>
      <c r="D375" s="66" t="str">
        <f aca="false">IFERROR(INDEX(定数マスタ!$C$6:$C$105,MATCH($C375,定数マスタ!$B$6:$B$105,0)),"")</f>
        <v/>
      </c>
      <c r="E375" s="131"/>
      <c r="F375" s="130"/>
      <c r="G375" s="66" t="str">
        <f aca="false">IFERROR(INDEX(商品マスタ!$C$6:$C$1005,MATCH($F375,商品マスタ!$B$6:$B$1005,0)),"")</f>
        <v/>
      </c>
      <c r="H375" s="66" t="str">
        <f aca="false">IFERROR(INDEX(商品マスタ!$E$6:$E$1005,MATCH($F375,商品マスタ!$B$6:$B$1005,0)),"")</f>
        <v/>
      </c>
      <c r="I375" s="69" t="str">
        <f aca="false">IFERROR(INDEX(商品マスタ!$F$6:$F$1005,MATCH($F375,商品マスタ!$B$6:$B$1005,0)),"")</f>
        <v/>
      </c>
      <c r="J375" s="69" t="str">
        <f aca="false">IF(OR($F375="",$C375&lt;&gt;'設定（最初に1回）'!$C$4),"",IFERROR(INDEX(発注計算!$Y$6:$Y$405,MATCH($F375,発注計算!$C$6:$C$405,0)),""))</f>
        <v/>
      </c>
      <c r="K375" s="70"/>
      <c r="L375" s="69" t="str">
        <f aca="false">IF($K375="","",N($K375)*N($I375))</f>
        <v/>
      </c>
      <c r="M375" s="71" t="str">
        <f aca="false">IFERROR(INDEX(商品マスタ!$G$6:$G$1005,MATCH($F375,商品マスタ!$B$6:$B$1005,0)),"")</f>
        <v/>
      </c>
      <c r="N375" s="71" t="str">
        <f aca="false">IF($K375="","",N($K375)*N($M375))</f>
        <v/>
      </c>
      <c r="O375" s="66" t="str">
        <f aca="false">IFERROR(INDEX(商品マスタ!$H$6:$H$1005,MATCH($F375,商品マスタ!$B$6:$B$1005,0)),"")</f>
        <v/>
      </c>
      <c r="P375" s="87" t="str">
        <f aca="false">IF(OR($E375="",$O375=""),"",WORKDAY($E375,$O375))</f>
        <v/>
      </c>
      <c r="Q375" s="80"/>
      <c r="R375" s="131"/>
      <c r="S375" s="69" t="n">
        <f aca="false">IF($Q375="入荷済み",N($L375),0)</f>
        <v>0</v>
      </c>
      <c r="T375" s="80"/>
      <c r="U375" s="80"/>
    </row>
    <row r="376" customFormat="false" ht="15" hidden="false" customHeight="false" outlineLevel="0" collapsed="false">
      <c r="B376" s="66" t="str">
        <f aca="false">IF(OR($E376="",$F376=""),"","PO-"&amp;TEXT($E376,"yyyymmdd")&amp;"-"&amp;TEXT(COUNTIFS($E$6:$E376,$E376,$C$6:$C376,$C376),"000"))</f>
        <v/>
      </c>
      <c r="C376" s="130"/>
      <c r="D376" s="66" t="str">
        <f aca="false">IFERROR(INDEX(定数マスタ!$C$6:$C$105,MATCH($C376,定数マスタ!$B$6:$B$105,0)),"")</f>
        <v/>
      </c>
      <c r="E376" s="131"/>
      <c r="F376" s="130"/>
      <c r="G376" s="66" t="str">
        <f aca="false">IFERROR(INDEX(商品マスタ!$C$6:$C$1005,MATCH($F376,商品マスタ!$B$6:$B$1005,0)),"")</f>
        <v/>
      </c>
      <c r="H376" s="66" t="str">
        <f aca="false">IFERROR(INDEX(商品マスタ!$E$6:$E$1005,MATCH($F376,商品マスタ!$B$6:$B$1005,0)),"")</f>
        <v/>
      </c>
      <c r="I376" s="69" t="str">
        <f aca="false">IFERROR(INDEX(商品マスタ!$F$6:$F$1005,MATCH($F376,商品マスタ!$B$6:$B$1005,0)),"")</f>
        <v/>
      </c>
      <c r="J376" s="69" t="str">
        <f aca="false">IF(OR($F376="",$C376&lt;&gt;'設定（最初に1回）'!$C$4),"",IFERROR(INDEX(発注計算!$Y$6:$Y$405,MATCH($F376,発注計算!$C$6:$C$405,0)),""))</f>
        <v/>
      </c>
      <c r="K376" s="70"/>
      <c r="L376" s="69" t="str">
        <f aca="false">IF($K376="","",N($K376)*N($I376))</f>
        <v/>
      </c>
      <c r="M376" s="71" t="str">
        <f aca="false">IFERROR(INDEX(商品マスタ!$G$6:$G$1005,MATCH($F376,商品マスタ!$B$6:$B$1005,0)),"")</f>
        <v/>
      </c>
      <c r="N376" s="71" t="str">
        <f aca="false">IF($K376="","",N($K376)*N($M376))</f>
        <v/>
      </c>
      <c r="O376" s="66" t="str">
        <f aca="false">IFERROR(INDEX(商品マスタ!$H$6:$H$1005,MATCH($F376,商品マスタ!$B$6:$B$1005,0)),"")</f>
        <v/>
      </c>
      <c r="P376" s="87" t="str">
        <f aca="false">IF(OR($E376="",$O376=""),"",WORKDAY($E376,$O376))</f>
        <v/>
      </c>
      <c r="Q376" s="80"/>
      <c r="R376" s="131"/>
      <c r="S376" s="69" t="n">
        <f aca="false">IF($Q376="入荷済み",N($L376),0)</f>
        <v>0</v>
      </c>
      <c r="T376" s="80"/>
      <c r="U376" s="80"/>
    </row>
    <row r="377" customFormat="false" ht="15" hidden="false" customHeight="false" outlineLevel="0" collapsed="false">
      <c r="B377" s="66" t="str">
        <f aca="false">IF(OR($E377="",$F377=""),"","PO-"&amp;TEXT($E377,"yyyymmdd")&amp;"-"&amp;TEXT(COUNTIFS($E$6:$E377,$E377,$C$6:$C377,$C377),"000"))</f>
        <v/>
      </c>
      <c r="C377" s="130"/>
      <c r="D377" s="66" t="str">
        <f aca="false">IFERROR(INDEX(定数マスタ!$C$6:$C$105,MATCH($C377,定数マスタ!$B$6:$B$105,0)),"")</f>
        <v/>
      </c>
      <c r="E377" s="131"/>
      <c r="F377" s="130"/>
      <c r="G377" s="66" t="str">
        <f aca="false">IFERROR(INDEX(商品マスタ!$C$6:$C$1005,MATCH($F377,商品マスタ!$B$6:$B$1005,0)),"")</f>
        <v/>
      </c>
      <c r="H377" s="66" t="str">
        <f aca="false">IFERROR(INDEX(商品マスタ!$E$6:$E$1005,MATCH($F377,商品マスタ!$B$6:$B$1005,0)),"")</f>
        <v/>
      </c>
      <c r="I377" s="69" t="str">
        <f aca="false">IFERROR(INDEX(商品マスタ!$F$6:$F$1005,MATCH($F377,商品マスタ!$B$6:$B$1005,0)),"")</f>
        <v/>
      </c>
      <c r="J377" s="69" t="str">
        <f aca="false">IF(OR($F377="",$C377&lt;&gt;'設定（最初に1回）'!$C$4),"",IFERROR(INDEX(発注計算!$Y$6:$Y$405,MATCH($F377,発注計算!$C$6:$C$405,0)),""))</f>
        <v/>
      </c>
      <c r="K377" s="70"/>
      <c r="L377" s="69" t="str">
        <f aca="false">IF($K377="","",N($K377)*N($I377))</f>
        <v/>
      </c>
      <c r="M377" s="71" t="str">
        <f aca="false">IFERROR(INDEX(商品マスタ!$G$6:$G$1005,MATCH($F377,商品マスタ!$B$6:$B$1005,0)),"")</f>
        <v/>
      </c>
      <c r="N377" s="71" t="str">
        <f aca="false">IF($K377="","",N($K377)*N($M377))</f>
        <v/>
      </c>
      <c r="O377" s="66" t="str">
        <f aca="false">IFERROR(INDEX(商品マスタ!$H$6:$H$1005,MATCH($F377,商品マスタ!$B$6:$B$1005,0)),"")</f>
        <v/>
      </c>
      <c r="P377" s="87" t="str">
        <f aca="false">IF(OR($E377="",$O377=""),"",WORKDAY($E377,$O377))</f>
        <v/>
      </c>
      <c r="Q377" s="80"/>
      <c r="R377" s="131"/>
      <c r="S377" s="69" t="n">
        <f aca="false">IF($Q377="入荷済み",N($L377),0)</f>
        <v>0</v>
      </c>
      <c r="T377" s="80"/>
      <c r="U377" s="80"/>
    </row>
    <row r="378" customFormat="false" ht="15" hidden="false" customHeight="false" outlineLevel="0" collapsed="false">
      <c r="B378" s="66" t="str">
        <f aca="false">IF(OR($E378="",$F378=""),"","PO-"&amp;TEXT($E378,"yyyymmdd")&amp;"-"&amp;TEXT(COUNTIFS($E$6:$E378,$E378,$C$6:$C378,$C378),"000"))</f>
        <v/>
      </c>
      <c r="C378" s="130"/>
      <c r="D378" s="66" t="str">
        <f aca="false">IFERROR(INDEX(定数マスタ!$C$6:$C$105,MATCH($C378,定数マスタ!$B$6:$B$105,0)),"")</f>
        <v/>
      </c>
      <c r="E378" s="131"/>
      <c r="F378" s="130"/>
      <c r="G378" s="66" t="str">
        <f aca="false">IFERROR(INDEX(商品マスタ!$C$6:$C$1005,MATCH($F378,商品マスタ!$B$6:$B$1005,0)),"")</f>
        <v/>
      </c>
      <c r="H378" s="66" t="str">
        <f aca="false">IFERROR(INDEX(商品マスタ!$E$6:$E$1005,MATCH($F378,商品マスタ!$B$6:$B$1005,0)),"")</f>
        <v/>
      </c>
      <c r="I378" s="69" t="str">
        <f aca="false">IFERROR(INDEX(商品マスタ!$F$6:$F$1005,MATCH($F378,商品マスタ!$B$6:$B$1005,0)),"")</f>
        <v/>
      </c>
      <c r="J378" s="69" t="str">
        <f aca="false">IF(OR($F378="",$C378&lt;&gt;'設定（最初に1回）'!$C$4),"",IFERROR(INDEX(発注計算!$Y$6:$Y$405,MATCH($F378,発注計算!$C$6:$C$405,0)),""))</f>
        <v/>
      </c>
      <c r="K378" s="70"/>
      <c r="L378" s="69" t="str">
        <f aca="false">IF($K378="","",N($K378)*N($I378))</f>
        <v/>
      </c>
      <c r="M378" s="71" t="str">
        <f aca="false">IFERROR(INDEX(商品マスタ!$G$6:$G$1005,MATCH($F378,商品マスタ!$B$6:$B$1005,0)),"")</f>
        <v/>
      </c>
      <c r="N378" s="71" t="str">
        <f aca="false">IF($K378="","",N($K378)*N($M378))</f>
        <v/>
      </c>
      <c r="O378" s="66" t="str">
        <f aca="false">IFERROR(INDEX(商品マスタ!$H$6:$H$1005,MATCH($F378,商品マスタ!$B$6:$B$1005,0)),"")</f>
        <v/>
      </c>
      <c r="P378" s="87" t="str">
        <f aca="false">IF(OR($E378="",$O378=""),"",WORKDAY($E378,$O378))</f>
        <v/>
      </c>
      <c r="Q378" s="80"/>
      <c r="R378" s="131"/>
      <c r="S378" s="69" t="n">
        <f aca="false">IF($Q378="入荷済み",N($L378),0)</f>
        <v>0</v>
      </c>
      <c r="T378" s="80"/>
      <c r="U378" s="80"/>
    </row>
    <row r="379" customFormat="false" ht="15" hidden="false" customHeight="false" outlineLevel="0" collapsed="false">
      <c r="B379" s="66" t="str">
        <f aca="false">IF(OR($E379="",$F379=""),"","PO-"&amp;TEXT($E379,"yyyymmdd")&amp;"-"&amp;TEXT(COUNTIFS($E$6:$E379,$E379,$C$6:$C379,$C379),"000"))</f>
        <v/>
      </c>
      <c r="C379" s="130"/>
      <c r="D379" s="66" t="str">
        <f aca="false">IFERROR(INDEX(定数マスタ!$C$6:$C$105,MATCH($C379,定数マスタ!$B$6:$B$105,0)),"")</f>
        <v/>
      </c>
      <c r="E379" s="131"/>
      <c r="F379" s="130"/>
      <c r="G379" s="66" t="str">
        <f aca="false">IFERROR(INDEX(商品マスタ!$C$6:$C$1005,MATCH($F379,商品マスタ!$B$6:$B$1005,0)),"")</f>
        <v/>
      </c>
      <c r="H379" s="66" t="str">
        <f aca="false">IFERROR(INDEX(商品マスタ!$E$6:$E$1005,MATCH($F379,商品マスタ!$B$6:$B$1005,0)),"")</f>
        <v/>
      </c>
      <c r="I379" s="69" t="str">
        <f aca="false">IFERROR(INDEX(商品マスタ!$F$6:$F$1005,MATCH($F379,商品マスタ!$B$6:$B$1005,0)),"")</f>
        <v/>
      </c>
      <c r="J379" s="69" t="str">
        <f aca="false">IF(OR($F379="",$C379&lt;&gt;'設定（最初に1回）'!$C$4),"",IFERROR(INDEX(発注計算!$Y$6:$Y$405,MATCH($F379,発注計算!$C$6:$C$405,0)),""))</f>
        <v/>
      </c>
      <c r="K379" s="70"/>
      <c r="L379" s="69" t="str">
        <f aca="false">IF($K379="","",N($K379)*N($I379))</f>
        <v/>
      </c>
      <c r="M379" s="71" t="str">
        <f aca="false">IFERROR(INDEX(商品マスタ!$G$6:$G$1005,MATCH($F379,商品マスタ!$B$6:$B$1005,0)),"")</f>
        <v/>
      </c>
      <c r="N379" s="71" t="str">
        <f aca="false">IF($K379="","",N($K379)*N($M379))</f>
        <v/>
      </c>
      <c r="O379" s="66" t="str">
        <f aca="false">IFERROR(INDEX(商品マスタ!$H$6:$H$1005,MATCH($F379,商品マスタ!$B$6:$B$1005,0)),"")</f>
        <v/>
      </c>
      <c r="P379" s="87" t="str">
        <f aca="false">IF(OR($E379="",$O379=""),"",WORKDAY($E379,$O379))</f>
        <v/>
      </c>
      <c r="Q379" s="80"/>
      <c r="R379" s="131"/>
      <c r="S379" s="69" t="n">
        <f aca="false">IF($Q379="入荷済み",N($L379),0)</f>
        <v>0</v>
      </c>
      <c r="T379" s="80"/>
      <c r="U379" s="80"/>
    </row>
    <row r="380" customFormat="false" ht="15" hidden="false" customHeight="false" outlineLevel="0" collapsed="false">
      <c r="B380" s="66" t="str">
        <f aca="false">IF(OR($E380="",$F380=""),"","PO-"&amp;TEXT($E380,"yyyymmdd")&amp;"-"&amp;TEXT(COUNTIFS($E$6:$E380,$E380,$C$6:$C380,$C380),"000"))</f>
        <v/>
      </c>
      <c r="C380" s="130"/>
      <c r="D380" s="66" t="str">
        <f aca="false">IFERROR(INDEX(定数マスタ!$C$6:$C$105,MATCH($C380,定数マスタ!$B$6:$B$105,0)),"")</f>
        <v/>
      </c>
      <c r="E380" s="131"/>
      <c r="F380" s="130"/>
      <c r="G380" s="66" t="str">
        <f aca="false">IFERROR(INDEX(商品マスタ!$C$6:$C$1005,MATCH($F380,商品マスタ!$B$6:$B$1005,0)),"")</f>
        <v/>
      </c>
      <c r="H380" s="66" t="str">
        <f aca="false">IFERROR(INDEX(商品マスタ!$E$6:$E$1005,MATCH($F380,商品マスタ!$B$6:$B$1005,0)),"")</f>
        <v/>
      </c>
      <c r="I380" s="69" t="str">
        <f aca="false">IFERROR(INDEX(商品マスタ!$F$6:$F$1005,MATCH($F380,商品マスタ!$B$6:$B$1005,0)),"")</f>
        <v/>
      </c>
      <c r="J380" s="69" t="str">
        <f aca="false">IF(OR($F380="",$C380&lt;&gt;'設定（最初に1回）'!$C$4),"",IFERROR(INDEX(発注計算!$Y$6:$Y$405,MATCH($F380,発注計算!$C$6:$C$405,0)),""))</f>
        <v/>
      </c>
      <c r="K380" s="70"/>
      <c r="L380" s="69" t="str">
        <f aca="false">IF($K380="","",N($K380)*N($I380))</f>
        <v/>
      </c>
      <c r="M380" s="71" t="str">
        <f aca="false">IFERROR(INDEX(商品マスタ!$G$6:$G$1005,MATCH($F380,商品マスタ!$B$6:$B$1005,0)),"")</f>
        <v/>
      </c>
      <c r="N380" s="71" t="str">
        <f aca="false">IF($K380="","",N($K380)*N($M380))</f>
        <v/>
      </c>
      <c r="O380" s="66" t="str">
        <f aca="false">IFERROR(INDEX(商品マスタ!$H$6:$H$1005,MATCH($F380,商品マスタ!$B$6:$B$1005,0)),"")</f>
        <v/>
      </c>
      <c r="P380" s="87" t="str">
        <f aca="false">IF(OR($E380="",$O380=""),"",WORKDAY($E380,$O380))</f>
        <v/>
      </c>
      <c r="Q380" s="80"/>
      <c r="R380" s="131"/>
      <c r="S380" s="69" t="n">
        <f aca="false">IF($Q380="入荷済み",N($L380),0)</f>
        <v>0</v>
      </c>
      <c r="T380" s="80"/>
      <c r="U380" s="80"/>
    </row>
    <row r="381" customFormat="false" ht="15" hidden="false" customHeight="false" outlineLevel="0" collapsed="false">
      <c r="B381" s="66" t="str">
        <f aca="false">IF(OR($E381="",$F381=""),"","PO-"&amp;TEXT($E381,"yyyymmdd")&amp;"-"&amp;TEXT(COUNTIFS($E$6:$E381,$E381,$C$6:$C381,$C381),"000"))</f>
        <v/>
      </c>
      <c r="C381" s="130"/>
      <c r="D381" s="66" t="str">
        <f aca="false">IFERROR(INDEX(定数マスタ!$C$6:$C$105,MATCH($C381,定数マスタ!$B$6:$B$105,0)),"")</f>
        <v/>
      </c>
      <c r="E381" s="131"/>
      <c r="F381" s="130"/>
      <c r="G381" s="66" t="str">
        <f aca="false">IFERROR(INDEX(商品マスタ!$C$6:$C$1005,MATCH($F381,商品マスタ!$B$6:$B$1005,0)),"")</f>
        <v/>
      </c>
      <c r="H381" s="66" t="str">
        <f aca="false">IFERROR(INDEX(商品マスタ!$E$6:$E$1005,MATCH($F381,商品マスタ!$B$6:$B$1005,0)),"")</f>
        <v/>
      </c>
      <c r="I381" s="69" t="str">
        <f aca="false">IFERROR(INDEX(商品マスタ!$F$6:$F$1005,MATCH($F381,商品マスタ!$B$6:$B$1005,0)),"")</f>
        <v/>
      </c>
      <c r="J381" s="69" t="str">
        <f aca="false">IF(OR($F381="",$C381&lt;&gt;'設定（最初に1回）'!$C$4),"",IFERROR(INDEX(発注計算!$Y$6:$Y$405,MATCH($F381,発注計算!$C$6:$C$405,0)),""))</f>
        <v/>
      </c>
      <c r="K381" s="70"/>
      <c r="L381" s="69" t="str">
        <f aca="false">IF($K381="","",N($K381)*N($I381))</f>
        <v/>
      </c>
      <c r="M381" s="71" t="str">
        <f aca="false">IFERROR(INDEX(商品マスタ!$G$6:$G$1005,MATCH($F381,商品マスタ!$B$6:$B$1005,0)),"")</f>
        <v/>
      </c>
      <c r="N381" s="71" t="str">
        <f aca="false">IF($K381="","",N($K381)*N($M381))</f>
        <v/>
      </c>
      <c r="O381" s="66" t="str">
        <f aca="false">IFERROR(INDEX(商品マスタ!$H$6:$H$1005,MATCH($F381,商品マスタ!$B$6:$B$1005,0)),"")</f>
        <v/>
      </c>
      <c r="P381" s="87" t="str">
        <f aca="false">IF(OR($E381="",$O381=""),"",WORKDAY($E381,$O381))</f>
        <v/>
      </c>
      <c r="Q381" s="80"/>
      <c r="R381" s="131"/>
      <c r="S381" s="69" t="n">
        <f aca="false">IF($Q381="入荷済み",N($L381),0)</f>
        <v>0</v>
      </c>
      <c r="T381" s="80"/>
      <c r="U381" s="80"/>
    </row>
    <row r="382" customFormat="false" ht="15" hidden="false" customHeight="false" outlineLevel="0" collapsed="false">
      <c r="B382" s="66" t="str">
        <f aca="false">IF(OR($E382="",$F382=""),"","PO-"&amp;TEXT($E382,"yyyymmdd")&amp;"-"&amp;TEXT(COUNTIFS($E$6:$E382,$E382,$C$6:$C382,$C382),"000"))</f>
        <v/>
      </c>
      <c r="C382" s="130"/>
      <c r="D382" s="66" t="str">
        <f aca="false">IFERROR(INDEX(定数マスタ!$C$6:$C$105,MATCH($C382,定数マスタ!$B$6:$B$105,0)),"")</f>
        <v/>
      </c>
      <c r="E382" s="131"/>
      <c r="F382" s="130"/>
      <c r="G382" s="66" t="str">
        <f aca="false">IFERROR(INDEX(商品マスタ!$C$6:$C$1005,MATCH($F382,商品マスタ!$B$6:$B$1005,0)),"")</f>
        <v/>
      </c>
      <c r="H382" s="66" t="str">
        <f aca="false">IFERROR(INDEX(商品マスタ!$E$6:$E$1005,MATCH($F382,商品マスタ!$B$6:$B$1005,0)),"")</f>
        <v/>
      </c>
      <c r="I382" s="69" t="str">
        <f aca="false">IFERROR(INDEX(商品マスタ!$F$6:$F$1005,MATCH($F382,商品マスタ!$B$6:$B$1005,0)),"")</f>
        <v/>
      </c>
      <c r="J382" s="69" t="str">
        <f aca="false">IF(OR($F382="",$C382&lt;&gt;'設定（最初に1回）'!$C$4),"",IFERROR(INDEX(発注計算!$Y$6:$Y$405,MATCH($F382,発注計算!$C$6:$C$405,0)),""))</f>
        <v/>
      </c>
      <c r="K382" s="70"/>
      <c r="L382" s="69" t="str">
        <f aca="false">IF($K382="","",N($K382)*N($I382))</f>
        <v/>
      </c>
      <c r="M382" s="71" t="str">
        <f aca="false">IFERROR(INDEX(商品マスタ!$G$6:$G$1005,MATCH($F382,商品マスタ!$B$6:$B$1005,0)),"")</f>
        <v/>
      </c>
      <c r="N382" s="71" t="str">
        <f aca="false">IF($K382="","",N($K382)*N($M382))</f>
        <v/>
      </c>
      <c r="O382" s="66" t="str">
        <f aca="false">IFERROR(INDEX(商品マスタ!$H$6:$H$1005,MATCH($F382,商品マスタ!$B$6:$B$1005,0)),"")</f>
        <v/>
      </c>
      <c r="P382" s="87" t="str">
        <f aca="false">IF(OR($E382="",$O382=""),"",WORKDAY($E382,$O382))</f>
        <v/>
      </c>
      <c r="Q382" s="80"/>
      <c r="R382" s="131"/>
      <c r="S382" s="69" t="n">
        <f aca="false">IF($Q382="入荷済み",N($L382),0)</f>
        <v>0</v>
      </c>
      <c r="T382" s="80"/>
      <c r="U382" s="80"/>
    </row>
    <row r="383" customFormat="false" ht="15" hidden="false" customHeight="false" outlineLevel="0" collapsed="false">
      <c r="B383" s="66" t="str">
        <f aca="false">IF(OR($E383="",$F383=""),"","PO-"&amp;TEXT($E383,"yyyymmdd")&amp;"-"&amp;TEXT(COUNTIFS($E$6:$E383,$E383,$C$6:$C383,$C383),"000"))</f>
        <v/>
      </c>
      <c r="C383" s="130"/>
      <c r="D383" s="66" t="str">
        <f aca="false">IFERROR(INDEX(定数マスタ!$C$6:$C$105,MATCH($C383,定数マスタ!$B$6:$B$105,0)),"")</f>
        <v/>
      </c>
      <c r="E383" s="131"/>
      <c r="F383" s="130"/>
      <c r="G383" s="66" t="str">
        <f aca="false">IFERROR(INDEX(商品マスタ!$C$6:$C$1005,MATCH($F383,商品マスタ!$B$6:$B$1005,0)),"")</f>
        <v/>
      </c>
      <c r="H383" s="66" t="str">
        <f aca="false">IFERROR(INDEX(商品マスタ!$E$6:$E$1005,MATCH($F383,商品マスタ!$B$6:$B$1005,0)),"")</f>
        <v/>
      </c>
      <c r="I383" s="69" t="str">
        <f aca="false">IFERROR(INDEX(商品マスタ!$F$6:$F$1005,MATCH($F383,商品マスタ!$B$6:$B$1005,0)),"")</f>
        <v/>
      </c>
      <c r="J383" s="69" t="str">
        <f aca="false">IF(OR($F383="",$C383&lt;&gt;'設定（最初に1回）'!$C$4),"",IFERROR(INDEX(発注計算!$Y$6:$Y$405,MATCH($F383,発注計算!$C$6:$C$405,0)),""))</f>
        <v/>
      </c>
      <c r="K383" s="70"/>
      <c r="L383" s="69" t="str">
        <f aca="false">IF($K383="","",N($K383)*N($I383))</f>
        <v/>
      </c>
      <c r="M383" s="71" t="str">
        <f aca="false">IFERROR(INDEX(商品マスタ!$G$6:$G$1005,MATCH($F383,商品マスタ!$B$6:$B$1005,0)),"")</f>
        <v/>
      </c>
      <c r="N383" s="71" t="str">
        <f aca="false">IF($K383="","",N($K383)*N($M383))</f>
        <v/>
      </c>
      <c r="O383" s="66" t="str">
        <f aca="false">IFERROR(INDEX(商品マスタ!$H$6:$H$1005,MATCH($F383,商品マスタ!$B$6:$B$1005,0)),"")</f>
        <v/>
      </c>
      <c r="P383" s="87" t="str">
        <f aca="false">IF(OR($E383="",$O383=""),"",WORKDAY($E383,$O383))</f>
        <v/>
      </c>
      <c r="Q383" s="80"/>
      <c r="R383" s="131"/>
      <c r="S383" s="69" t="n">
        <f aca="false">IF($Q383="入荷済み",N($L383),0)</f>
        <v>0</v>
      </c>
      <c r="T383" s="80"/>
      <c r="U383" s="80"/>
    </row>
    <row r="384" customFormat="false" ht="15" hidden="false" customHeight="false" outlineLevel="0" collapsed="false">
      <c r="B384" s="66" t="str">
        <f aca="false">IF(OR($E384="",$F384=""),"","PO-"&amp;TEXT($E384,"yyyymmdd")&amp;"-"&amp;TEXT(COUNTIFS($E$6:$E384,$E384,$C$6:$C384,$C384),"000"))</f>
        <v/>
      </c>
      <c r="C384" s="130"/>
      <c r="D384" s="66" t="str">
        <f aca="false">IFERROR(INDEX(定数マスタ!$C$6:$C$105,MATCH($C384,定数マスタ!$B$6:$B$105,0)),"")</f>
        <v/>
      </c>
      <c r="E384" s="131"/>
      <c r="F384" s="130"/>
      <c r="G384" s="66" t="str">
        <f aca="false">IFERROR(INDEX(商品マスタ!$C$6:$C$1005,MATCH($F384,商品マスタ!$B$6:$B$1005,0)),"")</f>
        <v/>
      </c>
      <c r="H384" s="66" t="str">
        <f aca="false">IFERROR(INDEX(商品マスタ!$E$6:$E$1005,MATCH($F384,商品マスタ!$B$6:$B$1005,0)),"")</f>
        <v/>
      </c>
      <c r="I384" s="69" t="str">
        <f aca="false">IFERROR(INDEX(商品マスタ!$F$6:$F$1005,MATCH($F384,商品マスタ!$B$6:$B$1005,0)),"")</f>
        <v/>
      </c>
      <c r="J384" s="69" t="str">
        <f aca="false">IF(OR($F384="",$C384&lt;&gt;'設定（最初に1回）'!$C$4),"",IFERROR(INDEX(発注計算!$Y$6:$Y$405,MATCH($F384,発注計算!$C$6:$C$405,0)),""))</f>
        <v/>
      </c>
      <c r="K384" s="70"/>
      <c r="L384" s="69" t="str">
        <f aca="false">IF($K384="","",N($K384)*N($I384))</f>
        <v/>
      </c>
      <c r="M384" s="71" t="str">
        <f aca="false">IFERROR(INDEX(商品マスタ!$G$6:$G$1005,MATCH($F384,商品マスタ!$B$6:$B$1005,0)),"")</f>
        <v/>
      </c>
      <c r="N384" s="71" t="str">
        <f aca="false">IF($K384="","",N($K384)*N($M384))</f>
        <v/>
      </c>
      <c r="O384" s="66" t="str">
        <f aca="false">IFERROR(INDEX(商品マスタ!$H$6:$H$1005,MATCH($F384,商品マスタ!$B$6:$B$1005,0)),"")</f>
        <v/>
      </c>
      <c r="P384" s="87" t="str">
        <f aca="false">IF(OR($E384="",$O384=""),"",WORKDAY($E384,$O384))</f>
        <v/>
      </c>
      <c r="Q384" s="80"/>
      <c r="R384" s="131"/>
      <c r="S384" s="69" t="n">
        <f aca="false">IF($Q384="入荷済み",N($L384),0)</f>
        <v>0</v>
      </c>
      <c r="T384" s="80"/>
      <c r="U384" s="80"/>
    </row>
    <row r="385" customFormat="false" ht="15" hidden="false" customHeight="false" outlineLevel="0" collapsed="false">
      <c r="B385" s="66" t="str">
        <f aca="false">IF(OR($E385="",$F385=""),"","PO-"&amp;TEXT($E385,"yyyymmdd")&amp;"-"&amp;TEXT(COUNTIFS($E$6:$E385,$E385,$C$6:$C385,$C385),"000"))</f>
        <v/>
      </c>
      <c r="C385" s="130"/>
      <c r="D385" s="66" t="str">
        <f aca="false">IFERROR(INDEX(定数マスタ!$C$6:$C$105,MATCH($C385,定数マスタ!$B$6:$B$105,0)),"")</f>
        <v/>
      </c>
      <c r="E385" s="131"/>
      <c r="F385" s="130"/>
      <c r="G385" s="66" t="str">
        <f aca="false">IFERROR(INDEX(商品マスタ!$C$6:$C$1005,MATCH($F385,商品マスタ!$B$6:$B$1005,0)),"")</f>
        <v/>
      </c>
      <c r="H385" s="66" t="str">
        <f aca="false">IFERROR(INDEX(商品マスタ!$E$6:$E$1005,MATCH($F385,商品マスタ!$B$6:$B$1005,0)),"")</f>
        <v/>
      </c>
      <c r="I385" s="69" t="str">
        <f aca="false">IFERROR(INDEX(商品マスタ!$F$6:$F$1005,MATCH($F385,商品マスタ!$B$6:$B$1005,0)),"")</f>
        <v/>
      </c>
      <c r="J385" s="69" t="str">
        <f aca="false">IF(OR($F385="",$C385&lt;&gt;'設定（最初に1回）'!$C$4),"",IFERROR(INDEX(発注計算!$Y$6:$Y$405,MATCH($F385,発注計算!$C$6:$C$405,0)),""))</f>
        <v/>
      </c>
      <c r="K385" s="70"/>
      <c r="L385" s="69" t="str">
        <f aca="false">IF($K385="","",N($K385)*N($I385))</f>
        <v/>
      </c>
      <c r="M385" s="71" t="str">
        <f aca="false">IFERROR(INDEX(商品マスタ!$G$6:$G$1005,MATCH($F385,商品マスタ!$B$6:$B$1005,0)),"")</f>
        <v/>
      </c>
      <c r="N385" s="71" t="str">
        <f aca="false">IF($K385="","",N($K385)*N($M385))</f>
        <v/>
      </c>
      <c r="O385" s="66" t="str">
        <f aca="false">IFERROR(INDEX(商品マスタ!$H$6:$H$1005,MATCH($F385,商品マスタ!$B$6:$B$1005,0)),"")</f>
        <v/>
      </c>
      <c r="P385" s="87" t="str">
        <f aca="false">IF(OR($E385="",$O385=""),"",WORKDAY($E385,$O385))</f>
        <v/>
      </c>
      <c r="Q385" s="80"/>
      <c r="R385" s="131"/>
      <c r="S385" s="69" t="n">
        <f aca="false">IF($Q385="入荷済み",N($L385),0)</f>
        <v>0</v>
      </c>
      <c r="T385" s="80"/>
      <c r="U385" s="80"/>
    </row>
    <row r="386" customFormat="false" ht="15" hidden="false" customHeight="false" outlineLevel="0" collapsed="false">
      <c r="B386" s="66" t="str">
        <f aca="false">IF(OR($E386="",$F386=""),"","PO-"&amp;TEXT($E386,"yyyymmdd")&amp;"-"&amp;TEXT(COUNTIFS($E$6:$E386,$E386,$C$6:$C386,$C386),"000"))</f>
        <v/>
      </c>
      <c r="C386" s="130"/>
      <c r="D386" s="66" t="str">
        <f aca="false">IFERROR(INDEX(定数マスタ!$C$6:$C$105,MATCH($C386,定数マスタ!$B$6:$B$105,0)),"")</f>
        <v/>
      </c>
      <c r="E386" s="131"/>
      <c r="F386" s="130"/>
      <c r="G386" s="66" t="str">
        <f aca="false">IFERROR(INDEX(商品マスタ!$C$6:$C$1005,MATCH($F386,商品マスタ!$B$6:$B$1005,0)),"")</f>
        <v/>
      </c>
      <c r="H386" s="66" t="str">
        <f aca="false">IFERROR(INDEX(商品マスタ!$E$6:$E$1005,MATCH($F386,商品マスタ!$B$6:$B$1005,0)),"")</f>
        <v/>
      </c>
      <c r="I386" s="69" t="str">
        <f aca="false">IFERROR(INDEX(商品マスタ!$F$6:$F$1005,MATCH($F386,商品マスタ!$B$6:$B$1005,0)),"")</f>
        <v/>
      </c>
      <c r="J386" s="69" t="str">
        <f aca="false">IF(OR($F386="",$C386&lt;&gt;'設定（最初に1回）'!$C$4),"",IFERROR(INDEX(発注計算!$Y$6:$Y$405,MATCH($F386,発注計算!$C$6:$C$405,0)),""))</f>
        <v/>
      </c>
      <c r="K386" s="70"/>
      <c r="L386" s="69" t="str">
        <f aca="false">IF($K386="","",N($K386)*N($I386))</f>
        <v/>
      </c>
      <c r="M386" s="71" t="str">
        <f aca="false">IFERROR(INDEX(商品マスタ!$G$6:$G$1005,MATCH($F386,商品マスタ!$B$6:$B$1005,0)),"")</f>
        <v/>
      </c>
      <c r="N386" s="71" t="str">
        <f aca="false">IF($K386="","",N($K386)*N($M386))</f>
        <v/>
      </c>
      <c r="O386" s="66" t="str">
        <f aca="false">IFERROR(INDEX(商品マスタ!$H$6:$H$1005,MATCH($F386,商品マスタ!$B$6:$B$1005,0)),"")</f>
        <v/>
      </c>
      <c r="P386" s="87" t="str">
        <f aca="false">IF(OR($E386="",$O386=""),"",WORKDAY($E386,$O386))</f>
        <v/>
      </c>
      <c r="Q386" s="80"/>
      <c r="R386" s="131"/>
      <c r="S386" s="69" t="n">
        <f aca="false">IF($Q386="入荷済み",N($L386),0)</f>
        <v>0</v>
      </c>
      <c r="T386" s="80"/>
      <c r="U386" s="80"/>
    </row>
    <row r="387" customFormat="false" ht="15" hidden="false" customHeight="false" outlineLevel="0" collapsed="false">
      <c r="B387" s="66" t="str">
        <f aca="false">IF(OR($E387="",$F387=""),"","PO-"&amp;TEXT($E387,"yyyymmdd")&amp;"-"&amp;TEXT(COUNTIFS($E$6:$E387,$E387,$C$6:$C387,$C387),"000"))</f>
        <v/>
      </c>
      <c r="C387" s="130"/>
      <c r="D387" s="66" t="str">
        <f aca="false">IFERROR(INDEX(定数マスタ!$C$6:$C$105,MATCH($C387,定数マスタ!$B$6:$B$105,0)),"")</f>
        <v/>
      </c>
      <c r="E387" s="131"/>
      <c r="F387" s="130"/>
      <c r="G387" s="66" t="str">
        <f aca="false">IFERROR(INDEX(商品マスタ!$C$6:$C$1005,MATCH($F387,商品マスタ!$B$6:$B$1005,0)),"")</f>
        <v/>
      </c>
      <c r="H387" s="66" t="str">
        <f aca="false">IFERROR(INDEX(商品マスタ!$E$6:$E$1005,MATCH($F387,商品マスタ!$B$6:$B$1005,0)),"")</f>
        <v/>
      </c>
      <c r="I387" s="69" t="str">
        <f aca="false">IFERROR(INDEX(商品マスタ!$F$6:$F$1005,MATCH($F387,商品マスタ!$B$6:$B$1005,0)),"")</f>
        <v/>
      </c>
      <c r="J387" s="69" t="str">
        <f aca="false">IF(OR($F387="",$C387&lt;&gt;'設定（最初に1回）'!$C$4),"",IFERROR(INDEX(発注計算!$Y$6:$Y$405,MATCH($F387,発注計算!$C$6:$C$405,0)),""))</f>
        <v/>
      </c>
      <c r="K387" s="70"/>
      <c r="L387" s="69" t="str">
        <f aca="false">IF($K387="","",N($K387)*N($I387))</f>
        <v/>
      </c>
      <c r="M387" s="71" t="str">
        <f aca="false">IFERROR(INDEX(商品マスタ!$G$6:$G$1005,MATCH($F387,商品マスタ!$B$6:$B$1005,0)),"")</f>
        <v/>
      </c>
      <c r="N387" s="71" t="str">
        <f aca="false">IF($K387="","",N($K387)*N($M387))</f>
        <v/>
      </c>
      <c r="O387" s="66" t="str">
        <f aca="false">IFERROR(INDEX(商品マスタ!$H$6:$H$1005,MATCH($F387,商品マスタ!$B$6:$B$1005,0)),"")</f>
        <v/>
      </c>
      <c r="P387" s="87" t="str">
        <f aca="false">IF(OR($E387="",$O387=""),"",WORKDAY($E387,$O387))</f>
        <v/>
      </c>
      <c r="Q387" s="80"/>
      <c r="R387" s="131"/>
      <c r="S387" s="69" t="n">
        <f aca="false">IF($Q387="入荷済み",N($L387),0)</f>
        <v>0</v>
      </c>
      <c r="T387" s="80"/>
      <c r="U387" s="80"/>
    </row>
    <row r="388" customFormat="false" ht="15" hidden="false" customHeight="false" outlineLevel="0" collapsed="false">
      <c r="B388" s="66" t="str">
        <f aca="false">IF(OR($E388="",$F388=""),"","PO-"&amp;TEXT($E388,"yyyymmdd")&amp;"-"&amp;TEXT(COUNTIFS($E$6:$E388,$E388,$C$6:$C388,$C388),"000"))</f>
        <v/>
      </c>
      <c r="C388" s="130"/>
      <c r="D388" s="66" t="str">
        <f aca="false">IFERROR(INDEX(定数マスタ!$C$6:$C$105,MATCH($C388,定数マスタ!$B$6:$B$105,0)),"")</f>
        <v/>
      </c>
      <c r="E388" s="131"/>
      <c r="F388" s="130"/>
      <c r="G388" s="66" t="str">
        <f aca="false">IFERROR(INDEX(商品マスタ!$C$6:$C$1005,MATCH($F388,商品マスタ!$B$6:$B$1005,0)),"")</f>
        <v/>
      </c>
      <c r="H388" s="66" t="str">
        <f aca="false">IFERROR(INDEX(商品マスタ!$E$6:$E$1005,MATCH($F388,商品マスタ!$B$6:$B$1005,0)),"")</f>
        <v/>
      </c>
      <c r="I388" s="69" t="str">
        <f aca="false">IFERROR(INDEX(商品マスタ!$F$6:$F$1005,MATCH($F388,商品マスタ!$B$6:$B$1005,0)),"")</f>
        <v/>
      </c>
      <c r="J388" s="69" t="str">
        <f aca="false">IF(OR($F388="",$C388&lt;&gt;'設定（最初に1回）'!$C$4),"",IFERROR(INDEX(発注計算!$Y$6:$Y$405,MATCH($F388,発注計算!$C$6:$C$405,0)),""))</f>
        <v/>
      </c>
      <c r="K388" s="70"/>
      <c r="L388" s="69" t="str">
        <f aca="false">IF($K388="","",N($K388)*N($I388))</f>
        <v/>
      </c>
      <c r="M388" s="71" t="str">
        <f aca="false">IFERROR(INDEX(商品マスタ!$G$6:$G$1005,MATCH($F388,商品マスタ!$B$6:$B$1005,0)),"")</f>
        <v/>
      </c>
      <c r="N388" s="71" t="str">
        <f aca="false">IF($K388="","",N($K388)*N($M388))</f>
        <v/>
      </c>
      <c r="O388" s="66" t="str">
        <f aca="false">IFERROR(INDEX(商品マスタ!$H$6:$H$1005,MATCH($F388,商品マスタ!$B$6:$B$1005,0)),"")</f>
        <v/>
      </c>
      <c r="P388" s="87" t="str">
        <f aca="false">IF(OR($E388="",$O388=""),"",WORKDAY($E388,$O388))</f>
        <v/>
      </c>
      <c r="Q388" s="80"/>
      <c r="R388" s="131"/>
      <c r="S388" s="69" t="n">
        <f aca="false">IF($Q388="入荷済み",N($L388),0)</f>
        <v>0</v>
      </c>
      <c r="T388" s="80"/>
      <c r="U388" s="80"/>
    </row>
    <row r="389" customFormat="false" ht="15" hidden="false" customHeight="false" outlineLevel="0" collapsed="false">
      <c r="B389" s="66" t="str">
        <f aca="false">IF(OR($E389="",$F389=""),"","PO-"&amp;TEXT($E389,"yyyymmdd")&amp;"-"&amp;TEXT(COUNTIFS($E$6:$E389,$E389,$C$6:$C389,$C389),"000"))</f>
        <v/>
      </c>
      <c r="C389" s="130"/>
      <c r="D389" s="66" t="str">
        <f aca="false">IFERROR(INDEX(定数マスタ!$C$6:$C$105,MATCH($C389,定数マスタ!$B$6:$B$105,0)),"")</f>
        <v/>
      </c>
      <c r="E389" s="131"/>
      <c r="F389" s="130"/>
      <c r="G389" s="66" t="str">
        <f aca="false">IFERROR(INDEX(商品マスタ!$C$6:$C$1005,MATCH($F389,商品マスタ!$B$6:$B$1005,0)),"")</f>
        <v/>
      </c>
      <c r="H389" s="66" t="str">
        <f aca="false">IFERROR(INDEX(商品マスタ!$E$6:$E$1005,MATCH($F389,商品マスタ!$B$6:$B$1005,0)),"")</f>
        <v/>
      </c>
      <c r="I389" s="69" t="str">
        <f aca="false">IFERROR(INDEX(商品マスタ!$F$6:$F$1005,MATCH($F389,商品マスタ!$B$6:$B$1005,0)),"")</f>
        <v/>
      </c>
      <c r="J389" s="69" t="str">
        <f aca="false">IF(OR($F389="",$C389&lt;&gt;'設定（最初に1回）'!$C$4),"",IFERROR(INDEX(発注計算!$Y$6:$Y$405,MATCH($F389,発注計算!$C$6:$C$405,0)),""))</f>
        <v/>
      </c>
      <c r="K389" s="70"/>
      <c r="L389" s="69" t="str">
        <f aca="false">IF($K389="","",N($K389)*N($I389))</f>
        <v/>
      </c>
      <c r="M389" s="71" t="str">
        <f aca="false">IFERROR(INDEX(商品マスタ!$G$6:$G$1005,MATCH($F389,商品マスタ!$B$6:$B$1005,0)),"")</f>
        <v/>
      </c>
      <c r="N389" s="71" t="str">
        <f aca="false">IF($K389="","",N($K389)*N($M389))</f>
        <v/>
      </c>
      <c r="O389" s="66" t="str">
        <f aca="false">IFERROR(INDEX(商品マスタ!$H$6:$H$1005,MATCH($F389,商品マスタ!$B$6:$B$1005,0)),"")</f>
        <v/>
      </c>
      <c r="P389" s="87" t="str">
        <f aca="false">IF(OR($E389="",$O389=""),"",WORKDAY($E389,$O389))</f>
        <v/>
      </c>
      <c r="Q389" s="80"/>
      <c r="R389" s="131"/>
      <c r="S389" s="69" t="n">
        <f aca="false">IF($Q389="入荷済み",N($L389),0)</f>
        <v>0</v>
      </c>
      <c r="T389" s="80"/>
      <c r="U389" s="80"/>
    </row>
    <row r="390" customFormat="false" ht="15" hidden="false" customHeight="false" outlineLevel="0" collapsed="false">
      <c r="B390" s="66" t="str">
        <f aca="false">IF(OR($E390="",$F390=""),"","PO-"&amp;TEXT($E390,"yyyymmdd")&amp;"-"&amp;TEXT(COUNTIFS($E$6:$E390,$E390,$C$6:$C390,$C390),"000"))</f>
        <v/>
      </c>
      <c r="C390" s="130"/>
      <c r="D390" s="66" t="str">
        <f aca="false">IFERROR(INDEX(定数マスタ!$C$6:$C$105,MATCH($C390,定数マスタ!$B$6:$B$105,0)),"")</f>
        <v/>
      </c>
      <c r="E390" s="131"/>
      <c r="F390" s="130"/>
      <c r="G390" s="66" t="str">
        <f aca="false">IFERROR(INDEX(商品マスタ!$C$6:$C$1005,MATCH($F390,商品マスタ!$B$6:$B$1005,0)),"")</f>
        <v/>
      </c>
      <c r="H390" s="66" t="str">
        <f aca="false">IFERROR(INDEX(商品マスタ!$E$6:$E$1005,MATCH($F390,商品マスタ!$B$6:$B$1005,0)),"")</f>
        <v/>
      </c>
      <c r="I390" s="69" t="str">
        <f aca="false">IFERROR(INDEX(商品マスタ!$F$6:$F$1005,MATCH($F390,商品マスタ!$B$6:$B$1005,0)),"")</f>
        <v/>
      </c>
      <c r="J390" s="69" t="str">
        <f aca="false">IF(OR($F390="",$C390&lt;&gt;'設定（最初に1回）'!$C$4),"",IFERROR(INDEX(発注計算!$Y$6:$Y$405,MATCH($F390,発注計算!$C$6:$C$405,0)),""))</f>
        <v/>
      </c>
      <c r="K390" s="70"/>
      <c r="L390" s="69" t="str">
        <f aca="false">IF($K390="","",N($K390)*N($I390))</f>
        <v/>
      </c>
      <c r="M390" s="71" t="str">
        <f aca="false">IFERROR(INDEX(商品マスタ!$G$6:$G$1005,MATCH($F390,商品マスタ!$B$6:$B$1005,0)),"")</f>
        <v/>
      </c>
      <c r="N390" s="71" t="str">
        <f aca="false">IF($K390="","",N($K390)*N($M390))</f>
        <v/>
      </c>
      <c r="O390" s="66" t="str">
        <f aca="false">IFERROR(INDEX(商品マスタ!$H$6:$H$1005,MATCH($F390,商品マスタ!$B$6:$B$1005,0)),"")</f>
        <v/>
      </c>
      <c r="P390" s="87" t="str">
        <f aca="false">IF(OR($E390="",$O390=""),"",WORKDAY($E390,$O390))</f>
        <v/>
      </c>
      <c r="Q390" s="80"/>
      <c r="R390" s="131"/>
      <c r="S390" s="69" t="n">
        <f aca="false">IF($Q390="入荷済み",N($L390),0)</f>
        <v>0</v>
      </c>
      <c r="T390" s="80"/>
      <c r="U390" s="80"/>
    </row>
    <row r="391" customFormat="false" ht="15" hidden="false" customHeight="false" outlineLevel="0" collapsed="false">
      <c r="B391" s="66" t="str">
        <f aca="false">IF(OR($E391="",$F391=""),"","PO-"&amp;TEXT($E391,"yyyymmdd")&amp;"-"&amp;TEXT(COUNTIFS($E$6:$E391,$E391,$C$6:$C391,$C391),"000"))</f>
        <v/>
      </c>
      <c r="C391" s="130"/>
      <c r="D391" s="66" t="str">
        <f aca="false">IFERROR(INDEX(定数マスタ!$C$6:$C$105,MATCH($C391,定数マスタ!$B$6:$B$105,0)),"")</f>
        <v/>
      </c>
      <c r="E391" s="131"/>
      <c r="F391" s="130"/>
      <c r="G391" s="66" t="str">
        <f aca="false">IFERROR(INDEX(商品マスタ!$C$6:$C$1005,MATCH($F391,商品マスタ!$B$6:$B$1005,0)),"")</f>
        <v/>
      </c>
      <c r="H391" s="66" t="str">
        <f aca="false">IFERROR(INDEX(商品マスタ!$E$6:$E$1005,MATCH($F391,商品マスタ!$B$6:$B$1005,0)),"")</f>
        <v/>
      </c>
      <c r="I391" s="69" t="str">
        <f aca="false">IFERROR(INDEX(商品マスタ!$F$6:$F$1005,MATCH($F391,商品マスタ!$B$6:$B$1005,0)),"")</f>
        <v/>
      </c>
      <c r="J391" s="69" t="str">
        <f aca="false">IF(OR($F391="",$C391&lt;&gt;'設定（最初に1回）'!$C$4),"",IFERROR(INDEX(発注計算!$Y$6:$Y$405,MATCH($F391,発注計算!$C$6:$C$405,0)),""))</f>
        <v/>
      </c>
      <c r="K391" s="70"/>
      <c r="L391" s="69" t="str">
        <f aca="false">IF($K391="","",N($K391)*N($I391))</f>
        <v/>
      </c>
      <c r="M391" s="71" t="str">
        <f aca="false">IFERROR(INDEX(商品マスタ!$G$6:$G$1005,MATCH($F391,商品マスタ!$B$6:$B$1005,0)),"")</f>
        <v/>
      </c>
      <c r="N391" s="71" t="str">
        <f aca="false">IF($K391="","",N($K391)*N($M391))</f>
        <v/>
      </c>
      <c r="O391" s="66" t="str">
        <f aca="false">IFERROR(INDEX(商品マスタ!$H$6:$H$1005,MATCH($F391,商品マスタ!$B$6:$B$1005,0)),"")</f>
        <v/>
      </c>
      <c r="P391" s="87" t="str">
        <f aca="false">IF(OR($E391="",$O391=""),"",WORKDAY($E391,$O391))</f>
        <v/>
      </c>
      <c r="Q391" s="80"/>
      <c r="R391" s="131"/>
      <c r="S391" s="69" t="n">
        <f aca="false">IF($Q391="入荷済み",N($L391),0)</f>
        <v>0</v>
      </c>
      <c r="T391" s="80"/>
      <c r="U391" s="80"/>
    </row>
    <row r="392" customFormat="false" ht="15" hidden="false" customHeight="false" outlineLevel="0" collapsed="false">
      <c r="B392" s="66" t="str">
        <f aca="false">IF(OR($E392="",$F392=""),"","PO-"&amp;TEXT($E392,"yyyymmdd")&amp;"-"&amp;TEXT(COUNTIFS($E$6:$E392,$E392,$C$6:$C392,$C392),"000"))</f>
        <v/>
      </c>
      <c r="C392" s="130"/>
      <c r="D392" s="66" t="str">
        <f aca="false">IFERROR(INDEX(定数マスタ!$C$6:$C$105,MATCH($C392,定数マスタ!$B$6:$B$105,0)),"")</f>
        <v/>
      </c>
      <c r="E392" s="131"/>
      <c r="F392" s="130"/>
      <c r="G392" s="66" t="str">
        <f aca="false">IFERROR(INDEX(商品マスタ!$C$6:$C$1005,MATCH($F392,商品マスタ!$B$6:$B$1005,0)),"")</f>
        <v/>
      </c>
      <c r="H392" s="66" t="str">
        <f aca="false">IFERROR(INDEX(商品マスタ!$E$6:$E$1005,MATCH($F392,商品マスタ!$B$6:$B$1005,0)),"")</f>
        <v/>
      </c>
      <c r="I392" s="69" t="str">
        <f aca="false">IFERROR(INDEX(商品マスタ!$F$6:$F$1005,MATCH($F392,商品マスタ!$B$6:$B$1005,0)),"")</f>
        <v/>
      </c>
      <c r="J392" s="69" t="str">
        <f aca="false">IF(OR($F392="",$C392&lt;&gt;'設定（最初に1回）'!$C$4),"",IFERROR(INDEX(発注計算!$Y$6:$Y$405,MATCH($F392,発注計算!$C$6:$C$405,0)),""))</f>
        <v/>
      </c>
      <c r="K392" s="70"/>
      <c r="L392" s="69" t="str">
        <f aca="false">IF($K392="","",N($K392)*N($I392))</f>
        <v/>
      </c>
      <c r="M392" s="71" t="str">
        <f aca="false">IFERROR(INDEX(商品マスタ!$G$6:$G$1005,MATCH($F392,商品マスタ!$B$6:$B$1005,0)),"")</f>
        <v/>
      </c>
      <c r="N392" s="71" t="str">
        <f aca="false">IF($K392="","",N($K392)*N($M392))</f>
        <v/>
      </c>
      <c r="O392" s="66" t="str">
        <f aca="false">IFERROR(INDEX(商品マスタ!$H$6:$H$1005,MATCH($F392,商品マスタ!$B$6:$B$1005,0)),"")</f>
        <v/>
      </c>
      <c r="P392" s="87" t="str">
        <f aca="false">IF(OR($E392="",$O392=""),"",WORKDAY($E392,$O392))</f>
        <v/>
      </c>
      <c r="Q392" s="80"/>
      <c r="R392" s="131"/>
      <c r="S392" s="69" t="n">
        <f aca="false">IF($Q392="入荷済み",N($L392),0)</f>
        <v>0</v>
      </c>
      <c r="T392" s="80"/>
      <c r="U392" s="80"/>
    </row>
    <row r="393" customFormat="false" ht="15" hidden="false" customHeight="false" outlineLevel="0" collapsed="false">
      <c r="B393" s="66" t="str">
        <f aca="false">IF(OR($E393="",$F393=""),"","PO-"&amp;TEXT($E393,"yyyymmdd")&amp;"-"&amp;TEXT(COUNTIFS($E$6:$E393,$E393,$C$6:$C393,$C393),"000"))</f>
        <v/>
      </c>
      <c r="C393" s="130"/>
      <c r="D393" s="66" t="str">
        <f aca="false">IFERROR(INDEX(定数マスタ!$C$6:$C$105,MATCH($C393,定数マスタ!$B$6:$B$105,0)),"")</f>
        <v/>
      </c>
      <c r="E393" s="131"/>
      <c r="F393" s="130"/>
      <c r="G393" s="66" t="str">
        <f aca="false">IFERROR(INDEX(商品マスタ!$C$6:$C$1005,MATCH($F393,商品マスタ!$B$6:$B$1005,0)),"")</f>
        <v/>
      </c>
      <c r="H393" s="66" t="str">
        <f aca="false">IFERROR(INDEX(商品マスタ!$E$6:$E$1005,MATCH($F393,商品マスタ!$B$6:$B$1005,0)),"")</f>
        <v/>
      </c>
      <c r="I393" s="69" t="str">
        <f aca="false">IFERROR(INDEX(商品マスタ!$F$6:$F$1005,MATCH($F393,商品マスタ!$B$6:$B$1005,0)),"")</f>
        <v/>
      </c>
      <c r="J393" s="69" t="str">
        <f aca="false">IF(OR($F393="",$C393&lt;&gt;'設定（最初に1回）'!$C$4),"",IFERROR(INDEX(発注計算!$Y$6:$Y$405,MATCH($F393,発注計算!$C$6:$C$405,0)),""))</f>
        <v/>
      </c>
      <c r="K393" s="70"/>
      <c r="L393" s="69" t="str">
        <f aca="false">IF($K393="","",N($K393)*N($I393))</f>
        <v/>
      </c>
      <c r="M393" s="71" t="str">
        <f aca="false">IFERROR(INDEX(商品マスタ!$G$6:$G$1005,MATCH($F393,商品マスタ!$B$6:$B$1005,0)),"")</f>
        <v/>
      </c>
      <c r="N393" s="71" t="str">
        <f aca="false">IF($K393="","",N($K393)*N($M393))</f>
        <v/>
      </c>
      <c r="O393" s="66" t="str">
        <f aca="false">IFERROR(INDEX(商品マスタ!$H$6:$H$1005,MATCH($F393,商品マスタ!$B$6:$B$1005,0)),"")</f>
        <v/>
      </c>
      <c r="P393" s="87" t="str">
        <f aca="false">IF(OR($E393="",$O393=""),"",WORKDAY($E393,$O393))</f>
        <v/>
      </c>
      <c r="Q393" s="80"/>
      <c r="R393" s="131"/>
      <c r="S393" s="69" t="n">
        <f aca="false">IF($Q393="入荷済み",N($L393),0)</f>
        <v>0</v>
      </c>
      <c r="T393" s="80"/>
      <c r="U393" s="80"/>
    </row>
    <row r="394" customFormat="false" ht="15" hidden="false" customHeight="false" outlineLevel="0" collapsed="false">
      <c r="B394" s="66" t="str">
        <f aca="false">IF(OR($E394="",$F394=""),"","PO-"&amp;TEXT($E394,"yyyymmdd")&amp;"-"&amp;TEXT(COUNTIFS($E$6:$E394,$E394,$C$6:$C394,$C394),"000"))</f>
        <v/>
      </c>
      <c r="C394" s="130"/>
      <c r="D394" s="66" t="str">
        <f aca="false">IFERROR(INDEX(定数マスタ!$C$6:$C$105,MATCH($C394,定数マスタ!$B$6:$B$105,0)),"")</f>
        <v/>
      </c>
      <c r="E394" s="131"/>
      <c r="F394" s="130"/>
      <c r="G394" s="66" t="str">
        <f aca="false">IFERROR(INDEX(商品マスタ!$C$6:$C$1005,MATCH($F394,商品マスタ!$B$6:$B$1005,0)),"")</f>
        <v/>
      </c>
      <c r="H394" s="66" t="str">
        <f aca="false">IFERROR(INDEX(商品マスタ!$E$6:$E$1005,MATCH($F394,商品マスタ!$B$6:$B$1005,0)),"")</f>
        <v/>
      </c>
      <c r="I394" s="69" t="str">
        <f aca="false">IFERROR(INDEX(商品マスタ!$F$6:$F$1005,MATCH($F394,商品マスタ!$B$6:$B$1005,0)),"")</f>
        <v/>
      </c>
      <c r="J394" s="69" t="str">
        <f aca="false">IF(OR($F394="",$C394&lt;&gt;'設定（最初に1回）'!$C$4),"",IFERROR(INDEX(発注計算!$Y$6:$Y$405,MATCH($F394,発注計算!$C$6:$C$405,0)),""))</f>
        <v/>
      </c>
      <c r="K394" s="70"/>
      <c r="L394" s="69" t="str">
        <f aca="false">IF($K394="","",N($K394)*N($I394))</f>
        <v/>
      </c>
      <c r="M394" s="71" t="str">
        <f aca="false">IFERROR(INDEX(商品マスタ!$G$6:$G$1005,MATCH($F394,商品マスタ!$B$6:$B$1005,0)),"")</f>
        <v/>
      </c>
      <c r="N394" s="71" t="str">
        <f aca="false">IF($K394="","",N($K394)*N($M394))</f>
        <v/>
      </c>
      <c r="O394" s="66" t="str">
        <f aca="false">IFERROR(INDEX(商品マスタ!$H$6:$H$1005,MATCH($F394,商品マスタ!$B$6:$B$1005,0)),"")</f>
        <v/>
      </c>
      <c r="P394" s="87" t="str">
        <f aca="false">IF(OR($E394="",$O394=""),"",WORKDAY($E394,$O394))</f>
        <v/>
      </c>
      <c r="Q394" s="80"/>
      <c r="R394" s="131"/>
      <c r="S394" s="69" t="n">
        <f aca="false">IF($Q394="入荷済み",N($L394),0)</f>
        <v>0</v>
      </c>
      <c r="T394" s="80"/>
      <c r="U394" s="80"/>
    </row>
    <row r="395" customFormat="false" ht="15" hidden="false" customHeight="false" outlineLevel="0" collapsed="false">
      <c r="B395" s="66" t="str">
        <f aca="false">IF(OR($E395="",$F395=""),"","PO-"&amp;TEXT($E395,"yyyymmdd")&amp;"-"&amp;TEXT(COUNTIFS($E$6:$E395,$E395,$C$6:$C395,$C395),"000"))</f>
        <v/>
      </c>
      <c r="C395" s="130"/>
      <c r="D395" s="66" t="str">
        <f aca="false">IFERROR(INDEX(定数マスタ!$C$6:$C$105,MATCH($C395,定数マスタ!$B$6:$B$105,0)),"")</f>
        <v/>
      </c>
      <c r="E395" s="131"/>
      <c r="F395" s="130"/>
      <c r="G395" s="66" t="str">
        <f aca="false">IFERROR(INDEX(商品マスタ!$C$6:$C$1005,MATCH($F395,商品マスタ!$B$6:$B$1005,0)),"")</f>
        <v/>
      </c>
      <c r="H395" s="66" t="str">
        <f aca="false">IFERROR(INDEX(商品マスタ!$E$6:$E$1005,MATCH($F395,商品マスタ!$B$6:$B$1005,0)),"")</f>
        <v/>
      </c>
      <c r="I395" s="69" t="str">
        <f aca="false">IFERROR(INDEX(商品マスタ!$F$6:$F$1005,MATCH($F395,商品マスタ!$B$6:$B$1005,0)),"")</f>
        <v/>
      </c>
      <c r="J395" s="69" t="str">
        <f aca="false">IF(OR($F395="",$C395&lt;&gt;'設定（最初に1回）'!$C$4),"",IFERROR(INDEX(発注計算!$Y$6:$Y$405,MATCH($F395,発注計算!$C$6:$C$405,0)),""))</f>
        <v/>
      </c>
      <c r="K395" s="70"/>
      <c r="L395" s="69" t="str">
        <f aca="false">IF($K395="","",N($K395)*N($I395))</f>
        <v/>
      </c>
      <c r="M395" s="71" t="str">
        <f aca="false">IFERROR(INDEX(商品マスタ!$G$6:$G$1005,MATCH($F395,商品マスタ!$B$6:$B$1005,0)),"")</f>
        <v/>
      </c>
      <c r="N395" s="71" t="str">
        <f aca="false">IF($K395="","",N($K395)*N($M395))</f>
        <v/>
      </c>
      <c r="O395" s="66" t="str">
        <f aca="false">IFERROR(INDEX(商品マスタ!$H$6:$H$1005,MATCH($F395,商品マスタ!$B$6:$B$1005,0)),"")</f>
        <v/>
      </c>
      <c r="P395" s="87" t="str">
        <f aca="false">IF(OR($E395="",$O395=""),"",WORKDAY($E395,$O395))</f>
        <v/>
      </c>
      <c r="Q395" s="80"/>
      <c r="R395" s="131"/>
      <c r="S395" s="69" t="n">
        <f aca="false">IF($Q395="入荷済み",N($L395),0)</f>
        <v>0</v>
      </c>
      <c r="T395" s="80"/>
      <c r="U395" s="80"/>
    </row>
    <row r="396" customFormat="false" ht="15" hidden="false" customHeight="false" outlineLevel="0" collapsed="false">
      <c r="B396" s="66" t="str">
        <f aca="false">IF(OR($E396="",$F396=""),"","PO-"&amp;TEXT($E396,"yyyymmdd")&amp;"-"&amp;TEXT(COUNTIFS($E$6:$E396,$E396,$C$6:$C396,$C396),"000"))</f>
        <v/>
      </c>
      <c r="C396" s="130"/>
      <c r="D396" s="66" t="str">
        <f aca="false">IFERROR(INDEX(定数マスタ!$C$6:$C$105,MATCH($C396,定数マスタ!$B$6:$B$105,0)),"")</f>
        <v/>
      </c>
      <c r="E396" s="131"/>
      <c r="F396" s="130"/>
      <c r="G396" s="66" t="str">
        <f aca="false">IFERROR(INDEX(商品マスタ!$C$6:$C$1005,MATCH($F396,商品マスタ!$B$6:$B$1005,0)),"")</f>
        <v/>
      </c>
      <c r="H396" s="66" t="str">
        <f aca="false">IFERROR(INDEX(商品マスタ!$E$6:$E$1005,MATCH($F396,商品マスタ!$B$6:$B$1005,0)),"")</f>
        <v/>
      </c>
      <c r="I396" s="69" t="str">
        <f aca="false">IFERROR(INDEX(商品マスタ!$F$6:$F$1005,MATCH($F396,商品マスタ!$B$6:$B$1005,0)),"")</f>
        <v/>
      </c>
      <c r="J396" s="69" t="str">
        <f aca="false">IF(OR($F396="",$C396&lt;&gt;'設定（最初に1回）'!$C$4),"",IFERROR(INDEX(発注計算!$Y$6:$Y$405,MATCH($F396,発注計算!$C$6:$C$405,0)),""))</f>
        <v/>
      </c>
      <c r="K396" s="70"/>
      <c r="L396" s="69" t="str">
        <f aca="false">IF($K396="","",N($K396)*N($I396))</f>
        <v/>
      </c>
      <c r="M396" s="71" t="str">
        <f aca="false">IFERROR(INDEX(商品マスタ!$G$6:$G$1005,MATCH($F396,商品マスタ!$B$6:$B$1005,0)),"")</f>
        <v/>
      </c>
      <c r="N396" s="71" t="str">
        <f aca="false">IF($K396="","",N($K396)*N($M396))</f>
        <v/>
      </c>
      <c r="O396" s="66" t="str">
        <f aca="false">IFERROR(INDEX(商品マスタ!$H$6:$H$1005,MATCH($F396,商品マスタ!$B$6:$B$1005,0)),"")</f>
        <v/>
      </c>
      <c r="P396" s="87" t="str">
        <f aca="false">IF(OR($E396="",$O396=""),"",WORKDAY($E396,$O396))</f>
        <v/>
      </c>
      <c r="Q396" s="80"/>
      <c r="R396" s="131"/>
      <c r="S396" s="69" t="n">
        <f aca="false">IF($Q396="入荷済み",N($L396),0)</f>
        <v>0</v>
      </c>
      <c r="T396" s="80"/>
      <c r="U396" s="80"/>
    </row>
    <row r="397" customFormat="false" ht="15" hidden="false" customHeight="false" outlineLevel="0" collapsed="false">
      <c r="B397" s="66" t="str">
        <f aca="false">IF(OR($E397="",$F397=""),"","PO-"&amp;TEXT($E397,"yyyymmdd")&amp;"-"&amp;TEXT(COUNTIFS($E$6:$E397,$E397,$C$6:$C397,$C397),"000"))</f>
        <v/>
      </c>
      <c r="C397" s="130"/>
      <c r="D397" s="66" t="str">
        <f aca="false">IFERROR(INDEX(定数マスタ!$C$6:$C$105,MATCH($C397,定数マスタ!$B$6:$B$105,0)),"")</f>
        <v/>
      </c>
      <c r="E397" s="131"/>
      <c r="F397" s="130"/>
      <c r="G397" s="66" t="str">
        <f aca="false">IFERROR(INDEX(商品マスタ!$C$6:$C$1005,MATCH($F397,商品マスタ!$B$6:$B$1005,0)),"")</f>
        <v/>
      </c>
      <c r="H397" s="66" t="str">
        <f aca="false">IFERROR(INDEX(商品マスタ!$E$6:$E$1005,MATCH($F397,商品マスタ!$B$6:$B$1005,0)),"")</f>
        <v/>
      </c>
      <c r="I397" s="69" t="str">
        <f aca="false">IFERROR(INDEX(商品マスタ!$F$6:$F$1005,MATCH($F397,商品マスタ!$B$6:$B$1005,0)),"")</f>
        <v/>
      </c>
      <c r="J397" s="69" t="str">
        <f aca="false">IF(OR($F397="",$C397&lt;&gt;'設定（最初に1回）'!$C$4),"",IFERROR(INDEX(発注計算!$Y$6:$Y$405,MATCH($F397,発注計算!$C$6:$C$405,0)),""))</f>
        <v/>
      </c>
      <c r="K397" s="70"/>
      <c r="L397" s="69" t="str">
        <f aca="false">IF($K397="","",N($K397)*N($I397))</f>
        <v/>
      </c>
      <c r="M397" s="71" t="str">
        <f aca="false">IFERROR(INDEX(商品マスタ!$G$6:$G$1005,MATCH($F397,商品マスタ!$B$6:$B$1005,0)),"")</f>
        <v/>
      </c>
      <c r="N397" s="71" t="str">
        <f aca="false">IF($K397="","",N($K397)*N($M397))</f>
        <v/>
      </c>
      <c r="O397" s="66" t="str">
        <f aca="false">IFERROR(INDEX(商品マスタ!$H$6:$H$1005,MATCH($F397,商品マスタ!$B$6:$B$1005,0)),"")</f>
        <v/>
      </c>
      <c r="P397" s="87" t="str">
        <f aca="false">IF(OR($E397="",$O397=""),"",WORKDAY($E397,$O397))</f>
        <v/>
      </c>
      <c r="Q397" s="80"/>
      <c r="R397" s="131"/>
      <c r="S397" s="69" t="n">
        <f aca="false">IF($Q397="入荷済み",N($L397),0)</f>
        <v>0</v>
      </c>
      <c r="T397" s="80"/>
      <c r="U397" s="80"/>
    </row>
    <row r="398" customFormat="false" ht="15" hidden="false" customHeight="false" outlineLevel="0" collapsed="false">
      <c r="B398" s="66" t="str">
        <f aca="false">IF(OR($E398="",$F398=""),"","PO-"&amp;TEXT($E398,"yyyymmdd")&amp;"-"&amp;TEXT(COUNTIFS($E$6:$E398,$E398,$C$6:$C398,$C398),"000"))</f>
        <v/>
      </c>
      <c r="C398" s="130"/>
      <c r="D398" s="66" t="str">
        <f aca="false">IFERROR(INDEX(定数マスタ!$C$6:$C$105,MATCH($C398,定数マスタ!$B$6:$B$105,0)),"")</f>
        <v/>
      </c>
      <c r="E398" s="131"/>
      <c r="F398" s="130"/>
      <c r="G398" s="66" t="str">
        <f aca="false">IFERROR(INDEX(商品マスタ!$C$6:$C$1005,MATCH($F398,商品マスタ!$B$6:$B$1005,0)),"")</f>
        <v/>
      </c>
      <c r="H398" s="66" t="str">
        <f aca="false">IFERROR(INDEX(商品マスタ!$E$6:$E$1005,MATCH($F398,商品マスタ!$B$6:$B$1005,0)),"")</f>
        <v/>
      </c>
      <c r="I398" s="69" t="str">
        <f aca="false">IFERROR(INDEX(商品マスタ!$F$6:$F$1005,MATCH($F398,商品マスタ!$B$6:$B$1005,0)),"")</f>
        <v/>
      </c>
      <c r="J398" s="69" t="str">
        <f aca="false">IF(OR($F398="",$C398&lt;&gt;'設定（最初に1回）'!$C$4),"",IFERROR(INDEX(発注計算!$Y$6:$Y$405,MATCH($F398,発注計算!$C$6:$C$405,0)),""))</f>
        <v/>
      </c>
      <c r="K398" s="70"/>
      <c r="L398" s="69" t="str">
        <f aca="false">IF($K398="","",N($K398)*N($I398))</f>
        <v/>
      </c>
      <c r="M398" s="71" t="str">
        <f aca="false">IFERROR(INDEX(商品マスタ!$G$6:$G$1005,MATCH($F398,商品マスタ!$B$6:$B$1005,0)),"")</f>
        <v/>
      </c>
      <c r="N398" s="71" t="str">
        <f aca="false">IF($K398="","",N($K398)*N($M398))</f>
        <v/>
      </c>
      <c r="O398" s="66" t="str">
        <f aca="false">IFERROR(INDEX(商品マスタ!$H$6:$H$1005,MATCH($F398,商品マスタ!$B$6:$B$1005,0)),"")</f>
        <v/>
      </c>
      <c r="P398" s="87" t="str">
        <f aca="false">IF(OR($E398="",$O398=""),"",WORKDAY($E398,$O398))</f>
        <v/>
      </c>
      <c r="Q398" s="80"/>
      <c r="R398" s="131"/>
      <c r="S398" s="69" t="n">
        <f aca="false">IF($Q398="入荷済み",N($L398),0)</f>
        <v>0</v>
      </c>
      <c r="T398" s="80"/>
      <c r="U398" s="80"/>
    </row>
    <row r="399" customFormat="false" ht="15" hidden="false" customHeight="false" outlineLevel="0" collapsed="false">
      <c r="B399" s="66" t="str">
        <f aca="false">IF(OR($E399="",$F399=""),"","PO-"&amp;TEXT($E399,"yyyymmdd")&amp;"-"&amp;TEXT(COUNTIFS($E$6:$E399,$E399,$C$6:$C399,$C399),"000"))</f>
        <v/>
      </c>
      <c r="C399" s="130"/>
      <c r="D399" s="66" t="str">
        <f aca="false">IFERROR(INDEX(定数マスタ!$C$6:$C$105,MATCH($C399,定数マスタ!$B$6:$B$105,0)),"")</f>
        <v/>
      </c>
      <c r="E399" s="131"/>
      <c r="F399" s="130"/>
      <c r="G399" s="66" t="str">
        <f aca="false">IFERROR(INDEX(商品マスタ!$C$6:$C$1005,MATCH($F399,商品マスタ!$B$6:$B$1005,0)),"")</f>
        <v/>
      </c>
      <c r="H399" s="66" t="str">
        <f aca="false">IFERROR(INDEX(商品マスタ!$E$6:$E$1005,MATCH($F399,商品マスタ!$B$6:$B$1005,0)),"")</f>
        <v/>
      </c>
      <c r="I399" s="69" t="str">
        <f aca="false">IFERROR(INDEX(商品マスタ!$F$6:$F$1005,MATCH($F399,商品マスタ!$B$6:$B$1005,0)),"")</f>
        <v/>
      </c>
      <c r="J399" s="69" t="str">
        <f aca="false">IF(OR($F399="",$C399&lt;&gt;'設定（最初に1回）'!$C$4),"",IFERROR(INDEX(発注計算!$Y$6:$Y$405,MATCH($F399,発注計算!$C$6:$C$405,0)),""))</f>
        <v/>
      </c>
      <c r="K399" s="70"/>
      <c r="L399" s="69" t="str">
        <f aca="false">IF($K399="","",N($K399)*N($I399))</f>
        <v/>
      </c>
      <c r="M399" s="71" t="str">
        <f aca="false">IFERROR(INDEX(商品マスタ!$G$6:$G$1005,MATCH($F399,商品マスタ!$B$6:$B$1005,0)),"")</f>
        <v/>
      </c>
      <c r="N399" s="71" t="str">
        <f aca="false">IF($K399="","",N($K399)*N($M399))</f>
        <v/>
      </c>
      <c r="O399" s="66" t="str">
        <f aca="false">IFERROR(INDEX(商品マスタ!$H$6:$H$1005,MATCH($F399,商品マスタ!$B$6:$B$1005,0)),"")</f>
        <v/>
      </c>
      <c r="P399" s="87" t="str">
        <f aca="false">IF(OR($E399="",$O399=""),"",WORKDAY($E399,$O399))</f>
        <v/>
      </c>
      <c r="Q399" s="80"/>
      <c r="R399" s="131"/>
      <c r="S399" s="69" t="n">
        <f aca="false">IF($Q399="入荷済み",N($L399),0)</f>
        <v>0</v>
      </c>
      <c r="T399" s="80"/>
      <c r="U399" s="80"/>
    </row>
    <row r="400" customFormat="false" ht="15" hidden="false" customHeight="false" outlineLevel="0" collapsed="false">
      <c r="B400" s="66" t="str">
        <f aca="false">IF(OR($E400="",$F400=""),"","PO-"&amp;TEXT($E400,"yyyymmdd")&amp;"-"&amp;TEXT(COUNTIFS($E$6:$E400,$E400,$C$6:$C400,$C400),"000"))</f>
        <v/>
      </c>
      <c r="C400" s="130"/>
      <c r="D400" s="66" t="str">
        <f aca="false">IFERROR(INDEX(定数マスタ!$C$6:$C$105,MATCH($C400,定数マスタ!$B$6:$B$105,0)),"")</f>
        <v/>
      </c>
      <c r="E400" s="131"/>
      <c r="F400" s="130"/>
      <c r="G400" s="66" t="str">
        <f aca="false">IFERROR(INDEX(商品マスタ!$C$6:$C$1005,MATCH($F400,商品マスタ!$B$6:$B$1005,0)),"")</f>
        <v/>
      </c>
      <c r="H400" s="66" t="str">
        <f aca="false">IFERROR(INDEX(商品マスタ!$E$6:$E$1005,MATCH($F400,商品マスタ!$B$6:$B$1005,0)),"")</f>
        <v/>
      </c>
      <c r="I400" s="69" t="str">
        <f aca="false">IFERROR(INDEX(商品マスタ!$F$6:$F$1005,MATCH($F400,商品マスタ!$B$6:$B$1005,0)),"")</f>
        <v/>
      </c>
      <c r="J400" s="69" t="str">
        <f aca="false">IF(OR($F400="",$C400&lt;&gt;'設定（最初に1回）'!$C$4),"",IFERROR(INDEX(発注計算!$Y$6:$Y$405,MATCH($F400,発注計算!$C$6:$C$405,0)),""))</f>
        <v/>
      </c>
      <c r="K400" s="70"/>
      <c r="L400" s="69" t="str">
        <f aca="false">IF($K400="","",N($K400)*N($I400))</f>
        <v/>
      </c>
      <c r="M400" s="71" t="str">
        <f aca="false">IFERROR(INDEX(商品マスタ!$G$6:$G$1005,MATCH($F400,商品マスタ!$B$6:$B$1005,0)),"")</f>
        <v/>
      </c>
      <c r="N400" s="71" t="str">
        <f aca="false">IF($K400="","",N($K400)*N($M400))</f>
        <v/>
      </c>
      <c r="O400" s="66" t="str">
        <f aca="false">IFERROR(INDEX(商品マスタ!$H$6:$H$1005,MATCH($F400,商品マスタ!$B$6:$B$1005,0)),"")</f>
        <v/>
      </c>
      <c r="P400" s="87" t="str">
        <f aca="false">IF(OR($E400="",$O400=""),"",WORKDAY($E400,$O400))</f>
        <v/>
      </c>
      <c r="Q400" s="80"/>
      <c r="R400" s="131"/>
      <c r="S400" s="69" t="n">
        <f aca="false">IF($Q400="入荷済み",N($L400),0)</f>
        <v>0</v>
      </c>
      <c r="T400" s="80"/>
      <c r="U400" s="80"/>
    </row>
    <row r="401" customFormat="false" ht="15" hidden="false" customHeight="false" outlineLevel="0" collapsed="false">
      <c r="B401" s="66" t="str">
        <f aca="false">IF(OR($E401="",$F401=""),"","PO-"&amp;TEXT($E401,"yyyymmdd")&amp;"-"&amp;TEXT(COUNTIFS($E$6:$E401,$E401,$C$6:$C401,$C401),"000"))</f>
        <v/>
      </c>
      <c r="C401" s="130"/>
      <c r="D401" s="66" t="str">
        <f aca="false">IFERROR(INDEX(定数マスタ!$C$6:$C$105,MATCH($C401,定数マスタ!$B$6:$B$105,0)),"")</f>
        <v/>
      </c>
      <c r="E401" s="131"/>
      <c r="F401" s="130"/>
      <c r="G401" s="66" t="str">
        <f aca="false">IFERROR(INDEX(商品マスタ!$C$6:$C$1005,MATCH($F401,商品マスタ!$B$6:$B$1005,0)),"")</f>
        <v/>
      </c>
      <c r="H401" s="66" t="str">
        <f aca="false">IFERROR(INDEX(商品マスタ!$E$6:$E$1005,MATCH($F401,商品マスタ!$B$6:$B$1005,0)),"")</f>
        <v/>
      </c>
      <c r="I401" s="69" t="str">
        <f aca="false">IFERROR(INDEX(商品マスタ!$F$6:$F$1005,MATCH($F401,商品マスタ!$B$6:$B$1005,0)),"")</f>
        <v/>
      </c>
      <c r="J401" s="69" t="str">
        <f aca="false">IF(OR($F401="",$C401&lt;&gt;'設定（最初に1回）'!$C$4),"",IFERROR(INDEX(発注計算!$Y$6:$Y$405,MATCH($F401,発注計算!$C$6:$C$405,0)),""))</f>
        <v/>
      </c>
      <c r="K401" s="70"/>
      <c r="L401" s="69" t="str">
        <f aca="false">IF($K401="","",N($K401)*N($I401))</f>
        <v/>
      </c>
      <c r="M401" s="71" t="str">
        <f aca="false">IFERROR(INDEX(商品マスタ!$G$6:$G$1005,MATCH($F401,商品マスタ!$B$6:$B$1005,0)),"")</f>
        <v/>
      </c>
      <c r="N401" s="71" t="str">
        <f aca="false">IF($K401="","",N($K401)*N($M401))</f>
        <v/>
      </c>
      <c r="O401" s="66" t="str">
        <f aca="false">IFERROR(INDEX(商品マスタ!$H$6:$H$1005,MATCH($F401,商品マスタ!$B$6:$B$1005,0)),"")</f>
        <v/>
      </c>
      <c r="P401" s="87" t="str">
        <f aca="false">IF(OR($E401="",$O401=""),"",WORKDAY($E401,$O401))</f>
        <v/>
      </c>
      <c r="Q401" s="80"/>
      <c r="R401" s="131"/>
      <c r="S401" s="69" t="n">
        <f aca="false">IF($Q401="入荷済み",N($L401),0)</f>
        <v>0</v>
      </c>
      <c r="T401" s="80"/>
      <c r="U401" s="80"/>
    </row>
    <row r="402" customFormat="false" ht="15" hidden="false" customHeight="false" outlineLevel="0" collapsed="false">
      <c r="B402" s="66" t="str">
        <f aca="false">IF(OR($E402="",$F402=""),"","PO-"&amp;TEXT($E402,"yyyymmdd")&amp;"-"&amp;TEXT(COUNTIFS($E$6:$E402,$E402,$C$6:$C402,$C402),"000"))</f>
        <v/>
      </c>
      <c r="C402" s="130"/>
      <c r="D402" s="66" t="str">
        <f aca="false">IFERROR(INDEX(定数マスタ!$C$6:$C$105,MATCH($C402,定数マスタ!$B$6:$B$105,0)),"")</f>
        <v/>
      </c>
      <c r="E402" s="131"/>
      <c r="F402" s="130"/>
      <c r="G402" s="66" t="str">
        <f aca="false">IFERROR(INDEX(商品マスタ!$C$6:$C$1005,MATCH($F402,商品マスタ!$B$6:$B$1005,0)),"")</f>
        <v/>
      </c>
      <c r="H402" s="66" t="str">
        <f aca="false">IFERROR(INDEX(商品マスタ!$E$6:$E$1005,MATCH($F402,商品マスタ!$B$6:$B$1005,0)),"")</f>
        <v/>
      </c>
      <c r="I402" s="69" t="str">
        <f aca="false">IFERROR(INDEX(商品マスタ!$F$6:$F$1005,MATCH($F402,商品マスタ!$B$6:$B$1005,0)),"")</f>
        <v/>
      </c>
      <c r="J402" s="69" t="str">
        <f aca="false">IF(OR($F402="",$C402&lt;&gt;'設定（最初に1回）'!$C$4),"",IFERROR(INDEX(発注計算!$Y$6:$Y$405,MATCH($F402,発注計算!$C$6:$C$405,0)),""))</f>
        <v/>
      </c>
      <c r="K402" s="70"/>
      <c r="L402" s="69" t="str">
        <f aca="false">IF($K402="","",N($K402)*N($I402))</f>
        <v/>
      </c>
      <c r="M402" s="71" t="str">
        <f aca="false">IFERROR(INDEX(商品マスタ!$G$6:$G$1005,MATCH($F402,商品マスタ!$B$6:$B$1005,0)),"")</f>
        <v/>
      </c>
      <c r="N402" s="71" t="str">
        <f aca="false">IF($K402="","",N($K402)*N($M402))</f>
        <v/>
      </c>
      <c r="O402" s="66" t="str">
        <f aca="false">IFERROR(INDEX(商品マスタ!$H$6:$H$1005,MATCH($F402,商品マスタ!$B$6:$B$1005,0)),"")</f>
        <v/>
      </c>
      <c r="P402" s="87" t="str">
        <f aca="false">IF(OR($E402="",$O402=""),"",WORKDAY($E402,$O402))</f>
        <v/>
      </c>
      <c r="Q402" s="80"/>
      <c r="R402" s="131"/>
      <c r="S402" s="69" t="n">
        <f aca="false">IF($Q402="入荷済み",N($L402),0)</f>
        <v>0</v>
      </c>
      <c r="T402" s="80"/>
      <c r="U402" s="80"/>
    </row>
    <row r="403" customFormat="false" ht="15" hidden="false" customHeight="false" outlineLevel="0" collapsed="false">
      <c r="B403" s="66" t="str">
        <f aca="false">IF(OR($E403="",$F403=""),"","PO-"&amp;TEXT($E403,"yyyymmdd")&amp;"-"&amp;TEXT(COUNTIFS($E$6:$E403,$E403,$C$6:$C403,$C403),"000"))</f>
        <v/>
      </c>
      <c r="C403" s="130"/>
      <c r="D403" s="66" t="str">
        <f aca="false">IFERROR(INDEX(定数マスタ!$C$6:$C$105,MATCH($C403,定数マスタ!$B$6:$B$105,0)),"")</f>
        <v/>
      </c>
      <c r="E403" s="131"/>
      <c r="F403" s="130"/>
      <c r="G403" s="66" t="str">
        <f aca="false">IFERROR(INDEX(商品マスタ!$C$6:$C$1005,MATCH($F403,商品マスタ!$B$6:$B$1005,0)),"")</f>
        <v/>
      </c>
      <c r="H403" s="66" t="str">
        <f aca="false">IFERROR(INDEX(商品マスタ!$E$6:$E$1005,MATCH($F403,商品マスタ!$B$6:$B$1005,0)),"")</f>
        <v/>
      </c>
      <c r="I403" s="69" t="str">
        <f aca="false">IFERROR(INDEX(商品マスタ!$F$6:$F$1005,MATCH($F403,商品マスタ!$B$6:$B$1005,0)),"")</f>
        <v/>
      </c>
      <c r="J403" s="69" t="str">
        <f aca="false">IF(OR($F403="",$C403&lt;&gt;'設定（最初に1回）'!$C$4),"",IFERROR(INDEX(発注計算!$Y$6:$Y$405,MATCH($F403,発注計算!$C$6:$C$405,0)),""))</f>
        <v/>
      </c>
      <c r="K403" s="70"/>
      <c r="L403" s="69" t="str">
        <f aca="false">IF($K403="","",N($K403)*N($I403))</f>
        <v/>
      </c>
      <c r="M403" s="71" t="str">
        <f aca="false">IFERROR(INDEX(商品マスタ!$G$6:$G$1005,MATCH($F403,商品マスタ!$B$6:$B$1005,0)),"")</f>
        <v/>
      </c>
      <c r="N403" s="71" t="str">
        <f aca="false">IF($K403="","",N($K403)*N($M403))</f>
        <v/>
      </c>
      <c r="O403" s="66" t="str">
        <f aca="false">IFERROR(INDEX(商品マスタ!$H$6:$H$1005,MATCH($F403,商品マスタ!$B$6:$B$1005,0)),"")</f>
        <v/>
      </c>
      <c r="P403" s="87" t="str">
        <f aca="false">IF(OR($E403="",$O403=""),"",WORKDAY($E403,$O403))</f>
        <v/>
      </c>
      <c r="Q403" s="80"/>
      <c r="R403" s="131"/>
      <c r="S403" s="69" t="n">
        <f aca="false">IF($Q403="入荷済み",N($L403),0)</f>
        <v>0</v>
      </c>
      <c r="T403" s="80"/>
      <c r="U403" s="80"/>
    </row>
    <row r="404" customFormat="false" ht="15" hidden="false" customHeight="false" outlineLevel="0" collapsed="false">
      <c r="B404" s="66" t="str">
        <f aca="false">IF(OR($E404="",$F404=""),"","PO-"&amp;TEXT($E404,"yyyymmdd")&amp;"-"&amp;TEXT(COUNTIFS($E$6:$E404,$E404,$C$6:$C404,$C404),"000"))</f>
        <v/>
      </c>
      <c r="C404" s="130"/>
      <c r="D404" s="66" t="str">
        <f aca="false">IFERROR(INDEX(定数マスタ!$C$6:$C$105,MATCH($C404,定数マスタ!$B$6:$B$105,0)),"")</f>
        <v/>
      </c>
      <c r="E404" s="131"/>
      <c r="F404" s="130"/>
      <c r="G404" s="66" t="str">
        <f aca="false">IFERROR(INDEX(商品マスタ!$C$6:$C$1005,MATCH($F404,商品マスタ!$B$6:$B$1005,0)),"")</f>
        <v/>
      </c>
      <c r="H404" s="66" t="str">
        <f aca="false">IFERROR(INDEX(商品マスタ!$E$6:$E$1005,MATCH($F404,商品マスタ!$B$6:$B$1005,0)),"")</f>
        <v/>
      </c>
      <c r="I404" s="69" t="str">
        <f aca="false">IFERROR(INDEX(商品マスタ!$F$6:$F$1005,MATCH($F404,商品マスタ!$B$6:$B$1005,0)),"")</f>
        <v/>
      </c>
      <c r="J404" s="69" t="str">
        <f aca="false">IF(OR($F404="",$C404&lt;&gt;'設定（最初に1回）'!$C$4),"",IFERROR(INDEX(発注計算!$Y$6:$Y$405,MATCH($F404,発注計算!$C$6:$C$405,0)),""))</f>
        <v/>
      </c>
      <c r="K404" s="70"/>
      <c r="L404" s="69" t="str">
        <f aca="false">IF($K404="","",N($K404)*N($I404))</f>
        <v/>
      </c>
      <c r="M404" s="71" t="str">
        <f aca="false">IFERROR(INDEX(商品マスタ!$G$6:$G$1005,MATCH($F404,商品マスタ!$B$6:$B$1005,0)),"")</f>
        <v/>
      </c>
      <c r="N404" s="71" t="str">
        <f aca="false">IF($K404="","",N($K404)*N($M404))</f>
        <v/>
      </c>
      <c r="O404" s="66" t="str">
        <f aca="false">IFERROR(INDEX(商品マスタ!$H$6:$H$1005,MATCH($F404,商品マスタ!$B$6:$B$1005,0)),"")</f>
        <v/>
      </c>
      <c r="P404" s="87" t="str">
        <f aca="false">IF(OR($E404="",$O404=""),"",WORKDAY($E404,$O404))</f>
        <v/>
      </c>
      <c r="Q404" s="80"/>
      <c r="R404" s="131"/>
      <c r="S404" s="69" t="n">
        <f aca="false">IF($Q404="入荷済み",N($L404),0)</f>
        <v>0</v>
      </c>
      <c r="T404" s="80"/>
      <c r="U404" s="80"/>
    </row>
    <row r="405" customFormat="false" ht="15" hidden="false" customHeight="false" outlineLevel="0" collapsed="false">
      <c r="B405" s="66" t="str">
        <f aca="false">IF(OR($E405="",$F405=""),"","PO-"&amp;TEXT($E405,"yyyymmdd")&amp;"-"&amp;TEXT(COUNTIFS($E$6:$E405,$E405,$C$6:$C405,$C405),"000"))</f>
        <v/>
      </c>
      <c r="C405" s="130"/>
      <c r="D405" s="66" t="str">
        <f aca="false">IFERROR(INDEX(定数マスタ!$C$6:$C$105,MATCH($C405,定数マスタ!$B$6:$B$105,0)),"")</f>
        <v/>
      </c>
      <c r="E405" s="131"/>
      <c r="F405" s="130"/>
      <c r="G405" s="66" t="str">
        <f aca="false">IFERROR(INDEX(商品マスタ!$C$6:$C$1005,MATCH($F405,商品マスタ!$B$6:$B$1005,0)),"")</f>
        <v/>
      </c>
      <c r="H405" s="66" t="str">
        <f aca="false">IFERROR(INDEX(商品マスタ!$E$6:$E$1005,MATCH($F405,商品マスタ!$B$6:$B$1005,0)),"")</f>
        <v/>
      </c>
      <c r="I405" s="69" t="str">
        <f aca="false">IFERROR(INDEX(商品マスタ!$F$6:$F$1005,MATCH($F405,商品マスタ!$B$6:$B$1005,0)),"")</f>
        <v/>
      </c>
      <c r="J405" s="69" t="str">
        <f aca="false">IF(OR($F405="",$C405&lt;&gt;'設定（最初に1回）'!$C$4),"",IFERROR(INDEX(発注計算!$Y$6:$Y$405,MATCH($F405,発注計算!$C$6:$C$405,0)),""))</f>
        <v/>
      </c>
      <c r="K405" s="70"/>
      <c r="L405" s="69" t="str">
        <f aca="false">IF($K405="","",N($K405)*N($I405))</f>
        <v/>
      </c>
      <c r="M405" s="71" t="str">
        <f aca="false">IFERROR(INDEX(商品マスタ!$G$6:$G$1005,MATCH($F405,商品マスタ!$B$6:$B$1005,0)),"")</f>
        <v/>
      </c>
      <c r="N405" s="71" t="str">
        <f aca="false">IF($K405="","",N($K405)*N($M405))</f>
        <v/>
      </c>
      <c r="O405" s="66" t="str">
        <f aca="false">IFERROR(INDEX(商品マスタ!$H$6:$H$1005,MATCH($F405,商品マスタ!$B$6:$B$1005,0)),"")</f>
        <v/>
      </c>
      <c r="P405" s="87" t="str">
        <f aca="false">IF(OR($E405="",$O405=""),"",WORKDAY($E405,$O405))</f>
        <v/>
      </c>
      <c r="Q405" s="80"/>
      <c r="R405" s="131"/>
      <c r="S405" s="69" t="n">
        <f aca="false">IF($Q405="入荷済み",N($L405),0)</f>
        <v>0</v>
      </c>
      <c r="T405" s="80"/>
      <c r="U405" s="80"/>
    </row>
    <row r="406" customFormat="false" ht="15" hidden="false" customHeight="false" outlineLevel="0" collapsed="false">
      <c r="B406" s="66" t="str">
        <f aca="false">IF(OR($E406="",$F406=""),"","PO-"&amp;TEXT($E406,"yyyymmdd")&amp;"-"&amp;TEXT(COUNTIFS($E$6:$E406,$E406,$C$6:$C406,$C406),"000"))</f>
        <v/>
      </c>
      <c r="C406" s="130"/>
      <c r="D406" s="66" t="str">
        <f aca="false">IFERROR(INDEX(定数マスタ!$C$6:$C$105,MATCH($C406,定数マスタ!$B$6:$B$105,0)),"")</f>
        <v/>
      </c>
      <c r="E406" s="131"/>
      <c r="F406" s="130"/>
      <c r="G406" s="66" t="str">
        <f aca="false">IFERROR(INDEX(商品マスタ!$C$6:$C$1005,MATCH($F406,商品マスタ!$B$6:$B$1005,0)),"")</f>
        <v/>
      </c>
      <c r="H406" s="66" t="str">
        <f aca="false">IFERROR(INDEX(商品マスタ!$E$6:$E$1005,MATCH($F406,商品マスタ!$B$6:$B$1005,0)),"")</f>
        <v/>
      </c>
      <c r="I406" s="69" t="str">
        <f aca="false">IFERROR(INDEX(商品マスタ!$F$6:$F$1005,MATCH($F406,商品マスタ!$B$6:$B$1005,0)),"")</f>
        <v/>
      </c>
      <c r="J406" s="69" t="str">
        <f aca="false">IF(OR($F406="",$C406&lt;&gt;'設定（最初に1回）'!$C$4),"",IFERROR(INDEX(発注計算!$Y$6:$Y$405,MATCH($F406,発注計算!$C$6:$C$405,0)),""))</f>
        <v/>
      </c>
      <c r="K406" s="70"/>
      <c r="L406" s="69" t="str">
        <f aca="false">IF($K406="","",N($K406)*N($I406))</f>
        <v/>
      </c>
      <c r="M406" s="71" t="str">
        <f aca="false">IFERROR(INDEX(商品マスタ!$G$6:$G$1005,MATCH($F406,商品マスタ!$B$6:$B$1005,0)),"")</f>
        <v/>
      </c>
      <c r="N406" s="71" t="str">
        <f aca="false">IF($K406="","",N($K406)*N($M406))</f>
        <v/>
      </c>
      <c r="O406" s="66" t="str">
        <f aca="false">IFERROR(INDEX(商品マスタ!$H$6:$H$1005,MATCH($F406,商品マスタ!$B$6:$B$1005,0)),"")</f>
        <v/>
      </c>
      <c r="P406" s="87" t="str">
        <f aca="false">IF(OR($E406="",$O406=""),"",WORKDAY($E406,$O406))</f>
        <v/>
      </c>
      <c r="Q406" s="80"/>
      <c r="R406" s="131"/>
      <c r="S406" s="69" t="n">
        <f aca="false">IF($Q406="入荷済み",N($L406),0)</f>
        <v>0</v>
      </c>
      <c r="T406" s="80"/>
      <c r="U406" s="80"/>
    </row>
    <row r="407" customFormat="false" ht="15" hidden="false" customHeight="false" outlineLevel="0" collapsed="false">
      <c r="B407" s="66" t="str">
        <f aca="false">IF(OR($E407="",$F407=""),"","PO-"&amp;TEXT($E407,"yyyymmdd")&amp;"-"&amp;TEXT(COUNTIFS($E$6:$E407,$E407,$C$6:$C407,$C407),"000"))</f>
        <v/>
      </c>
      <c r="C407" s="130"/>
      <c r="D407" s="66" t="str">
        <f aca="false">IFERROR(INDEX(定数マスタ!$C$6:$C$105,MATCH($C407,定数マスタ!$B$6:$B$105,0)),"")</f>
        <v/>
      </c>
      <c r="E407" s="131"/>
      <c r="F407" s="130"/>
      <c r="G407" s="66" t="str">
        <f aca="false">IFERROR(INDEX(商品マスタ!$C$6:$C$1005,MATCH($F407,商品マスタ!$B$6:$B$1005,0)),"")</f>
        <v/>
      </c>
      <c r="H407" s="66" t="str">
        <f aca="false">IFERROR(INDEX(商品マスタ!$E$6:$E$1005,MATCH($F407,商品マスタ!$B$6:$B$1005,0)),"")</f>
        <v/>
      </c>
      <c r="I407" s="69" t="str">
        <f aca="false">IFERROR(INDEX(商品マスタ!$F$6:$F$1005,MATCH($F407,商品マスタ!$B$6:$B$1005,0)),"")</f>
        <v/>
      </c>
      <c r="J407" s="69" t="str">
        <f aca="false">IF(OR($F407="",$C407&lt;&gt;'設定（最初に1回）'!$C$4),"",IFERROR(INDEX(発注計算!$Y$6:$Y$405,MATCH($F407,発注計算!$C$6:$C$405,0)),""))</f>
        <v/>
      </c>
      <c r="K407" s="70"/>
      <c r="L407" s="69" t="str">
        <f aca="false">IF($K407="","",N($K407)*N($I407))</f>
        <v/>
      </c>
      <c r="M407" s="71" t="str">
        <f aca="false">IFERROR(INDEX(商品マスタ!$G$6:$G$1005,MATCH($F407,商品マスタ!$B$6:$B$1005,0)),"")</f>
        <v/>
      </c>
      <c r="N407" s="71" t="str">
        <f aca="false">IF($K407="","",N($K407)*N($M407))</f>
        <v/>
      </c>
      <c r="O407" s="66" t="str">
        <f aca="false">IFERROR(INDEX(商品マスタ!$H$6:$H$1005,MATCH($F407,商品マスタ!$B$6:$B$1005,0)),"")</f>
        <v/>
      </c>
      <c r="P407" s="87" t="str">
        <f aca="false">IF(OR($E407="",$O407=""),"",WORKDAY($E407,$O407))</f>
        <v/>
      </c>
      <c r="Q407" s="80"/>
      <c r="R407" s="131"/>
      <c r="S407" s="69" t="n">
        <f aca="false">IF($Q407="入荷済み",N($L407),0)</f>
        <v>0</v>
      </c>
      <c r="T407" s="80"/>
      <c r="U407" s="80"/>
    </row>
    <row r="408" customFormat="false" ht="15" hidden="false" customHeight="false" outlineLevel="0" collapsed="false">
      <c r="B408" s="66" t="str">
        <f aca="false">IF(OR($E408="",$F408=""),"","PO-"&amp;TEXT($E408,"yyyymmdd")&amp;"-"&amp;TEXT(COUNTIFS($E$6:$E408,$E408,$C$6:$C408,$C408),"000"))</f>
        <v/>
      </c>
      <c r="C408" s="130"/>
      <c r="D408" s="66" t="str">
        <f aca="false">IFERROR(INDEX(定数マスタ!$C$6:$C$105,MATCH($C408,定数マスタ!$B$6:$B$105,0)),"")</f>
        <v/>
      </c>
      <c r="E408" s="131"/>
      <c r="F408" s="130"/>
      <c r="G408" s="66" t="str">
        <f aca="false">IFERROR(INDEX(商品マスタ!$C$6:$C$1005,MATCH($F408,商品マスタ!$B$6:$B$1005,0)),"")</f>
        <v/>
      </c>
      <c r="H408" s="66" t="str">
        <f aca="false">IFERROR(INDEX(商品マスタ!$E$6:$E$1005,MATCH($F408,商品マスタ!$B$6:$B$1005,0)),"")</f>
        <v/>
      </c>
      <c r="I408" s="69" t="str">
        <f aca="false">IFERROR(INDEX(商品マスタ!$F$6:$F$1005,MATCH($F408,商品マスタ!$B$6:$B$1005,0)),"")</f>
        <v/>
      </c>
      <c r="J408" s="69" t="str">
        <f aca="false">IF(OR($F408="",$C408&lt;&gt;'設定（最初に1回）'!$C$4),"",IFERROR(INDEX(発注計算!$Y$6:$Y$405,MATCH($F408,発注計算!$C$6:$C$405,0)),""))</f>
        <v/>
      </c>
      <c r="K408" s="70"/>
      <c r="L408" s="69" t="str">
        <f aca="false">IF($K408="","",N($K408)*N($I408))</f>
        <v/>
      </c>
      <c r="M408" s="71" t="str">
        <f aca="false">IFERROR(INDEX(商品マスタ!$G$6:$G$1005,MATCH($F408,商品マスタ!$B$6:$B$1005,0)),"")</f>
        <v/>
      </c>
      <c r="N408" s="71" t="str">
        <f aca="false">IF($K408="","",N($K408)*N($M408))</f>
        <v/>
      </c>
      <c r="O408" s="66" t="str">
        <f aca="false">IFERROR(INDEX(商品マスタ!$H$6:$H$1005,MATCH($F408,商品マスタ!$B$6:$B$1005,0)),"")</f>
        <v/>
      </c>
      <c r="P408" s="87" t="str">
        <f aca="false">IF(OR($E408="",$O408=""),"",WORKDAY($E408,$O408))</f>
        <v/>
      </c>
      <c r="Q408" s="80"/>
      <c r="R408" s="131"/>
      <c r="S408" s="69" t="n">
        <f aca="false">IF($Q408="入荷済み",N($L408),0)</f>
        <v>0</v>
      </c>
      <c r="T408" s="80"/>
      <c r="U408" s="80"/>
    </row>
    <row r="409" customFormat="false" ht="15" hidden="false" customHeight="false" outlineLevel="0" collapsed="false">
      <c r="B409" s="66" t="str">
        <f aca="false">IF(OR($E409="",$F409=""),"","PO-"&amp;TEXT($E409,"yyyymmdd")&amp;"-"&amp;TEXT(COUNTIFS($E$6:$E409,$E409,$C$6:$C409,$C409),"000"))</f>
        <v/>
      </c>
      <c r="C409" s="130"/>
      <c r="D409" s="66" t="str">
        <f aca="false">IFERROR(INDEX(定数マスタ!$C$6:$C$105,MATCH($C409,定数マスタ!$B$6:$B$105,0)),"")</f>
        <v/>
      </c>
      <c r="E409" s="131"/>
      <c r="F409" s="130"/>
      <c r="G409" s="66" t="str">
        <f aca="false">IFERROR(INDEX(商品マスタ!$C$6:$C$1005,MATCH($F409,商品マスタ!$B$6:$B$1005,0)),"")</f>
        <v/>
      </c>
      <c r="H409" s="66" t="str">
        <f aca="false">IFERROR(INDEX(商品マスタ!$E$6:$E$1005,MATCH($F409,商品マスタ!$B$6:$B$1005,0)),"")</f>
        <v/>
      </c>
      <c r="I409" s="69" t="str">
        <f aca="false">IFERROR(INDEX(商品マスタ!$F$6:$F$1005,MATCH($F409,商品マスタ!$B$6:$B$1005,0)),"")</f>
        <v/>
      </c>
      <c r="J409" s="69" t="str">
        <f aca="false">IF(OR($F409="",$C409&lt;&gt;'設定（最初に1回）'!$C$4),"",IFERROR(INDEX(発注計算!$Y$6:$Y$405,MATCH($F409,発注計算!$C$6:$C$405,0)),""))</f>
        <v/>
      </c>
      <c r="K409" s="70"/>
      <c r="L409" s="69" t="str">
        <f aca="false">IF($K409="","",N($K409)*N($I409))</f>
        <v/>
      </c>
      <c r="M409" s="71" t="str">
        <f aca="false">IFERROR(INDEX(商品マスタ!$G$6:$G$1005,MATCH($F409,商品マスタ!$B$6:$B$1005,0)),"")</f>
        <v/>
      </c>
      <c r="N409" s="71" t="str">
        <f aca="false">IF($K409="","",N($K409)*N($M409))</f>
        <v/>
      </c>
      <c r="O409" s="66" t="str">
        <f aca="false">IFERROR(INDEX(商品マスタ!$H$6:$H$1005,MATCH($F409,商品マスタ!$B$6:$B$1005,0)),"")</f>
        <v/>
      </c>
      <c r="P409" s="87" t="str">
        <f aca="false">IF(OR($E409="",$O409=""),"",WORKDAY($E409,$O409))</f>
        <v/>
      </c>
      <c r="Q409" s="80"/>
      <c r="R409" s="131"/>
      <c r="S409" s="69" t="n">
        <f aca="false">IF($Q409="入荷済み",N($L409),0)</f>
        <v>0</v>
      </c>
      <c r="T409" s="80"/>
      <c r="U409" s="80"/>
    </row>
    <row r="410" customFormat="false" ht="15" hidden="false" customHeight="false" outlineLevel="0" collapsed="false">
      <c r="B410" s="66" t="str">
        <f aca="false">IF(OR($E410="",$F410=""),"","PO-"&amp;TEXT($E410,"yyyymmdd")&amp;"-"&amp;TEXT(COUNTIFS($E$6:$E410,$E410,$C$6:$C410,$C410),"000"))</f>
        <v/>
      </c>
      <c r="C410" s="130"/>
      <c r="D410" s="66" t="str">
        <f aca="false">IFERROR(INDEX(定数マスタ!$C$6:$C$105,MATCH($C410,定数マスタ!$B$6:$B$105,0)),"")</f>
        <v/>
      </c>
      <c r="E410" s="131"/>
      <c r="F410" s="130"/>
      <c r="G410" s="66" t="str">
        <f aca="false">IFERROR(INDEX(商品マスタ!$C$6:$C$1005,MATCH($F410,商品マスタ!$B$6:$B$1005,0)),"")</f>
        <v/>
      </c>
      <c r="H410" s="66" t="str">
        <f aca="false">IFERROR(INDEX(商品マスタ!$E$6:$E$1005,MATCH($F410,商品マスタ!$B$6:$B$1005,0)),"")</f>
        <v/>
      </c>
      <c r="I410" s="69" t="str">
        <f aca="false">IFERROR(INDEX(商品マスタ!$F$6:$F$1005,MATCH($F410,商品マスタ!$B$6:$B$1005,0)),"")</f>
        <v/>
      </c>
      <c r="J410" s="69" t="str">
        <f aca="false">IF(OR($F410="",$C410&lt;&gt;'設定（最初に1回）'!$C$4),"",IFERROR(INDEX(発注計算!$Y$6:$Y$405,MATCH($F410,発注計算!$C$6:$C$405,0)),""))</f>
        <v/>
      </c>
      <c r="K410" s="70"/>
      <c r="L410" s="69" t="str">
        <f aca="false">IF($K410="","",N($K410)*N($I410))</f>
        <v/>
      </c>
      <c r="M410" s="71" t="str">
        <f aca="false">IFERROR(INDEX(商品マスタ!$G$6:$G$1005,MATCH($F410,商品マスタ!$B$6:$B$1005,0)),"")</f>
        <v/>
      </c>
      <c r="N410" s="71" t="str">
        <f aca="false">IF($K410="","",N($K410)*N($M410))</f>
        <v/>
      </c>
      <c r="O410" s="66" t="str">
        <f aca="false">IFERROR(INDEX(商品マスタ!$H$6:$H$1005,MATCH($F410,商品マスタ!$B$6:$B$1005,0)),"")</f>
        <v/>
      </c>
      <c r="P410" s="87" t="str">
        <f aca="false">IF(OR($E410="",$O410=""),"",WORKDAY($E410,$O410))</f>
        <v/>
      </c>
      <c r="Q410" s="80"/>
      <c r="R410" s="131"/>
      <c r="S410" s="69" t="n">
        <f aca="false">IF($Q410="入荷済み",N($L410),0)</f>
        <v>0</v>
      </c>
      <c r="T410" s="80"/>
      <c r="U410" s="80"/>
    </row>
    <row r="411" customFormat="false" ht="15" hidden="false" customHeight="false" outlineLevel="0" collapsed="false">
      <c r="B411" s="66" t="str">
        <f aca="false">IF(OR($E411="",$F411=""),"","PO-"&amp;TEXT($E411,"yyyymmdd")&amp;"-"&amp;TEXT(COUNTIFS($E$6:$E411,$E411,$C$6:$C411,$C411),"000"))</f>
        <v/>
      </c>
      <c r="C411" s="130"/>
      <c r="D411" s="66" t="str">
        <f aca="false">IFERROR(INDEX(定数マスタ!$C$6:$C$105,MATCH($C411,定数マスタ!$B$6:$B$105,0)),"")</f>
        <v/>
      </c>
      <c r="E411" s="131"/>
      <c r="F411" s="130"/>
      <c r="G411" s="66" t="str">
        <f aca="false">IFERROR(INDEX(商品マスタ!$C$6:$C$1005,MATCH($F411,商品マスタ!$B$6:$B$1005,0)),"")</f>
        <v/>
      </c>
      <c r="H411" s="66" t="str">
        <f aca="false">IFERROR(INDEX(商品マスタ!$E$6:$E$1005,MATCH($F411,商品マスタ!$B$6:$B$1005,0)),"")</f>
        <v/>
      </c>
      <c r="I411" s="69" t="str">
        <f aca="false">IFERROR(INDEX(商品マスタ!$F$6:$F$1005,MATCH($F411,商品マスタ!$B$6:$B$1005,0)),"")</f>
        <v/>
      </c>
      <c r="J411" s="69" t="str">
        <f aca="false">IF(OR($F411="",$C411&lt;&gt;'設定（最初に1回）'!$C$4),"",IFERROR(INDEX(発注計算!$Y$6:$Y$405,MATCH($F411,発注計算!$C$6:$C$405,0)),""))</f>
        <v/>
      </c>
      <c r="K411" s="70"/>
      <c r="L411" s="69" t="str">
        <f aca="false">IF($K411="","",N($K411)*N($I411))</f>
        <v/>
      </c>
      <c r="M411" s="71" t="str">
        <f aca="false">IFERROR(INDEX(商品マスタ!$G$6:$G$1005,MATCH($F411,商品マスタ!$B$6:$B$1005,0)),"")</f>
        <v/>
      </c>
      <c r="N411" s="71" t="str">
        <f aca="false">IF($K411="","",N($K411)*N($M411))</f>
        <v/>
      </c>
      <c r="O411" s="66" t="str">
        <f aca="false">IFERROR(INDEX(商品マスタ!$H$6:$H$1005,MATCH($F411,商品マスタ!$B$6:$B$1005,0)),"")</f>
        <v/>
      </c>
      <c r="P411" s="87" t="str">
        <f aca="false">IF(OR($E411="",$O411=""),"",WORKDAY($E411,$O411))</f>
        <v/>
      </c>
      <c r="Q411" s="80"/>
      <c r="R411" s="131"/>
      <c r="S411" s="69" t="n">
        <f aca="false">IF($Q411="入荷済み",N($L411),0)</f>
        <v>0</v>
      </c>
      <c r="T411" s="80"/>
      <c r="U411" s="80"/>
    </row>
    <row r="412" customFormat="false" ht="15" hidden="false" customHeight="false" outlineLevel="0" collapsed="false">
      <c r="B412" s="66" t="str">
        <f aca="false">IF(OR($E412="",$F412=""),"","PO-"&amp;TEXT($E412,"yyyymmdd")&amp;"-"&amp;TEXT(COUNTIFS($E$6:$E412,$E412,$C$6:$C412,$C412),"000"))</f>
        <v/>
      </c>
      <c r="C412" s="130"/>
      <c r="D412" s="66" t="str">
        <f aca="false">IFERROR(INDEX(定数マスタ!$C$6:$C$105,MATCH($C412,定数マスタ!$B$6:$B$105,0)),"")</f>
        <v/>
      </c>
      <c r="E412" s="131"/>
      <c r="F412" s="130"/>
      <c r="G412" s="66" t="str">
        <f aca="false">IFERROR(INDEX(商品マスタ!$C$6:$C$1005,MATCH($F412,商品マスタ!$B$6:$B$1005,0)),"")</f>
        <v/>
      </c>
      <c r="H412" s="66" t="str">
        <f aca="false">IFERROR(INDEX(商品マスタ!$E$6:$E$1005,MATCH($F412,商品マスタ!$B$6:$B$1005,0)),"")</f>
        <v/>
      </c>
      <c r="I412" s="69" t="str">
        <f aca="false">IFERROR(INDEX(商品マスタ!$F$6:$F$1005,MATCH($F412,商品マスタ!$B$6:$B$1005,0)),"")</f>
        <v/>
      </c>
      <c r="J412" s="69" t="str">
        <f aca="false">IF(OR($F412="",$C412&lt;&gt;'設定（最初に1回）'!$C$4),"",IFERROR(INDEX(発注計算!$Y$6:$Y$405,MATCH($F412,発注計算!$C$6:$C$405,0)),""))</f>
        <v/>
      </c>
      <c r="K412" s="70"/>
      <c r="L412" s="69" t="str">
        <f aca="false">IF($K412="","",N($K412)*N($I412))</f>
        <v/>
      </c>
      <c r="M412" s="71" t="str">
        <f aca="false">IFERROR(INDEX(商品マスタ!$G$6:$G$1005,MATCH($F412,商品マスタ!$B$6:$B$1005,0)),"")</f>
        <v/>
      </c>
      <c r="N412" s="71" t="str">
        <f aca="false">IF($K412="","",N($K412)*N($M412))</f>
        <v/>
      </c>
      <c r="O412" s="66" t="str">
        <f aca="false">IFERROR(INDEX(商品マスタ!$H$6:$H$1005,MATCH($F412,商品マスタ!$B$6:$B$1005,0)),"")</f>
        <v/>
      </c>
      <c r="P412" s="87" t="str">
        <f aca="false">IF(OR($E412="",$O412=""),"",WORKDAY($E412,$O412))</f>
        <v/>
      </c>
      <c r="Q412" s="80"/>
      <c r="R412" s="131"/>
      <c r="S412" s="69" t="n">
        <f aca="false">IF($Q412="入荷済み",N($L412),0)</f>
        <v>0</v>
      </c>
      <c r="T412" s="80"/>
      <c r="U412" s="80"/>
    </row>
    <row r="413" customFormat="false" ht="15" hidden="false" customHeight="false" outlineLevel="0" collapsed="false">
      <c r="B413" s="66" t="str">
        <f aca="false">IF(OR($E413="",$F413=""),"","PO-"&amp;TEXT($E413,"yyyymmdd")&amp;"-"&amp;TEXT(COUNTIFS($E$6:$E413,$E413,$C$6:$C413,$C413),"000"))</f>
        <v/>
      </c>
      <c r="C413" s="130"/>
      <c r="D413" s="66" t="str">
        <f aca="false">IFERROR(INDEX(定数マスタ!$C$6:$C$105,MATCH($C413,定数マスタ!$B$6:$B$105,0)),"")</f>
        <v/>
      </c>
      <c r="E413" s="131"/>
      <c r="F413" s="130"/>
      <c r="G413" s="66" t="str">
        <f aca="false">IFERROR(INDEX(商品マスタ!$C$6:$C$1005,MATCH($F413,商品マスタ!$B$6:$B$1005,0)),"")</f>
        <v/>
      </c>
      <c r="H413" s="66" t="str">
        <f aca="false">IFERROR(INDEX(商品マスタ!$E$6:$E$1005,MATCH($F413,商品マスタ!$B$6:$B$1005,0)),"")</f>
        <v/>
      </c>
      <c r="I413" s="69" t="str">
        <f aca="false">IFERROR(INDEX(商品マスタ!$F$6:$F$1005,MATCH($F413,商品マスタ!$B$6:$B$1005,0)),"")</f>
        <v/>
      </c>
      <c r="J413" s="69" t="str">
        <f aca="false">IF(OR($F413="",$C413&lt;&gt;'設定（最初に1回）'!$C$4),"",IFERROR(INDEX(発注計算!$Y$6:$Y$405,MATCH($F413,発注計算!$C$6:$C$405,0)),""))</f>
        <v/>
      </c>
      <c r="K413" s="70"/>
      <c r="L413" s="69" t="str">
        <f aca="false">IF($K413="","",N($K413)*N($I413))</f>
        <v/>
      </c>
      <c r="M413" s="71" t="str">
        <f aca="false">IFERROR(INDEX(商品マスタ!$G$6:$G$1005,MATCH($F413,商品マスタ!$B$6:$B$1005,0)),"")</f>
        <v/>
      </c>
      <c r="N413" s="71" t="str">
        <f aca="false">IF($K413="","",N($K413)*N($M413))</f>
        <v/>
      </c>
      <c r="O413" s="66" t="str">
        <f aca="false">IFERROR(INDEX(商品マスタ!$H$6:$H$1005,MATCH($F413,商品マスタ!$B$6:$B$1005,0)),"")</f>
        <v/>
      </c>
      <c r="P413" s="87" t="str">
        <f aca="false">IF(OR($E413="",$O413=""),"",WORKDAY($E413,$O413))</f>
        <v/>
      </c>
      <c r="Q413" s="80"/>
      <c r="R413" s="131"/>
      <c r="S413" s="69" t="n">
        <f aca="false">IF($Q413="入荷済み",N($L413),0)</f>
        <v>0</v>
      </c>
      <c r="T413" s="80"/>
      <c r="U413" s="80"/>
    </row>
    <row r="414" customFormat="false" ht="15" hidden="false" customHeight="false" outlineLevel="0" collapsed="false">
      <c r="B414" s="66" t="str">
        <f aca="false">IF(OR($E414="",$F414=""),"","PO-"&amp;TEXT($E414,"yyyymmdd")&amp;"-"&amp;TEXT(COUNTIFS($E$6:$E414,$E414,$C$6:$C414,$C414),"000"))</f>
        <v/>
      </c>
      <c r="C414" s="130"/>
      <c r="D414" s="66" t="str">
        <f aca="false">IFERROR(INDEX(定数マスタ!$C$6:$C$105,MATCH($C414,定数マスタ!$B$6:$B$105,0)),"")</f>
        <v/>
      </c>
      <c r="E414" s="131"/>
      <c r="F414" s="130"/>
      <c r="G414" s="66" t="str">
        <f aca="false">IFERROR(INDEX(商品マスタ!$C$6:$C$1005,MATCH($F414,商品マスタ!$B$6:$B$1005,0)),"")</f>
        <v/>
      </c>
      <c r="H414" s="66" t="str">
        <f aca="false">IFERROR(INDEX(商品マスタ!$E$6:$E$1005,MATCH($F414,商品マスタ!$B$6:$B$1005,0)),"")</f>
        <v/>
      </c>
      <c r="I414" s="69" t="str">
        <f aca="false">IFERROR(INDEX(商品マスタ!$F$6:$F$1005,MATCH($F414,商品マスタ!$B$6:$B$1005,0)),"")</f>
        <v/>
      </c>
      <c r="J414" s="69" t="str">
        <f aca="false">IF(OR($F414="",$C414&lt;&gt;'設定（最初に1回）'!$C$4),"",IFERROR(INDEX(発注計算!$Y$6:$Y$405,MATCH($F414,発注計算!$C$6:$C$405,0)),""))</f>
        <v/>
      </c>
      <c r="K414" s="70"/>
      <c r="L414" s="69" t="str">
        <f aca="false">IF($K414="","",N($K414)*N($I414))</f>
        <v/>
      </c>
      <c r="M414" s="71" t="str">
        <f aca="false">IFERROR(INDEX(商品マスタ!$G$6:$G$1005,MATCH($F414,商品マスタ!$B$6:$B$1005,0)),"")</f>
        <v/>
      </c>
      <c r="N414" s="71" t="str">
        <f aca="false">IF($K414="","",N($K414)*N($M414))</f>
        <v/>
      </c>
      <c r="O414" s="66" t="str">
        <f aca="false">IFERROR(INDEX(商品マスタ!$H$6:$H$1005,MATCH($F414,商品マスタ!$B$6:$B$1005,0)),"")</f>
        <v/>
      </c>
      <c r="P414" s="87" t="str">
        <f aca="false">IF(OR($E414="",$O414=""),"",WORKDAY($E414,$O414))</f>
        <v/>
      </c>
      <c r="Q414" s="80"/>
      <c r="R414" s="131"/>
      <c r="S414" s="69" t="n">
        <f aca="false">IF($Q414="入荷済み",N($L414),0)</f>
        <v>0</v>
      </c>
      <c r="T414" s="80"/>
      <c r="U414" s="80"/>
    </row>
    <row r="415" customFormat="false" ht="15" hidden="false" customHeight="false" outlineLevel="0" collapsed="false">
      <c r="B415" s="66" t="str">
        <f aca="false">IF(OR($E415="",$F415=""),"","PO-"&amp;TEXT($E415,"yyyymmdd")&amp;"-"&amp;TEXT(COUNTIFS($E$6:$E415,$E415,$C$6:$C415,$C415),"000"))</f>
        <v/>
      </c>
      <c r="C415" s="130"/>
      <c r="D415" s="66" t="str">
        <f aca="false">IFERROR(INDEX(定数マスタ!$C$6:$C$105,MATCH($C415,定数マスタ!$B$6:$B$105,0)),"")</f>
        <v/>
      </c>
      <c r="E415" s="131"/>
      <c r="F415" s="130"/>
      <c r="G415" s="66" t="str">
        <f aca="false">IFERROR(INDEX(商品マスタ!$C$6:$C$1005,MATCH($F415,商品マスタ!$B$6:$B$1005,0)),"")</f>
        <v/>
      </c>
      <c r="H415" s="66" t="str">
        <f aca="false">IFERROR(INDEX(商品マスタ!$E$6:$E$1005,MATCH($F415,商品マスタ!$B$6:$B$1005,0)),"")</f>
        <v/>
      </c>
      <c r="I415" s="69" t="str">
        <f aca="false">IFERROR(INDEX(商品マスタ!$F$6:$F$1005,MATCH($F415,商品マスタ!$B$6:$B$1005,0)),"")</f>
        <v/>
      </c>
      <c r="J415" s="69" t="str">
        <f aca="false">IF(OR($F415="",$C415&lt;&gt;'設定（最初に1回）'!$C$4),"",IFERROR(INDEX(発注計算!$Y$6:$Y$405,MATCH($F415,発注計算!$C$6:$C$405,0)),""))</f>
        <v/>
      </c>
      <c r="K415" s="70"/>
      <c r="L415" s="69" t="str">
        <f aca="false">IF($K415="","",N($K415)*N($I415))</f>
        <v/>
      </c>
      <c r="M415" s="71" t="str">
        <f aca="false">IFERROR(INDEX(商品マスタ!$G$6:$G$1005,MATCH($F415,商品マスタ!$B$6:$B$1005,0)),"")</f>
        <v/>
      </c>
      <c r="N415" s="71" t="str">
        <f aca="false">IF($K415="","",N($K415)*N($M415))</f>
        <v/>
      </c>
      <c r="O415" s="66" t="str">
        <f aca="false">IFERROR(INDEX(商品マスタ!$H$6:$H$1005,MATCH($F415,商品マスタ!$B$6:$B$1005,0)),"")</f>
        <v/>
      </c>
      <c r="P415" s="87" t="str">
        <f aca="false">IF(OR($E415="",$O415=""),"",WORKDAY($E415,$O415))</f>
        <v/>
      </c>
      <c r="Q415" s="80"/>
      <c r="R415" s="131"/>
      <c r="S415" s="69" t="n">
        <f aca="false">IF($Q415="入荷済み",N($L415),0)</f>
        <v>0</v>
      </c>
      <c r="T415" s="80"/>
      <c r="U415" s="80"/>
    </row>
    <row r="416" customFormat="false" ht="15" hidden="false" customHeight="false" outlineLevel="0" collapsed="false">
      <c r="B416" s="66" t="str">
        <f aca="false">IF(OR($E416="",$F416=""),"","PO-"&amp;TEXT($E416,"yyyymmdd")&amp;"-"&amp;TEXT(COUNTIFS($E$6:$E416,$E416,$C$6:$C416,$C416),"000"))</f>
        <v/>
      </c>
      <c r="C416" s="130"/>
      <c r="D416" s="66" t="str">
        <f aca="false">IFERROR(INDEX(定数マスタ!$C$6:$C$105,MATCH($C416,定数マスタ!$B$6:$B$105,0)),"")</f>
        <v/>
      </c>
      <c r="E416" s="131"/>
      <c r="F416" s="130"/>
      <c r="G416" s="66" t="str">
        <f aca="false">IFERROR(INDEX(商品マスタ!$C$6:$C$1005,MATCH($F416,商品マスタ!$B$6:$B$1005,0)),"")</f>
        <v/>
      </c>
      <c r="H416" s="66" t="str">
        <f aca="false">IFERROR(INDEX(商品マスタ!$E$6:$E$1005,MATCH($F416,商品マスタ!$B$6:$B$1005,0)),"")</f>
        <v/>
      </c>
      <c r="I416" s="69" t="str">
        <f aca="false">IFERROR(INDEX(商品マスタ!$F$6:$F$1005,MATCH($F416,商品マスタ!$B$6:$B$1005,0)),"")</f>
        <v/>
      </c>
      <c r="J416" s="69" t="str">
        <f aca="false">IF(OR($F416="",$C416&lt;&gt;'設定（最初に1回）'!$C$4),"",IFERROR(INDEX(発注計算!$Y$6:$Y$405,MATCH($F416,発注計算!$C$6:$C$405,0)),""))</f>
        <v/>
      </c>
      <c r="K416" s="70"/>
      <c r="L416" s="69" t="str">
        <f aca="false">IF($K416="","",N($K416)*N($I416))</f>
        <v/>
      </c>
      <c r="M416" s="71" t="str">
        <f aca="false">IFERROR(INDEX(商品マスタ!$G$6:$G$1005,MATCH($F416,商品マスタ!$B$6:$B$1005,0)),"")</f>
        <v/>
      </c>
      <c r="N416" s="71" t="str">
        <f aca="false">IF($K416="","",N($K416)*N($M416))</f>
        <v/>
      </c>
      <c r="O416" s="66" t="str">
        <f aca="false">IFERROR(INDEX(商品マスタ!$H$6:$H$1005,MATCH($F416,商品マスタ!$B$6:$B$1005,0)),"")</f>
        <v/>
      </c>
      <c r="P416" s="87" t="str">
        <f aca="false">IF(OR($E416="",$O416=""),"",WORKDAY($E416,$O416))</f>
        <v/>
      </c>
      <c r="Q416" s="80"/>
      <c r="R416" s="131"/>
      <c r="S416" s="69" t="n">
        <f aca="false">IF($Q416="入荷済み",N($L416),0)</f>
        <v>0</v>
      </c>
      <c r="T416" s="80"/>
      <c r="U416" s="80"/>
    </row>
    <row r="417" customFormat="false" ht="15" hidden="false" customHeight="false" outlineLevel="0" collapsed="false">
      <c r="B417" s="66" t="str">
        <f aca="false">IF(OR($E417="",$F417=""),"","PO-"&amp;TEXT($E417,"yyyymmdd")&amp;"-"&amp;TEXT(COUNTIFS($E$6:$E417,$E417,$C$6:$C417,$C417),"000"))</f>
        <v/>
      </c>
      <c r="C417" s="130"/>
      <c r="D417" s="66" t="str">
        <f aca="false">IFERROR(INDEX(定数マスタ!$C$6:$C$105,MATCH($C417,定数マスタ!$B$6:$B$105,0)),"")</f>
        <v/>
      </c>
      <c r="E417" s="131"/>
      <c r="F417" s="130"/>
      <c r="G417" s="66" t="str">
        <f aca="false">IFERROR(INDEX(商品マスタ!$C$6:$C$1005,MATCH($F417,商品マスタ!$B$6:$B$1005,0)),"")</f>
        <v/>
      </c>
      <c r="H417" s="66" t="str">
        <f aca="false">IFERROR(INDEX(商品マスタ!$E$6:$E$1005,MATCH($F417,商品マスタ!$B$6:$B$1005,0)),"")</f>
        <v/>
      </c>
      <c r="I417" s="69" t="str">
        <f aca="false">IFERROR(INDEX(商品マスタ!$F$6:$F$1005,MATCH($F417,商品マスタ!$B$6:$B$1005,0)),"")</f>
        <v/>
      </c>
      <c r="J417" s="69" t="str">
        <f aca="false">IF(OR($F417="",$C417&lt;&gt;'設定（最初に1回）'!$C$4),"",IFERROR(INDEX(発注計算!$Y$6:$Y$405,MATCH($F417,発注計算!$C$6:$C$405,0)),""))</f>
        <v/>
      </c>
      <c r="K417" s="70"/>
      <c r="L417" s="69" t="str">
        <f aca="false">IF($K417="","",N($K417)*N($I417))</f>
        <v/>
      </c>
      <c r="M417" s="71" t="str">
        <f aca="false">IFERROR(INDEX(商品マスタ!$G$6:$G$1005,MATCH($F417,商品マスタ!$B$6:$B$1005,0)),"")</f>
        <v/>
      </c>
      <c r="N417" s="71" t="str">
        <f aca="false">IF($K417="","",N($K417)*N($M417))</f>
        <v/>
      </c>
      <c r="O417" s="66" t="str">
        <f aca="false">IFERROR(INDEX(商品マスタ!$H$6:$H$1005,MATCH($F417,商品マスタ!$B$6:$B$1005,0)),"")</f>
        <v/>
      </c>
      <c r="P417" s="87" t="str">
        <f aca="false">IF(OR($E417="",$O417=""),"",WORKDAY($E417,$O417))</f>
        <v/>
      </c>
      <c r="Q417" s="80"/>
      <c r="R417" s="131"/>
      <c r="S417" s="69" t="n">
        <f aca="false">IF($Q417="入荷済み",N($L417),0)</f>
        <v>0</v>
      </c>
      <c r="T417" s="80"/>
      <c r="U417" s="80"/>
    </row>
    <row r="418" customFormat="false" ht="15" hidden="false" customHeight="false" outlineLevel="0" collapsed="false">
      <c r="B418" s="66" t="str">
        <f aca="false">IF(OR($E418="",$F418=""),"","PO-"&amp;TEXT($E418,"yyyymmdd")&amp;"-"&amp;TEXT(COUNTIFS($E$6:$E418,$E418,$C$6:$C418,$C418),"000"))</f>
        <v/>
      </c>
      <c r="C418" s="130"/>
      <c r="D418" s="66" t="str">
        <f aca="false">IFERROR(INDEX(定数マスタ!$C$6:$C$105,MATCH($C418,定数マスタ!$B$6:$B$105,0)),"")</f>
        <v/>
      </c>
      <c r="E418" s="131"/>
      <c r="F418" s="130"/>
      <c r="G418" s="66" t="str">
        <f aca="false">IFERROR(INDEX(商品マスタ!$C$6:$C$1005,MATCH($F418,商品マスタ!$B$6:$B$1005,0)),"")</f>
        <v/>
      </c>
      <c r="H418" s="66" t="str">
        <f aca="false">IFERROR(INDEX(商品マスタ!$E$6:$E$1005,MATCH($F418,商品マスタ!$B$6:$B$1005,0)),"")</f>
        <v/>
      </c>
      <c r="I418" s="69" t="str">
        <f aca="false">IFERROR(INDEX(商品マスタ!$F$6:$F$1005,MATCH($F418,商品マスタ!$B$6:$B$1005,0)),"")</f>
        <v/>
      </c>
      <c r="J418" s="69" t="str">
        <f aca="false">IF(OR($F418="",$C418&lt;&gt;'設定（最初に1回）'!$C$4),"",IFERROR(INDEX(発注計算!$Y$6:$Y$405,MATCH($F418,発注計算!$C$6:$C$405,0)),""))</f>
        <v/>
      </c>
      <c r="K418" s="70"/>
      <c r="L418" s="69" t="str">
        <f aca="false">IF($K418="","",N($K418)*N($I418))</f>
        <v/>
      </c>
      <c r="M418" s="71" t="str">
        <f aca="false">IFERROR(INDEX(商品マスタ!$G$6:$G$1005,MATCH($F418,商品マスタ!$B$6:$B$1005,0)),"")</f>
        <v/>
      </c>
      <c r="N418" s="71" t="str">
        <f aca="false">IF($K418="","",N($K418)*N($M418))</f>
        <v/>
      </c>
      <c r="O418" s="66" t="str">
        <f aca="false">IFERROR(INDEX(商品マスタ!$H$6:$H$1005,MATCH($F418,商品マスタ!$B$6:$B$1005,0)),"")</f>
        <v/>
      </c>
      <c r="P418" s="87" t="str">
        <f aca="false">IF(OR($E418="",$O418=""),"",WORKDAY($E418,$O418))</f>
        <v/>
      </c>
      <c r="Q418" s="80"/>
      <c r="R418" s="131"/>
      <c r="S418" s="69" t="n">
        <f aca="false">IF($Q418="入荷済み",N($L418),0)</f>
        <v>0</v>
      </c>
      <c r="T418" s="80"/>
      <c r="U418" s="80"/>
    </row>
    <row r="419" customFormat="false" ht="15" hidden="false" customHeight="false" outlineLevel="0" collapsed="false">
      <c r="B419" s="66" t="str">
        <f aca="false">IF(OR($E419="",$F419=""),"","PO-"&amp;TEXT($E419,"yyyymmdd")&amp;"-"&amp;TEXT(COUNTIFS($E$6:$E419,$E419,$C$6:$C419,$C419),"000"))</f>
        <v/>
      </c>
      <c r="C419" s="130"/>
      <c r="D419" s="66" t="str">
        <f aca="false">IFERROR(INDEX(定数マスタ!$C$6:$C$105,MATCH($C419,定数マスタ!$B$6:$B$105,0)),"")</f>
        <v/>
      </c>
      <c r="E419" s="131"/>
      <c r="F419" s="130"/>
      <c r="G419" s="66" t="str">
        <f aca="false">IFERROR(INDEX(商品マスタ!$C$6:$C$1005,MATCH($F419,商品マスタ!$B$6:$B$1005,0)),"")</f>
        <v/>
      </c>
      <c r="H419" s="66" t="str">
        <f aca="false">IFERROR(INDEX(商品マスタ!$E$6:$E$1005,MATCH($F419,商品マスタ!$B$6:$B$1005,0)),"")</f>
        <v/>
      </c>
      <c r="I419" s="69" t="str">
        <f aca="false">IFERROR(INDEX(商品マスタ!$F$6:$F$1005,MATCH($F419,商品マスタ!$B$6:$B$1005,0)),"")</f>
        <v/>
      </c>
      <c r="J419" s="69" t="str">
        <f aca="false">IF(OR($F419="",$C419&lt;&gt;'設定（最初に1回）'!$C$4),"",IFERROR(INDEX(発注計算!$Y$6:$Y$405,MATCH($F419,発注計算!$C$6:$C$405,0)),""))</f>
        <v/>
      </c>
      <c r="K419" s="70"/>
      <c r="L419" s="69" t="str">
        <f aca="false">IF($K419="","",N($K419)*N($I419))</f>
        <v/>
      </c>
      <c r="M419" s="71" t="str">
        <f aca="false">IFERROR(INDEX(商品マスタ!$G$6:$G$1005,MATCH($F419,商品マスタ!$B$6:$B$1005,0)),"")</f>
        <v/>
      </c>
      <c r="N419" s="71" t="str">
        <f aca="false">IF($K419="","",N($K419)*N($M419))</f>
        <v/>
      </c>
      <c r="O419" s="66" t="str">
        <f aca="false">IFERROR(INDEX(商品マスタ!$H$6:$H$1005,MATCH($F419,商品マスタ!$B$6:$B$1005,0)),"")</f>
        <v/>
      </c>
      <c r="P419" s="87" t="str">
        <f aca="false">IF(OR($E419="",$O419=""),"",WORKDAY($E419,$O419))</f>
        <v/>
      </c>
      <c r="Q419" s="80"/>
      <c r="R419" s="131"/>
      <c r="S419" s="69" t="n">
        <f aca="false">IF($Q419="入荷済み",N($L419),0)</f>
        <v>0</v>
      </c>
      <c r="T419" s="80"/>
      <c r="U419" s="80"/>
    </row>
    <row r="420" customFormat="false" ht="15" hidden="false" customHeight="false" outlineLevel="0" collapsed="false">
      <c r="B420" s="66" t="str">
        <f aca="false">IF(OR($E420="",$F420=""),"","PO-"&amp;TEXT($E420,"yyyymmdd")&amp;"-"&amp;TEXT(COUNTIFS($E$6:$E420,$E420,$C$6:$C420,$C420),"000"))</f>
        <v/>
      </c>
      <c r="C420" s="130"/>
      <c r="D420" s="66" t="str">
        <f aca="false">IFERROR(INDEX(定数マスタ!$C$6:$C$105,MATCH($C420,定数マスタ!$B$6:$B$105,0)),"")</f>
        <v/>
      </c>
      <c r="E420" s="131"/>
      <c r="F420" s="130"/>
      <c r="G420" s="66" t="str">
        <f aca="false">IFERROR(INDEX(商品マスタ!$C$6:$C$1005,MATCH($F420,商品マスタ!$B$6:$B$1005,0)),"")</f>
        <v/>
      </c>
      <c r="H420" s="66" t="str">
        <f aca="false">IFERROR(INDEX(商品マスタ!$E$6:$E$1005,MATCH($F420,商品マスタ!$B$6:$B$1005,0)),"")</f>
        <v/>
      </c>
      <c r="I420" s="69" t="str">
        <f aca="false">IFERROR(INDEX(商品マスタ!$F$6:$F$1005,MATCH($F420,商品マスタ!$B$6:$B$1005,0)),"")</f>
        <v/>
      </c>
      <c r="J420" s="69" t="str">
        <f aca="false">IF(OR($F420="",$C420&lt;&gt;'設定（最初に1回）'!$C$4),"",IFERROR(INDEX(発注計算!$Y$6:$Y$405,MATCH($F420,発注計算!$C$6:$C$405,0)),""))</f>
        <v/>
      </c>
      <c r="K420" s="70"/>
      <c r="L420" s="69" t="str">
        <f aca="false">IF($K420="","",N($K420)*N($I420))</f>
        <v/>
      </c>
      <c r="M420" s="71" t="str">
        <f aca="false">IFERROR(INDEX(商品マスタ!$G$6:$G$1005,MATCH($F420,商品マスタ!$B$6:$B$1005,0)),"")</f>
        <v/>
      </c>
      <c r="N420" s="71" t="str">
        <f aca="false">IF($K420="","",N($K420)*N($M420))</f>
        <v/>
      </c>
      <c r="O420" s="66" t="str">
        <f aca="false">IFERROR(INDEX(商品マスタ!$H$6:$H$1005,MATCH($F420,商品マスタ!$B$6:$B$1005,0)),"")</f>
        <v/>
      </c>
      <c r="P420" s="87" t="str">
        <f aca="false">IF(OR($E420="",$O420=""),"",WORKDAY($E420,$O420))</f>
        <v/>
      </c>
      <c r="Q420" s="80"/>
      <c r="R420" s="131"/>
      <c r="S420" s="69" t="n">
        <f aca="false">IF($Q420="入荷済み",N($L420),0)</f>
        <v>0</v>
      </c>
      <c r="T420" s="80"/>
      <c r="U420" s="80"/>
    </row>
    <row r="421" customFormat="false" ht="15" hidden="false" customHeight="false" outlineLevel="0" collapsed="false">
      <c r="B421" s="66" t="str">
        <f aca="false">IF(OR($E421="",$F421=""),"","PO-"&amp;TEXT($E421,"yyyymmdd")&amp;"-"&amp;TEXT(COUNTIFS($E$6:$E421,$E421,$C$6:$C421,$C421),"000"))</f>
        <v/>
      </c>
      <c r="C421" s="130"/>
      <c r="D421" s="66" t="str">
        <f aca="false">IFERROR(INDEX(定数マスタ!$C$6:$C$105,MATCH($C421,定数マスタ!$B$6:$B$105,0)),"")</f>
        <v/>
      </c>
      <c r="E421" s="131"/>
      <c r="F421" s="130"/>
      <c r="G421" s="66" t="str">
        <f aca="false">IFERROR(INDEX(商品マスタ!$C$6:$C$1005,MATCH($F421,商品マスタ!$B$6:$B$1005,0)),"")</f>
        <v/>
      </c>
      <c r="H421" s="66" t="str">
        <f aca="false">IFERROR(INDEX(商品マスタ!$E$6:$E$1005,MATCH($F421,商品マスタ!$B$6:$B$1005,0)),"")</f>
        <v/>
      </c>
      <c r="I421" s="69" t="str">
        <f aca="false">IFERROR(INDEX(商品マスタ!$F$6:$F$1005,MATCH($F421,商品マスタ!$B$6:$B$1005,0)),"")</f>
        <v/>
      </c>
      <c r="J421" s="69" t="str">
        <f aca="false">IF(OR($F421="",$C421&lt;&gt;'設定（最初に1回）'!$C$4),"",IFERROR(INDEX(発注計算!$Y$6:$Y$405,MATCH($F421,発注計算!$C$6:$C$405,0)),""))</f>
        <v/>
      </c>
      <c r="K421" s="70"/>
      <c r="L421" s="69" t="str">
        <f aca="false">IF($K421="","",N($K421)*N($I421))</f>
        <v/>
      </c>
      <c r="M421" s="71" t="str">
        <f aca="false">IFERROR(INDEX(商品マスタ!$G$6:$G$1005,MATCH($F421,商品マスタ!$B$6:$B$1005,0)),"")</f>
        <v/>
      </c>
      <c r="N421" s="71" t="str">
        <f aca="false">IF($K421="","",N($K421)*N($M421))</f>
        <v/>
      </c>
      <c r="O421" s="66" t="str">
        <f aca="false">IFERROR(INDEX(商品マスタ!$H$6:$H$1005,MATCH($F421,商品マスタ!$B$6:$B$1005,0)),"")</f>
        <v/>
      </c>
      <c r="P421" s="87" t="str">
        <f aca="false">IF(OR($E421="",$O421=""),"",WORKDAY($E421,$O421))</f>
        <v/>
      </c>
      <c r="Q421" s="80"/>
      <c r="R421" s="131"/>
      <c r="S421" s="69" t="n">
        <f aca="false">IF($Q421="入荷済み",N($L421),0)</f>
        <v>0</v>
      </c>
      <c r="T421" s="80"/>
      <c r="U421" s="80"/>
    </row>
    <row r="422" customFormat="false" ht="15" hidden="false" customHeight="false" outlineLevel="0" collapsed="false">
      <c r="B422" s="66" t="str">
        <f aca="false">IF(OR($E422="",$F422=""),"","PO-"&amp;TEXT($E422,"yyyymmdd")&amp;"-"&amp;TEXT(COUNTIFS($E$6:$E422,$E422,$C$6:$C422,$C422),"000"))</f>
        <v/>
      </c>
      <c r="C422" s="130"/>
      <c r="D422" s="66" t="str">
        <f aca="false">IFERROR(INDEX(定数マスタ!$C$6:$C$105,MATCH($C422,定数マスタ!$B$6:$B$105,0)),"")</f>
        <v/>
      </c>
      <c r="E422" s="131"/>
      <c r="F422" s="130"/>
      <c r="G422" s="66" t="str">
        <f aca="false">IFERROR(INDEX(商品マスタ!$C$6:$C$1005,MATCH($F422,商品マスタ!$B$6:$B$1005,0)),"")</f>
        <v/>
      </c>
      <c r="H422" s="66" t="str">
        <f aca="false">IFERROR(INDEX(商品マスタ!$E$6:$E$1005,MATCH($F422,商品マスタ!$B$6:$B$1005,0)),"")</f>
        <v/>
      </c>
      <c r="I422" s="69" t="str">
        <f aca="false">IFERROR(INDEX(商品マスタ!$F$6:$F$1005,MATCH($F422,商品マスタ!$B$6:$B$1005,0)),"")</f>
        <v/>
      </c>
      <c r="J422" s="69" t="str">
        <f aca="false">IF(OR($F422="",$C422&lt;&gt;'設定（最初に1回）'!$C$4),"",IFERROR(INDEX(発注計算!$Y$6:$Y$405,MATCH($F422,発注計算!$C$6:$C$405,0)),""))</f>
        <v/>
      </c>
      <c r="K422" s="70"/>
      <c r="L422" s="69" t="str">
        <f aca="false">IF($K422="","",N($K422)*N($I422))</f>
        <v/>
      </c>
      <c r="M422" s="71" t="str">
        <f aca="false">IFERROR(INDEX(商品マスタ!$G$6:$G$1005,MATCH($F422,商品マスタ!$B$6:$B$1005,0)),"")</f>
        <v/>
      </c>
      <c r="N422" s="71" t="str">
        <f aca="false">IF($K422="","",N($K422)*N($M422))</f>
        <v/>
      </c>
      <c r="O422" s="66" t="str">
        <f aca="false">IFERROR(INDEX(商品マスタ!$H$6:$H$1005,MATCH($F422,商品マスタ!$B$6:$B$1005,0)),"")</f>
        <v/>
      </c>
      <c r="P422" s="87" t="str">
        <f aca="false">IF(OR($E422="",$O422=""),"",WORKDAY($E422,$O422))</f>
        <v/>
      </c>
      <c r="Q422" s="80"/>
      <c r="R422" s="131"/>
      <c r="S422" s="69" t="n">
        <f aca="false">IF($Q422="入荷済み",N($L422),0)</f>
        <v>0</v>
      </c>
      <c r="T422" s="80"/>
      <c r="U422" s="80"/>
    </row>
    <row r="423" customFormat="false" ht="15" hidden="false" customHeight="false" outlineLevel="0" collapsed="false">
      <c r="B423" s="66" t="str">
        <f aca="false">IF(OR($E423="",$F423=""),"","PO-"&amp;TEXT($E423,"yyyymmdd")&amp;"-"&amp;TEXT(COUNTIFS($E$6:$E423,$E423,$C$6:$C423,$C423),"000"))</f>
        <v/>
      </c>
      <c r="C423" s="130"/>
      <c r="D423" s="66" t="str">
        <f aca="false">IFERROR(INDEX(定数マスタ!$C$6:$C$105,MATCH($C423,定数マスタ!$B$6:$B$105,0)),"")</f>
        <v/>
      </c>
      <c r="E423" s="131"/>
      <c r="F423" s="130"/>
      <c r="G423" s="66" t="str">
        <f aca="false">IFERROR(INDEX(商品マスタ!$C$6:$C$1005,MATCH($F423,商品マスタ!$B$6:$B$1005,0)),"")</f>
        <v/>
      </c>
      <c r="H423" s="66" t="str">
        <f aca="false">IFERROR(INDEX(商品マスタ!$E$6:$E$1005,MATCH($F423,商品マスタ!$B$6:$B$1005,0)),"")</f>
        <v/>
      </c>
      <c r="I423" s="69" t="str">
        <f aca="false">IFERROR(INDEX(商品マスタ!$F$6:$F$1005,MATCH($F423,商品マスタ!$B$6:$B$1005,0)),"")</f>
        <v/>
      </c>
      <c r="J423" s="69" t="str">
        <f aca="false">IF(OR($F423="",$C423&lt;&gt;'設定（最初に1回）'!$C$4),"",IFERROR(INDEX(発注計算!$Y$6:$Y$405,MATCH($F423,発注計算!$C$6:$C$405,0)),""))</f>
        <v/>
      </c>
      <c r="K423" s="70"/>
      <c r="L423" s="69" t="str">
        <f aca="false">IF($K423="","",N($K423)*N($I423))</f>
        <v/>
      </c>
      <c r="M423" s="71" t="str">
        <f aca="false">IFERROR(INDEX(商品マスタ!$G$6:$G$1005,MATCH($F423,商品マスタ!$B$6:$B$1005,0)),"")</f>
        <v/>
      </c>
      <c r="N423" s="71" t="str">
        <f aca="false">IF($K423="","",N($K423)*N($M423))</f>
        <v/>
      </c>
      <c r="O423" s="66" t="str">
        <f aca="false">IFERROR(INDEX(商品マスタ!$H$6:$H$1005,MATCH($F423,商品マスタ!$B$6:$B$1005,0)),"")</f>
        <v/>
      </c>
      <c r="P423" s="87" t="str">
        <f aca="false">IF(OR($E423="",$O423=""),"",WORKDAY($E423,$O423))</f>
        <v/>
      </c>
      <c r="Q423" s="80"/>
      <c r="R423" s="131"/>
      <c r="S423" s="69" t="n">
        <f aca="false">IF($Q423="入荷済み",N($L423),0)</f>
        <v>0</v>
      </c>
      <c r="T423" s="80"/>
      <c r="U423" s="80"/>
    </row>
    <row r="424" customFormat="false" ht="15" hidden="false" customHeight="false" outlineLevel="0" collapsed="false">
      <c r="B424" s="66" t="str">
        <f aca="false">IF(OR($E424="",$F424=""),"","PO-"&amp;TEXT($E424,"yyyymmdd")&amp;"-"&amp;TEXT(COUNTIFS($E$6:$E424,$E424,$C$6:$C424,$C424),"000"))</f>
        <v/>
      </c>
      <c r="C424" s="130"/>
      <c r="D424" s="66" t="str">
        <f aca="false">IFERROR(INDEX(定数マスタ!$C$6:$C$105,MATCH($C424,定数マスタ!$B$6:$B$105,0)),"")</f>
        <v/>
      </c>
      <c r="E424" s="131"/>
      <c r="F424" s="130"/>
      <c r="G424" s="66" t="str">
        <f aca="false">IFERROR(INDEX(商品マスタ!$C$6:$C$1005,MATCH($F424,商品マスタ!$B$6:$B$1005,0)),"")</f>
        <v/>
      </c>
      <c r="H424" s="66" t="str">
        <f aca="false">IFERROR(INDEX(商品マスタ!$E$6:$E$1005,MATCH($F424,商品マスタ!$B$6:$B$1005,0)),"")</f>
        <v/>
      </c>
      <c r="I424" s="69" t="str">
        <f aca="false">IFERROR(INDEX(商品マスタ!$F$6:$F$1005,MATCH($F424,商品マスタ!$B$6:$B$1005,0)),"")</f>
        <v/>
      </c>
      <c r="J424" s="69" t="str">
        <f aca="false">IF(OR($F424="",$C424&lt;&gt;'設定（最初に1回）'!$C$4),"",IFERROR(INDEX(発注計算!$Y$6:$Y$405,MATCH($F424,発注計算!$C$6:$C$405,0)),""))</f>
        <v/>
      </c>
      <c r="K424" s="70"/>
      <c r="L424" s="69" t="str">
        <f aca="false">IF($K424="","",N($K424)*N($I424))</f>
        <v/>
      </c>
      <c r="M424" s="71" t="str">
        <f aca="false">IFERROR(INDEX(商品マスタ!$G$6:$G$1005,MATCH($F424,商品マスタ!$B$6:$B$1005,0)),"")</f>
        <v/>
      </c>
      <c r="N424" s="71" t="str">
        <f aca="false">IF($K424="","",N($K424)*N($M424))</f>
        <v/>
      </c>
      <c r="O424" s="66" t="str">
        <f aca="false">IFERROR(INDEX(商品マスタ!$H$6:$H$1005,MATCH($F424,商品マスタ!$B$6:$B$1005,0)),"")</f>
        <v/>
      </c>
      <c r="P424" s="87" t="str">
        <f aca="false">IF(OR($E424="",$O424=""),"",WORKDAY($E424,$O424))</f>
        <v/>
      </c>
      <c r="Q424" s="80"/>
      <c r="R424" s="131"/>
      <c r="S424" s="69" t="n">
        <f aca="false">IF($Q424="入荷済み",N($L424),0)</f>
        <v>0</v>
      </c>
      <c r="T424" s="80"/>
      <c r="U424" s="80"/>
    </row>
    <row r="425" customFormat="false" ht="15" hidden="false" customHeight="false" outlineLevel="0" collapsed="false">
      <c r="B425" s="66" t="str">
        <f aca="false">IF(OR($E425="",$F425=""),"","PO-"&amp;TEXT($E425,"yyyymmdd")&amp;"-"&amp;TEXT(COUNTIFS($E$6:$E425,$E425,$C$6:$C425,$C425),"000"))</f>
        <v/>
      </c>
      <c r="C425" s="130"/>
      <c r="D425" s="66" t="str">
        <f aca="false">IFERROR(INDEX(定数マスタ!$C$6:$C$105,MATCH($C425,定数マスタ!$B$6:$B$105,0)),"")</f>
        <v/>
      </c>
      <c r="E425" s="131"/>
      <c r="F425" s="130"/>
      <c r="G425" s="66" t="str">
        <f aca="false">IFERROR(INDEX(商品マスタ!$C$6:$C$1005,MATCH($F425,商品マスタ!$B$6:$B$1005,0)),"")</f>
        <v/>
      </c>
      <c r="H425" s="66" t="str">
        <f aca="false">IFERROR(INDEX(商品マスタ!$E$6:$E$1005,MATCH($F425,商品マスタ!$B$6:$B$1005,0)),"")</f>
        <v/>
      </c>
      <c r="I425" s="69" t="str">
        <f aca="false">IFERROR(INDEX(商品マスタ!$F$6:$F$1005,MATCH($F425,商品マスタ!$B$6:$B$1005,0)),"")</f>
        <v/>
      </c>
      <c r="J425" s="69" t="str">
        <f aca="false">IF(OR($F425="",$C425&lt;&gt;'設定（最初に1回）'!$C$4),"",IFERROR(INDEX(発注計算!$Y$6:$Y$405,MATCH($F425,発注計算!$C$6:$C$405,0)),""))</f>
        <v/>
      </c>
      <c r="K425" s="70"/>
      <c r="L425" s="69" t="str">
        <f aca="false">IF($K425="","",N($K425)*N($I425))</f>
        <v/>
      </c>
      <c r="M425" s="71" t="str">
        <f aca="false">IFERROR(INDEX(商品マスタ!$G$6:$G$1005,MATCH($F425,商品マスタ!$B$6:$B$1005,0)),"")</f>
        <v/>
      </c>
      <c r="N425" s="71" t="str">
        <f aca="false">IF($K425="","",N($K425)*N($M425))</f>
        <v/>
      </c>
      <c r="O425" s="66" t="str">
        <f aca="false">IFERROR(INDEX(商品マスタ!$H$6:$H$1005,MATCH($F425,商品マスタ!$B$6:$B$1005,0)),"")</f>
        <v/>
      </c>
      <c r="P425" s="87" t="str">
        <f aca="false">IF(OR($E425="",$O425=""),"",WORKDAY($E425,$O425))</f>
        <v/>
      </c>
      <c r="Q425" s="80"/>
      <c r="R425" s="131"/>
      <c r="S425" s="69" t="n">
        <f aca="false">IF($Q425="入荷済み",N($L425),0)</f>
        <v>0</v>
      </c>
      <c r="T425" s="80"/>
      <c r="U425" s="80"/>
    </row>
    <row r="426" customFormat="false" ht="15" hidden="false" customHeight="false" outlineLevel="0" collapsed="false">
      <c r="B426" s="66" t="str">
        <f aca="false">IF(OR($E426="",$F426=""),"","PO-"&amp;TEXT($E426,"yyyymmdd")&amp;"-"&amp;TEXT(COUNTIFS($E$6:$E426,$E426,$C$6:$C426,$C426),"000"))</f>
        <v/>
      </c>
      <c r="C426" s="130"/>
      <c r="D426" s="66" t="str">
        <f aca="false">IFERROR(INDEX(定数マスタ!$C$6:$C$105,MATCH($C426,定数マスタ!$B$6:$B$105,0)),"")</f>
        <v/>
      </c>
      <c r="E426" s="131"/>
      <c r="F426" s="130"/>
      <c r="G426" s="66" t="str">
        <f aca="false">IFERROR(INDEX(商品マスタ!$C$6:$C$1005,MATCH($F426,商品マスタ!$B$6:$B$1005,0)),"")</f>
        <v/>
      </c>
      <c r="H426" s="66" t="str">
        <f aca="false">IFERROR(INDEX(商品マスタ!$E$6:$E$1005,MATCH($F426,商品マスタ!$B$6:$B$1005,0)),"")</f>
        <v/>
      </c>
      <c r="I426" s="69" t="str">
        <f aca="false">IFERROR(INDEX(商品マスタ!$F$6:$F$1005,MATCH($F426,商品マスタ!$B$6:$B$1005,0)),"")</f>
        <v/>
      </c>
      <c r="J426" s="69" t="str">
        <f aca="false">IF(OR($F426="",$C426&lt;&gt;'設定（最初に1回）'!$C$4),"",IFERROR(INDEX(発注計算!$Y$6:$Y$405,MATCH($F426,発注計算!$C$6:$C$405,0)),""))</f>
        <v/>
      </c>
      <c r="K426" s="70"/>
      <c r="L426" s="69" t="str">
        <f aca="false">IF($K426="","",N($K426)*N($I426))</f>
        <v/>
      </c>
      <c r="M426" s="71" t="str">
        <f aca="false">IFERROR(INDEX(商品マスタ!$G$6:$G$1005,MATCH($F426,商品マスタ!$B$6:$B$1005,0)),"")</f>
        <v/>
      </c>
      <c r="N426" s="71" t="str">
        <f aca="false">IF($K426="","",N($K426)*N($M426))</f>
        <v/>
      </c>
      <c r="O426" s="66" t="str">
        <f aca="false">IFERROR(INDEX(商品マスタ!$H$6:$H$1005,MATCH($F426,商品マスタ!$B$6:$B$1005,0)),"")</f>
        <v/>
      </c>
      <c r="P426" s="87" t="str">
        <f aca="false">IF(OR($E426="",$O426=""),"",WORKDAY($E426,$O426))</f>
        <v/>
      </c>
      <c r="Q426" s="80"/>
      <c r="R426" s="131"/>
      <c r="S426" s="69" t="n">
        <f aca="false">IF($Q426="入荷済み",N($L426),0)</f>
        <v>0</v>
      </c>
      <c r="T426" s="80"/>
      <c r="U426" s="80"/>
    </row>
    <row r="427" customFormat="false" ht="15" hidden="false" customHeight="false" outlineLevel="0" collapsed="false">
      <c r="B427" s="66" t="str">
        <f aca="false">IF(OR($E427="",$F427=""),"","PO-"&amp;TEXT($E427,"yyyymmdd")&amp;"-"&amp;TEXT(COUNTIFS($E$6:$E427,$E427,$C$6:$C427,$C427),"000"))</f>
        <v/>
      </c>
      <c r="C427" s="130"/>
      <c r="D427" s="66" t="str">
        <f aca="false">IFERROR(INDEX(定数マスタ!$C$6:$C$105,MATCH($C427,定数マスタ!$B$6:$B$105,0)),"")</f>
        <v/>
      </c>
      <c r="E427" s="131"/>
      <c r="F427" s="130"/>
      <c r="G427" s="66" t="str">
        <f aca="false">IFERROR(INDEX(商品マスタ!$C$6:$C$1005,MATCH($F427,商品マスタ!$B$6:$B$1005,0)),"")</f>
        <v/>
      </c>
      <c r="H427" s="66" t="str">
        <f aca="false">IFERROR(INDEX(商品マスタ!$E$6:$E$1005,MATCH($F427,商品マスタ!$B$6:$B$1005,0)),"")</f>
        <v/>
      </c>
      <c r="I427" s="69" t="str">
        <f aca="false">IFERROR(INDEX(商品マスタ!$F$6:$F$1005,MATCH($F427,商品マスタ!$B$6:$B$1005,0)),"")</f>
        <v/>
      </c>
      <c r="J427" s="69" t="str">
        <f aca="false">IF(OR($F427="",$C427&lt;&gt;'設定（最初に1回）'!$C$4),"",IFERROR(INDEX(発注計算!$Y$6:$Y$405,MATCH($F427,発注計算!$C$6:$C$405,0)),""))</f>
        <v/>
      </c>
      <c r="K427" s="70"/>
      <c r="L427" s="69" t="str">
        <f aca="false">IF($K427="","",N($K427)*N($I427))</f>
        <v/>
      </c>
      <c r="M427" s="71" t="str">
        <f aca="false">IFERROR(INDEX(商品マスタ!$G$6:$G$1005,MATCH($F427,商品マスタ!$B$6:$B$1005,0)),"")</f>
        <v/>
      </c>
      <c r="N427" s="71" t="str">
        <f aca="false">IF($K427="","",N($K427)*N($M427))</f>
        <v/>
      </c>
      <c r="O427" s="66" t="str">
        <f aca="false">IFERROR(INDEX(商品マスタ!$H$6:$H$1005,MATCH($F427,商品マスタ!$B$6:$B$1005,0)),"")</f>
        <v/>
      </c>
      <c r="P427" s="87" t="str">
        <f aca="false">IF(OR($E427="",$O427=""),"",WORKDAY($E427,$O427))</f>
        <v/>
      </c>
      <c r="Q427" s="80"/>
      <c r="R427" s="131"/>
      <c r="S427" s="69" t="n">
        <f aca="false">IF($Q427="入荷済み",N($L427),0)</f>
        <v>0</v>
      </c>
      <c r="T427" s="80"/>
      <c r="U427" s="80"/>
    </row>
    <row r="428" customFormat="false" ht="15" hidden="false" customHeight="false" outlineLevel="0" collapsed="false">
      <c r="B428" s="66" t="str">
        <f aca="false">IF(OR($E428="",$F428=""),"","PO-"&amp;TEXT($E428,"yyyymmdd")&amp;"-"&amp;TEXT(COUNTIFS($E$6:$E428,$E428,$C$6:$C428,$C428),"000"))</f>
        <v/>
      </c>
      <c r="C428" s="130"/>
      <c r="D428" s="66" t="str">
        <f aca="false">IFERROR(INDEX(定数マスタ!$C$6:$C$105,MATCH($C428,定数マスタ!$B$6:$B$105,0)),"")</f>
        <v/>
      </c>
      <c r="E428" s="131"/>
      <c r="F428" s="130"/>
      <c r="G428" s="66" t="str">
        <f aca="false">IFERROR(INDEX(商品マスタ!$C$6:$C$1005,MATCH($F428,商品マスタ!$B$6:$B$1005,0)),"")</f>
        <v/>
      </c>
      <c r="H428" s="66" t="str">
        <f aca="false">IFERROR(INDEX(商品マスタ!$E$6:$E$1005,MATCH($F428,商品マスタ!$B$6:$B$1005,0)),"")</f>
        <v/>
      </c>
      <c r="I428" s="69" t="str">
        <f aca="false">IFERROR(INDEX(商品マスタ!$F$6:$F$1005,MATCH($F428,商品マスタ!$B$6:$B$1005,0)),"")</f>
        <v/>
      </c>
      <c r="J428" s="69" t="str">
        <f aca="false">IF(OR($F428="",$C428&lt;&gt;'設定（最初に1回）'!$C$4),"",IFERROR(INDEX(発注計算!$Y$6:$Y$405,MATCH($F428,発注計算!$C$6:$C$405,0)),""))</f>
        <v/>
      </c>
      <c r="K428" s="70"/>
      <c r="L428" s="69" t="str">
        <f aca="false">IF($K428="","",N($K428)*N($I428))</f>
        <v/>
      </c>
      <c r="M428" s="71" t="str">
        <f aca="false">IFERROR(INDEX(商品マスタ!$G$6:$G$1005,MATCH($F428,商品マスタ!$B$6:$B$1005,0)),"")</f>
        <v/>
      </c>
      <c r="N428" s="71" t="str">
        <f aca="false">IF($K428="","",N($K428)*N($M428))</f>
        <v/>
      </c>
      <c r="O428" s="66" t="str">
        <f aca="false">IFERROR(INDEX(商品マスタ!$H$6:$H$1005,MATCH($F428,商品マスタ!$B$6:$B$1005,0)),"")</f>
        <v/>
      </c>
      <c r="P428" s="87" t="str">
        <f aca="false">IF(OR($E428="",$O428=""),"",WORKDAY($E428,$O428))</f>
        <v/>
      </c>
      <c r="Q428" s="80"/>
      <c r="R428" s="131"/>
      <c r="S428" s="69" t="n">
        <f aca="false">IF($Q428="入荷済み",N($L428),0)</f>
        <v>0</v>
      </c>
      <c r="T428" s="80"/>
      <c r="U428" s="80"/>
    </row>
    <row r="429" customFormat="false" ht="15" hidden="false" customHeight="false" outlineLevel="0" collapsed="false">
      <c r="B429" s="66" t="str">
        <f aca="false">IF(OR($E429="",$F429=""),"","PO-"&amp;TEXT($E429,"yyyymmdd")&amp;"-"&amp;TEXT(COUNTIFS($E$6:$E429,$E429,$C$6:$C429,$C429),"000"))</f>
        <v/>
      </c>
      <c r="C429" s="130"/>
      <c r="D429" s="66" t="str">
        <f aca="false">IFERROR(INDEX(定数マスタ!$C$6:$C$105,MATCH($C429,定数マスタ!$B$6:$B$105,0)),"")</f>
        <v/>
      </c>
      <c r="E429" s="131"/>
      <c r="F429" s="130"/>
      <c r="G429" s="66" t="str">
        <f aca="false">IFERROR(INDEX(商品マスタ!$C$6:$C$1005,MATCH($F429,商品マスタ!$B$6:$B$1005,0)),"")</f>
        <v/>
      </c>
      <c r="H429" s="66" t="str">
        <f aca="false">IFERROR(INDEX(商品マスタ!$E$6:$E$1005,MATCH($F429,商品マスタ!$B$6:$B$1005,0)),"")</f>
        <v/>
      </c>
      <c r="I429" s="69" t="str">
        <f aca="false">IFERROR(INDEX(商品マスタ!$F$6:$F$1005,MATCH($F429,商品マスタ!$B$6:$B$1005,0)),"")</f>
        <v/>
      </c>
      <c r="J429" s="69" t="str">
        <f aca="false">IF(OR($F429="",$C429&lt;&gt;'設定（最初に1回）'!$C$4),"",IFERROR(INDEX(発注計算!$Y$6:$Y$405,MATCH($F429,発注計算!$C$6:$C$405,0)),""))</f>
        <v/>
      </c>
      <c r="K429" s="70"/>
      <c r="L429" s="69" t="str">
        <f aca="false">IF($K429="","",N($K429)*N($I429))</f>
        <v/>
      </c>
      <c r="M429" s="71" t="str">
        <f aca="false">IFERROR(INDEX(商品マスタ!$G$6:$G$1005,MATCH($F429,商品マスタ!$B$6:$B$1005,0)),"")</f>
        <v/>
      </c>
      <c r="N429" s="71" t="str">
        <f aca="false">IF($K429="","",N($K429)*N($M429))</f>
        <v/>
      </c>
      <c r="O429" s="66" t="str">
        <f aca="false">IFERROR(INDEX(商品マスタ!$H$6:$H$1005,MATCH($F429,商品マスタ!$B$6:$B$1005,0)),"")</f>
        <v/>
      </c>
      <c r="P429" s="87" t="str">
        <f aca="false">IF(OR($E429="",$O429=""),"",WORKDAY($E429,$O429))</f>
        <v/>
      </c>
      <c r="Q429" s="80"/>
      <c r="R429" s="131"/>
      <c r="S429" s="69" t="n">
        <f aca="false">IF($Q429="入荷済み",N($L429),0)</f>
        <v>0</v>
      </c>
      <c r="T429" s="80"/>
      <c r="U429" s="80"/>
    </row>
    <row r="430" customFormat="false" ht="15" hidden="false" customHeight="false" outlineLevel="0" collapsed="false">
      <c r="B430" s="66" t="str">
        <f aca="false">IF(OR($E430="",$F430=""),"","PO-"&amp;TEXT($E430,"yyyymmdd")&amp;"-"&amp;TEXT(COUNTIFS($E$6:$E430,$E430,$C$6:$C430,$C430),"000"))</f>
        <v/>
      </c>
      <c r="C430" s="130"/>
      <c r="D430" s="66" t="str">
        <f aca="false">IFERROR(INDEX(定数マスタ!$C$6:$C$105,MATCH($C430,定数マスタ!$B$6:$B$105,0)),"")</f>
        <v/>
      </c>
      <c r="E430" s="131"/>
      <c r="F430" s="130"/>
      <c r="G430" s="66" t="str">
        <f aca="false">IFERROR(INDEX(商品マスタ!$C$6:$C$1005,MATCH($F430,商品マスタ!$B$6:$B$1005,0)),"")</f>
        <v/>
      </c>
      <c r="H430" s="66" t="str">
        <f aca="false">IFERROR(INDEX(商品マスタ!$E$6:$E$1005,MATCH($F430,商品マスタ!$B$6:$B$1005,0)),"")</f>
        <v/>
      </c>
      <c r="I430" s="69" t="str">
        <f aca="false">IFERROR(INDEX(商品マスタ!$F$6:$F$1005,MATCH($F430,商品マスタ!$B$6:$B$1005,0)),"")</f>
        <v/>
      </c>
      <c r="J430" s="69" t="str">
        <f aca="false">IF(OR($F430="",$C430&lt;&gt;'設定（最初に1回）'!$C$4),"",IFERROR(INDEX(発注計算!$Y$6:$Y$405,MATCH($F430,発注計算!$C$6:$C$405,0)),""))</f>
        <v/>
      </c>
      <c r="K430" s="70"/>
      <c r="L430" s="69" t="str">
        <f aca="false">IF($K430="","",N($K430)*N($I430))</f>
        <v/>
      </c>
      <c r="M430" s="71" t="str">
        <f aca="false">IFERROR(INDEX(商品マスタ!$G$6:$G$1005,MATCH($F430,商品マスタ!$B$6:$B$1005,0)),"")</f>
        <v/>
      </c>
      <c r="N430" s="71" t="str">
        <f aca="false">IF($K430="","",N($K430)*N($M430))</f>
        <v/>
      </c>
      <c r="O430" s="66" t="str">
        <f aca="false">IFERROR(INDEX(商品マスタ!$H$6:$H$1005,MATCH($F430,商品マスタ!$B$6:$B$1005,0)),"")</f>
        <v/>
      </c>
      <c r="P430" s="87" t="str">
        <f aca="false">IF(OR($E430="",$O430=""),"",WORKDAY($E430,$O430))</f>
        <v/>
      </c>
      <c r="Q430" s="80"/>
      <c r="R430" s="131"/>
      <c r="S430" s="69" t="n">
        <f aca="false">IF($Q430="入荷済み",N($L430),0)</f>
        <v>0</v>
      </c>
      <c r="T430" s="80"/>
      <c r="U430" s="80"/>
    </row>
    <row r="431" customFormat="false" ht="15" hidden="false" customHeight="false" outlineLevel="0" collapsed="false">
      <c r="B431" s="66" t="str">
        <f aca="false">IF(OR($E431="",$F431=""),"","PO-"&amp;TEXT($E431,"yyyymmdd")&amp;"-"&amp;TEXT(COUNTIFS($E$6:$E431,$E431,$C$6:$C431,$C431),"000"))</f>
        <v/>
      </c>
      <c r="C431" s="130"/>
      <c r="D431" s="66" t="str">
        <f aca="false">IFERROR(INDEX(定数マスタ!$C$6:$C$105,MATCH($C431,定数マスタ!$B$6:$B$105,0)),"")</f>
        <v/>
      </c>
      <c r="E431" s="131"/>
      <c r="F431" s="130"/>
      <c r="G431" s="66" t="str">
        <f aca="false">IFERROR(INDEX(商品マスタ!$C$6:$C$1005,MATCH($F431,商品マスタ!$B$6:$B$1005,0)),"")</f>
        <v/>
      </c>
      <c r="H431" s="66" t="str">
        <f aca="false">IFERROR(INDEX(商品マスタ!$E$6:$E$1005,MATCH($F431,商品マスタ!$B$6:$B$1005,0)),"")</f>
        <v/>
      </c>
      <c r="I431" s="69" t="str">
        <f aca="false">IFERROR(INDEX(商品マスタ!$F$6:$F$1005,MATCH($F431,商品マスタ!$B$6:$B$1005,0)),"")</f>
        <v/>
      </c>
      <c r="J431" s="69" t="str">
        <f aca="false">IF(OR($F431="",$C431&lt;&gt;'設定（最初に1回）'!$C$4),"",IFERROR(INDEX(発注計算!$Y$6:$Y$405,MATCH($F431,発注計算!$C$6:$C$405,0)),""))</f>
        <v/>
      </c>
      <c r="K431" s="70"/>
      <c r="L431" s="69" t="str">
        <f aca="false">IF($K431="","",N($K431)*N($I431))</f>
        <v/>
      </c>
      <c r="M431" s="71" t="str">
        <f aca="false">IFERROR(INDEX(商品マスタ!$G$6:$G$1005,MATCH($F431,商品マスタ!$B$6:$B$1005,0)),"")</f>
        <v/>
      </c>
      <c r="N431" s="71" t="str">
        <f aca="false">IF($K431="","",N($K431)*N($M431))</f>
        <v/>
      </c>
      <c r="O431" s="66" t="str">
        <f aca="false">IFERROR(INDEX(商品マスタ!$H$6:$H$1005,MATCH($F431,商品マスタ!$B$6:$B$1005,0)),"")</f>
        <v/>
      </c>
      <c r="P431" s="87" t="str">
        <f aca="false">IF(OR($E431="",$O431=""),"",WORKDAY($E431,$O431))</f>
        <v/>
      </c>
      <c r="Q431" s="80"/>
      <c r="R431" s="131"/>
      <c r="S431" s="69" t="n">
        <f aca="false">IF($Q431="入荷済み",N($L431),0)</f>
        <v>0</v>
      </c>
      <c r="T431" s="80"/>
      <c r="U431" s="80"/>
    </row>
    <row r="432" customFormat="false" ht="15" hidden="false" customHeight="false" outlineLevel="0" collapsed="false">
      <c r="B432" s="66" t="str">
        <f aca="false">IF(OR($E432="",$F432=""),"","PO-"&amp;TEXT($E432,"yyyymmdd")&amp;"-"&amp;TEXT(COUNTIFS($E$6:$E432,$E432,$C$6:$C432,$C432),"000"))</f>
        <v/>
      </c>
      <c r="C432" s="130"/>
      <c r="D432" s="66" t="str">
        <f aca="false">IFERROR(INDEX(定数マスタ!$C$6:$C$105,MATCH($C432,定数マスタ!$B$6:$B$105,0)),"")</f>
        <v/>
      </c>
      <c r="E432" s="131"/>
      <c r="F432" s="130"/>
      <c r="G432" s="66" t="str">
        <f aca="false">IFERROR(INDEX(商品マスタ!$C$6:$C$1005,MATCH($F432,商品マスタ!$B$6:$B$1005,0)),"")</f>
        <v/>
      </c>
      <c r="H432" s="66" t="str">
        <f aca="false">IFERROR(INDEX(商品マスタ!$E$6:$E$1005,MATCH($F432,商品マスタ!$B$6:$B$1005,0)),"")</f>
        <v/>
      </c>
      <c r="I432" s="69" t="str">
        <f aca="false">IFERROR(INDEX(商品マスタ!$F$6:$F$1005,MATCH($F432,商品マスタ!$B$6:$B$1005,0)),"")</f>
        <v/>
      </c>
      <c r="J432" s="69" t="str">
        <f aca="false">IF(OR($F432="",$C432&lt;&gt;'設定（最初に1回）'!$C$4),"",IFERROR(INDEX(発注計算!$Y$6:$Y$405,MATCH($F432,発注計算!$C$6:$C$405,0)),""))</f>
        <v/>
      </c>
      <c r="K432" s="70"/>
      <c r="L432" s="69" t="str">
        <f aca="false">IF($K432="","",N($K432)*N($I432))</f>
        <v/>
      </c>
      <c r="M432" s="71" t="str">
        <f aca="false">IFERROR(INDEX(商品マスタ!$G$6:$G$1005,MATCH($F432,商品マスタ!$B$6:$B$1005,0)),"")</f>
        <v/>
      </c>
      <c r="N432" s="71" t="str">
        <f aca="false">IF($K432="","",N($K432)*N($M432))</f>
        <v/>
      </c>
      <c r="O432" s="66" t="str">
        <f aca="false">IFERROR(INDEX(商品マスタ!$H$6:$H$1005,MATCH($F432,商品マスタ!$B$6:$B$1005,0)),"")</f>
        <v/>
      </c>
      <c r="P432" s="87" t="str">
        <f aca="false">IF(OR($E432="",$O432=""),"",WORKDAY($E432,$O432))</f>
        <v/>
      </c>
      <c r="Q432" s="80"/>
      <c r="R432" s="131"/>
      <c r="S432" s="69" t="n">
        <f aca="false">IF($Q432="入荷済み",N($L432),0)</f>
        <v>0</v>
      </c>
      <c r="T432" s="80"/>
      <c r="U432" s="80"/>
    </row>
    <row r="433" customFormat="false" ht="15" hidden="false" customHeight="false" outlineLevel="0" collapsed="false">
      <c r="B433" s="66" t="str">
        <f aca="false">IF(OR($E433="",$F433=""),"","PO-"&amp;TEXT($E433,"yyyymmdd")&amp;"-"&amp;TEXT(COUNTIFS($E$6:$E433,$E433,$C$6:$C433,$C433),"000"))</f>
        <v/>
      </c>
      <c r="C433" s="130"/>
      <c r="D433" s="66" t="str">
        <f aca="false">IFERROR(INDEX(定数マスタ!$C$6:$C$105,MATCH($C433,定数マスタ!$B$6:$B$105,0)),"")</f>
        <v/>
      </c>
      <c r="E433" s="131"/>
      <c r="F433" s="130"/>
      <c r="G433" s="66" t="str">
        <f aca="false">IFERROR(INDEX(商品マスタ!$C$6:$C$1005,MATCH($F433,商品マスタ!$B$6:$B$1005,0)),"")</f>
        <v/>
      </c>
      <c r="H433" s="66" t="str">
        <f aca="false">IFERROR(INDEX(商品マスタ!$E$6:$E$1005,MATCH($F433,商品マスタ!$B$6:$B$1005,0)),"")</f>
        <v/>
      </c>
      <c r="I433" s="69" t="str">
        <f aca="false">IFERROR(INDEX(商品マスタ!$F$6:$F$1005,MATCH($F433,商品マスタ!$B$6:$B$1005,0)),"")</f>
        <v/>
      </c>
      <c r="J433" s="69" t="str">
        <f aca="false">IF(OR($F433="",$C433&lt;&gt;'設定（最初に1回）'!$C$4),"",IFERROR(INDEX(発注計算!$Y$6:$Y$405,MATCH($F433,発注計算!$C$6:$C$405,0)),""))</f>
        <v/>
      </c>
      <c r="K433" s="70"/>
      <c r="L433" s="69" t="str">
        <f aca="false">IF($K433="","",N($K433)*N($I433))</f>
        <v/>
      </c>
      <c r="M433" s="71" t="str">
        <f aca="false">IFERROR(INDEX(商品マスタ!$G$6:$G$1005,MATCH($F433,商品マスタ!$B$6:$B$1005,0)),"")</f>
        <v/>
      </c>
      <c r="N433" s="71" t="str">
        <f aca="false">IF($K433="","",N($K433)*N($M433))</f>
        <v/>
      </c>
      <c r="O433" s="66" t="str">
        <f aca="false">IFERROR(INDEX(商品マスタ!$H$6:$H$1005,MATCH($F433,商品マスタ!$B$6:$B$1005,0)),"")</f>
        <v/>
      </c>
      <c r="P433" s="87" t="str">
        <f aca="false">IF(OR($E433="",$O433=""),"",WORKDAY($E433,$O433))</f>
        <v/>
      </c>
      <c r="Q433" s="80"/>
      <c r="R433" s="131"/>
      <c r="S433" s="69" t="n">
        <f aca="false">IF($Q433="入荷済み",N($L433),0)</f>
        <v>0</v>
      </c>
      <c r="T433" s="80"/>
      <c r="U433" s="80"/>
    </row>
    <row r="434" customFormat="false" ht="15" hidden="false" customHeight="false" outlineLevel="0" collapsed="false">
      <c r="B434" s="66" t="str">
        <f aca="false">IF(OR($E434="",$F434=""),"","PO-"&amp;TEXT($E434,"yyyymmdd")&amp;"-"&amp;TEXT(COUNTIFS($E$6:$E434,$E434,$C$6:$C434,$C434),"000"))</f>
        <v/>
      </c>
      <c r="C434" s="130"/>
      <c r="D434" s="66" t="str">
        <f aca="false">IFERROR(INDEX(定数マスタ!$C$6:$C$105,MATCH($C434,定数マスタ!$B$6:$B$105,0)),"")</f>
        <v/>
      </c>
      <c r="E434" s="131"/>
      <c r="F434" s="130"/>
      <c r="G434" s="66" t="str">
        <f aca="false">IFERROR(INDEX(商品マスタ!$C$6:$C$1005,MATCH($F434,商品マスタ!$B$6:$B$1005,0)),"")</f>
        <v/>
      </c>
      <c r="H434" s="66" t="str">
        <f aca="false">IFERROR(INDEX(商品マスタ!$E$6:$E$1005,MATCH($F434,商品マスタ!$B$6:$B$1005,0)),"")</f>
        <v/>
      </c>
      <c r="I434" s="69" t="str">
        <f aca="false">IFERROR(INDEX(商品マスタ!$F$6:$F$1005,MATCH($F434,商品マスタ!$B$6:$B$1005,0)),"")</f>
        <v/>
      </c>
      <c r="J434" s="69" t="str">
        <f aca="false">IF(OR($F434="",$C434&lt;&gt;'設定（最初に1回）'!$C$4),"",IFERROR(INDEX(発注計算!$Y$6:$Y$405,MATCH($F434,発注計算!$C$6:$C$405,0)),""))</f>
        <v/>
      </c>
      <c r="K434" s="70"/>
      <c r="L434" s="69" t="str">
        <f aca="false">IF($K434="","",N($K434)*N($I434))</f>
        <v/>
      </c>
      <c r="M434" s="71" t="str">
        <f aca="false">IFERROR(INDEX(商品マスタ!$G$6:$G$1005,MATCH($F434,商品マスタ!$B$6:$B$1005,0)),"")</f>
        <v/>
      </c>
      <c r="N434" s="71" t="str">
        <f aca="false">IF($K434="","",N($K434)*N($M434))</f>
        <v/>
      </c>
      <c r="O434" s="66" t="str">
        <f aca="false">IFERROR(INDEX(商品マスタ!$H$6:$H$1005,MATCH($F434,商品マスタ!$B$6:$B$1005,0)),"")</f>
        <v/>
      </c>
      <c r="P434" s="87" t="str">
        <f aca="false">IF(OR($E434="",$O434=""),"",WORKDAY($E434,$O434))</f>
        <v/>
      </c>
      <c r="Q434" s="80"/>
      <c r="R434" s="131"/>
      <c r="S434" s="69" t="n">
        <f aca="false">IF($Q434="入荷済み",N($L434),0)</f>
        <v>0</v>
      </c>
      <c r="T434" s="80"/>
      <c r="U434" s="80"/>
    </row>
    <row r="435" customFormat="false" ht="15" hidden="false" customHeight="false" outlineLevel="0" collapsed="false">
      <c r="B435" s="66" t="str">
        <f aca="false">IF(OR($E435="",$F435=""),"","PO-"&amp;TEXT($E435,"yyyymmdd")&amp;"-"&amp;TEXT(COUNTIFS($E$6:$E435,$E435,$C$6:$C435,$C435),"000"))</f>
        <v/>
      </c>
      <c r="C435" s="130"/>
      <c r="D435" s="66" t="str">
        <f aca="false">IFERROR(INDEX(定数マスタ!$C$6:$C$105,MATCH($C435,定数マスタ!$B$6:$B$105,0)),"")</f>
        <v/>
      </c>
      <c r="E435" s="131"/>
      <c r="F435" s="130"/>
      <c r="G435" s="66" t="str">
        <f aca="false">IFERROR(INDEX(商品マスタ!$C$6:$C$1005,MATCH($F435,商品マスタ!$B$6:$B$1005,0)),"")</f>
        <v/>
      </c>
      <c r="H435" s="66" t="str">
        <f aca="false">IFERROR(INDEX(商品マスタ!$E$6:$E$1005,MATCH($F435,商品マスタ!$B$6:$B$1005,0)),"")</f>
        <v/>
      </c>
      <c r="I435" s="69" t="str">
        <f aca="false">IFERROR(INDEX(商品マスタ!$F$6:$F$1005,MATCH($F435,商品マスタ!$B$6:$B$1005,0)),"")</f>
        <v/>
      </c>
      <c r="J435" s="69" t="str">
        <f aca="false">IF(OR($F435="",$C435&lt;&gt;'設定（最初に1回）'!$C$4),"",IFERROR(INDEX(発注計算!$Y$6:$Y$405,MATCH($F435,発注計算!$C$6:$C$405,0)),""))</f>
        <v/>
      </c>
      <c r="K435" s="70"/>
      <c r="L435" s="69" t="str">
        <f aca="false">IF($K435="","",N($K435)*N($I435))</f>
        <v/>
      </c>
      <c r="M435" s="71" t="str">
        <f aca="false">IFERROR(INDEX(商品マスタ!$G$6:$G$1005,MATCH($F435,商品マスタ!$B$6:$B$1005,0)),"")</f>
        <v/>
      </c>
      <c r="N435" s="71" t="str">
        <f aca="false">IF($K435="","",N($K435)*N($M435))</f>
        <v/>
      </c>
      <c r="O435" s="66" t="str">
        <f aca="false">IFERROR(INDEX(商品マスタ!$H$6:$H$1005,MATCH($F435,商品マスタ!$B$6:$B$1005,0)),"")</f>
        <v/>
      </c>
      <c r="P435" s="87" t="str">
        <f aca="false">IF(OR($E435="",$O435=""),"",WORKDAY($E435,$O435))</f>
        <v/>
      </c>
      <c r="Q435" s="80"/>
      <c r="R435" s="131"/>
      <c r="S435" s="69" t="n">
        <f aca="false">IF($Q435="入荷済み",N($L435),0)</f>
        <v>0</v>
      </c>
      <c r="T435" s="80"/>
      <c r="U435" s="80"/>
    </row>
    <row r="436" customFormat="false" ht="15" hidden="false" customHeight="false" outlineLevel="0" collapsed="false">
      <c r="B436" s="66" t="str">
        <f aca="false">IF(OR($E436="",$F436=""),"","PO-"&amp;TEXT($E436,"yyyymmdd")&amp;"-"&amp;TEXT(COUNTIFS($E$6:$E436,$E436,$C$6:$C436,$C436),"000"))</f>
        <v/>
      </c>
      <c r="C436" s="130"/>
      <c r="D436" s="66" t="str">
        <f aca="false">IFERROR(INDEX(定数マスタ!$C$6:$C$105,MATCH($C436,定数マスタ!$B$6:$B$105,0)),"")</f>
        <v/>
      </c>
      <c r="E436" s="131"/>
      <c r="F436" s="130"/>
      <c r="G436" s="66" t="str">
        <f aca="false">IFERROR(INDEX(商品マスタ!$C$6:$C$1005,MATCH($F436,商品マスタ!$B$6:$B$1005,0)),"")</f>
        <v/>
      </c>
      <c r="H436" s="66" t="str">
        <f aca="false">IFERROR(INDEX(商品マスタ!$E$6:$E$1005,MATCH($F436,商品マスタ!$B$6:$B$1005,0)),"")</f>
        <v/>
      </c>
      <c r="I436" s="69" t="str">
        <f aca="false">IFERROR(INDEX(商品マスタ!$F$6:$F$1005,MATCH($F436,商品マスタ!$B$6:$B$1005,0)),"")</f>
        <v/>
      </c>
      <c r="J436" s="69" t="str">
        <f aca="false">IF(OR($F436="",$C436&lt;&gt;'設定（最初に1回）'!$C$4),"",IFERROR(INDEX(発注計算!$Y$6:$Y$405,MATCH($F436,発注計算!$C$6:$C$405,0)),""))</f>
        <v/>
      </c>
      <c r="K436" s="70"/>
      <c r="L436" s="69" t="str">
        <f aca="false">IF($K436="","",N($K436)*N($I436))</f>
        <v/>
      </c>
      <c r="M436" s="71" t="str">
        <f aca="false">IFERROR(INDEX(商品マスタ!$G$6:$G$1005,MATCH($F436,商品マスタ!$B$6:$B$1005,0)),"")</f>
        <v/>
      </c>
      <c r="N436" s="71" t="str">
        <f aca="false">IF($K436="","",N($K436)*N($M436))</f>
        <v/>
      </c>
      <c r="O436" s="66" t="str">
        <f aca="false">IFERROR(INDEX(商品マスタ!$H$6:$H$1005,MATCH($F436,商品マスタ!$B$6:$B$1005,0)),"")</f>
        <v/>
      </c>
      <c r="P436" s="87" t="str">
        <f aca="false">IF(OR($E436="",$O436=""),"",WORKDAY($E436,$O436))</f>
        <v/>
      </c>
      <c r="Q436" s="80"/>
      <c r="R436" s="131"/>
      <c r="S436" s="69" t="n">
        <f aca="false">IF($Q436="入荷済み",N($L436),0)</f>
        <v>0</v>
      </c>
      <c r="T436" s="80"/>
      <c r="U436" s="80"/>
    </row>
    <row r="437" customFormat="false" ht="15" hidden="false" customHeight="false" outlineLevel="0" collapsed="false">
      <c r="B437" s="66" t="str">
        <f aca="false">IF(OR($E437="",$F437=""),"","PO-"&amp;TEXT($E437,"yyyymmdd")&amp;"-"&amp;TEXT(COUNTIFS($E$6:$E437,$E437,$C$6:$C437,$C437),"000"))</f>
        <v/>
      </c>
      <c r="C437" s="130"/>
      <c r="D437" s="66" t="str">
        <f aca="false">IFERROR(INDEX(定数マスタ!$C$6:$C$105,MATCH($C437,定数マスタ!$B$6:$B$105,0)),"")</f>
        <v/>
      </c>
      <c r="E437" s="131"/>
      <c r="F437" s="130"/>
      <c r="G437" s="66" t="str">
        <f aca="false">IFERROR(INDEX(商品マスタ!$C$6:$C$1005,MATCH($F437,商品マスタ!$B$6:$B$1005,0)),"")</f>
        <v/>
      </c>
      <c r="H437" s="66" t="str">
        <f aca="false">IFERROR(INDEX(商品マスタ!$E$6:$E$1005,MATCH($F437,商品マスタ!$B$6:$B$1005,0)),"")</f>
        <v/>
      </c>
      <c r="I437" s="69" t="str">
        <f aca="false">IFERROR(INDEX(商品マスタ!$F$6:$F$1005,MATCH($F437,商品マスタ!$B$6:$B$1005,0)),"")</f>
        <v/>
      </c>
      <c r="J437" s="69" t="str">
        <f aca="false">IF(OR($F437="",$C437&lt;&gt;'設定（最初に1回）'!$C$4),"",IFERROR(INDEX(発注計算!$Y$6:$Y$405,MATCH($F437,発注計算!$C$6:$C$405,0)),""))</f>
        <v/>
      </c>
      <c r="K437" s="70"/>
      <c r="L437" s="69" t="str">
        <f aca="false">IF($K437="","",N($K437)*N($I437))</f>
        <v/>
      </c>
      <c r="M437" s="71" t="str">
        <f aca="false">IFERROR(INDEX(商品マスタ!$G$6:$G$1005,MATCH($F437,商品マスタ!$B$6:$B$1005,0)),"")</f>
        <v/>
      </c>
      <c r="N437" s="71" t="str">
        <f aca="false">IF($K437="","",N($K437)*N($M437))</f>
        <v/>
      </c>
      <c r="O437" s="66" t="str">
        <f aca="false">IFERROR(INDEX(商品マスタ!$H$6:$H$1005,MATCH($F437,商品マスタ!$B$6:$B$1005,0)),"")</f>
        <v/>
      </c>
      <c r="P437" s="87" t="str">
        <f aca="false">IF(OR($E437="",$O437=""),"",WORKDAY($E437,$O437))</f>
        <v/>
      </c>
      <c r="Q437" s="80"/>
      <c r="R437" s="131"/>
      <c r="S437" s="69" t="n">
        <f aca="false">IF($Q437="入荷済み",N($L437),0)</f>
        <v>0</v>
      </c>
      <c r="T437" s="80"/>
      <c r="U437" s="80"/>
    </row>
    <row r="438" customFormat="false" ht="15" hidden="false" customHeight="false" outlineLevel="0" collapsed="false">
      <c r="B438" s="66" t="str">
        <f aca="false">IF(OR($E438="",$F438=""),"","PO-"&amp;TEXT($E438,"yyyymmdd")&amp;"-"&amp;TEXT(COUNTIFS($E$6:$E438,$E438,$C$6:$C438,$C438),"000"))</f>
        <v/>
      </c>
      <c r="C438" s="130"/>
      <c r="D438" s="66" t="str">
        <f aca="false">IFERROR(INDEX(定数マスタ!$C$6:$C$105,MATCH($C438,定数マスタ!$B$6:$B$105,0)),"")</f>
        <v/>
      </c>
      <c r="E438" s="131"/>
      <c r="F438" s="130"/>
      <c r="G438" s="66" t="str">
        <f aca="false">IFERROR(INDEX(商品マスタ!$C$6:$C$1005,MATCH($F438,商品マスタ!$B$6:$B$1005,0)),"")</f>
        <v/>
      </c>
      <c r="H438" s="66" t="str">
        <f aca="false">IFERROR(INDEX(商品マスタ!$E$6:$E$1005,MATCH($F438,商品マスタ!$B$6:$B$1005,0)),"")</f>
        <v/>
      </c>
      <c r="I438" s="69" t="str">
        <f aca="false">IFERROR(INDEX(商品マスタ!$F$6:$F$1005,MATCH($F438,商品マスタ!$B$6:$B$1005,0)),"")</f>
        <v/>
      </c>
      <c r="J438" s="69" t="str">
        <f aca="false">IF(OR($F438="",$C438&lt;&gt;'設定（最初に1回）'!$C$4),"",IFERROR(INDEX(発注計算!$Y$6:$Y$405,MATCH($F438,発注計算!$C$6:$C$405,0)),""))</f>
        <v/>
      </c>
      <c r="K438" s="70"/>
      <c r="L438" s="69" t="str">
        <f aca="false">IF($K438="","",N($K438)*N($I438))</f>
        <v/>
      </c>
      <c r="M438" s="71" t="str">
        <f aca="false">IFERROR(INDEX(商品マスタ!$G$6:$G$1005,MATCH($F438,商品マスタ!$B$6:$B$1005,0)),"")</f>
        <v/>
      </c>
      <c r="N438" s="71" t="str">
        <f aca="false">IF($K438="","",N($K438)*N($M438))</f>
        <v/>
      </c>
      <c r="O438" s="66" t="str">
        <f aca="false">IFERROR(INDEX(商品マスタ!$H$6:$H$1005,MATCH($F438,商品マスタ!$B$6:$B$1005,0)),"")</f>
        <v/>
      </c>
      <c r="P438" s="87" t="str">
        <f aca="false">IF(OR($E438="",$O438=""),"",WORKDAY($E438,$O438))</f>
        <v/>
      </c>
      <c r="Q438" s="80"/>
      <c r="R438" s="131"/>
      <c r="S438" s="69" t="n">
        <f aca="false">IF($Q438="入荷済み",N($L438),0)</f>
        <v>0</v>
      </c>
      <c r="T438" s="80"/>
      <c r="U438" s="80"/>
    </row>
    <row r="439" customFormat="false" ht="15" hidden="false" customHeight="false" outlineLevel="0" collapsed="false">
      <c r="B439" s="66" t="str">
        <f aca="false">IF(OR($E439="",$F439=""),"","PO-"&amp;TEXT($E439,"yyyymmdd")&amp;"-"&amp;TEXT(COUNTIFS($E$6:$E439,$E439,$C$6:$C439,$C439),"000"))</f>
        <v/>
      </c>
      <c r="C439" s="130"/>
      <c r="D439" s="66" t="str">
        <f aca="false">IFERROR(INDEX(定数マスタ!$C$6:$C$105,MATCH($C439,定数マスタ!$B$6:$B$105,0)),"")</f>
        <v/>
      </c>
      <c r="E439" s="131"/>
      <c r="F439" s="130"/>
      <c r="G439" s="66" t="str">
        <f aca="false">IFERROR(INDEX(商品マスタ!$C$6:$C$1005,MATCH($F439,商品マスタ!$B$6:$B$1005,0)),"")</f>
        <v/>
      </c>
      <c r="H439" s="66" t="str">
        <f aca="false">IFERROR(INDEX(商品マスタ!$E$6:$E$1005,MATCH($F439,商品マスタ!$B$6:$B$1005,0)),"")</f>
        <v/>
      </c>
      <c r="I439" s="69" t="str">
        <f aca="false">IFERROR(INDEX(商品マスタ!$F$6:$F$1005,MATCH($F439,商品マスタ!$B$6:$B$1005,0)),"")</f>
        <v/>
      </c>
      <c r="J439" s="69" t="str">
        <f aca="false">IF(OR($F439="",$C439&lt;&gt;'設定（最初に1回）'!$C$4),"",IFERROR(INDEX(発注計算!$Y$6:$Y$405,MATCH($F439,発注計算!$C$6:$C$405,0)),""))</f>
        <v/>
      </c>
      <c r="K439" s="70"/>
      <c r="L439" s="69" t="str">
        <f aca="false">IF($K439="","",N($K439)*N($I439))</f>
        <v/>
      </c>
      <c r="M439" s="71" t="str">
        <f aca="false">IFERROR(INDEX(商品マスタ!$G$6:$G$1005,MATCH($F439,商品マスタ!$B$6:$B$1005,0)),"")</f>
        <v/>
      </c>
      <c r="N439" s="71" t="str">
        <f aca="false">IF($K439="","",N($K439)*N($M439))</f>
        <v/>
      </c>
      <c r="O439" s="66" t="str">
        <f aca="false">IFERROR(INDEX(商品マスタ!$H$6:$H$1005,MATCH($F439,商品マスタ!$B$6:$B$1005,0)),"")</f>
        <v/>
      </c>
      <c r="P439" s="87" t="str">
        <f aca="false">IF(OR($E439="",$O439=""),"",WORKDAY($E439,$O439))</f>
        <v/>
      </c>
      <c r="Q439" s="80"/>
      <c r="R439" s="131"/>
      <c r="S439" s="69" t="n">
        <f aca="false">IF($Q439="入荷済み",N($L439),0)</f>
        <v>0</v>
      </c>
      <c r="T439" s="80"/>
      <c r="U439" s="80"/>
    </row>
    <row r="440" customFormat="false" ht="15" hidden="false" customHeight="false" outlineLevel="0" collapsed="false">
      <c r="B440" s="66" t="str">
        <f aca="false">IF(OR($E440="",$F440=""),"","PO-"&amp;TEXT($E440,"yyyymmdd")&amp;"-"&amp;TEXT(COUNTIFS($E$6:$E440,$E440,$C$6:$C440,$C440),"000"))</f>
        <v/>
      </c>
      <c r="C440" s="130"/>
      <c r="D440" s="66" t="str">
        <f aca="false">IFERROR(INDEX(定数マスタ!$C$6:$C$105,MATCH($C440,定数マスタ!$B$6:$B$105,0)),"")</f>
        <v/>
      </c>
      <c r="E440" s="131"/>
      <c r="F440" s="130"/>
      <c r="G440" s="66" t="str">
        <f aca="false">IFERROR(INDEX(商品マスタ!$C$6:$C$1005,MATCH($F440,商品マスタ!$B$6:$B$1005,0)),"")</f>
        <v/>
      </c>
      <c r="H440" s="66" t="str">
        <f aca="false">IFERROR(INDEX(商品マスタ!$E$6:$E$1005,MATCH($F440,商品マスタ!$B$6:$B$1005,0)),"")</f>
        <v/>
      </c>
      <c r="I440" s="69" t="str">
        <f aca="false">IFERROR(INDEX(商品マスタ!$F$6:$F$1005,MATCH($F440,商品マスタ!$B$6:$B$1005,0)),"")</f>
        <v/>
      </c>
      <c r="J440" s="69" t="str">
        <f aca="false">IF(OR($F440="",$C440&lt;&gt;'設定（最初に1回）'!$C$4),"",IFERROR(INDEX(発注計算!$Y$6:$Y$405,MATCH($F440,発注計算!$C$6:$C$405,0)),""))</f>
        <v/>
      </c>
      <c r="K440" s="70"/>
      <c r="L440" s="69" t="str">
        <f aca="false">IF($K440="","",N($K440)*N($I440))</f>
        <v/>
      </c>
      <c r="M440" s="71" t="str">
        <f aca="false">IFERROR(INDEX(商品マスタ!$G$6:$G$1005,MATCH($F440,商品マスタ!$B$6:$B$1005,0)),"")</f>
        <v/>
      </c>
      <c r="N440" s="71" t="str">
        <f aca="false">IF($K440="","",N($K440)*N($M440))</f>
        <v/>
      </c>
      <c r="O440" s="66" t="str">
        <f aca="false">IFERROR(INDEX(商品マスタ!$H$6:$H$1005,MATCH($F440,商品マスタ!$B$6:$B$1005,0)),"")</f>
        <v/>
      </c>
      <c r="P440" s="87" t="str">
        <f aca="false">IF(OR($E440="",$O440=""),"",WORKDAY($E440,$O440))</f>
        <v/>
      </c>
      <c r="Q440" s="80"/>
      <c r="R440" s="131"/>
      <c r="S440" s="69" t="n">
        <f aca="false">IF($Q440="入荷済み",N($L440),0)</f>
        <v>0</v>
      </c>
      <c r="T440" s="80"/>
      <c r="U440" s="80"/>
    </row>
    <row r="441" customFormat="false" ht="15" hidden="false" customHeight="false" outlineLevel="0" collapsed="false">
      <c r="B441" s="66" t="str">
        <f aca="false">IF(OR($E441="",$F441=""),"","PO-"&amp;TEXT($E441,"yyyymmdd")&amp;"-"&amp;TEXT(COUNTIFS($E$6:$E441,$E441,$C$6:$C441,$C441),"000"))</f>
        <v/>
      </c>
      <c r="C441" s="130"/>
      <c r="D441" s="66" t="str">
        <f aca="false">IFERROR(INDEX(定数マスタ!$C$6:$C$105,MATCH($C441,定数マスタ!$B$6:$B$105,0)),"")</f>
        <v/>
      </c>
      <c r="E441" s="131"/>
      <c r="F441" s="130"/>
      <c r="G441" s="66" t="str">
        <f aca="false">IFERROR(INDEX(商品マスタ!$C$6:$C$1005,MATCH($F441,商品マスタ!$B$6:$B$1005,0)),"")</f>
        <v/>
      </c>
      <c r="H441" s="66" t="str">
        <f aca="false">IFERROR(INDEX(商品マスタ!$E$6:$E$1005,MATCH($F441,商品マスタ!$B$6:$B$1005,0)),"")</f>
        <v/>
      </c>
      <c r="I441" s="69" t="str">
        <f aca="false">IFERROR(INDEX(商品マスタ!$F$6:$F$1005,MATCH($F441,商品マスタ!$B$6:$B$1005,0)),"")</f>
        <v/>
      </c>
      <c r="J441" s="69" t="str">
        <f aca="false">IF(OR($F441="",$C441&lt;&gt;'設定（最初に1回）'!$C$4),"",IFERROR(INDEX(発注計算!$Y$6:$Y$405,MATCH($F441,発注計算!$C$6:$C$405,0)),""))</f>
        <v/>
      </c>
      <c r="K441" s="70"/>
      <c r="L441" s="69" t="str">
        <f aca="false">IF($K441="","",N($K441)*N($I441))</f>
        <v/>
      </c>
      <c r="M441" s="71" t="str">
        <f aca="false">IFERROR(INDEX(商品マスタ!$G$6:$G$1005,MATCH($F441,商品マスタ!$B$6:$B$1005,0)),"")</f>
        <v/>
      </c>
      <c r="N441" s="71" t="str">
        <f aca="false">IF($K441="","",N($K441)*N($M441))</f>
        <v/>
      </c>
      <c r="O441" s="66" t="str">
        <f aca="false">IFERROR(INDEX(商品マスタ!$H$6:$H$1005,MATCH($F441,商品マスタ!$B$6:$B$1005,0)),"")</f>
        <v/>
      </c>
      <c r="P441" s="87" t="str">
        <f aca="false">IF(OR($E441="",$O441=""),"",WORKDAY($E441,$O441))</f>
        <v/>
      </c>
      <c r="Q441" s="80"/>
      <c r="R441" s="131"/>
      <c r="S441" s="69" t="n">
        <f aca="false">IF($Q441="入荷済み",N($L441),0)</f>
        <v>0</v>
      </c>
      <c r="T441" s="80"/>
      <c r="U441" s="80"/>
    </row>
    <row r="442" customFormat="false" ht="15" hidden="false" customHeight="false" outlineLevel="0" collapsed="false">
      <c r="B442" s="66" t="str">
        <f aca="false">IF(OR($E442="",$F442=""),"","PO-"&amp;TEXT($E442,"yyyymmdd")&amp;"-"&amp;TEXT(COUNTIFS($E$6:$E442,$E442,$C$6:$C442,$C442),"000"))</f>
        <v/>
      </c>
      <c r="C442" s="130"/>
      <c r="D442" s="66" t="str">
        <f aca="false">IFERROR(INDEX(定数マスタ!$C$6:$C$105,MATCH($C442,定数マスタ!$B$6:$B$105,0)),"")</f>
        <v/>
      </c>
      <c r="E442" s="131"/>
      <c r="F442" s="130"/>
      <c r="G442" s="66" t="str">
        <f aca="false">IFERROR(INDEX(商品マスタ!$C$6:$C$1005,MATCH($F442,商品マスタ!$B$6:$B$1005,0)),"")</f>
        <v/>
      </c>
      <c r="H442" s="66" t="str">
        <f aca="false">IFERROR(INDEX(商品マスタ!$E$6:$E$1005,MATCH($F442,商品マスタ!$B$6:$B$1005,0)),"")</f>
        <v/>
      </c>
      <c r="I442" s="69" t="str">
        <f aca="false">IFERROR(INDEX(商品マスタ!$F$6:$F$1005,MATCH($F442,商品マスタ!$B$6:$B$1005,0)),"")</f>
        <v/>
      </c>
      <c r="J442" s="69" t="str">
        <f aca="false">IF(OR($F442="",$C442&lt;&gt;'設定（最初に1回）'!$C$4),"",IFERROR(INDEX(発注計算!$Y$6:$Y$405,MATCH($F442,発注計算!$C$6:$C$405,0)),""))</f>
        <v/>
      </c>
      <c r="K442" s="70"/>
      <c r="L442" s="69" t="str">
        <f aca="false">IF($K442="","",N($K442)*N($I442))</f>
        <v/>
      </c>
      <c r="M442" s="71" t="str">
        <f aca="false">IFERROR(INDEX(商品マスタ!$G$6:$G$1005,MATCH($F442,商品マスタ!$B$6:$B$1005,0)),"")</f>
        <v/>
      </c>
      <c r="N442" s="71" t="str">
        <f aca="false">IF($K442="","",N($K442)*N($M442))</f>
        <v/>
      </c>
      <c r="O442" s="66" t="str">
        <f aca="false">IFERROR(INDEX(商品マスタ!$H$6:$H$1005,MATCH($F442,商品マスタ!$B$6:$B$1005,0)),"")</f>
        <v/>
      </c>
      <c r="P442" s="87" t="str">
        <f aca="false">IF(OR($E442="",$O442=""),"",WORKDAY($E442,$O442))</f>
        <v/>
      </c>
      <c r="Q442" s="80"/>
      <c r="R442" s="131"/>
      <c r="S442" s="69" t="n">
        <f aca="false">IF($Q442="入荷済み",N($L442),0)</f>
        <v>0</v>
      </c>
      <c r="T442" s="80"/>
      <c r="U442" s="80"/>
    </row>
    <row r="443" customFormat="false" ht="15" hidden="false" customHeight="false" outlineLevel="0" collapsed="false">
      <c r="B443" s="66" t="str">
        <f aca="false">IF(OR($E443="",$F443=""),"","PO-"&amp;TEXT($E443,"yyyymmdd")&amp;"-"&amp;TEXT(COUNTIFS($E$6:$E443,$E443,$C$6:$C443,$C443),"000"))</f>
        <v/>
      </c>
      <c r="C443" s="130"/>
      <c r="D443" s="66" t="str">
        <f aca="false">IFERROR(INDEX(定数マスタ!$C$6:$C$105,MATCH($C443,定数マスタ!$B$6:$B$105,0)),"")</f>
        <v/>
      </c>
      <c r="E443" s="131"/>
      <c r="F443" s="130"/>
      <c r="G443" s="66" t="str">
        <f aca="false">IFERROR(INDEX(商品マスタ!$C$6:$C$1005,MATCH($F443,商品マスタ!$B$6:$B$1005,0)),"")</f>
        <v/>
      </c>
      <c r="H443" s="66" t="str">
        <f aca="false">IFERROR(INDEX(商品マスタ!$E$6:$E$1005,MATCH($F443,商品マスタ!$B$6:$B$1005,0)),"")</f>
        <v/>
      </c>
      <c r="I443" s="69" t="str">
        <f aca="false">IFERROR(INDEX(商品マスタ!$F$6:$F$1005,MATCH($F443,商品マスタ!$B$6:$B$1005,0)),"")</f>
        <v/>
      </c>
      <c r="J443" s="69" t="str">
        <f aca="false">IF(OR($F443="",$C443&lt;&gt;'設定（最初に1回）'!$C$4),"",IFERROR(INDEX(発注計算!$Y$6:$Y$405,MATCH($F443,発注計算!$C$6:$C$405,0)),""))</f>
        <v/>
      </c>
      <c r="K443" s="70"/>
      <c r="L443" s="69" t="str">
        <f aca="false">IF($K443="","",N($K443)*N($I443))</f>
        <v/>
      </c>
      <c r="M443" s="71" t="str">
        <f aca="false">IFERROR(INDEX(商品マスタ!$G$6:$G$1005,MATCH($F443,商品マスタ!$B$6:$B$1005,0)),"")</f>
        <v/>
      </c>
      <c r="N443" s="71" t="str">
        <f aca="false">IF($K443="","",N($K443)*N($M443))</f>
        <v/>
      </c>
      <c r="O443" s="66" t="str">
        <f aca="false">IFERROR(INDEX(商品マスタ!$H$6:$H$1005,MATCH($F443,商品マスタ!$B$6:$B$1005,0)),"")</f>
        <v/>
      </c>
      <c r="P443" s="87" t="str">
        <f aca="false">IF(OR($E443="",$O443=""),"",WORKDAY($E443,$O443))</f>
        <v/>
      </c>
      <c r="Q443" s="80"/>
      <c r="R443" s="131"/>
      <c r="S443" s="69" t="n">
        <f aca="false">IF($Q443="入荷済み",N($L443),0)</f>
        <v>0</v>
      </c>
      <c r="T443" s="80"/>
      <c r="U443" s="80"/>
    </row>
    <row r="444" customFormat="false" ht="15" hidden="false" customHeight="false" outlineLevel="0" collapsed="false">
      <c r="B444" s="66" t="str">
        <f aca="false">IF(OR($E444="",$F444=""),"","PO-"&amp;TEXT($E444,"yyyymmdd")&amp;"-"&amp;TEXT(COUNTIFS($E$6:$E444,$E444,$C$6:$C444,$C444),"000"))</f>
        <v/>
      </c>
      <c r="C444" s="130"/>
      <c r="D444" s="66" t="str">
        <f aca="false">IFERROR(INDEX(定数マスタ!$C$6:$C$105,MATCH($C444,定数マスタ!$B$6:$B$105,0)),"")</f>
        <v/>
      </c>
      <c r="E444" s="131"/>
      <c r="F444" s="130"/>
      <c r="G444" s="66" t="str">
        <f aca="false">IFERROR(INDEX(商品マスタ!$C$6:$C$1005,MATCH($F444,商品マスタ!$B$6:$B$1005,0)),"")</f>
        <v/>
      </c>
      <c r="H444" s="66" t="str">
        <f aca="false">IFERROR(INDEX(商品マスタ!$E$6:$E$1005,MATCH($F444,商品マスタ!$B$6:$B$1005,0)),"")</f>
        <v/>
      </c>
      <c r="I444" s="69" t="str">
        <f aca="false">IFERROR(INDEX(商品マスタ!$F$6:$F$1005,MATCH($F444,商品マスタ!$B$6:$B$1005,0)),"")</f>
        <v/>
      </c>
      <c r="J444" s="69" t="str">
        <f aca="false">IF(OR($F444="",$C444&lt;&gt;'設定（最初に1回）'!$C$4),"",IFERROR(INDEX(発注計算!$Y$6:$Y$405,MATCH($F444,発注計算!$C$6:$C$405,0)),""))</f>
        <v/>
      </c>
      <c r="K444" s="70"/>
      <c r="L444" s="69" t="str">
        <f aca="false">IF($K444="","",N($K444)*N($I444))</f>
        <v/>
      </c>
      <c r="M444" s="71" t="str">
        <f aca="false">IFERROR(INDEX(商品マスタ!$G$6:$G$1005,MATCH($F444,商品マスタ!$B$6:$B$1005,0)),"")</f>
        <v/>
      </c>
      <c r="N444" s="71" t="str">
        <f aca="false">IF($K444="","",N($K444)*N($M444))</f>
        <v/>
      </c>
      <c r="O444" s="66" t="str">
        <f aca="false">IFERROR(INDEX(商品マスタ!$H$6:$H$1005,MATCH($F444,商品マスタ!$B$6:$B$1005,0)),"")</f>
        <v/>
      </c>
      <c r="P444" s="87" t="str">
        <f aca="false">IF(OR($E444="",$O444=""),"",WORKDAY($E444,$O444))</f>
        <v/>
      </c>
      <c r="Q444" s="80"/>
      <c r="R444" s="131"/>
      <c r="S444" s="69" t="n">
        <f aca="false">IF($Q444="入荷済み",N($L444),0)</f>
        <v>0</v>
      </c>
      <c r="T444" s="80"/>
      <c r="U444" s="80"/>
    </row>
    <row r="445" customFormat="false" ht="15" hidden="false" customHeight="false" outlineLevel="0" collapsed="false">
      <c r="B445" s="66" t="str">
        <f aca="false">IF(OR($E445="",$F445=""),"","PO-"&amp;TEXT($E445,"yyyymmdd")&amp;"-"&amp;TEXT(COUNTIFS($E$6:$E445,$E445,$C$6:$C445,$C445),"000"))</f>
        <v/>
      </c>
      <c r="C445" s="130"/>
      <c r="D445" s="66" t="str">
        <f aca="false">IFERROR(INDEX(定数マスタ!$C$6:$C$105,MATCH($C445,定数マスタ!$B$6:$B$105,0)),"")</f>
        <v/>
      </c>
      <c r="E445" s="131"/>
      <c r="F445" s="130"/>
      <c r="G445" s="66" t="str">
        <f aca="false">IFERROR(INDEX(商品マスタ!$C$6:$C$1005,MATCH($F445,商品マスタ!$B$6:$B$1005,0)),"")</f>
        <v/>
      </c>
      <c r="H445" s="66" t="str">
        <f aca="false">IFERROR(INDEX(商品マスタ!$E$6:$E$1005,MATCH($F445,商品マスタ!$B$6:$B$1005,0)),"")</f>
        <v/>
      </c>
      <c r="I445" s="69" t="str">
        <f aca="false">IFERROR(INDEX(商品マスタ!$F$6:$F$1005,MATCH($F445,商品マスタ!$B$6:$B$1005,0)),"")</f>
        <v/>
      </c>
      <c r="J445" s="69" t="str">
        <f aca="false">IF(OR($F445="",$C445&lt;&gt;'設定（最初に1回）'!$C$4),"",IFERROR(INDEX(発注計算!$Y$6:$Y$405,MATCH($F445,発注計算!$C$6:$C$405,0)),""))</f>
        <v/>
      </c>
      <c r="K445" s="70"/>
      <c r="L445" s="69" t="str">
        <f aca="false">IF($K445="","",N($K445)*N($I445))</f>
        <v/>
      </c>
      <c r="M445" s="71" t="str">
        <f aca="false">IFERROR(INDEX(商品マスタ!$G$6:$G$1005,MATCH($F445,商品マスタ!$B$6:$B$1005,0)),"")</f>
        <v/>
      </c>
      <c r="N445" s="71" t="str">
        <f aca="false">IF($K445="","",N($K445)*N($M445))</f>
        <v/>
      </c>
      <c r="O445" s="66" t="str">
        <f aca="false">IFERROR(INDEX(商品マスタ!$H$6:$H$1005,MATCH($F445,商品マスタ!$B$6:$B$1005,0)),"")</f>
        <v/>
      </c>
      <c r="P445" s="87" t="str">
        <f aca="false">IF(OR($E445="",$O445=""),"",WORKDAY($E445,$O445))</f>
        <v/>
      </c>
      <c r="Q445" s="80"/>
      <c r="R445" s="131"/>
      <c r="S445" s="69" t="n">
        <f aca="false">IF($Q445="入荷済み",N($L445),0)</f>
        <v>0</v>
      </c>
      <c r="T445" s="80"/>
      <c r="U445" s="80"/>
    </row>
    <row r="446" customFormat="false" ht="15" hidden="false" customHeight="false" outlineLevel="0" collapsed="false">
      <c r="B446" s="66" t="str">
        <f aca="false">IF(OR($E446="",$F446=""),"","PO-"&amp;TEXT($E446,"yyyymmdd")&amp;"-"&amp;TEXT(COUNTIFS($E$6:$E446,$E446,$C$6:$C446,$C446),"000"))</f>
        <v/>
      </c>
      <c r="C446" s="130"/>
      <c r="D446" s="66" t="str">
        <f aca="false">IFERROR(INDEX(定数マスタ!$C$6:$C$105,MATCH($C446,定数マスタ!$B$6:$B$105,0)),"")</f>
        <v/>
      </c>
      <c r="E446" s="131"/>
      <c r="F446" s="130"/>
      <c r="G446" s="66" t="str">
        <f aca="false">IFERROR(INDEX(商品マスタ!$C$6:$C$1005,MATCH($F446,商品マスタ!$B$6:$B$1005,0)),"")</f>
        <v/>
      </c>
      <c r="H446" s="66" t="str">
        <f aca="false">IFERROR(INDEX(商品マスタ!$E$6:$E$1005,MATCH($F446,商品マスタ!$B$6:$B$1005,0)),"")</f>
        <v/>
      </c>
      <c r="I446" s="69" t="str">
        <f aca="false">IFERROR(INDEX(商品マスタ!$F$6:$F$1005,MATCH($F446,商品マスタ!$B$6:$B$1005,0)),"")</f>
        <v/>
      </c>
      <c r="J446" s="69" t="str">
        <f aca="false">IF(OR($F446="",$C446&lt;&gt;'設定（最初に1回）'!$C$4),"",IFERROR(INDEX(発注計算!$Y$6:$Y$405,MATCH($F446,発注計算!$C$6:$C$405,0)),""))</f>
        <v/>
      </c>
      <c r="K446" s="70"/>
      <c r="L446" s="69" t="str">
        <f aca="false">IF($K446="","",N($K446)*N($I446))</f>
        <v/>
      </c>
      <c r="M446" s="71" t="str">
        <f aca="false">IFERROR(INDEX(商品マスタ!$G$6:$G$1005,MATCH($F446,商品マスタ!$B$6:$B$1005,0)),"")</f>
        <v/>
      </c>
      <c r="N446" s="71" t="str">
        <f aca="false">IF($K446="","",N($K446)*N($M446))</f>
        <v/>
      </c>
      <c r="O446" s="66" t="str">
        <f aca="false">IFERROR(INDEX(商品マスタ!$H$6:$H$1005,MATCH($F446,商品マスタ!$B$6:$B$1005,0)),"")</f>
        <v/>
      </c>
      <c r="P446" s="87" t="str">
        <f aca="false">IF(OR($E446="",$O446=""),"",WORKDAY($E446,$O446))</f>
        <v/>
      </c>
      <c r="Q446" s="80"/>
      <c r="R446" s="131"/>
      <c r="S446" s="69" t="n">
        <f aca="false">IF($Q446="入荷済み",N($L446),0)</f>
        <v>0</v>
      </c>
      <c r="T446" s="80"/>
      <c r="U446" s="80"/>
    </row>
    <row r="447" customFormat="false" ht="15" hidden="false" customHeight="false" outlineLevel="0" collapsed="false">
      <c r="B447" s="66" t="str">
        <f aca="false">IF(OR($E447="",$F447=""),"","PO-"&amp;TEXT($E447,"yyyymmdd")&amp;"-"&amp;TEXT(COUNTIFS($E$6:$E447,$E447,$C$6:$C447,$C447),"000"))</f>
        <v/>
      </c>
      <c r="C447" s="130"/>
      <c r="D447" s="66" t="str">
        <f aca="false">IFERROR(INDEX(定数マスタ!$C$6:$C$105,MATCH($C447,定数マスタ!$B$6:$B$105,0)),"")</f>
        <v/>
      </c>
      <c r="E447" s="131"/>
      <c r="F447" s="130"/>
      <c r="G447" s="66" t="str">
        <f aca="false">IFERROR(INDEX(商品マスタ!$C$6:$C$1005,MATCH($F447,商品マスタ!$B$6:$B$1005,0)),"")</f>
        <v/>
      </c>
      <c r="H447" s="66" t="str">
        <f aca="false">IFERROR(INDEX(商品マスタ!$E$6:$E$1005,MATCH($F447,商品マスタ!$B$6:$B$1005,0)),"")</f>
        <v/>
      </c>
      <c r="I447" s="69" t="str">
        <f aca="false">IFERROR(INDEX(商品マスタ!$F$6:$F$1005,MATCH($F447,商品マスタ!$B$6:$B$1005,0)),"")</f>
        <v/>
      </c>
      <c r="J447" s="69" t="str">
        <f aca="false">IF(OR($F447="",$C447&lt;&gt;'設定（最初に1回）'!$C$4),"",IFERROR(INDEX(発注計算!$Y$6:$Y$405,MATCH($F447,発注計算!$C$6:$C$405,0)),""))</f>
        <v/>
      </c>
      <c r="K447" s="70"/>
      <c r="L447" s="69" t="str">
        <f aca="false">IF($K447="","",N($K447)*N($I447))</f>
        <v/>
      </c>
      <c r="M447" s="71" t="str">
        <f aca="false">IFERROR(INDEX(商品マスタ!$G$6:$G$1005,MATCH($F447,商品マスタ!$B$6:$B$1005,0)),"")</f>
        <v/>
      </c>
      <c r="N447" s="71" t="str">
        <f aca="false">IF($K447="","",N($K447)*N($M447))</f>
        <v/>
      </c>
      <c r="O447" s="66" t="str">
        <f aca="false">IFERROR(INDEX(商品マスタ!$H$6:$H$1005,MATCH($F447,商品マスタ!$B$6:$B$1005,0)),"")</f>
        <v/>
      </c>
      <c r="P447" s="87" t="str">
        <f aca="false">IF(OR($E447="",$O447=""),"",WORKDAY($E447,$O447))</f>
        <v/>
      </c>
      <c r="Q447" s="80"/>
      <c r="R447" s="131"/>
      <c r="S447" s="69" t="n">
        <f aca="false">IF($Q447="入荷済み",N($L447),0)</f>
        <v>0</v>
      </c>
      <c r="T447" s="80"/>
      <c r="U447" s="80"/>
    </row>
    <row r="448" customFormat="false" ht="15" hidden="false" customHeight="false" outlineLevel="0" collapsed="false">
      <c r="B448" s="66" t="str">
        <f aca="false">IF(OR($E448="",$F448=""),"","PO-"&amp;TEXT($E448,"yyyymmdd")&amp;"-"&amp;TEXT(COUNTIFS($E$6:$E448,$E448,$C$6:$C448,$C448),"000"))</f>
        <v/>
      </c>
      <c r="C448" s="130"/>
      <c r="D448" s="66" t="str">
        <f aca="false">IFERROR(INDEX(定数マスタ!$C$6:$C$105,MATCH($C448,定数マスタ!$B$6:$B$105,0)),"")</f>
        <v/>
      </c>
      <c r="E448" s="131"/>
      <c r="F448" s="130"/>
      <c r="G448" s="66" t="str">
        <f aca="false">IFERROR(INDEX(商品マスタ!$C$6:$C$1005,MATCH($F448,商品マスタ!$B$6:$B$1005,0)),"")</f>
        <v/>
      </c>
      <c r="H448" s="66" t="str">
        <f aca="false">IFERROR(INDEX(商品マスタ!$E$6:$E$1005,MATCH($F448,商品マスタ!$B$6:$B$1005,0)),"")</f>
        <v/>
      </c>
      <c r="I448" s="69" t="str">
        <f aca="false">IFERROR(INDEX(商品マスタ!$F$6:$F$1005,MATCH($F448,商品マスタ!$B$6:$B$1005,0)),"")</f>
        <v/>
      </c>
      <c r="J448" s="69" t="str">
        <f aca="false">IF(OR($F448="",$C448&lt;&gt;'設定（最初に1回）'!$C$4),"",IFERROR(INDEX(発注計算!$Y$6:$Y$405,MATCH($F448,発注計算!$C$6:$C$405,0)),""))</f>
        <v/>
      </c>
      <c r="K448" s="70"/>
      <c r="L448" s="69" t="str">
        <f aca="false">IF($K448="","",N($K448)*N($I448))</f>
        <v/>
      </c>
      <c r="M448" s="71" t="str">
        <f aca="false">IFERROR(INDEX(商品マスタ!$G$6:$G$1005,MATCH($F448,商品マスタ!$B$6:$B$1005,0)),"")</f>
        <v/>
      </c>
      <c r="N448" s="71" t="str">
        <f aca="false">IF($K448="","",N($K448)*N($M448))</f>
        <v/>
      </c>
      <c r="O448" s="66" t="str">
        <f aca="false">IFERROR(INDEX(商品マスタ!$H$6:$H$1005,MATCH($F448,商品マスタ!$B$6:$B$1005,0)),"")</f>
        <v/>
      </c>
      <c r="P448" s="87" t="str">
        <f aca="false">IF(OR($E448="",$O448=""),"",WORKDAY($E448,$O448))</f>
        <v/>
      </c>
      <c r="Q448" s="80"/>
      <c r="R448" s="131"/>
      <c r="S448" s="69" t="n">
        <f aca="false">IF($Q448="入荷済み",N($L448),0)</f>
        <v>0</v>
      </c>
      <c r="T448" s="80"/>
      <c r="U448" s="80"/>
    </row>
    <row r="449" customFormat="false" ht="15" hidden="false" customHeight="false" outlineLevel="0" collapsed="false">
      <c r="B449" s="66" t="str">
        <f aca="false">IF(OR($E449="",$F449=""),"","PO-"&amp;TEXT($E449,"yyyymmdd")&amp;"-"&amp;TEXT(COUNTIFS($E$6:$E449,$E449,$C$6:$C449,$C449),"000"))</f>
        <v/>
      </c>
      <c r="C449" s="130"/>
      <c r="D449" s="66" t="str">
        <f aca="false">IFERROR(INDEX(定数マスタ!$C$6:$C$105,MATCH($C449,定数マスタ!$B$6:$B$105,0)),"")</f>
        <v/>
      </c>
      <c r="E449" s="131"/>
      <c r="F449" s="130"/>
      <c r="G449" s="66" t="str">
        <f aca="false">IFERROR(INDEX(商品マスタ!$C$6:$C$1005,MATCH($F449,商品マスタ!$B$6:$B$1005,0)),"")</f>
        <v/>
      </c>
      <c r="H449" s="66" t="str">
        <f aca="false">IFERROR(INDEX(商品マスタ!$E$6:$E$1005,MATCH($F449,商品マスタ!$B$6:$B$1005,0)),"")</f>
        <v/>
      </c>
      <c r="I449" s="69" t="str">
        <f aca="false">IFERROR(INDEX(商品マスタ!$F$6:$F$1005,MATCH($F449,商品マスタ!$B$6:$B$1005,0)),"")</f>
        <v/>
      </c>
      <c r="J449" s="69" t="str">
        <f aca="false">IF(OR($F449="",$C449&lt;&gt;'設定（最初に1回）'!$C$4),"",IFERROR(INDEX(発注計算!$Y$6:$Y$405,MATCH($F449,発注計算!$C$6:$C$405,0)),""))</f>
        <v/>
      </c>
      <c r="K449" s="70"/>
      <c r="L449" s="69" t="str">
        <f aca="false">IF($K449="","",N($K449)*N($I449))</f>
        <v/>
      </c>
      <c r="M449" s="71" t="str">
        <f aca="false">IFERROR(INDEX(商品マスタ!$G$6:$G$1005,MATCH($F449,商品マスタ!$B$6:$B$1005,0)),"")</f>
        <v/>
      </c>
      <c r="N449" s="71" t="str">
        <f aca="false">IF($K449="","",N($K449)*N($M449))</f>
        <v/>
      </c>
      <c r="O449" s="66" t="str">
        <f aca="false">IFERROR(INDEX(商品マスタ!$H$6:$H$1005,MATCH($F449,商品マスタ!$B$6:$B$1005,0)),"")</f>
        <v/>
      </c>
      <c r="P449" s="87" t="str">
        <f aca="false">IF(OR($E449="",$O449=""),"",WORKDAY($E449,$O449))</f>
        <v/>
      </c>
      <c r="Q449" s="80"/>
      <c r="R449" s="131"/>
      <c r="S449" s="69" t="n">
        <f aca="false">IF($Q449="入荷済み",N($L449),0)</f>
        <v>0</v>
      </c>
      <c r="T449" s="80"/>
      <c r="U449" s="80"/>
    </row>
    <row r="450" customFormat="false" ht="15" hidden="false" customHeight="false" outlineLevel="0" collapsed="false">
      <c r="B450" s="66" t="str">
        <f aca="false">IF(OR($E450="",$F450=""),"","PO-"&amp;TEXT($E450,"yyyymmdd")&amp;"-"&amp;TEXT(COUNTIFS($E$6:$E450,$E450,$C$6:$C450,$C450),"000"))</f>
        <v/>
      </c>
      <c r="C450" s="130"/>
      <c r="D450" s="66" t="str">
        <f aca="false">IFERROR(INDEX(定数マスタ!$C$6:$C$105,MATCH($C450,定数マスタ!$B$6:$B$105,0)),"")</f>
        <v/>
      </c>
      <c r="E450" s="131"/>
      <c r="F450" s="130"/>
      <c r="G450" s="66" t="str">
        <f aca="false">IFERROR(INDEX(商品マスタ!$C$6:$C$1005,MATCH($F450,商品マスタ!$B$6:$B$1005,0)),"")</f>
        <v/>
      </c>
      <c r="H450" s="66" t="str">
        <f aca="false">IFERROR(INDEX(商品マスタ!$E$6:$E$1005,MATCH($F450,商品マスタ!$B$6:$B$1005,0)),"")</f>
        <v/>
      </c>
      <c r="I450" s="69" t="str">
        <f aca="false">IFERROR(INDEX(商品マスタ!$F$6:$F$1005,MATCH($F450,商品マスタ!$B$6:$B$1005,0)),"")</f>
        <v/>
      </c>
      <c r="J450" s="69" t="str">
        <f aca="false">IF(OR($F450="",$C450&lt;&gt;'設定（最初に1回）'!$C$4),"",IFERROR(INDEX(発注計算!$Y$6:$Y$405,MATCH($F450,発注計算!$C$6:$C$405,0)),""))</f>
        <v/>
      </c>
      <c r="K450" s="70"/>
      <c r="L450" s="69" t="str">
        <f aca="false">IF($K450="","",N($K450)*N($I450))</f>
        <v/>
      </c>
      <c r="M450" s="71" t="str">
        <f aca="false">IFERROR(INDEX(商品マスタ!$G$6:$G$1005,MATCH($F450,商品マスタ!$B$6:$B$1005,0)),"")</f>
        <v/>
      </c>
      <c r="N450" s="71" t="str">
        <f aca="false">IF($K450="","",N($K450)*N($M450))</f>
        <v/>
      </c>
      <c r="O450" s="66" t="str">
        <f aca="false">IFERROR(INDEX(商品マスタ!$H$6:$H$1005,MATCH($F450,商品マスタ!$B$6:$B$1005,0)),"")</f>
        <v/>
      </c>
      <c r="P450" s="87" t="str">
        <f aca="false">IF(OR($E450="",$O450=""),"",WORKDAY($E450,$O450))</f>
        <v/>
      </c>
      <c r="Q450" s="80"/>
      <c r="R450" s="131"/>
      <c r="S450" s="69" t="n">
        <f aca="false">IF($Q450="入荷済み",N($L450),0)</f>
        <v>0</v>
      </c>
      <c r="T450" s="80"/>
      <c r="U450" s="80"/>
    </row>
    <row r="451" customFormat="false" ht="15" hidden="false" customHeight="false" outlineLevel="0" collapsed="false">
      <c r="B451" s="66" t="str">
        <f aca="false">IF(OR($E451="",$F451=""),"","PO-"&amp;TEXT($E451,"yyyymmdd")&amp;"-"&amp;TEXT(COUNTIFS($E$6:$E451,$E451,$C$6:$C451,$C451),"000"))</f>
        <v/>
      </c>
      <c r="C451" s="130"/>
      <c r="D451" s="66" t="str">
        <f aca="false">IFERROR(INDEX(定数マスタ!$C$6:$C$105,MATCH($C451,定数マスタ!$B$6:$B$105,0)),"")</f>
        <v/>
      </c>
      <c r="E451" s="131"/>
      <c r="F451" s="130"/>
      <c r="G451" s="66" t="str">
        <f aca="false">IFERROR(INDEX(商品マスタ!$C$6:$C$1005,MATCH($F451,商品マスタ!$B$6:$B$1005,0)),"")</f>
        <v/>
      </c>
      <c r="H451" s="66" t="str">
        <f aca="false">IFERROR(INDEX(商品マスタ!$E$6:$E$1005,MATCH($F451,商品マスタ!$B$6:$B$1005,0)),"")</f>
        <v/>
      </c>
      <c r="I451" s="69" t="str">
        <f aca="false">IFERROR(INDEX(商品マスタ!$F$6:$F$1005,MATCH($F451,商品マスタ!$B$6:$B$1005,0)),"")</f>
        <v/>
      </c>
      <c r="J451" s="69" t="str">
        <f aca="false">IF(OR($F451="",$C451&lt;&gt;'設定（最初に1回）'!$C$4),"",IFERROR(INDEX(発注計算!$Y$6:$Y$405,MATCH($F451,発注計算!$C$6:$C$405,0)),""))</f>
        <v/>
      </c>
      <c r="K451" s="70"/>
      <c r="L451" s="69" t="str">
        <f aca="false">IF($K451="","",N($K451)*N($I451))</f>
        <v/>
      </c>
      <c r="M451" s="71" t="str">
        <f aca="false">IFERROR(INDEX(商品マスタ!$G$6:$G$1005,MATCH($F451,商品マスタ!$B$6:$B$1005,0)),"")</f>
        <v/>
      </c>
      <c r="N451" s="71" t="str">
        <f aca="false">IF($K451="","",N($K451)*N($M451))</f>
        <v/>
      </c>
      <c r="O451" s="66" t="str">
        <f aca="false">IFERROR(INDEX(商品マスタ!$H$6:$H$1005,MATCH($F451,商品マスタ!$B$6:$B$1005,0)),"")</f>
        <v/>
      </c>
      <c r="P451" s="87" t="str">
        <f aca="false">IF(OR($E451="",$O451=""),"",WORKDAY($E451,$O451))</f>
        <v/>
      </c>
      <c r="Q451" s="80"/>
      <c r="R451" s="131"/>
      <c r="S451" s="69" t="n">
        <f aca="false">IF($Q451="入荷済み",N($L451),0)</f>
        <v>0</v>
      </c>
      <c r="T451" s="80"/>
      <c r="U451" s="80"/>
    </row>
    <row r="452" customFormat="false" ht="15" hidden="false" customHeight="false" outlineLevel="0" collapsed="false">
      <c r="B452" s="66" t="str">
        <f aca="false">IF(OR($E452="",$F452=""),"","PO-"&amp;TEXT($E452,"yyyymmdd")&amp;"-"&amp;TEXT(COUNTIFS($E$6:$E452,$E452,$C$6:$C452,$C452),"000"))</f>
        <v/>
      </c>
      <c r="C452" s="130"/>
      <c r="D452" s="66" t="str">
        <f aca="false">IFERROR(INDEX(定数マスタ!$C$6:$C$105,MATCH($C452,定数マスタ!$B$6:$B$105,0)),"")</f>
        <v/>
      </c>
      <c r="E452" s="131"/>
      <c r="F452" s="130"/>
      <c r="G452" s="66" t="str">
        <f aca="false">IFERROR(INDEX(商品マスタ!$C$6:$C$1005,MATCH($F452,商品マスタ!$B$6:$B$1005,0)),"")</f>
        <v/>
      </c>
      <c r="H452" s="66" t="str">
        <f aca="false">IFERROR(INDEX(商品マスタ!$E$6:$E$1005,MATCH($F452,商品マスタ!$B$6:$B$1005,0)),"")</f>
        <v/>
      </c>
      <c r="I452" s="69" t="str">
        <f aca="false">IFERROR(INDEX(商品マスタ!$F$6:$F$1005,MATCH($F452,商品マスタ!$B$6:$B$1005,0)),"")</f>
        <v/>
      </c>
      <c r="J452" s="69" t="str">
        <f aca="false">IF(OR($F452="",$C452&lt;&gt;'設定（最初に1回）'!$C$4),"",IFERROR(INDEX(発注計算!$Y$6:$Y$405,MATCH($F452,発注計算!$C$6:$C$405,0)),""))</f>
        <v/>
      </c>
      <c r="K452" s="70"/>
      <c r="L452" s="69" t="str">
        <f aca="false">IF($K452="","",N($K452)*N($I452))</f>
        <v/>
      </c>
      <c r="M452" s="71" t="str">
        <f aca="false">IFERROR(INDEX(商品マスタ!$G$6:$G$1005,MATCH($F452,商品マスタ!$B$6:$B$1005,0)),"")</f>
        <v/>
      </c>
      <c r="N452" s="71" t="str">
        <f aca="false">IF($K452="","",N($K452)*N($M452))</f>
        <v/>
      </c>
      <c r="O452" s="66" t="str">
        <f aca="false">IFERROR(INDEX(商品マスタ!$H$6:$H$1005,MATCH($F452,商品マスタ!$B$6:$B$1005,0)),"")</f>
        <v/>
      </c>
      <c r="P452" s="87" t="str">
        <f aca="false">IF(OR($E452="",$O452=""),"",WORKDAY($E452,$O452))</f>
        <v/>
      </c>
      <c r="Q452" s="80"/>
      <c r="R452" s="131"/>
      <c r="S452" s="69" t="n">
        <f aca="false">IF($Q452="入荷済み",N($L452),0)</f>
        <v>0</v>
      </c>
      <c r="T452" s="80"/>
      <c r="U452" s="80"/>
    </row>
    <row r="453" customFormat="false" ht="15" hidden="false" customHeight="false" outlineLevel="0" collapsed="false">
      <c r="B453" s="66" t="str">
        <f aca="false">IF(OR($E453="",$F453=""),"","PO-"&amp;TEXT($E453,"yyyymmdd")&amp;"-"&amp;TEXT(COUNTIFS($E$6:$E453,$E453,$C$6:$C453,$C453),"000"))</f>
        <v/>
      </c>
      <c r="C453" s="130"/>
      <c r="D453" s="66" t="str">
        <f aca="false">IFERROR(INDEX(定数マスタ!$C$6:$C$105,MATCH($C453,定数マスタ!$B$6:$B$105,0)),"")</f>
        <v/>
      </c>
      <c r="E453" s="131"/>
      <c r="F453" s="130"/>
      <c r="G453" s="66" t="str">
        <f aca="false">IFERROR(INDEX(商品マスタ!$C$6:$C$1005,MATCH($F453,商品マスタ!$B$6:$B$1005,0)),"")</f>
        <v/>
      </c>
      <c r="H453" s="66" t="str">
        <f aca="false">IFERROR(INDEX(商品マスタ!$E$6:$E$1005,MATCH($F453,商品マスタ!$B$6:$B$1005,0)),"")</f>
        <v/>
      </c>
      <c r="I453" s="69" t="str">
        <f aca="false">IFERROR(INDEX(商品マスタ!$F$6:$F$1005,MATCH($F453,商品マスタ!$B$6:$B$1005,0)),"")</f>
        <v/>
      </c>
      <c r="J453" s="69" t="str">
        <f aca="false">IF(OR($F453="",$C453&lt;&gt;'設定（最初に1回）'!$C$4),"",IFERROR(INDEX(発注計算!$Y$6:$Y$405,MATCH($F453,発注計算!$C$6:$C$405,0)),""))</f>
        <v/>
      </c>
      <c r="K453" s="70"/>
      <c r="L453" s="69" t="str">
        <f aca="false">IF($K453="","",N($K453)*N($I453))</f>
        <v/>
      </c>
      <c r="M453" s="71" t="str">
        <f aca="false">IFERROR(INDEX(商品マスタ!$G$6:$G$1005,MATCH($F453,商品マスタ!$B$6:$B$1005,0)),"")</f>
        <v/>
      </c>
      <c r="N453" s="71" t="str">
        <f aca="false">IF($K453="","",N($K453)*N($M453))</f>
        <v/>
      </c>
      <c r="O453" s="66" t="str">
        <f aca="false">IFERROR(INDEX(商品マスタ!$H$6:$H$1005,MATCH($F453,商品マスタ!$B$6:$B$1005,0)),"")</f>
        <v/>
      </c>
      <c r="P453" s="87" t="str">
        <f aca="false">IF(OR($E453="",$O453=""),"",WORKDAY($E453,$O453))</f>
        <v/>
      </c>
      <c r="Q453" s="80"/>
      <c r="R453" s="131"/>
      <c r="S453" s="69" t="n">
        <f aca="false">IF($Q453="入荷済み",N($L453),0)</f>
        <v>0</v>
      </c>
      <c r="T453" s="80"/>
      <c r="U453" s="80"/>
    </row>
    <row r="454" customFormat="false" ht="15" hidden="false" customHeight="false" outlineLevel="0" collapsed="false">
      <c r="B454" s="66" t="str">
        <f aca="false">IF(OR($E454="",$F454=""),"","PO-"&amp;TEXT($E454,"yyyymmdd")&amp;"-"&amp;TEXT(COUNTIFS($E$6:$E454,$E454,$C$6:$C454,$C454),"000"))</f>
        <v/>
      </c>
      <c r="C454" s="130"/>
      <c r="D454" s="66" t="str">
        <f aca="false">IFERROR(INDEX(定数マスタ!$C$6:$C$105,MATCH($C454,定数マスタ!$B$6:$B$105,0)),"")</f>
        <v/>
      </c>
      <c r="E454" s="131"/>
      <c r="F454" s="130"/>
      <c r="G454" s="66" t="str">
        <f aca="false">IFERROR(INDEX(商品マスタ!$C$6:$C$1005,MATCH($F454,商品マスタ!$B$6:$B$1005,0)),"")</f>
        <v/>
      </c>
      <c r="H454" s="66" t="str">
        <f aca="false">IFERROR(INDEX(商品マスタ!$E$6:$E$1005,MATCH($F454,商品マスタ!$B$6:$B$1005,0)),"")</f>
        <v/>
      </c>
      <c r="I454" s="69" t="str">
        <f aca="false">IFERROR(INDEX(商品マスタ!$F$6:$F$1005,MATCH($F454,商品マスタ!$B$6:$B$1005,0)),"")</f>
        <v/>
      </c>
      <c r="J454" s="69" t="str">
        <f aca="false">IF(OR($F454="",$C454&lt;&gt;'設定（最初に1回）'!$C$4),"",IFERROR(INDEX(発注計算!$Y$6:$Y$405,MATCH($F454,発注計算!$C$6:$C$405,0)),""))</f>
        <v/>
      </c>
      <c r="K454" s="70"/>
      <c r="L454" s="69" t="str">
        <f aca="false">IF($K454="","",N($K454)*N($I454))</f>
        <v/>
      </c>
      <c r="M454" s="71" t="str">
        <f aca="false">IFERROR(INDEX(商品マスタ!$G$6:$G$1005,MATCH($F454,商品マスタ!$B$6:$B$1005,0)),"")</f>
        <v/>
      </c>
      <c r="N454" s="71" t="str">
        <f aca="false">IF($K454="","",N($K454)*N($M454))</f>
        <v/>
      </c>
      <c r="O454" s="66" t="str">
        <f aca="false">IFERROR(INDEX(商品マスタ!$H$6:$H$1005,MATCH($F454,商品マスタ!$B$6:$B$1005,0)),"")</f>
        <v/>
      </c>
      <c r="P454" s="87" t="str">
        <f aca="false">IF(OR($E454="",$O454=""),"",WORKDAY($E454,$O454))</f>
        <v/>
      </c>
      <c r="Q454" s="80"/>
      <c r="R454" s="131"/>
      <c r="S454" s="69" t="n">
        <f aca="false">IF($Q454="入荷済み",N($L454),0)</f>
        <v>0</v>
      </c>
      <c r="T454" s="80"/>
      <c r="U454" s="80"/>
    </row>
    <row r="455" customFormat="false" ht="15" hidden="false" customHeight="false" outlineLevel="0" collapsed="false">
      <c r="B455" s="66" t="str">
        <f aca="false">IF(OR($E455="",$F455=""),"","PO-"&amp;TEXT($E455,"yyyymmdd")&amp;"-"&amp;TEXT(COUNTIFS($E$6:$E455,$E455,$C$6:$C455,$C455),"000"))</f>
        <v/>
      </c>
      <c r="C455" s="130"/>
      <c r="D455" s="66" t="str">
        <f aca="false">IFERROR(INDEX(定数マスタ!$C$6:$C$105,MATCH($C455,定数マスタ!$B$6:$B$105,0)),"")</f>
        <v/>
      </c>
      <c r="E455" s="131"/>
      <c r="F455" s="130"/>
      <c r="G455" s="66" t="str">
        <f aca="false">IFERROR(INDEX(商品マスタ!$C$6:$C$1005,MATCH($F455,商品マスタ!$B$6:$B$1005,0)),"")</f>
        <v/>
      </c>
      <c r="H455" s="66" t="str">
        <f aca="false">IFERROR(INDEX(商品マスタ!$E$6:$E$1005,MATCH($F455,商品マスタ!$B$6:$B$1005,0)),"")</f>
        <v/>
      </c>
      <c r="I455" s="69" t="str">
        <f aca="false">IFERROR(INDEX(商品マスタ!$F$6:$F$1005,MATCH($F455,商品マスタ!$B$6:$B$1005,0)),"")</f>
        <v/>
      </c>
      <c r="J455" s="69" t="str">
        <f aca="false">IF(OR($F455="",$C455&lt;&gt;'設定（最初に1回）'!$C$4),"",IFERROR(INDEX(発注計算!$Y$6:$Y$405,MATCH($F455,発注計算!$C$6:$C$405,0)),""))</f>
        <v/>
      </c>
      <c r="K455" s="70"/>
      <c r="L455" s="69" t="str">
        <f aca="false">IF($K455="","",N($K455)*N($I455))</f>
        <v/>
      </c>
      <c r="M455" s="71" t="str">
        <f aca="false">IFERROR(INDEX(商品マスタ!$G$6:$G$1005,MATCH($F455,商品マスタ!$B$6:$B$1005,0)),"")</f>
        <v/>
      </c>
      <c r="N455" s="71" t="str">
        <f aca="false">IF($K455="","",N($K455)*N($M455))</f>
        <v/>
      </c>
      <c r="O455" s="66" t="str">
        <f aca="false">IFERROR(INDEX(商品マスタ!$H$6:$H$1005,MATCH($F455,商品マスタ!$B$6:$B$1005,0)),"")</f>
        <v/>
      </c>
      <c r="P455" s="87" t="str">
        <f aca="false">IF(OR($E455="",$O455=""),"",WORKDAY($E455,$O455))</f>
        <v/>
      </c>
      <c r="Q455" s="80"/>
      <c r="R455" s="131"/>
      <c r="S455" s="69" t="n">
        <f aca="false">IF($Q455="入荷済み",N($L455),0)</f>
        <v>0</v>
      </c>
      <c r="T455" s="80"/>
      <c r="U455" s="80"/>
    </row>
    <row r="456" customFormat="false" ht="15" hidden="false" customHeight="false" outlineLevel="0" collapsed="false">
      <c r="B456" s="66" t="str">
        <f aca="false">IF(OR($E456="",$F456=""),"","PO-"&amp;TEXT($E456,"yyyymmdd")&amp;"-"&amp;TEXT(COUNTIFS($E$6:$E456,$E456,$C$6:$C456,$C456),"000"))</f>
        <v/>
      </c>
      <c r="C456" s="130"/>
      <c r="D456" s="66" t="str">
        <f aca="false">IFERROR(INDEX(定数マスタ!$C$6:$C$105,MATCH($C456,定数マスタ!$B$6:$B$105,0)),"")</f>
        <v/>
      </c>
      <c r="E456" s="131"/>
      <c r="F456" s="130"/>
      <c r="G456" s="66" t="str">
        <f aca="false">IFERROR(INDEX(商品マスタ!$C$6:$C$1005,MATCH($F456,商品マスタ!$B$6:$B$1005,0)),"")</f>
        <v/>
      </c>
      <c r="H456" s="66" t="str">
        <f aca="false">IFERROR(INDEX(商品マスタ!$E$6:$E$1005,MATCH($F456,商品マスタ!$B$6:$B$1005,0)),"")</f>
        <v/>
      </c>
      <c r="I456" s="69" t="str">
        <f aca="false">IFERROR(INDEX(商品マスタ!$F$6:$F$1005,MATCH($F456,商品マスタ!$B$6:$B$1005,0)),"")</f>
        <v/>
      </c>
      <c r="J456" s="69" t="str">
        <f aca="false">IF(OR($F456="",$C456&lt;&gt;'設定（最初に1回）'!$C$4),"",IFERROR(INDEX(発注計算!$Y$6:$Y$405,MATCH($F456,発注計算!$C$6:$C$405,0)),""))</f>
        <v/>
      </c>
      <c r="K456" s="70"/>
      <c r="L456" s="69" t="str">
        <f aca="false">IF($K456="","",N($K456)*N($I456))</f>
        <v/>
      </c>
      <c r="M456" s="71" t="str">
        <f aca="false">IFERROR(INDEX(商品マスタ!$G$6:$G$1005,MATCH($F456,商品マスタ!$B$6:$B$1005,0)),"")</f>
        <v/>
      </c>
      <c r="N456" s="71" t="str">
        <f aca="false">IF($K456="","",N($K456)*N($M456))</f>
        <v/>
      </c>
      <c r="O456" s="66" t="str">
        <f aca="false">IFERROR(INDEX(商品マスタ!$H$6:$H$1005,MATCH($F456,商品マスタ!$B$6:$B$1005,0)),"")</f>
        <v/>
      </c>
      <c r="P456" s="87" t="str">
        <f aca="false">IF(OR($E456="",$O456=""),"",WORKDAY($E456,$O456))</f>
        <v/>
      </c>
      <c r="Q456" s="80"/>
      <c r="R456" s="131"/>
      <c r="S456" s="69" t="n">
        <f aca="false">IF($Q456="入荷済み",N($L456),0)</f>
        <v>0</v>
      </c>
      <c r="T456" s="80"/>
      <c r="U456" s="80"/>
    </row>
    <row r="457" customFormat="false" ht="15" hidden="false" customHeight="false" outlineLevel="0" collapsed="false">
      <c r="B457" s="66" t="str">
        <f aca="false">IF(OR($E457="",$F457=""),"","PO-"&amp;TEXT($E457,"yyyymmdd")&amp;"-"&amp;TEXT(COUNTIFS($E$6:$E457,$E457,$C$6:$C457,$C457),"000"))</f>
        <v/>
      </c>
      <c r="C457" s="130"/>
      <c r="D457" s="66" t="str">
        <f aca="false">IFERROR(INDEX(定数マスタ!$C$6:$C$105,MATCH($C457,定数マスタ!$B$6:$B$105,0)),"")</f>
        <v/>
      </c>
      <c r="E457" s="131"/>
      <c r="F457" s="130"/>
      <c r="G457" s="66" t="str">
        <f aca="false">IFERROR(INDEX(商品マスタ!$C$6:$C$1005,MATCH($F457,商品マスタ!$B$6:$B$1005,0)),"")</f>
        <v/>
      </c>
      <c r="H457" s="66" t="str">
        <f aca="false">IFERROR(INDEX(商品マスタ!$E$6:$E$1005,MATCH($F457,商品マスタ!$B$6:$B$1005,0)),"")</f>
        <v/>
      </c>
      <c r="I457" s="69" t="str">
        <f aca="false">IFERROR(INDEX(商品マスタ!$F$6:$F$1005,MATCH($F457,商品マスタ!$B$6:$B$1005,0)),"")</f>
        <v/>
      </c>
      <c r="J457" s="69" t="str">
        <f aca="false">IF(OR($F457="",$C457&lt;&gt;'設定（最初に1回）'!$C$4),"",IFERROR(INDEX(発注計算!$Y$6:$Y$405,MATCH($F457,発注計算!$C$6:$C$405,0)),""))</f>
        <v/>
      </c>
      <c r="K457" s="70"/>
      <c r="L457" s="69" t="str">
        <f aca="false">IF($K457="","",N($K457)*N($I457))</f>
        <v/>
      </c>
      <c r="M457" s="71" t="str">
        <f aca="false">IFERROR(INDEX(商品マスタ!$G$6:$G$1005,MATCH($F457,商品マスタ!$B$6:$B$1005,0)),"")</f>
        <v/>
      </c>
      <c r="N457" s="71" t="str">
        <f aca="false">IF($K457="","",N($K457)*N($M457))</f>
        <v/>
      </c>
      <c r="O457" s="66" t="str">
        <f aca="false">IFERROR(INDEX(商品マスタ!$H$6:$H$1005,MATCH($F457,商品マスタ!$B$6:$B$1005,0)),"")</f>
        <v/>
      </c>
      <c r="P457" s="87" t="str">
        <f aca="false">IF(OR($E457="",$O457=""),"",WORKDAY($E457,$O457))</f>
        <v/>
      </c>
      <c r="Q457" s="80"/>
      <c r="R457" s="131"/>
      <c r="S457" s="69" t="n">
        <f aca="false">IF($Q457="入荷済み",N($L457),0)</f>
        <v>0</v>
      </c>
      <c r="T457" s="80"/>
      <c r="U457" s="80"/>
    </row>
    <row r="458" customFormat="false" ht="15" hidden="false" customHeight="false" outlineLevel="0" collapsed="false">
      <c r="B458" s="66" t="str">
        <f aca="false">IF(OR($E458="",$F458=""),"","PO-"&amp;TEXT($E458,"yyyymmdd")&amp;"-"&amp;TEXT(COUNTIFS($E$6:$E458,$E458,$C$6:$C458,$C458),"000"))</f>
        <v/>
      </c>
      <c r="C458" s="130"/>
      <c r="D458" s="66" t="str">
        <f aca="false">IFERROR(INDEX(定数マスタ!$C$6:$C$105,MATCH($C458,定数マスタ!$B$6:$B$105,0)),"")</f>
        <v/>
      </c>
      <c r="E458" s="131"/>
      <c r="F458" s="130"/>
      <c r="G458" s="66" t="str">
        <f aca="false">IFERROR(INDEX(商品マスタ!$C$6:$C$1005,MATCH($F458,商品マスタ!$B$6:$B$1005,0)),"")</f>
        <v/>
      </c>
      <c r="H458" s="66" t="str">
        <f aca="false">IFERROR(INDEX(商品マスタ!$E$6:$E$1005,MATCH($F458,商品マスタ!$B$6:$B$1005,0)),"")</f>
        <v/>
      </c>
      <c r="I458" s="69" t="str">
        <f aca="false">IFERROR(INDEX(商品マスタ!$F$6:$F$1005,MATCH($F458,商品マスタ!$B$6:$B$1005,0)),"")</f>
        <v/>
      </c>
      <c r="J458" s="69" t="str">
        <f aca="false">IF(OR($F458="",$C458&lt;&gt;'設定（最初に1回）'!$C$4),"",IFERROR(INDEX(発注計算!$Y$6:$Y$405,MATCH($F458,発注計算!$C$6:$C$405,0)),""))</f>
        <v/>
      </c>
      <c r="K458" s="70"/>
      <c r="L458" s="69" t="str">
        <f aca="false">IF($K458="","",N($K458)*N($I458))</f>
        <v/>
      </c>
      <c r="M458" s="71" t="str">
        <f aca="false">IFERROR(INDEX(商品マスタ!$G$6:$G$1005,MATCH($F458,商品マスタ!$B$6:$B$1005,0)),"")</f>
        <v/>
      </c>
      <c r="N458" s="71" t="str">
        <f aca="false">IF($K458="","",N($K458)*N($M458))</f>
        <v/>
      </c>
      <c r="O458" s="66" t="str">
        <f aca="false">IFERROR(INDEX(商品マスタ!$H$6:$H$1005,MATCH($F458,商品マスタ!$B$6:$B$1005,0)),"")</f>
        <v/>
      </c>
      <c r="P458" s="87" t="str">
        <f aca="false">IF(OR($E458="",$O458=""),"",WORKDAY($E458,$O458))</f>
        <v/>
      </c>
      <c r="Q458" s="80"/>
      <c r="R458" s="131"/>
      <c r="S458" s="69" t="n">
        <f aca="false">IF($Q458="入荷済み",N($L458),0)</f>
        <v>0</v>
      </c>
      <c r="T458" s="80"/>
      <c r="U458" s="80"/>
    </row>
    <row r="459" customFormat="false" ht="15" hidden="false" customHeight="false" outlineLevel="0" collapsed="false">
      <c r="B459" s="66" t="str">
        <f aca="false">IF(OR($E459="",$F459=""),"","PO-"&amp;TEXT($E459,"yyyymmdd")&amp;"-"&amp;TEXT(COUNTIFS($E$6:$E459,$E459,$C$6:$C459,$C459),"000"))</f>
        <v/>
      </c>
      <c r="C459" s="130"/>
      <c r="D459" s="66" t="str">
        <f aca="false">IFERROR(INDEX(定数マスタ!$C$6:$C$105,MATCH($C459,定数マスタ!$B$6:$B$105,0)),"")</f>
        <v/>
      </c>
      <c r="E459" s="131"/>
      <c r="F459" s="130"/>
      <c r="G459" s="66" t="str">
        <f aca="false">IFERROR(INDEX(商品マスタ!$C$6:$C$1005,MATCH($F459,商品マスタ!$B$6:$B$1005,0)),"")</f>
        <v/>
      </c>
      <c r="H459" s="66" t="str">
        <f aca="false">IFERROR(INDEX(商品マスタ!$E$6:$E$1005,MATCH($F459,商品マスタ!$B$6:$B$1005,0)),"")</f>
        <v/>
      </c>
      <c r="I459" s="69" t="str">
        <f aca="false">IFERROR(INDEX(商品マスタ!$F$6:$F$1005,MATCH($F459,商品マスタ!$B$6:$B$1005,0)),"")</f>
        <v/>
      </c>
      <c r="J459" s="69" t="str">
        <f aca="false">IF(OR($F459="",$C459&lt;&gt;'設定（最初に1回）'!$C$4),"",IFERROR(INDEX(発注計算!$Y$6:$Y$405,MATCH($F459,発注計算!$C$6:$C$405,0)),""))</f>
        <v/>
      </c>
      <c r="K459" s="70"/>
      <c r="L459" s="69" t="str">
        <f aca="false">IF($K459="","",N($K459)*N($I459))</f>
        <v/>
      </c>
      <c r="M459" s="71" t="str">
        <f aca="false">IFERROR(INDEX(商品マスタ!$G$6:$G$1005,MATCH($F459,商品マスタ!$B$6:$B$1005,0)),"")</f>
        <v/>
      </c>
      <c r="N459" s="71" t="str">
        <f aca="false">IF($K459="","",N($K459)*N($M459))</f>
        <v/>
      </c>
      <c r="O459" s="66" t="str">
        <f aca="false">IFERROR(INDEX(商品マスタ!$H$6:$H$1005,MATCH($F459,商品マスタ!$B$6:$B$1005,0)),"")</f>
        <v/>
      </c>
      <c r="P459" s="87" t="str">
        <f aca="false">IF(OR($E459="",$O459=""),"",WORKDAY($E459,$O459))</f>
        <v/>
      </c>
      <c r="Q459" s="80"/>
      <c r="R459" s="131"/>
      <c r="S459" s="69" t="n">
        <f aca="false">IF($Q459="入荷済み",N($L459),0)</f>
        <v>0</v>
      </c>
      <c r="T459" s="80"/>
      <c r="U459" s="80"/>
    </row>
    <row r="460" customFormat="false" ht="15" hidden="false" customHeight="false" outlineLevel="0" collapsed="false">
      <c r="B460" s="66" t="str">
        <f aca="false">IF(OR($E460="",$F460=""),"","PO-"&amp;TEXT($E460,"yyyymmdd")&amp;"-"&amp;TEXT(COUNTIFS($E$6:$E460,$E460,$C$6:$C460,$C460),"000"))</f>
        <v/>
      </c>
      <c r="C460" s="130"/>
      <c r="D460" s="66" t="str">
        <f aca="false">IFERROR(INDEX(定数マスタ!$C$6:$C$105,MATCH($C460,定数マスタ!$B$6:$B$105,0)),"")</f>
        <v/>
      </c>
      <c r="E460" s="131"/>
      <c r="F460" s="130"/>
      <c r="G460" s="66" t="str">
        <f aca="false">IFERROR(INDEX(商品マスタ!$C$6:$C$1005,MATCH($F460,商品マスタ!$B$6:$B$1005,0)),"")</f>
        <v/>
      </c>
      <c r="H460" s="66" t="str">
        <f aca="false">IFERROR(INDEX(商品マスタ!$E$6:$E$1005,MATCH($F460,商品マスタ!$B$6:$B$1005,0)),"")</f>
        <v/>
      </c>
      <c r="I460" s="69" t="str">
        <f aca="false">IFERROR(INDEX(商品マスタ!$F$6:$F$1005,MATCH($F460,商品マスタ!$B$6:$B$1005,0)),"")</f>
        <v/>
      </c>
      <c r="J460" s="69" t="str">
        <f aca="false">IF(OR($F460="",$C460&lt;&gt;'設定（最初に1回）'!$C$4),"",IFERROR(INDEX(発注計算!$Y$6:$Y$405,MATCH($F460,発注計算!$C$6:$C$405,0)),""))</f>
        <v/>
      </c>
      <c r="K460" s="70"/>
      <c r="L460" s="69" t="str">
        <f aca="false">IF($K460="","",N($K460)*N($I460))</f>
        <v/>
      </c>
      <c r="M460" s="71" t="str">
        <f aca="false">IFERROR(INDEX(商品マスタ!$G$6:$G$1005,MATCH($F460,商品マスタ!$B$6:$B$1005,0)),"")</f>
        <v/>
      </c>
      <c r="N460" s="71" t="str">
        <f aca="false">IF($K460="","",N($K460)*N($M460))</f>
        <v/>
      </c>
      <c r="O460" s="66" t="str">
        <f aca="false">IFERROR(INDEX(商品マスタ!$H$6:$H$1005,MATCH($F460,商品マスタ!$B$6:$B$1005,0)),"")</f>
        <v/>
      </c>
      <c r="P460" s="87" t="str">
        <f aca="false">IF(OR($E460="",$O460=""),"",WORKDAY($E460,$O460))</f>
        <v/>
      </c>
      <c r="Q460" s="80"/>
      <c r="R460" s="131"/>
      <c r="S460" s="69" t="n">
        <f aca="false">IF($Q460="入荷済み",N($L460),0)</f>
        <v>0</v>
      </c>
      <c r="T460" s="80"/>
      <c r="U460" s="80"/>
    </row>
    <row r="461" customFormat="false" ht="15" hidden="false" customHeight="false" outlineLevel="0" collapsed="false">
      <c r="B461" s="66" t="str">
        <f aca="false">IF(OR($E461="",$F461=""),"","PO-"&amp;TEXT($E461,"yyyymmdd")&amp;"-"&amp;TEXT(COUNTIFS($E$6:$E461,$E461,$C$6:$C461,$C461),"000"))</f>
        <v/>
      </c>
      <c r="C461" s="130"/>
      <c r="D461" s="66" t="str">
        <f aca="false">IFERROR(INDEX(定数マスタ!$C$6:$C$105,MATCH($C461,定数マスタ!$B$6:$B$105,0)),"")</f>
        <v/>
      </c>
      <c r="E461" s="131"/>
      <c r="F461" s="130"/>
      <c r="G461" s="66" t="str">
        <f aca="false">IFERROR(INDEX(商品マスタ!$C$6:$C$1005,MATCH($F461,商品マスタ!$B$6:$B$1005,0)),"")</f>
        <v/>
      </c>
      <c r="H461" s="66" t="str">
        <f aca="false">IFERROR(INDEX(商品マスタ!$E$6:$E$1005,MATCH($F461,商品マスタ!$B$6:$B$1005,0)),"")</f>
        <v/>
      </c>
      <c r="I461" s="69" t="str">
        <f aca="false">IFERROR(INDEX(商品マスタ!$F$6:$F$1005,MATCH($F461,商品マスタ!$B$6:$B$1005,0)),"")</f>
        <v/>
      </c>
      <c r="J461" s="69" t="str">
        <f aca="false">IF(OR($F461="",$C461&lt;&gt;'設定（最初に1回）'!$C$4),"",IFERROR(INDEX(発注計算!$Y$6:$Y$405,MATCH($F461,発注計算!$C$6:$C$405,0)),""))</f>
        <v/>
      </c>
      <c r="K461" s="70"/>
      <c r="L461" s="69" t="str">
        <f aca="false">IF($K461="","",N($K461)*N($I461))</f>
        <v/>
      </c>
      <c r="M461" s="71" t="str">
        <f aca="false">IFERROR(INDEX(商品マスタ!$G$6:$G$1005,MATCH($F461,商品マスタ!$B$6:$B$1005,0)),"")</f>
        <v/>
      </c>
      <c r="N461" s="71" t="str">
        <f aca="false">IF($K461="","",N($K461)*N($M461))</f>
        <v/>
      </c>
      <c r="O461" s="66" t="str">
        <f aca="false">IFERROR(INDEX(商品マスタ!$H$6:$H$1005,MATCH($F461,商品マスタ!$B$6:$B$1005,0)),"")</f>
        <v/>
      </c>
      <c r="P461" s="87" t="str">
        <f aca="false">IF(OR($E461="",$O461=""),"",WORKDAY($E461,$O461))</f>
        <v/>
      </c>
      <c r="Q461" s="80"/>
      <c r="R461" s="131"/>
      <c r="S461" s="69" t="n">
        <f aca="false">IF($Q461="入荷済み",N($L461),0)</f>
        <v>0</v>
      </c>
      <c r="T461" s="80"/>
      <c r="U461" s="80"/>
    </row>
    <row r="462" customFormat="false" ht="15" hidden="false" customHeight="false" outlineLevel="0" collapsed="false">
      <c r="B462" s="66" t="str">
        <f aca="false">IF(OR($E462="",$F462=""),"","PO-"&amp;TEXT($E462,"yyyymmdd")&amp;"-"&amp;TEXT(COUNTIFS($E$6:$E462,$E462,$C$6:$C462,$C462),"000"))</f>
        <v/>
      </c>
      <c r="C462" s="130"/>
      <c r="D462" s="66" t="str">
        <f aca="false">IFERROR(INDEX(定数マスタ!$C$6:$C$105,MATCH($C462,定数マスタ!$B$6:$B$105,0)),"")</f>
        <v/>
      </c>
      <c r="E462" s="131"/>
      <c r="F462" s="130"/>
      <c r="G462" s="66" t="str">
        <f aca="false">IFERROR(INDEX(商品マスタ!$C$6:$C$1005,MATCH($F462,商品マスタ!$B$6:$B$1005,0)),"")</f>
        <v/>
      </c>
      <c r="H462" s="66" t="str">
        <f aca="false">IFERROR(INDEX(商品マスタ!$E$6:$E$1005,MATCH($F462,商品マスタ!$B$6:$B$1005,0)),"")</f>
        <v/>
      </c>
      <c r="I462" s="69" t="str">
        <f aca="false">IFERROR(INDEX(商品マスタ!$F$6:$F$1005,MATCH($F462,商品マスタ!$B$6:$B$1005,0)),"")</f>
        <v/>
      </c>
      <c r="J462" s="69" t="str">
        <f aca="false">IF(OR($F462="",$C462&lt;&gt;'設定（最初に1回）'!$C$4),"",IFERROR(INDEX(発注計算!$Y$6:$Y$405,MATCH($F462,発注計算!$C$6:$C$405,0)),""))</f>
        <v/>
      </c>
      <c r="K462" s="70"/>
      <c r="L462" s="69" t="str">
        <f aca="false">IF($K462="","",N($K462)*N($I462))</f>
        <v/>
      </c>
      <c r="M462" s="71" t="str">
        <f aca="false">IFERROR(INDEX(商品マスタ!$G$6:$G$1005,MATCH($F462,商品マスタ!$B$6:$B$1005,0)),"")</f>
        <v/>
      </c>
      <c r="N462" s="71" t="str">
        <f aca="false">IF($K462="","",N($K462)*N($M462))</f>
        <v/>
      </c>
      <c r="O462" s="66" t="str">
        <f aca="false">IFERROR(INDEX(商品マスタ!$H$6:$H$1005,MATCH($F462,商品マスタ!$B$6:$B$1005,0)),"")</f>
        <v/>
      </c>
      <c r="P462" s="87" t="str">
        <f aca="false">IF(OR($E462="",$O462=""),"",WORKDAY($E462,$O462))</f>
        <v/>
      </c>
      <c r="Q462" s="80"/>
      <c r="R462" s="131"/>
      <c r="S462" s="69" t="n">
        <f aca="false">IF($Q462="入荷済み",N($L462),0)</f>
        <v>0</v>
      </c>
      <c r="T462" s="80"/>
      <c r="U462" s="80"/>
    </row>
    <row r="463" customFormat="false" ht="15" hidden="false" customHeight="false" outlineLevel="0" collapsed="false">
      <c r="B463" s="66" t="str">
        <f aca="false">IF(OR($E463="",$F463=""),"","PO-"&amp;TEXT($E463,"yyyymmdd")&amp;"-"&amp;TEXT(COUNTIFS($E$6:$E463,$E463,$C$6:$C463,$C463),"000"))</f>
        <v/>
      </c>
      <c r="C463" s="130"/>
      <c r="D463" s="66" t="str">
        <f aca="false">IFERROR(INDEX(定数マスタ!$C$6:$C$105,MATCH($C463,定数マスタ!$B$6:$B$105,0)),"")</f>
        <v/>
      </c>
      <c r="E463" s="131"/>
      <c r="F463" s="130"/>
      <c r="G463" s="66" t="str">
        <f aca="false">IFERROR(INDEX(商品マスタ!$C$6:$C$1005,MATCH($F463,商品マスタ!$B$6:$B$1005,0)),"")</f>
        <v/>
      </c>
      <c r="H463" s="66" t="str">
        <f aca="false">IFERROR(INDEX(商品マスタ!$E$6:$E$1005,MATCH($F463,商品マスタ!$B$6:$B$1005,0)),"")</f>
        <v/>
      </c>
      <c r="I463" s="69" t="str">
        <f aca="false">IFERROR(INDEX(商品マスタ!$F$6:$F$1005,MATCH($F463,商品マスタ!$B$6:$B$1005,0)),"")</f>
        <v/>
      </c>
      <c r="J463" s="69" t="str">
        <f aca="false">IF(OR($F463="",$C463&lt;&gt;'設定（最初に1回）'!$C$4),"",IFERROR(INDEX(発注計算!$Y$6:$Y$405,MATCH($F463,発注計算!$C$6:$C$405,0)),""))</f>
        <v/>
      </c>
      <c r="K463" s="70"/>
      <c r="L463" s="69" t="str">
        <f aca="false">IF($K463="","",N($K463)*N($I463))</f>
        <v/>
      </c>
      <c r="M463" s="71" t="str">
        <f aca="false">IFERROR(INDEX(商品マスタ!$G$6:$G$1005,MATCH($F463,商品マスタ!$B$6:$B$1005,0)),"")</f>
        <v/>
      </c>
      <c r="N463" s="71" t="str">
        <f aca="false">IF($K463="","",N($K463)*N($M463))</f>
        <v/>
      </c>
      <c r="O463" s="66" t="str">
        <f aca="false">IFERROR(INDEX(商品マスタ!$H$6:$H$1005,MATCH($F463,商品マスタ!$B$6:$B$1005,0)),"")</f>
        <v/>
      </c>
      <c r="P463" s="87" t="str">
        <f aca="false">IF(OR($E463="",$O463=""),"",WORKDAY($E463,$O463))</f>
        <v/>
      </c>
      <c r="Q463" s="80"/>
      <c r="R463" s="131"/>
      <c r="S463" s="69" t="n">
        <f aca="false">IF($Q463="入荷済み",N($L463),0)</f>
        <v>0</v>
      </c>
      <c r="T463" s="80"/>
      <c r="U463" s="80"/>
    </row>
    <row r="464" customFormat="false" ht="15" hidden="false" customHeight="false" outlineLevel="0" collapsed="false">
      <c r="B464" s="66" t="str">
        <f aca="false">IF(OR($E464="",$F464=""),"","PO-"&amp;TEXT($E464,"yyyymmdd")&amp;"-"&amp;TEXT(COUNTIFS($E$6:$E464,$E464,$C$6:$C464,$C464),"000"))</f>
        <v/>
      </c>
      <c r="C464" s="130"/>
      <c r="D464" s="66" t="str">
        <f aca="false">IFERROR(INDEX(定数マスタ!$C$6:$C$105,MATCH($C464,定数マスタ!$B$6:$B$105,0)),"")</f>
        <v/>
      </c>
      <c r="E464" s="131"/>
      <c r="F464" s="130"/>
      <c r="G464" s="66" t="str">
        <f aca="false">IFERROR(INDEX(商品マスタ!$C$6:$C$1005,MATCH($F464,商品マスタ!$B$6:$B$1005,0)),"")</f>
        <v/>
      </c>
      <c r="H464" s="66" t="str">
        <f aca="false">IFERROR(INDEX(商品マスタ!$E$6:$E$1005,MATCH($F464,商品マスタ!$B$6:$B$1005,0)),"")</f>
        <v/>
      </c>
      <c r="I464" s="69" t="str">
        <f aca="false">IFERROR(INDEX(商品マスタ!$F$6:$F$1005,MATCH($F464,商品マスタ!$B$6:$B$1005,0)),"")</f>
        <v/>
      </c>
      <c r="J464" s="69" t="str">
        <f aca="false">IF(OR($F464="",$C464&lt;&gt;'設定（最初に1回）'!$C$4),"",IFERROR(INDEX(発注計算!$Y$6:$Y$405,MATCH($F464,発注計算!$C$6:$C$405,0)),""))</f>
        <v/>
      </c>
      <c r="K464" s="70"/>
      <c r="L464" s="69" t="str">
        <f aca="false">IF($K464="","",N($K464)*N($I464))</f>
        <v/>
      </c>
      <c r="M464" s="71" t="str">
        <f aca="false">IFERROR(INDEX(商品マスタ!$G$6:$G$1005,MATCH($F464,商品マスタ!$B$6:$B$1005,0)),"")</f>
        <v/>
      </c>
      <c r="N464" s="71" t="str">
        <f aca="false">IF($K464="","",N($K464)*N($M464))</f>
        <v/>
      </c>
      <c r="O464" s="66" t="str">
        <f aca="false">IFERROR(INDEX(商品マスタ!$H$6:$H$1005,MATCH($F464,商品マスタ!$B$6:$B$1005,0)),"")</f>
        <v/>
      </c>
      <c r="P464" s="87" t="str">
        <f aca="false">IF(OR($E464="",$O464=""),"",WORKDAY($E464,$O464))</f>
        <v/>
      </c>
      <c r="Q464" s="80"/>
      <c r="R464" s="131"/>
      <c r="S464" s="69" t="n">
        <f aca="false">IF($Q464="入荷済み",N($L464),0)</f>
        <v>0</v>
      </c>
      <c r="T464" s="80"/>
      <c r="U464" s="80"/>
    </row>
    <row r="465" customFormat="false" ht="15" hidden="false" customHeight="false" outlineLevel="0" collapsed="false">
      <c r="B465" s="66" t="str">
        <f aca="false">IF(OR($E465="",$F465=""),"","PO-"&amp;TEXT($E465,"yyyymmdd")&amp;"-"&amp;TEXT(COUNTIFS($E$6:$E465,$E465,$C$6:$C465,$C465),"000"))</f>
        <v/>
      </c>
      <c r="C465" s="130"/>
      <c r="D465" s="66" t="str">
        <f aca="false">IFERROR(INDEX(定数マスタ!$C$6:$C$105,MATCH($C465,定数マスタ!$B$6:$B$105,0)),"")</f>
        <v/>
      </c>
      <c r="E465" s="131"/>
      <c r="F465" s="130"/>
      <c r="G465" s="66" t="str">
        <f aca="false">IFERROR(INDEX(商品マスタ!$C$6:$C$1005,MATCH($F465,商品マスタ!$B$6:$B$1005,0)),"")</f>
        <v/>
      </c>
      <c r="H465" s="66" t="str">
        <f aca="false">IFERROR(INDEX(商品マスタ!$E$6:$E$1005,MATCH($F465,商品マスタ!$B$6:$B$1005,0)),"")</f>
        <v/>
      </c>
      <c r="I465" s="69" t="str">
        <f aca="false">IFERROR(INDEX(商品マスタ!$F$6:$F$1005,MATCH($F465,商品マスタ!$B$6:$B$1005,0)),"")</f>
        <v/>
      </c>
      <c r="J465" s="69" t="str">
        <f aca="false">IF(OR($F465="",$C465&lt;&gt;'設定（最初に1回）'!$C$4),"",IFERROR(INDEX(発注計算!$Y$6:$Y$405,MATCH($F465,発注計算!$C$6:$C$405,0)),""))</f>
        <v/>
      </c>
      <c r="K465" s="70"/>
      <c r="L465" s="69" t="str">
        <f aca="false">IF($K465="","",N($K465)*N($I465))</f>
        <v/>
      </c>
      <c r="M465" s="71" t="str">
        <f aca="false">IFERROR(INDEX(商品マスタ!$G$6:$G$1005,MATCH($F465,商品マスタ!$B$6:$B$1005,0)),"")</f>
        <v/>
      </c>
      <c r="N465" s="71" t="str">
        <f aca="false">IF($K465="","",N($K465)*N($M465))</f>
        <v/>
      </c>
      <c r="O465" s="66" t="str">
        <f aca="false">IFERROR(INDEX(商品マスタ!$H$6:$H$1005,MATCH($F465,商品マスタ!$B$6:$B$1005,0)),"")</f>
        <v/>
      </c>
      <c r="P465" s="87" t="str">
        <f aca="false">IF(OR($E465="",$O465=""),"",WORKDAY($E465,$O465))</f>
        <v/>
      </c>
      <c r="Q465" s="80"/>
      <c r="R465" s="131"/>
      <c r="S465" s="69" t="n">
        <f aca="false">IF($Q465="入荷済み",N($L465),0)</f>
        <v>0</v>
      </c>
      <c r="T465" s="80"/>
      <c r="U465" s="80"/>
    </row>
    <row r="466" customFormat="false" ht="15" hidden="false" customHeight="false" outlineLevel="0" collapsed="false">
      <c r="B466" s="66" t="str">
        <f aca="false">IF(OR($E466="",$F466=""),"","PO-"&amp;TEXT($E466,"yyyymmdd")&amp;"-"&amp;TEXT(COUNTIFS($E$6:$E466,$E466,$C$6:$C466,$C466),"000"))</f>
        <v/>
      </c>
      <c r="C466" s="130"/>
      <c r="D466" s="66" t="str">
        <f aca="false">IFERROR(INDEX(定数マスタ!$C$6:$C$105,MATCH($C466,定数マスタ!$B$6:$B$105,0)),"")</f>
        <v/>
      </c>
      <c r="E466" s="131"/>
      <c r="F466" s="130"/>
      <c r="G466" s="66" t="str">
        <f aca="false">IFERROR(INDEX(商品マスタ!$C$6:$C$1005,MATCH($F466,商品マスタ!$B$6:$B$1005,0)),"")</f>
        <v/>
      </c>
      <c r="H466" s="66" t="str">
        <f aca="false">IFERROR(INDEX(商品マスタ!$E$6:$E$1005,MATCH($F466,商品マスタ!$B$6:$B$1005,0)),"")</f>
        <v/>
      </c>
      <c r="I466" s="69" t="str">
        <f aca="false">IFERROR(INDEX(商品マスタ!$F$6:$F$1005,MATCH($F466,商品マスタ!$B$6:$B$1005,0)),"")</f>
        <v/>
      </c>
      <c r="J466" s="69" t="str">
        <f aca="false">IF(OR($F466="",$C466&lt;&gt;'設定（最初に1回）'!$C$4),"",IFERROR(INDEX(発注計算!$Y$6:$Y$405,MATCH($F466,発注計算!$C$6:$C$405,0)),""))</f>
        <v/>
      </c>
      <c r="K466" s="70"/>
      <c r="L466" s="69" t="str">
        <f aca="false">IF($K466="","",N($K466)*N($I466))</f>
        <v/>
      </c>
      <c r="M466" s="71" t="str">
        <f aca="false">IFERROR(INDEX(商品マスタ!$G$6:$G$1005,MATCH($F466,商品マスタ!$B$6:$B$1005,0)),"")</f>
        <v/>
      </c>
      <c r="N466" s="71" t="str">
        <f aca="false">IF($K466="","",N($K466)*N($M466))</f>
        <v/>
      </c>
      <c r="O466" s="66" t="str">
        <f aca="false">IFERROR(INDEX(商品マスタ!$H$6:$H$1005,MATCH($F466,商品マスタ!$B$6:$B$1005,0)),"")</f>
        <v/>
      </c>
      <c r="P466" s="87" t="str">
        <f aca="false">IF(OR($E466="",$O466=""),"",WORKDAY($E466,$O466))</f>
        <v/>
      </c>
      <c r="Q466" s="80"/>
      <c r="R466" s="131"/>
      <c r="S466" s="69" t="n">
        <f aca="false">IF($Q466="入荷済み",N($L466),0)</f>
        <v>0</v>
      </c>
      <c r="T466" s="80"/>
      <c r="U466" s="80"/>
    </row>
    <row r="467" customFormat="false" ht="15" hidden="false" customHeight="false" outlineLevel="0" collapsed="false">
      <c r="B467" s="66" t="str">
        <f aca="false">IF(OR($E467="",$F467=""),"","PO-"&amp;TEXT($E467,"yyyymmdd")&amp;"-"&amp;TEXT(COUNTIFS($E$6:$E467,$E467,$C$6:$C467,$C467),"000"))</f>
        <v/>
      </c>
      <c r="C467" s="130"/>
      <c r="D467" s="66" t="str">
        <f aca="false">IFERROR(INDEX(定数マスタ!$C$6:$C$105,MATCH($C467,定数マスタ!$B$6:$B$105,0)),"")</f>
        <v/>
      </c>
      <c r="E467" s="131"/>
      <c r="F467" s="130"/>
      <c r="G467" s="66" t="str">
        <f aca="false">IFERROR(INDEX(商品マスタ!$C$6:$C$1005,MATCH($F467,商品マスタ!$B$6:$B$1005,0)),"")</f>
        <v/>
      </c>
      <c r="H467" s="66" t="str">
        <f aca="false">IFERROR(INDEX(商品マスタ!$E$6:$E$1005,MATCH($F467,商品マスタ!$B$6:$B$1005,0)),"")</f>
        <v/>
      </c>
      <c r="I467" s="69" t="str">
        <f aca="false">IFERROR(INDEX(商品マスタ!$F$6:$F$1005,MATCH($F467,商品マスタ!$B$6:$B$1005,0)),"")</f>
        <v/>
      </c>
      <c r="J467" s="69" t="str">
        <f aca="false">IF(OR($F467="",$C467&lt;&gt;'設定（最初に1回）'!$C$4),"",IFERROR(INDEX(発注計算!$Y$6:$Y$405,MATCH($F467,発注計算!$C$6:$C$405,0)),""))</f>
        <v/>
      </c>
      <c r="K467" s="70"/>
      <c r="L467" s="69" t="str">
        <f aca="false">IF($K467="","",N($K467)*N($I467))</f>
        <v/>
      </c>
      <c r="M467" s="71" t="str">
        <f aca="false">IFERROR(INDEX(商品マスタ!$G$6:$G$1005,MATCH($F467,商品マスタ!$B$6:$B$1005,0)),"")</f>
        <v/>
      </c>
      <c r="N467" s="71" t="str">
        <f aca="false">IF($K467="","",N($K467)*N($M467))</f>
        <v/>
      </c>
      <c r="O467" s="66" t="str">
        <f aca="false">IFERROR(INDEX(商品マスタ!$H$6:$H$1005,MATCH($F467,商品マスタ!$B$6:$B$1005,0)),"")</f>
        <v/>
      </c>
      <c r="P467" s="87" t="str">
        <f aca="false">IF(OR($E467="",$O467=""),"",WORKDAY($E467,$O467))</f>
        <v/>
      </c>
      <c r="Q467" s="80"/>
      <c r="R467" s="131"/>
      <c r="S467" s="69" t="n">
        <f aca="false">IF($Q467="入荷済み",N($L467),0)</f>
        <v>0</v>
      </c>
      <c r="T467" s="80"/>
      <c r="U467" s="80"/>
    </row>
    <row r="468" customFormat="false" ht="15" hidden="false" customHeight="false" outlineLevel="0" collapsed="false">
      <c r="B468" s="66" t="str">
        <f aca="false">IF(OR($E468="",$F468=""),"","PO-"&amp;TEXT($E468,"yyyymmdd")&amp;"-"&amp;TEXT(COUNTIFS($E$6:$E468,$E468,$C$6:$C468,$C468),"000"))</f>
        <v/>
      </c>
      <c r="C468" s="130"/>
      <c r="D468" s="66" t="str">
        <f aca="false">IFERROR(INDEX(定数マスタ!$C$6:$C$105,MATCH($C468,定数マスタ!$B$6:$B$105,0)),"")</f>
        <v/>
      </c>
      <c r="E468" s="131"/>
      <c r="F468" s="130"/>
      <c r="G468" s="66" t="str">
        <f aca="false">IFERROR(INDEX(商品マスタ!$C$6:$C$1005,MATCH($F468,商品マスタ!$B$6:$B$1005,0)),"")</f>
        <v/>
      </c>
      <c r="H468" s="66" t="str">
        <f aca="false">IFERROR(INDEX(商品マスタ!$E$6:$E$1005,MATCH($F468,商品マスタ!$B$6:$B$1005,0)),"")</f>
        <v/>
      </c>
      <c r="I468" s="69" t="str">
        <f aca="false">IFERROR(INDEX(商品マスタ!$F$6:$F$1005,MATCH($F468,商品マスタ!$B$6:$B$1005,0)),"")</f>
        <v/>
      </c>
      <c r="J468" s="69" t="str">
        <f aca="false">IF(OR($F468="",$C468&lt;&gt;'設定（最初に1回）'!$C$4),"",IFERROR(INDEX(発注計算!$Y$6:$Y$405,MATCH($F468,発注計算!$C$6:$C$405,0)),""))</f>
        <v/>
      </c>
      <c r="K468" s="70"/>
      <c r="L468" s="69" t="str">
        <f aca="false">IF($K468="","",N($K468)*N($I468))</f>
        <v/>
      </c>
      <c r="M468" s="71" t="str">
        <f aca="false">IFERROR(INDEX(商品マスタ!$G$6:$G$1005,MATCH($F468,商品マスタ!$B$6:$B$1005,0)),"")</f>
        <v/>
      </c>
      <c r="N468" s="71" t="str">
        <f aca="false">IF($K468="","",N($K468)*N($M468))</f>
        <v/>
      </c>
      <c r="O468" s="66" t="str">
        <f aca="false">IFERROR(INDEX(商品マスタ!$H$6:$H$1005,MATCH($F468,商品マスタ!$B$6:$B$1005,0)),"")</f>
        <v/>
      </c>
      <c r="P468" s="87" t="str">
        <f aca="false">IF(OR($E468="",$O468=""),"",WORKDAY($E468,$O468))</f>
        <v/>
      </c>
      <c r="Q468" s="80"/>
      <c r="R468" s="131"/>
      <c r="S468" s="69" t="n">
        <f aca="false">IF($Q468="入荷済み",N($L468),0)</f>
        <v>0</v>
      </c>
      <c r="T468" s="80"/>
      <c r="U468" s="80"/>
    </row>
    <row r="469" customFormat="false" ht="15" hidden="false" customHeight="false" outlineLevel="0" collapsed="false">
      <c r="B469" s="66" t="str">
        <f aca="false">IF(OR($E469="",$F469=""),"","PO-"&amp;TEXT($E469,"yyyymmdd")&amp;"-"&amp;TEXT(COUNTIFS($E$6:$E469,$E469,$C$6:$C469,$C469),"000"))</f>
        <v/>
      </c>
      <c r="C469" s="130"/>
      <c r="D469" s="66" t="str">
        <f aca="false">IFERROR(INDEX(定数マスタ!$C$6:$C$105,MATCH($C469,定数マスタ!$B$6:$B$105,0)),"")</f>
        <v/>
      </c>
      <c r="E469" s="131"/>
      <c r="F469" s="130"/>
      <c r="G469" s="66" t="str">
        <f aca="false">IFERROR(INDEX(商品マスタ!$C$6:$C$1005,MATCH($F469,商品マスタ!$B$6:$B$1005,0)),"")</f>
        <v/>
      </c>
      <c r="H469" s="66" t="str">
        <f aca="false">IFERROR(INDEX(商品マスタ!$E$6:$E$1005,MATCH($F469,商品マスタ!$B$6:$B$1005,0)),"")</f>
        <v/>
      </c>
      <c r="I469" s="69" t="str">
        <f aca="false">IFERROR(INDEX(商品マスタ!$F$6:$F$1005,MATCH($F469,商品マスタ!$B$6:$B$1005,0)),"")</f>
        <v/>
      </c>
      <c r="J469" s="69" t="str">
        <f aca="false">IF(OR($F469="",$C469&lt;&gt;'設定（最初に1回）'!$C$4),"",IFERROR(INDEX(発注計算!$Y$6:$Y$405,MATCH($F469,発注計算!$C$6:$C$405,0)),""))</f>
        <v/>
      </c>
      <c r="K469" s="70"/>
      <c r="L469" s="69" t="str">
        <f aca="false">IF($K469="","",N($K469)*N($I469))</f>
        <v/>
      </c>
      <c r="M469" s="71" t="str">
        <f aca="false">IFERROR(INDEX(商品マスタ!$G$6:$G$1005,MATCH($F469,商品マスタ!$B$6:$B$1005,0)),"")</f>
        <v/>
      </c>
      <c r="N469" s="71" t="str">
        <f aca="false">IF($K469="","",N($K469)*N($M469))</f>
        <v/>
      </c>
      <c r="O469" s="66" t="str">
        <f aca="false">IFERROR(INDEX(商品マスタ!$H$6:$H$1005,MATCH($F469,商品マスタ!$B$6:$B$1005,0)),"")</f>
        <v/>
      </c>
      <c r="P469" s="87" t="str">
        <f aca="false">IF(OR($E469="",$O469=""),"",WORKDAY($E469,$O469))</f>
        <v/>
      </c>
      <c r="Q469" s="80"/>
      <c r="R469" s="131"/>
      <c r="S469" s="69" t="n">
        <f aca="false">IF($Q469="入荷済み",N($L469),0)</f>
        <v>0</v>
      </c>
      <c r="T469" s="80"/>
      <c r="U469" s="80"/>
    </row>
    <row r="470" customFormat="false" ht="15" hidden="false" customHeight="false" outlineLevel="0" collapsed="false">
      <c r="B470" s="66" t="str">
        <f aca="false">IF(OR($E470="",$F470=""),"","PO-"&amp;TEXT($E470,"yyyymmdd")&amp;"-"&amp;TEXT(COUNTIFS($E$6:$E470,$E470,$C$6:$C470,$C470),"000"))</f>
        <v/>
      </c>
      <c r="C470" s="130"/>
      <c r="D470" s="66" t="str">
        <f aca="false">IFERROR(INDEX(定数マスタ!$C$6:$C$105,MATCH($C470,定数マスタ!$B$6:$B$105,0)),"")</f>
        <v/>
      </c>
      <c r="E470" s="131"/>
      <c r="F470" s="130"/>
      <c r="G470" s="66" t="str">
        <f aca="false">IFERROR(INDEX(商品マスタ!$C$6:$C$1005,MATCH($F470,商品マスタ!$B$6:$B$1005,0)),"")</f>
        <v/>
      </c>
      <c r="H470" s="66" t="str">
        <f aca="false">IFERROR(INDEX(商品マスタ!$E$6:$E$1005,MATCH($F470,商品マスタ!$B$6:$B$1005,0)),"")</f>
        <v/>
      </c>
      <c r="I470" s="69" t="str">
        <f aca="false">IFERROR(INDEX(商品マスタ!$F$6:$F$1005,MATCH($F470,商品マスタ!$B$6:$B$1005,0)),"")</f>
        <v/>
      </c>
      <c r="J470" s="69" t="str">
        <f aca="false">IF(OR($F470="",$C470&lt;&gt;'設定（最初に1回）'!$C$4),"",IFERROR(INDEX(発注計算!$Y$6:$Y$405,MATCH($F470,発注計算!$C$6:$C$405,0)),""))</f>
        <v/>
      </c>
      <c r="K470" s="70"/>
      <c r="L470" s="69" t="str">
        <f aca="false">IF($K470="","",N($K470)*N($I470))</f>
        <v/>
      </c>
      <c r="M470" s="71" t="str">
        <f aca="false">IFERROR(INDEX(商品マスタ!$G$6:$G$1005,MATCH($F470,商品マスタ!$B$6:$B$1005,0)),"")</f>
        <v/>
      </c>
      <c r="N470" s="71" t="str">
        <f aca="false">IF($K470="","",N($K470)*N($M470))</f>
        <v/>
      </c>
      <c r="O470" s="66" t="str">
        <f aca="false">IFERROR(INDEX(商品マスタ!$H$6:$H$1005,MATCH($F470,商品マスタ!$B$6:$B$1005,0)),"")</f>
        <v/>
      </c>
      <c r="P470" s="87" t="str">
        <f aca="false">IF(OR($E470="",$O470=""),"",WORKDAY($E470,$O470))</f>
        <v/>
      </c>
      <c r="Q470" s="80"/>
      <c r="R470" s="131"/>
      <c r="S470" s="69" t="n">
        <f aca="false">IF($Q470="入荷済み",N($L470),0)</f>
        <v>0</v>
      </c>
      <c r="T470" s="80"/>
      <c r="U470" s="80"/>
    </row>
    <row r="471" customFormat="false" ht="15" hidden="false" customHeight="false" outlineLevel="0" collapsed="false">
      <c r="B471" s="66" t="str">
        <f aca="false">IF(OR($E471="",$F471=""),"","PO-"&amp;TEXT($E471,"yyyymmdd")&amp;"-"&amp;TEXT(COUNTIFS($E$6:$E471,$E471,$C$6:$C471,$C471),"000"))</f>
        <v/>
      </c>
      <c r="C471" s="130"/>
      <c r="D471" s="66" t="str">
        <f aca="false">IFERROR(INDEX(定数マスタ!$C$6:$C$105,MATCH($C471,定数マスタ!$B$6:$B$105,0)),"")</f>
        <v/>
      </c>
      <c r="E471" s="131"/>
      <c r="F471" s="130"/>
      <c r="G471" s="66" t="str">
        <f aca="false">IFERROR(INDEX(商品マスタ!$C$6:$C$1005,MATCH($F471,商品マスタ!$B$6:$B$1005,0)),"")</f>
        <v/>
      </c>
      <c r="H471" s="66" t="str">
        <f aca="false">IFERROR(INDEX(商品マスタ!$E$6:$E$1005,MATCH($F471,商品マスタ!$B$6:$B$1005,0)),"")</f>
        <v/>
      </c>
      <c r="I471" s="69" t="str">
        <f aca="false">IFERROR(INDEX(商品マスタ!$F$6:$F$1005,MATCH($F471,商品マスタ!$B$6:$B$1005,0)),"")</f>
        <v/>
      </c>
      <c r="J471" s="69" t="str">
        <f aca="false">IF(OR($F471="",$C471&lt;&gt;'設定（最初に1回）'!$C$4),"",IFERROR(INDEX(発注計算!$Y$6:$Y$405,MATCH($F471,発注計算!$C$6:$C$405,0)),""))</f>
        <v/>
      </c>
      <c r="K471" s="70"/>
      <c r="L471" s="69" t="str">
        <f aca="false">IF($K471="","",N($K471)*N($I471))</f>
        <v/>
      </c>
      <c r="M471" s="71" t="str">
        <f aca="false">IFERROR(INDEX(商品マスタ!$G$6:$G$1005,MATCH($F471,商品マスタ!$B$6:$B$1005,0)),"")</f>
        <v/>
      </c>
      <c r="N471" s="71" t="str">
        <f aca="false">IF($K471="","",N($K471)*N($M471))</f>
        <v/>
      </c>
      <c r="O471" s="66" t="str">
        <f aca="false">IFERROR(INDEX(商品マスタ!$H$6:$H$1005,MATCH($F471,商品マスタ!$B$6:$B$1005,0)),"")</f>
        <v/>
      </c>
      <c r="P471" s="87" t="str">
        <f aca="false">IF(OR($E471="",$O471=""),"",WORKDAY($E471,$O471))</f>
        <v/>
      </c>
      <c r="Q471" s="80"/>
      <c r="R471" s="131"/>
      <c r="S471" s="69" t="n">
        <f aca="false">IF($Q471="入荷済み",N($L471),0)</f>
        <v>0</v>
      </c>
      <c r="T471" s="80"/>
      <c r="U471" s="80"/>
    </row>
    <row r="472" customFormat="false" ht="15" hidden="false" customHeight="false" outlineLevel="0" collapsed="false">
      <c r="B472" s="66" t="str">
        <f aca="false">IF(OR($E472="",$F472=""),"","PO-"&amp;TEXT($E472,"yyyymmdd")&amp;"-"&amp;TEXT(COUNTIFS($E$6:$E472,$E472,$C$6:$C472,$C472),"000"))</f>
        <v/>
      </c>
      <c r="C472" s="130"/>
      <c r="D472" s="66" t="str">
        <f aca="false">IFERROR(INDEX(定数マスタ!$C$6:$C$105,MATCH($C472,定数マスタ!$B$6:$B$105,0)),"")</f>
        <v/>
      </c>
      <c r="E472" s="131"/>
      <c r="F472" s="130"/>
      <c r="G472" s="66" t="str">
        <f aca="false">IFERROR(INDEX(商品マスタ!$C$6:$C$1005,MATCH($F472,商品マスタ!$B$6:$B$1005,0)),"")</f>
        <v/>
      </c>
      <c r="H472" s="66" t="str">
        <f aca="false">IFERROR(INDEX(商品マスタ!$E$6:$E$1005,MATCH($F472,商品マスタ!$B$6:$B$1005,0)),"")</f>
        <v/>
      </c>
      <c r="I472" s="69" t="str">
        <f aca="false">IFERROR(INDEX(商品マスタ!$F$6:$F$1005,MATCH($F472,商品マスタ!$B$6:$B$1005,0)),"")</f>
        <v/>
      </c>
      <c r="J472" s="69" t="str">
        <f aca="false">IF(OR($F472="",$C472&lt;&gt;'設定（最初に1回）'!$C$4),"",IFERROR(INDEX(発注計算!$Y$6:$Y$405,MATCH($F472,発注計算!$C$6:$C$405,0)),""))</f>
        <v/>
      </c>
      <c r="K472" s="70"/>
      <c r="L472" s="69" t="str">
        <f aca="false">IF($K472="","",N($K472)*N($I472))</f>
        <v/>
      </c>
      <c r="M472" s="71" t="str">
        <f aca="false">IFERROR(INDEX(商品マスタ!$G$6:$G$1005,MATCH($F472,商品マスタ!$B$6:$B$1005,0)),"")</f>
        <v/>
      </c>
      <c r="N472" s="71" t="str">
        <f aca="false">IF($K472="","",N($K472)*N($M472))</f>
        <v/>
      </c>
      <c r="O472" s="66" t="str">
        <f aca="false">IFERROR(INDEX(商品マスタ!$H$6:$H$1005,MATCH($F472,商品マスタ!$B$6:$B$1005,0)),"")</f>
        <v/>
      </c>
      <c r="P472" s="87" t="str">
        <f aca="false">IF(OR($E472="",$O472=""),"",WORKDAY($E472,$O472))</f>
        <v/>
      </c>
      <c r="Q472" s="80"/>
      <c r="R472" s="131"/>
      <c r="S472" s="69" t="n">
        <f aca="false">IF($Q472="入荷済み",N($L472),0)</f>
        <v>0</v>
      </c>
      <c r="T472" s="80"/>
      <c r="U472" s="80"/>
    </row>
    <row r="473" customFormat="false" ht="15" hidden="false" customHeight="false" outlineLevel="0" collapsed="false">
      <c r="B473" s="66" t="str">
        <f aca="false">IF(OR($E473="",$F473=""),"","PO-"&amp;TEXT($E473,"yyyymmdd")&amp;"-"&amp;TEXT(COUNTIFS($E$6:$E473,$E473,$C$6:$C473,$C473),"000"))</f>
        <v/>
      </c>
      <c r="C473" s="130"/>
      <c r="D473" s="66" t="str">
        <f aca="false">IFERROR(INDEX(定数マスタ!$C$6:$C$105,MATCH($C473,定数マスタ!$B$6:$B$105,0)),"")</f>
        <v/>
      </c>
      <c r="E473" s="131"/>
      <c r="F473" s="130"/>
      <c r="G473" s="66" t="str">
        <f aca="false">IFERROR(INDEX(商品マスタ!$C$6:$C$1005,MATCH($F473,商品マスタ!$B$6:$B$1005,0)),"")</f>
        <v/>
      </c>
      <c r="H473" s="66" t="str">
        <f aca="false">IFERROR(INDEX(商品マスタ!$E$6:$E$1005,MATCH($F473,商品マスタ!$B$6:$B$1005,0)),"")</f>
        <v/>
      </c>
      <c r="I473" s="69" t="str">
        <f aca="false">IFERROR(INDEX(商品マスタ!$F$6:$F$1005,MATCH($F473,商品マスタ!$B$6:$B$1005,0)),"")</f>
        <v/>
      </c>
      <c r="J473" s="69" t="str">
        <f aca="false">IF(OR($F473="",$C473&lt;&gt;'設定（最初に1回）'!$C$4),"",IFERROR(INDEX(発注計算!$Y$6:$Y$405,MATCH($F473,発注計算!$C$6:$C$405,0)),""))</f>
        <v/>
      </c>
      <c r="K473" s="70"/>
      <c r="L473" s="69" t="str">
        <f aca="false">IF($K473="","",N($K473)*N($I473))</f>
        <v/>
      </c>
      <c r="M473" s="71" t="str">
        <f aca="false">IFERROR(INDEX(商品マスタ!$G$6:$G$1005,MATCH($F473,商品マスタ!$B$6:$B$1005,0)),"")</f>
        <v/>
      </c>
      <c r="N473" s="71" t="str">
        <f aca="false">IF($K473="","",N($K473)*N($M473))</f>
        <v/>
      </c>
      <c r="O473" s="66" t="str">
        <f aca="false">IFERROR(INDEX(商品マスタ!$H$6:$H$1005,MATCH($F473,商品マスタ!$B$6:$B$1005,0)),"")</f>
        <v/>
      </c>
      <c r="P473" s="87" t="str">
        <f aca="false">IF(OR($E473="",$O473=""),"",WORKDAY($E473,$O473))</f>
        <v/>
      </c>
      <c r="Q473" s="80"/>
      <c r="R473" s="131"/>
      <c r="S473" s="69" t="n">
        <f aca="false">IF($Q473="入荷済み",N($L473),0)</f>
        <v>0</v>
      </c>
      <c r="T473" s="80"/>
      <c r="U473" s="80"/>
    </row>
    <row r="474" customFormat="false" ht="15" hidden="false" customHeight="false" outlineLevel="0" collapsed="false">
      <c r="B474" s="66" t="str">
        <f aca="false">IF(OR($E474="",$F474=""),"","PO-"&amp;TEXT($E474,"yyyymmdd")&amp;"-"&amp;TEXT(COUNTIFS($E$6:$E474,$E474,$C$6:$C474,$C474),"000"))</f>
        <v/>
      </c>
      <c r="C474" s="130"/>
      <c r="D474" s="66" t="str">
        <f aca="false">IFERROR(INDEX(定数マスタ!$C$6:$C$105,MATCH($C474,定数マスタ!$B$6:$B$105,0)),"")</f>
        <v/>
      </c>
      <c r="E474" s="131"/>
      <c r="F474" s="130"/>
      <c r="G474" s="66" t="str">
        <f aca="false">IFERROR(INDEX(商品マスタ!$C$6:$C$1005,MATCH($F474,商品マスタ!$B$6:$B$1005,0)),"")</f>
        <v/>
      </c>
      <c r="H474" s="66" t="str">
        <f aca="false">IFERROR(INDEX(商品マスタ!$E$6:$E$1005,MATCH($F474,商品マスタ!$B$6:$B$1005,0)),"")</f>
        <v/>
      </c>
      <c r="I474" s="69" t="str">
        <f aca="false">IFERROR(INDEX(商品マスタ!$F$6:$F$1005,MATCH($F474,商品マスタ!$B$6:$B$1005,0)),"")</f>
        <v/>
      </c>
      <c r="J474" s="69" t="str">
        <f aca="false">IF(OR($F474="",$C474&lt;&gt;'設定（最初に1回）'!$C$4),"",IFERROR(INDEX(発注計算!$Y$6:$Y$405,MATCH($F474,発注計算!$C$6:$C$405,0)),""))</f>
        <v/>
      </c>
      <c r="K474" s="70"/>
      <c r="L474" s="69" t="str">
        <f aca="false">IF($K474="","",N($K474)*N($I474))</f>
        <v/>
      </c>
      <c r="M474" s="71" t="str">
        <f aca="false">IFERROR(INDEX(商品マスタ!$G$6:$G$1005,MATCH($F474,商品マスタ!$B$6:$B$1005,0)),"")</f>
        <v/>
      </c>
      <c r="N474" s="71" t="str">
        <f aca="false">IF($K474="","",N($K474)*N($M474))</f>
        <v/>
      </c>
      <c r="O474" s="66" t="str">
        <f aca="false">IFERROR(INDEX(商品マスタ!$H$6:$H$1005,MATCH($F474,商品マスタ!$B$6:$B$1005,0)),"")</f>
        <v/>
      </c>
      <c r="P474" s="87" t="str">
        <f aca="false">IF(OR($E474="",$O474=""),"",WORKDAY($E474,$O474))</f>
        <v/>
      </c>
      <c r="Q474" s="80"/>
      <c r="R474" s="131"/>
      <c r="S474" s="69" t="n">
        <f aca="false">IF($Q474="入荷済み",N($L474),0)</f>
        <v>0</v>
      </c>
      <c r="T474" s="80"/>
      <c r="U474" s="80"/>
    </row>
    <row r="475" customFormat="false" ht="15" hidden="false" customHeight="false" outlineLevel="0" collapsed="false">
      <c r="B475" s="66" t="str">
        <f aca="false">IF(OR($E475="",$F475=""),"","PO-"&amp;TEXT($E475,"yyyymmdd")&amp;"-"&amp;TEXT(COUNTIFS($E$6:$E475,$E475,$C$6:$C475,$C475),"000"))</f>
        <v/>
      </c>
      <c r="C475" s="130"/>
      <c r="D475" s="66" t="str">
        <f aca="false">IFERROR(INDEX(定数マスタ!$C$6:$C$105,MATCH($C475,定数マスタ!$B$6:$B$105,0)),"")</f>
        <v/>
      </c>
      <c r="E475" s="131"/>
      <c r="F475" s="130"/>
      <c r="G475" s="66" t="str">
        <f aca="false">IFERROR(INDEX(商品マスタ!$C$6:$C$1005,MATCH($F475,商品マスタ!$B$6:$B$1005,0)),"")</f>
        <v/>
      </c>
      <c r="H475" s="66" t="str">
        <f aca="false">IFERROR(INDEX(商品マスタ!$E$6:$E$1005,MATCH($F475,商品マスタ!$B$6:$B$1005,0)),"")</f>
        <v/>
      </c>
      <c r="I475" s="69" t="str">
        <f aca="false">IFERROR(INDEX(商品マスタ!$F$6:$F$1005,MATCH($F475,商品マスタ!$B$6:$B$1005,0)),"")</f>
        <v/>
      </c>
      <c r="J475" s="69" t="str">
        <f aca="false">IF(OR($F475="",$C475&lt;&gt;'設定（最初に1回）'!$C$4),"",IFERROR(INDEX(発注計算!$Y$6:$Y$405,MATCH($F475,発注計算!$C$6:$C$405,0)),""))</f>
        <v/>
      </c>
      <c r="K475" s="70"/>
      <c r="L475" s="69" t="str">
        <f aca="false">IF($K475="","",N($K475)*N($I475))</f>
        <v/>
      </c>
      <c r="M475" s="71" t="str">
        <f aca="false">IFERROR(INDEX(商品マスタ!$G$6:$G$1005,MATCH($F475,商品マスタ!$B$6:$B$1005,0)),"")</f>
        <v/>
      </c>
      <c r="N475" s="71" t="str">
        <f aca="false">IF($K475="","",N($K475)*N($M475))</f>
        <v/>
      </c>
      <c r="O475" s="66" t="str">
        <f aca="false">IFERROR(INDEX(商品マスタ!$H$6:$H$1005,MATCH($F475,商品マスタ!$B$6:$B$1005,0)),"")</f>
        <v/>
      </c>
      <c r="P475" s="87" t="str">
        <f aca="false">IF(OR($E475="",$O475=""),"",WORKDAY($E475,$O475))</f>
        <v/>
      </c>
      <c r="Q475" s="80"/>
      <c r="R475" s="131"/>
      <c r="S475" s="69" t="n">
        <f aca="false">IF($Q475="入荷済み",N($L475),0)</f>
        <v>0</v>
      </c>
      <c r="T475" s="80"/>
      <c r="U475" s="80"/>
    </row>
    <row r="476" customFormat="false" ht="15" hidden="false" customHeight="false" outlineLevel="0" collapsed="false">
      <c r="B476" s="66" t="str">
        <f aca="false">IF(OR($E476="",$F476=""),"","PO-"&amp;TEXT($E476,"yyyymmdd")&amp;"-"&amp;TEXT(COUNTIFS($E$6:$E476,$E476,$C$6:$C476,$C476),"000"))</f>
        <v/>
      </c>
      <c r="C476" s="130"/>
      <c r="D476" s="66" t="str">
        <f aca="false">IFERROR(INDEX(定数マスタ!$C$6:$C$105,MATCH($C476,定数マスタ!$B$6:$B$105,0)),"")</f>
        <v/>
      </c>
      <c r="E476" s="131"/>
      <c r="F476" s="130"/>
      <c r="G476" s="66" t="str">
        <f aca="false">IFERROR(INDEX(商品マスタ!$C$6:$C$1005,MATCH($F476,商品マスタ!$B$6:$B$1005,0)),"")</f>
        <v/>
      </c>
      <c r="H476" s="66" t="str">
        <f aca="false">IFERROR(INDEX(商品マスタ!$E$6:$E$1005,MATCH($F476,商品マスタ!$B$6:$B$1005,0)),"")</f>
        <v/>
      </c>
      <c r="I476" s="69" t="str">
        <f aca="false">IFERROR(INDEX(商品マスタ!$F$6:$F$1005,MATCH($F476,商品マスタ!$B$6:$B$1005,0)),"")</f>
        <v/>
      </c>
      <c r="J476" s="69" t="str">
        <f aca="false">IF(OR($F476="",$C476&lt;&gt;'設定（最初に1回）'!$C$4),"",IFERROR(INDEX(発注計算!$Y$6:$Y$405,MATCH($F476,発注計算!$C$6:$C$405,0)),""))</f>
        <v/>
      </c>
      <c r="K476" s="70"/>
      <c r="L476" s="69" t="str">
        <f aca="false">IF($K476="","",N($K476)*N($I476))</f>
        <v/>
      </c>
      <c r="M476" s="71" t="str">
        <f aca="false">IFERROR(INDEX(商品マスタ!$G$6:$G$1005,MATCH($F476,商品マスタ!$B$6:$B$1005,0)),"")</f>
        <v/>
      </c>
      <c r="N476" s="71" t="str">
        <f aca="false">IF($K476="","",N($K476)*N($M476))</f>
        <v/>
      </c>
      <c r="O476" s="66" t="str">
        <f aca="false">IFERROR(INDEX(商品マスタ!$H$6:$H$1005,MATCH($F476,商品マスタ!$B$6:$B$1005,0)),"")</f>
        <v/>
      </c>
      <c r="P476" s="87" t="str">
        <f aca="false">IF(OR($E476="",$O476=""),"",WORKDAY($E476,$O476))</f>
        <v/>
      </c>
      <c r="Q476" s="80"/>
      <c r="R476" s="131"/>
      <c r="S476" s="69" t="n">
        <f aca="false">IF($Q476="入荷済み",N($L476),0)</f>
        <v>0</v>
      </c>
      <c r="T476" s="80"/>
      <c r="U476" s="80"/>
    </row>
    <row r="477" customFormat="false" ht="15" hidden="false" customHeight="false" outlineLevel="0" collapsed="false">
      <c r="B477" s="66" t="str">
        <f aca="false">IF(OR($E477="",$F477=""),"","PO-"&amp;TEXT($E477,"yyyymmdd")&amp;"-"&amp;TEXT(COUNTIFS($E$6:$E477,$E477,$C$6:$C477,$C477),"000"))</f>
        <v/>
      </c>
      <c r="C477" s="130"/>
      <c r="D477" s="66" t="str">
        <f aca="false">IFERROR(INDEX(定数マスタ!$C$6:$C$105,MATCH($C477,定数マスタ!$B$6:$B$105,0)),"")</f>
        <v/>
      </c>
      <c r="E477" s="131"/>
      <c r="F477" s="130"/>
      <c r="G477" s="66" t="str">
        <f aca="false">IFERROR(INDEX(商品マスタ!$C$6:$C$1005,MATCH($F477,商品マスタ!$B$6:$B$1005,0)),"")</f>
        <v/>
      </c>
      <c r="H477" s="66" t="str">
        <f aca="false">IFERROR(INDEX(商品マスタ!$E$6:$E$1005,MATCH($F477,商品マスタ!$B$6:$B$1005,0)),"")</f>
        <v/>
      </c>
      <c r="I477" s="69" t="str">
        <f aca="false">IFERROR(INDEX(商品マスタ!$F$6:$F$1005,MATCH($F477,商品マスタ!$B$6:$B$1005,0)),"")</f>
        <v/>
      </c>
      <c r="J477" s="69" t="str">
        <f aca="false">IF(OR($F477="",$C477&lt;&gt;'設定（最初に1回）'!$C$4),"",IFERROR(INDEX(発注計算!$Y$6:$Y$405,MATCH($F477,発注計算!$C$6:$C$405,0)),""))</f>
        <v/>
      </c>
      <c r="K477" s="70"/>
      <c r="L477" s="69" t="str">
        <f aca="false">IF($K477="","",N($K477)*N($I477))</f>
        <v/>
      </c>
      <c r="M477" s="71" t="str">
        <f aca="false">IFERROR(INDEX(商品マスタ!$G$6:$G$1005,MATCH($F477,商品マスタ!$B$6:$B$1005,0)),"")</f>
        <v/>
      </c>
      <c r="N477" s="71" t="str">
        <f aca="false">IF($K477="","",N($K477)*N($M477))</f>
        <v/>
      </c>
      <c r="O477" s="66" t="str">
        <f aca="false">IFERROR(INDEX(商品マスタ!$H$6:$H$1005,MATCH($F477,商品マスタ!$B$6:$B$1005,0)),"")</f>
        <v/>
      </c>
      <c r="P477" s="87" t="str">
        <f aca="false">IF(OR($E477="",$O477=""),"",WORKDAY($E477,$O477))</f>
        <v/>
      </c>
      <c r="Q477" s="80"/>
      <c r="R477" s="131"/>
      <c r="S477" s="69" t="n">
        <f aca="false">IF($Q477="入荷済み",N($L477),0)</f>
        <v>0</v>
      </c>
      <c r="T477" s="80"/>
      <c r="U477" s="80"/>
    </row>
    <row r="478" customFormat="false" ht="15" hidden="false" customHeight="false" outlineLevel="0" collapsed="false">
      <c r="B478" s="66" t="str">
        <f aca="false">IF(OR($E478="",$F478=""),"","PO-"&amp;TEXT($E478,"yyyymmdd")&amp;"-"&amp;TEXT(COUNTIFS($E$6:$E478,$E478,$C$6:$C478,$C478),"000"))</f>
        <v/>
      </c>
      <c r="C478" s="130"/>
      <c r="D478" s="66" t="str">
        <f aca="false">IFERROR(INDEX(定数マスタ!$C$6:$C$105,MATCH($C478,定数マスタ!$B$6:$B$105,0)),"")</f>
        <v/>
      </c>
      <c r="E478" s="131"/>
      <c r="F478" s="130"/>
      <c r="G478" s="66" t="str">
        <f aca="false">IFERROR(INDEX(商品マスタ!$C$6:$C$1005,MATCH($F478,商品マスタ!$B$6:$B$1005,0)),"")</f>
        <v/>
      </c>
      <c r="H478" s="66" t="str">
        <f aca="false">IFERROR(INDEX(商品マスタ!$E$6:$E$1005,MATCH($F478,商品マスタ!$B$6:$B$1005,0)),"")</f>
        <v/>
      </c>
      <c r="I478" s="69" t="str">
        <f aca="false">IFERROR(INDEX(商品マスタ!$F$6:$F$1005,MATCH($F478,商品マスタ!$B$6:$B$1005,0)),"")</f>
        <v/>
      </c>
      <c r="J478" s="69" t="str">
        <f aca="false">IF(OR($F478="",$C478&lt;&gt;'設定（最初に1回）'!$C$4),"",IFERROR(INDEX(発注計算!$Y$6:$Y$405,MATCH($F478,発注計算!$C$6:$C$405,0)),""))</f>
        <v/>
      </c>
      <c r="K478" s="70"/>
      <c r="L478" s="69" t="str">
        <f aca="false">IF($K478="","",N($K478)*N($I478))</f>
        <v/>
      </c>
      <c r="M478" s="71" t="str">
        <f aca="false">IFERROR(INDEX(商品マスタ!$G$6:$G$1005,MATCH($F478,商品マスタ!$B$6:$B$1005,0)),"")</f>
        <v/>
      </c>
      <c r="N478" s="71" t="str">
        <f aca="false">IF($K478="","",N($K478)*N($M478))</f>
        <v/>
      </c>
      <c r="O478" s="66" t="str">
        <f aca="false">IFERROR(INDEX(商品マスタ!$H$6:$H$1005,MATCH($F478,商品マスタ!$B$6:$B$1005,0)),"")</f>
        <v/>
      </c>
      <c r="P478" s="87" t="str">
        <f aca="false">IF(OR($E478="",$O478=""),"",WORKDAY($E478,$O478))</f>
        <v/>
      </c>
      <c r="Q478" s="80"/>
      <c r="R478" s="131"/>
      <c r="S478" s="69" t="n">
        <f aca="false">IF($Q478="入荷済み",N($L478),0)</f>
        <v>0</v>
      </c>
      <c r="T478" s="80"/>
      <c r="U478" s="80"/>
    </row>
    <row r="479" customFormat="false" ht="15" hidden="false" customHeight="false" outlineLevel="0" collapsed="false">
      <c r="B479" s="66" t="str">
        <f aca="false">IF(OR($E479="",$F479=""),"","PO-"&amp;TEXT($E479,"yyyymmdd")&amp;"-"&amp;TEXT(COUNTIFS($E$6:$E479,$E479,$C$6:$C479,$C479),"000"))</f>
        <v/>
      </c>
      <c r="C479" s="130"/>
      <c r="D479" s="66" t="str">
        <f aca="false">IFERROR(INDEX(定数マスタ!$C$6:$C$105,MATCH($C479,定数マスタ!$B$6:$B$105,0)),"")</f>
        <v/>
      </c>
      <c r="E479" s="131"/>
      <c r="F479" s="130"/>
      <c r="G479" s="66" t="str">
        <f aca="false">IFERROR(INDEX(商品マスタ!$C$6:$C$1005,MATCH($F479,商品マスタ!$B$6:$B$1005,0)),"")</f>
        <v/>
      </c>
      <c r="H479" s="66" t="str">
        <f aca="false">IFERROR(INDEX(商品マスタ!$E$6:$E$1005,MATCH($F479,商品マスタ!$B$6:$B$1005,0)),"")</f>
        <v/>
      </c>
      <c r="I479" s="69" t="str">
        <f aca="false">IFERROR(INDEX(商品マスタ!$F$6:$F$1005,MATCH($F479,商品マスタ!$B$6:$B$1005,0)),"")</f>
        <v/>
      </c>
      <c r="J479" s="69" t="str">
        <f aca="false">IF(OR($F479="",$C479&lt;&gt;'設定（最初に1回）'!$C$4),"",IFERROR(INDEX(発注計算!$Y$6:$Y$405,MATCH($F479,発注計算!$C$6:$C$405,0)),""))</f>
        <v/>
      </c>
      <c r="K479" s="70"/>
      <c r="L479" s="69" t="str">
        <f aca="false">IF($K479="","",N($K479)*N($I479))</f>
        <v/>
      </c>
      <c r="M479" s="71" t="str">
        <f aca="false">IFERROR(INDEX(商品マスタ!$G$6:$G$1005,MATCH($F479,商品マスタ!$B$6:$B$1005,0)),"")</f>
        <v/>
      </c>
      <c r="N479" s="71" t="str">
        <f aca="false">IF($K479="","",N($K479)*N($M479))</f>
        <v/>
      </c>
      <c r="O479" s="66" t="str">
        <f aca="false">IFERROR(INDEX(商品マスタ!$H$6:$H$1005,MATCH($F479,商品マスタ!$B$6:$B$1005,0)),"")</f>
        <v/>
      </c>
      <c r="P479" s="87" t="str">
        <f aca="false">IF(OR($E479="",$O479=""),"",WORKDAY($E479,$O479))</f>
        <v/>
      </c>
      <c r="Q479" s="80"/>
      <c r="R479" s="131"/>
      <c r="S479" s="69" t="n">
        <f aca="false">IF($Q479="入荷済み",N($L479),0)</f>
        <v>0</v>
      </c>
      <c r="T479" s="80"/>
      <c r="U479" s="80"/>
    </row>
    <row r="480" customFormat="false" ht="15" hidden="false" customHeight="false" outlineLevel="0" collapsed="false">
      <c r="B480" s="66" t="str">
        <f aca="false">IF(OR($E480="",$F480=""),"","PO-"&amp;TEXT($E480,"yyyymmdd")&amp;"-"&amp;TEXT(COUNTIFS($E$6:$E480,$E480,$C$6:$C480,$C480),"000"))</f>
        <v/>
      </c>
      <c r="C480" s="130"/>
      <c r="D480" s="66" t="str">
        <f aca="false">IFERROR(INDEX(定数マスタ!$C$6:$C$105,MATCH($C480,定数マスタ!$B$6:$B$105,0)),"")</f>
        <v/>
      </c>
      <c r="E480" s="131"/>
      <c r="F480" s="130"/>
      <c r="G480" s="66" t="str">
        <f aca="false">IFERROR(INDEX(商品マスタ!$C$6:$C$1005,MATCH($F480,商品マスタ!$B$6:$B$1005,0)),"")</f>
        <v/>
      </c>
      <c r="H480" s="66" t="str">
        <f aca="false">IFERROR(INDEX(商品マスタ!$E$6:$E$1005,MATCH($F480,商品マスタ!$B$6:$B$1005,0)),"")</f>
        <v/>
      </c>
      <c r="I480" s="69" t="str">
        <f aca="false">IFERROR(INDEX(商品マスタ!$F$6:$F$1005,MATCH($F480,商品マスタ!$B$6:$B$1005,0)),"")</f>
        <v/>
      </c>
      <c r="J480" s="69" t="str">
        <f aca="false">IF(OR($F480="",$C480&lt;&gt;'設定（最初に1回）'!$C$4),"",IFERROR(INDEX(発注計算!$Y$6:$Y$405,MATCH($F480,発注計算!$C$6:$C$405,0)),""))</f>
        <v/>
      </c>
      <c r="K480" s="70"/>
      <c r="L480" s="69" t="str">
        <f aca="false">IF($K480="","",N($K480)*N($I480))</f>
        <v/>
      </c>
      <c r="M480" s="71" t="str">
        <f aca="false">IFERROR(INDEX(商品マスタ!$G$6:$G$1005,MATCH($F480,商品マスタ!$B$6:$B$1005,0)),"")</f>
        <v/>
      </c>
      <c r="N480" s="71" t="str">
        <f aca="false">IF($K480="","",N($K480)*N($M480))</f>
        <v/>
      </c>
      <c r="O480" s="66" t="str">
        <f aca="false">IFERROR(INDEX(商品マスタ!$H$6:$H$1005,MATCH($F480,商品マスタ!$B$6:$B$1005,0)),"")</f>
        <v/>
      </c>
      <c r="P480" s="87" t="str">
        <f aca="false">IF(OR($E480="",$O480=""),"",WORKDAY($E480,$O480))</f>
        <v/>
      </c>
      <c r="Q480" s="80"/>
      <c r="R480" s="131"/>
      <c r="S480" s="69" t="n">
        <f aca="false">IF($Q480="入荷済み",N($L480),0)</f>
        <v>0</v>
      </c>
      <c r="T480" s="80"/>
      <c r="U480" s="80"/>
    </row>
    <row r="481" customFormat="false" ht="15" hidden="false" customHeight="false" outlineLevel="0" collapsed="false">
      <c r="B481" s="66" t="str">
        <f aca="false">IF(OR($E481="",$F481=""),"","PO-"&amp;TEXT($E481,"yyyymmdd")&amp;"-"&amp;TEXT(COUNTIFS($E$6:$E481,$E481,$C$6:$C481,$C481),"000"))</f>
        <v/>
      </c>
      <c r="C481" s="130"/>
      <c r="D481" s="66" t="str">
        <f aca="false">IFERROR(INDEX(定数マスタ!$C$6:$C$105,MATCH($C481,定数マスタ!$B$6:$B$105,0)),"")</f>
        <v/>
      </c>
      <c r="E481" s="131"/>
      <c r="F481" s="130"/>
      <c r="G481" s="66" t="str">
        <f aca="false">IFERROR(INDEX(商品マスタ!$C$6:$C$1005,MATCH($F481,商品マスタ!$B$6:$B$1005,0)),"")</f>
        <v/>
      </c>
      <c r="H481" s="66" t="str">
        <f aca="false">IFERROR(INDEX(商品マスタ!$E$6:$E$1005,MATCH($F481,商品マスタ!$B$6:$B$1005,0)),"")</f>
        <v/>
      </c>
      <c r="I481" s="69" t="str">
        <f aca="false">IFERROR(INDEX(商品マスタ!$F$6:$F$1005,MATCH($F481,商品マスタ!$B$6:$B$1005,0)),"")</f>
        <v/>
      </c>
      <c r="J481" s="69" t="str">
        <f aca="false">IF(OR($F481="",$C481&lt;&gt;'設定（最初に1回）'!$C$4),"",IFERROR(INDEX(発注計算!$Y$6:$Y$405,MATCH($F481,発注計算!$C$6:$C$405,0)),""))</f>
        <v/>
      </c>
      <c r="K481" s="70"/>
      <c r="L481" s="69" t="str">
        <f aca="false">IF($K481="","",N($K481)*N($I481))</f>
        <v/>
      </c>
      <c r="M481" s="71" t="str">
        <f aca="false">IFERROR(INDEX(商品マスタ!$G$6:$G$1005,MATCH($F481,商品マスタ!$B$6:$B$1005,0)),"")</f>
        <v/>
      </c>
      <c r="N481" s="71" t="str">
        <f aca="false">IF($K481="","",N($K481)*N($M481))</f>
        <v/>
      </c>
      <c r="O481" s="66" t="str">
        <f aca="false">IFERROR(INDEX(商品マスタ!$H$6:$H$1005,MATCH($F481,商品マスタ!$B$6:$B$1005,0)),"")</f>
        <v/>
      </c>
      <c r="P481" s="87" t="str">
        <f aca="false">IF(OR($E481="",$O481=""),"",WORKDAY($E481,$O481))</f>
        <v/>
      </c>
      <c r="Q481" s="80"/>
      <c r="R481" s="131"/>
      <c r="S481" s="69" t="n">
        <f aca="false">IF($Q481="入荷済み",N($L481),0)</f>
        <v>0</v>
      </c>
      <c r="T481" s="80"/>
      <c r="U481" s="80"/>
    </row>
    <row r="482" customFormat="false" ht="15" hidden="false" customHeight="false" outlineLevel="0" collapsed="false">
      <c r="B482" s="66" t="str">
        <f aca="false">IF(OR($E482="",$F482=""),"","PO-"&amp;TEXT($E482,"yyyymmdd")&amp;"-"&amp;TEXT(COUNTIFS($E$6:$E482,$E482,$C$6:$C482,$C482),"000"))</f>
        <v/>
      </c>
      <c r="C482" s="130"/>
      <c r="D482" s="66" t="str">
        <f aca="false">IFERROR(INDEX(定数マスタ!$C$6:$C$105,MATCH($C482,定数マスタ!$B$6:$B$105,0)),"")</f>
        <v/>
      </c>
      <c r="E482" s="131"/>
      <c r="F482" s="130"/>
      <c r="G482" s="66" t="str">
        <f aca="false">IFERROR(INDEX(商品マスタ!$C$6:$C$1005,MATCH($F482,商品マスタ!$B$6:$B$1005,0)),"")</f>
        <v/>
      </c>
      <c r="H482" s="66" t="str">
        <f aca="false">IFERROR(INDEX(商品マスタ!$E$6:$E$1005,MATCH($F482,商品マスタ!$B$6:$B$1005,0)),"")</f>
        <v/>
      </c>
      <c r="I482" s="69" t="str">
        <f aca="false">IFERROR(INDEX(商品マスタ!$F$6:$F$1005,MATCH($F482,商品マスタ!$B$6:$B$1005,0)),"")</f>
        <v/>
      </c>
      <c r="J482" s="69" t="str">
        <f aca="false">IF(OR($F482="",$C482&lt;&gt;'設定（最初に1回）'!$C$4),"",IFERROR(INDEX(発注計算!$Y$6:$Y$405,MATCH($F482,発注計算!$C$6:$C$405,0)),""))</f>
        <v/>
      </c>
      <c r="K482" s="70"/>
      <c r="L482" s="69" t="str">
        <f aca="false">IF($K482="","",N($K482)*N($I482))</f>
        <v/>
      </c>
      <c r="M482" s="71" t="str">
        <f aca="false">IFERROR(INDEX(商品マスタ!$G$6:$G$1005,MATCH($F482,商品マスタ!$B$6:$B$1005,0)),"")</f>
        <v/>
      </c>
      <c r="N482" s="71" t="str">
        <f aca="false">IF($K482="","",N($K482)*N($M482))</f>
        <v/>
      </c>
      <c r="O482" s="66" t="str">
        <f aca="false">IFERROR(INDEX(商品マスタ!$H$6:$H$1005,MATCH($F482,商品マスタ!$B$6:$B$1005,0)),"")</f>
        <v/>
      </c>
      <c r="P482" s="87" t="str">
        <f aca="false">IF(OR($E482="",$O482=""),"",WORKDAY($E482,$O482))</f>
        <v/>
      </c>
      <c r="Q482" s="80"/>
      <c r="R482" s="131"/>
      <c r="S482" s="69" t="n">
        <f aca="false">IF($Q482="入荷済み",N($L482),0)</f>
        <v>0</v>
      </c>
      <c r="T482" s="80"/>
      <c r="U482" s="80"/>
    </row>
    <row r="483" customFormat="false" ht="15" hidden="false" customHeight="false" outlineLevel="0" collapsed="false">
      <c r="B483" s="66" t="str">
        <f aca="false">IF(OR($E483="",$F483=""),"","PO-"&amp;TEXT($E483,"yyyymmdd")&amp;"-"&amp;TEXT(COUNTIFS($E$6:$E483,$E483,$C$6:$C483,$C483),"000"))</f>
        <v/>
      </c>
      <c r="C483" s="130"/>
      <c r="D483" s="66" t="str">
        <f aca="false">IFERROR(INDEX(定数マスタ!$C$6:$C$105,MATCH($C483,定数マスタ!$B$6:$B$105,0)),"")</f>
        <v/>
      </c>
      <c r="E483" s="131"/>
      <c r="F483" s="130"/>
      <c r="G483" s="66" t="str">
        <f aca="false">IFERROR(INDEX(商品マスタ!$C$6:$C$1005,MATCH($F483,商品マスタ!$B$6:$B$1005,0)),"")</f>
        <v/>
      </c>
      <c r="H483" s="66" t="str">
        <f aca="false">IFERROR(INDEX(商品マスタ!$E$6:$E$1005,MATCH($F483,商品マスタ!$B$6:$B$1005,0)),"")</f>
        <v/>
      </c>
      <c r="I483" s="69" t="str">
        <f aca="false">IFERROR(INDEX(商品マスタ!$F$6:$F$1005,MATCH($F483,商品マスタ!$B$6:$B$1005,0)),"")</f>
        <v/>
      </c>
      <c r="J483" s="69" t="str">
        <f aca="false">IF(OR($F483="",$C483&lt;&gt;'設定（最初に1回）'!$C$4),"",IFERROR(INDEX(発注計算!$Y$6:$Y$405,MATCH($F483,発注計算!$C$6:$C$405,0)),""))</f>
        <v/>
      </c>
      <c r="K483" s="70"/>
      <c r="L483" s="69" t="str">
        <f aca="false">IF($K483="","",N($K483)*N($I483))</f>
        <v/>
      </c>
      <c r="M483" s="71" t="str">
        <f aca="false">IFERROR(INDEX(商品マスタ!$G$6:$G$1005,MATCH($F483,商品マスタ!$B$6:$B$1005,0)),"")</f>
        <v/>
      </c>
      <c r="N483" s="71" t="str">
        <f aca="false">IF($K483="","",N($K483)*N($M483))</f>
        <v/>
      </c>
      <c r="O483" s="66" t="str">
        <f aca="false">IFERROR(INDEX(商品マスタ!$H$6:$H$1005,MATCH($F483,商品マスタ!$B$6:$B$1005,0)),"")</f>
        <v/>
      </c>
      <c r="P483" s="87" t="str">
        <f aca="false">IF(OR($E483="",$O483=""),"",WORKDAY($E483,$O483))</f>
        <v/>
      </c>
      <c r="Q483" s="80"/>
      <c r="R483" s="131"/>
      <c r="S483" s="69" t="n">
        <f aca="false">IF($Q483="入荷済み",N($L483),0)</f>
        <v>0</v>
      </c>
      <c r="T483" s="80"/>
      <c r="U483" s="80"/>
    </row>
    <row r="484" customFormat="false" ht="15" hidden="false" customHeight="false" outlineLevel="0" collapsed="false">
      <c r="B484" s="66" t="str">
        <f aca="false">IF(OR($E484="",$F484=""),"","PO-"&amp;TEXT($E484,"yyyymmdd")&amp;"-"&amp;TEXT(COUNTIFS($E$6:$E484,$E484,$C$6:$C484,$C484),"000"))</f>
        <v/>
      </c>
      <c r="C484" s="130"/>
      <c r="D484" s="66" t="str">
        <f aca="false">IFERROR(INDEX(定数マスタ!$C$6:$C$105,MATCH($C484,定数マスタ!$B$6:$B$105,0)),"")</f>
        <v/>
      </c>
      <c r="E484" s="131"/>
      <c r="F484" s="130"/>
      <c r="G484" s="66" t="str">
        <f aca="false">IFERROR(INDEX(商品マスタ!$C$6:$C$1005,MATCH($F484,商品マスタ!$B$6:$B$1005,0)),"")</f>
        <v/>
      </c>
      <c r="H484" s="66" t="str">
        <f aca="false">IFERROR(INDEX(商品マスタ!$E$6:$E$1005,MATCH($F484,商品マスタ!$B$6:$B$1005,0)),"")</f>
        <v/>
      </c>
      <c r="I484" s="69" t="str">
        <f aca="false">IFERROR(INDEX(商品マスタ!$F$6:$F$1005,MATCH($F484,商品マスタ!$B$6:$B$1005,0)),"")</f>
        <v/>
      </c>
      <c r="J484" s="69" t="str">
        <f aca="false">IF(OR($F484="",$C484&lt;&gt;'設定（最初に1回）'!$C$4),"",IFERROR(INDEX(発注計算!$Y$6:$Y$405,MATCH($F484,発注計算!$C$6:$C$405,0)),""))</f>
        <v/>
      </c>
      <c r="K484" s="70"/>
      <c r="L484" s="69" t="str">
        <f aca="false">IF($K484="","",N($K484)*N($I484))</f>
        <v/>
      </c>
      <c r="M484" s="71" t="str">
        <f aca="false">IFERROR(INDEX(商品マスタ!$G$6:$G$1005,MATCH($F484,商品マスタ!$B$6:$B$1005,0)),"")</f>
        <v/>
      </c>
      <c r="N484" s="71" t="str">
        <f aca="false">IF($K484="","",N($K484)*N($M484))</f>
        <v/>
      </c>
      <c r="O484" s="66" t="str">
        <f aca="false">IFERROR(INDEX(商品マスタ!$H$6:$H$1005,MATCH($F484,商品マスタ!$B$6:$B$1005,0)),"")</f>
        <v/>
      </c>
      <c r="P484" s="87" t="str">
        <f aca="false">IF(OR($E484="",$O484=""),"",WORKDAY($E484,$O484))</f>
        <v/>
      </c>
      <c r="Q484" s="80"/>
      <c r="R484" s="131"/>
      <c r="S484" s="69" t="n">
        <f aca="false">IF($Q484="入荷済み",N($L484),0)</f>
        <v>0</v>
      </c>
      <c r="T484" s="80"/>
      <c r="U484" s="80"/>
    </row>
    <row r="485" customFormat="false" ht="15" hidden="false" customHeight="false" outlineLevel="0" collapsed="false">
      <c r="B485" s="66" t="str">
        <f aca="false">IF(OR($E485="",$F485=""),"","PO-"&amp;TEXT($E485,"yyyymmdd")&amp;"-"&amp;TEXT(COUNTIFS($E$6:$E485,$E485,$C$6:$C485,$C485),"000"))</f>
        <v/>
      </c>
      <c r="C485" s="130"/>
      <c r="D485" s="66" t="str">
        <f aca="false">IFERROR(INDEX(定数マスタ!$C$6:$C$105,MATCH($C485,定数マスタ!$B$6:$B$105,0)),"")</f>
        <v/>
      </c>
      <c r="E485" s="131"/>
      <c r="F485" s="130"/>
      <c r="G485" s="66" t="str">
        <f aca="false">IFERROR(INDEX(商品マスタ!$C$6:$C$1005,MATCH($F485,商品マスタ!$B$6:$B$1005,0)),"")</f>
        <v/>
      </c>
      <c r="H485" s="66" t="str">
        <f aca="false">IFERROR(INDEX(商品マスタ!$E$6:$E$1005,MATCH($F485,商品マスタ!$B$6:$B$1005,0)),"")</f>
        <v/>
      </c>
      <c r="I485" s="69" t="str">
        <f aca="false">IFERROR(INDEX(商品マスタ!$F$6:$F$1005,MATCH($F485,商品マスタ!$B$6:$B$1005,0)),"")</f>
        <v/>
      </c>
      <c r="J485" s="69" t="str">
        <f aca="false">IF(OR($F485="",$C485&lt;&gt;'設定（最初に1回）'!$C$4),"",IFERROR(INDEX(発注計算!$Y$6:$Y$405,MATCH($F485,発注計算!$C$6:$C$405,0)),""))</f>
        <v/>
      </c>
      <c r="K485" s="70"/>
      <c r="L485" s="69" t="str">
        <f aca="false">IF($K485="","",N($K485)*N($I485))</f>
        <v/>
      </c>
      <c r="M485" s="71" t="str">
        <f aca="false">IFERROR(INDEX(商品マスタ!$G$6:$G$1005,MATCH($F485,商品マスタ!$B$6:$B$1005,0)),"")</f>
        <v/>
      </c>
      <c r="N485" s="71" t="str">
        <f aca="false">IF($K485="","",N($K485)*N($M485))</f>
        <v/>
      </c>
      <c r="O485" s="66" t="str">
        <f aca="false">IFERROR(INDEX(商品マスタ!$H$6:$H$1005,MATCH($F485,商品マスタ!$B$6:$B$1005,0)),"")</f>
        <v/>
      </c>
      <c r="P485" s="87" t="str">
        <f aca="false">IF(OR($E485="",$O485=""),"",WORKDAY($E485,$O485))</f>
        <v/>
      </c>
      <c r="Q485" s="80"/>
      <c r="R485" s="131"/>
      <c r="S485" s="69" t="n">
        <f aca="false">IF($Q485="入荷済み",N($L485),0)</f>
        <v>0</v>
      </c>
      <c r="T485" s="80"/>
      <c r="U485" s="80"/>
    </row>
    <row r="486" customFormat="false" ht="15" hidden="false" customHeight="false" outlineLevel="0" collapsed="false">
      <c r="B486" s="66" t="str">
        <f aca="false">IF(OR($E486="",$F486=""),"","PO-"&amp;TEXT($E486,"yyyymmdd")&amp;"-"&amp;TEXT(COUNTIFS($E$6:$E486,$E486,$C$6:$C486,$C486),"000"))</f>
        <v/>
      </c>
      <c r="C486" s="130"/>
      <c r="D486" s="66" t="str">
        <f aca="false">IFERROR(INDEX(定数マスタ!$C$6:$C$105,MATCH($C486,定数マスタ!$B$6:$B$105,0)),"")</f>
        <v/>
      </c>
      <c r="E486" s="131"/>
      <c r="F486" s="130"/>
      <c r="G486" s="66" t="str">
        <f aca="false">IFERROR(INDEX(商品マスタ!$C$6:$C$1005,MATCH($F486,商品マスタ!$B$6:$B$1005,0)),"")</f>
        <v/>
      </c>
      <c r="H486" s="66" t="str">
        <f aca="false">IFERROR(INDEX(商品マスタ!$E$6:$E$1005,MATCH($F486,商品マスタ!$B$6:$B$1005,0)),"")</f>
        <v/>
      </c>
      <c r="I486" s="69" t="str">
        <f aca="false">IFERROR(INDEX(商品マスタ!$F$6:$F$1005,MATCH($F486,商品マスタ!$B$6:$B$1005,0)),"")</f>
        <v/>
      </c>
      <c r="J486" s="69" t="str">
        <f aca="false">IF(OR($F486="",$C486&lt;&gt;'設定（最初に1回）'!$C$4),"",IFERROR(INDEX(発注計算!$Y$6:$Y$405,MATCH($F486,発注計算!$C$6:$C$405,0)),""))</f>
        <v/>
      </c>
      <c r="K486" s="70"/>
      <c r="L486" s="69" t="str">
        <f aca="false">IF($K486="","",N($K486)*N($I486))</f>
        <v/>
      </c>
      <c r="M486" s="71" t="str">
        <f aca="false">IFERROR(INDEX(商品マスタ!$G$6:$G$1005,MATCH($F486,商品マスタ!$B$6:$B$1005,0)),"")</f>
        <v/>
      </c>
      <c r="N486" s="71" t="str">
        <f aca="false">IF($K486="","",N($K486)*N($M486))</f>
        <v/>
      </c>
      <c r="O486" s="66" t="str">
        <f aca="false">IFERROR(INDEX(商品マスタ!$H$6:$H$1005,MATCH($F486,商品マスタ!$B$6:$B$1005,0)),"")</f>
        <v/>
      </c>
      <c r="P486" s="87" t="str">
        <f aca="false">IF(OR($E486="",$O486=""),"",WORKDAY($E486,$O486))</f>
        <v/>
      </c>
      <c r="Q486" s="80"/>
      <c r="R486" s="131"/>
      <c r="S486" s="69" t="n">
        <f aca="false">IF($Q486="入荷済み",N($L486),0)</f>
        <v>0</v>
      </c>
      <c r="T486" s="80"/>
      <c r="U486" s="80"/>
    </row>
    <row r="487" customFormat="false" ht="15" hidden="false" customHeight="false" outlineLevel="0" collapsed="false">
      <c r="B487" s="66" t="str">
        <f aca="false">IF(OR($E487="",$F487=""),"","PO-"&amp;TEXT($E487,"yyyymmdd")&amp;"-"&amp;TEXT(COUNTIFS($E$6:$E487,$E487,$C$6:$C487,$C487),"000"))</f>
        <v/>
      </c>
      <c r="C487" s="130"/>
      <c r="D487" s="66" t="str">
        <f aca="false">IFERROR(INDEX(定数マスタ!$C$6:$C$105,MATCH($C487,定数マスタ!$B$6:$B$105,0)),"")</f>
        <v/>
      </c>
      <c r="E487" s="131"/>
      <c r="F487" s="130"/>
      <c r="G487" s="66" t="str">
        <f aca="false">IFERROR(INDEX(商品マスタ!$C$6:$C$1005,MATCH($F487,商品マスタ!$B$6:$B$1005,0)),"")</f>
        <v/>
      </c>
      <c r="H487" s="66" t="str">
        <f aca="false">IFERROR(INDEX(商品マスタ!$E$6:$E$1005,MATCH($F487,商品マスタ!$B$6:$B$1005,0)),"")</f>
        <v/>
      </c>
      <c r="I487" s="69" t="str">
        <f aca="false">IFERROR(INDEX(商品マスタ!$F$6:$F$1005,MATCH($F487,商品マスタ!$B$6:$B$1005,0)),"")</f>
        <v/>
      </c>
      <c r="J487" s="69" t="str">
        <f aca="false">IF(OR($F487="",$C487&lt;&gt;'設定（最初に1回）'!$C$4),"",IFERROR(INDEX(発注計算!$Y$6:$Y$405,MATCH($F487,発注計算!$C$6:$C$405,0)),""))</f>
        <v/>
      </c>
      <c r="K487" s="70"/>
      <c r="L487" s="69" t="str">
        <f aca="false">IF($K487="","",N($K487)*N($I487))</f>
        <v/>
      </c>
      <c r="M487" s="71" t="str">
        <f aca="false">IFERROR(INDEX(商品マスタ!$G$6:$G$1005,MATCH($F487,商品マスタ!$B$6:$B$1005,0)),"")</f>
        <v/>
      </c>
      <c r="N487" s="71" t="str">
        <f aca="false">IF($K487="","",N($K487)*N($M487))</f>
        <v/>
      </c>
      <c r="O487" s="66" t="str">
        <f aca="false">IFERROR(INDEX(商品マスタ!$H$6:$H$1005,MATCH($F487,商品マスタ!$B$6:$B$1005,0)),"")</f>
        <v/>
      </c>
      <c r="P487" s="87" t="str">
        <f aca="false">IF(OR($E487="",$O487=""),"",WORKDAY($E487,$O487))</f>
        <v/>
      </c>
      <c r="Q487" s="80"/>
      <c r="R487" s="131"/>
      <c r="S487" s="69" t="n">
        <f aca="false">IF($Q487="入荷済み",N($L487),0)</f>
        <v>0</v>
      </c>
      <c r="T487" s="80"/>
      <c r="U487" s="80"/>
    </row>
    <row r="488" customFormat="false" ht="15" hidden="false" customHeight="false" outlineLevel="0" collapsed="false">
      <c r="B488" s="66" t="str">
        <f aca="false">IF(OR($E488="",$F488=""),"","PO-"&amp;TEXT($E488,"yyyymmdd")&amp;"-"&amp;TEXT(COUNTIFS($E$6:$E488,$E488,$C$6:$C488,$C488),"000"))</f>
        <v/>
      </c>
      <c r="C488" s="130"/>
      <c r="D488" s="66" t="str">
        <f aca="false">IFERROR(INDEX(定数マスタ!$C$6:$C$105,MATCH($C488,定数マスタ!$B$6:$B$105,0)),"")</f>
        <v/>
      </c>
      <c r="E488" s="131"/>
      <c r="F488" s="130"/>
      <c r="G488" s="66" t="str">
        <f aca="false">IFERROR(INDEX(商品マスタ!$C$6:$C$1005,MATCH($F488,商品マスタ!$B$6:$B$1005,0)),"")</f>
        <v/>
      </c>
      <c r="H488" s="66" t="str">
        <f aca="false">IFERROR(INDEX(商品マスタ!$E$6:$E$1005,MATCH($F488,商品マスタ!$B$6:$B$1005,0)),"")</f>
        <v/>
      </c>
      <c r="I488" s="69" t="str">
        <f aca="false">IFERROR(INDEX(商品マスタ!$F$6:$F$1005,MATCH($F488,商品マスタ!$B$6:$B$1005,0)),"")</f>
        <v/>
      </c>
      <c r="J488" s="69" t="str">
        <f aca="false">IF(OR($F488="",$C488&lt;&gt;'設定（最初に1回）'!$C$4),"",IFERROR(INDEX(発注計算!$Y$6:$Y$405,MATCH($F488,発注計算!$C$6:$C$405,0)),""))</f>
        <v/>
      </c>
      <c r="K488" s="70"/>
      <c r="L488" s="69" t="str">
        <f aca="false">IF($K488="","",N($K488)*N($I488))</f>
        <v/>
      </c>
      <c r="M488" s="71" t="str">
        <f aca="false">IFERROR(INDEX(商品マスタ!$G$6:$G$1005,MATCH($F488,商品マスタ!$B$6:$B$1005,0)),"")</f>
        <v/>
      </c>
      <c r="N488" s="71" t="str">
        <f aca="false">IF($K488="","",N($K488)*N($M488))</f>
        <v/>
      </c>
      <c r="O488" s="66" t="str">
        <f aca="false">IFERROR(INDEX(商品マスタ!$H$6:$H$1005,MATCH($F488,商品マスタ!$B$6:$B$1005,0)),"")</f>
        <v/>
      </c>
      <c r="P488" s="87" t="str">
        <f aca="false">IF(OR($E488="",$O488=""),"",WORKDAY($E488,$O488))</f>
        <v/>
      </c>
      <c r="Q488" s="80"/>
      <c r="R488" s="131"/>
      <c r="S488" s="69" t="n">
        <f aca="false">IF($Q488="入荷済み",N($L488),0)</f>
        <v>0</v>
      </c>
      <c r="T488" s="80"/>
      <c r="U488" s="80"/>
    </row>
    <row r="489" customFormat="false" ht="15" hidden="false" customHeight="false" outlineLevel="0" collapsed="false">
      <c r="B489" s="66" t="str">
        <f aca="false">IF(OR($E489="",$F489=""),"","PO-"&amp;TEXT($E489,"yyyymmdd")&amp;"-"&amp;TEXT(COUNTIFS($E$6:$E489,$E489,$C$6:$C489,$C489),"000"))</f>
        <v/>
      </c>
      <c r="C489" s="130"/>
      <c r="D489" s="66" t="str">
        <f aca="false">IFERROR(INDEX(定数マスタ!$C$6:$C$105,MATCH($C489,定数マスタ!$B$6:$B$105,0)),"")</f>
        <v/>
      </c>
      <c r="E489" s="131"/>
      <c r="F489" s="130"/>
      <c r="G489" s="66" t="str">
        <f aca="false">IFERROR(INDEX(商品マスタ!$C$6:$C$1005,MATCH($F489,商品マスタ!$B$6:$B$1005,0)),"")</f>
        <v/>
      </c>
      <c r="H489" s="66" t="str">
        <f aca="false">IFERROR(INDEX(商品マスタ!$E$6:$E$1005,MATCH($F489,商品マスタ!$B$6:$B$1005,0)),"")</f>
        <v/>
      </c>
      <c r="I489" s="69" t="str">
        <f aca="false">IFERROR(INDEX(商品マスタ!$F$6:$F$1005,MATCH($F489,商品マスタ!$B$6:$B$1005,0)),"")</f>
        <v/>
      </c>
      <c r="J489" s="69" t="str">
        <f aca="false">IF(OR($F489="",$C489&lt;&gt;'設定（最初に1回）'!$C$4),"",IFERROR(INDEX(発注計算!$Y$6:$Y$405,MATCH($F489,発注計算!$C$6:$C$405,0)),""))</f>
        <v/>
      </c>
      <c r="K489" s="70"/>
      <c r="L489" s="69" t="str">
        <f aca="false">IF($K489="","",N($K489)*N($I489))</f>
        <v/>
      </c>
      <c r="M489" s="71" t="str">
        <f aca="false">IFERROR(INDEX(商品マスタ!$G$6:$G$1005,MATCH($F489,商品マスタ!$B$6:$B$1005,0)),"")</f>
        <v/>
      </c>
      <c r="N489" s="71" t="str">
        <f aca="false">IF($K489="","",N($K489)*N($M489))</f>
        <v/>
      </c>
      <c r="O489" s="66" t="str">
        <f aca="false">IFERROR(INDEX(商品マスタ!$H$6:$H$1005,MATCH($F489,商品マスタ!$B$6:$B$1005,0)),"")</f>
        <v/>
      </c>
      <c r="P489" s="87" t="str">
        <f aca="false">IF(OR($E489="",$O489=""),"",WORKDAY($E489,$O489))</f>
        <v/>
      </c>
      <c r="Q489" s="80"/>
      <c r="R489" s="131"/>
      <c r="S489" s="69" t="n">
        <f aca="false">IF($Q489="入荷済み",N($L489),0)</f>
        <v>0</v>
      </c>
      <c r="T489" s="80"/>
      <c r="U489" s="80"/>
    </row>
    <row r="490" customFormat="false" ht="15" hidden="false" customHeight="false" outlineLevel="0" collapsed="false">
      <c r="B490" s="66" t="str">
        <f aca="false">IF(OR($E490="",$F490=""),"","PO-"&amp;TEXT($E490,"yyyymmdd")&amp;"-"&amp;TEXT(COUNTIFS($E$6:$E490,$E490,$C$6:$C490,$C490),"000"))</f>
        <v/>
      </c>
      <c r="C490" s="130"/>
      <c r="D490" s="66" t="str">
        <f aca="false">IFERROR(INDEX(定数マスタ!$C$6:$C$105,MATCH($C490,定数マスタ!$B$6:$B$105,0)),"")</f>
        <v/>
      </c>
      <c r="E490" s="131"/>
      <c r="F490" s="130"/>
      <c r="G490" s="66" t="str">
        <f aca="false">IFERROR(INDEX(商品マスタ!$C$6:$C$1005,MATCH($F490,商品マスタ!$B$6:$B$1005,0)),"")</f>
        <v/>
      </c>
      <c r="H490" s="66" t="str">
        <f aca="false">IFERROR(INDEX(商品マスタ!$E$6:$E$1005,MATCH($F490,商品マスタ!$B$6:$B$1005,0)),"")</f>
        <v/>
      </c>
      <c r="I490" s="69" t="str">
        <f aca="false">IFERROR(INDEX(商品マスタ!$F$6:$F$1005,MATCH($F490,商品マスタ!$B$6:$B$1005,0)),"")</f>
        <v/>
      </c>
      <c r="J490" s="69" t="str">
        <f aca="false">IF(OR($F490="",$C490&lt;&gt;'設定（最初に1回）'!$C$4),"",IFERROR(INDEX(発注計算!$Y$6:$Y$405,MATCH($F490,発注計算!$C$6:$C$405,0)),""))</f>
        <v/>
      </c>
      <c r="K490" s="70"/>
      <c r="L490" s="69" t="str">
        <f aca="false">IF($K490="","",N($K490)*N($I490))</f>
        <v/>
      </c>
      <c r="M490" s="71" t="str">
        <f aca="false">IFERROR(INDEX(商品マスタ!$G$6:$G$1005,MATCH($F490,商品マスタ!$B$6:$B$1005,0)),"")</f>
        <v/>
      </c>
      <c r="N490" s="71" t="str">
        <f aca="false">IF($K490="","",N($K490)*N($M490))</f>
        <v/>
      </c>
      <c r="O490" s="66" t="str">
        <f aca="false">IFERROR(INDEX(商品マスタ!$H$6:$H$1005,MATCH($F490,商品マスタ!$B$6:$B$1005,0)),"")</f>
        <v/>
      </c>
      <c r="P490" s="87" t="str">
        <f aca="false">IF(OR($E490="",$O490=""),"",WORKDAY($E490,$O490))</f>
        <v/>
      </c>
      <c r="Q490" s="80"/>
      <c r="R490" s="131"/>
      <c r="S490" s="69" t="n">
        <f aca="false">IF($Q490="入荷済み",N($L490),0)</f>
        <v>0</v>
      </c>
      <c r="T490" s="80"/>
      <c r="U490" s="80"/>
    </row>
    <row r="491" customFormat="false" ht="15" hidden="false" customHeight="false" outlineLevel="0" collapsed="false">
      <c r="B491" s="66" t="str">
        <f aca="false">IF(OR($E491="",$F491=""),"","PO-"&amp;TEXT($E491,"yyyymmdd")&amp;"-"&amp;TEXT(COUNTIFS($E$6:$E491,$E491,$C$6:$C491,$C491),"000"))</f>
        <v/>
      </c>
      <c r="C491" s="130"/>
      <c r="D491" s="66" t="str">
        <f aca="false">IFERROR(INDEX(定数マスタ!$C$6:$C$105,MATCH($C491,定数マスタ!$B$6:$B$105,0)),"")</f>
        <v/>
      </c>
      <c r="E491" s="131"/>
      <c r="F491" s="130"/>
      <c r="G491" s="66" t="str">
        <f aca="false">IFERROR(INDEX(商品マスタ!$C$6:$C$1005,MATCH($F491,商品マスタ!$B$6:$B$1005,0)),"")</f>
        <v/>
      </c>
      <c r="H491" s="66" t="str">
        <f aca="false">IFERROR(INDEX(商品マスタ!$E$6:$E$1005,MATCH($F491,商品マスタ!$B$6:$B$1005,0)),"")</f>
        <v/>
      </c>
      <c r="I491" s="69" t="str">
        <f aca="false">IFERROR(INDEX(商品マスタ!$F$6:$F$1005,MATCH($F491,商品マスタ!$B$6:$B$1005,0)),"")</f>
        <v/>
      </c>
      <c r="J491" s="69" t="str">
        <f aca="false">IF(OR($F491="",$C491&lt;&gt;'設定（最初に1回）'!$C$4),"",IFERROR(INDEX(発注計算!$Y$6:$Y$405,MATCH($F491,発注計算!$C$6:$C$405,0)),""))</f>
        <v/>
      </c>
      <c r="K491" s="70"/>
      <c r="L491" s="69" t="str">
        <f aca="false">IF($K491="","",N($K491)*N($I491))</f>
        <v/>
      </c>
      <c r="M491" s="71" t="str">
        <f aca="false">IFERROR(INDEX(商品マスタ!$G$6:$G$1005,MATCH($F491,商品マスタ!$B$6:$B$1005,0)),"")</f>
        <v/>
      </c>
      <c r="N491" s="71" t="str">
        <f aca="false">IF($K491="","",N($K491)*N($M491))</f>
        <v/>
      </c>
      <c r="O491" s="66" t="str">
        <f aca="false">IFERROR(INDEX(商品マスタ!$H$6:$H$1005,MATCH($F491,商品マスタ!$B$6:$B$1005,0)),"")</f>
        <v/>
      </c>
      <c r="P491" s="87" t="str">
        <f aca="false">IF(OR($E491="",$O491=""),"",WORKDAY($E491,$O491))</f>
        <v/>
      </c>
      <c r="Q491" s="80"/>
      <c r="R491" s="131"/>
      <c r="S491" s="69" t="n">
        <f aca="false">IF($Q491="入荷済み",N($L491),0)</f>
        <v>0</v>
      </c>
      <c r="T491" s="80"/>
      <c r="U491" s="80"/>
    </row>
    <row r="492" customFormat="false" ht="15" hidden="false" customHeight="false" outlineLevel="0" collapsed="false">
      <c r="B492" s="66" t="str">
        <f aca="false">IF(OR($E492="",$F492=""),"","PO-"&amp;TEXT($E492,"yyyymmdd")&amp;"-"&amp;TEXT(COUNTIFS($E$6:$E492,$E492,$C$6:$C492,$C492),"000"))</f>
        <v/>
      </c>
      <c r="C492" s="130"/>
      <c r="D492" s="66" t="str">
        <f aca="false">IFERROR(INDEX(定数マスタ!$C$6:$C$105,MATCH($C492,定数マスタ!$B$6:$B$105,0)),"")</f>
        <v/>
      </c>
      <c r="E492" s="131"/>
      <c r="F492" s="130"/>
      <c r="G492" s="66" t="str">
        <f aca="false">IFERROR(INDEX(商品マスタ!$C$6:$C$1005,MATCH($F492,商品マスタ!$B$6:$B$1005,0)),"")</f>
        <v/>
      </c>
      <c r="H492" s="66" t="str">
        <f aca="false">IFERROR(INDEX(商品マスタ!$E$6:$E$1005,MATCH($F492,商品マスタ!$B$6:$B$1005,0)),"")</f>
        <v/>
      </c>
      <c r="I492" s="69" t="str">
        <f aca="false">IFERROR(INDEX(商品マスタ!$F$6:$F$1005,MATCH($F492,商品マスタ!$B$6:$B$1005,0)),"")</f>
        <v/>
      </c>
      <c r="J492" s="69" t="str">
        <f aca="false">IF(OR($F492="",$C492&lt;&gt;'設定（最初に1回）'!$C$4),"",IFERROR(INDEX(発注計算!$Y$6:$Y$405,MATCH($F492,発注計算!$C$6:$C$405,0)),""))</f>
        <v/>
      </c>
      <c r="K492" s="70"/>
      <c r="L492" s="69" t="str">
        <f aca="false">IF($K492="","",N($K492)*N($I492))</f>
        <v/>
      </c>
      <c r="M492" s="71" t="str">
        <f aca="false">IFERROR(INDEX(商品マスタ!$G$6:$G$1005,MATCH($F492,商品マスタ!$B$6:$B$1005,0)),"")</f>
        <v/>
      </c>
      <c r="N492" s="71" t="str">
        <f aca="false">IF($K492="","",N($K492)*N($M492))</f>
        <v/>
      </c>
      <c r="O492" s="66" t="str">
        <f aca="false">IFERROR(INDEX(商品マスタ!$H$6:$H$1005,MATCH($F492,商品マスタ!$B$6:$B$1005,0)),"")</f>
        <v/>
      </c>
      <c r="P492" s="87" t="str">
        <f aca="false">IF(OR($E492="",$O492=""),"",WORKDAY($E492,$O492))</f>
        <v/>
      </c>
      <c r="Q492" s="80"/>
      <c r="R492" s="131"/>
      <c r="S492" s="69" t="n">
        <f aca="false">IF($Q492="入荷済み",N($L492),0)</f>
        <v>0</v>
      </c>
      <c r="T492" s="80"/>
      <c r="U492" s="80"/>
    </row>
    <row r="493" customFormat="false" ht="15" hidden="false" customHeight="false" outlineLevel="0" collapsed="false">
      <c r="B493" s="66" t="str">
        <f aca="false">IF(OR($E493="",$F493=""),"","PO-"&amp;TEXT($E493,"yyyymmdd")&amp;"-"&amp;TEXT(COUNTIFS($E$6:$E493,$E493,$C$6:$C493,$C493),"000"))</f>
        <v/>
      </c>
      <c r="C493" s="130"/>
      <c r="D493" s="66" t="str">
        <f aca="false">IFERROR(INDEX(定数マスタ!$C$6:$C$105,MATCH($C493,定数マスタ!$B$6:$B$105,0)),"")</f>
        <v/>
      </c>
      <c r="E493" s="131"/>
      <c r="F493" s="130"/>
      <c r="G493" s="66" t="str">
        <f aca="false">IFERROR(INDEX(商品マスタ!$C$6:$C$1005,MATCH($F493,商品マスタ!$B$6:$B$1005,0)),"")</f>
        <v/>
      </c>
      <c r="H493" s="66" t="str">
        <f aca="false">IFERROR(INDEX(商品マスタ!$E$6:$E$1005,MATCH($F493,商品マスタ!$B$6:$B$1005,0)),"")</f>
        <v/>
      </c>
      <c r="I493" s="69" t="str">
        <f aca="false">IFERROR(INDEX(商品マスタ!$F$6:$F$1005,MATCH($F493,商品マスタ!$B$6:$B$1005,0)),"")</f>
        <v/>
      </c>
      <c r="J493" s="69" t="str">
        <f aca="false">IF(OR($F493="",$C493&lt;&gt;'設定（最初に1回）'!$C$4),"",IFERROR(INDEX(発注計算!$Y$6:$Y$405,MATCH($F493,発注計算!$C$6:$C$405,0)),""))</f>
        <v/>
      </c>
      <c r="K493" s="70"/>
      <c r="L493" s="69" t="str">
        <f aca="false">IF($K493="","",N($K493)*N($I493))</f>
        <v/>
      </c>
      <c r="M493" s="71" t="str">
        <f aca="false">IFERROR(INDEX(商品マスタ!$G$6:$G$1005,MATCH($F493,商品マスタ!$B$6:$B$1005,0)),"")</f>
        <v/>
      </c>
      <c r="N493" s="71" t="str">
        <f aca="false">IF($K493="","",N($K493)*N($M493))</f>
        <v/>
      </c>
      <c r="O493" s="66" t="str">
        <f aca="false">IFERROR(INDEX(商品マスタ!$H$6:$H$1005,MATCH($F493,商品マスタ!$B$6:$B$1005,0)),"")</f>
        <v/>
      </c>
      <c r="P493" s="87" t="str">
        <f aca="false">IF(OR($E493="",$O493=""),"",WORKDAY($E493,$O493))</f>
        <v/>
      </c>
      <c r="Q493" s="80"/>
      <c r="R493" s="131"/>
      <c r="S493" s="69" t="n">
        <f aca="false">IF($Q493="入荷済み",N($L493),0)</f>
        <v>0</v>
      </c>
      <c r="T493" s="80"/>
      <c r="U493" s="80"/>
    </row>
    <row r="494" customFormat="false" ht="15" hidden="false" customHeight="false" outlineLevel="0" collapsed="false">
      <c r="B494" s="66" t="str">
        <f aca="false">IF(OR($E494="",$F494=""),"","PO-"&amp;TEXT($E494,"yyyymmdd")&amp;"-"&amp;TEXT(COUNTIFS($E$6:$E494,$E494,$C$6:$C494,$C494),"000"))</f>
        <v/>
      </c>
      <c r="C494" s="130"/>
      <c r="D494" s="66" t="str">
        <f aca="false">IFERROR(INDEX(定数マスタ!$C$6:$C$105,MATCH($C494,定数マスタ!$B$6:$B$105,0)),"")</f>
        <v/>
      </c>
      <c r="E494" s="131"/>
      <c r="F494" s="130"/>
      <c r="G494" s="66" t="str">
        <f aca="false">IFERROR(INDEX(商品マスタ!$C$6:$C$1005,MATCH($F494,商品マスタ!$B$6:$B$1005,0)),"")</f>
        <v/>
      </c>
      <c r="H494" s="66" t="str">
        <f aca="false">IFERROR(INDEX(商品マスタ!$E$6:$E$1005,MATCH($F494,商品マスタ!$B$6:$B$1005,0)),"")</f>
        <v/>
      </c>
      <c r="I494" s="69" t="str">
        <f aca="false">IFERROR(INDEX(商品マスタ!$F$6:$F$1005,MATCH($F494,商品マスタ!$B$6:$B$1005,0)),"")</f>
        <v/>
      </c>
      <c r="J494" s="69" t="str">
        <f aca="false">IF(OR($F494="",$C494&lt;&gt;'設定（最初に1回）'!$C$4),"",IFERROR(INDEX(発注計算!$Y$6:$Y$405,MATCH($F494,発注計算!$C$6:$C$405,0)),""))</f>
        <v/>
      </c>
      <c r="K494" s="70"/>
      <c r="L494" s="69" t="str">
        <f aca="false">IF($K494="","",N($K494)*N($I494))</f>
        <v/>
      </c>
      <c r="M494" s="71" t="str">
        <f aca="false">IFERROR(INDEX(商品マスタ!$G$6:$G$1005,MATCH($F494,商品マスタ!$B$6:$B$1005,0)),"")</f>
        <v/>
      </c>
      <c r="N494" s="71" t="str">
        <f aca="false">IF($K494="","",N($K494)*N($M494))</f>
        <v/>
      </c>
      <c r="O494" s="66" t="str">
        <f aca="false">IFERROR(INDEX(商品マスタ!$H$6:$H$1005,MATCH($F494,商品マスタ!$B$6:$B$1005,0)),"")</f>
        <v/>
      </c>
      <c r="P494" s="87" t="str">
        <f aca="false">IF(OR($E494="",$O494=""),"",WORKDAY($E494,$O494))</f>
        <v/>
      </c>
      <c r="Q494" s="80"/>
      <c r="R494" s="131"/>
      <c r="S494" s="69" t="n">
        <f aca="false">IF($Q494="入荷済み",N($L494),0)</f>
        <v>0</v>
      </c>
      <c r="T494" s="80"/>
      <c r="U494" s="80"/>
    </row>
    <row r="495" customFormat="false" ht="15" hidden="false" customHeight="false" outlineLevel="0" collapsed="false">
      <c r="B495" s="66" t="str">
        <f aca="false">IF(OR($E495="",$F495=""),"","PO-"&amp;TEXT($E495,"yyyymmdd")&amp;"-"&amp;TEXT(COUNTIFS($E$6:$E495,$E495,$C$6:$C495,$C495),"000"))</f>
        <v/>
      </c>
      <c r="C495" s="130"/>
      <c r="D495" s="66" t="str">
        <f aca="false">IFERROR(INDEX(定数マスタ!$C$6:$C$105,MATCH($C495,定数マスタ!$B$6:$B$105,0)),"")</f>
        <v/>
      </c>
      <c r="E495" s="131"/>
      <c r="F495" s="130"/>
      <c r="G495" s="66" t="str">
        <f aca="false">IFERROR(INDEX(商品マスタ!$C$6:$C$1005,MATCH($F495,商品マスタ!$B$6:$B$1005,0)),"")</f>
        <v/>
      </c>
      <c r="H495" s="66" t="str">
        <f aca="false">IFERROR(INDEX(商品マスタ!$E$6:$E$1005,MATCH($F495,商品マスタ!$B$6:$B$1005,0)),"")</f>
        <v/>
      </c>
      <c r="I495" s="69" t="str">
        <f aca="false">IFERROR(INDEX(商品マスタ!$F$6:$F$1005,MATCH($F495,商品マスタ!$B$6:$B$1005,0)),"")</f>
        <v/>
      </c>
      <c r="J495" s="69" t="str">
        <f aca="false">IF(OR($F495="",$C495&lt;&gt;'設定（最初に1回）'!$C$4),"",IFERROR(INDEX(発注計算!$Y$6:$Y$405,MATCH($F495,発注計算!$C$6:$C$405,0)),""))</f>
        <v/>
      </c>
      <c r="K495" s="70"/>
      <c r="L495" s="69" t="str">
        <f aca="false">IF($K495="","",N($K495)*N($I495))</f>
        <v/>
      </c>
      <c r="M495" s="71" t="str">
        <f aca="false">IFERROR(INDEX(商品マスタ!$G$6:$G$1005,MATCH($F495,商品マスタ!$B$6:$B$1005,0)),"")</f>
        <v/>
      </c>
      <c r="N495" s="71" t="str">
        <f aca="false">IF($K495="","",N($K495)*N($M495))</f>
        <v/>
      </c>
      <c r="O495" s="66" t="str">
        <f aca="false">IFERROR(INDEX(商品マスタ!$H$6:$H$1005,MATCH($F495,商品マスタ!$B$6:$B$1005,0)),"")</f>
        <v/>
      </c>
      <c r="P495" s="87" t="str">
        <f aca="false">IF(OR($E495="",$O495=""),"",WORKDAY($E495,$O495))</f>
        <v/>
      </c>
      <c r="Q495" s="80"/>
      <c r="R495" s="131"/>
      <c r="S495" s="69" t="n">
        <f aca="false">IF($Q495="入荷済み",N($L495),0)</f>
        <v>0</v>
      </c>
      <c r="T495" s="80"/>
      <c r="U495" s="80"/>
    </row>
    <row r="496" customFormat="false" ht="15" hidden="false" customHeight="false" outlineLevel="0" collapsed="false">
      <c r="B496" s="66" t="str">
        <f aca="false">IF(OR($E496="",$F496=""),"","PO-"&amp;TEXT($E496,"yyyymmdd")&amp;"-"&amp;TEXT(COUNTIFS($E$6:$E496,$E496,$C$6:$C496,$C496),"000"))</f>
        <v/>
      </c>
      <c r="C496" s="130"/>
      <c r="D496" s="66" t="str">
        <f aca="false">IFERROR(INDEX(定数マスタ!$C$6:$C$105,MATCH($C496,定数マスタ!$B$6:$B$105,0)),"")</f>
        <v/>
      </c>
      <c r="E496" s="131"/>
      <c r="F496" s="130"/>
      <c r="G496" s="66" t="str">
        <f aca="false">IFERROR(INDEX(商品マスタ!$C$6:$C$1005,MATCH($F496,商品マスタ!$B$6:$B$1005,0)),"")</f>
        <v/>
      </c>
      <c r="H496" s="66" t="str">
        <f aca="false">IFERROR(INDEX(商品マスタ!$E$6:$E$1005,MATCH($F496,商品マスタ!$B$6:$B$1005,0)),"")</f>
        <v/>
      </c>
      <c r="I496" s="69" t="str">
        <f aca="false">IFERROR(INDEX(商品マスタ!$F$6:$F$1005,MATCH($F496,商品マスタ!$B$6:$B$1005,0)),"")</f>
        <v/>
      </c>
      <c r="J496" s="69" t="str">
        <f aca="false">IF(OR($F496="",$C496&lt;&gt;'設定（最初に1回）'!$C$4),"",IFERROR(INDEX(発注計算!$Y$6:$Y$405,MATCH($F496,発注計算!$C$6:$C$405,0)),""))</f>
        <v/>
      </c>
      <c r="K496" s="70"/>
      <c r="L496" s="69" t="str">
        <f aca="false">IF($K496="","",N($K496)*N($I496))</f>
        <v/>
      </c>
      <c r="M496" s="71" t="str">
        <f aca="false">IFERROR(INDEX(商品マスタ!$G$6:$G$1005,MATCH($F496,商品マスタ!$B$6:$B$1005,0)),"")</f>
        <v/>
      </c>
      <c r="N496" s="71" t="str">
        <f aca="false">IF($K496="","",N($K496)*N($M496))</f>
        <v/>
      </c>
      <c r="O496" s="66" t="str">
        <f aca="false">IFERROR(INDEX(商品マスタ!$H$6:$H$1005,MATCH($F496,商品マスタ!$B$6:$B$1005,0)),"")</f>
        <v/>
      </c>
      <c r="P496" s="87" t="str">
        <f aca="false">IF(OR($E496="",$O496=""),"",WORKDAY($E496,$O496))</f>
        <v/>
      </c>
      <c r="Q496" s="80"/>
      <c r="R496" s="131"/>
      <c r="S496" s="69" t="n">
        <f aca="false">IF($Q496="入荷済み",N($L496),0)</f>
        <v>0</v>
      </c>
      <c r="T496" s="80"/>
      <c r="U496" s="80"/>
    </row>
    <row r="497" customFormat="false" ht="15" hidden="false" customHeight="false" outlineLevel="0" collapsed="false">
      <c r="B497" s="66" t="str">
        <f aca="false">IF(OR($E497="",$F497=""),"","PO-"&amp;TEXT($E497,"yyyymmdd")&amp;"-"&amp;TEXT(COUNTIFS($E$6:$E497,$E497,$C$6:$C497,$C497),"000"))</f>
        <v/>
      </c>
      <c r="C497" s="130"/>
      <c r="D497" s="66" t="str">
        <f aca="false">IFERROR(INDEX(定数マスタ!$C$6:$C$105,MATCH($C497,定数マスタ!$B$6:$B$105,0)),"")</f>
        <v/>
      </c>
      <c r="E497" s="131"/>
      <c r="F497" s="130"/>
      <c r="G497" s="66" t="str">
        <f aca="false">IFERROR(INDEX(商品マスタ!$C$6:$C$1005,MATCH($F497,商品マスタ!$B$6:$B$1005,0)),"")</f>
        <v/>
      </c>
      <c r="H497" s="66" t="str">
        <f aca="false">IFERROR(INDEX(商品マスタ!$E$6:$E$1005,MATCH($F497,商品マスタ!$B$6:$B$1005,0)),"")</f>
        <v/>
      </c>
      <c r="I497" s="69" t="str">
        <f aca="false">IFERROR(INDEX(商品マスタ!$F$6:$F$1005,MATCH($F497,商品マスタ!$B$6:$B$1005,0)),"")</f>
        <v/>
      </c>
      <c r="J497" s="69" t="str">
        <f aca="false">IF(OR($F497="",$C497&lt;&gt;'設定（最初に1回）'!$C$4),"",IFERROR(INDEX(発注計算!$Y$6:$Y$405,MATCH($F497,発注計算!$C$6:$C$405,0)),""))</f>
        <v/>
      </c>
      <c r="K497" s="70"/>
      <c r="L497" s="69" t="str">
        <f aca="false">IF($K497="","",N($K497)*N($I497))</f>
        <v/>
      </c>
      <c r="M497" s="71" t="str">
        <f aca="false">IFERROR(INDEX(商品マスタ!$G$6:$G$1005,MATCH($F497,商品マスタ!$B$6:$B$1005,0)),"")</f>
        <v/>
      </c>
      <c r="N497" s="71" t="str">
        <f aca="false">IF($K497="","",N($K497)*N($M497))</f>
        <v/>
      </c>
      <c r="O497" s="66" t="str">
        <f aca="false">IFERROR(INDEX(商品マスタ!$H$6:$H$1005,MATCH($F497,商品マスタ!$B$6:$B$1005,0)),"")</f>
        <v/>
      </c>
      <c r="P497" s="87" t="str">
        <f aca="false">IF(OR($E497="",$O497=""),"",WORKDAY($E497,$O497))</f>
        <v/>
      </c>
      <c r="Q497" s="80"/>
      <c r="R497" s="131"/>
      <c r="S497" s="69" t="n">
        <f aca="false">IF($Q497="入荷済み",N($L497),0)</f>
        <v>0</v>
      </c>
      <c r="T497" s="80"/>
      <c r="U497" s="80"/>
    </row>
    <row r="498" customFormat="false" ht="15" hidden="false" customHeight="false" outlineLevel="0" collapsed="false">
      <c r="B498" s="66" t="str">
        <f aca="false">IF(OR($E498="",$F498=""),"","PO-"&amp;TEXT($E498,"yyyymmdd")&amp;"-"&amp;TEXT(COUNTIFS($E$6:$E498,$E498,$C$6:$C498,$C498),"000"))</f>
        <v/>
      </c>
      <c r="C498" s="130"/>
      <c r="D498" s="66" t="str">
        <f aca="false">IFERROR(INDEX(定数マスタ!$C$6:$C$105,MATCH($C498,定数マスタ!$B$6:$B$105,0)),"")</f>
        <v/>
      </c>
      <c r="E498" s="131"/>
      <c r="F498" s="130"/>
      <c r="G498" s="66" t="str">
        <f aca="false">IFERROR(INDEX(商品マスタ!$C$6:$C$1005,MATCH($F498,商品マスタ!$B$6:$B$1005,0)),"")</f>
        <v/>
      </c>
      <c r="H498" s="66" t="str">
        <f aca="false">IFERROR(INDEX(商品マスタ!$E$6:$E$1005,MATCH($F498,商品マスタ!$B$6:$B$1005,0)),"")</f>
        <v/>
      </c>
      <c r="I498" s="69" t="str">
        <f aca="false">IFERROR(INDEX(商品マスタ!$F$6:$F$1005,MATCH($F498,商品マスタ!$B$6:$B$1005,0)),"")</f>
        <v/>
      </c>
      <c r="J498" s="69" t="str">
        <f aca="false">IF(OR($F498="",$C498&lt;&gt;'設定（最初に1回）'!$C$4),"",IFERROR(INDEX(発注計算!$Y$6:$Y$405,MATCH($F498,発注計算!$C$6:$C$405,0)),""))</f>
        <v/>
      </c>
      <c r="K498" s="70"/>
      <c r="L498" s="69" t="str">
        <f aca="false">IF($K498="","",N($K498)*N($I498))</f>
        <v/>
      </c>
      <c r="M498" s="71" t="str">
        <f aca="false">IFERROR(INDEX(商品マスタ!$G$6:$G$1005,MATCH($F498,商品マスタ!$B$6:$B$1005,0)),"")</f>
        <v/>
      </c>
      <c r="N498" s="71" t="str">
        <f aca="false">IF($K498="","",N($K498)*N($M498))</f>
        <v/>
      </c>
      <c r="O498" s="66" t="str">
        <f aca="false">IFERROR(INDEX(商品マスタ!$H$6:$H$1005,MATCH($F498,商品マスタ!$B$6:$B$1005,0)),"")</f>
        <v/>
      </c>
      <c r="P498" s="87" t="str">
        <f aca="false">IF(OR($E498="",$O498=""),"",WORKDAY($E498,$O498))</f>
        <v/>
      </c>
      <c r="Q498" s="80"/>
      <c r="R498" s="131"/>
      <c r="S498" s="69" t="n">
        <f aca="false">IF($Q498="入荷済み",N($L498),0)</f>
        <v>0</v>
      </c>
      <c r="T498" s="80"/>
      <c r="U498" s="80"/>
    </row>
    <row r="499" customFormat="false" ht="15" hidden="false" customHeight="false" outlineLevel="0" collapsed="false">
      <c r="B499" s="66" t="str">
        <f aca="false">IF(OR($E499="",$F499=""),"","PO-"&amp;TEXT($E499,"yyyymmdd")&amp;"-"&amp;TEXT(COUNTIFS($E$6:$E499,$E499,$C$6:$C499,$C499),"000"))</f>
        <v/>
      </c>
      <c r="C499" s="130"/>
      <c r="D499" s="66" t="str">
        <f aca="false">IFERROR(INDEX(定数マスタ!$C$6:$C$105,MATCH($C499,定数マスタ!$B$6:$B$105,0)),"")</f>
        <v/>
      </c>
      <c r="E499" s="131"/>
      <c r="F499" s="130"/>
      <c r="G499" s="66" t="str">
        <f aca="false">IFERROR(INDEX(商品マスタ!$C$6:$C$1005,MATCH($F499,商品マスタ!$B$6:$B$1005,0)),"")</f>
        <v/>
      </c>
      <c r="H499" s="66" t="str">
        <f aca="false">IFERROR(INDEX(商品マスタ!$E$6:$E$1005,MATCH($F499,商品マスタ!$B$6:$B$1005,0)),"")</f>
        <v/>
      </c>
      <c r="I499" s="69" t="str">
        <f aca="false">IFERROR(INDEX(商品マスタ!$F$6:$F$1005,MATCH($F499,商品マスタ!$B$6:$B$1005,0)),"")</f>
        <v/>
      </c>
      <c r="J499" s="69" t="str">
        <f aca="false">IF(OR($F499="",$C499&lt;&gt;'設定（最初に1回）'!$C$4),"",IFERROR(INDEX(発注計算!$Y$6:$Y$405,MATCH($F499,発注計算!$C$6:$C$405,0)),""))</f>
        <v/>
      </c>
      <c r="K499" s="70"/>
      <c r="L499" s="69" t="str">
        <f aca="false">IF($K499="","",N($K499)*N($I499))</f>
        <v/>
      </c>
      <c r="M499" s="71" t="str">
        <f aca="false">IFERROR(INDEX(商品マスタ!$G$6:$G$1005,MATCH($F499,商品マスタ!$B$6:$B$1005,0)),"")</f>
        <v/>
      </c>
      <c r="N499" s="71" t="str">
        <f aca="false">IF($K499="","",N($K499)*N($M499))</f>
        <v/>
      </c>
      <c r="O499" s="66" t="str">
        <f aca="false">IFERROR(INDEX(商品マスタ!$H$6:$H$1005,MATCH($F499,商品マスタ!$B$6:$B$1005,0)),"")</f>
        <v/>
      </c>
      <c r="P499" s="87" t="str">
        <f aca="false">IF(OR($E499="",$O499=""),"",WORKDAY($E499,$O499))</f>
        <v/>
      </c>
      <c r="Q499" s="80"/>
      <c r="R499" s="131"/>
      <c r="S499" s="69" t="n">
        <f aca="false">IF($Q499="入荷済み",N($L499),0)</f>
        <v>0</v>
      </c>
      <c r="T499" s="80"/>
      <c r="U499" s="80"/>
    </row>
    <row r="500" customFormat="false" ht="15" hidden="false" customHeight="false" outlineLevel="0" collapsed="false">
      <c r="B500" s="66" t="str">
        <f aca="false">IF(OR($E500="",$F500=""),"","PO-"&amp;TEXT($E500,"yyyymmdd")&amp;"-"&amp;TEXT(COUNTIFS($E$6:$E500,$E500,$C$6:$C500,$C500),"000"))</f>
        <v/>
      </c>
      <c r="C500" s="130"/>
      <c r="D500" s="66" t="str">
        <f aca="false">IFERROR(INDEX(定数マスタ!$C$6:$C$105,MATCH($C500,定数マスタ!$B$6:$B$105,0)),"")</f>
        <v/>
      </c>
      <c r="E500" s="131"/>
      <c r="F500" s="130"/>
      <c r="G500" s="66" t="str">
        <f aca="false">IFERROR(INDEX(商品マスタ!$C$6:$C$1005,MATCH($F500,商品マスタ!$B$6:$B$1005,0)),"")</f>
        <v/>
      </c>
      <c r="H500" s="66" t="str">
        <f aca="false">IFERROR(INDEX(商品マスタ!$E$6:$E$1005,MATCH($F500,商品マスタ!$B$6:$B$1005,0)),"")</f>
        <v/>
      </c>
      <c r="I500" s="69" t="str">
        <f aca="false">IFERROR(INDEX(商品マスタ!$F$6:$F$1005,MATCH($F500,商品マスタ!$B$6:$B$1005,0)),"")</f>
        <v/>
      </c>
      <c r="J500" s="69" t="str">
        <f aca="false">IF(OR($F500="",$C500&lt;&gt;'設定（最初に1回）'!$C$4),"",IFERROR(INDEX(発注計算!$Y$6:$Y$405,MATCH($F500,発注計算!$C$6:$C$405,0)),""))</f>
        <v/>
      </c>
      <c r="K500" s="70"/>
      <c r="L500" s="69" t="str">
        <f aca="false">IF($K500="","",N($K500)*N($I500))</f>
        <v/>
      </c>
      <c r="M500" s="71" t="str">
        <f aca="false">IFERROR(INDEX(商品マスタ!$G$6:$G$1005,MATCH($F500,商品マスタ!$B$6:$B$1005,0)),"")</f>
        <v/>
      </c>
      <c r="N500" s="71" t="str">
        <f aca="false">IF($K500="","",N($K500)*N($M500))</f>
        <v/>
      </c>
      <c r="O500" s="66" t="str">
        <f aca="false">IFERROR(INDEX(商品マスタ!$H$6:$H$1005,MATCH($F500,商品マスタ!$B$6:$B$1005,0)),"")</f>
        <v/>
      </c>
      <c r="P500" s="87" t="str">
        <f aca="false">IF(OR($E500="",$O500=""),"",WORKDAY($E500,$O500))</f>
        <v/>
      </c>
      <c r="Q500" s="80"/>
      <c r="R500" s="131"/>
      <c r="S500" s="69" t="n">
        <f aca="false">IF($Q500="入荷済み",N($L500),0)</f>
        <v>0</v>
      </c>
      <c r="T500" s="80"/>
      <c r="U500" s="80"/>
    </row>
    <row r="501" customFormat="false" ht="15" hidden="false" customHeight="false" outlineLevel="0" collapsed="false">
      <c r="B501" s="66" t="str">
        <f aca="false">IF(OR($E501="",$F501=""),"","PO-"&amp;TEXT($E501,"yyyymmdd")&amp;"-"&amp;TEXT(COUNTIFS($E$6:$E501,$E501,$C$6:$C501,$C501),"000"))</f>
        <v/>
      </c>
      <c r="C501" s="130"/>
      <c r="D501" s="66" t="str">
        <f aca="false">IFERROR(INDEX(定数マスタ!$C$6:$C$105,MATCH($C501,定数マスタ!$B$6:$B$105,0)),"")</f>
        <v/>
      </c>
      <c r="E501" s="131"/>
      <c r="F501" s="130"/>
      <c r="G501" s="66" t="str">
        <f aca="false">IFERROR(INDEX(商品マスタ!$C$6:$C$1005,MATCH($F501,商品マスタ!$B$6:$B$1005,0)),"")</f>
        <v/>
      </c>
      <c r="H501" s="66" t="str">
        <f aca="false">IFERROR(INDEX(商品マスタ!$E$6:$E$1005,MATCH($F501,商品マスタ!$B$6:$B$1005,0)),"")</f>
        <v/>
      </c>
      <c r="I501" s="69" t="str">
        <f aca="false">IFERROR(INDEX(商品マスタ!$F$6:$F$1005,MATCH($F501,商品マスタ!$B$6:$B$1005,0)),"")</f>
        <v/>
      </c>
      <c r="J501" s="69" t="str">
        <f aca="false">IF(OR($F501="",$C501&lt;&gt;'設定（最初に1回）'!$C$4),"",IFERROR(INDEX(発注計算!$Y$6:$Y$405,MATCH($F501,発注計算!$C$6:$C$405,0)),""))</f>
        <v/>
      </c>
      <c r="K501" s="70"/>
      <c r="L501" s="69" t="str">
        <f aca="false">IF($K501="","",N($K501)*N($I501))</f>
        <v/>
      </c>
      <c r="M501" s="71" t="str">
        <f aca="false">IFERROR(INDEX(商品マスタ!$G$6:$G$1005,MATCH($F501,商品マスタ!$B$6:$B$1005,0)),"")</f>
        <v/>
      </c>
      <c r="N501" s="71" t="str">
        <f aca="false">IF($K501="","",N($K501)*N($M501))</f>
        <v/>
      </c>
      <c r="O501" s="66" t="str">
        <f aca="false">IFERROR(INDEX(商品マスタ!$H$6:$H$1005,MATCH($F501,商品マスタ!$B$6:$B$1005,0)),"")</f>
        <v/>
      </c>
      <c r="P501" s="87" t="str">
        <f aca="false">IF(OR($E501="",$O501=""),"",WORKDAY($E501,$O501))</f>
        <v/>
      </c>
      <c r="Q501" s="80"/>
      <c r="R501" s="131"/>
      <c r="S501" s="69" t="n">
        <f aca="false">IF($Q501="入荷済み",N($L501),0)</f>
        <v>0</v>
      </c>
      <c r="T501" s="80"/>
      <c r="U501" s="80"/>
    </row>
    <row r="502" customFormat="false" ht="15" hidden="false" customHeight="false" outlineLevel="0" collapsed="false">
      <c r="B502" s="66" t="str">
        <f aca="false">IF(OR($E502="",$F502=""),"","PO-"&amp;TEXT($E502,"yyyymmdd")&amp;"-"&amp;TEXT(COUNTIFS($E$6:$E502,$E502,$C$6:$C502,$C502),"000"))</f>
        <v/>
      </c>
      <c r="C502" s="130"/>
      <c r="D502" s="66" t="str">
        <f aca="false">IFERROR(INDEX(定数マスタ!$C$6:$C$105,MATCH($C502,定数マスタ!$B$6:$B$105,0)),"")</f>
        <v/>
      </c>
      <c r="E502" s="131"/>
      <c r="F502" s="130"/>
      <c r="G502" s="66" t="str">
        <f aca="false">IFERROR(INDEX(商品マスタ!$C$6:$C$1005,MATCH($F502,商品マスタ!$B$6:$B$1005,0)),"")</f>
        <v/>
      </c>
      <c r="H502" s="66" t="str">
        <f aca="false">IFERROR(INDEX(商品マスタ!$E$6:$E$1005,MATCH($F502,商品マスタ!$B$6:$B$1005,0)),"")</f>
        <v/>
      </c>
      <c r="I502" s="69" t="str">
        <f aca="false">IFERROR(INDEX(商品マスタ!$F$6:$F$1005,MATCH($F502,商品マスタ!$B$6:$B$1005,0)),"")</f>
        <v/>
      </c>
      <c r="J502" s="69" t="str">
        <f aca="false">IF(OR($F502="",$C502&lt;&gt;'設定（最初に1回）'!$C$4),"",IFERROR(INDEX(発注計算!$Y$6:$Y$405,MATCH($F502,発注計算!$C$6:$C$405,0)),""))</f>
        <v/>
      </c>
      <c r="K502" s="70"/>
      <c r="L502" s="69" t="str">
        <f aca="false">IF($K502="","",N($K502)*N($I502))</f>
        <v/>
      </c>
      <c r="M502" s="71" t="str">
        <f aca="false">IFERROR(INDEX(商品マスタ!$G$6:$G$1005,MATCH($F502,商品マスタ!$B$6:$B$1005,0)),"")</f>
        <v/>
      </c>
      <c r="N502" s="71" t="str">
        <f aca="false">IF($K502="","",N($K502)*N($M502))</f>
        <v/>
      </c>
      <c r="O502" s="66" t="str">
        <f aca="false">IFERROR(INDEX(商品マスタ!$H$6:$H$1005,MATCH($F502,商品マスタ!$B$6:$B$1005,0)),"")</f>
        <v/>
      </c>
      <c r="P502" s="87" t="str">
        <f aca="false">IF(OR($E502="",$O502=""),"",WORKDAY($E502,$O502))</f>
        <v/>
      </c>
      <c r="Q502" s="80"/>
      <c r="R502" s="131"/>
      <c r="S502" s="69" t="n">
        <f aca="false">IF($Q502="入荷済み",N($L502),0)</f>
        <v>0</v>
      </c>
      <c r="T502" s="80"/>
      <c r="U502" s="80"/>
    </row>
    <row r="503" customFormat="false" ht="15" hidden="false" customHeight="false" outlineLevel="0" collapsed="false">
      <c r="B503" s="66" t="str">
        <f aca="false">IF(OR($E503="",$F503=""),"","PO-"&amp;TEXT($E503,"yyyymmdd")&amp;"-"&amp;TEXT(COUNTIFS($E$6:$E503,$E503,$C$6:$C503,$C503),"000"))</f>
        <v/>
      </c>
      <c r="C503" s="130"/>
      <c r="D503" s="66" t="str">
        <f aca="false">IFERROR(INDEX(定数マスタ!$C$6:$C$105,MATCH($C503,定数マスタ!$B$6:$B$105,0)),"")</f>
        <v/>
      </c>
      <c r="E503" s="131"/>
      <c r="F503" s="130"/>
      <c r="G503" s="66" t="str">
        <f aca="false">IFERROR(INDEX(商品マスタ!$C$6:$C$1005,MATCH($F503,商品マスタ!$B$6:$B$1005,0)),"")</f>
        <v/>
      </c>
      <c r="H503" s="66" t="str">
        <f aca="false">IFERROR(INDEX(商品マスタ!$E$6:$E$1005,MATCH($F503,商品マスタ!$B$6:$B$1005,0)),"")</f>
        <v/>
      </c>
      <c r="I503" s="69" t="str">
        <f aca="false">IFERROR(INDEX(商品マスタ!$F$6:$F$1005,MATCH($F503,商品マスタ!$B$6:$B$1005,0)),"")</f>
        <v/>
      </c>
      <c r="J503" s="69" t="str">
        <f aca="false">IF(OR($F503="",$C503&lt;&gt;'設定（最初に1回）'!$C$4),"",IFERROR(INDEX(発注計算!$Y$6:$Y$405,MATCH($F503,発注計算!$C$6:$C$405,0)),""))</f>
        <v/>
      </c>
      <c r="K503" s="70"/>
      <c r="L503" s="69" t="str">
        <f aca="false">IF($K503="","",N($K503)*N($I503))</f>
        <v/>
      </c>
      <c r="M503" s="71" t="str">
        <f aca="false">IFERROR(INDEX(商品マスタ!$G$6:$G$1005,MATCH($F503,商品マスタ!$B$6:$B$1005,0)),"")</f>
        <v/>
      </c>
      <c r="N503" s="71" t="str">
        <f aca="false">IF($K503="","",N($K503)*N($M503))</f>
        <v/>
      </c>
      <c r="O503" s="66" t="str">
        <f aca="false">IFERROR(INDEX(商品マスタ!$H$6:$H$1005,MATCH($F503,商品マスタ!$B$6:$B$1005,0)),"")</f>
        <v/>
      </c>
      <c r="P503" s="87" t="str">
        <f aca="false">IF(OR($E503="",$O503=""),"",WORKDAY($E503,$O503))</f>
        <v/>
      </c>
      <c r="Q503" s="80"/>
      <c r="R503" s="131"/>
      <c r="S503" s="69" t="n">
        <f aca="false">IF($Q503="入荷済み",N($L503),0)</f>
        <v>0</v>
      </c>
      <c r="T503" s="80"/>
      <c r="U503" s="80"/>
    </row>
    <row r="504" customFormat="false" ht="15" hidden="false" customHeight="false" outlineLevel="0" collapsed="false">
      <c r="B504" s="66" t="str">
        <f aca="false">IF(OR($E504="",$F504=""),"","PO-"&amp;TEXT($E504,"yyyymmdd")&amp;"-"&amp;TEXT(COUNTIFS($E$6:$E504,$E504,$C$6:$C504,$C504),"000"))</f>
        <v/>
      </c>
      <c r="C504" s="130"/>
      <c r="D504" s="66" t="str">
        <f aca="false">IFERROR(INDEX(定数マスタ!$C$6:$C$105,MATCH($C504,定数マスタ!$B$6:$B$105,0)),"")</f>
        <v/>
      </c>
      <c r="E504" s="131"/>
      <c r="F504" s="130"/>
      <c r="G504" s="66" t="str">
        <f aca="false">IFERROR(INDEX(商品マスタ!$C$6:$C$1005,MATCH($F504,商品マスタ!$B$6:$B$1005,0)),"")</f>
        <v/>
      </c>
      <c r="H504" s="66" t="str">
        <f aca="false">IFERROR(INDEX(商品マスタ!$E$6:$E$1005,MATCH($F504,商品マスタ!$B$6:$B$1005,0)),"")</f>
        <v/>
      </c>
      <c r="I504" s="69" t="str">
        <f aca="false">IFERROR(INDEX(商品マスタ!$F$6:$F$1005,MATCH($F504,商品マスタ!$B$6:$B$1005,0)),"")</f>
        <v/>
      </c>
      <c r="J504" s="69" t="str">
        <f aca="false">IF(OR($F504="",$C504&lt;&gt;'設定（最初に1回）'!$C$4),"",IFERROR(INDEX(発注計算!$Y$6:$Y$405,MATCH($F504,発注計算!$C$6:$C$405,0)),""))</f>
        <v/>
      </c>
      <c r="K504" s="70"/>
      <c r="L504" s="69" t="str">
        <f aca="false">IF($K504="","",N($K504)*N($I504))</f>
        <v/>
      </c>
      <c r="M504" s="71" t="str">
        <f aca="false">IFERROR(INDEX(商品マスタ!$G$6:$G$1005,MATCH($F504,商品マスタ!$B$6:$B$1005,0)),"")</f>
        <v/>
      </c>
      <c r="N504" s="71" t="str">
        <f aca="false">IF($K504="","",N($K504)*N($M504))</f>
        <v/>
      </c>
      <c r="O504" s="66" t="str">
        <f aca="false">IFERROR(INDEX(商品マスタ!$H$6:$H$1005,MATCH($F504,商品マスタ!$B$6:$B$1005,0)),"")</f>
        <v/>
      </c>
      <c r="P504" s="87" t="str">
        <f aca="false">IF(OR($E504="",$O504=""),"",WORKDAY($E504,$O504))</f>
        <v/>
      </c>
      <c r="Q504" s="80"/>
      <c r="R504" s="131"/>
      <c r="S504" s="69" t="n">
        <f aca="false">IF($Q504="入荷済み",N($L504),0)</f>
        <v>0</v>
      </c>
      <c r="T504" s="80"/>
      <c r="U504" s="80"/>
    </row>
    <row r="505" customFormat="false" ht="15" hidden="false" customHeight="false" outlineLevel="0" collapsed="false">
      <c r="B505" s="66" t="str">
        <f aca="false">IF(OR($E505="",$F505=""),"","PO-"&amp;TEXT($E505,"yyyymmdd")&amp;"-"&amp;TEXT(COUNTIFS($E$6:$E505,$E505,$C$6:$C505,$C505),"000"))</f>
        <v/>
      </c>
      <c r="C505" s="130"/>
      <c r="D505" s="66" t="str">
        <f aca="false">IFERROR(INDEX(定数マスタ!$C$6:$C$105,MATCH($C505,定数マスタ!$B$6:$B$105,0)),"")</f>
        <v/>
      </c>
      <c r="E505" s="131"/>
      <c r="F505" s="130"/>
      <c r="G505" s="66" t="str">
        <f aca="false">IFERROR(INDEX(商品マスタ!$C$6:$C$1005,MATCH($F505,商品マスタ!$B$6:$B$1005,0)),"")</f>
        <v/>
      </c>
      <c r="H505" s="66" t="str">
        <f aca="false">IFERROR(INDEX(商品マスタ!$E$6:$E$1005,MATCH($F505,商品マスタ!$B$6:$B$1005,0)),"")</f>
        <v/>
      </c>
      <c r="I505" s="69" t="str">
        <f aca="false">IFERROR(INDEX(商品マスタ!$F$6:$F$1005,MATCH($F505,商品マスタ!$B$6:$B$1005,0)),"")</f>
        <v/>
      </c>
      <c r="J505" s="69" t="str">
        <f aca="false">IF(OR($F505="",$C505&lt;&gt;'設定（最初に1回）'!$C$4),"",IFERROR(INDEX(発注計算!$Y$6:$Y$405,MATCH($F505,発注計算!$C$6:$C$405,0)),""))</f>
        <v/>
      </c>
      <c r="K505" s="70"/>
      <c r="L505" s="69" t="str">
        <f aca="false">IF($K505="","",N($K505)*N($I505))</f>
        <v/>
      </c>
      <c r="M505" s="71" t="str">
        <f aca="false">IFERROR(INDEX(商品マスタ!$G$6:$G$1005,MATCH($F505,商品マスタ!$B$6:$B$1005,0)),"")</f>
        <v/>
      </c>
      <c r="N505" s="71" t="str">
        <f aca="false">IF($K505="","",N($K505)*N($M505))</f>
        <v/>
      </c>
      <c r="O505" s="66" t="str">
        <f aca="false">IFERROR(INDEX(商品マスタ!$H$6:$H$1005,MATCH($F505,商品マスタ!$B$6:$B$1005,0)),"")</f>
        <v/>
      </c>
      <c r="P505" s="87" t="str">
        <f aca="false">IF(OR($E505="",$O505=""),"",WORKDAY($E505,$O505))</f>
        <v/>
      </c>
      <c r="Q505" s="80"/>
      <c r="R505" s="131"/>
      <c r="S505" s="69" t="n">
        <f aca="false">IF($Q505="入荷済み",N($L505),0)</f>
        <v>0</v>
      </c>
      <c r="T505" s="80"/>
      <c r="U505" s="80"/>
    </row>
    <row r="506" customFormat="false" ht="15" hidden="false" customHeight="false" outlineLevel="0" collapsed="false">
      <c r="B506" s="66" t="str">
        <f aca="false">IF(OR($E506="",$F506=""),"","PO-"&amp;TEXT($E506,"yyyymmdd")&amp;"-"&amp;TEXT(COUNTIFS($E$6:$E506,$E506,$C$6:$C506,$C506),"000"))</f>
        <v/>
      </c>
      <c r="C506" s="130"/>
      <c r="D506" s="66" t="str">
        <f aca="false">IFERROR(INDEX(定数マスタ!$C$6:$C$105,MATCH($C506,定数マスタ!$B$6:$B$105,0)),"")</f>
        <v/>
      </c>
      <c r="E506" s="131"/>
      <c r="F506" s="130"/>
      <c r="G506" s="66" t="str">
        <f aca="false">IFERROR(INDEX(商品マスタ!$C$6:$C$1005,MATCH($F506,商品マスタ!$B$6:$B$1005,0)),"")</f>
        <v/>
      </c>
      <c r="H506" s="66" t="str">
        <f aca="false">IFERROR(INDEX(商品マスタ!$E$6:$E$1005,MATCH($F506,商品マスタ!$B$6:$B$1005,0)),"")</f>
        <v/>
      </c>
      <c r="I506" s="69" t="str">
        <f aca="false">IFERROR(INDEX(商品マスタ!$F$6:$F$1005,MATCH($F506,商品マスタ!$B$6:$B$1005,0)),"")</f>
        <v/>
      </c>
      <c r="J506" s="69" t="str">
        <f aca="false">IF(OR($F506="",$C506&lt;&gt;'設定（最初に1回）'!$C$4),"",IFERROR(INDEX(発注計算!$Y$6:$Y$405,MATCH($F506,発注計算!$C$6:$C$405,0)),""))</f>
        <v/>
      </c>
      <c r="K506" s="70"/>
      <c r="L506" s="69" t="str">
        <f aca="false">IF($K506="","",N($K506)*N($I506))</f>
        <v/>
      </c>
      <c r="M506" s="71" t="str">
        <f aca="false">IFERROR(INDEX(商品マスタ!$G$6:$G$1005,MATCH($F506,商品マスタ!$B$6:$B$1005,0)),"")</f>
        <v/>
      </c>
      <c r="N506" s="71" t="str">
        <f aca="false">IF($K506="","",N($K506)*N($M506))</f>
        <v/>
      </c>
      <c r="O506" s="66" t="str">
        <f aca="false">IFERROR(INDEX(商品マスタ!$H$6:$H$1005,MATCH($F506,商品マスタ!$B$6:$B$1005,0)),"")</f>
        <v/>
      </c>
      <c r="P506" s="87" t="str">
        <f aca="false">IF(OR($E506="",$O506=""),"",WORKDAY($E506,$O506))</f>
        <v/>
      </c>
      <c r="Q506" s="80"/>
      <c r="R506" s="131"/>
      <c r="S506" s="69" t="n">
        <f aca="false">IF($Q506="入荷済み",N($L506),0)</f>
        <v>0</v>
      </c>
      <c r="T506" s="80"/>
      <c r="U506" s="80"/>
    </row>
    <row r="507" customFormat="false" ht="15" hidden="false" customHeight="false" outlineLevel="0" collapsed="false">
      <c r="B507" s="66" t="str">
        <f aca="false">IF(OR($E507="",$F507=""),"","PO-"&amp;TEXT($E507,"yyyymmdd")&amp;"-"&amp;TEXT(COUNTIFS($E$6:$E507,$E507,$C$6:$C507,$C507),"000"))</f>
        <v/>
      </c>
      <c r="C507" s="130"/>
      <c r="D507" s="66" t="str">
        <f aca="false">IFERROR(INDEX(定数マスタ!$C$6:$C$105,MATCH($C507,定数マスタ!$B$6:$B$105,0)),"")</f>
        <v/>
      </c>
      <c r="E507" s="131"/>
      <c r="F507" s="130"/>
      <c r="G507" s="66" t="str">
        <f aca="false">IFERROR(INDEX(商品マスタ!$C$6:$C$1005,MATCH($F507,商品マスタ!$B$6:$B$1005,0)),"")</f>
        <v/>
      </c>
      <c r="H507" s="66" t="str">
        <f aca="false">IFERROR(INDEX(商品マスタ!$E$6:$E$1005,MATCH($F507,商品マスタ!$B$6:$B$1005,0)),"")</f>
        <v/>
      </c>
      <c r="I507" s="69" t="str">
        <f aca="false">IFERROR(INDEX(商品マスタ!$F$6:$F$1005,MATCH($F507,商品マスタ!$B$6:$B$1005,0)),"")</f>
        <v/>
      </c>
      <c r="J507" s="69" t="str">
        <f aca="false">IF(OR($F507="",$C507&lt;&gt;'設定（最初に1回）'!$C$4),"",IFERROR(INDEX(発注計算!$Y$6:$Y$405,MATCH($F507,発注計算!$C$6:$C$405,0)),""))</f>
        <v/>
      </c>
      <c r="K507" s="70"/>
      <c r="L507" s="69" t="str">
        <f aca="false">IF($K507="","",N($K507)*N($I507))</f>
        <v/>
      </c>
      <c r="M507" s="71" t="str">
        <f aca="false">IFERROR(INDEX(商品マスタ!$G$6:$G$1005,MATCH($F507,商品マスタ!$B$6:$B$1005,0)),"")</f>
        <v/>
      </c>
      <c r="N507" s="71" t="str">
        <f aca="false">IF($K507="","",N($K507)*N($M507))</f>
        <v/>
      </c>
      <c r="O507" s="66" t="str">
        <f aca="false">IFERROR(INDEX(商品マスタ!$H$6:$H$1005,MATCH($F507,商品マスタ!$B$6:$B$1005,0)),"")</f>
        <v/>
      </c>
      <c r="P507" s="87" t="str">
        <f aca="false">IF(OR($E507="",$O507=""),"",WORKDAY($E507,$O507))</f>
        <v/>
      </c>
      <c r="Q507" s="80"/>
      <c r="R507" s="131"/>
      <c r="S507" s="69" t="n">
        <f aca="false">IF($Q507="入荷済み",N($L507),0)</f>
        <v>0</v>
      </c>
      <c r="T507" s="80"/>
      <c r="U507" s="80"/>
    </row>
    <row r="508" customFormat="false" ht="15" hidden="false" customHeight="false" outlineLevel="0" collapsed="false">
      <c r="B508" s="66" t="str">
        <f aca="false">IF(OR($E508="",$F508=""),"","PO-"&amp;TEXT($E508,"yyyymmdd")&amp;"-"&amp;TEXT(COUNTIFS($E$6:$E508,$E508,$C$6:$C508,$C508),"000"))</f>
        <v/>
      </c>
      <c r="C508" s="130"/>
      <c r="D508" s="66" t="str">
        <f aca="false">IFERROR(INDEX(定数マスタ!$C$6:$C$105,MATCH($C508,定数マスタ!$B$6:$B$105,0)),"")</f>
        <v/>
      </c>
      <c r="E508" s="131"/>
      <c r="F508" s="130"/>
      <c r="G508" s="66" t="str">
        <f aca="false">IFERROR(INDEX(商品マスタ!$C$6:$C$1005,MATCH($F508,商品マスタ!$B$6:$B$1005,0)),"")</f>
        <v/>
      </c>
      <c r="H508" s="66" t="str">
        <f aca="false">IFERROR(INDEX(商品マスタ!$E$6:$E$1005,MATCH($F508,商品マスタ!$B$6:$B$1005,0)),"")</f>
        <v/>
      </c>
      <c r="I508" s="69" t="str">
        <f aca="false">IFERROR(INDEX(商品マスタ!$F$6:$F$1005,MATCH($F508,商品マスタ!$B$6:$B$1005,0)),"")</f>
        <v/>
      </c>
      <c r="J508" s="69" t="str">
        <f aca="false">IF(OR($F508="",$C508&lt;&gt;'設定（最初に1回）'!$C$4),"",IFERROR(INDEX(発注計算!$Y$6:$Y$405,MATCH($F508,発注計算!$C$6:$C$405,0)),""))</f>
        <v/>
      </c>
      <c r="K508" s="70"/>
      <c r="L508" s="69" t="str">
        <f aca="false">IF($K508="","",N($K508)*N($I508))</f>
        <v/>
      </c>
      <c r="M508" s="71" t="str">
        <f aca="false">IFERROR(INDEX(商品マスタ!$G$6:$G$1005,MATCH($F508,商品マスタ!$B$6:$B$1005,0)),"")</f>
        <v/>
      </c>
      <c r="N508" s="71" t="str">
        <f aca="false">IF($K508="","",N($K508)*N($M508))</f>
        <v/>
      </c>
      <c r="O508" s="66" t="str">
        <f aca="false">IFERROR(INDEX(商品マスタ!$H$6:$H$1005,MATCH($F508,商品マスタ!$B$6:$B$1005,0)),"")</f>
        <v/>
      </c>
      <c r="P508" s="87" t="str">
        <f aca="false">IF(OR($E508="",$O508=""),"",WORKDAY($E508,$O508))</f>
        <v/>
      </c>
      <c r="Q508" s="80"/>
      <c r="R508" s="131"/>
      <c r="S508" s="69" t="n">
        <f aca="false">IF($Q508="入荷済み",N($L508),0)</f>
        <v>0</v>
      </c>
      <c r="T508" s="80"/>
      <c r="U508" s="80"/>
    </row>
    <row r="509" customFormat="false" ht="15" hidden="false" customHeight="false" outlineLevel="0" collapsed="false">
      <c r="B509" s="66" t="str">
        <f aca="false">IF(OR($E509="",$F509=""),"","PO-"&amp;TEXT($E509,"yyyymmdd")&amp;"-"&amp;TEXT(COUNTIFS($E$6:$E509,$E509,$C$6:$C509,$C509),"000"))</f>
        <v/>
      </c>
      <c r="C509" s="130"/>
      <c r="D509" s="66" t="str">
        <f aca="false">IFERROR(INDEX(定数マスタ!$C$6:$C$105,MATCH($C509,定数マスタ!$B$6:$B$105,0)),"")</f>
        <v/>
      </c>
      <c r="E509" s="131"/>
      <c r="F509" s="130"/>
      <c r="G509" s="66" t="str">
        <f aca="false">IFERROR(INDEX(商品マスタ!$C$6:$C$1005,MATCH($F509,商品マスタ!$B$6:$B$1005,0)),"")</f>
        <v/>
      </c>
      <c r="H509" s="66" t="str">
        <f aca="false">IFERROR(INDEX(商品マスタ!$E$6:$E$1005,MATCH($F509,商品マスタ!$B$6:$B$1005,0)),"")</f>
        <v/>
      </c>
      <c r="I509" s="69" t="str">
        <f aca="false">IFERROR(INDEX(商品マスタ!$F$6:$F$1005,MATCH($F509,商品マスタ!$B$6:$B$1005,0)),"")</f>
        <v/>
      </c>
      <c r="J509" s="69" t="str">
        <f aca="false">IF(OR($F509="",$C509&lt;&gt;'設定（最初に1回）'!$C$4),"",IFERROR(INDEX(発注計算!$Y$6:$Y$405,MATCH($F509,発注計算!$C$6:$C$405,0)),""))</f>
        <v/>
      </c>
      <c r="K509" s="70"/>
      <c r="L509" s="69" t="str">
        <f aca="false">IF($K509="","",N($K509)*N($I509))</f>
        <v/>
      </c>
      <c r="M509" s="71" t="str">
        <f aca="false">IFERROR(INDEX(商品マスタ!$G$6:$G$1005,MATCH($F509,商品マスタ!$B$6:$B$1005,0)),"")</f>
        <v/>
      </c>
      <c r="N509" s="71" t="str">
        <f aca="false">IF($K509="","",N($K509)*N($M509))</f>
        <v/>
      </c>
      <c r="O509" s="66" t="str">
        <f aca="false">IFERROR(INDEX(商品マスタ!$H$6:$H$1005,MATCH($F509,商品マスタ!$B$6:$B$1005,0)),"")</f>
        <v/>
      </c>
      <c r="P509" s="87" t="str">
        <f aca="false">IF(OR($E509="",$O509=""),"",WORKDAY($E509,$O509))</f>
        <v/>
      </c>
      <c r="Q509" s="80"/>
      <c r="R509" s="131"/>
      <c r="S509" s="69" t="n">
        <f aca="false">IF($Q509="入荷済み",N($L509),0)</f>
        <v>0</v>
      </c>
      <c r="T509" s="80"/>
      <c r="U509" s="80"/>
    </row>
    <row r="510" customFormat="false" ht="15" hidden="false" customHeight="false" outlineLevel="0" collapsed="false">
      <c r="B510" s="66" t="str">
        <f aca="false">IF(OR($E510="",$F510=""),"","PO-"&amp;TEXT($E510,"yyyymmdd")&amp;"-"&amp;TEXT(COUNTIFS($E$6:$E510,$E510,$C$6:$C510,$C510),"000"))</f>
        <v/>
      </c>
      <c r="C510" s="130"/>
      <c r="D510" s="66" t="str">
        <f aca="false">IFERROR(INDEX(定数マスタ!$C$6:$C$105,MATCH($C510,定数マスタ!$B$6:$B$105,0)),"")</f>
        <v/>
      </c>
      <c r="E510" s="131"/>
      <c r="F510" s="130"/>
      <c r="G510" s="66" t="str">
        <f aca="false">IFERROR(INDEX(商品マスタ!$C$6:$C$1005,MATCH($F510,商品マスタ!$B$6:$B$1005,0)),"")</f>
        <v/>
      </c>
      <c r="H510" s="66" t="str">
        <f aca="false">IFERROR(INDEX(商品マスタ!$E$6:$E$1005,MATCH($F510,商品マスタ!$B$6:$B$1005,0)),"")</f>
        <v/>
      </c>
      <c r="I510" s="69" t="str">
        <f aca="false">IFERROR(INDEX(商品マスタ!$F$6:$F$1005,MATCH($F510,商品マスタ!$B$6:$B$1005,0)),"")</f>
        <v/>
      </c>
      <c r="J510" s="69" t="str">
        <f aca="false">IF(OR($F510="",$C510&lt;&gt;'設定（最初に1回）'!$C$4),"",IFERROR(INDEX(発注計算!$Y$6:$Y$405,MATCH($F510,発注計算!$C$6:$C$405,0)),""))</f>
        <v/>
      </c>
      <c r="K510" s="70"/>
      <c r="L510" s="69" t="str">
        <f aca="false">IF($K510="","",N($K510)*N($I510))</f>
        <v/>
      </c>
      <c r="M510" s="71" t="str">
        <f aca="false">IFERROR(INDEX(商品マスタ!$G$6:$G$1005,MATCH($F510,商品マスタ!$B$6:$B$1005,0)),"")</f>
        <v/>
      </c>
      <c r="N510" s="71" t="str">
        <f aca="false">IF($K510="","",N($K510)*N($M510))</f>
        <v/>
      </c>
      <c r="O510" s="66" t="str">
        <f aca="false">IFERROR(INDEX(商品マスタ!$H$6:$H$1005,MATCH($F510,商品マスタ!$B$6:$B$1005,0)),"")</f>
        <v/>
      </c>
      <c r="P510" s="87" t="str">
        <f aca="false">IF(OR($E510="",$O510=""),"",WORKDAY($E510,$O510))</f>
        <v/>
      </c>
      <c r="Q510" s="80"/>
      <c r="R510" s="131"/>
      <c r="S510" s="69" t="n">
        <f aca="false">IF($Q510="入荷済み",N($L510),0)</f>
        <v>0</v>
      </c>
      <c r="T510" s="80"/>
      <c r="U510" s="80"/>
    </row>
    <row r="511" customFormat="false" ht="15" hidden="false" customHeight="false" outlineLevel="0" collapsed="false">
      <c r="B511" s="66" t="str">
        <f aca="false">IF(OR($E511="",$F511=""),"","PO-"&amp;TEXT($E511,"yyyymmdd")&amp;"-"&amp;TEXT(COUNTIFS($E$6:$E511,$E511,$C$6:$C511,$C511),"000"))</f>
        <v/>
      </c>
      <c r="C511" s="130"/>
      <c r="D511" s="66" t="str">
        <f aca="false">IFERROR(INDEX(定数マスタ!$C$6:$C$105,MATCH($C511,定数マスタ!$B$6:$B$105,0)),"")</f>
        <v/>
      </c>
      <c r="E511" s="131"/>
      <c r="F511" s="130"/>
      <c r="G511" s="66" t="str">
        <f aca="false">IFERROR(INDEX(商品マスタ!$C$6:$C$1005,MATCH($F511,商品マスタ!$B$6:$B$1005,0)),"")</f>
        <v/>
      </c>
      <c r="H511" s="66" t="str">
        <f aca="false">IFERROR(INDEX(商品マスタ!$E$6:$E$1005,MATCH($F511,商品マスタ!$B$6:$B$1005,0)),"")</f>
        <v/>
      </c>
      <c r="I511" s="69" t="str">
        <f aca="false">IFERROR(INDEX(商品マスタ!$F$6:$F$1005,MATCH($F511,商品マスタ!$B$6:$B$1005,0)),"")</f>
        <v/>
      </c>
      <c r="J511" s="69" t="str">
        <f aca="false">IF(OR($F511="",$C511&lt;&gt;'設定（最初に1回）'!$C$4),"",IFERROR(INDEX(発注計算!$Y$6:$Y$405,MATCH($F511,発注計算!$C$6:$C$405,0)),""))</f>
        <v/>
      </c>
      <c r="K511" s="70"/>
      <c r="L511" s="69" t="str">
        <f aca="false">IF($K511="","",N($K511)*N($I511))</f>
        <v/>
      </c>
      <c r="M511" s="71" t="str">
        <f aca="false">IFERROR(INDEX(商品マスタ!$G$6:$G$1005,MATCH($F511,商品マスタ!$B$6:$B$1005,0)),"")</f>
        <v/>
      </c>
      <c r="N511" s="71" t="str">
        <f aca="false">IF($K511="","",N($K511)*N($M511))</f>
        <v/>
      </c>
      <c r="O511" s="66" t="str">
        <f aca="false">IFERROR(INDEX(商品マスタ!$H$6:$H$1005,MATCH($F511,商品マスタ!$B$6:$B$1005,0)),"")</f>
        <v/>
      </c>
      <c r="P511" s="87" t="str">
        <f aca="false">IF(OR($E511="",$O511=""),"",WORKDAY($E511,$O511))</f>
        <v/>
      </c>
      <c r="Q511" s="80"/>
      <c r="R511" s="131"/>
      <c r="S511" s="69" t="n">
        <f aca="false">IF($Q511="入荷済み",N($L511),0)</f>
        <v>0</v>
      </c>
      <c r="T511" s="80"/>
      <c r="U511" s="80"/>
    </row>
    <row r="512" customFormat="false" ht="15" hidden="false" customHeight="false" outlineLevel="0" collapsed="false">
      <c r="B512" s="66" t="str">
        <f aca="false">IF(OR($E512="",$F512=""),"","PO-"&amp;TEXT($E512,"yyyymmdd")&amp;"-"&amp;TEXT(COUNTIFS($E$6:$E512,$E512,$C$6:$C512,$C512),"000"))</f>
        <v/>
      </c>
      <c r="C512" s="130"/>
      <c r="D512" s="66" t="str">
        <f aca="false">IFERROR(INDEX(定数マスタ!$C$6:$C$105,MATCH($C512,定数マスタ!$B$6:$B$105,0)),"")</f>
        <v/>
      </c>
      <c r="E512" s="131"/>
      <c r="F512" s="130"/>
      <c r="G512" s="66" t="str">
        <f aca="false">IFERROR(INDEX(商品マスタ!$C$6:$C$1005,MATCH($F512,商品マスタ!$B$6:$B$1005,0)),"")</f>
        <v/>
      </c>
      <c r="H512" s="66" t="str">
        <f aca="false">IFERROR(INDEX(商品マスタ!$E$6:$E$1005,MATCH($F512,商品マスタ!$B$6:$B$1005,0)),"")</f>
        <v/>
      </c>
      <c r="I512" s="69" t="str">
        <f aca="false">IFERROR(INDEX(商品マスタ!$F$6:$F$1005,MATCH($F512,商品マスタ!$B$6:$B$1005,0)),"")</f>
        <v/>
      </c>
      <c r="J512" s="69" t="str">
        <f aca="false">IF(OR($F512="",$C512&lt;&gt;'設定（最初に1回）'!$C$4),"",IFERROR(INDEX(発注計算!$Y$6:$Y$405,MATCH($F512,発注計算!$C$6:$C$405,0)),""))</f>
        <v/>
      </c>
      <c r="K512" s="70"/>
      <c r="L512" s="69" t="str">
        <f aca="false">IF($K512="","",N($K512)*N($I512))</f>
        <v/>
      </c>
      <c r="M512" s="71" t="str">
        <f aca="false">IFERROR(INDEX(商品マスタ!$G$6:$G$1005,MATCH($F512,商品マスタ!$B$6:$B$1005,0)),"")</f>
        <v/>
      </c>
      <c r="N512" s="71" t="str">
        <f aca="false">IF($K512="","",N($K512)*N($M512))</f>
        <v/>
      </c>
      <c r="O512" s="66" t="str">
        <f aca="false">IFERROR(INDEX(商品マスタ!$H$6:$H$1005,MATCH($F512,商品マスタ!$B$6:$B$1005,0)),"")</f>
        <v/>
      </c>
      <c r="P512" s="87" t="str">
        <f aca="false">IF(OR($E512="",$O512=""),"",WORKDAY($E512,$O512))</f>
        <v/>
      </c>
      <c r="Q512" s="80"/>
      <c r="R512" s="131"/>
      <c r="S512" s="69" t="n">
        <f aca="false">IF($Q512="入荷済み",N($L512),0)</f>
        <v>0</v>
      </c>
      <c r="T512" s="80"/>
      <c r="U512" s="80"/>
    </row>
    <row r="513" customFormat="false" ht="15" hidden="false" customHeight="false" outlineLevel="0" collapsed="false">
      <c r="B513" s="66" t="str">
        <f aca="false">IF(OR($E513="",$F513=""),"","PO-"&amp;TEXT($E513,"yyyymmdd")&amp;"-"&amp;TEXT(COUNTIFS($E$6:$E513,$E513,$C$6:$C513,$C513),"000"))</f>
        <v/>
      </c>
      <c r="C513" s="130"/>
      <c r="D513" s="66" t="str">
        <f aca="false">IFERROR(INDEX(定数マスタ!$C$6:$C$105,MATCH($C513,定数マスタ!$B$6:$B$105,0)),"")</f>
        <v/>
      </c>
      <c r="E513" s="131"/>
      <c r="F513" s="130"/>
      <c r="G513" s="66" t="str">
        <f aca="false">IFERROR(INDEX(商品マスタ!$C$6:$C$1005,MATCH($F513,商品マスタ!$B$6:$B$1005,0)),"")</f>
        <v/>
      </c>
      <c r="H513" s="66" t="str">
        <f aca="false">IFERROR(INDEX(商品マスタ!$E$6:$E$1005,MATCH($F513,商品マスタ!$B$6:$B$1005,0)),"")</f>
        <v/>
      </c>
      <c r="I513" s="69" t="str">
        <f aca="false">IFERROR(INDEX(商品マスタ!$F$6:$F$1005,MATCH($F513,商品マスタ!$B$6:$B$1005,0)),"")</f>
        <v/>
      </c>
      <c r="J513" s="69" t="str">
        <f aca="false">IF(OR($F513="",$C513&lt;&gt;'設定（最初に1回）'!$C$4),"",IFERROR(INDEX(発注計算!$Y$6:$Y$405,MATCH($F513,発注計算!$C$6:$C$405,0)),""))</f>
        <v/>
      </c>
      <c r="K513" s="70"/>
      <c r="L513" s="69" t="str">
        <f aca="false">IF($K513="","",N($K513)*N($I513))</f>
        <v/>
      </c>
      <c r="M513" s="71" t="str">
        <f aca="false">IFERROR(INDEX(商品マスタ!$G$6:$G$1005,MATCH($F513,商品マスタ!$B$6:$B$1005,0)),"")</f>
        <v/>
      </c>
      <c r="N513" s="71" t="str">
        <f aca="false">IF($K513="","",N($K513)*N($M513))</f>
        <v/>
      </c>
      <c r="O513" s="66" t="str">
        <f aca="false">IFERROR(INDEX(商品マスタ!$H$6:$H$1005,MATCH($F513,商品マスタ!$B$6:$B$1005,0)),"")</f>
        <v/>
      </c>
      <c r="P513" s="87" t="str">
        <f aca="false">IF(OR($E513="",$O513=""),"",WORKDAY($E513,$O513))</f>
        <v/>
      </c>
      <c r="Q513" s="80"/>
      <c r="R513" s="131"/>
      <c r="S513" s="69" t="n">
        <f aca="false">IF($Q513="入荷済み",N($L513),0)</f>
        <v>0</v>
      </c>
      <c r="T513" s="80"/>
      <c r="U513" s="80"/>
    </row>
    <row r="514" customFormat="false" ht="15" hidden="false" customHeight="false" outlineLevel="0" collapsed="false">
      <c r="B514" s="66" t="str">
        <f aca="false">IF(OR($E514="",$F514=""),"","PO-"&amp;TEXT($E514,"yyyymmdd")&amp;"-"&amp;TEXT(COUNTIFS($E$6:$E514,$E514,$C$6:$C514,$C514),"000"))</f>
        <v/>
      </c>
      <c r="C514" s="130"/>
      <c r="D514" s="66" t="str">
        <f aca="false">IFERROR(INDEX(定数マスタ!$C$6:$C$105,MATCH($C514,定数マスタ!$B$6:$B$105,0)),"")</f>
        <v/>
      </c>
      <c r="E514" s="131"/>
      <c r="F514" s="130"/>
      <c r="G514" s="66" t="str">
        <f aca="false">IFERROR(INDEX(商品マスタ!$C$6:$C$1005,MATCH($F514,商品マスタ!$B$6:$B$1005,0)),"")</f>
        <v/>
      </c>
      <c r="H514" s="66" t="str">
        <f aca="false">IFERROR(INDEX(商品マスタ!$E$6:$E$1005,MATCH($F514,商品マスタ!$B$6:$B$1005,0)),"")</f>
        <v/>
      </c>
      <c r="I514" s="69" t="str">
        <f aca="false">IFERROR(INDEX(商品マスタ!$F$6:$F$1005,MATCH($F514,商品マスタ!$B$6:$B$1005,0)),"")</f>
        <v/>
      </c>
      <c r="J514" s="69" t="str">
        <f aca="false">IF(OR($F514="",$C514&lt;&gt;'設定（最初に1回）'!$C$4),"",IFERROR(INDEX(発注計算!$Y$6:$Y$405,MATCH($F514,発注計算!$C$6:$C$405,0)),""))</f>
        <v/>
      </c>
      <c r="K514" s="70"/>
      <c r="L514" s="69" t="str">
        <f aca="false">IF($K514="","",N($K514)*N($I514))</f>
        <v/>
      </c>
      <c r="M514" s="71" t="str">
        <f aca="false">IFERROR(INDEX(商品マスタ!$G$6:$G$1005,MATCH($F514,商品マスタ!$B$6:$B$1005,0)),"")</f>
        <v/>
      </c>
      <c r="N514" s="71" t="str">
        <f aca="false">IF($K514="","",N($K514)*N($M514))</f>
        <v/>
      </c>
      <c r="O514" s="66" t="str">
        <f aca="false">IFERROR(INDEX(商品マスタ!$H$6:$H$1005,MATCH($F514,商品マスタ!$B$6:$B$1005,0)),"")</f>
        <v/>
      </c>
      <c r="P514" s="87" t="str">
        <f aca="false">IF(OR($E514="",$O514=""),"",WORKDAY($E514,$O514))</f>
        <v/>
      </c>
      <c r="Q514" s="80"/>
      <c r="R514" s="131"/>
      <c r="S514" s="69" t="n">
        <f aca="false">IF($Q514="入荷済み",N($L514),0)</f>
        <v>0</v>
      </c>
      <c r="T514" s="80"/>
      <c r="U514" s="80"/>
    </row>
    <row r="515" customFormat="false" ht="15" hidden="false" customHeight="false" outlineLevel="0" collapsed="false">
      <c r="B515" s="66" t="str">
        <f aca="false">IF(OR($E515="",$F515=""),"","PO-"&amp;TEXT($E515,"yyyymmdd")&amp;"-"&amp;TEXT(COUNTIFS($E$6:$E515,$E515,$C$6:$C515,$C515),"000"))</f>
        <v/>
      </c>
      <c r="C515" s="130"/>
      <c r="D515" s="66" t="str">
        <f aca="false">IFERROR(INDEX(定数マスタ!$C$6:$C$105,MATCH($C515,定数マスタ!$B$6:$B$105,0)),"")</f>
        <v/>
      </c>
      <c r="E515" s="131"/>
      <c r="F515" s="130"/>
      <c r="G515" s="66" t="str">
        <f aca="false">IFERROR(INDEX(商品マスタ!$C$6:$C$1005,MATCH($F515,商品マスタ!$B$6:$B$1005,0)),"")</f>
        <v/>
      </c>
      <c r="H515" s="66" t="str">
        <f aca="false">IFERROR(INDEX(商品マスタ!$E$6:$E$1005,MATCH($F515,商品マスタ!$B$6:$B$1005,0)),"")</f>
        <v/>
      </c>
      <c r="I515" s="69" t="str">
        <f aca="false">IFERROR(INDEX(商品マスタ!$F$6:$F$1005,MATCH($F515,商品マスタ!$B$6:$B$1005,0)),"")</f>
        <v/>
      </c>
      <c r="J515" s="69" t="str">
        <f aca="false">IF(OR($F515="",$C515&lt;&gt;'設定（最初に1回）'!$C$4),"",IFERROR(INDEX(発注計算!$Y$6:$Y$405,MATCH($F515,発注計算!$C$6:$C$405,0)),""))</f>
        <v/>
      </c>
      <c r="K515" s="70"/>
      <c r="L515" s="69" t="str">
        <f aca="false">IF($K515="","",N($K515)*N($I515))</f>
        <v/>
      </c>
      <c r="M515" s="71" t="str">
        <f aca="false">IFERROR(INDEX(商品マスタ!$G$6:$G$1005,MATCH($F515,商品マスタ!$B$6:$B$1005,0)),"")</f>
        <v/>
      </c>
      <c r="N515" s="71" t="str">
        <f aca="false">IF($K515="","",N($K515)*N($M515))</f>
        <v/>
      </c>
      <c r="O515" s="66" t="str">
        <f aca="false">IFERROR(INDEX(商品マスタ!$H$6:$H$1005,MATCH($F515,商品マスタ!$B$6:$B$1005,0)),"")</f>
        <v/>
      </c>
      <c r="P515" s="87" t="str">
        <f aca="false">IF(OR($E515="",$O515=""),"",WORKDAY($E515,$O515))</f>
        <v/>
      </c>
      <c r="Q515" s="80"/>
      <c r="R515" s="131"/>
      <c r="S515" s="69" t="n">
        <f aca="false">IF($Q515="入荷済み",N($L515),0)</f>
        <v>0</v>
      </c>
      <c r="T515" s="80"/>
      <c r="U515" s="80"/>
    </row>
    <row r="516" customFormat="false" ht="15" hidden="false" customHeight="false" outlineLevel="0" collapsed="false">
      <c r="B516" s="66" t="str">
        <f aca="false">IF(OR($E516="",$F516=""),"","PO-"&amp;TEXT($E516,"yyyymmdd")&amp;"-"&amp;TEXT(COUNTIFS($E$6:$E516,$E516,$C$6:$C516,$C516),"000"))</f>
        <v/>
      </c>
      <c r="C516" s="130"/>
      <c r="D516" s="66" t="str">
        <f aca="false">IFERROR(INDEX(定数マスタ!$C$6:$C$105,MATCH($C516,定数マスタ!$B$6:$B$105,0)),"")</f>
        <v/>
      </c>
      <c r="E516" s="131"/>
      <c r="F516" s="130"/>
      <c r="G516" s="66" t="str">
        <f aca="false">IFERROR(INDEX(商品マスタ!$C$6:$C$1005,MATCH($F516,商品マスタ!$B$6:$B$1005,0)),"")</f>
        <v/>
      </c>
      <c r="H516" s="66" t="str">
        <f aca="false">IFERROR(INDEX(商品マスタ!$E$6:$E$1005,MATCH($F516,商品マスタ!$B$6:$B$1005,0)),"")</f>
        <v/>
      </c>
      <c r="I516" s="69" t="str">
        <f aca="false">IFERROR(INDEX(商品マスタ!$F$6:$F$1005,MATCH($F516,商品マスタ!$B$6:$B$1005,0)),"")</f>
        <v/>
      </c>
      <c r="J516" s="69" t="str">
        <f aca="false">IF(OR($F516="",$C516&lt;&gt;'設定（最初に1回）'!$C$4),"",IFERROR(INDEX(発注計算!$Y$6:$Y$405,MATCH($F516,発注計算!$C$6:$C$405,0)),""))</f>
        <v/>
      </c>
      <c r="K516" s="70"/>
      <c r="L516" s="69" t="str">
        <f aca="false">IF($K516="","",N($K516)*N($I516))</f>
        <v/>
      </c>
      <c r="M516" s="71" t="str">
        <f aca="false">IFERROR(INDEX(商品マスタ!$G$6:$G$1005,MATCH($F516,商品マスタ!$B$6:$B$1005,0)),"")</f>
        <v/>
      </c>
      <c r="N516" s="71" t="str">
        <f aca="false">IF($K516="","",N($K516)*N($M516))</f>
        <v/>
      </c>
      <c r="O516" s="66" t="str">
        <f aca="false">IFERROR(INDEX(商品マスタ!$H$6:$H$1005,MATCH($F516,商品マスタ!$B$6:$B$1005,0)),"")</f>
        <v/>
      </c>
      <c r="P516" s="87" t="str">
        <f aca="false">IF(OR($E516="",$O516=""),"",WORKDAY($E516,$O516))</f>
        <v/>
      </c>
      <c r="Q516" s="80"/>
      <c r="R516" s="131"/>
      <c r="S516" s="69" t="n">
        <f aca="false">IF($Q516="入荷済み",N($L516),0)</f>
        <v>0</v>
      </c>
      <c r="T516" s="80"/>
      <c r="U516" s="80"/>
    </row>
    <row r="517" customFormat="false" ht="15" hidden="false" customHeight="false" outlineLevel="0" collapsed="false">
      <c r="B517" s="66" t="str">
        <f aca="false">IF(OR($E517="",$F517=""),"","PO-"&amp;TEXT($E517,"yyyymmdd")&amp;"-"&amp;TEXT(COUNTIFS($E$6:$E517,$E517,$C$6:$C517,$C517),"000"))</f>
        <v/>
      </c>
      <c r="C517" s="130"/>
      <c r="D517" s="66" t="str">
        <f aca="false">IFERROR(INDEX(定数マスタ!$C$6:$C$105,MATCH($C517,定数マスタ!$B$6:$B$105,0)),"")</f>
        <v/>
      </c>
      <c r="E517" s="131"/>
      <c r="F517" s="130"/>
      <c r="G517" s="66" t="str">
        <f aca="false">IFERROR(INDEX(商品マスタ!$C$6:$C$1005,MATCH($F517,商品マスタ!$B$6:$B$1005,0)),"")</f>
        <v/>
      </c>
      <c r="H517" s="66" t="str">
        <f aca="false">IFERROR(INDEX(商品マスタ!$E$6:$E$1005,MATCH($F517,商品マスタ!$B$6:$B$1005,0)),"")</f>
        <v/>
      </c>
      <c r="I517" s="69" t="str">
        <f aca="false">IFERROR(INDEX(商品マスタ!$F$6:$F$1005,MATCH($F517,商品マスタ!$B$6:$B$1005,0)),"")</f>
        <v/>
      </c>
      <c r="J517" s="69" t="str">
        <f aca="false">IF(OR($F517="",$C517&lt;&gt;'設定（最初に1回）'!$C$4),"",IFERROR(INDEX(発注計算!$Y$6:$Y$405,MATCH($F517,発注計算!$C$6:$C$405,0)),""))</f>
        <v/>
      </c>
      <c r="K517" s="70"/>
      <c r="L517" s="69" t="str">
        <f aca="false">IF($K517="","",N($K517)*N($I517))</f>
        <v/>
      </c>
      <c r="M517" s="71" t="str">
        <f aca="false">IFERROR(INDEX(商品マスタ!$G$6:$G$1005,MATCH($F517,商品マスタ!$B$6:$B$1005,0)),"")</f>
        <v/>
      </c>
      <c r="N517" s="71" t="str">
        <f aca="false">IF($K517="","",N($K517)*N($M517))</f>
        <v/>
      </c>
      <c r="O517" s="66" t="str">
        <f aca="false">IFERROR(INDEX(商品マスタ!$H$6:$H$1005,MATCH($F517,商品マスタ!$B$6:$B$1005,0)),"")</f>
        <v/>
      </c>
      <c r="P517" s="87" t="str">
        <f aca="false">IF(OR($E517="",$O517=""),"",WORKDAY($E517,$O517))</f>
        <v/>
      </c>
      <c r="Q517" s="80"/>
      <c r="R517" s="131"/>
      <c r="S517" s="69" t="n">
        <f aca="false">IF($Q517="入荷済み",N($L517),0)</f>
        <v>0</v>
      </c>
      <c r="T517" s="80"/>
      <c r="U517" s="80"/>
    </row>
    <row r="518" customFormat="false" ht="15" hidden="false" customHeight="false" outlineLevel="0" collapsed="false">
      <c r="B518" s="66" t="str">
        <f aca="false">IF(OR($E518="",$F518=""),"","PO-"&amp;TEXT($E518,"yyyymmdd")&amp;"-"&amp;TEXT(COUNTIFS($E$6:$E518,$E518,$C$6:$C518,$C518),"000"))</f>
        <v/>
      </c>
      <c r="C518" s="130"/>
      <c r="D518" s="66" t="str">
        <f aca="false">IFERROR(INDEX(定数マスタ!$C$6:$C$105,MATCH($C518,定数マスタ!$B$6:$B$105,0)),"")</f>
        <v/>
      </c>
      <c r="E518" s="131"/>
      <c r="F518" s="130"/>
      <c r="G518" s="66" t="str">
        <f aca="false">IFERROR(INDEX(商品マスタ!$C$6:$C$1005,MATCH($F518,商品マスタ!$B$6:$B$1005,0)),"")</f>
        <v/>
      </c>
      <c r="H518" s="66" t="str">
        <f aca="false">IFERROR(INDEX(商品マスタ!$E$6:$E$1005,MATCH($F518,商品マスタ!$B$6:$B$1005,0)),"")</f>
        <v/>
      </c>
      <c r="I518" s="69" t="str">
        <f aca="false">IFERROR(INDEX(商品マスタ!$F$6:$F$1005,MATCH($F518,商品マスタ!$B$6:$B$1005,0)),"")</f>
        <v/>
      </c>
      <c r="J518" s="69" t="str">
        <f aca="false">IF(OR($F518="",$C518&lt;&gt;'設定（最初に1回）'!$C$4),"",IFERROR(INDEX(発注計算!$Y$6:$Y$405,MATCH($F518,発注計算!$C$6:$C$405,0)),""))</f>
        <v/>
      </c>
      <c r="K518" s="70"/>
      <c r="L518" s="69" t="str">
        <f aca="false">IF($K518="","",N($K518)*N($I518))</f>
        <v/>
      </c>
      <c r="M518" s="71" t="str">
        <f aca="false">IFERROR(INDEX(商品マスタ!$G$6:$G$1005,MATCH($F518,商品マスタ!$B$6:$B$1005,0)),"")</f>
        <v/>
      </c>
      <c r="N518" s="71" t="str">
        <f aca="false">IF($K518="","",N($K518)*N($M518))</f>
        <v/>
      </c>
      <c r="O518" s="66" t="str">
        <f aca="false">IFERROR(INDEX(商品マスタ!$H$6:$H$1005,MATCH($F518,商品マスタ!$B$6:$B$1005,0)),"")</f>
        <v/>
      </c>
      <c r="P518" s="87" t="str">
        <f aca="false">IF(OR($E518="",$O518=""),"",WORKDAY($E518,$O518))</f>
        <v/>
      </c>
      <c r="Q518" s="80"/>
      <c r="R518" s="131"/>
      <c r="S518" s="69" t="n">
        <f aca="false">IF($Q518="入荷済み",N($L518),0)</f>
        <v>0</v>
      </c>
      <c r="T518" s="80"/>
      <c r="U518" s="80"/>
    </row>
    <row r="519" customFormat="false" ht="15" hidden="false" customHeight="false" outlineLevel="0" collapsed="false">
      <c r="B519" s="66" t="str">
        <f aca="false">IF(OR($E519="",$F519=""),"","PO-"&amp;TEXT($E519,"yyyymmdd")&amp;"-"&amp;TEXT(COUNTIFS($E$6:$E519,$E519,$C$6:$C519,$C519),"000"))</f>
        <v/>
      </c>
      <c r="C519" s="130"/>
      <c r="D519" s="66" t="str">
        <f aca="false">IFERROR(INDEX(定数マスタ!$C$6:$C$105,MATCH($C519,定数マスタ!$B$6:$B$105,0)),"")</f>
        <v/>
      </c>
      <c r="E519" s="131"/>
      <c r="F519" s="130"/>
      <c r="G519" s="66" t="str">
        <f aca="false">IFERROR(INDEX(商品マスタ!$C$6:$C$1005,MATCH($F519,商品マスタ!$B$6:$B$1005,0)),"")</f>
        <v/>
      </c>
      <c r="H519" s="66" t="str">
        <f aca="false">IFERROR(INDEX(商品マスタ!$E$6:$E$1005,MATCH($F519,商品マスタ!$B$6:$B$1005,0)),"")</f>
        <v/>
      </c>
      <c r="I519" s="69" t="str">
        <f aca="false">IFERROR(INDEX(商品マスタ!$F$6:$F$1005,MATCH($F519,商品マスタ!$B$6:$B$1005,0)),"")</f>
        <v/>
      </c>
      <c r="J519" s="69" t="str">
        <f aca="false">IF(OR($F519="",$C519&lt;&gt;'設定（最初に1回）'!$C$4),"",IFERROR(INDEX(発注計算!$Y$6:$Y$405,MATCH($F519,発注計算!$C$6:$C$405,0)),""))</f>
        <v/>
      </c>
      <c r="K519" s="70"/>
      <c r="L519" s="69" t="str">
        <f aca="false">IF($K519="","",N($K519)*N($I519))</f>
        <v/>
      </c>
      <c r="M519" s="71" t="str">
        <f aca="false">IFERROR(INDEX(商品マスタ!$G$6:$G$1005,MATCH($F519,商品マスタ!$B$6:$B$1005,0)),"")</f>
        <v/>
      </c>
      <c r="N519" s="71" t="str">
        <f aca="false">IF($K519="","",N($K519)*N($M519))</f>
        <v/>
      </c>
      <c r="O519" s="66" t="str">
        <f aca="false">IFERROR(INDEX(商品マスタ!$H$6:$H$1005,MATCH($F519,商品マスタ!$B$6:$B$1005,0)),"")</f>
        <v/>
      </c>
      <c r="P519" s="87" t="str">
        <f aca="false">IF(OR($E519="",$O519=""),"",WORKDAY($E519,$O519))</f>
        <v/>
      </c>
      <c r="Q519" s="80"/>
      <c r="R519" s="131"/>
      <c r="S519" s="69" t="n">
        <f aca="false">IF($Q519="入荷済み",N($L519),0)</f>
        <v>0</v>
      </c>
      <c r="T519" s="80"/>
      <c r="U519" s="80"/>
    </row>
    <row r="520" customFormat="false" ht="15" hidden="false" customHeight="false" outlineLevel="0" collapsed="false">
      <c r="B520" s="66" t="str">
        <f aca="false">IF(OR($E520="",$F520=""),"","PO-"&amp;TEXT($E520,"yyyymmdd")&amp;"-"&amp;TEXT(COUNTIFS($E$6:$E520,$E520,$C$6:$C520,$C520),"000"))</f>
        <v/>
      </c>
      <c r="C520" s="130"/>
      <c r="D520" s="66" t="str">
        <f aca="false">IFERROR(INDEX(定数マスタ!$C$6:$C$105,MATCH($C520,定数マスタ!$B$6:$B$105,0)),"")</f>
        <v/>
      </c>
      <c r="E520" s="131"/>
      <c r="F520" s="130"/>
      <c r="G520" s="66" t="str">
        <f aca="false">IFERROR(INDEX(商品マスタ!$C$6:$C$1005,MATCH($F520,商品マスタ!$B$6:$B$1005,0)),"")</f>
        <v/>
      </c>
      <c r="H520" s="66" t="str">
        <f aca="false">IFERROR(INDEX(商品マスタ!$E$6:$E$1005,MATCH($F520,商品マスタ!$B$6:$B$1005,0)),"")</f>
        <v/>
      </c>
      <c r="I520" s="69" t="str">
        <f aca="false">IFERROR(INDEX(商品マスタ!$F$6:$F$1005,MATCH($F520,商品マスタ!$B$6:$B$1005,0)),"")</f>
        <v/>
      </c>
      <c r="J520" s="69" t="str">
        <f aca="false">IF(OR($F520="",$C520&lt;&gt;'設定（最初に1回）'!$C$4),"",IFERROR(INDEX(発注計算!$Y$6:$Y$405,MATCH($F520,発注計算!$C$6:$C$405,0)),""))</f>
        <v/>
      </c>
      <c r="K520" s="70"/>
      <c r="L520" s="69" t="str">
        <f aca="false">IF($K520="","",N($K520)*N($I520))</f>
        <v/>
      </c>
      <c r="M520" s="71" t="str">
        <f aca="false">IFERROR(INDEX(商品マスタ!$G$6:$G$1005,MATCH($F520,商品マスタ!$B$6:$B$1005,0)),"")</f>
        <v/>
      </c>
      <c r="N520" s="71" t="str">
        <f aca="false">IF($K520="","",N($K520)*N($M520))</f>
        <v/>
      </c>
      <c r="O520" s="66" t="str">
        <f aca="false">IFERROR(INDEX(商品マスタ!$H$6:$H$1005,MATCH($F520,商品マスタ!$B$6:$B$1005,0)),"")</f>
        <v/>
      </c>
      <c r="P520" s="87" t="str">
        <f aca="false">IF(OR($E520="",$O520=""),"",WORKDAY($E520,$O520))</f>
        <v/>
      </c>
      <c r="Q520" s="80"/>
      <c r="R520" s="131"/>
      <c r="S520" s="69" t="n">
        <f aca="false">IF($Q520="入荷済み",N($L520),0)</f>
        <v>0</v>
      </c>
      <c r="T520" s="80"/>
      <c r="U520" s="80"/>
    </row>
    <row r="521" customFormat="false" ht="15" hidden="false" customHeight="false" outlineLevel="0" collapsed="false">
      <c r="B521" s="66" t="str">
        <f aca="false">IF(OR($E521="",$F521=""),"","PO-"&amp;TEXT($E521,"yyyymmdd")&amp;"-"&amp;TEXT(COUNTIFS($E$6:$E521,$E521,$C$6:$C521,$C521),"000"))</f>
        <v/>
      </c>
      <c r="C521" s="130"/>
      <c r="D521" s="66" t="str">
        <f aca="false">IFERROR(INDEX(定数マスタ!$C$6:$C$105,MATCH($C521,定数マスタ!$B$6:$B$105,0)),"")</f>
        <v/>
      </c>
      <c r="E521" s="131"/>
      <c r="F521" s="130"/>
      <c r="G521" s="66" t="str">
        <f aca="false">IFERROR(INDEX(商品マスタ!$C$6:$C$1005,MATCH($F521,商品マスタ!$B$6:$B$1005,0)),"")</f>
        <v/>
      </c>
      <c r="H521" s="66" t="str">
        <f aca="false">IFERROR(INDEX(商品マスタ!$E$6:$E$1005,MATCH($F521,商品マスタ!$B$6:$B$1005,0)),"")</f>
        <v/>
      </c>
      <c r="I521" s="69" t="str">
        <f aca="false">IFERROR(INDEX(商品マスタ!$F$6:$F$1005,MATCH($F521,商品マスタ!$B$6:$B$1005,0)),"")</f>
        <v/>
      </c>
      <c r="J521" s="69" t="str">
        <f aca="false">IF(OR($F521="",$C521&lt;&gt;'設定（最初に1回）'!$C$4),"",IFERROR(INDEX(発注計算!$Y$6:$Y$405,MATCH($F521,発注計算!$C$6:$C$405,0)),""))</f>
        <v/>
      </c>
      <c r="K521" s="70"/>
      <c r="L521" s="69" t="str">
        <f aca="false">IF($K521="","",N($K521)*N($I521))</f>
        <v/>
      </c>
      <c r="M521" s="71" t="str">
        <f aca="false">IFERROR(INDEX(商品マスタ!$G$6:$G$1005,MATCH($F521,商品マスタ!$B$6:$B$1005,0)),"")</f>
        <v/>
      </c>
      <c r="N521" s="71" t="str">
        <f aca="false">IF($K521="","",N($K521)*N($M521))</f>
        <v/>
      </c>
      <c r="O521" s="66" t="str">
        <f aca="false">IFERROR(INDEX(商品マスタ!$H$6:$H$1005,MATCH($F521,商品マスタ!$B$6:$B$1005,0)),"")</f>
        <v/>
      </c>
      <c r="P521" s="87" t="str">
        <f aca="false">IF(OR($E521="",$O521=""),"",WORKDAY($E521,$O521))</f>
        <v/>
      </c>
      <c r="Q521" s="80"/>
      <c r="R521" s="131"/>
      <c r="S521" s="69" t="n">
        <f aca="false">IF($Q521="入荷済み",N($L521),0)</f>
        <v>0</v>
      </c>
      <c r="T521" s="80"/>
      <c r="U521" s="80"/>
    </row>
    <row r="522" customFormat="false" ht="15" hidden="false" customHeight="false" outlineLevel="0" collapsed="false">
      <c r="B522" s="66" t="str">
        <f aca="false">IF(OR($E522="",$F522=""),"","PO-"&amp;TEXT($E522,"yyyymmdd")&amp;"-"&amp;TEXT(COUNTIFS($E$6:$E522,$E522,$C$6:$C522,$C522),"000"))</f>
        <v/>
      </c>
      <c r="C522" s="130"/>
      <c r="D522" s="66" t="str">
        <f aca="false">IFERROR(INDEX(定数マスタ!$C$6:$C$105,MATCH($C522,定数マスタ!$B$6:$B$105,0)),"")</f>
        <v/>
      </c>
      <c r="E522" s="131"/>
      <c r="F522" s="130"/>
      <c r="G522" s="66" t="str">
        <f aca="false">IFERROR(INDEX(商品マスタ!$C$6:$C$1005,MATCH($F522,商品マスタ!$B$6:$B$1005,0)),"")</f>
        <v/>
      </c>
      <c r="H522" s="66" t="str">
        <f aca="false">IFERROR(INDEX(商品マスタ!$E$6:$E$1005,MATCH($F522,商品マスタ!$B$6:$B$1005,0)),"")</f>
        <v/>
      </c>
      <c r="I522" s="69" t="str">
        <f aca="false">IFERROR(INDEX(商品マスタ!$F$6:$F$1005,MATCH($F522,商品マスタ!$B$6:$B$1005,0)),"")</f>
        <v/>
      </c>
      <c r="J522" s="69" t="str">
        <f aca="false">IF(OR($F522="",$C522&lt;&gt;'設定（最初に1回）'!$C$4),"",IFERROR(INDEX(発注計算!$Y$6:$Y$405,MATCH($F522,発注計算!$C$6:$C$405,0)),""))</f>
        <v/>
      </c>
      <c r="K522" s="70"/>
      <c r="L522" s="69" t="str">
        <f aca="false">IF($K522="","",N($K522)*N($I522))</f>
        <v/>
      </c>
      <c r="M522" s="71" t="str">
        <f aca="false">IFERROR(INDEX(商品マスタ!$G$6:$G$1005,MATCH($F522,商品マスタ!$B$6:$B$1005,0)),"")</f>
        <v/>
      </c>
      <c r="N522" s="71" t="str">
        <f aca="false">IF($K522="","",N($K522)*N($M522))</f>
        <v/>
      </c>
      <c r="O522" s="66" t="str">
        <f aca="false">IFERROR(INDEX(商品マスタ!$H$6:$H$1005,MATCH($F522,商品マスタ!$B$6:$B$1005,0)),"")</f>
        <v/>
      </c>
      <c r="P522" s="87" t="str">
        <f aca="false">IF(OR($E522="",$O522=""),"",WORKDAY($E522,$O522))</f>
        <v/>
      </c>
      <c r="Q522" s="80"/>
      <c r="R522" s="131"/>
      <c r="S522" s="69" t="n">
        <f aca="false">IF($Q522="入荷済み",N($L522),0)</f>
        <v>0</v>
      </c>
      <c r="T522" s="80"/>
      <c r="U522" s="80"/>
    </row>
    <row r="523" customFormat="false" ht="15" hidden="false" customHeight="false" outlineLevel="0" collapsed="false">
      <c r="B523" s="66" t="str">
        <f aca="false">IF(OR($E523="",$F523=""),"","PO-"&amp;TEXT($E523,"yyyymmdd")&amp;"-"&amp;TEXT(COUNTIFS($E$6:$E523,$E523,$C$6:$C523,$C523),"000"))</f>
        <v/>
      </c>
      <c r="C523" s="130"/>
      <c r="D523" s="66" t="str">
        <f aca="false">IFERROR(INDEX(定数マスタ!$C$6:$C$105,MATCH($C523,定数マスタ!$B$6:$B$105,0)),"")</f>
        <v/>
      </c>
      <c r="E523" s="131"/>
      <c r="F523" s="130"/>
      <c r="G523" s="66" t="str">
        <f aca="false">IFERROR(INDEX(商品マスタ!$C$6:$C$1005,MATCH($F523,商品マスタ!$B$6:$B$1005,0)),"")</f>
        <v/>
      </c>
      <c r="H523" s="66" t="str">
        <f aca="false">IFERROR(INDEX(商品マスタ!$E$6:$E$1005,MATCH($F523,商品マスタ!$B$6:$B$1005,0)),"")</f>
        <v/>
      </c>
      <c r="I523" s="69" t="str">
        <f aca="false">IFERROR(INDEX(商品マスタ!$F$6:$F$1005,MATCH($F523,商品マスタ!$B$6:$B$1005,0)),"")</f>
        <v/>
      </c>
      <c r="J523" s="69" t="str">
        <f aca="false">IF(OR($F523="",$C523&lt;&gt;'設定（最初に1回）'!$C$4),"",IFERROR(INDEX(発注計算!$Y$6:$Y$405,MATCH($F523,発注計算!$C$6:$C$405,0)),""))</f>
        <v/>
      </c>
      <c r="K523" s="70"/>
      <c r="L523" s="69" t="str">
        <f aca="false">IF($K523="","",N($K523)*N($I523))</f>
        <v/>
      </c>
      <c r="M523" s="71" t="str">
        <f aca="false">IFERROR(INDEX(商品マスタ!$G$6:$G$1005,MATCH($F523,商品マスタ!$B$6:$B$1005,0)),"")</f>
        <v/>
      </c>
      <c r="N523" s="71" t="str">
        <f aca="false">IF($K523="","",N($K523)*N($M523))</f>
        <v/>
      </c>
      <c r="O523" s="66" t="str">
        <f aca="false">IFERROR(INDEX(商品マスタ!$H$6:$H$1005,MATCH($F523,商品マスタ!$B$6:$B$1005,0)),"")</f>
        <v/>
      </c>
      <c r="P523" s="87" t="str">
        <f aca="false">IF(OR($E523="",$O523=""),"",WORKDAY($E523,$O523))</f>
        <v/>
      </c>
      <c r="Q523" s="80"/>
      <c r="R523" s="131"/>
      <c r="S523" s="69" t="n">
        <f aca="false">IF($Q523="入荷済み",N($L523),0)</f>
        <v>0</v>
      </c>
      <c r="T523" s="80"/>
      <c r="U523" s="80"/>
    </row>
    <row r="524" customFormat="false" ht="15" hidden="false" customHeight="false" outlineLevel="0" collapsed="false">
      <c r="B524" s="66" t="str">
        <f aca="false">IF(OR($E524="",$F524=""),"","PO-"&amp;TEXT($E524,"yyyymmdd")&amp;"-"&amp;TEXT(COUNTIFS($E$6:$E524,$E524,$C$6:$C524,$C524),"000"))</f>
        <v/>
      </c>
      <c r="C524" s="130"/>
      <c r="D524" s="66" t="str">
        <f aca="false">IFERROR(INDEX(定数マスタ!$C$6:$C$105,MATCH($C524,定数マスタ!$B$6:$B$105,0)),"")</f>
        <v/>
      </c>
      <c r="E524" s="131"/>
      <c r="F524" s="130"/>
      <c r="G524" s="66" t="str">
        <f aca="false">IFERROR(INDEX(商品マスタ!$C$6:$C$1005,MATCH($F524,商品マスタ!$B$6:$B$1005,0)),"")</f>
        <v/>
      </c>
      <c r="H524" s="66" t="str">
        <f aca="false">IFERROR(INDEX(商品マスタ!$E$6:$E$1005,MATCH($F524,商品マスタ!$B$6:$B$1005,0)),"")</f>
        <v/>
      </c>
      <c r="I524" s="69" t="str">
        <f aca="false">IFERROR(INDEX(商品マスタ!$F$6:$F$1005,MATCH($F524,商品マスタ!$B$6:$B$1005,0)),"")</f>
        <v/>
      </c>
      <c r="J524" s="69" t="str">
        <f aca="false">IF(OR($F524="",$C524&lt;&gt;'設定（最初に1回）'!$C$4),"",IFERROR(INDEX(発注計算!$Y$6:$Y$405,MATCH($F524,発注計算!$C$6:$C$405,0)),""))</f>
        <v/>
      </c>
      <c r="K524" s="70"/>
      <c r="L524" s="69" t="str">
        <f aca="false">IF($K524="","",N($K524)*N($I524))</f>
        <v/>
      </c>
      <c r="M524" s="71" t="str">
        <f aca="false">IFERROR(INDEX(商品マスタ!$G$6:$G$1005,MATCH($F524,商品マスタ!$B$6:$B$1005,0)),"")</f>
        <v/>
      </c>
      <c r="N524" s="71" t="str">
        <f aca="false">IF($K524="","",N($K524)*N($M524))</f>
        <v/>
      </c>
      <c r="O524" s="66" t="str">
        <f aca="false">IFERROR(INDEX(商品マスタ!$H$6:$H$1005,MATCH($F524,商品マスタ!$B$6:$B$1005,0)),"")</f>
        <v/>
      </c>
      <c r="P524" s="87" t="str">
        <f aca="false">IF(OR($E524="",$O524=""),"",WORKDAY($E524,$O524))</f>
        <v/>
      </c>
      <c r="Q524" s="80"/>
      <c r="R524" s="131"/>
      <c r="S524" s="69" t="n">
        <f aca="false">IF($Q524="入荷済み",N($L524),0)</f>
        <v>0</v>
      </c>
      <c r="T524" s="80"/>
      <c r="U524" s="80"/>
    </row>
    <row r="525" customFormat="false" ht="15" hidden="false" customHeight="false" outlineLevel="0" collapsed="false">
      <c r="B525" s="66" t="str">
        <f aca="false">IF(OR($E525="",$F525=""),"","PO-"&amp;TEXT($E525,"yyyymmdd")&amp;"-"&amp;TEXT(COUNTIFS($E$6:$E525,$E525,$C$6:$C525,$C525),"000"))</f>
        <v/>
      </c>
      <c r="C525" s="130"/>
      <c r="D525" s="66" t="str">
        <f aca="false">IFERROR(INDEX(定数マスタ!$C$6:$C$105,MATCH($C525,定数マスタ!$B$6:$B$105,0)),"")</f>
        <v/>
      </c>
      <c r="E525" s="131"/>
      <c r="F525" s="130"/>
      <c r="G525" s="66" t="str">
        <f aca="false">IFERROR(INDEX(商品マスタ!$C$6:$C$1005,MATCH($F525,商品マスタ!$B$6:$B$1005,0)),"")</f>
        <v/>
      </c>
      <c r="H525" s="66" t="str">
        <f aca="false">IFERROR(INDEX(商品マスタ!$E$6:$E$1005,MATCH($F525,商品マスタ!$B$6:$B$1005,0)),"")</f>
        <v/>
      </c>
      <c r="I525" s="69" t="str">
        <f aca="false">IFERROR(INDEX(商品マスタ!$F$6:$F$1005,MATCH($F525,商品マスタ!$B$6:$B$1005,0)),"")</f>
        <v/>
      </c>
      <c r="J525" s="69" t="str">
        <f aca="false">IF(OR($F525="",$C525&lt;&gt;'設定（最初に1回）'!$C$4),"",IFERROR(INDEX(発注計算!$Y$6:$Y$405,MATCH($F525,発注計算!$C$6:$C$405,0)),""))</f>
        <v/>
      </c>
      <c r="K525" s="70"/>
      <c r="L525" s="69" t="str">
        <f aca="false">IF($K525="","",N($K525)*N($I525))</f>
        <v/>
      </c>
      <c r="M525" s="71" t="str">
        <f aca="false">IFERROR(INDEX(商品マスタ!$G$6:$G$1005,MATCH($F525,商品マスタ!$B$6:$B$1005,0)),"")</f>
        <v/>
      </c>
      <c r="N525" s="71" t="str">
        <f aca="false">IF($K525="","",N($K525)*N($M525))</f>
        <v/>
      </c>
      <c r="O525" s="66" t="str">
        <f aca="false">IFERROR(INDEX(商品マスタ!$H$6:$H$1005,MATCH($F525,商品マスタ!$B$6:$B$1005,0)),"")</f>
        <v/>
      </c>
      <c r="P525" s="87" t="str">
        <f aca="false">IF(OR($E525="",$O525=""),"",WORKDAY($E525,$O525))</f>
        <v/>
      </c>
      <c r="Q525" s="80"/>
      <c r="R525" s="131"/>
      <c r="S525" s="69" t="n">
        <f aca="false">IF($Q525="入荷済み",N($L525),0)</f>
        <v>0</v>
      </c>
      <c r="T525" s="80"/>
      <c r="U525" s="80"/>
    </row>
    <row r="526" customFormat="false" ht="15" hidden="false" customHeight="false" outlineLevel="0" collapsed="false">
      <c r="B526" s="66" t="str">
        <f aca="false">IF(OR($E526="",$F526=""),"","PO-"&amp;TEXT($E526,"yyyymmdd")&amp;"-"&amp;TEXT(COUNTIFS($E$6:$E526,$E526,$C$6:$C526,$C526),"000"))</f>
        <v/>
      </c>
      <c r="C526" s="130"/>
      <c r="D526" s="66" t="str">
        <f aca="false">IFERROR(INDEX(定数マスタ!$C$6:$C$105,MATCH($C526,定数マスタ!$B$6:$B$105,0)),"")</f>
        <v/>
      </c>
      <c r="E526" s="131"/>
      <c r="F526" s="130"/>
      <c r="G526" s="66" t="str">
        <f aca="false">IFERROR(INDEX(商品マスタ!$C$6:$C$1005,MATCH($F526,商品マスタ!$B$6:$B$1005,0)),"")</f>
        <v/>
      </c>
      <c r="H526" s="66" t="str">
        <f aca="false">IFERROR(INDEX(商品マスタ!$E$6:$E$1005,MATCH($F526,商品マスタ!$B$6:$B$1005,0)),"")</f>
        <v/>
      </c>
      <c r="I526" s="69" t="str">
        <f aca="false">IFERROR(INDEX(商品マスタ!$F$6:$F$1005,MATCH($F526,商品マスタ!$B$6:$B$1005,0)),"")</f>
        <v/>
      </c>
      <c r="J526" s="69" t="str">
        <f aca="false">IF(OR($F526="",$C526&lt;&gt;'設定（最初に1回）'!$C$4),"",IFERROR(INDEX(発注計算!$Y$6:$Y$405,MATCH($F526,発注計算!$C$6:$C$405,0)),""))</f>
        <v/>
      </c>
      <c r="K526" s="70"/>
      <c r="L526" s="69" t="str">
        <f aca="false">IF($K526="","",N($K526)*N($I526))</f>
        <v/>
      </c>
      <c r="M526" s="71" t="str">
        <f aca="false">IFERROR(INDEX(商品マスタ!$G$6:$G$1005,MATCH($F526,商品マスタ!$B$6:$B$1005,0)),"")</f>
        <v/>
      </c>
      <c r="N526" s="71" t="str">
        <f aca="false">IF($K526="","",N($K526)*N($M526))</f>
        <v/>
      </c>
      <c r="O526" s="66" t="str">
        <f aca="false">IFERROR(INDEX(商品マスタ!$H$6:$H$1005,MATCH($F526,商品マスタ!$B$6:$B$1005,0)),"")</f>
        <v/>
      </c>
      <c r="P526" s="87" t="str">
        <f aca="false">IF(OR($E526="",$O526=""),"",WORKDAY($E526,$O526))</f>
        <v/>
      </c>
      <c r="Q526" s="80"/>
      <c r="R526" s="131"/>
      <c r="S526" s="69" t="n">
        <f aca="false">IF($Q526="入荷済み",N($L526),0)</f>
        <v>0</v>
      </c>
      <c r="T526" s="80"/>
      <c r="U526" s="80"/>
    </row>
    <row r="527" customFormat="false" ht="15" hidden="false" customHeight="false" outlineLevel="0" collapsed="false">
      <c r="B527" s="66" t="str">
        <f aca="false">IF(OR($E527="",$F527=""),"","PO-"&amp;TEXT($E527,"yyyymmdd")&amp;"-"&amp;TEXT(COUNTIFS($E$6:$E527,$E527,$C$6:$C527,$C527),"000"))</f>
        <v/>
      </c>
      <c r="C527" s="130"/>
      <c r="D527" s="66" t="str">
        <f aca="false">IFERROR(INDEX(定数マスタ!$C$6:$C$105,MATCH($C527,定数マスタ!$B$6:$B$105,0)),"")</f>
        <v/>
      </c>
      <c r="E527" s="131"/>
      <c r="F527" s="130"/>
      <c r="G527" s="66" t="str">
        <f aca="false">IFERROR(INDEX(商品マスタ!$C$6:$C$1005,MATCH($F527,商品マスタ!$B$6:$B$1005,0)),"")</f>
        <v/>
      </c>
      <c r="H527" s="66" t="str">
        <f aca="false">IFERROR(INDEX(商品マスタ!$E$6:$E$1005,MATCH($F527,商品マスタ!$B$6:$B$1005,0)),"")</f>
        <v/>
      </c>
      <c r="I527" s="69" t="str">
        <f aca="false">IFERROR(INDEX(商品マスタ!$F$6:$F$1005,MATCH($F527,商品マスタ!$B$6:$B$1005,0)),"")</f>
        <v/>
      </c>
      <c r="J527" s="69" t="str">
        <f aca="false">IF(OR($F527="",$C527&lt;&gt;'設定（最初に1回）'!$C$4),"",IFERROR(INDEX(発注計算!$Y$6:$Y$405,MATCH($F527,発注計算!$C$6:$C$405,0)),""))</f>
        <v/>
      </c>
      <c r="K527" s="70"/>
      <c r="L527" s="69" t="str">
        <f aca="false">IF($K527="","",N($K527)*N($I527))</f>
        <v/>
      </c>
      <c r="M527" s="71" t="str">
        <f aca="false">IFERROR(INDEX(商品マスタ!$G$6:$G$1005,MATCH($F527,商品マスタ!$B$6:$B$1005,0)),"")</f>
        <v/>
      </c>
      <c r="N527" s="71" t="str">
        <f aca="false">IF($K527="","",N($K527)*N($M527))</f>
        <v/>
      </c>
      <c r="O527" s="66" t="str">
        <f aca="false">IFERROR(INDEX(商品マスタ!$H$6:$H$1005,MATCH($F527,商品マスタ!$B$6:$B$1005,0)),"")</f>
        <v/>
      </c>
      <c r="P527" s="87" t="str">
        <f aca="false">IF(OR($E527="",$O527=""),"",WORKDAY($E527,$O527))</f>
        <v/>
      </c>
      <c r="Q527" s="80"/>
      <c r="R527" s="131"/>
      <c r="S527" s="69" t="n">
        <f aca="false">IF($Q527="入荷済み",N($L527),0)</f>
        <v>0</v>
      </c>
      <c r="T527" s="80"/>
      <c r="U527" s="80"/>
    </row>
    <row r="528" customFormat="false" ht="15" hidden="false" customHeight="false" outlineLevel="0" collapsed="false">
      <c r="B528" s="66" t="str">
        <f aca="false">IF(OR($E528="",$F528=""),"","PO-"&amp;TEXT($E528,"yyyymmdd")&amp;"-"&amp;TEXT(COUNTIFS($E$6:$E528,$E528,$C$6:$C528,$C528),"000"))</f>
        <v/>
      </c>
      <c r="C528" s="130"/>
      <c r="D528" s="66" t="str">
        <f aca="false">IFERROR(INDEX(定数マスタ!$C$6:$C$105,MATCH($C528,定数マスタ!$B$6:$B$105,0)),"")</f>
        <v/>
      </c>
      <c r="E528" s="131"/>
      <c r="F528" s="130"/>
      <c r="G528" s="66" t="str">
        <f aca="false">IFERROR(INDEX(商品マスタ!$C$6:$C$1005,MATCH($F528,商品マスタ!$B$6:$B$1005,0)),"")</f>
        <v/>
      </c>
      <c r="H528" s="66" t="str">
        <f aca="false">IFERROR(INDEX(商品マスタ!$E$6:$E$1005,MATCH($F528,商品マスタ!$B$6:$B$1005,0)),"")</f>
        <v/>
      </c>
      <c r="I528" s="69" t="str">
        <f aca="false">IFERROR(INDEX(商品マスタ!$F$6:$F$1005,MATCH($F528,商品マスタ!$B$6:$B$1005,0)),"")</f>
        <v/>
      </c>
      <c r="J528" s="69" t="str">
        <f aca="false">IF(OR($F528="",$C528&lt;&gt;'設定（最初に1回）'!$C$4),"",IFERROR(INDEX(発注計算!$Y$6:$Y$405,MATCH($F528,発注計算!$C$6:$C$405,0)),""))</f>
        <v/>
      </c>
      <c r="K528" s="70"/>
      <c r="L528" s="69" t="str">
        <f aca="false">IF($K528="","",N($K528)*N($I528))</f>
        <v/>
      </c>
      <c r="M528" s="71" t="str">
        <f aca="false">IFERROR(INDEX(商品マスタ!$G$6:$G$1005,MATCH($F528,商品マスタ!$B$6:$B$1005,0)),"")</f>
        <v/>
      </c>
      <c r="N528" s="71" t="str">
        <f aca="false">IF($K528="","",N($K528)*N($M528))</f>
        <v/>
      </c>
      <c r="O528" s="66" t="str">
        <f aca="false">IFERROR(INDEX(商品マスタ!$H$6:$H$1005,MATCH($F528,商品マスタ!$B$6:$B$1005,0)),"")</f>
        <v/>
      </c>
      <c r="P528" s="87" t="str">
        <f aca="false">IF(OR($E528="",$O528=""),"",WORKDAY($E528,$O528))</f>
        <v/>
      </c>
      <c r="Q528" s="80"/>
      <c r="R528" s="131"/>
      <c r="S528" s="69" t="n">
        <f aca="false">IF($Q528="入荷済み",N($L528),0)</f>
        <v>0</v>
      </c>
      <c r="T528" s="80"/>
      <c r="U528" s="80"/>
    </row>
    <row r="529" customFormat="false" ht="15" hidden="false" customHeight="false" outlineLevel="0" collapsed="false">
      <c r="B529" s="66" t="str">
        <f aca="false">IF(OR($E529="",$F529=""),"","PO-"&amp;TEXT($E529,"yyyymmdd")&amp;"-"&amp;TEXT(COUNTIFS($E$6:$E529,$E529,$C$6:$C529,$C529),"000"))</f>
        <v/>
      </c>
      <c r="C529" s="130"/>
      <c r="D529" s="66" t="str">
        <f aca="false">IFERROR(INDEX(定数マスタ!$C$6:$C$105,MATCH($C529,定数マスタ!$B$6:$B$105,0)),"")</f>
        <v/>
      </c>
      <c r="E529" s="131"/>
      <c r="F529" s="130"/>
      <c r="G529" s="66" t="str">
        <f aca="false">IFERROR(INDEX(商品マスタ!$C$6:$C$1005,MATCH($F529,商品マスタ!$B$6:$B$1005,0)),"")</f>
        <v/>
      </c>
      <c r="H529" s="66" t="str">
        <f aca="false">IFERROR(INDEX(商品マスタ!$E$6:$E$1005,MATCH($F529,商品マスタ!$B$6:$B$1005,0)),"")</f>
        <v/>
      </c>
      <c r="I529" s="69" t="str">
        <f aca="false">IFERROR(INDEX(商品マスタ!$F$6:$F$1005,MATCH($F529,商品マスタ!$B$6:$B$1005,0)),"")</f>
        <v/>
      </c>
      <c r="J529" s="69" t="str">
        <f aca="false">IF(OR($F529="",$C529&lt;&gt;'設定（最初に1回）'!$C$4),"",IFERROR(INDEX(発注計算!$Y$6:$Y$405,MATCH($F529,発注計算!$C$6:$C$405,0)),""))</f>
        <v/>
      </c>
      <c r="K529" s="70"/>
      <c r="L529" s="69" t="str">
        <f aca="false">IF($K529="","",N($K529)*N($I529))</f>
        <v/>
      </c>
      <c r="M529" s="71" t="str">
        <f aca="false">IFERROR(INDEX(商品マスタ!$G$6:$G$1005,MATCH($F529,商品マスタ!$B$6:$B$1005,0)),"")</f>
        <v/>
      </c>
      <c r="N529" s="71" t="str">
        <f aca="false">IF($K529="","",N($K529)*N($M529))</f>
        <v/>
      </c>
      <c r="O529" s="66" t="str">
        <f aca="false">IFERROR(INDEX(商品マスタ!$H$6:$H$1005,MATCH($F529,商品マスタ!$B$6:$B$1005,0)),"")</f>
        <v/>
      </c>
      <c r="P529" s="87" t="str">
        <f aca="false">IF(OR($E529="",$O529=""),"",WORKDAY($E529,$O529))</f>
        <v/>
      </c>
      <c r="Q529" s="80"/>
      <c r="R529" s="131"/>
      <c r="S529" s="69" t="n">
        <f aca="false">IF($Q529="入荷済み",N($L529),0)</f>
        <v>0</v>
      </c>
      <c r="T529" s="80"/>
      <c r="U529" s="80"/>
    </row>
    <row r="530" customFormat="false" ht="15" hidden="false" customHeight="false" outlineLevel="0" collapsed="false">
      <c r="B530" s="66" t="str">
        <f aca="false">IF(OR($E530="",$F530=""),"","PO-"&amp;TEXT($E530,"yyyymmdd")&amp;"-"&amp;TEXT(COUNTIFS($E$6:$E530,$E530,$C$6:$C530,$C530),"000"))</f>
        <v/>
      </c>
      <c r="C530" s="130"/>
      <c r="D530" s="66" t="str">
        <f aca="false">IFERROR(INDEX(定数マスタ!$C$6:$C$105,MATCH($C530,定数マスタ!$B$6:$B$105,0)),"")</f>
        <v/>
      </c>
      <c r="E530" s="131"/>
      <c r="F530" s="130"/>
      <c r="G530" s="66" t="str">
        <f aca="false">IFERROR(INDEX(商品マスタ!$C$6:$C$1005,MATCH($F530,商品マスタ!$B$6:$B$1005,0)),"")</f>
        <v/>
      </c>
      <c r="H530" s="66" t="str">
        <f aca="false">IFERROR(INDEX(商品マスタ!$E$6:$E$1005,MATCH($F530,商品マスタ!$B$6:$B$1005,0)),"")</f>
        <v/>
      </c>
      <c r="I530" s="69" t="str">
        <f aca="false">IFERROR(INDEX(商品マスタ!$F$6:$F$1005,MATCH($F530,商品マスタ!$B$6:$B$1005,0)),"")</f>
        <v/>
      </c>
      <c r="J530" s="69" t="str">
        <f aca="false">IF(OR($F530="",$C530&lt;&gt;'設定（最初に1回）'!$C$4),"",IFERROR(INDEX(発注計算!$Y$6:$Y$405,MATCH($F530,発注計算!$C$6:$C$405,0)),""))</f>
        <v/>
      </c>
      <c r="K530" s="70"/>
      <c r="L530" s="69" t="str">
        <f aca="false">IF($K530="","",N($K530)*N($I530))</f>
        <v/>
      </c>
      <c r="M530" s="71" t="str">
        <f aca="false">IFERROR(INDEX(商品マスタ!$G$6:$G$1005,MATCH($F530,商品マスタ!$B$6:$B$1005,0)),"")</f>
        <v/>
      </c>
      <c r="N530" s="71" t="str">
        <f aca="false">IF($K530="","",N($K530)*N($M530))</f>
        <v/>
      </c>
      <c r="O530" s="66" t="str">
        <f aca="false">IFERROR(INDEX(商品マスタ!$H$6:$H$1005,MATCH($F530,商品マスタ!$B$6:$B$1005,0)),"")</f>
        <v/>
      </c>
      <c r="P530" s="87" t="str">
        <f aca="false">IF(OR($E530="",$O530=""),"",WORKDAY($E530,$O530))</f>
        <v/>
      </c>
      <c r="Q530" s="80"/>
      <c r="R530" s="131"/>
      <c r="S530" s="69" t="n">
        <f aca="false">IF($Q530="入荷済み",N($L530),0)</f>
        <v>0</v>
      </c>
      <c r="T530" s="80"/>
      <c r="U530" s="80"/>
    </row>
    <row r="531" customFormat="false" ht="15" hidden="false" customHeight="false" outlineLevel="0" collapsed="false">
      <c r="B531" s="66" t="str">
        <f aca="false">IF(OR($E531="",$F531=""),"","PO-"&amp;TEXT($E531,"yyyymmdd")&amp;"-"&amp;TEXT(COUNTIFS($E$6:$E531,$E531,$C$6:$C531,$C531),"000"))</f>
        <v/>
      </c>
      <c r="C531" s="130"/>
      <c r="D531" s="66" t="str">
        <f aca="false">IFERROR(INDEX(定数マスタ!$C$6:$C$105,MATCH($C531,定数マスタ!$B$6:$B$105,0)),"")</f>
        <v/>
      </c>
      <c r="E531" s="131"/>
      <c r="F531" s="130"/>
      <c r="G531" s="66" t="str">
        <f aca="false">IFERROR(INDEX(商品マスタ!$C$6:$C$1005,MATCH($F531,商品マスタ!$B$6:$B$1005,0)),"")</f>
        <v/>
      </c>
      <c r="H531" s="66" t="str">
        <f aca="false">IFERROR(INDEX(商品マスタ!$E$6:$E$1005,MATCH($F531,商品マスタ!$B$6:$B$1005,0)),"")</f>
        <v/>
      </c>
      <c r="I531" s="69" t="str">
        <f aca="false">IFERROR(INDEX(商品マスタ!$F$6:$F$1005,MATCH($F531,商品マスタ!$B$6:$B$1005,0)),"")</f>
        <v/>
      </c>
      <c r="J531" s="69" t="str">
        <f aca="false">IF(OR($F531="",$C531&lt;&gt;'設定（最初に1回）'!$C$4),"",IFERROR(INDEX(発注計算!$Y$6:$Y$405,MATCH($F531,発注計算!$C$6:$C$405,0)),""))</f>
        <v/>
      </c>
      <c r="K531" s="70"/>
      <c r="L531" s="69" t="str">
        <f aca="false">IF($K531="","",N($K531)*N($I531))</f>
        <v/>
      </c>
      <c r="M531" s="71" t="str">
        <f aca="false">IFERROR(INDEX(商品マスタ!$G$6:$G$1005,MATCH($F531,商品マスタ!$B$6:$B$1005,0)),"")</f>
        <v/>
      </c>
      <c r="N531" s="71" t="str">
        <f aca="false">IF($K531="","",N($K531)*N($M531))</f>
        <v/>
      </c>
      <c r="O531" s="66" t="str">
        <f aca="false">IFERROR(INDEX(商品マスタ!$H$6:$H$1005,MATCH($F531,商品マスタ!$B$6:$B$1005,0)),"")</f>
        <v/>
      </c>
      <c r="P531" s="87" t="str">
        <f aca="false">IF(OR($E531="",$O531=""),"",WORKDAY($E531,$O531))</f>
        <v/>
      </c>
      <c r="Q531" s="80"/>
      <c r="R531" s="131"/>
      <c r="S531" s="69" t="n">
        <f aca="false">IF($Q531="入荷済み",N($L531),0)</f>
        <v>0</v>
      </c>
      <c r="T531" s="80"/>
      <c r="U531" s="80"/>
    </row>
    <row r="532" customFormat="false" ht="15" hidden="false" customHeight="false" outlineLevel="0" collapsed="false">
      <c r="B532" s="66" t="str">
        <f aca="false">IF(OR($E532="",$F532=""),"","PO-"&amp;TEXT($E532,"yyyymmdd")&amp;"-"&amp;TEXT(COUNTIFS($E$6:$E532,$E532,$C$6:$C532,$C532),"000"))</f>
        <v/>
      </c>
      <c r="C532" s="130"/>
      <c r="D532" s="66" t="str">
        <f aca="false">IFERROR(INDEX(定数マスタ!$C$6:$C$105,MATCH($C532,定数マスタ!$B$6:$B$105,0)),"")</f>
        <v/>
      </c>
      <c r="E532" s="131"/>
      <c r="F532" s="130"/>
      <c r="G532" s="66" t="str">
        <f aca="false">IFERROR(INDEX(商品マスタ!$C$6:$C$1005,MATCH($F532,商品マスタ!$B$6:$B$1005,0)),"")</f>
        <v/>
      </c>
      <c r="H532" s="66" t="str">
        <f aca="false">IFERROR(INDEX(商品マスタ!$E$6:$E$1005,MATCH($F532,商品マスタ!$B$6:$B$1005,0)),"")</f>
        <v/>
      </c>
      <c r="I532" s="69" t="str">
        <f aca="false">IFERROR(INDEX(商品マスタ!$F$6:$F$1005,MATCH($F532,商品マスタ!$B$6:$B$1005,0)),"")</f>
        <v/>
      </c>
      <c r="J532" s="69" t="str">
        <f aca="false">IF(OR($F532="",$C532&lt;&gt;'設定（最初に1回）'!$C$4),"",IFERROR(INDEX(発注計算!$Y$6:$Y$405,MATCH($F532,発注計算!$C$6:$C$405,0)),""))</f>
        <v/>
      </c>
      <c r="K532" s="70"/>
      <c r="L532" s="69" t="str">
        <f aca="false">IF($K532="","",N($K532)*N($I532))</f>
        <v/>
      </c>
      <c r="M532" s="71" t="str">
        <f aca="false">IFERROR(INDEX(商品マスタ!$G$6:$G$1005,MATCH($F532,商品マスタ!$B$6:$B$1005,0)),"")</f>
        <v/>
      </c>
      <c r="N532" s="71" t="str">
        <f aca="false">IF($K532="","",N($K532)*N($M532))</f>
        <v/>
      </c>
      <c r="O532" s="66" t="str">
        <f aca="false">IFERROR(INDEX(商品マスタ!$H$6:$H$1005,MATCH($F532,商品マスタ!$B$6:$B$1005,0)),"")</f>
        <v/>
      </c>
      <c r="P532" s="87" t="str">
        <f aca="false">IF(OR($E532="",$O532=""),"",WORKDAY($E532,$O532))</f>
        <v/>
      </c>
      <c r="Q532" s="80"/>
      <c r="R532" s="131"/>
      <c r="S532" s="69" t="n">
        <f aca="false">IF($Q532="入荷済み",N($L532),0)</f>
        <v>0</v>
      </c>
      <c r="T532" s="80"/>
      <c r="U532" s="80"/>
    </row>
    <row r="533" customFormat="false" ht="15" hidden="false" customHeight="false" outlineLevel="0" collapsed="false">
      <c r="B533" s="66" t="str">
        <f aca="false">IF(OR($E533="",$F533=""),"","PO-"&amp;TEXT($E533,"yyyymmdd")&amp;"-"&amp;TEXT(COUNTIFS($E$6:$E533,$E533,$C$6:$C533,$C533),"000"))</f>
        <v/>
      </c>
      <c r="C533" s="130"/>
      <c r="D533" s="66" t="str">
        <f aca="false">IFERROR(INDEX(定数マスタ!$C$6:$C$105,MATCH($C533,定数マスタ!$B$6:$B$105,0)),"")</f>
        <v/>
      </c>
      <c r="E533" s="131"/>
      <c r="F533" s="130"/>
      <c r="G533" s="66" t="str">
        <f aca="false">IFERROR(INDEX(商品マスタ!$C$6:$C$1005,MATCH($F533,商品マスタ!$B$6:$B$1005,0)),"")</f>
        <v/>
      </c>
      <c r="H533" s="66" t="str">
        <f aca="false">IFERROR(INDEX(商品マスタ!$E$6:$E$1005,MATCH($F533,商品マスタ!$B$6:$B$1005,0)),"")</f>
        <v/>
      </c>
      <c r="I533" s="69" t="str">
        <f aca="false">IFERROR(INDEX(商品マスタ!$F$6:$F$1005,MATCH($F533,商品マスタ!$B$6:$B$1005,0)),"")</f>
        <v/>
      </c>
      <c r="J533" s="69" t="str">
        <f aca="false">IF(OR($F533="",$C533&lt;&gt;'設定（最初に1回）'!$C$4),"",IFERROR(INDEX(発注計算!$Y$6:$Y$405,MATCH($F533,発注計算!$C$6:$C$405,0)),""))</f>
        <v/>
      </c>
      <c r="K533" s="70"/>
      <c r="L533" s="69" t="str">
        <f aca="false">IF($K533="","",N($K533)*N($I533))</f>
        <v/>
      </c>
      <c r="M533" s="71" t="str">
        <f aca="false">IFERROR(INDEX(商品マスタ!$G$6:$G$1005,MATCH($F533,商品マスタ!$B$6:$B$1005,0)),"")</f>
        <v/>
      </c>
      <c r="N533" s="71" t="str">
        <f aca="false">IF($K533="","",N($K533)*N($M533))</f>
        <v/>
      </c>
      <c r="O533" s="66" t="str">
        <f aca="false">IFERROR(INDEX(商品マスタ!$H$6:$H$1005,MATCH($F533,商品マスタ!$B$6:$B$1005,0)),"")</f>
        <v/>
      </c>
      <c r="P533" s="87" t="str">
        <f aca="false">IF(OR($E533="",$O533=""),"",WORKDAY($E533,$O533))</f>
        <v/>
      </c>
      <c r="Q533" s="80"/>
      <c r="R533" s="131"/>
      <c r="S533" s="69" t="n">
        <f aca="false">IF($Q533="入荷済み",N($L533),0)</f>
        <v>0</v>
      </c>
      <c r="T533" s="80"/>
      <c r="U533" s="80"/>
    </row>
    <row r="534" customFormat="false" ht="15" hidden="false" customHeight="false" outlineLevel="0" collapsed="false">
      <c r="B534" s="66" t="str">
        <f aca="false">IF(OR($E534="",$F534=""),"","PO-"&amp;TEXT($E534,"yyyymmdd")&amp;"-"&amp;TEXT(COUNTIFS($E$6:$E534,$E534,$C$6:$C534,$C534),"000"))</f>
        <v/>
      </c>
      <c r="C534" s="130"/>
      <c r="D534" s="66" t="str">
        <f aca="false">IFERROR(INDEX(定数マスタ!$C$6:$C$105,MATCH($C534,定数マスタ!$B$6:$B$105,0)),"")</f>
        <v/>
      </c>
      <c r="E534" s="131"/>
      <c r="F534" s="130"/>
      <c r="G534" s="66" t="str">
        <f aca="false">IFERROR(INDEX(商品マスタ!$C$6:$C$1005,MATCH($F534,商品マスタ!$B$6:$B$1005,0)),"")</f>
        <v/>
      </c>
      <c r="H534" s="66" t="str">
        <f aca="false">IFERROR(INDEX(商品マスタ!$E$6:$E$1005,MATCH($F534,商品マスタ!$B$6:$B$1005,0)),"")</f>
        <v/>
      </c>
      <c r="I534" s="69" t="str">
        <f aca="false">IFERROR(INDEX(商品マスタ!$F$6:$F$1005,MATCH($F534,商品マスタ!$B$6:$B$1005,0)),"")</f>
        <v/>
      </c>
      <c r="J534" s="69" t="str">
        <f aca="false">IF(OR($F534="",$C534&lt;&gt;'設定（最初に1回）'!$C$4),"",IFERROR(INDEX(発注計算!$Y$6:$Y$405,MATCH($F534,発注計算!$C$6:$C$405,0)),""))</f>
        <v/>
      </c>
      <c r="K534" s="70"/>
      <c r="L534" s="69" t="str">
        <f aca="false">IF($K534="","",N($K534)*N($I534))</f>
        <v/>
      </c>
      <c r="M534" s="71" t="str">
        <f aca="false">IFERROR(INDEX(商品マスタ!$G$6:$G$1005,MATCH($F534,商品マスタ!$B$6:$B$1005,0)),"")</f>
        <v/>
      </c>
      <c r="N534" s="71" t="str">
        <f aca="false">IF($K534="","",N($K534)*N($M534))</f>
        <v/>
      </c>
      <c r="O534" s="66" t="str">
        <f aca="false">IFERROR(INDEX(商品マスタ!$H$6:$H$1005,MATCH($F534,商品マスタ!$B$6:$B$1005,0)),"")</f>
        <v/>
      </c>
      <c r="P534" s="87" t="str">
        <f aca="false">IF(OR($E534="",$O534=""),"",WORKDAY($E534,$O534))</f>
        <v/>
      </c>
      <c r="Q534" s="80"/>
      <c r="R534" s="131"/>
      <c r="S534" s="69" t="n">
        <f aca="false">IF($Q534="入荷済み",N($L534),0)</f>
        <v>0</v>
      </c>
      <c r="T534" s="80"/>
      <c r="U534" s="80"/>
    </row>
    <row r="535" customFormat="false" ht="15" hidden="false" customHeight="false" outlineLevel="0" collapsed="false">
      <c r="B535" s="66" t="str">
        <f aca="false">IF(OR($E535="",$F535=""),"","PO-"&amp;TEXT($E535,"yyyymmdd")&amp;"-"&amp;TEXT(COUNTIFS($E$6:$E535,$E535,$C$6:$C535,$C535),"000"))</f>
        <v/>
      </c>
      <c r="C535" s="130"/>
      <c r="D535" s="66" t="str">
        <f aca="false">IFERROR(INDEX(定数マスタ!$C$6:$C$105,MATCH($C535,定数マスタ!$B$6:$B$105,0)),"")</f>
        <v/>
      </c>
      <c r="E535" s="131"/>
      <c r="F535" s="130"/>
      <c r="G535" s="66" t="str">
        <f aca="false">IFERROR(INDEX(商品マスタ!$C$6:$C$1005,MATCH($F535,商品マスタ!$B$6:$B$1005,0)),"")</f>
        <v/>
      </c>
      <c r="H535" s="66" t="str">
        <f aca="false">IFERROR(INDEX(商品マスタ!$E$6:$E$1005,MATCH($F535,商品マスタ!$B$6:$B$1005,0)),"")</f>
        <v/>
      </c>
      <c r="I535" s="69" t="str">
        <f aca="false">IFERROR(INDEX(商品マスタ!$F$6:$F$1005,MATCH($F535,商品マスタ!$B$6:$B$1005,0)),"")</f>
        <v/>
      </c>
      <c r="J535" s="69" t="str">
        <f aca="false">IF(OR($F535="",$C535&lt;&gt;'設定（最初に1回）'!$C$4),"",IFERROR(INDEX(発注計算!$Y$6:$Y$405,MATCH($F535,発注計算!$C$6:$C$405,0)),""))</f>
        <v/>
      </c>
      <c r="K535" s="70"/>
      <c r="L535" s="69" t="str">
        <f aca="false">IF($K535="","",N($K535)*N($I535))</f>
        <v/>
      </c>
      <c r="M535" s="71" t="str">
        <f aca="false">IFERROR(INDEX(商品マスタ!$G$6:$G$1005,MATCH($F535,商品マスタ!$B$6:$B$1005,0)),"")</f>
        <v/>
      </c>
      <c r="N535" s="71" t="str">
        <f aca="false">IF($K535="","",N($K535)*N($M535))</f>
        <v/>
      </c>
      <c r="O535" s="66" t="str">
        <f aca="false">IFERROR(INDEX(商品マスタ!$H$6:$H$1005,MATCH($F535,商品マスタ!$B$6:$B$1005,0)),"")</f>
        <v/>
      </c>
      <c r="P535" s="87" t="str">
        <f aca="false">IF(OR($E535="",$O535=""),"",WORKDAY($E535,$O535))</f>
        <v/>
      </c>
      <c r="Q535" s="80"/>
      <c r="R535" s="131"/>
      <c r="S535" s="69" t="n">
        <f aca="false">IF($Q535="入荷済み",N($L535),0)</f>
        <v>0</v>
      </c>
      <c r="T535" s="80"/>
      <c r="U535" s="80"/>
    </row>
    <row r="536" customFormat="false" ht="15" hidden="false" customHeight="false" outlineLevel="0" collapsed="false">
      <c r="B536" s="66" t="str">
        <f aca="false">IF(OR($E536="",$F536=""),"","PO-"&amp;TEXT($E536,"yyyymmdd")&amp;"-"&amp;TEXT(COUNTIFS($E$6:$E536,$E536,$C$6:$C536,$C536),"000"))</f>
        <v/>
      </c>
      <c r="C536" s="130"/>
      <c r="D536" s="66" t="str">
        <f aca="false">IFERROR(INDEX(定数マスタ!$C$6:$C$105,MATCH($C536,定数マスタ!$B$6:$B$105,0)),"")</f>
        <v/>
      </c>
      <c r="E536" s="131"/>
      <c r="F536" s="130"/>
      <c r="G536" s="66" t="str">
        <f aca="false">IFERROR(INDEX(商品マスタ!$C$6:$C$1005,MATCH($F536,商品マスタ!$B$6:$B$1005,0)),"")</f>
        <v/>
      </c>
      <c r="H536" s="66" t="str">
        <f aca="false">IFERROR(INDEX(商品マスタ!$E$6:$E$1005,MATCH($F536,商品マスタ!$B$6:$B$1005,0)),"")</f>
        <v/>
      </c>
      <c r="I536" s="69" t="str">
        <f aca="false">IFERROR(INDEX(商品マスタ!$F$6:$F$1005,MATCH($F536,商品マスタ!$B$6:$B$1005,0)),"")</f>
        <v/>
      </c>
      <c r="J536" s="69" t="str">
        <f aca="false">IF(OR($F536="",$C536&lt;&gt;'設定（最初に1回）'!$C$4),"",IFERROR(INDEX(発注計算!$Y$6:$Y$405,MATCH($F536,発注計算!$C$6:$C$405,0)),""))</f>
        <v/>
      </c>
      <c r="K536" s="70"/>
      <c r="L536" s="69" t="str">
        <f aca="false">IF($K536="","",N($K536)*N($I536))</f>
        <v/>
      </c>
      <c r="M536" s="71" t="str">
        <f aca="false">IFERROR(INDEX(商品マスタ!$G$6:$G$1005,MATCH($F536,商品マスタ!$B$6:$B$1005,0)),"")</f>
        <v/>
      </c>
      <c r="N536" s="71" t="str">
        <f aca="false">IF($K536="","",N($K536)*N($M536))</f>
        <v/>
      </c>
      <c r="O536" s="66" t="str">
        <f aca="false">IFERROR(INDEX(商品マスタ!$H$6:$H$1005,MATCH($F536,商品マスタ!$B$6:$B$1005,0)),"")</f>
        <v/>
      </c>
      <c r="P536" s="87" t="str">
        <f aca="false">IF(OR($E536="",$O536=""),"",WORKDAY($E536,$O536))</f>
        <v/>
      </c>
      <c r="Q536" s="80"/>
      <c r="R536" s="131"/>
      <c r="S536" s="69" t="n">
        <f aca="false">IF($Q536="入荷済み",N($L536),0)</f>
        <v>0</v>
      </c>
      <c r="T536" s="80"/>
      <c r="U536" s="80"/>
    </row>
    <row r="537" customFormat="false" ht="15" hidden="false" customHeight="false" outlineLevel="0" collapsed="false">
      <c r="B537" s="66" t="str">
        <f aca="false">IF(OR($E537="",$F537=""),"","PO-"&amp;TEXT($E537,"yyyymmdd")&amp;"-"&amp;TEXT(COUNTIFS($E$6:$E537,$E537,$C$6:$C537,$C537),"000"))</f>
        <v/>
      </c>
      <c r="C537" s="130"/>
      <c r="D537" s="66" t="str">
        <f aca="false">IFERROR(INDEX(定数マスタ!$C$6:$C$105,MATCH($C537,定数マスタ!$B$6:$B$105,0)),"")</f>
        <v/>
      </c>
      <c r="E537" s="131"/>
      <c r="F537" s="130"/>
      <c r="G537" s="66" t="str">
        <f aca="false">IFERROR(INDEX(商品マスタ!$C$6:$C$1005,MATCH($F537,商品マスタ!$B$6:$B$1005,0)),"")</f>
        <v/>
      </c>
      <c r="H537" s="66" t="str">
        <f aca="false">IFERROR(INDEX(商品マスタ!$E$6:$E$1005,MATCH($F537,商品マスタ!$B$6:$B$1005,0)),"")</f>
        <v/>
      </c>
      <c r="I537" s="69" t="str">
        <f aca="false">IFERROR(INDEX(商品マスタ!$F$6:$F$1005,MATCH($F537,商品マスタ!$B$6:$B$1005,0)),"")</f>
        <v/>
      </c>
      <c r="J537" s="69" t="str">
        <f aca="false">IF(OR($F537="",$C537&lt;&gt;'設定（最初に1回）'!$C$4),"",IFERROR(INDEX(発注計算!$Y$6:$Y$405,MATCH($F537,発注計算!$C$6:$C$405,0)),""))</f>
        <v/>
      </c>
      <c r="K537" s="70"/>
      <c r="L537" s="69" t="str">
        <f aca="false">IF($K537="","",N($K537)*N($I537))</f>
        <v/>
      </c>
      <c r="M537" s="71" t="str">
        <f aca="false">IFERROR(INDEX(商品マスタ!$G$6:$G$1005,MATCH($F537,商品マスタ!$B$6:$B$1005,0)),"")</f>
        <v/>
      </c>
      <c r="N537" s="71" t="str">
        <f aca="false">IF($K537="","",N($K537)*N($M537))</f>
        <v/>
      </c>
      <c r="O537" s="66" t="str">
        <f aca="false">IFERROR(INDEX(商品マスタ!$H$6:$H$1005,MATCH($F537,商品マスタ!$B$6:$B$1005,0)),"")</f>
        <v/>
      </c>
      <c r="P537" s="87" t="str">
        <f aca="false">IF(OR($E537="",$O537=""),"",WORKDAY($E537,$O537))</f>
        <v/>
      </c>
      <c r="Q537" s="80"/>
      <c r="R537" s="131"/>
      <c r="S537" s="69" t="n">
        <f aca="false">IF($Q537="入荷済み",N($L537),0)</f>
        <v>0</v>
      </c>
      <c r="T537" s="80"/>
      <c r="U537" s="80"/>
    </row>
    <row r="538" customFormat="false" ht="15" hidden="false" customHeight="false" outlineLevel="0" collapsed="false">
      <c r="B538" s="66" t="str">
        <f aca="false">IF(OR($E538="",$F538=""),"","PO-"&amp;TEXT($E538,"yyyymmdd")&amp;"-"&amp;TEXT(COUNTIFS($E$6:$E538,$E538,$C$6:$C538,$C538),"000"))</f>
        <v/>
      </c>
      <c r="C538" s="130"/>
      <c r="D538" s="66" t="str">
        <f aca="false">IFERROR(INDEX(定数マスタ!$C$6:$C$105,MATCH($C538,定数マスタ!$B$6:$B$105,0)),"")</f>
        <v/>
      </c>
      <c r="E538" s="131"/>
      <c r="F538" s="130"/>
      <c r="G538" s="66" t="str">
        <f aca="false">IFERROR(INDEX(商品マスタ!$C$6:$C$1005,MATCH($F538,商品マスタ!$B$6:$B$1005,0)),"")</f>
        <v/>
      </c>
      <c r="H538" s="66" t="str">
        <f aca="false">IFERROR(INDEX(商品マスタ!$E$6:$E$1005,MATCH($F538,商品マスタ!$B$6:$B$1005,0)),"")</f>
        <v/>
      </c>
      <c r="I538" s="69" t="str">
        <f aca="false">IFERROR(INDEX(商品マスタ!$F$6:$F$1005,MATCH($F538,商品マスタ!$B$6:$B$1005,0)),"")</f>
        <v/>
      </c>
      <c r="J538" s="69" t="str">
        <f aca="false">IF(OR($F538="",$C538&lt;&gt;'設定（最初に1回）'!$C$4),"",IFERROR(INDEX(発注計算!$Y$6:$Y$405,MATCH($F538,発注計算!$C$6:$C$405,0)),""))</f>
        <v/>
      </c>
      <c r="K538" s="70"/>
      <c r="L538" s="69" t="str">
        <f aca="false">IF($K538="","",N($K538)*N($I538))</f>
        <v/>
      </c>
      <c r="M538" s="71" t="str">
        <f aca="false">IFERROR(INDEX(商品マスタ!$G$6:$G$1005,MATCH($F538,商品マスタ!$B$6:$B$1005,0)),"")</f>
        <v/>
      </c>
      <c r="N538" s="71" t="str">
        <f aca="false">IF($K538="","",N($K538)*N($M538))</f>
        <v/>
      </c>
      <c r="O538" s="66" t="str">
        <f aca="false">IFERROR(INDEX(商品マスタ!$H$6:$H$1005,MATCH($F538,商品マスタ!$B$6:$B$1005,0)),"")</f>
        <v/>
      </c>
      <c r="P538" s="87" t="str">
        <f aca="false">IF(OR($E538="",$O538=""),"",WORKDAY($E538,$O538))</f>
        <v/>
      </c>
      <c r="Q538" s="80"/>
      <c r="R538" s="131"/>
      <c r="S538" s="69" t="n">
        <f aca="false">IF($Q538="入荷済み",N($L538),0)</f>
        <v>0</v>
      </c>
      <c r="T538" s="80"/>
      <c r="U538" s="80"/>
    </row>
    <row r="539" customFormat="false" ht="15" hidden="false" customHeight="false" outlineLevel="0" collapsed="false">
      <c r="B539" s="66" t="str">
        <f aca="false">IF(OR($E539="",$F539=""),"","PO-"&amp;TEXT($E539,"yyyymmdd")&amp;"-"&amp;TEXT(COUNTIFS($E$6:$E539,$E539,$C$6:$C539,$C539),"000"))</f>
        <v/>
      </c>
      <c r="C539" s="130"/>
      <c r="D539" s="66" t="str">
        <f aca="false">IFERROR(INDEX(定数マスタ!$C$6:$C$105,MATCH($C539,定数マスタ!$B$6:$B$105,0)),"")</f>
        <v/>
      </c>
      <c r="E539" s="131"/>
      <c r="F539" s="130"/>
      <c r="G539" s="66" t="str">
        <f aca="false">IFERROR(INDEX(商品マスタ!$C$6:$C$1005,MATCH($F539,商品マスタ!$B$6:$B$1005,0)),"")</f>
        <v/>
      </c>
      <c r="H539" s="66" t="str">
        <f aca="false">IFERROR(INDEX(商品マスタ!$E$6:$E$1005,MATCH($F539,商品マスタ!$B$6:$B$1005,0)),"")</f>
        <v/>
      </c>
      <c r="I539" s="69" t="str">
        <f aca="false">IFERROR(INDEX(商品マスタ!$F$6:$F$1005,MATCH($F539,商品マスタ!$B$6:$B$1005,0)),"")</f>
        <v/>
      </c>
      <c r="J539" s="69" t="str">
        <f aca="false">IF(OR($F539="",$C539&lt;&gt;'設定（最初に1回）'!$C$4),"",IFERROR(INDEX(発注計算!$Y$6:$Y$405,MATCH($F539,発注計算!$C$6:$C$405,0)),""))</f>
        <v/>
      </c>
      <c r="K539" s="70"/>
      <c r="L539" s="69" t="str">
        <f aca="false">IF($K539="","",N($K539)*N($I539))</f>
        <v/>
      </c>
      <c r="M539" s="71" t="str">
        <f aca="false">IFERROR(INDEX(商品マスタ!$G$6:$G$1005,MATCH($F539,商品マスタ!$B$6:$B$1005,0)),"")</f>
        <v/>
      </c>
      <c r="N539" s="71" t="str">
        <f aca="false">IF($K539="","",N($K539)*N($M539))</f>
        <v/>
      </c>
      <c r="O539" s="66" t="str">
        <f aca="false">IFERROR(INDEX(商品マスタ!$H$6:$H$1005,MATCH($F539,商品マスタ!$B$6:$B$1005,0)),"")</f>
        <v/>
      </c>
      <c r="P539" s="87" t="str">
        <f aca="false">IF(OR($E539="",$O539=""),"",WORKDAY($E539,$O539))</f>
        <v/>
      </c>
      <c r="Q539" s="80"/>
      <c r="R539" s="131"/>
      <c r="S539" s="69" t="n">
        <f aca="false">IF($Q539="入荷済み",N($L539),0)</f>
        <v>0</v>
      </c>
      <c r="T539" s="80"/>
      <c r="U539" s="80"/>
    </row>
    <row r="540" customFormat="false" ht="15" hidden="false" customHeight="false" outlineLevel="0" collapsed="false">
      <c r="B540" s="66" t="str">
        <f aca="false">IF(OR($E540="",$F540=""),"","PO-"&amp;TEXT($E540,"yyyymmdd")&amp;"-"&amp;TEXT(COUNTIFS($E$6:$E540,$E540,$C$6:$C540,$C540),"000"))</f>
        <v/>
      </c>
      <c r="C540" s="130"/>
      <c r="D540" s="66" t="str">
        <f aca="false">IFERROR(INDEX(定数マスタ!$C$6:$C$105,MATCH($C540,定数マスタ!$B$6:$B$105,0)),"")</f>
        <v/>
      </c>
      <c r="E540" s="131"/>
      <c r="F540" s="130"/>
      <c r="G540" s="66" t="str">
        <f aca="false">IFERROR(INDEX(商品マスタ!$C$6:$C$1005,MATCH($F540,商品マスタ!$B$6:$B$1005,0)),"")</f>
        <v/>
      </c>
      <c r="H540" s="66" t="str">
        <f aca="false">IFERROR(INDEX(商品マスタ!$E$6:$E$1005,MATCH($F540,商品マスタ!$B$6:$B$1005,0)),"")</f>
        <v/>
      </c>
      <c r="I540" s="69" t="str">
        <f aca="false">IFERROR(INDEX(商品マスタ!$F$6:$F$1005,MATCH($F540,商品マスタ!$B$6:$B$1005,0)),"")</f>
        <v/>
      </c>
      <c r="J540" s="69" t="str">
        <f aca="false">IF(OR($F540="",$C540&lt;&gt;'設定（最初に1回）'!$C$4),"",IFERROR(INDEX(発注計算!$Y$6:$Y$405,MATCH($F540,発注計算!$C$6:$C$405,0)),""))</f>
        <v/>
      </c>
      <c r="K540" s="70"/>
      <c r="L540" s="69" t="str">
        <f aca="false">IF($K540="","",N($K540)*N($I540))</f>
        <v/>
      </c>
      <c r="M540" s="71" t="str">
        <f aca="false">IFERROR(INDEX(商品マスタ!$G$6:$G$1005,MATCH($F540,商品マスタ!$B$6:$B$1005,0)),"")</f>
        <v/>
      </c>
      <c r="N540" s="71" t="str">
        <f aca="false">IF($K540="","",N($K540)*N($M540))</f>
        <v/>
      </c>
      <c r="O540" s="66" t="str">
        <f aca="false">IFERROR(INDEX(商品マスタ!$H$6:$H$1005,MATCH($F540,商品マスタ!$B$6:$B$1005,0)),"")</f>
        <v/>
      </c>
      <c r="P540" s="87" t="str">
        <f aca="false">IF(OR($E540="",$O540=""),"",WORKDAY($E540,$O540))</f>
        <v/>
      </c>
      <c r="Q540" s="80"/>
      <c r="R540" s="131"/>
      <c r="S540" s="69" t="n">
        <f aca="false">IF($Q540="入荷済み",N($L540),0)</f>
        <v>0</v>
      </c>
      <c r="T540" s="80"/>
      <c r="U540" s="80"/>
    </row>
    <row r="541" customFormat="false" ht="15" hidden="false" customHeight="false" outlineLevel="0" collapsed="false">
      <c r="B541" s="66" t="str">
        <f aca="false">IF(OR($E541="",$F541=""),"","PO-"&amp;TEXT($E541,"yyyymmdd")&amp;"-"&amp;TEXT(COUNTIFS($E$6:$E541,$E541,$C$6:$C541,$C541),"000"))</f>
        <v/>
      </c>
      <c r="C541" s="130"/>
      <c r="D541" s="66" t="str">
        <f aca="false">IFERROR(INDEX(定数マスタ!$C$6:$C$105,MATCH($C541,定数マスタ!$B$6:$B$105,0)),"")</f>
        <v/>
      </c>
      <c r="E541" s="131"/>
      <c r="F541" s="130"/>
      <c r="G541" s="66" t="str">
        <f aca="false">IFERROR(INDEX(商品マスタ!$C$6:$C$1005,MATCH($F541,商品マスタ!$B$6:$B$1005,0)),"")</f>
        <v/>
      </c>
      <c r="H541" s="66" t="str">
        <f aca="false">IFERROR(INDEX(商品マスタ!$E$6:$E$1005,MATCH($F541,商品マスタ!$B$6:$B$1005,0)),"")</f>
        <v/>
      </c>
      <c r="I541" s="69" t="str">
        <f aca="false">IFERROR(INDEX(商品マスタ!$F$6:$F$1005,MATCH($F541,商品マスタ!$B$6:$B$1005,0)),"")</f>
        <v/>
      </c>
      <c r="J541" s="69" t="str">
        <f aca="false">IF(OR($F541="",$C541&lt;&gt;'設定（最初に1回）'!$C$4),"",IFERROR(INDEX(発注計算!$Y$6:$Y$405,MATCH($F541,発注計算!$C$6:$C$405,0)),""))</f>
        <v/>
      </c>
      <c r="K541" s="70"/>
      <c r="L541" s="69" t="str">
        <f aca="false">IF($K541="","",N($K541)*N($I541))</f>
        <v/>
      </c>
      <c r="M541" s="71" t="str">
        <f aca="false">IFERROR(INDEX(商品マスタ!$G$6:$G$1005,MATCH($F541,商品マスタ!$B$6:$B$1005,0)),"")</f>
        <v/>
      </c>
      <c r="N541" s="71" t="str">
        <f aca="false">IF($K541="","",N($K541)*N($M541))</f>
        <v/>
      </c>
      <c r="O541" s="66" t="str">
        <f aca="false">IFERROR(INDEX(商品マスタ!$H$6:$H$1005,MATCH($F541,商品マスタ!$B$6:$B$1005,0)),"")</f>
        <v/>
      </c>
      <c r="P541" s="87" t="str">
        <f aca="false">IF(OR($E541="",$O541=""),"",WORKDAY($E541,$O541))</f>
        <v/>
      </c>
      <c r="Q541" s="80"/>
      <c r="R541" s="131"/>
      <c r="S541" s="69" t="n">
        <f aca="false">IF($Q541="入荷済み",N($L541),0)</f>
        <v>0</v>
      </c>
      <c r="T541" s="80"/>
      <c r="U541" s="80"/>
    </row>
    <row r="542" customFormat="false" ht="15" hidden="false" customHeight="false" outlineLevel="0" collapsed="false">
      <c r="B542" s="66" t="str">
        <f aca="false">IF(OR($E542="",$F542=""),"","PO-"&amp;TEXT($E542,"yyyymmdd")&amp;"-"&amp;TEXT(COUNTIFS($E$6:$E542,$E542,$C$6:$C542,$C542),"000"))</f>
        <v/>
      </c>
      <c r="C542" s="130"/>
      <c r="D542" s="66" t="str">
        <f aca="false">IFERROR(INDEX(定数マスタ!$C$6:$C$105,MATCH($C542,定数マスタ!$B$6:$B$105,0)),"")</f>
        <v/>
      </c>
      <c r="E542" s="131"/>
      <c r="F542" s="130"/>
      <c r="G542" s="66" t="str">
        <f aca="false">IFERROR(INDEX(商品マスタ!$C$6:$C$1005,MATCH($F542,商品マスタ!$B$6:$B$1005,0)),"")</f>
        <v/>
      </c>
      <c r="H542" s="66" t="str">
        <f aca="false">IFERROR(INDEX(商品マスタ!$E$6:$E$1005,MATCH($F542,商品マスタ!$B$6:$B$1005,0)),"")</f>
        <v/>
      </c>
      <c r="I542" s="69" t="str">
        <f aca="false">IFERROR(INDEX(商品マスタ!$F$6:$F$1005,MATCH($F542,商品マスタ!$B$6:$B$1005,0)),"")</f>
        <v/>
      </c>
      <c r="J542" s="69" t="str">
        <f aca="false">IF(OR($F542="",$C542&lt;&gt;'設定（最初に1回）'!$C$4),"",IFERROR(INDEX(発注計算!$Y$6:$Y$405,MATCH($F542,発注計算!$C$6:$C$405,0)),""))</f>
        <v/>
      </c>
      <c r="K542" s="70"/>
      <c r="L542" s="69" t="str">
        <f aca="false">IF($K542="","",N($K542)*N($I542))</f>
        <v/>
      </c>
      <c r="M542" s="71" t="str">
        <f aca="false">IFERROR(INDEX(商品マスタ!$G$6:$G$1005,MATCH($F542,商品マスタ!$B$6:$B$1005,0)),"")</f>
        <v/>
      </c>
      <c r="N542" s="71" t="str">
        <f aca="false">IF($K542="","",N($K542)*N($M542))</f>
        <v/>
      </c>
      <c r="O542" s="66" t="str">
        <f aca="false">IFERROR(INDEX(商品マスタ!$H$6:$H$1005,MATCH($F542,商品マスタ!$B$6:$B$1005,0)),"")</f>
        <v/>
      </c>
      <c r="P542" s="87" t="str">
        <f aca="false">IF(OR($E542="",$O542=""),"",WORKDAY($E542,$O542))</f>
        <v/>
      </c>
      <c r="Q542" s="80"/>
      <c r="R542" s="131"/>
      <c r="S542" s="69" t="n">
        <f aca="false">IF($Q542="入荷済み",N($L542),0)</f>
        <v>0</v>
      </c>
      <c r="T542" s="80"/>
      <c r="U542" s="80"/>
    </row>
    <row r="543" customFormat="false" ht="15" hidden="false" customHeight="false" outlineLevel="0" collapsed="false">
      <c r="B543" s="66" t="str">
        <f aca="false">IF(OR($E543="",$F543=""),"","PO-"&amp;TEXT($E543,"yyyymmdd")&amp;"-"&amp;TEXT(COUNTIFS($E$6:$E543,$E543,$C$6:$C543,$C543),"000"))</f>
        <v/>
      </c>
      <c r="C543" s="130"/>
      <c r="D543" s="66" t="str">
        <f aca="false">IFERROR(INDEX(定数マスタ!$C$6:$C$105,MATCH($C543,定数マスタ!$B$6:$B$105,0)),"")</f>
        <v/>
      </c>
      <c r="E543" s="131"/>
      <c r="F543" s="130"/>
      <c r="G543" s="66" t="str">
        <f aca="false">IFERROR(INDEX(商品マスタ!$C$6:$C$1005,MATCH($F543,商品マスタ!$B$6:$B$1005,0)),"")</f>
        <v/>
      </c>
      <c r="H543" s="66" t="str">
        <f aca="false">IFERROR(INDEX(商品マスタ!$E$6:$E$1005,MATCH($F543,商品マスタ!$B$6:$B$1005,0)),"")</f>
        <v/>
      </c>
      <c r="I543" s="69" t="str">
        <f aca="false">IFERROR(INDEX(商品マスタ!$F$6:$F$1005,MATCH($F543,商品マスタ!$B$6:$B$1005,0)),"")</f>
        <v/>
      </c>
      <c r="J543" s="69" t="str">
        <f aca="false">IF(OR($F543="",$C543&lt;&gt;'設定（最初に1回）'!$C$4),"",IFERROR(INDEX(発注計算!$Y$6:$Y$405,MATCH($F543,発注計算!$C$6:$C$405,0)),""))</f>
        <v/>
      </c>
      <c r="K543" s="70"/>
      <c r="L543" s="69" t="str">
        <f aca="false">IF($K543="","",N($K543)*N($I543))</f>
        <v/>
      </c>
      <c r="M543" s="71" t="str">
        <f aca="false">IFERROR(INDEX(商品マスタ!$G$6:$G$1005,MATCH($F543,商品マスタ!$B$6:$B$1005,0)),"")</f>
        <v/>
      </c>
      <c r="N543" s="71" t="str">
        <f aca="false">IF($K543="","",N($K543)*N($M543))</f>
        <v/>
      </c>
      <c r="O543" s="66" t="str">
        <f aca="false">IFERROR(INDEX(商品マスタ!$H$6:$H$1005,MATCH($F543,商品マスタ!$B$6:$B$1005,0)),"")</f>
        <v/>
      </c>
      <c r="P543" s="87" t="str">
        <f aca="false">IF(OR($E543="",$O543=""),"",WORKDAY($E543,$O543))</f>
        <v/>
      </c>
      <c r="Q543" s="80"/>
      <c r="R543" s="131"/>
      <c r="S543" s="69" t="n">
        <f aca="false">IF($Q543="入荷済み",N($L543),0)</f>
        <v>0</v>
      </c>
      <c r="T543" s="80"/>
      <c r="U543" s="80"/>
    </row>
    <row r="544" customFormat="false" ht="15" hidden="false" customHeight="false" outlineLevel="0" collapsed="false">
      <c r="B544" s="66" t="str">
        <f aca="false">IF(OR($E544="",$F544=""),"","PO-"&amp;TEXT($E544,"yyyymmdd")&amp;"-"&amp;TEXT(COUNTIFS($E$6:$E544,$E544,$C$6:$C544,$C544),"000"))</f>
        <v/>
      </c>
      <c r="C544" s="130"/>
      <c r="D544" s="66" t="str">
        <f aca="false">IFERROR(INDEX(定数マスタ!$C$6:$C$105,MATCH($C544,定数マスタ!$B$6:$B$105,0)),"")</f>
        <v/>
      </c>
      <c r="E544" s="131"/>
      <c r="F544" s="130"/>
      <c r="G544" s="66" t="str">
        <f aca="false">IFERROR(INDEX(商品マスタ!$C$6:$C$1005,MATCH($F544,商品マスタ!$B$6:$B$1005,0)),"")</f>
        <v/>
      </c>
      <c r="H544" s="66" t="str">
        <f aca="false">IFERROR(INDEX(商品マスタ!$E$6:$E$1005,MATCH($F544,商品マスタ!$B$6:$B$1005,0)),"")</f>
        <v/>
      </c>
      <c r="I544" s="69" t="str">
        <f aca="false">IFERROR(INDEX(商品マスタ!$F$6:$F$1005,MATCH($F544,商品マスタ!$B$6:$B$1005,0)),"")</f>
        <v/>
      </c>
      <c r="J544" s="69" t="str">
        <f aca="false">IF(OR($F544="",$C544&lt;&gt;'設定（最初に1回）'!$C$4),"",IFERROR(INDEX(発注計算!$Y$6:$Y$405,MATCH($F544,発注計算!$C$6:$C$405,0)),""))</f>
        <v/>
      </c>
      <c r="K544" s="70"/>
      <c r="L544" s="69" t="str">
        <f aca="false">IF($K544="","",N($K544)*N($I544))</f>
        <v/>
      </c>
      <c r="M544" s="71" t="str">
        <f aca="false">IFERROR(INDEX(商品マスタ!$G$6:$G$1005,MATCH($F544,商品マスタ!$B$6:$B$1005,0)),"")</f>
        <v/>
      </c>
      <c r="N544" s="71" t="str">
        <f aca="false">IF($K544="","",N($K544)*N($M544))</f>
        <v/>
      </c>
      <c r="O544" s="66" t="str">
        <f aca="false">IFERROR(INDEX(商品マスタ!$H$6:$H$1005,MATCH($F544,商品マスタ!$B$6:$B$1005,0)),"")</f>
        <v/>
      </c>
      <c r="P544" s="87" t="str">
        <f aca="false">IF(OR($E544="",$O544=""),"",WORKDAY($E544,$O544))</f>
        <v/>
      </c>
      <c r="Q544" s="80"/>
      <c r="R544" s="131"/>
      <c r="S544" s="69" t="n">
        <f aca="false">IF($Q544="入荷済み",N($L544),0)</f>
        <v>0</v>
      </c>
      <c r="T544" s="80"/>
      <c r="U544" s="80"/>
    </row>
    <row r="545" customFormat="false" ht="15" hidden="false" customHeight="false" outlineLevel="0" collapsed="false">
      <c r="B545" s="66" t="str">
        <f aca="false">IF(OR($E545="",$F545=""),"","PO-"&amp;TEXT($E545,"yyyymmdd")&amp;"-"&amp;TEXT(COUNTIFS($E$6:$E545,$E545,$C$6:$C545,$C545),"000"))</f>
        <v/>
      </c>
      <c r="C545" s="130"/>
      <c r="D545" s="66" t="str">
        <f aca="false">IFERROR(INDEX(定数マスタ!$C$6:$C$105,MATCH($C545,定数マスタ!$B$6:$B$105,0)),"")</f>
        <v/>
      </c>
      <c r="E545" s="131"/>
      <c r="F545" s="130"/>
      <c r="G545" s="66" t="str">
        <f aca="false">IFERROR(INDEX(商品マスタ!$C$6:$C$1005,MATCH($F545,商品マスタ!$B$6:$B$1005,0)),"")</f>
        <v/>
      </c>
      <c r="H545" s="66" t="str">
        <f aca="false">IFERROR(INDEX(商品マスタ!$E$6:$E$1005,MATCH($F545,商品マスタ!$B$6:$B$1005,0)),"")</f>
        <v/>
      </c>
      <c r="I545" s="69" t="str">
        <f aca="false">IFERROR(INDEX(商品マスタ!$F$6:$F$1005,MATCH($F545,商品マスタ!$B$6:$B$1005,0)),"")</f>
        <v/>
      </c>
      <c r="J545" s="69" t="str">
        <f aca="false">IF(OR($F545="",$C545&lt;&gt;'設定（最初に1回）'!$C$4),"",IFERROR(INDEX(発注計算!$Y$6:$Y$405,MATCH($F545,発注計算!$C$6:$C$405,0)),""))</f>
        <v/>
      </c>
      <c r="K545" s="70"/>
      <c r="L545" s="69" t="str">
        <f aca="false">IF($K545="","",N($K545)*N($I545))</f>
        <v/>
      </c>
      <c r="M545" s="71" t="str">
        <f aca="false">IFERROR(INDEX(商品マスタ!$G$6:$G$1005,MATCH($F545,商品マスタ!$B$6:$B$1005,0)),"")</f>
        <v/>
      </c>
      <c r="N545" s="71" t="str">
        <f aca="false">IF($K545="","",N($K545)*N($M545))</f>
        <v/>
      </c>
      <c r="O545" s="66" t="str">
        <f aca="false">IFERROR(INDEX(商品マスタ!$H$6:$H$1005,MATCH($F545,商品マスタ!$B$6:$B$1005,0)),"")</f>
        <v/>
      </c>
      <c r="P545" s="87" t="str">
        <f aca="false">IF(OR($E545="",$O545=""),"",WORKDAY($E545,$O545))</f>
        <v/>
      </c>
      <c r="Q545" s="80"/>
      <c r="R545" s="131"/>
      <c r="S545" s="69" t="n">
        <f aca="false">IF($Q545="入荷済み",N($L545),0)</f>
        <v>0</v>
      </c>
      <c r="T545" s="80"/>
      <c r="U545" s="80"/>
    </row>
    <row r="546" customFormat="false" ht="15" hidden="false" customHeight="false" outlineLevel="0" collapsed="false">
      <c r="B546" s="66" t="str">
        <f aca="false">IF(OR($E546="",$F546=""),"","PO-"&amp;TEXT($E546,"yyyymmdd")&amp;"-"&amp;TEXT(COUNTIFS($E$6:$E546,$E546,$C$6:$C546,$C546),"000"))</f>
        <v/>
      </c>
      <c r="C546" s="130"/>
      <c r="D546" s="66" t="str">
        <f aca="false">IFERROR(INDEX(定数マスタ!$C$6:$C$105,MATCH($C546,定数マスタ!$B$6:$B$105,0)),"")</f>
        <v/>
      </c>
      <c r="E546" s="131"/>
      <c r="F546" s="130"/>
      <c r="G546" s="66" t="str">
        <f aca="false">IFERROR(INDEX(商品マスタ!$C$6:$C$1005,MATCH($F546,商品マスタ!$B$6:$B$1005,0)),"")</f>
        <v/>
      </c>
      <c r="H546" s="66" t="str">
        <f aca="false">IFERROR(INDEX(商品マスタ!$E$6:$E$1005,MATCH($F546,商品マスタ!$B$6:$B$1005,0)),"")</f>
        <v/>
      </c>
      <c r="I546" s="69" t="str">
        <f aca="false">IFERROR(INDEX(商品マスタ!$F$6:$F$1005,MATCH($F546,商品マスタ!$B$6:$B$1005,0)),"")</f>
        <v/>
      </c>
      <c r="J546" s="69" t="str">
        <f aca="false">IF(OR($F546="",$C546&lt;&gt;'設定（最初に1回）'!$C$4),"",IFERROR(INDEX(発注計算!$Y$6:$Y$405,MATCH($F546,発注計算!$C$6:$C$405,0)),""))</f>
        <v/>
      </c>
      <c r="K546" s="70"/>
      <c r="L546" s="69" t="str">
        <f aca="false">IF($K546="","",N($K546)*N($I546))</f>
        <v/>
      </c>
      <c r="M546" s="71" t="str">
        <f aca="false">IFERROR(INDEX(商品マスタ!$G$6:$G$1005,MATCH($F546,商品マスタ!$B$6:$B$1005,0)),"")</f>
        <v/>
      </c>
      <c r="N546" s="71" t="str">
        <f aca="false">IF($K546="","",N($K546)*N($M546))</f>
        <v/>
      </c>
      <c r="O546" s="66" t="str">
        <f aca="false">IFERROR(INDEX(商品マスタ!$H$6:$H$1005,MATCH($F546,商品マスタ!$B$6:$B$1005,0)),"")</f>
        <v/>
      </c>
      <c r="P546" s="87" t="str">
        <f aca="false">IF(OR($E546="",$O546=""),"",WORKDAY($E546,$O546))</f>
        <v/>
      </c>
      <c r="Q546" s="80"/>
      <c r="R546" s="131"/>
      <c r="S546" s="69" t="n">
        <f aca="false">IF($Q546="入荷済み",N($L546),0)</f>
        <v>0</v>
      </c>
      <c r="T546" s="80"/>
      <c r="U546" s="80"/>
    </row>
    <row r="547" customFormat="false" ht="15" hidden="false" customHeight="false" outlineLevel="0" collapsed="false">
      <c r="B547" s="66" t="str">
        <f aca="false">IF(OR($E547="",$F547=""),"","PO-"&amp;TEXT($E547,"yyyymmdd")&amp;"-"&amp;TEXT(COUNTIFS($E$6:$E547,$E547,$C$6:$C547,$C547),"000"))</f>
        <v/>
      </c>
      <c r="C547" s="130"/>
      <c r="D547" s="66" t="str">
        <f aca="false">IFERROR(INDEX(定数マスタ!$C$6:$C$105,MATCH($C547,定数マスタ!$B$6:$B$105,0)),"")</f>
        <v/>
      </c>
      <c r="E547" s="131"/>
      <c r="F547" s="130"/>
      <c r="G547" s="66" t="str">
        <f aca="false">IFERROR(INDEX(商品マスタ!$C$6:$C$1005,MATCH($F547,商品マスタ!$B$6:$B$1005,0)),"")</f>
        <v/>
      </c>
      <c r="H547" s="66" t="str">
        <f aca="false">IFERROR(INDEX(商品マスタ!$E$6:$E$1005,MATCH($F547,商品マスタ!$B$6:$B$1005,0)),"")</f>
        <v/>
      </c>
      <c r="I547" s="69" t="str">
        <f aca="false">IFERROR(INDEX(商品マスタ!$F$6:$F$1005,MATCH($F547,商品マスタ!$B$6:$B$1005,0)),"")</f>
        <v/>
      </c>
      <c r="J547" s="69" t="str">
        <f aca="false">IF(OR($F547="",$C547&lt;&gt;'設定（最初に1回）'!$C$4),"",IFERROR(INDEX(発注計算!$Y$6:$Y$405,MATCH($F547,発注計算!$C$6:$C$405,0)),""))</f>
        <v/>
      </c>
      <c r="K547" s="70"/>
      <c r="L547" s="69" t="str">
        <f aca="false">IF($K547="","",N($K547)*N($I547))</f>
        <v/>
      </c>
      <c r="M547" s="71" t="str">
        <f aca="false">IFERROR(INDEX(商品マスタ!$G$6:$G$1005,MATCH($F547,商品マスタ!$B$6:$B$1005,0)),"")</f>
        <v/>
      </c>
      <c r="N547" s="71" t="str">
        <f aca="false">IF($K547="","",N($K547)*N($M547))</f>
        <v/>
      </c>
      <c r="O547" s="66" t="str">
        <f aca="false">IFERROR(INDEX(商品マスタ!$H$6:$H$1005,MATCH($F547,商品マスタ!$B$6:$B$1005,0)),"")</f>
        <v/>
      </c>
      <c r="P547" s="87" t="str">
        <f aca="false">IF(OR($E547="",$O547=""),"",WORKDAY($E547,$O547))</f>
        <v/>
      </c>
      <c r="Q547" s="80"/>
      <c r="R547" s="131"/>
      <c r="S547" s="69" t="n">
        <f aca="false">IF($Q547="入荷済み",N($L547),0)</f>
        <v>0</v>
      </c>
      <c r="T547" s="80"/>
      <c r="U547" s="80"/>
    </row>
    <row r="548" customFormat="false" ht="15" hidden="false" customHeight="false" outlineLevel="0" collapsed="false">
      <c r="B548" s="66" t="str">
        <f aca="false">IF(OR($E548="",$F548=""),"","PO-"&amp;TEXT($E548,"yyyymmdd")&amp;"-"&amp;TEXT(COUNTIFS($E$6:$E548,$E548,$C$6:$C548,$C548),"000"))</f>
        <v/>
      </c>
      <c r="C548" s="130"/>
      <c r="D548" s="66" t="str">
        <f aca="false">IFERROR(INDEX(定数マスタ!$C$6:$C$105,MATCH($C548,定数マスタ!$B$6:$B$105,0)),"")</f>
        <v/>
      </c>
      <c r="E548" s="131"/>
      <c r="F548" s="130"/>
      <c r="G548" s="66" t="str">
        <f aca="false">IFERROR(INDEX(商品マスタ!$C$6:$C$1005,MATCH($F548,商品マスタ!$B$6:$B$1005,0)),"")</f>
        <v/>
      </c>
      <c r="H548" s="66" t="str">
        <f aca="false">IFERROR(INDEX(商品マスタ!$E$6:$E$1005,MATCH($F548,商品マスタ!$B$6:$B$1005,0)),"")</f>
        <v/>
      </c>
      <c r="I548" s="69" t="str">
        <f aca="false">IFERROR(INDEX(商品マスタ!$F$6:$F$1005,MATCH($F548,商品マスタ!$B$6:$B$1005,0)),"")</f>
        <v/>
      </c>
      <c r="J548" s="69" t="str">
        <f aca="false">IF(OR($F548="",$C548&lt;&gt;'設定（最初に1回）'!$C$4),"",IFERROR(INDEX(発注計算!$Y$6:$Y$405,MATCH($F548,発注計算!$C$6:$C$405,0)),""))</f>
        <v/>
      </c>
      <c r="K548" s="70"/>
      <c r="L548" s="69" t="str">
        <f aca="false">IF($K548="","",N($K548)*N($I548))</f>
        <v/>
      </c>
      <c r="M548" s="71" t="str">
        <f aca="false">IFERROR(INDEX(商品マスタ!$G$6:$G$1005,MATCH($F548,商品マスタ!$B$6:$B$1005,0)),"")</f>
        <v/>
      </c>
      <c r="N548" s="71" t="str">
        <f aca="false">IF($K548="","",N($K548)*N($M548))</f>
        <v/>
      </c>
      <c r="O548" s="66" t="str">
        <f aca="false">IFERROR(INDEX(商品マスタ!$H$6:$H$1005,MATCH($F548,商品マスタ!$B$6:$B$1005,0)),"")</f>
        <v/>
      </c>
      <c r="P548" s="87" t="str">
        <f aca="false">IF(OR($E548="",$O548=""),"",WORKDAY($E548,$O548))</f>
        <v/>
      </c>
      <c r="Q548" s="80"/>
      <c r="R548" s="131"/>
      <c r="S548" s="69" t="n">
        <f aca="false">IF($Q548="入荷済み",N($L548),0)</f>
        <v>0</v>
      </c>
      <c r="T548" s="80"/>
      <c r="U548" s="80"/>
    </row>
    <row r="549" customFormat="false" ht="15" hidden="false" customHeight="false" outlineLevel="0" collapsed="false">
      <c r="B549" s="66" t="str">
        <f aca="false">IF(OR($E549="",$F549=""),"","PO-"&amp;TEXT($E549,"yyyymmdd")&amp;"-"&amp;TEXT(COUNTIFS($E$6:$E549,$E549,$C$6:$C549,$C549),"000"))</f>
        <v/>
      </c>
      <c r="C549" s="130"/>
      <c r="D549" s="66" t="str">
        <f aca="false">IFERROR(INDEX(定数マスタ!$C$6:$C$105,MATCH($C549,定数マスタ!$B$6:$B$105,0)),"")</f>
        <v/>
      </c>
      <c r="E549" s="131"/>
      <c r="F549" s="130"/>
      <c r="G549" s="66" t="str">
        <f aca="false">IFERROR(INDEX(商品マスタ!$C$6:$C$1005,MATCH($F549,商品マスタ!$B$6:$B$1005,0)),"")</f>
        <v/>
      </c>
      <c r="H549" s="66" t="str">
        <f aca="false">IFERROR(INDEX(商品マスタ!$E$6:$E$1005,MATCH($F549,商品マスタ!$B$6:$B$1005,0)),"")</f>
        <v/>
      </c>
      <c r="I549" s="69" t="str">
        <f aca="false">IFERROR(INDEX(商品マスタ!$F$6:$F$1005,MATCH($F549,商品マスタ!$B$6:$B$1005,0)),"")</f>
        <v/>
      </c>
      <c r="J549" s="69" t="str">
        <f aca="false">IF(OR($F549="",$C549&lt;&gt;'設定（最初に1回）'!$C$4),"",IFERROR(INDEX(発注計算!$Y$6:$Y$405,MATCH($F549,発注計算!$C$6:$C$405,0)),""))</f>
        <v/>
      </c>
      <c r="K549" s="70"/>
      <c r="L549" s="69" t="str">
        <f aca="false">IF($K549="","",N($K549)*N($I549))</f>
        <v/>
      </c>
      <c r="M549" s="71" t="str">
        <f aca="false">IFERROR(INDEX(商品マスタ!$G$6:$G$1005,MATCH($F549,商品マスタ!$B$6:$B$1005,0)),"")</f>
        <v/>
      </c>
      <c r="N549" s="71" t="str">
        <f aca="false">IF($K549="","",N($K549)*N($M549))</f>
        <v/>
      </c>
      <c r="O549" s="66" t="str">
        <f aca="false">IFERROR(INDEX(商品マスタ!$H$6:$H$1005,MATCH($F549,商品マスタ!$B$6:$B$1005,0)),"")</f>
        <v/>
      </c>
      <c r="P549" s="87" t="str">
        <f aca="false">IF(OR($E549="",$O549=""),"",WORKDAY($E549,$O549))</f>
        <v/>
      </c>
      <c r="Q549" s="80"/>
      <c r="R549" s="131"/>
      <c r="S549" s="69" t="n">
        <f aca="false">IF($Q549="入荷済み",N($L549),0)</f>
        <v>0</v>
      </c>
      <c r="T549" s="80"/>
      <c r="U549" s="80"/>
    </row>
    <row r="550" customFormat="false" ht="15" hidden="false" customHeight="false" outlineLevel="0" collapsed="false">
      <c r="B550" s="66" t="str">
        <f aca="false">IF(OR($E550="",$F550=""),"","PO-"&amp;TEXT($E550,"yyyymmdd")&amp;"-"&amp;TEXT(COUNTIFS($E$6:$E550,$E550,$C$6:$C550,$C550),"000"))</f>
        <v/>
      </c>
      <c r="C550" s="130"/>
      <c r="D550" s="66" t="str">
        <f aca="false">IFERROR(INDEX(定数マスタ!$C$6:$C$105,MATCH($C550,定数マスタ!$B$6:$B$105,0)),"")</f>
        <v/>
      </c>
      <c r="E550" s="131"/>
      <c r="F550" s="130"/>
      <c r="G550" s="66" t="str">
        <f aca="false">IFERROR(INDEX(商品マスタ!$C$6:$C$1005,MATCH($F550,商品マスタ!$B$6:$B$1005,0)),"")</f>
        <v/>
      </c>
      <c r="H550" s="66" t="str">
        <f aca="false">IFERROR(INDEX(商品マスタ!$E$6:$E$1005,MATCH($F550,商品マスタ!$B$6:$B$1005,0)),"")</f>
        <v/>
      </c>
      <c r="I550" s="69" t="str">
        <f aca="false">IFERROR(INDEX(商品マスタ!$F$6:$F$1005,MATCH($F550,商品マスタ!$B$6:$B$1005,0)),"")</f>
        <v/>
      </c>
      <c r="J550" s="69" t="str">
        <f aca="false">IF(OR($F550="",$C550&lt;&gt;'設定（最初に1回）'!$C$4),"",IFERROR(INDEX(発注計算!$Y$6:$Y$405,MATCH($F550,発注計算!$C$6:$C$405,0)),""))</f>
        <v/>
      </c>
      <c r="K550" s="70"/>
      <c r="L550" s="69" t="str">
        <f aca="false">IF($K550="","",N($K550)*N($I550))</f>
        <v/>
      </c>
      <c r="M550" s="71" t="str">
        <f aca="false">IFERROR(INDEX(商品マスタ!$G$6:$G$1005,MATCH($F550,商品マスタ!$B$6:$B$1005,0)),"")</f>
        <v/>
      </c>
      <c r="N550" s="71" t="str">
        <f aca="false">IF($K550="","",N($K550)*N($M550))</f>
        <v/>
      </c>
      <c r="O550" s="66" t="str">
        <f aca="false">IFERROR(INDEX(商品マスタ!$H$6:$H$1005,MATCH($F550,商品マスタ!$B$6:$B$1005,0)),"")</f>
        <v/>
      </c>
      <c r="P550" s="87" t="str">
        <f aca="false">IF(OR($E550="",$O550=""),"",WORKDAY($E550,$O550))</f>
        <v/>
      </c>
      <c r="Q550" s="80"/>
      <c r="R550" s="131"/>
      <c r="S550" s="69" t="n">
        <f aca="false">IF($Q550="入荷済み",N($L550),0)</f>
        <v>0</v>
      </c>
      <c r="T550" s="80"/>
      <c r="U550" s="80"/>
    </row>
    <row r="551" customFormat="false" ht="15" hidden="false" customHeight="false" outlineLevel="0" collapsed="false">
      <c r="B551" s="66" t="str">
        <f aca="false">IF(OR($E551="",$F551=""),"","PO-"&amp;TEXT($E551,"yyyymmdd")&amp;"-"&amp;TEXT(COUNTIFS($E$6:$E551,$E551,$C$6:$C551,$C551),"000"))</f>
        <v/>
      </c>
      <c r="C551" s="130"/>
      <c r="D551" s="66" t="str">
        <f aca="false">IFERROR(INDEX(定数マスタ!$C$6:$C$105,MATCH($C551,定数マスタ!$B$6:$B$105,0)),"")</f>
        <v/>
      </c>
      <c r="E551" s="131"/>
      <c r="F551" s="130"/>
      <c r="G551" s="66" t="str">
        <f aca="false">IFERROR(INDEX(商品マスタ!$C$6:$C$1005,MATCH($F551,商品マスタ!$B$6:$B$1005,0)),"")</f>
        <v/>
      </c>
      <c r="H551" s="66" t="str">
        <f aca="false">IFERROR(INDEX(商品マスタ!$E$6:$E$1005,MATCH($F551,商品マスタ!$B$6:$B$1005,0)),"")</f>
        <v/>
      </c>
      <c r="I551" s="69" t="str">
        <f aca="false">IFERROR(INDEX(商品マスタ!$F$6:$F$1005,MATCH($F551,商品マスタ!$B$6:$B$1005,0)),"")</f>
        <v/>
      </c>
      <c r="J551" s="69" t="str">
        <f aca="false">IF(OR($F551="",$C551&lt;&gt;'設定（最初に1回）'!$C$4),"",IFERROR(INDEX(発注計算!$Y$6:$Y$405,MATCH($F551,発注計算!$C$6:$C$405,0)),""))</f>
        <v/>
      </c>
      <c r="K551" s="70"/>
      <c r="L551" s="69" t="str">
        <f aca="false">IF($K551="","",N($K551)*N($I551))</f>
        <v/>
      </c>
      <c r="M551" s="71" t="str">
        <f aca="false">IFERROR(INDEX(商品マスタ!$G$6:$G$1005,MATCH($F551,商品マスタ!$B$6:$B$1005,0)),"")</f>
        <v/>
      </c>
      <c r="N551" s="71" t="str">
        <f aca="false">IF($K551="","",N($K551)*N($M551))</f>
        <v/>
      </c>
      <c r="O551" s="66" t="str">
        <f aca="false">IFERROR(INDEX(商品マスタ!$H$6:$H$1005,MATCH($F551,商品マスタ!$B$6:$B$1005,0)),"")</f>
        <v/>
      </c>
      <c r="P551" s="87" t="str">
        <f aca="false">IF(OR($E551="",$O551=""),"",WORKDAY($E551,$O551))</f>
        <v/>
      </c>
      <c r="Q551" s="80"/>
      <c r="R551" s="131"/>
      <c r="S551" s="69" t="n">
        <f aca="false">IF($Q551="入荷済み",N($L551),0)</f>
        <v>0</v>
      </c>
      <c r="T551" s="80"/>
      <c r="U551" s="80"/>
    </row>
    <row r="552" customFormat="false" ht="15" hidden="false" customHeight="false" outlineLevel="0" collapsed="false">
      <c r="B552" s="66" t="str">
        <f aca="false">IF(OR($E552="",$F552=""),"","PO-"&amp;TEXT($E552,"yyyymmdd")&amp;"-"&amp;TEXT(COUNTIFS($E$6:$E552,$E552,$C$6:$C552,$C552),"000"))</f>
        <v/>
      </c>
      <c r="C552" s="130"/>
      <c r="D552" s="66" t="str">
        <f aca="false">IFERROR(INDEX(定数マスタ!$C$6:$C$105,MATCH($C552,定数マスタ!$B$6:$B$105,0)),"")</f>
        <v/>
      </c>
      <c r="E552" s="131"/>
      <c r="F552" s="130"/>
      <c r="G552" s="66" t="str">
        <f aca="false">IFERROR(INDEX(商品マスタ!$C$6:$C$1005,MATCH($F552,商品マスタ!$B$6:$B$1005,0)),"")</f>
        <v/>
      </c>
      <c r="H552" s="66" t="str">
        <f aca="false">IFERROR(INDEX(商品マスタ!$E$6:$E$1005,MATCH($F552,商品マスタ!$B$6:$B$1005,0)),"")</f>
        <v/>
      </c>
      <c r="I552" s="69" t="str">
        <f aca="false">IFERROR(INDEX(商品マスタ!$F$6:$F$1005,MATCH($F552,商品マスタ!$B$6:$B$1005,0)),"")</f>
        <v/>
      </c>
      <c r="J552" s="69" t="str">
        <f aca="false">IF(OR($F552="",$C552&lt;&gt;'設定（最初に1回）'!$C$4),"",IFERROR(INDEX(発注計算!$Y$6:$Y$405,MATCH($F552,発注計算!$C$6:$C$405,0)),""))</f>
        <v/>
      </c>
      <c r="K552" s="70"/>
      <c r="L552" s="69" t="str">
        <f aca="false">IF($K552="","",N($K552)*N($I552))</f>
        <v/>
      </c>
      <c r="M552" s="71" t="str">
        <f aca="false">IFERROR(INDEX(商品マスタ!$G$6:$G$1005,MATCH($F552,商品マスタ!$B$6:$B$1005,0)),"")</f>
        <v/>
      </c>
      <c r="N552" s="71" t="str">
        <f aca="false">IF($K552="","",N($K552)*N($M552))</f>
        <v/>
      </c>
      <c r="O552" s="66" t="str">
        <f aca="false">IFERROR(INDEX(商品マスタ!$H$6:$H$1005,MATCH($F552,商品マスタ!$B$6:$B$1005,0)),"")</f>
        <v/>
      </c>
      <c r="P552" s="87" t="str">
        <f aca="false">IF(OR($E552="",$O552=""),"",WORKDAY($E552,$O552))</f>
        <v/>
      </c>
      <c r="Q552" s="80"/>
      <c r="R552" s="131"/>
      <c r="S552" s="69" t="n">
        <f aca="false">IF($Q552="入荷済み",N($L552),0)</f>
        <v>0</v>
      </c>
      <c r="T552" s="80"/>
      <c r="U552" s="80"/>
    </row>
    <row r="553" customFormat="false" ht="15" hidden="false" customHeight="false" outlineLevel="0" collapsed="false">
      <c r="B553" s="66" t="str">
        <f aca="false">IF(OR($E553="",$F553=""),"","PO-"&amp;TEXT($E553,"yyyymmdd")&amp;"-"&amp;TEXT(COUNTIFS($E$6:$E553,$E553,$C$6:$C553,$C553),"000"))</f>
        <v/>
      </c>
      <c r="C553" s="130"/>
      <c r="D553" s="66" t="str">
        <f aca="false">IFERROR(INDEX(定数マスタ!$C$6:$C$105,MATCH($C553,定数マスタ!$B$6:$B$105,0)),"")</f>
        <v/>
      </c>
      <c r="E553" s="131"/>
      <c r="F553" s="130"/>
      <c r="G553" s="66" t="str">
        <f aca="false">IFERROR(INDEX(商品マスタ!$C$6:$C$1005,MATCH($F553,商品マスタ!$B$6:$B$1005,0)),"")</f>
        <v/>
      </c>
      <c r="H553" s="66" t="str">
        <f aca="false">IFERROR(INDEX(商品マスタ!$E$6:$E$1005,MATCH($F553,商品マスタ!$B$6:$B$1005,0)),"")</f>
        <v/>
      </c>
      <c r="I553" s="69" t="str">
        <f aca="false">IFERROR(INDEX(商品マスタ!$F$6:$F$1005,MATCH($F553,商品マスタ!$B$6:$B$1005,0)),"")</f>
        <v/>
      </c>
      <c r="J553" s="69" t="str">
        <f aca="false">IF(OR($F553="",$C553&lt;&gt;'設定（最初に1回）'!$C$4),"",IFERROR(INDEX(発注計算!$Y$6:$Y$405,MATCH($F553,発注計算!$C$6:$C$405,0)),""))</f>
        <v/>
      </c>
      <c r="K553" s="70"/>
      <c r="L553" s="69" t="str">
        <f aca="false">IF($K553="","",N($K553)*N($I553))</f>
        <v/>
      </c>
      <c r="M553" s="71" t="str">
        <f aca="false">IFERROR(INDEX(商品マスタ!$G$6:$G$1005,MATCH($F553,商品マスタ!$B$6:$B$1005,0)),"")</f>
        <v/>
      </c>
      <c r="N553" s="71" t="str">
        <f aca="false">IF($K553="","",N($K553)*N($M553))</f>
        <v/>
      </c>
      <c r="O553" s="66" t="str">
        <f aca="false">IFERROR(INDEX(商品マスタ!$H$6:$H$1005,MATCH($F553,商品マスタ!$B$6:$B$1005,0)),"")</f>
        <v/>
      </c>
      <c r="P553" s="87" t="str">
        <f aca="false">IF(OR($E553="",$O553=""),"",WORKDAY($E553,$O553))</f>
        <v/>
      </c>
      <c r="Q553" s="80"/>
      <c r="R553" s="131"/>
      <c r="S553" s="69" t="n">
        <f aca="false">IF($Q553="入荷済み",N($L553),0)</f>
        <v>0</v>
      </c>
      <c r="T553" s="80"/>
      <c r="U553" s="80"/>
    </row>
    <row r="554" customFormat="false" ht="15" hidden="false" customHeight="false" outlineLevel="0" collapsed="false">
      <c r="B554" s="66" t="str">
        <f aca="false">IF(OR($E554="",$F554=""),"","PO-"&amp;TEXT($E554,"yyyymmdd")&amp;"-"&amp;TEXT(COUNTIFS($E$6:$E554,$E554,$C$6:$C554,$C554),"000"))</f>
        <v/>
      </c>
      <c r="C554" s="130"/>
      <c r="D554" s="66" t="str">
        <f aca="false">IFERROR(INDEX(定数マスタ!$C$6:$C$105,MATCH($C554,定数マスタ!$B$6:$B$105,0)),"")</f>
        <v/>
      </c>
      <c r="E554" s="131"/>
      <c r="F554" s="130"/>
      <c r="G554" s="66" t="str">
        <f aca="false">IFERROR(INDEX(商品マスタ!$C$6:$C$1005,MATCH($F554,商品マスタ!$B$6:$B$1005,0)),"")</f>
        <v/>
      </c>
      <c r="H554" s="66" t="str">
        <f aca="false">IFERROR(INDEX(商品マスタ!$E$6:$E$1005,MATCH($F554,商品マスタ!$B$6:$B$1005,0)),"")</f>
        <v/>
      </c>
      <c r="I554" s="69" t="str">
        <f aca="false">IFERROR(INDEX(商品マスタ!$F$6:$F$1005,MATCH($F554,商品マスタ!$B$6:$B$1005,0)),"")</f>
        <v/>
      </c>
      <c r="J554" s="69" t="str">
        <f aca="false">IF(OR($F554="",$C554&lt;&gt;'設定（最初に1回）'!$C$4),"",IFERROR(INDEX(発注計算!$Y$6:$Y$405,MATCH($F554,発注計算!$C$6:$C$405,0)),""))</f>
        <v/>
      </c>
      <c r="K554" s="70"/>
      <c r="L554" s="69" t="str">
        <f aca="false">IF($K554="","",N($K554)*N($I554))</f>
        <v/>
      </c>
      <c r="M554" s="71" t="str">
        <f aca="false">IFERROR(INDEX(商品マスタ!$G$6:$G$1005,MATCH($F554,商品マスタ!$B$6:$B$1005,0)),"")</f>
        <v/>
      </c>
      <c r="N554" s="71" t="str">
        <f aca="false">IF($K554="","",N($K554)*N($M554))</f>
        <v/>
      </c>
      <c r="O554" s="66" t="str">
        <f aca="false">IFERROR(INDEX(商品マスタ!$H$6:$H$1005,MATCH($F554,商品マスタ!$B$6:$B$1005,0)),"")</f>
        <v/>
      </c>
      <c r="P554" s="87" t="str">
        <f aca="false">IF(OR($E554="",$O554=""),"",WORKDAY($E554,$O554))</f>
        <v/>
      </c>
      <c r="Q554" s="80"/>
      <c r="R554" s="131"/>
      <c r="S554" s="69" t="n">
        <f aca="false">IF($Q554="入荷済み",N($L554),0)</f>
        <v>0</v>
      </c>
      <c r="T554" s="80"/>
      <c r="U554" s="80"/>
    </row>
    <row r="555" customFormat="false" ht="15" hidden="false" customHeight="false" outlineLevel="0" collapsed="false">
      <c r="B555" s="66" t="str">
        <f aca="false">IF(OR($E555="",$F555=""),"","PO-"&amp;TEXT($E555,"yyyymmdd")&amp;"-"&amp;TEXT(COUNTIFS($E$6:$E555,$E555,$C$6:$C555,$C555),"000"))</f>
        <v/>
      </c>
      <c r="C555" s="130"/>
      <c r="D555" s="66" t="str">
        <f aca="false">IFERROR(INDEX(定数マスタ!$C$6:$C$105,MATCH($C555,定数マスタ!$B$6:$B$105,0)),"")</f>
        <v/>
      </c>
      <c r="E555" s="131"/>
      <c r="F555" s="130"/>
      <c r="G555" s="66" t="str">
        <f aca="false">IFERROR(INDEX(商品マスタ!$C$6:$C$1005,MATCH($F555,商品マスタ!$B$6:$B$1005,0)),"")</f>
        <v/>
      </c>
      <c r="H555" s="66" t="str">
        <f aca="false">IFERROR(INDEX(商品マスタ!$E$6:$E$1005,MATCH($F555,商品マスタ!$B$6:$B$1005,0)),"")</f>
        <v/>
      </c>
      <c r="I555" s="69" t="str">
        <f aca="false">IFERROR(INDEX(商品マスタ!$F$6:$F$1005,MATCH($F555,商品マスタ!$B$6:$B$1005,0)),"")</f>
        <v/>
      </c>
      <c r="J555" s="69" t="str">
        <f aca="false">IF(OR($F555="",$C555&lt;&gt;'設定（最初に1回）'!$C$4),"",IFERROR(INDEX(発注計算!$Y$6:$Y$405,MATCH($F555,発注計算!$C$6:$C$405,0)),""))</f>
        <v/>
      </c>
      <c r="K555" s="70"/>
      <c r="L555" s="69" t="str">
        <f aca="false">IF($K555="","",N($K555)*N($I555))</f>
        <v/>
      </c>
      <c r="M555" s="71" t="str">
        <f aca="false">IFERROR(INDEX(商品マスタ!$G$6:$G$1005,MATCH($F555,商品マスタ!$B$6:$B$1005,0)),"")</f>
        <v/>
      </c>
      <c r="N555" s="71" t="str">
        <f aca="false">IF($K555="","",N($K555)*N($M555))</f>
        <v/>
      </c>
      <c r="O555" s="66" t="str">
        <f aca="false">IFERROR(INDEX(商品マスタ!$H$6:$H$1005,MATCH($F555,商品マスタ!$B$6:$B$1005,0)),"")</f>
        <v/>
      </c>
      <c r="P555" s="87" t="str">
        <f aca="false">IF(OR($E555="",$O555=""),"",WORKDAY($E555,$O555))</f>
        <v/>
      </c>
      <c r="Q555" s="80"/>
      <c r="R555" s="131"/>
      <c r="S555" s="69" t="n">
        <f aca="false">IF($Q555="入荷済み",N($L555),0)</f>
        <v>0</v>
      </c>
      <c r="T555" s="80"/>
      <c r="U555" s="80"/>
    </row>
    <row r="556" customFormat="false" ht="15" hidden="false" customHeight="false" outlineLevel="0" collapsed="false">
      <c r="B556" s="66" t="str">
        <f aca="false">IF(OR($E556="",$F556=""),"","PO-"&amp;TEXT($E556,"yyyymmdd")&amp;"-"&amp;TEXT(COUNTIFS($E$6:$E556,$E556,$C$6:$C556,$C556),"000"))</f>
        <v/>
      </c>
      <c r="C556" s="130"/>
      <c r="D556" s="66" t="str">
        <f aca="false">IFERROR(INDEX(定数マスタ!$C$6:$C$105,MATCH($C556,定数マスタ!$B$6:$B$105,0)),"")</f>
        <v/>
      </c>
      <c r="E556" s="131"/>
      <c r="F556" s="130"/>
      <c r="G556" s="66" t="str">
        <f aca="false">IFERROR(INDEX(商品マスタ!$C$6:$C$1005,MATCH($F556,商品マスタ!$B$6:$B$1005,0)),"")</f>
        <v/>
      </c>
      <c r="H556" s="66" t="str">
        <f aca="false">IFERROR(INDEX(商品マスタ!$E$6:$E$1005,MATCH($F556,商品マスタ!$B$6:$B$1005,0)),"")</f>
        <v/>
      </c>
      <c r="I556" s="69" t="str">
        <f aca="false">IFERROR(INDEX(商品マスタ!$F$6:$F$1005,MATCH($F556,商品マスタ!$B$6:$B$1005,0)),"")</f>
        <v/>
      </c>
      <c r="J556" s="69" t="str">
        <f aca="false">IF(OR($F556="",$C556&lt;&gt;'設定（最初に1回）'!$C$4),"",IFERROR(INDEX(発注計算!$Y$6:$Y$405,MATCH($F556,発注計算!$C$6:$C$405,0)),""))</f>
        <v/>
      </c>
      <c r="K556" s="70"/>
      <c r="L556" s="69" t="str">
        <f aca="false">IF($K556="","",N($K556)*N($I556))</f>
        <v/>
      </c>
      <c r="M556" s="71" t="str">
        <f aca="false">IFERROR(INDEX(商品マスタ!$G$6:$G$1005,MATCH($F556,商品マスタ!$B$6:$B$1005,0)),"")</f>
        <v/>
      </c>
      <c r="N556" s="71" t="str">
        <f aca="false">IF($K556="","",N($K556)*N($M556))</f>
        <v/>
      </c>
      <c r="O556" s="66" t="str">
        <f aca="false">IFERROR(INDEX(商品マスタ!$H$6:$H$1005,MATCH($F556,商品マスタ!$B$6:$B$1005,0)),"")</f>
        <v/>
      </c>
      <c r="P556" s="87" t="str">
        <f aca="false">IF(OR($E556="",$O556=""),"",WORKDAY($E556,$O556))</f>
        <v/>
      </c>
      <c r="Q556" s="80"/>
      <c r="R556" s="131"/>
      <c r="S556" s="69" t="n">
        <f aca="false">IF($Q556="入荷済み",N($L556),0)</f>
        <v>0</v>
      </c>
      <c r="T556" s="80"/>
      <c r="U556" s="80"/>
    </row>
    <row r="557" customFormat="false" ht="15" hidden="false" customHeight="false" outlineLevel="0" collapsed="false">
      <c r="B557" s="66" t="str">
        <f aca="false">IF(OR($E557="",$F557=""),"","PO-"&amp;TEXT($E557,"yyyymmdd")&amp;"-"&amp;TEXT(COUNTIFS($E$6:$E557,$E557,$C$6:$C557,$C557),"000"))</f>
        <v/>
      </c>
      <c r="C557" s="130"/>
      <c r="D557" s="66" t="str">
        <f aca="false">IFERROR(INDEX(定数マスタ!$C$6:$C$105,MATCH($C557,定数マスタ!$B$6:$B$105,0)),"")</f>
        <v/>
      </c>
      <c r="E557" s="131"/>
      <c r="F557" s="130"/>
      <c r="G557" s="66" t="str">
        <f aca="false">IFERROR(INDEX(商品マスタ!$C$6:$C$1005,MATCH($F557,商品マスタ!$B$6:$B$1005,0)),"")</f>
        <v/>
      </c>
      <c r="H557" s="66" t="str">
        <f aca="false">IFERROR(INDEX(商品マスタ!$E$6:$E$1005,MATCH($F557,商品マスタ!$B$6:$B$1005,0)),"")</f>
        <v/>
      </c>
      <c r="I557" s="69" t="str">
        <f aca="false">IFERROR(INDEX(商品マスタ!$F$6:$F$1005,MATCH($F557,商品マスタ!$B$6:$B$1005,0)),"")</f>
        <v/>
      </c>
      <c r="J557" s="69" t="str">
        <f aca="false">IF(OR($F557="",$C557&lt;&gt;'設定（最初に1回）'!$C$4),"",IFERROR(INDEX(発注計算!$Y$6:$Y$405,MATCH($F557,発注計算!$C$6:$C$405,0)),""))</f>
        <v/>
      </c>
      <c r="K557" s="70"/>
      <c r="L557" s="69" t="str">
        <f aca="false">IF($K557="","",N($K557)*N($I557))</f>
        <v/>
      </c>
      <c r="M557" s="71" t="str">
        <f aca="false">IFERROR(INDEX(商品マスタ!$G$6:$G$1005,MATCH($F557,商品マスタ!$B$6:$B$1005,0)),"")</f>
        <v/>
      </c>
      <c r="N557" s="71" t="str">
        <f aca="false">IF($K557="","",N($K557)*N($M557))</f>
        <v/>
      </c>
      <c r="O557" s="66" t="str">
        <f aca="false">IFERROR(INDEX(商品マスタ!$H$6:$H$1005,MATCH($F557,商品マスタ!$B$6:$B$1005,0)),"")</f>
        <v/>
      </c>
      <c r="P557" s="87" t="str">
        <f aca="false">IF(OR($E557="",$O557=""),"",WORKDAY($E557,$O557))</f>
        <v/>
      </c>
      <c r="Q557" s="80"/>
      <c r="R557" s="131"/>
      <c r="S557" s="69" t="n">
        <f aca="false">IF($Q557="入荷済み",N($L557),0)</f>
        <v>0</v>
      </c>
      <c r="T557" s="80"/>
      <c r="U557" s="80"/>
    </row>
    <row r="558" customFormat="false" ht="15" hidden="false" customHeight="false" outlineLevel="0" collapsed="false">
      <c r="B558" s="66" t="str">
        <f aca="false">IF(OR($E558="",$F558=""),"","PO-"&amp;TEXT($E558,"yyyymmdd")&amp;"-"&amp;TEXT(COUNTIFS($E$6:$E558,$E558,$C$6:$C558,$C558),"000"))</f>
        <v/>
      </c>
      <c r="C558" s="130"/>
      <c r="D558" s="66" t="str">
        <f aca="false">IFERROR(INDEX(定数マスタ!$C$6:$C$105,MATCH($C558,定数マスタ!$B$6:$B$105,0)),"")</f>
        <v/>
      </c>
      <c r="E558" s="131"/>
      <c r="F558" s="130"/>
      <c r="G558" s="66" t="str">
        <f aca="false">IFERROR(INDEX(商品マスタ!$C$6:$C$1005,MATCH($F558,商品マスタ!$B$6:$B$1005,0)),"")</f>
        <v/>
      </c>
      <c r="H558" s="66" t="str">
        <f aca="false">IFERROR(INDEX(商品マスタ!$E$6:$E$1005,MATCH($F558,商品マスタ!$B$6:$B$1005,0)),"")</f>
        <v/>
      </c>
      <c r="I558" s="69" t="str">
        <f aca="false">IFERROR(INDEX(商品マスタ!$F$6:$F$1005,MATCH($F558,商品マスタ!$B$6:$B$1005,0)),"")</f>
        <v/>
      </c>
      <c r="J558" s="69" t="str">
        <f aca="false">IF(OR($F558="",$C558&lt;&gt;'設定（最初に1回）'!$C$4),"",IFERROR(INDEX(発注計算!$Y$6:$Y$405,MATCH($F558,発注計算!$C$6:$C$405,0)),""))</f>
        <v/>
      </c>
      <c r="K558" s="70"/>
      <c r="L558" s="69" t="str">
        <f aca="false">IF($K558="","",N($K558)*N($I558))</f>
        <v/>
      </c>
      <c r="M558" s="71" t="str">
        <f aca="false">IFERROR(INDEX(商品マスタ!$G$6:$G$1005,MATCH($F558,商品マスタ!$B$6:$B$1005,0)),"")</f>
        <v/>
      </c>
      <c r="N558" s="71" t="str">
        <f aca="false">IF($K558="","",N($K558)*N($M558))</f>
        <v/>
      </c>
      <c r="O558" s="66" t="str">
        <f aca="false">IFERROR(INDEX(商品マスタ!$H$6:$H$1005,MATCH($F558,商品マスタ!$B$6:$B$1005,0)),"")</f>
        <v/>
      </c>
      <c r="P558" s="87" t="str">
        <f aca="false">IF(OR($E558="",$O558=""),"",WORKDAY($E558,$O558))</f>
        <v/>
      </c>
      <c r="Q558" s="80"/>
      <c r="R558" s="131"/>
      <c r="S558" s="69" t="n">
        <f aca="false">IF($Q558="入荷済み",N($L558),0)</f>
        <v>0</v>
      </c>
      <c r="T558" s="80"/>
      <c r="U558" s="80"/>
    </row>
    <row r="559" customFormat="false" ht="15" hidden="false" customHeight="false" outlineLevel="0" collapsed="false">
      <c r="B559" s="66" t="str">
        <f aca="false">IF(OR($E559="",$F559=""),"","PO-"&amp;TEXT($E559,"yyyymmdd")&amp;"-"&amp;TEXT(COUNTIFS($E$6:$E559,$E559,$C$6:$C559,$C559),"000"))</f>
        <v/>
      </c>
      <c r="C559" s="130"/>
      <c r="D559" s="66" t="str">
        <f aca="false">IFERROR(INDEX(定数マスタ!$C$6:$C$105,MATCH($C559,定数マスタ!$B$6:$B$105,0)),"")</f>
        <v/>
      </c>
      <c r="E559" s="131"/>
      <c r="F559" s="130"/>
      <c r="G559" s="66" t="str">
        <f aca="false">IFERROR(INDEX(商品マスタ!$C$6:$C$1005,MATCH($F559,商品マスタ!$B$6:$B$1005,0)),"")</f>
        <v/>
      </c>
      <c r="H559" s="66" t="str">
        <f aca="false">IFERROR(INDEX(商品マスタ!$E$6:$E$1005,MATCH($F559,商品マスタ!$B$6:$B$1005,0)),"")</f>
        <v/>
      </c>
      <c r="I559" s="69" t="str">
        <f aca="false">IFERROR(INDEX(商品マスタ!$F$6:$F$1005,MATCH($F559,商品マスタ!$B$6:$B$1005,0)),"")</f>
        <v/>
      </c>
      <c r="J559" s="69" t="str">
        <f aca="false">IF(OR($F559="",$C559&lt;&gt;'設定（最初に1回）'!$C$4),"",IFERROR(INDEX(発注計算!$Y$6:$Y$405,MATCH($F559,発注計算!$C$6:$C$405,0)),""))</f>
        <v/>
      </c>
      <c r="K559" s="70"/>
      <c r="L559" s="69" t="str">
        <f aca="false">IF($K559="","",N($K559)*N($I559))</f>
        <v/>
      </c>
      <c r="M559" s="71" t="str">
        <f aca="false">IFERROR(INDEX(商品マスタ!$G$6:$G$1005,MATCH($F559,商品マスタ!$B$6:$B$1005,0)),"")</f>
        <v/>
      </c>
      <c r="N559" s="71" t="str">
        <f aca="false">IF($K559="","",N($K559)*N($M559))</f>
        <v/>
      </c>
      <c r="O559" s="66" t="str">
        <f aca="false">IFERROR(INDEX(商品マスタ!$H$6:$H$1005,MATCH($F559,商品マスタ!$B$6:$B$1005,0)),"")</f>
        <v/>
      </c>
      <c r="P559" s="87" t="str">
        <f aca="false">IF(OR($E559="",$O559=""),"",WORKDAY($E559,$O559))</f>
        <v/>
      </c>
      <c r="Q559" s="80"/>
      <c r="R559" s="131"/>
      <c r="S559" s="69" t="n">
        <f aca="false">IF($Q559="入荷済み",N($L559),0)</f>
        <v>0</v>
      </c>
      <c r="T559" s="80"/>
      <c r="U559" s="80"/>
    </row>
    <row r="560" customFormat="false" ht="15" hidden="false" customHeight="false" outlineLevel="0" collapsed="false">
      <c r="B560" s="66" t="str">
        <f aca="false">IF(OR($E560="",$F560=""),"","PO-"&amp;TEXT($E560,"yyyymmdd")&amp;"-"&amp;TEXT(COUNTIFS($E$6:$E560,$E560,$C$6:$C560,$C560),"000"))</f>
        <v/>
      </c>
      <c r="C560" s="130"/>
      <c r="D560" s="66" t="str">
        <f aca="false">IFERROR(INDEX(定数マスタ!$C$6:$C$105,MATCH($C560,定数マスタ!$B$6:$B$105,0)),"")</f>
        <v/>
      </c>
      <c r="E560" s="131"/>
      <c r="F560" s="130"/>
      <c r="G560" s="66" t="str">
        <f aca="false">IFERROR(INDEX(商品マスタ!$C$6:$C$1005,MATCH($F560,商品マスタ!$B$6:$B$1005,0)),"")</f>
        <v/>
      </c>
      <c r="H560" s="66" t="str">
        <f aca="false">IFERROR(INDEX(商品マスタ!$E$6:$E$1005,MATCH($F560,商品マスタ!$B$6:$B$1005,0)),"")</f>
        <v/>
      </c>
      <c r="I560" s="69" t="str">
        <f aca="false">IFERROR(INDEX(商品マスタ!$F$6:$F$1005,MATCH($F560,商品マスタ!$B$6:$B$1005,0)),"")</f>
        <v/>
      </c>
      <c r="J560" s="69" t="str">
        <f aca="false">IF(OR($F560="",$C560&lt;&gt;'設定（最初に1回）'!$C$4),"",IFERROR(INDEX(発注計算!$Y$6:$Y$405,MATCH($F560,発注計算!$C$6:$C$405,0)),""))</f>
        <v/>
      </c>
      <c r="K560" s="70"/>
      <c r="L560" s="69" t="str">
        <f aca="false">IF($K560="","",N($K560)*N($I560))</f>
        <v/>
      </c>
      <c r="M560" s="71" t="str">
        <f aca="false">IFERROR(INDEX(商品マスタ!$G$6:$G$1005,MATCH($F560,商品マスタ!$B$6:$B$1005,0)),"")</f>
        <v/>
      </c>
      <c r="N560" s="71" t="str">
        <f aca="false">IF($K560="","",N($K560)*N($M560))</f>
        <v/>
      </c>
      <c r="O560" s="66" t="str">
        <f aca="false">IFERROR(INDEX(商品マスタ!$H$6:$H$1005,MATCH($F560,商品マスタ!$B$6:$B$1005,0)),"")</f>
        <v/>
      </c>
      <c r="P560" s="87" t="str">
        <f aca="false">IF(OR($E560="",$O560=""),"",WORKDAY($E560,$O560))</f>
        <v/>
      </c>
      <c r="Q560" s="80"/>
      <c r="R560" s="131"/>
      <c r="S560" s="69" t="n">
        <f aca="false">IF($Q560="入荷済み",N($L560),0)</f>
        <v>0</v>
      </c>
      <c r="T560" s="80"/>
      <c r="U560" s="80"/>
    </row>
    <row r="561" customFormat="false" ht="15" hidden="false" customHeight="false" outlineLevel="0" collapsed="false">
      <c r="B561" s="66" t="str">
        <f aca="false">IF(OR($E561="",$F561=""),"","PO-"&amp;TEXT($E561,"yyyymmdd")&amp;"-"&amp;TEXT(COUNTIFS($E$6:$E561,$E561,$C$6:$C561,$C561),"000"))</f>
        <v/>
      </c>
      <c r="C561" s="130"/>
      <c r="D561" s="66" t="str">
        <f aca="false">IFERROR(INDEX(定数マスタ!$C$6:$C$105,MATCH($C561,定数マスタ!$B$6:$B$105,0)),"")</f>
        <v/>
      </c>
      <c r="E561" s="131"/>
      <c r="F561" s="130"/>
      <c r="G561" s="66" t="str">
        <f aca="false">IFERROR(INDEX(商品マスタ!$C$6:$C$1005,MATCH($F561,商品マスタ!$B$6:$B$1005,0)),"")</f>
        <v/>
      </c>
      <c r="H561" s="66" t="str">
        <f aca="false">IFERROR(INDEX(商品マスタ!$E$6:$E$1005,MATCH($F561,商品マスタ!$B$6:$B$1005,0)),"")</f>
        <v/>
      </c>
      <c r="I561" s="69" t="str">
        <f aca="false">IFERROR(INDEX(商品マスタ!$F$6:$F$1005,MATCH($F561,商品マスタ!$B$6:$B$1005,0)),"")</f>
        <v/>
      </c>
      <c r="J561" s="69" t="str">
        <f aca="false">IF(OR($F561="",$C561&lt;&gt;'設定（最初に1回）'!$C$4),"",IFERROR(INDEX(発注計算!$Y$6:$Y$405,MATCH($F561,発注計算!$C$6:$C$405,0)),""))</f>
        <v/>
      </c>
      <c r="K561" s="70"/>
      <c r="L561" s="69" t="str">
        <f aca="false">IF($K561="","",N($K561)*N($I561))</f>
        <v/>
      </c>
      <c r="M561" s="71" t="str">
        <f aca="false">IFERROR(INDEX(商品マスタ!$G$6:$G$1005,MATCH($F561,商品マスタ!$B$6:$B$1005,0)),"")</f>
        <v/>
      </c>
      <c r="N561" s="71" t="str">
        <f aca="false">IF($K561="","",N($K561)*N($M561))</f>
        <v/>
      </c>
      <c r="O561" s="66" t="str">
        <f aca="false">IFERROR(INDEX(商品マスタ!$H$6:$H$1005,MATCH($F561,商品マスタ!$B$6:$B$1005,0)),"")</f>
        <v/>
      </c>
      <c r="P561" s="87" t="str">
        <f aca="false">IF(OR($E561="",$O561=""),"",WORKDAY($E561,$O561))</f>
        <v/>
      </c>
      <c r="Q561" s="80"/>
      <c r="R561" s="131"/>
      <c r="S561" s="69" t="n">
        <f aca="false">IF($Q561="入荷済み",N($L561),0)</f>
        <v>0</v>
      </c>
      <c r="T561" s="80"/>
      <c r="U561" s="80"/>
    </row>
    <row r="562" customFormat="false" ht="15" hidden="false" customHeight="false" outlineLevel="0" collapsed="false">
      <c r="B562" s="66" t="str">
        <f aca="false">IF(OR($E562="",$F562=""),"","PO-"&amp;TEXT($E562,"yyyymmdd")&amp;"-"&amp;TEXT(COUNTIFS($E$6:$E562,$E562,$C$6:$C562,$C562),"000"))</f>
        <v/>
      </c>
      <c r="C562" s="130"/>
      <c r="D562" s="66" t="str">
        <f aca="false">IFERROR(INDEX(定数マスタ!$C$6:$C$105,MATCH($C562,定数マスタ!$B$6:$B$105,0)),"")</f>
        <v/>
      </c>
      <c r="E562" s="131"/>
      <c r="F562" s="130"/>
      <c r="G562" s="66" t="str">
        <f aca="false">IFERROR(INDEX(商品マスタ!$C$6:$C$1005,MATCH($F562,商品マスタ!$B$6:$B$1005,0)),"")</f>
        <v/>
      </c>
      <c r="H562" s="66" t="str">
        <f aca="false">IFERROR(INDEX(商品マスタ!$E$6:$E$1005,MATCH($F562,商品マスタ!$B$6:$B$1005,0)),"")</f>
        <v/>
      </c>
      <c r="I562" s="69" t="str">
        <f aca="false">IFERROR(INDEX(商品マスタ!$F$6:$F$1005,MATCH($F562,商品マスタ!$B$6:$B$1005,0)),"")</f>
        <v/>
      </c>
      <c r="J562" s="69" t="str">
        <f aca="false">IF(OR($F562="",$C562&lt;&gt;'設定（最初に1回）'!$C$4),"",IFERROR(INDEX(発注計算!$Y$6:$Y$405,MATCH($F562,発注計算!$C$6:$C$405,0)),""))</f>
        <v/>
      </c>
      <c r="K562" s="70"/>
      <c r="L562" s="69" t="str">
        <f aca="false">IF($K562="","",N($K562)*N($I562))</f>
        <v/>
      </c>
      <c r="M562" s="71" t="str">
        <f aca="false">IFERROR(INDEX(商品マスタ!$G$6:$G$1005,MATCH($F562,商品マスタ!$B$6:$B$1005,0)),"")</f>
        <v/>
      </c>
      <c r="N562" s="71" t="str">
        <f aca="false">IF($K562="","",N($K562)*N($M562))</f>
        <v/>
      </c>
      <c r="O562" s="66" t="str">
        <f aca="false">IFERROR(INDEX(商品マスタ!$H$6:$H$1005,MATCH($F562,商品マスタ!$B$6:$B$1005,0)),"")</f>
        <v/>
      </c>
      <c r="P562" s="87" t="str">
        <f aca="false">IF(OR($E562="",$O562=""),"",WORKDAY($E562,$O562))</f>
        <v/>
      </c>
      <c r="Q562" s="80"/>
      <c r="R562" s="131"/>
      <c r="S562" s="69" t="n">
        <f aca="false">IF($Q562="入荷済み",N($L562),0)</f>
        <v>0</v>
      </c>
      <c r="T562" s="80"/>
      <c r="U562" s="80"/>
    </row>
    <row r="563" customFormat="false" ht="15" hidden="false" customHeight="false" outlineLevel="0" collapsed="false">
      <c r="B563" s="66" t="str">
        <f aca="false">IF(OR($E563="",$F563=""),"","PO-"&amp;TEXT($E563,"yyyymmdd")&amp;"-"&amp;TEXT(COUNTIFS($E$6:$E563,$E563,$C$6:$C563,$C563),"000"))</f>
        <v/>
      </c>
      <c r="C563" s="130"/>
      <c r="D563" s="66" t="str">
        <f aca="false">IFERROR(INDEX(定数マスタ!$C$6:$C$105,MATCH($C563,定数マスタ!$B$6:$B$105,0)),"")</f>
        <v/>
      </c>
      <c r="E563" s="131"/>
      <c r="F563" s="130"/>
      <c r="G563" s="66" t="str">
        <f aca="false">IFERROR(INDEX(商品マスタ!$C$6:$C$1005,MATCH($F563,商品マスタ!$B$6:$B$1005,0)),"")</f>
        <v/>
      </c>
      <c r="H563" s="66" t="str">
        <f aca="false">IFERROR(INDEX(商品マスタ!$E$6:$E$1005,MATCH($F563,商品マスタ!$B$6:$B$1005,0)),"")</f>
        <v/>
      </c>
      <c r="I563" s="69" t="str">
        <f aca="false">IFERROR(INDEX(商品マスタ!$F$6:$F$1005,MATCH($F563,商品マスタ!$B$6:$B$1005,0)),"")</f>
        <v/>
      </c>
      <c r="J563" s="69" t="str">
        <f aca="false">IF(OR($F563="",$C563&lt;&gt;'設定（最初に1回）'!$C$4),"",IFERROR(INDEX(発注計算!$Y$6:$Y$405,MATCH($F563,発注計算!$C$6:$C$405,0)),""))</f>
        <v/>
      </c>
      <c r="K563" s="70"/>
      <c r="L563" s="69" t="str">
        <f aca="false">IF($K563="","",N($K563)*N($I563))</f>
        <v/>
      </c>
      <c r="M563" s="71" t="str">
        <f aca="false">IFERROR(INDEX(商品マスタ!$G$6:$G$1005,MATCH($F563,商品マスタ!$B$6:$B$1005,0)),"")</f>
        <v/>
      </c>
      <c r="N563" s="71" t="str">
        <f aca="false">IF($K563="","",N($K563)*N($M563))</f>
        <v/>
      </c>
      <c r="O563" s="66" t="str">
        <f aca="false">IFERROR(INDEX(商品マスタ!$H$6:$H$1005,MATCH($F563,商品マスタ!$B$6:$B$1005,0)),"")</f>
        <v/>
      </c>
      <c r="P563" s="87" t="str">
        <f aca="false">IF(OR($E563="",$O563=""),"",WORKDAY($E563,$O563))</f>
        <v/>
      </c>
      <c r="Q563" s="80"/>
      <c r="R563" s="131"/>
      <c r="S563" s="69" t="n">
        <f aca="false">IF($Q563="入荷済み",N($L563),0)</f>
        <v>0</v>
      </c>
      <c r="T563" s="80"/>
      <c r="U563" s="80"/>
    </row>
    <row r="564" customFormat="false" ht="15" hidden="false" customHeight="false" outlineLevel="0" collapsed="false">
      <c r="B564" s="66" t="str">
        <f aca="false">IF(OR($E564="",$F564=""),"","PO-"&amp;TEXT($E564,"yyyymmdd")&amp;"-"&amp;TEXT(COUNTIFS($E$6:$E564,$E564,$C$6:$C564,$C564),"000"))</f>
        <v/>
      </c>
      <c r="C564" s="130"/>
      <c r="D564" s="66" t="str">
        <f aca="false">IFERROR(INDEX(定数マスタ!$C$6:$C$105,MATCH($C564,定数マスタ!$B$6:$B$105,0)),"")</f>
        <v/>
      </c>
      <c r="E564" s="131"/>
      <c r="F564" s="130"/>
      <c r="G564" s="66" t="str">
        <f aca="false">IFERROR(INDEX(商品マスタ!$C$6:$C$1005,MATCH($F564,商品マスタ!$B$6:$B$1005,0)),"")</f>
        <v/>
      </c>
      <c r="H564" s="66" t="str">
        <f aca="false">IFERROR(INDEX(商品マスタ!$E$6:$E$1005,MATCH($F564,商品マスタ!$B$6:$B$1005,0)),"")</f>
        <v/>
      </c>
      <c r="I564" s="69" t="str">
        <f aca="false">IFERROR(INDEX(商品マスタ!$F$6:$F$1005,MATCH($F564,商品マスタ!$B$6:$B$1005,0)),"")</f>
        <v/>
      </c>
      <c r="J564" s="69" t="str">
        <f aca="false">IF(OR($F564="",$C564&lt;&gt;'設定（最初に1回）'!$C$4),"",IFERROR(INDEX(発注計算!$Y$6:$Y$405,MATCH($F564,発注計算!$C$6:$C$405,0)),""))</f>
        <v/>
      </c>
      <c r="K564" s="70"/>
      <c r="L564" s="69" t="str">
        <f aca="false">IF($K564="","",N($K564)*N($I564))</f>
        <v/>
      </c>
      <c r="M564" s="71" t="str">
        <f aca="false">IFERROR(INDEX(商品マスタ!$G$6:$G$1005,MATCH($F564,商品マスタ!$B$6:$B$1005,0)),"")</f>
        <v/>
      </c>
      <c r="N564" s="71" t="str">
        <f aca="false">IF($K564="","",N($K564)*N($M564))</f>
        <v/>
      </c>
      <c r="O564" s="66" t="str">
        <f aca="false">IFERROR(INDEX(商品マスタ!$H$6:$H$1005,MATCH($F564,商品マスタ!$B$6:$B$1005,0)),"")</f>
        <v/>
      </c>
      <c r="P564" s="87" t="str">
        <f aca="false">IF(OR($E564="",$O564=""),"",WORKDAY($E564,$O564))</f>
        <v/>
      </c>
      <c r="Q564" s="80"/>
      <c r="R564" s="131"/>
      <c r="S564" s="69" t="n">
        <f aca="false">IF($Q564="入荷済み",N($L564),0)</f>
        <v>0</v>
      </c>
      <c r="T564" s="80"/>
      <c r="U564" s="80"/>
    </row>
    <row r="565" customFormat="false" ht="15" hidden="false" customHeight="false" outlineLevel="0" collapsed="false">
      <c r="B565" s="66" t="str">
        <f aca="false">IF(OR($E565="",$F565=""),"","PO-"&amp;TEXT($E565,"yyyymmdd")&amp;"-"&amp;TEXT(COUNTIFS($E$6:$E565,$E565,$C$6:$C565,$C565),"000"))</f>
        <v/>
      </c>
      <c r="C565" s="130"/>
      <c r="D565" s="66" t="str">
        <f aca="false">IFERROR(INDEX(定数マスタ!$C$6:$C$105,MATCH($C565,定数マスタ!$B$6:$B$105,0)),"")</f>
        <v/>
      </c>
      <c r="E565" s="131"/>
      <c r="F565" s="130"/>
      <c r="G565" s="66" t="str">
        <f aca="false">IFERROR(INDEX(商品マスタ!$C$6:$C$1005,MATCH($F565,商品マスタ!$B$6:$B$1005,0)),"")</f>
        <v/>
      </c>
      <c r="H565" s="66" t="str">
        <f aca="false">IFERROR(INDEX(商品マスタ!$E$6:$E$1005,MATCH($F565,商品マスタ!$B$6:$B$1005,0)),"")</f>
        <v/>
      </c>
      <c r="I565" s="69" t="str">
        <f aca="false">IFERROR(INDEX(商品マスタ!$F$6:$F$1005,MATCH($F565,商品マスタ!$B$6:$B$1005,0)),"")</f>
        <v/>
      </c>
      <c r="J565" s="69" t="str">
        <f aca="false">IF(OR($F565="",$C565&lt;&gt;'設定（最初に1回）'!$C$4),"",IFERROR(INDEX(発注計算!$Y$6:$Y$405,MATCH($F565,発注計算!$C$6:$C$405,0)),""))</f>
        <v/>
      </c>
      <c r="K565" s="70"/>
      <c r="L565" s="69" t="str">
        <f aca="false">IF($K565="","",N($K565)*N($I565))</f>
        <v/>
      </c>
      <c r="M565" s="71" t="str">
        <f aca="false">IFERROR(INDEX(商品マスタ!$G$6:$G$1005,MATCH($F565,商品マスタ!$B$6:$B$1005,0)),"")</f>
        <v/>
      </c>
      <c r="N565" s="71" t="str">
        <f aca="false">IF($K565="","",N($K565)*N($M565))</f>
        <v/>
      </c>
      <c r="O565" s="66" t="str">
        <f aca="false">IFERROR(INDEX(商品マスタ!$H$6:$H$1005,MATCH($F565,商品マスタ!$B$6:$B$1005,0)),"")</f>
        <v/>
      </c>
      <c r="P565" s="87" t="str">
        <f aca="false">IF(OR($E565="",$O565=""),"",WORKDAY($E565,$O565))</f>
        <v/>
      </c>
      <c r="Q565" s="80"/>
      <c r="R565" s="131"/>
      <c r="S565" s="69" t="n">
        <f aca="false">IF($Q565="入荷済み",N($L565),0)</f>
        <v>0</v>
      </c>
      <c r="T565" s="80"/>
      <c r="U565" s="80"/>
    </row>
    <row r="566" customFormat="false" ht="15" hidden="false" customHeight="false" outlineLevel="0" collapsed="false">
      <c r="B566" s="66" t="str">
        <f aca="false">IF(OR($E566="",$F566=""),"","PO-"&amp;TEXT($E566,"yyyymmdd")&amp;"-"&amp;TEXT(COUNTIFS($E$6:$E566,$E566,$C$6:$C566,$C566),"000"))</f>
        <v/>
      </c>
      <c r="C566" s="130"/>
      <c r="D566" s="66" t="str">
        <f aca="false">IFERROR(INDEX(定数マスタ!$C$6:$C$105,MATCH($C566,定数マスタ!$B$6:$B$105,0)),"")</f>
        <v/>
      </c>
      <c r="E566" s="131"/>
      <c r="F566" s="130"/>
      <c r="G566" s="66" t="str">
        <f aca="false">IFERROR(INDEX(商品マスタ!$C$6:$C$1005,MATCH($F566,商品マスタ!$B$6:$B$1005,0)),"")</f>
        <v/>
      </c>
      <c r="H566" s="66" t="str">
        <f aca="false">IFERROR(INDEX(商品マスタ!$E$6:$E$1005,MATCH($F566,商品マスタ!$B$6:$B$1005,0)),"")</f>
        <v/>
      </c>
      <c r="I566" s="69" t="str">
        <f aca="false">IFERROR(INDEX(商品マスタ!$F$6:$F$1005,MATCH($F566,商品マスタ!$B$6:$B$1005,0)),"")</f>
        <v/>
      </c>
      <c r="J566" s="69" t="str">
        <f aca="false">IF(OR($F566="",$C566&lt;&gt;'設定（最初に1回）'!$C$4),"",IFERROR(INDEX(発注計算!$Y$6:$Y$405,MATCH($F566,発注計算!$C$6:$C$405,0)),""))</f>
        <v/>
      </c>
      <c r="K566" s="70"/>
      <c r="L566" s="69" t="str">
        <f aca="false">IF($K566="","",N($K566)*N($I566))</f>
        <v/>
      </c>
      <c r="M566" s="71" t="str">
        <f aca="false">IFERROR(INDEX(商品マスタ!$G$6:$G$1005,MATCH($F566,商品マスタ!$B$6:$B$1005,0)),"")</f>
        <v/>
      </c>
      <c r="N566" s="71" t="str">
        <f aca="false">IF($K566="","",N($K566)*N($M566))</f>
        <v/>
      </c>
      <c r="O566" s="66" t="str">
        <f aca="false">IFERROR(INDEX(商品マスタ!$H$6:$H$1005,MATCH($F566,商品マスタ!$B$6:$B$1005,0)),"")</f>
        <v/>
      </c>
      <c r="P566" s="87" t="str">
        <f aca="false">IF(OR($E566="",$O566=""),"",WORKDAY($E566,$O566))</f>
        <v/>
      </c>
      <c r="Q566" s="80"/>
      <c r="R566" s="131"/>
      <c r="S566" s="69" t="n">
        <f aca="false">IF($Q566="入荷済み",N($L566),0)</f>
        <v>0</v>
      </c>
      <c r="T566" s="80"/>
      <c r="U566" s="80"/>
    </row>
    <row r="567" customFormat="false" ht="15" hidden="false" customHeight="false" outlineLevel="0" collapsed="false">
      <c r="B567" s="66" t="str">
        <f aca="false">IF(OR($E567="",$F567=""),"","PO-"&amp;TEXT($E567,"yyyymmdd")&amp;"-"&amp;TEXT(COUNTIFS($E$6:$E567,$E567,$C$6:$C567,$C567),"000"))</f>
        <v/>
      </c>
      <c r="C567" s="130"/>
      <c r="D567" s="66" t="str">
        <f aca="false">IFERROR(INDEX(定数マスタ!$C$6:$C$105,MATCH($C567,定数マスタ!$B$6:$B$105,0)),"")</f>
        <v/>
      </c>
      <c r="E567" s="131"/>
      <c r="F567" s="130"/>
      <c r="G567" s="66" t="str">
        <f aca="false">IFERROR(INDEX(商品マスタ!$C$6:$C$1005,MATCH($F567,商品マスタ!$B$6:$B$1005,0)),"")</f>
        <v/>
      </c>
      <c r="H567" s="66" t="str">
        <f aca="false">IFERROR(INDEX(商品マスタ!$E$6:$E$1005,MATCH($F567,商品マスタ!$B$6:$B$1005,0)),"")</f>
        <v/>
      </c>
      <c r="I567" s="69" t="str">
        <f aca="false">IFERROR(INDEX(商品マスタ!$F$6:$F$1005,MATCH($F567,商品マスタ!$B$6:$B$1005,0)),"")</f>
        <v/>
      </c>
      <c r="J567" s="69" t="str">
        <f aca="false">IF(OR($F567="",$C567&lt;&gt;'設定（最初に1回）'!$C$4),"",IFERROR(INDEX(発注計算!$Y$6:$Y$405,MATCH($F567,発注計算!$C$6:$C$405,0)),""))</f>
        <v/>
      </c>
      <c r="K567" s="70"/>
      <c r="L567" s="69" t="str">
        <f aca="false">IF($K567="","",N($K567)*N($I567))</f>
        <v/>
      </c>
      <c r="M567" s="71" t="str">
        <f aca="false">IFERROR(INDEX(商品マスタ!$G$6:$G$1005,MATCH($F567,商品マスタ!$B$6:$B$1005,0)),"")</f>
        <v/>
      </c>
      <c r="N567" s="71" t="str">
        <f aca="false">IF($K567="","",N($K567)*N($M567))</f>
        <v/>
      </c>
      <c r="O567" s="66" t="str">
        <f aca="false">IFERROR(INDEX(商品マスタ!$H$6:$H$1005,MATCH($F567,商品マスタ!$B$6:$B$1005,0)),"")</f>
        <v/>
      </c>
      <c r="P567" s="87" t="str">
        <f aca="false">IF(OR($E567="",$O567=""),"",WORKDAY($E567,$O567))</f>
        <v/>
      </c>
      <c r="Q567" s="80"/>
      <c r="R567" s="131"/>
      <c r="S567" s="69" t="n">
        <f aca="false">IF($Q567="入荷済み",N($L567),0)</f>
        <v>0</v>
      </c>
      <c r="T567" s="80"/>
      <c r="U567" s="80"/>
    </row>
    <row r="568" customFormat="false" ht="15" hidden="false" customHeight="false" outlineLevel="0" collapsed="false">
      <c r="B568" s="66" t="str">
        <f aca="false">IF(OR($E568="",$F568=""),"","PO-"&amp;TEXT($E568,"yyyymmdd")&amp;"-"&amp;TEXT(COUNTIFS($E$6:$E568,$E568,$C$6:$C568,$C568),"000"))</f>
        <v/>
      </c>
      <c r="C568" s="130"/>
      <c r="D568" s="66" t="str">
        <f aca="false">IFERROR(INDEX(定数マスタ!$C$6:$C$105,MATCH($C568,定数マスタ!$B$6:$B$105,0)),"")</f>
        <v/>
      </c>
      <c r="E568" s="131"/>
      <c r="F568" s="130"/>
      <c r="G568" s="66" t="str">
        <f aca="false">IFERROR(INDEX(商品マスタ!$C$6:$C$1005,MATCH($F568,商品マスタ!$B$6:$B$1005,0)),"")</f>
        <v/>
      </c>
      <c r="H568" s="66" t="str">
        <f aca="false">IFERROR(INDEX(商品マスタ!$E$6:$E$1005,MATCH($F568,商品マスタ!$B$6:$B$1005,0)),"")</f>
        <v/>
      </c>
      <c r="I568" s="69" t="str">
        <f aca="false">IFERROR(INDEX(商品マスタ!$F$6:$F$1005,MATCH($F568,商品マスタ!$B$6:$B$1005,0)),"")</f>
        <v/>
      </c>
      <c r="J568" s="69" t="str">
        <f aca="false">IF(OR($F568="",$C568&lt;&gt;'設定（最初に1回）'!$C$4),"",IFERROR(INDEX(発注計算!$Y$6:$Y$405,MATCH($F568,発注計算!$C$6:$C$405,0)),""))</f>
        <v/>
      </c>
      <c r="K568" s="70"/>
      <c r="L568" s="69" t="str">
        <f aca="false">IF($K568="","",N($K568)*N($I568))</f>
        <v/>
      </c>
      <c r="M568" s="71" t="str">
        <f aca="false">IFERROR(INDEX(商品マスタ!$G$6:$G$1005,MATCH($F568,商品マスタ!$B$6:$B$1005,0)),"")</f>
        <v/>
      </c>
      <c r="N568" s="71" t="str">
        <f aca="false">IF($K568="","",N($K568)*N($M568))</f>
        <v/>
      </c>
      <c r="O568" s="66" t="str">
        <f aca="false">IFERROR(INDEX(商品マスタ!$H$6:$H$1005,MATCH($F568,商品マスタ!$B$6:$B$1005,0)),"")</f>
        <v/>
      </c>
      <c r="P568" s="87" t="str">
        <f aca="false">IF(OR($E568="",$O568=""),"",WORKDAY($E568,$O568))</f>
        <v/>
      </c>
      <c r="Q568" s="80"/>
      <c r="R568" s="131"/>
      <c r="S568" s="69" t="n">
        <f aca="false">IF($Q568="入荷済み",N($L568),0)</f>
        <v>0</v>
      </c>
      <c r="T568" s="80"/>
      <c r="U568" s="80"/>
    </row>
    <row r="569" customFormat="false" ht="15" hidden="false" customHeight="false" outlineLevel="0" collapsed="false">
      <c r="B569" s="66" t="str">
        <f aca="false">IF(OR($E569="",$F569=""),"","PO-"&amp;TEXT($E569,"yyyymmdd")&amp;"-"&amp;TEXT(COUNTIFS($E$6:$E569,$E569,$C$6:$C569,$C569),"000"))</f>
        <v/>
      </c>
      <c r="C569" s="130"/>
      <c r="D569" s="66" t="str">
        <f aca="false">IFERROR(INDEX(定数マスタ!$C$6:$C$105,MATCH($C569,定数マスタ!$B$6:$B$105,0)),"")</f>
        <v/>
      </c>
      <c r="E569" s="131"/>
      <c r="F569" s="130"/>
      <c r="G569" s="66" t="str">
        <f aca="false">IFERROR(INDEX(商品マスタ!$C$6:$C$1005,MATCH($F569,商品マスタ!$B$6:$B$1005,0)),"")</f>
        <v/>
      </c>
      <c r="H569" s="66" t="str">
        <f aca="false">IFERROR(INDEX(商品マスタ!$E$6:$E$1005,MATCH($F569,商品マスタ!$B$6:$B$1005,0)),"")</f>
        <v/>
      </c>
      <c r="I569" s="69" t="str">
        <f aca="false">IFERROR(INDEX(商品マスタ!$F$6:$F$1005,MATCH($F569,商品マスタ!$B$6:$B$1005,0)),"")</f>
        <v/>
      </c>
      <c r="J569" s="69" t="str">
        <f aca="false">IF(OR($F569="",$C569&lt;&gt;'設定（最初に1回）'!$C$4),"",IFERROR(INDEX(発注計算!$Y$6:$Y$405,MATCH($F569,発注計算!$C$6:$C$405,0)),""))</f>
        <v/>
      </c>
      <c r="K569" s="70"/>
      <c r="L569" s="69" t="str">
        <f aca="false">IF($K569="","",N($K569)*N($I569))</f>
        <v/>
      </c>
      <c r="M569" s="71" t="str">
        <f aca="false">IFERROR(INDEX(商品マスタ!$G$6:$G$1005,MATCH($F569,商品マスタ!$B$6:$B$1005,0)),"")</f>
        <v/>
      </c>
      <c r="N569" s="71" t="str">
        <f aca="false">IF($K569="","",N($K569)*N($M569))</f>
        <v/>
      </c>
      <c r="O569" s="66" t="str">
        <f aca="false">IFERROR(INDEX(商品マスタ!$H$6:$H$1005,MATCH($F569,商品マスタ!$B$6:$B$1005,0)),"")</f>
        <v/>
      </c>
      <c r="P569" s="87" t="str">
        <f aca="false">IF(OR($E569="",$O569=""),"",WORKDAY($E569,$O569))</f>
        <v/>
      </c>
      <c r="Q569" s="80"/>
      <c r="R569" s="131"/>
      <c r="S569" s="69" t="n">
        <f aca="false">IF($Q569="入荷済み",N($L569),0)</f>
        <v>0</v>
      </c>
      <c r="T569" s="80"/>
      <c r="U569" s="80"/>
    </row>
    <row r="570" customFormat="false" ht="15" hidden="false" customHeight="false" outlineLevel="0" collapsed="false">
      <c r="B570" s="66" t="str">
        <f aca="false">IF(OR($E570="",$F570=""),"","PO-"&amp;TEXT($E570,"yyyymmdd")&amp;"-"&amp;TEXT(COUNTIFS($E$6:$E570,$E570,$C$6:$C570,$C570),"000"))</f>
        <v/>
      </c>
      <c r="C570" s="130"/>
      <c r="D570" s="66" t="str">
        <f aca="false">IFERROR(INDEX(定数マスタ!$C$6:$C$105,MATCH($C570,定数マスタ!$B$6:$B$105,0)),"")</f>
        <v/>
      </c>
      <c r="E570" s="131"/>
      <c r="F570" s="130"/>
      <c r="G570" s="66" t="str">
        <f aca="false">IFERROR(INDEX(商品マスタ!$C$6:$C$1005,MATCH($F570,商品マスタ!$B$6:$B$1005,0)),"")</f>
        <v/>
      </c>
      <c r="H570" s="66" t="str">
        <f aca="false">IFERROR(INDEX(商品マスタ!$E$6:$E$1005,MATCH($F570,商品マスタ!$B$6:$B$1005,0)),"")</f>
        <v/>
      </c>
      <c r="I570" s="69" t="str">
        <f aca="false">IFERROR(INDEX(商品マスタ!$F$6:$F$1005,MATCH($F570,商品マスタ!$B$6:$B$1005,0)),"")</f>
        <v/>
      </c>
      <c r="J570" s="69" t="str">
        <f aca="false">IF(OR($F570="",$C570&lt;&gt;'設定（最初に1回）'!$C$4),"",IFERROR(INDEX(発注計算!$Y$6:$Y$405,MATCH($F570,発注計算!$C$6:$C$405,0)),""))</f>
        <v/>
      </c>
      <c r="K570" s="70"/>
      <c r="L570" s="69" t="str">
        <f aca="false">IF($K570="","",N($K570)*N($I570))</f>
        <v/>
      </c>
      <c r="M570" s="71" t="str">
        <f aca="false">IFERROR(INDEX(商品マスタ!$G$6:$G$1005,MATCH($F570,商品マスタ!$B$6:$B$1005,0)),"")</f>
        <v/>
      </c>
      <c r="N570" s="71" t="str">
        <f aca="false">IF($K570="","",N($K570)*N($M570))</f>
        <v/>
      </c>
      <c r="O570" s="66" t="str">
        <f aca="false">IFERROR(INDEX(商品マスタ!$H$6:$H$1005,MATCH($F570,商品マスタ!$B$6:$B$1005,0)),"")</f>
        <v/>
      </c>
      <c r="P570" s="87" t="str">
        <f aca="false">IF(OR($E570="",$O570=""),"",WORKDAY($E570,$O570))</f>
        <v/>
      </c>
      <c r="Q570" s="80"/>
      <c r="R570" s="131"/>
      <c r="S570" s="69" t="n">
        <f aca="false">IF($Q570="入荷済み",N($L570),0)</f>
        <v>0</v>
      </c>
      <c r="T570" s="80"/>
      <c r="U570" s="80"/>
    </row>
    <row r="571" customFormat="false" ht="15" hidden="false" customHeight="false" outlineLevel="0" collapsed="false">
      <c r="B571" s="66" t="str">
        <f aca="false">IF(OR($E571="",$F571=""),"","PO-"&amp;TEXT($E571,"yyyymmdd")&amp;"-"&amp;TEXT(COUNTIFS($E$6:$E571,$E571,$C$6:$C571,$C571),"000"))</f>
        <v/>
      </c>
      <c r="C571" s="130"/>
      <c r="D571" s="66" t="str">
        <f aca="false">IFERROR(INDEX(定数マスタ!$C$6:$C$105,MATCH($C571,定数マスタ!$B$6:$B$105,0)),"")</f>
        <v/>
      </c>
      <c r="E571" s="131"/>
      <c r="F571" s="130"/>
      <c r="G571" s="66" t="str">
        <f aca="false">IFERROR(INDEX(商品マスタ!$C$6:$C$1005,MATCH($F571,商品マスタ!$B$6:$B$1005,0)),"")</f>
        <v/>
      </c>
      <c r="H571" s="66" t="str">
        <f aca="false">IFERROR(INDEX(商品マスタ!$E$6:$E$1005,MATCH($F571,商品マスタ!$B$6:$B$1005,0)),"")</f>
        <v/>
      </c>
      <c r="I571" s="69" t="str">
        <f aca="false">IFERROR(INDEX(商品マスタ!$F$6:$F$1005,MATCH($F571,商品マスタ!$B$6:$B$1005,0)),"")</f>
        <v/>
      </c>
      <c r="J571" s="69" t="str">
        <f aca="false">IF(OR($F571="",$C571&lt;&gt;'設定（最初に1回）'!$C$4),"",IFERROR(INDEX(発注計算!$Y$6:$Y$405,MATCH($F571,発注計算!$C$6:$C$405,0)),""))</f>
        <v/>
      </c>
      <c r="K571" s="70"/>
      <c r="L571" s="69" t="str">
        <f aca="false">IF($K571="","",N($K571)*N($I571))</f>
        <v/>
      </c>
      <c r="M571" s="71" t="str">
        <f aca="false">IFERROR(INDEX(商品マスタ!$G$6:$G$1005,MATCH($F571,商品マスタ!$B$6:$B$1005,0)),"")</f>
        <v/>
      </c>
      <c r="N571" s="71" t="str">
        <f aca="false">IF($K571="","",N($K571)*N($M571))</f>
        <v/>
      </c>
      <c r="O571" s="66" t="str">
        <f aca="false">IFERROR(INDEX(商品マスタ!$H$6:$H$1005,MATCH($F571,商品マスタ!$B$6:$B$1005,0)),"")</f>
        <v/>
      </c>
      <c r="P571" s="87" t="str">
        <f aca="false">IF(OR($E571="",$O571=""),"",WORKDAY($E571,$O571))</f>
        <v/>
      </c>
      <c r="Q571" s="80"/>
      <c r="R571" s="131"/>
      <c r="S571" s="69" t="n">
        <f aca="false">IF($Q571="入荷済み",N($L571),0)</f>
        <v>0</v>
      </c>
      <c r="T571" s="80"/>
      <c r="U571" s="80"/>
    </row>
    <row r="572" customFormat="false" ht="15" hidden="false" customHeight="false" outlineLevel="0" collapsed="false">
      <c r="B572" s="66" t="str">
        <f aca="false">IF(OR($E572="",$F572=""),"","PO-"&amp;TEXT($E572,"yyyymmdd")&amp;"-"&amp;TEXT(COUNTIFS($E$6:$E572,$E572,$C$6:$C572,$C572),"000"))</f>
        <v/>
      </c>
      <c r="C572" s="130"/>
      <c r="D572" s="66" t="str">
        <f aca="false">IFERROR(INDEX(定数マスタ!$C$6:$C$105,MATCH($C572,定数マスタ!$B$6:$B$105,0)),"")</f>
        <v/>
      </c>
      <c r="E572" s="131"/>
      <c r="F572" s="130"/>
      <c r="G572" s="66" t="str">
        <f aca="false">IFERROR(INDEX(商品マスタ!$C$6:$C$1005,MATCH($F572,商品マスタ!$B$6:$B$1005,0)),"")</f>
        <v/>
      </c>
      <c r="H572" s="66" t="str">
        <f aca="false">IFERROR(INDEX(商品マスタ!$E$6:$E$1005,MATCH($F572,商品マスタ!$B$6:$B$1005,0)),"")</f>
        <v/>
      </c>
      <c r="I572" s="69" t="str">
        <f aca="false">IFERROR(INDEX(商品マスタ!$F$6:$F$1005,MATCH($F572,商品マスタ!$B$6:$B$1005,0)),"")</f>
        <v/>
      </c>
      <c r="J572" s="69" t="str">
        <f aca="false">IF(OR($F572="",$C572&lt;&gt;'設定（最初に1回）'!$C$4),"",IFERROR(INDEX(発注計算!$Y$6:$Y$405,MATCH($F572,発注計算!$C$6:$C$405,0)),""))</f>
        <v/>
      </c>
      <c r="K572" s="70"/>
      <c r="L572" s="69" t="str">
        <f aca="false">IF($K572="","",N($K572)*N($I572))</f>
        <v/>
      </c>
      <c r="M572" s="71" t="str">
        <f aca="false">IFERROR(INDEX(商品マスタ!$G$6:$G$1005,MATCH($F572,商品マスタ!$B$6:$B$1005,0)),"")</f>
        <v/>
      </c>
      <c r="N572" s="71" t="str">
        <f aca="false">IF($K572="","",N($K572)*N($M572))</f>
        <v/>
      </c>
      <c r="O572" s="66" t="str">
        <f aca="false">IFERROR(INDEX(商品マスタ!$H$6:$H$1005,MATCH($F572,商品マスタ!$B$6:$B$1005,0)),"")</f>
        <v/>
      </c>
      <c r="P572" s="87" t="str">
        <f aca="false">IF(OR($E572="",$O572=""),"",WORKDAY($E572,$O572))</f>
        <v/>
      </c>
      <c r="Q572" s="80"/>
      <c r="R572" s="131"/>
      <c r="S572" s="69" t="n">
        <f aca="false">IF($Q572="入荷済み",N($L572),0)</f>
        <v>0</v>
      </c>
      <c r="T572" s="80"/>
      <c r="U572" s="80"/>
    </row>
    <row r="573" customFormat="false" ht="15" hidden="false" customHeight="false" outlineLevel="0" collapsed="false">
      <c r="B573" s="66" t="str">
        <f aca="false">IF(OR($E573="",$F573=""),"","PO-"&amp;TEXT($E573,"yyyymmdd")&amp;"-"&amp;TEXT(COUNTIFS($E$6:$E573,$E573,$C$6:$C573,$C573),"000"))</f>
        <v/>
      </c>
      <c r="C573" s="130"/>
      <c r="D573" s="66" t="str">
        <f aca="false">IFERROR(INDEX(定数マスタ!$C$6:$C$105,MATCH($C573,定数マスタ!$B$6:$B$105,0)),"")</f>
        <v/>
      </c>
      <c r="E573" s="131"/>
      <c r="F573" s="130"/>
      <c r="G573" s="66" t="str">
        <f aca="false">IFERROR(INDEX(商品マスタ!$C$6:$C$1005,MATCH($F573,商品マスタ!$B$6:$B$1005,0)),"")</f>
        <v/>
      </c>
      <c r="H573" s="66" t="str">
        <f aca="false">IFERROR(INDEX(商品マスタ!$E$6:$E$1005,MATCH($F573,商品マスタ!$B$6:$B$1005,0)),"")</f>
        <v/>
      </c>
      <c r="I573" s="69" t="str">
        <f aca="false">IFERROR(INDEX(商品マスタ!$F$6:$F$1005,MATCH($F573,商品マスタ!$B$6:$B$1005,0)),"")</f>
        <v/>
      </c>
      <c r="J573" s="69" t="str">
        <f aca="false">IF(OR($F573="",$C573&lt;&gt;'設定（最初に1回）'!$C$4),"",IFERROR(INDEX(発注計算!$Y$6:$Y$405,MATCH($F573,発注計算!$C$6:$C$405,0)),""))</f>
        <v/>
      </c>
      <c r="K573" s="70"/>
      <c r="L573" s="69" t="str">
        <f aca="false">IF($K573="","",N($K573)*N($I573))</f>
        <v/>
      </c>
      <c r="M573" s="71" t="str">
        <f aca="false">IFERROR(INDEX(商品マスタ!$G$6:$G$1005,MATCH($F573,商品マスタ!$B$6:$B$1005,0)),"")</f>
        <v/>
      </c>
      <c r="N573" s="71" t="str">
        <f aca="false">IF($K573="","",N($K573)*N($M573))</f>
        <v/>
      </c>
      <c r="O573" s="66" t="str">
        <f aca="false">IFERROR(INDEX(商品マスタ!$H$6:$H$1005,MATCH($F573,商品マスタ!$B$6:$B$1005,0)),"")</f>
        <v/>
      </c>
      <c r="P573" s="87" t="str">
        <f aca="false">IF(OR($E573="",$O573=""),"",WORKDAY($E573,$O573))</f>
        <v/>
      </c>
      <c r="Q573" s="80"/>
      <c r="R573" s="131"/>
      <c r="S573" s="69" t="n">
        <f aca="false">IF($Q573="入荷済み",N($L573),0)</f>
        <v>0</v>
      </c>
      <c r="T573" s="80"/>
      <c r="U573" s="80"/>
    </row>
    <row r="574" customFormat="false" ht="15" hidden="false" customHeight="false" outlineLevel="0" collapsed="false">
      <c r="B574" s="66" t="str">
        <f aca="false">IF(OR($E574="",$F574=""),"","PO-"&amp;TEXT($E574,"yyyymmdd")&amp;"-"&amp;TEXT(COUNTIFS($E$6:$E574,$E574,$C$6:$C574,$C574),"000"))</f>
        <v/>
      </c>
      <c r="C574" s="130"/>
      <c r="D574" s="66" t="str">
        <f aca="false">IFERROR(INDEX(定数マスタ!$C$6:$C$105,MATCH($C574,定数マスタ!$B$6:$B$105,0)),"")</f>
        <v/>
      </c>
      <c r="E574" s="131"/>
      <c r="F574" s="130"/>
      <c r="G574" s="66" t="str">
        <f aca="false">IFERROR(INDEX(商品マスタ!$C$6:$C$1005,MATCH($F574,商品マスタ!$B$6:$B$1005,0)),"")</f>
        <v/>
      </c>
      <c r="H574" s="66" t="str">
        <f aca="false">IFERROR(INDEX(商品マスタ!$E$6:$E$1005,MATCH($F574,商品マスタ!$B$6:$B$1005,0)),"")</f>
        <v/>
      </c>
      <c r="I574" s="69" t="str">
        <f aca="false">IFERROR(INDEX(商品マスタ!$F$6:$F$1005,MATCH($F574,商品マスタ!$B$6:$B$1005,0)),"")</f>
        <v/>
      </c>
      <c r="J574" s="69" t="str">
        <f aca="false">IF(OR($F574="",$C574&lt;&gt;'設定（最初に1回）'!$C$4),"",IFERROR(INDEX(発注計算!$Y$6:$Y$405,MATCH($F574,発注計算!$C$6:$C$405,0)),""))</f>
        <v/>
      </c>
      <c r="K574" s="70"/>
      <c r="L574" s="69" t="str">
        <f aca="false">IF($K574="","",N($K574)*N($I574))</f>
        <v/>
      </c>
      <c r="M574" s="71" t="str">
        <f aca="false">IFERROR(INDEX(商品マスタ!$G$6:$G$1005,MATCH($F574,商品マスタ!$B$6:$B$1005,0)),"")</f>
        <v/>
      </c>
      <c r="N574" s="71" t="str">
        <f aca="false">IF($K574="","",N($K574)*N($M574))</f>
        <v/>
      </c>
      <c r="O574" s="66" t="str">
        <f aca="false">IFERROR(INDEX(商品マスタ!$H$6:$H$1005,MATCH($F574,商品マスタ!$B$6:$B$1005,0)),"")</f>
        <v/>
      </c>
      <c r="P574" s="87" t="str">
        <f aca="false">IF(OR($E574="",$O574=""),"",WORKDAY($E574,$O574))</f>
        <v/>
      </c>
      <c r="Q574" s="80"/>
      <c r="R574" s="131"/>
      <c r="S574" s="69" t="n">
        <f aca="false">IF($Q574="入荷済み",N($L574),0)</f>
        <v>0</v>
      </c>
      <c r="T574" s="80"/>
      <c r="U574" s="80"/>
    </row>
    <row r="575" customFormat="false" ht="15" hidden="false" customHeight="false" outlineLevel="0" collapsed="false">
      <c r="B575" s="66" t="str">
        <f aca="false">IF(OR($E575="",$F575=""),"","PO-"&amp;TEXT($E575,"yyyymmdd")&amp;"-"&amp;TEXT(COUNTIFS($E$6:$E575,$E575,$C$6:$C575,$C575),"000"))</f>
        <v/>
      </c>
      <c r="C575" s="130"/>
      <c r="D575" s="66" t="str">
        <f aca="false">IFERROR(INDEX(定数マスタ!$C$6:$C$105,MATCH($C575,定数マスタ!$B$6:$B$105,0)),"")</f>
        <v/>
      </c>
      <c r="E575" s="131"/>
      <c r="F575" s="130"/>
      <c r="G575" s="66" t="str">
        <f aca="false">IFERROR(INDEX(商品マスタ!$C$6:$C$1005,MATCH($F575,商品マスタ!$B$6:$B$1005,0)),"")</f>
        <v/>
      </c>
      <c r="H575" s="66" t="str">
        <f aca="false">IFERROR(INDEX(商品マスタ!$E$6:$E$1005,MATCH($F575,商品マスタ!$B$6:$B$1005,0)),"")</f>
        <v/>
      </c>
      <c r="I575" s="69" t="str">
        <f aca="false">IFERROR(INDEX(商品マスタ!$F$6:$F$1005,MATCH($F575,商品マスタ!$B$6:$B$1005,0)),"")</f>
        <v/>
      </c>
      <c r="J575" s="69" t="str">
        <f aca="false">IF(OR($F575="",$C575&lt;&gt;'設定（最初に1回）'!$C$4),"",IFERROR(INDEX(発注計算!$Y$6:$Y$405,MATCH($F575,発注計算!$C$6:$C$405,0)),""))</f>
        <v/>
      </c>
      <c r="K575" s="70"/>
      <c r="L575" s="69" t="str">
        <f aca="false">IF($K575="","",N($K575)*N($I575))</f>
        <v/>
      </c>
      <c r="M575" s="71" t="str">
        <f aca="false">IFERROR(INDEX(商品マスタ!$G$6:$G$1005,MATCH($F575,商品マスタ!$B$6:$B$1005,0)),"")</f>
        <v/>
      </c>
      <c r="N575" s="71" t="str">
        <f aca="false">IF($K575="","",N($K575)*N($M575))</f>
        <v/>
      </c>
      <c r="O575" s="66" t="str">
        <f aca="false">IFERROR(INDEX(商品マスタ!$H$6:$H$1005,MATCH($F575,商品マスタ!$B$6:$B$1005,0)),"")</f>
        <v/>
      </c>
      <c r="P575" s="87" t="str">
        <f aca="false">IF(OR($E575="",$O575=""),"",WORKDAY($E575,$O575))</f>
        <v/>
      </c>
      <c r="Q575" s="80"/>
      <c r="R575" s="131"/>
      <c r="S575" s="69" t="n">
        <f aca="false">IF($Q575="入荷済み",N($L575),0)</f>
        <v>0</v>
      </c>
      <c r="T575" s="80"/>
      <c r="U575" s="80"/>
    </row>
    <row r="576" customFormat="false" ht="15" hidden="false" customHeight="false" outlineLevel="0" collapsed="false">
      <c r="B576" s="66" t="str">
        <f aca="false">IF(OR($E576="",$F576=""),"","PO-"&amp;TEXT($E576,"yyyymmdd")&amp;"-"&amp;TEXT(COUNTIFS($E$6:$E576,$E576,$C$6:$C576,$C576),"000"))</f>
        <v/>
      </c>
      <c r="C576" s="130"/>
      <c r="D576" s="66" t="str">
        <f aca="false">IFERROR(INDEX(定数マスタ!$C$6:$C$105,MATCH($C576,定数マスタ!$B$6:$B$105,0)),"")</f>
        <v/>
      </c>
      <c r="E576" s="131"/>
      <c r="F576" s="130"/>
      <c r="G576" s="66" t="str">
        <f aca="false">IFERROR(INDEX(商品マスタ!$C$6:$C$1005,MATCH($F576,商品マスタ!$B$6:$B$1005,0)),"")</f>
        <v/>
      </c>
      <c r="H576" s="66" t="str">
        <f aca="false">IFERROR(INDEX(商品マスタ!$E$6:$E$1005,MATCH($F576,商品マスタ!$B$6:$B$1005,0)),"")</f>
        <v/>
      </c>
      <c r="I576" s="69" t="str">
        <f aca="false">IFERROR(INDEX(商品マスタ!$F$6:$F$1005,MATCH($F576,商品マスタ!$B$6:$B$1005,0)),"")</f>
        <v/>
      </c>
      <c r="J576" s="69" t="str">
        <f aca="false">IF(OR($F576="",$C576&lt;&gt;'設定（最初に1回）'!$C$4),"",IFERROR(INDEX(発注計算!$Y$6:$Y$405,MATCH($F576,発注計算!$C$6:$C$405,0)),""))</f>
        <v/>
      </c>
      <c r="K576" s="70"/>
      <c r="L576" s="69" t="str">
        <f aca="false">IF($K576="","",N($K576)*N($I576))</f>
        <v/>
      </c>
      <c r="M576" s="71" t="str">
        <f aca="false">IFERROR(INDEX(商品マスタ!$G$6:$G$1005,MATCH($F576,商品マスタ!$B$6:$B$1005,0)),"")</f>
        <v/>
      </c>
      <c r="N576" s="71" t="str">
        <f aca="false">IF($K576="","",N($K576)*N($M576))</f>
        <v/>
      </c>
      <c r="O576" s="66" t="str">
        <f aca="false">IFERROR(INDEX(商品マスタ!$H$6:$H$1005,MATCH($F576,商品マスタ!$B$6:$B$1005,0)),"")</f>
        <v/>
      </c>
      <c r="P576" s="87" t="str">
        <f aca="false">IF(OR($E576="",$O576=""),"",WORKDAY($E576,$O576))</f>
        <v/>
      </c>
      <c r="Q576" s="80"/>
      <c r="R576" s="131"/>
      <c r="S576" s="69" t="n">
        <f aca="false">IF($Q576="入荷済み",N($L576),0)</f>
        <v>0</v>
      </c>
      <c r="T576" s="80"/>
      <c r="U576" s="80"/>
    </row>
    <row r="577" customFormat="false" ht="15" hidden="false" customHeight="false" outlineLevel="0" collapsed="false">
      <c r="B577" s="66" t="str">
        <f aca="false">IF(OR($E577="",$F577=""),"","PO-"&amp;TEXT($E577,"yyyymmdd")&amp;"-"&amp;TEXT(COUNTIFS($E$6:$E577,$E577,$C$6:$C577,$C577),"000"))</f>
        <v/>
      </c>
      <c r="C577" s="130"/>
      <c r="D577" s="66" t="str">
        <f aca="false">IFERROR(INDEX(定数マスタ!$C$6:$C$105,MATCH($C577,定数マスタ!$B$6:$B$105,0)),"")</f>
        <v/>
      </c>
      <c r="E577" s="131"/>
      <c r="F577" s="130"/>
      <c r="G577" s="66" t="str">
        <f aca="false">IFERROR(INDEX(商品マスタ!$C$6:$C$1005,MATCH($F577,商品マスタ!$B$6:$B$1005,0)),"")</f>
        <v/>
      </c>
      <c r="H577" s="66" t="str">
        <f aca="false">IFERROR(INDEX(商品マスタ!$E$6:$E$1005,MATCH($F577,商品マスタ!$B$6:$B$1005,0)),"")</f>
        <v/>
      </c>
      <c r="I577" s="69" t="str">
        <f aca="false">IFERROR(INDEX(商品マスタ!$F$6:$F$1005,MATCH($F577,商品マスタ!$B$6:$B$1005,0)),"")</f>
        <v/>
      </c>
      <c r="J577" s="69" t="str">
        <f aca="false">IF(OR($F577="",$C577&lt;&gt;'設定（最初に1回）'!$C$4),"",IFERROR(INDEX(発注計算!$Y$6:$Y$405,MATCH($F577,発注計算!$C$6:$C$405,0)),""))</f>
        <v/>
      </c>
      <c r="K577" s="70"/>
      <c r="L577" s="69" t="str">
        <f aca="false">IF($K577="","",N($K577)*N($I577))</f>
        <v/>
      </c>
      <c r="M577" s="71" t="str">
        <f aca="false">IFERROR(INDEX(商品マスタ!$G$6:$G$1005,MATCH($F577,商品マスタ!$B$6:$B$1005,0)),"")</f>
        <v/>
      </c>
      <c r="N577" s="71" t="str">
        <f aca="false">IF($K577="","",N($K577)*N($M577))</f>
        <v/>
      </c>
      <c r="O577" s="66" t="str">
        <f aca="false">IFERROR(INDEX(商品マスタ!$H$6:$H$1005,MATCH($F577,商品マスタ!$B$6:$B$1005,0)),"")</f>
        <v/>
      </c>
      <c r="P577" s="87" t="str">
        <f aca="false">IF(OR($E577="",$O577=""),"",WORKDAY($E577,$O577))</f>
        <v/>
      </c>
      <c r="Q577" s="80"/>
      <c r="R577" s="131"/>
      <c r="S577" s="69" t="n">
        <f aca="false">IF($Q577="入荷済み",N($L577),0)</f>
        <v>0</v>
      </c>
      <c r="T577" s="80"/>
      <c r="U577" s="80"/>
    </row>
    <row r="578" customFormat="false" ht="15" hidden="false" customHeight="false" outlineLevel="0" collapsed="false">
      <c r="B578" s="66" t="str">
        <f aca="false">IF(OR($E578="",$F578=""),"","PO-"&amp;TEXT($E578,"yyyymmdd")&amp;"-"&amp;TEXT(COUNTIFS($E$6:$E578,$E578,$C$6:$C578,$C578),"000"))</f>
        <v/>
      </c>
      <c r="C578" s="130"/>
      <c r="D578" s="66" t="str">
        <f aca="false">IFERROR(INDEX(定数マスタ!$C$6:$C$105,MATCH($C578,定数マスタ!$B$6:$B$105,0)),"")</f>
        <v/>
      </c>
      <c r="E578" s="131"/>
      <c r="F578" s="130"/>
      <c r="G578" s="66" t="str">
        <f aca="false">IFERROR(INDEX(商品マスタ!$C$6:$C$1005,MATCH($F578,商品マスタ!$B$6:$B$1005,0)),"")</f>
        <v/>
      </c>
      <c r="H578" s="66" t="str">
        <f aca="false">IFERROR(INDEX(商品マスタ!$E$6:$E$1005,MATCH($F578,商品マスタ!$B$6:$B$1005,0)),"")</f>
        <v/>
      </c>
      <c r="I578" s="69" t="str">
        <f aca="false">IFERROR(INDEX(商品マスタ!$F$6:$F$1005,MATCH($F578,商品マスタ!$B$6:$B$1005,0)),"")</f>
        <v/>
      </c>
      <c r="J578" s="69" t="str">
        <f aca="false">IF(OR($F578="",$C578&lt;&gt;'設定（最初に1回）'!$C$4),"",IFERROR(INDEX(発注計算!$Y$6:$Y$405,MATCH($F578,発注計算!$C$6:$C$405,0)),""))</f>
        <v/>
      </c>
      <c r="K578" s="70"/>
      <c r="L578" s="69" t="str">
        <f aca="false">IF($K578="","",N($K578)*N($I578))</f>
        <v/>
      </c>
      <c r="M578" s="71" t="str">
        <f aca="false">IFERROR(INDEX(商品マスタ!$G$6:$G$1005,MATCH($F578,商品マスタ!$B$6:$B$1005,0)),"")</f>
        <v/>
      </c>
      <c r="N578" s="71" t="str">
        <f aca="false">IF($K578="","",N($K578)*N($M578))</f>
        <v/>
      </c>
      <c r="O578" s="66" t="str">
        <f aca="false">IFERROR(INDEX(商品マスタ!$H$6:$H$1005,MATCH($F578,商品マスタ!$B$6:$B$1005,0)),"")</f>
        <v/>
      </c>
      <c r="P578" s="87" t="str">
        <f aca="false">IF(OR($E578="",$O578=""),"",WORKDAY($E578,$O578))</f>
        <v/>
      </c>
      <c r="Q578" s="80"/>
      <c r="R578" s="131"/>
      <c r="S578" s="69" t="n">
        <f aca="false">IF($Q578="入荷済み",N($L578),0)</f>
        <v>0</v>
      </c>
      <c r="T578" s="80"/>
      <c r="U578" s="80"/>
    </row>
    <row r="579" customFormat="false" ht="15" hidden="false" customHeight="false" outlineLevel="0" collapsed="false">
      <c r="B579" s="66" t="str">
        <f aca="false">IF(OR($E579="",$F579=""),"","PO-"&amp;TEXT($E579,"yyyymmdd")&amp;"-"&amp;TEXT(COUNTIFS($E$6:$E579,$E579,$C$6:$C579,$C579),"000"))</f>
        <v/>
      </c>
      <c r="C579" s="130"/>
      <c r="D579" s="66" t="str">
        <f aca="false">IFERROR(INDEX(定数マスタ!$C$6:$C$105,MATCH($C579,定数マスタ!$B$6:$B$105,0)),"")</f>
        <v/>
      </c>
      <c r="E579" s="131"/>
      <c r="F579" s="130"/>
      <c r="G579" s="66" t="str">
        <f aca="false">IFERROR(INDEX(商品マスタ!$C$6:$C$1005,MATCH($F579,商品マスタ!$B$6:$B$1005,0)),"")</f>
        <v/>
      </c>
      <c r="H579" s="66" t="str">
        <f aca="false">IFERROR(INDEX(商品マスタ!$E$6:$E$1005,MATCH($F579,商品マスタ!$B$6:$B$1005,0)),"")</f>
        <v/>
      </c>
      <c r="I579" s="69" t="str">
        <f aca="false">IFERROR(INDEX(商品マスタ!$F$6:$F$1005,MATCH($F579,商品マスタ!$B$6:$B$1005,0)),"")</f>
        <v/>
      </c>
      <c r="J579" s="69" t="str">
        <f aca="false">IF(OR($F579="",$C579&lt;&gt;'設定（最初に1回）'!$C$4),"",IFERROR(INDEX(発注計算!$Y$6:$Y$405,MATCH($F579,発注計算!$C$6:$C$405,0)),""))</f>
        <v/>
      </c>
      <c r="K579" s="70"/>
      <c r="L579" s="69" t="str">
        <f aca="false">IF($K579="","",N($K579)*N($I579))</f>
        <v/>
      </c>
      <c r="M579" s="71" t="str">
        <f aca="false">IFERROR(INDEX(商品マスタ!$G$6:$G$1005,MATCH($F579,商品マスタ!$B$6:$B$1005,0)),"")</f>
        <v/>
      </c>
      <c r="N579" s="71" t="str">
        <f aca="false">IF($K579="","",N($K579)*N($M579))</f>
        <v/>
      </c>
      <c r="O579" s="66" t="str">
        <f aca="false">IFERROR(INDEX(商品マスタ!$H$6:$H$1005,MATCH($F579,商品マスタ!$B$6:$B$1005,0)),"")</f>
        <v/>
      </c>
      <c r="P579" s="87" t="str">
        <f aca="false">IF(OR($E579="",$O579=""),"",WORKDAY($E579,$O579))</f>
        <v/>
      </c>
      <c r="Q579" s="80"/>
      <c r="R579" s="131"/>
      <c r="S579" s="69" t="n">
        <f aca="false">IF($Q579="入荷済み",N($L579),0)</f>
        <v>0</v>
      </c>
      <c r="T579" s="80"/>
      <c r="U579" s="80"/>
    </row>
    <row r="580" customFormat="false" ht="15" hidden="false" customHeight="false" outlineLevel="0" collapsed="false">
      <c r="B580" s="66" t="str">
        <f aca="false">IF(OR($E580="",$F580=""),"","PO-"&amp;TEXT($E580,"yyyymmdd")&amp;"-"&amp;TEXT(COUNTIFS($E$6:$E580,$E580,$C$6:$C580,$C580),"000"))</f>
        <v/>
      </c>
      <c r="C580" s="130"/>
      <c r="D580" s="66" t="str">
        <f aca="false">IFERROR(INDEX(定数マスタ!$C$6:$C$105,MATCH($C580,定数マスタ!$B$6:$B$105,0)),"")</f>
        <v/>
      </c>
      <c r="E580" s="131"/>
      <c r="F580" s="130"/>
      <c r="G580" s="66" t="str">
        <f aca="false">IFERROR(INDEX(商品マスタ!$C$6:$C$1005,MATCH($F580,商品マスタ!$B$6:$B$1005,0)),"")</f>
        <v/>
      </c>
      <c r="H580" s="66" t="str">
        <f aca="false">IFERROR(INDEX(商品マスタ!$E$6:$E$1005,MATCH($F580,商品マスタ!$B$6:$B$1005,0)),"")</f>
        <v/>
      </c>
      <c r="I580" s="69" t="str">
        <f aca="false">IFERROR(INDEX(商品マスタ!$F$6:$F$1005,MATCH($F580,商品マスタ!$B$6:$B$1005,0)),"")</f>
        <v/>
      </c>
      <c r="J580" s="69" t="str">
        <f aca="false">IF(OR($F580="",$C580&lt;&gt;'設定（最初に1回）'!$C$4),"",IFERROR(INDEX(発注計算!$Y$6:$Y$405,MATCH($F580,発注計算!$C$6:$C$405,0)),""))</f>
        <v/>
      </c>
      <c r="K580" s="70"/>
      <c r="L580" s="69" t="str">
        <f aca="false">IF($K580="","",N($K580)*N($I580))</f>
        <v/>
      </c>
      <c r="M580" s="71" t="str">
        <f aca="false">IFERROR(INDEX(商品マスタ!$G$6:$G$1005,MATCH($F580,商品マスタ!$B$6:$B$1005,0)),"")</f>
        <v/>
      </c>
      <c r="N580" s="71" t="str">
        <f aca="false">IF($K580="","",N($K580)*N($M580))</f>
        <v/>
      </c>
      <c r="O580" s="66" t="str">
        <f aca="false">IFERROR(INDEX(商品マスタ!$H$6:$H$1005,MATCH($F580,商品マスタ!$B$6:$B$1005,0)),"")</f>
        <v/>
      </c>
      <c r="P580" s="87" t="str">
        <f aca="false">IF(OR($E580="",$O580=""),"",WORKDAY($E580,$O580))</f>
        <v/>
      </c>
      <c r="Q580" s="80"/>
      <c r="R580" s="131"/>
      <c r="S580" s="69" t="n">
        <f aca="false">IF($Q580="入荷済み",N($L580),0)</f>
        <v>0</v>
      </c>
      <c r="T580" s="80"/>
      <c r="U580" s="80"/>
    </row>
    <row r="581" customFormat="false" ht="15" hidden="false" customHeight="false" outlineLevel="0" collapsed="false">
      <c r="B581" s="66" t="str">
        <f aca="false">IF(OR($E581="",$F581=""),"","PO-"&amp;TEXT($E581,"yyyymmdd")&amp;"-"&amp;TEXT(COUNTIFS($E$6:$E581,$E581,$C$6:$C581,$C581),"000"))</f>
        <v/>
      </c>
      <c r="C581" s="130"/>
      <c r="D581" s="66" t="str">
        <f aca="false">IFERROR(INDEX(定数マスタ!$C$6:$C$105,MATCH($C581,定数マスタ!$B$6:$B$105,0)),"")</f>
        <v/>
      </c>
      <c r="E581" s="131"/>
      <c r="F581" s="130"/>
      <c r="G581" s="66" t="str">
        <f aca="false">IFERROR(INDEX(商品マスタ!$C$6:$C$1005,MATCH($F581,商品マスタ!$B$6:$B$1005,0)),"")</f>
        <v/>
      </c>
      <c r="H581" s="66" t="str">
        <f aca="false">IFERROR(INDEX(商品マスタ!$E$6:$E$1005,MATCH($F581,商品マスタ!$B$6:$B$1005,0)),"")</f>
        <v/>
      </c>
      <c r="I581" s="69" t="str">
        <f aca="false">IFERROR(INDEX(商品マスタ!$F$6:$F$1005,MATCH($F581,商品マスタ!$B$6:$B$1005,0)),"")</f>
        <v/>
      </c>
      <c r="J581" s="69" t="str">
        <f aca="false">IF(OR($F581="",$C581&lt;&gt;'設定（最初に1回）'!$C$4),"",IFERROR(INDEX(発注計算!$Y$6:$Y$405,MATCH($F581,発注計算!$C$6:$C$405,0)),""))</f>
        <v/>
      </c>
      <c r="K581" s="70"/>
      <c r="L581" s="69" t="str">
        <f aca="false">IF($K581="","",N($K581)*N($I581))</f>
        <v/>
      </c>
      <c r="M581" s="71" t="str">
        <f aca="false">IFERROR(INDEX(商品マスタ!$G$6:$G$1005,MATCH($F581,商品マスタ!$B$6:$B$1005,0)),"")</f>
        <v/>
      </c>
      <c r="N581" s="71" t="str">
        <f aca="false">IF($K581="","",N($K581)*N($M581))</f>
        <v/>
      </c>
      <c r="O581" s="66" t="str">
        <f aca="false">IFERROR(INDEX(商品マスタ!$H$6:$H$1005,MATCH($F581,商品マスタ!$B$6:$B$1005,0)),"")</f>
        <v/>
      </c>
      <c r="P581" s="87" t="str">
        <f aca="false">IF(OR($E581="",$O581=""),"",WORKDAY($E581,$O581))</f>
        <v/>
      </c>
      <c r="Q581" s="80"/>
      <c r="R581" s="131"/>
      <c r="S581" s="69" t="n">
        <f aca="false">IF($Q581="入荷済み",N($L581),0)</f>
        <v>0</v>
      </c>
      <c r="T581" s="80"/>
      <c r="U581" s="80"/>
    </row>
    <row r="582" customFormat="false" ht="15" hidden="false" customHeight="false" outlineLevel="0" collapsed="false">
      <c r="B582" s="66" t="str">
        <f aca="false">IF(OR($E582="",$F582=""),"","PO-"&amp;TEXT($E582,"yyyymmdd")&amp;"-"&amp;TEXT(COUNTIFS($E$6:$E582,$E582,$C$6:$C582,$C582),"000"))</f>
        <v/>
      </c>
      <c r="C582" s="130"/>
      <c r="D582" s="66" t="str">
        <f aca="false">IFERROR(INDEX(定数マスタ!$C$6:$C$105,MATCH($C582,定数マスタ!$B$6:$B$105,0)),"")</f>
        <v/>
      </c>
      <c r="E582" s="131"/>
      <c r="F582" s="130"/>
      <c r="G582" s="66" t="str">
        <f aca="false">IFERROR(INDEX(商品マスタ!$C$6:$C$1005,MATCH($F582,商品マスタ!$B$6:$B$1005,0)),"")</f>
        <v/>
      </c>
      <c r="H582" s="66" t="str">
        <f aca="false">IFERROR(INDEX(商品マスタ!$E$6:$E$1005,MATCH($F582,商品マスタ!$B$6:$B$1005,0)),"")</f>
        <v/>
      </c>
      <c r="I582" s="69" t="str">
        <f aca="false">IFERROR(INDEX(商品マスタ!$F$6:$F$1005,MATCH($F582,商品マスタ!$B$6:$B$1005,0)),"")</f>
        <v/>
      </c>
      <c r="J582" s="69" t="str">
        <f aca="false">IF(OR($F582="",$C582&lt;&gt;'設定（最初に1回）'!$C$4),"",IFERROR(INDEX(発注計算!$Y$6:$Y$405,MATCH($F582,発注計算!$C$6:$C$405,0)),""))</f>
        <v/>
      </c>
      <c r="K582" s="70"/>
      <c r="L582" s="69" t="str">
        <f aca="false">IF($K582="","",N($K582)*N($I582))</f>
        <v/>
      </c>
      <c r="M582" s="71" t="str">
        <f aca="false">IFERROR(INDEX(商品マスタ!$G$6:$G$1005,MATCH($F582,商品マスタ!$B$6:$B$1005,0)),"")</f>
        <v/>
      </c>
      <c r="N582" s="71" t="str">
        <f aca="false">IF($K582="","",N($K582)*N($M582))</f>
        <v/>
      </c>
      <c r="O582" s="66" t="str">
        <f aca="false">IFERROR(INDEX(商品マスタ!$H$6:$H$1005,MATCH($F582,商品マスタ!$B$6:$B$1005,0)),"")</f>
        <v/>
      </c>
      <c r="P582" s="87" t="str">
        <f aca="false">IF(OR($E582="",$O582=""),"",WORKDAY($E582,$O582))</f>
        <v/>
      </c>
      <c r="Q582" s="80"/>
      <c r="R582" s="131"/>
      <c r="S582" s="69" t="n">
        <f aca="false">IF($Q582="入荷済み",N($L582),0)</f>
        <v>0</v>
      </c>
      <c r="T582" s="80"/>
      <c r="U582" s="80"/>
    </row>
    <row r="583" customFormat="false" ht="15" hidden="false" customHeight="false" outlineLevel="0" collapsed="false">
      <c r="B583" s="66" t="str">
        <f aca="false">IF(OR($E583="",$F583=""),"","PO-"&amp;TEXT($E583,"yyyymmdd")&amp;"-"&amp;TEXT(COUNTIFS($E$6:$E583,$E583,$C$6:$C583,$C583),"000"))</f>
        <v/>
      </c>
      <c r="C583" s="130"/>
      <c r="D583" s="66" t="str">
        <f aca="false">IFERROR(INDEX(定数マスタ!$C$6:$C$105,MATCH($C583,定数マスタ!$B$6:$B$105,0)),"")</f>
        <v/>
      </c>
      <c r="E583" s="131"/>
      <c r="F583" s="130"/>
      <c r="G583" s="66" t="str">
        <f aca="false">IFERROR(INDEX(商品マスタ!$C$6:$C$1005,MATCH($F583,商品マスタ!$B$6:$B$1005,0)),"")</f>
        <v/>
      </c>
      <c r="H583" s="66" t="str">
        <f aca="false">IFERROR(INDEX(商品マスタ!$E$6:$E$1005,MATCH($F583,商品マスタ!$B$6:$B$1005,0)),"")</f>
        <v/>
      </c>
      <c r="I583" s="69" t="str">
        <f aca="false">IFERROR(INDEX(商品マスタ!$F$6:$F$1005,MATCH($F583,商品マスタ!$B$6:$B$1005,0)),"")</f>
        <v/>
      </c>
      <c r="J583" s="69" t="str">
        <f aca="false">IF(OR($F583="",$C583&lt;&gt;'設定（最初に1回）'!$C$4),"",IFERROR(INDEX(発注計算!$Y$6:$Y$405,MATCH($F583,発注計算!$C$6:$C$405,0)),""))</f>
        <v/>
      </c>
      <c r="K583" s="70"/>
      <c r="L583" s="69" t="str">
        <f aca="false">IF($K583="","",N($K583)*N($I583))</f>
        <v/>
      </c>
      <c r="M583" s="71" t="str">
        <f aca="false">IFERROR(INDEX(商品マスタ!$G$6:$G$1005,MATCH($F583,商品マスタ!$B$6:$B$1005,0)),"")</f>
        <v/>
      </c>
      <c r="N583" s="71" t="str">
        <f aca="false">IF($K583="","",N($K583)*N($M583))</f>
        <v/>
      </c>
      <c r="O583" s="66" t="str">
        <f aca="false">IFERROR(INDEX(商品マスタ!$H$6:$H$1005,MATCH($F583,商品マスタ!$B$6:$B$1005,0)),"")</f>
        <v/>
      </c>
      <c r="P583" s="87" t="str">
        <f aca="false">IF(OR($E583="",$O583=""),"",WORKDAY($E583,$O583))</f>
        <v/>
      </c>
      <c r="Q583" s="80"/>
      <c r="R583" s="131"/>
      <c r="S583" s="69" t="n">
        <f aca="false">IF($Q583="入荷済み",N($L583),0)</f>
        <v>0</v>
      </c>
      <c r="T583" s="80"/>
      <c r="U583" s="80"/>
    </row>
    <row r="584" customFormat="false" ht="15" hidden="false" customHeight="false" outlineLevel="0" collapsed="false">
      <c r="B584" s="66" t="str">
        <f aca="false">IF(OR($E584="",$F584=""),"","PO-"&amp;TEXT($E584,"yyyymmdd")&amp;"-"&amp;TEXT(COUNTIFS($E$6:$E584,$E584,$C$6:$C584,$C584),"000"))</f>
        <v/>
      </c>
      <c r="C584" s="130"/>
      <c r="D584" s="66" t="str">
        <f aca="false">IFERROR(INDEX(定数マスタ!$C$6:$C$105,MATCH($C584,定数マスタ!$B$6:$B$105,0)),"")</f>
        <v/>
      </c>
      <c r="E584" s="131"/>
      <c r="F584" s="130"/>
      <c r="G584" s="66" t="str">
        <f aca="false">IFERROR(INDEX(商品マスタ!$C$6:$C$1005,MATCH($F584,商品マスタ!$B$6:$B$1005,0)),"")</f>
        <v/>
      </c>
      <c r="H584" s="66" t="str">
        <f aca="false">IFERROR(INDEX(商品マスタ!$E$6:$E$1005,MATCH($F584,商品マスタ!$B$6:$B$1005,0)),"")</f>
        <v/>
      </c>
      <c r="I584" s="69" t="str">
        <f aca="false">IFERROR(INDEX(商品マスタ!$F$6:$F$1005,MATCH($F584,商品マスタ!$B$6:$B$1005,0)),"")</f>
        <v/>
      </c>
      <c r="J584" s="69" t="str">
        <f aca="false">IF(OR($F584="",$C584&lt;&gt;'設定（最初に1回）'!$C$4),"",IFERROR(INDEX(発注計算!$Y$6:$Y$405,MATCH($F584,発注計算!$C$6:$C$405,0)),""))</f>
        <v/>
      </c>
      <c r="K584" s="70"/>
      <c r="L584" s="69" t="str">
        <f aca="false">IF($K584="","",N($K584)*N($I584))</f>
        <v/>
      </c>
      <c r="M584" s="71" t="str">
        <f aca="false">IFERROR(INDEX(商品マスタ!$G$6:$G$1005,MATCH($F584,商品マスタ!$B$6:$B$1005,0)),"")</f>
        <v/>
      </c>
      <c r="N584" s="71" t="str">
        <f aca="false">IF($K584="","",N($K584)*N($M584))</f>
        <v/>
      </c>
      <c r="O584" s="66" t="str">
        <f aca="false">IFERROR(INDEX(商品マスタ!$H$6:$H$1005,MATCH($F584,商品マスタ!$B$6:$B$1005,0)),"")</f>
        <v/>
      </c>
      <c r="P584" s="87" t="str">
        <f aca="false">IF(OR($E584="",$O584=""),"",WORKDAY($E584,$O584))</f>
        <v/>
      </c>
      <c r="Q584" s="80"/>
      <c r="R584" s="131"/>
      <c r="S584" s="69" t="n">
        <f aca="false">IF($Q584="入荷済み",N($L584),0)</f>
        <v>0</v>
      </c>
      <c r="T584" s="80"/>
      <c r="U584" s="80"/>
    </row>
    <row r="585" customFormat="false" ht="15" hidden="false" customHeight="false" outlineLevel="0" collapsed="false">
      <c r="B585" s="66" t="str">
        <f aca="false">IF(OR($E585="",$F585=""),"","PO-"&amp;TEXT($E585,"yyyymmdd")&amp;"-"&amp;TEXT(COUNTIFS($E$6:$E585,$E585,$C$6:$C585,$C585),"000"))</f>
        <v/>
      </c>
      <c r="C585" s="130"/>
      <c r="D585" s="66" t="str">
        <f aca="false">IFERROR(INDEX(定数マスタ!$C$6:$C$105,MATCH($C585,定数マスタ!$B$6:$B$105,0)),"")</f>
        <v/>
      </c>
      <c r="E585" s="131"/>
      <c r="F585" s="130"/>
      <c r="G585" s="66" t="str">
        <f aca="false">IFERROR(INDEX(商品マスタ!$C$6:$C$1005,MATCH($F585,商品マスタ!$B$6:$B$1005,0)),"")</f>
        <v/>
      </c>
      <c r="H585" s="66" t="str">
        <f aca="false">IFERROR(INDEX(商品マスタ!$E$6:$E$1005,MATCH($F585,商品マスタ!$B$6:$B$1005,0)),"")</f>
        <v/>
      </c>
      <c r="I585" s="69" t="str">
        <f aca="false">IFERROR(INDEX(商品マスタ!$F$6:$F$1005,MATCH($F585,商品マスタ!$B$6:$B$1005,0)),"")</f>
        <v/>
      </c>
      <c r="J585" s="69" t="str">
        <f aca="false">IF(OR($F585="",$C585&lt;&gt;'設定（最初に1回）'!$C$4),"",IFERROR(INDEX(発注計算!$Y$6:$Y$405,MATCH($F585,発注計算!$C$6:$C$405,0)),""))</f>
        <v/>
      </c>
      <c r="K585" s="70"/>
      <c r="L585" s="69" t="str">
        <f aca="false">IF($K585="","",N($K585)*N($I585))</f>
        <v/>
      </c>
      <c r="M585" s="71" t="str">
        <f aca="false">IFERROR(INDEX(商品マスタ!$G$6:$G$1005,MATCH($F585,商品マスタ!$B$6:$B$1005,0)),"")</f>
        <v/>
      </c>
      <c r="N585" s="71" t="str">
        <f aca="false">IF($K585="","",N($K585)*N($M585))</f>
        <v/>
      </c>
      <c r="O585" s="66" t="str">
        <f aca="false">IFERROR(INDEX(商品マスタ!$H$6:$H$1005,MATCH($F585,商品マスタ!$B$6:$B$1005,0)),"")</f>
        <v/>
      </c>
      <c r="P585" s="87" t="str">
        <f aca="false">IF(OR($E585="",$O585=""),"",WORKDAY($E585,$O585))</f>
        <v/>
      </c>
      <c r="Q585" s="80"/>
      <c r="R585" s="131"/>
      <c r="S585" s="69" t="n">
        <f aca="false">IF($Q585="入荷済み",N($L585),0)</f>
        <v>0</v>
      </c>
      <c r="T585" s="80"/>
      <c r="U585" s="80"/>
    </row>
    <row r="586" customFormat="false" ht="15" hidden="false" customHeight="false" outlineLevel="0" collapsed="false">
      <c r="B586" s="66" t="str">
        <f aca="false">IF(OR($E586="",$F586=""),"","PO-"&amp;TEXT($E586,"yyyymmdd")&amp;"-"&amp;TEXT(COUNTIFS($E$6:$E586,$E586,$C$6:$C586,$C586),"000"))</f>
        <v/>
      </c>
      <c r="C586" s="130"/>
      <c r="D586" s="66" t="str">
        <f aca="false">IFERROR(INDEX(定数マスタ!$C$6:$C$105,MATCH($C586,定数マスタ!$B$6:$B$105,0)),"")</f>
        <v/>
      </c>
      <c r="E586" s="131"/>
      <c r="F586" s="130"/>
      <c r="G586" s="66" t="str">
        <f aca="false">IFERROR(INDEX(商品マスタ!$C$6:$C$1005,MATCH($F586,商品マスタ!$B$6:$B$1005,0)),"")</f>
        <v/>
      </c>
      <c r="H586" s="66" t="str">
        <f aca="false">IFERROR(INDEX(商品マスタ!$E$6:$E$1005,MATCH($F586,商品マスタ!$B$6:$B$1005,0)),"")</f>
        <v/>
      </c>
      <c r="I586" s="69" t="str">
        <f aca="false">IFERROR(INDEX(商品マスタ!$F$6:$F$1005,MATCH($F586,商品マスタ!$B$6:$B$1005,0)),"")</f>
        <v/>
      </c>
      <c r="J586" s="69" t="str">
        <f aca="false">IF(OR($F586="",$C586&lt;&gt;'設定（最初に1回）'!$C$4),"",IFERROR(INDEX(発注計算!$Y$6:$Y$405,MATCH($F586,発注計算!$C$6:$C$405,0)),""))</f>
        <v/>
      </c>
      <c r="K586" s="70"/>
      <c r="L586" s="69" t="str">
        <f aca="false">IF($K586="","",N($K586)*N($I586))</f>
        <v/>
      </c>
      <c r="M586" s="71" t="str">
        <f aca="false">IFERROR(INDEX(商品マスタ!$G$6:$G$1005,MATCH($F586,商品マスタ!$B$6:$B$1005,0)),"")</f>
        <v/>
      </c>
      <c r="N586" s="71" t="str">
        <f aca="false">IF($K586="","",N($K586)*N($M586))</f>
        <v/>
      </c>
      <c r="O586" s="66" t="str">
        <f aca="false">IFERROR(INDEX(商品マスタ!$H$6:$H$1005,MATCH($F586,商品マスタ!$B$6:$B$1005,0)),"")</f>
        <v/>
      </c>
      <c r="P586" s="87" t="str">
        <f aca="false">IF(OR($E586="",$O586=""),"",WORKDAY($E586,$O586))</f>
        <v/>
      </c>
      <c r="Q586" s="80"/>
      <c r="R586" s="131"/>
      <c r="S586" s="69" t="n">
        <f aca="false">IF($Q586="入荷済み",N($L586),0)</f>
        <v>0</v>
      </c>
      <c r="T586" s="80"/>
      <c r="U586" s="80"/>
    </row>
    <row r="587" customFormat="false" ht="15" hidden="false" customHeight="false" outlineLevel="0" collapsed="false">
      <c r="B587" s="66" t="str">
        <f aca="false">IF(OR($E587="",$F587=""),"","PO-"&amp;TEXT($E587,"yyyymmdd")&amp;"-"&amp;TEXT(COUNTIFS($E$6:$E587,$E587,$C$6:$C587,$C587),"000"))</f>
        <v/>
      </c>
      <c r="C587" s="130"/>
      <c r="D587" s="66" t="str">
        <f aca="false">IFERROR(INDEX(定数マスタ!$C$6:$C$105,MATCH($C587,定数マスタ!$B$6:$B$105,0)),"")</f>
        <v/>
      </c>
      <c r="E587" s="131"/>
      <c r="F587" s="130"/>
      <c r="G587" s="66" t="str">
        <f aca="false">IFERROR(INDEX(商品マスタ!$C$6:$C$1005,MATCH($F587,商品マスタ!$B$6:$B$1005,0)),"")</f>
        <v/>
      </c>
      <c r="H587" s="66" t="str">
        <f aca="false">IFERROR(INDEX(商品マスタ!$E$6:$E$1005,MATCH($F587,商品マスタ!$B$6:$B$1005,0)),"")</f>
        <v/>
      </c>
      <c r="I587" s="69" t="str">
        <f aca="false">IFERROR(INDEX(商品マスタ!$F$6:$F$1005,MATCH($F587,商品マスタ!$B$6:$B$1005,0)),"")</f>
        <v/>
      </c>
      <c r="J587" s="69" t="str">
        <f aca="false">IF(OR($F587="",$C587&lt;&gt;'設定（最初に1回）'!$C$4),"",IFERROR(INDEX(発注計算!$Y$6:$Y$405,MATCH($F587,発注計算!$C$6:$C$405,0)),""))</f>
        <v/>
      </c>
      <c r="K587" s="70"/>
      <c r="L587" s="69" t="str">
        <f aca="false">IF($K587="","",N($K587)*N($I587))</f>
        <v/>
      </c>
      <c r="M587" s="71" t="str">
        <f aca="false">IFERROR(INDEX(商品マスタ!$G$6:$G$1005,MATCH($F587,商品マスタ!$B$6:$B$1005,0)),"")</f>
        <v/>
      </c>
      <c r="N587" s="71" t="str">
        <f aca="false">IF($K587="","",N($K587)*N($M587))</f>
        <v/>
      </c>
      <c r="O587" s="66" t="str">
        <f aca="false">IFERROR(INDEX(商品マスタ!$H$6:$H$1005,MATCH($F587,商品マスタ!$B$6:$B$1005,0)),"")</f>
        <v/>
      </c>
      <c r="P587" s="87" t="str">
        <f aca="false">IF(OR($E587="",$O587=""),"",WORKDAY($E587,$O587))</f>
        <v/>
      </c>
      <c r="Q587" s="80"/>
      <c r="R587" s="131"/>
      <c r="S587" s="69" t="n">
        <f aca="false">IF($Q587="入荷済み",N($L587),0)</f>
        <v>0</v>
      </c>
      <c r="T587" s="80"/>
      <c r="U587" s="80"/>
    </row>
    <row r="588" customFormat="false" ht="15" hidden="false" customHeight="false" outlineLevel="0" collapsed="false">
      <c r="B588" s="66" t="str">
        <f aca="false">IF(OR($E588="",$F588=""),"","PO-"&amp;TEXT($E588,"yyyymmdd")&amp;"-"&amp;TEXT(COUNTIFS($E$6:$E588,$E588,$C$6:$C588,$C588),"000"))</f>
        <v/>
      </c>
      <c r="C588" s="130"/>
      <c r="D588" s="66" t="str">
        <f aca="false">IFERROR(INDEX(定数マスタ!$C$6:$C$105,MATCH($C588,定数マスタ!$B$6:$B$105,0)),"")</f>
        <v/>
      </c>
      <c r="E588" s="131"/>
      <c r="F588" s="130"/>
      <c r="G588" s="66" t="str">
        <f aca="false">IFERROR(INDEX(商品マスタ!$C$6:$C$1005,MATCH($F588,商品マスタ!$B$6:$B$1005,0)),"")</f>
        <v/>
      </c>
      <c r="H588" s="66" t="str">
        <f aca="false">IFERROR(INDEX(商品マスタ!$E$6:$E$1005,MATCH($F588,商品マスタ!$B$6:$B$1005,0)),"")</f>
        <v/>
      </c>
      <c r="I588" s="69" t="str">
        <f aca="false">IFERROR(INDEX(商品マスタ!$F$6:$F$1005,MATCH($F588,商品マスタ!$B$6:$B$1005,0)),"")</f>
        <v/>
      </c>
      <c r="J588" s="69" t="str">
        <f aca="false">IF(OR($F588="",$C588&lt;&gt;'設定（最初に1回）'!$C$4),"",IFERROR(INDEX(発注計算!$Y$6:$Y$405,MATCH($F588,発注計算!$C$6:$C$405,0)),""))</f>
        <v/>
      </c>
      <c r="K588" s="70"/>
      <c r="L588" s="69" t="str">
        <f aca="false">IF($K588="","",N($K588)*N($I588))</f>
        <v/>
      </c>
      <c r="M588" s="71" t="str">
        <f aca="false">IFERROR(INDEX(商品マスタ!$G$6:$G$1005,MATCH($F588,商品マスタ!$B$6:$B$1005,0)),"")</f>
        <v/>
      </c>
      <c r="N588" s="71" t="str">
        <f aca="false">IF($K588="","",N($K588)*N($M588))</f>
        <v/>
      </c>
      <c r="O588" s="66" t="str">
        <f aca="false">IFERROR(INDEX(商品マスタ!$H$6:$H$1005,MATCH($F588,商品マスタ!$B$6:$B$1005,0)),"")</f>
        <v/>
      </c>
      <c r="P588" s="87" t="str">
        <f aca="false">IF(OR($E588="",$O588=""),"",WORKDAY($E588,$O588))</f>
        <v/>
      </c>
      <c r="Q588" s="80"/>
      <c r="R588" s="131"/>
      <c r="S588" s="69" t="n">
        <f aca="false">IF($Q588="入荷済み",N($L588),0)</f>
        <v>0</v>
      </c>
      <c r="T588" s="80"/>
      <c r="U588" s="80"/>
    </row>
    <row r="589" customFormat="false" ht="15" hidden="false" customHeight="false" outlineLevel="0" collapsed="false">
      <c r="B589" s="66" t="str">
        <f aca="false">IF(OR($E589="",$F589=""),"","PO-"&amp;TEXT($E589,"yyyymmdd")&amp;"-"&amp;TEXT(COUNTIFS($E$6:$E589,$E589,$C$6:$C589,$C589),"000"))</f>
        <v/>
      </c>
      <c r="C589" s="130"/>
      <c r="D589" s="66" t="str">
        <f aca="false">IFERROR(INDEX(定数マスタ!$C$6:$C$105,MATCH($C589,定数マスタ!$B$6:$B$105,0)),"")</f>
        <v/>
      </c>
      <c r="E589" s="131"/>
      <c r="F589" s="130"/>
      <c r="G589" s="66" t="str">
        <f aca="false">IFERROR(INDEX(商品マスタ!$C$6:$C$1005,MATCH($F589,商品マスタ!$B$6:$B$1005,0)),"")</f>
        <v/>
      </c>
      <c r="H589" s="66" t="str">
        <f aca="false">IFERROR(INDEX(商品マスタ!$E$6:$E$1005,MATCH($F589,商品マスタ!$B$6:$B$1005,0)),"")</f>
        <v/>
      </c>
      <c r="I589" s="69" t="str">
        <f aca="false">IFERROR(INDEX(商品マスタ!$F$6:$F$1005,MATCH($F589,商品マスタ!$B$6:$B$1005,0)),"")</f>
        <v/>
      </c>
      <c r="J589" s="69" t="str">
        <f aca="false">IF(OR($F589="",$C589&lt;&gt;'設定（最初に1回）'!$C$4),"",IFERROR(INDEX(発注計算!$Y$6:$Y$405,MATCH($F589,発注計算!$C$6:$C$405,0)),""))</f>
        <v/>
      </c>
      <c r="K589" s="70"/>
      <c r="L589" s="69" t="str">
        <f aca="false">IF($K589="","",N($K589)*N($I589))</f>
        <v/>
      </c>
      <c r="M589" s="71" t="str">
        <f aca="false">IFERROR(INDEX(商品マスタ!$G$6:$G$1005,MATCH($F589,商品マスタ!$B$6:$B$1005,0)),"")</f>
        <v/>
      </c>
      <c r="N589" s="71" t="str">
        <f aca="false">IF($K589="","",N($K589)*N($M589))</f>
        <v/>
      </c>
      <c r="O589" s="66" t="str">
        <f aca="false">IFERROR(INDEX(商品マスタ!$H$6:$H$1005,MATCH($F589,商品マスタ!$B$6:$B$1005,0)),"")</f>
        <v/>
      </c>
      <c r="P589" s="87" t="str">
        <f aca="false">IF(OR($E589="",$O589=""),"",WORKDAY($E589,$O589))</f>
        <v/>
      </c>
      <c r="Q589" s="80"/>
      <c r="R589" s="131"/>
      <c r="S589" s="69" t="n">
        <f aca="false">IF($Q589="入荷済み",N($L589),0)</f>
        <v>0</v>
      </c>
      <c r="T589" s="80"/>
      <c r="U589" s="80"/>
    </row>
    <row r="590" customFormat="false" ht="15" hidden="false" customHeight="false" outlineLevel="0" collapsed="false">
      <c r="B590" s="66" t="str">
        <f aca="false">IF(OR($E590="",$F590=""),"","PO-"&amp;TEXT($E590,"yyyymmdd")&amp;"-"&amp;TEXT(COUNTIFS($E$6:$E590,$E590,$C$6:$C590,$C590),"000"))</f>
        <v/>
      </c>
      <c r="C590" s="130"/>
      <c r="D590" s="66" t="str">
        <f aca="false">IFERROR(INDEX(定数マスタ!$C$6:$C$105,MATCH($C590,定数マスタ!$B$6:$B$105,0)),"")</f>
        <v/>
      </c>
      <c r="E590" s="131"/>
      <c r="F590" s="130"/>
      <c r="G590" s="66" t="str">
        <f aca="false">IFERROR(INDEX(商品マスタ!$C$6:$C$1005,MATCH($F590,商品マスタ!$B$6:$B$1005,0)),"")</f>
        <v/>
      </c>
      <c r="H590" s="66" t="str">
        <f aca="false">IFERROR(INDEX(商品マスタ!$E$6:$E$1005,MATCH($F590,商品マスタ!$B$6:$B$1005,0)),"")</f>
        <v/>
      </c>
      <c r="I590" s="69" t="str">
        <f aca="false">IFERROR(INDEX(商品マスタ!$F$6:$F$1005,MATCH($F590,商品マスタ!$B$6:$B$1005,0)),"")</f>
        <v/>
      </c>
      <c r="J590" s="69" t="str">
        <f aca="false">IF(OR($F590="",$C590&lt;&gt;'設定（最初に1回）'!$C$4),"",IFERROR(INDEX(発注計算!$Y$6:$Y$405,MATCH($F590,発注計算!$C$6:$C$405,0)),""))</f>
        <v/>
      </c>
      <c r="K590" s="70"/>
      <c r="L590" s="69" t="str">
        <f aca="false">IF($K590="","",N($K590)*N($I590))</f>
        <v/>
      </c>
      <c r="M590" s="71" t="str">
        <f aca="false">IFERROR(INDEX(商品マスタ!$G$6:$G$1005,MATCH($F590,商品マスタ!$B$6:$B$1005,0)),"")</f>
        <v/>
      </c>
      <c r="N590" s="71" t="str">
        <f aca="false">IF($K590="","",N($K590)*N($M590))</f>
        <v/>
      </c>
      <c r="O590" s="66" t="str">
        <f aca="false">IFERROR(INDEX(商品マスタ!$H$6:$H$1005,MATCH($F590,商品マスタ!$B$6:$B$1005,0)),"")</f>
        <v/>
      </c>
      <c r="P590" s="87" t="str">
        <f aca="false">IF(OR($E590="",$O590=""),"",WORKDAY($E590,$O590))</f>
        <v/>
      </c>
      <c r="Q590" s="80"/>
      <c r="R590" s="131"/>
      <c r="S590" s="69" t="n">
        <f aca="false">IF($Q590="入荷済み",N($L590),0)</f>
        <v>0</v>
      </c>
      <c r="T590" s="80"/>
      <c r="U590" s="80"/>
    </row>
    <row r="591" customFormat="false" ht="15" hidden="false" customHeight="false" outlineLevel="0" collapsed="false">
      <c r="B591" s="66" t="str">
        <f aca="false">IF(OR($E591="",$F591=""),"","PO-"&amp;TEXT($E591,"yyyymmdd")&amp;"-"&amp;TEXT(COUNTIFS($E$6:$E591,$E591,$C$6:$C591,$C591),"000"))</f>
        <v/>
      </c>
      <c r="C591" s="130"/>
      <c r="D591" s="66" t="str">
        <f aca="false">IFERROR(INDEX(定数マスタ!$C$6:$C$105,MATCH($C591,定数マスタ!$B$6:$B$105,0)),"")</f>
        <v/>
      </c>
      <c r="E591" s="131"/>
      <c r="F591" s="130"/>
      <c r="G591" s="66" t="str">
        <f aca="false">IFERROR(INDEX(商品マスタ!$C$6:$C$1005,MATCH($F591,商品マスタ!$B$6:$B$1005,0)),"")</f>
        <v/>
      </c>
      <c r="H591" s="66" t="str">
        <f aca="false">IFERROR(INDEX(商品マスタ!$E$6:$E$1005,MATCH($F591,商品マスタ!$B$6:$B$1005,0)),"")</f>
        <v/>
      </c>
      <c r="I591" s="69" t="str">
        <f aca="false">IFERROR(INDEX(商品マスタ!$F$6:$F$1005,MATCH($F591,商品マスタ!$B$6:$B$1005,0)),"")</f>
        <v/>
      </c>
      <c r="J591" s="69" t="str">
        <f aca="false">IF(OR($F591="",$C591&lt;&gt;'設定（最初に1回）'!$C$4),"",IFERROR(INDEX(発注計算!$Y$6:$Y$405,MATCH($F591,発注計算!$C$6:$C$405,0)),""))</f>
        <v/>
      </c>
      <c r="K591" s="70"/>
      <c r="L591" s="69" t="str">
        <f aca="false">IF($K591="","",N($K591)*N($I591))</f>
        <v/>
      </c>
      <c r="M591" s="71" t="str">
        <f aca="false">IFERROR(INDEX(商品マスタ!$G$6:$G$1005,MATCH($F591,商品マスタ!$B$6:$B$1005,0)),"")</f>
        <v/>
      </c>
      <c r="N591" s="71" t="str">
        <f aca="false">IF($K591="","",N($K591)*N($M591))</f>
        <v/>
      </c>
      <c r="O591" s="66" t="str">
        <f aca="false">IFERROR(INDEX(商品マスタ!$H$6:$H$1005,MATCH($F591,商品マスタ!$B$6:$B$1005,0)),"")</f>
        <v/>
      </c>
      <c r="P591" s="87" t="str">
        <f aca="false">IF(OR($E591="",$O591=""),"",WORKDAY($E591,$O591))</f>
        <v/>
      </c>
      <c r="Q591" s="80"/>
      <c r="R591" s="131"/>
      <c r="S591" s="69" t="n">
        <f aca="false">IF($Q591="入荷済み",N($L591),0)</f>
        <v>0</v>
      </c>
      <c r="T591" s="80"/>
      <c r="U591" s="80"/>
    </row>
    <row r="592" customFormat="false" ht="15" hidden="false" customHeight="false" outlineLevel="0" collapsed="false">
      <c r="B592" s="66" t="str">
        <f aca="false">IF(OR($E592="",$F592=""),"","PO-"&amp;TEXT($E592,"yyyymmdd")&amp;"-"&amp;TEXT(COUNTIFS($E$6:$E592,$E592,$C$6:$C592,$C592),"000"))</f>
        <v/>
      </c>
      <c r="C592" s="130"/>
      <c r="D592" s="66" t="str">
        <f aca="false">IFERROR(INDEX(定数マスタ!$C$6:$C$105,MATCH($C592,定数マスタ!$B$6:$B$105,0)),"")</f>
        <v/>
      </c>
      <c r="E592" s="131"/>
      <c r="F592" s="130"/>
      <c r="G592" s="66" t="str">
        <f aca="false">IFERROR(INDEX(商品マスタ!$C$6:$C$1005,MATCH($F592,商品マスタ!$B$6:$B$1005,0)),"")</f>
        <v/>
      </c>
      <c r="H592" s="66" t="str">
        <f aca="false">IFERROR(INDEX(商品マスタ!$E$6:$E$1005,MATCH($F592,商品マスタ!$B$6:$B$1005,0)),"")</f>
        <v/>
      </c>
      <c r="I592" s="69" t="str">
        <f aca="false">IFERROR(INDEX(商品マスタ!$F$6:$F$1005,MATCH($F592,商品マスタ!$B$6:$B$1005,0)),"")</f>
        <v/>
      </c>
      <c r="J592" s="69" t="str">
        <f aca="false">IF(OR($F592="",$C592&lt;&gt;'設定（最初に1回）'!$C$4),"",IFERROR(INDEX(発注計算!$Y$6:$Y$405,MATCH($F592,発注計算!$C$6:$C$405,0)),""))</f>
        <v/>
      </c>
      <c r="K592" s="70"/>
      <c r="L592" s="69" t="str">
        <f aca="false">IF($K592="","",N($K592)*N($I592))</f>
        <v/>
      </c>
      <c r="M592" s="71" t="str">
        <f aca="false">IFERROR(INDEX(商品マスタ!$G$6:$G$1005,MATCH($F592,商品マスタ!$B$6:$B$1005,0)),"")</f>
        <v/>
      </c>
      <c r="N592" s="71" t="str">
        <f aca="false">IF($K592="","",N($K592)*N($M592))</f>
        <v/>
      </c>
      <c r="O592" s="66" t="str">
        <f aca="false">IFERROR(INDEX(商品マスタ!$H$6:$H$1005,MATCH($F592,商品マスタ!$B$6:$B$1005,0)),"")</f>
        <v/>
      </c>
      <c r="P592" s="87" t="str">
        <f aca="false">IF(OR($E592="",$O592=""),"",WORKDAY($E592,$O592))</f>
        <v/>
      </c>
      <c r="Q592" s="80"/>
      <c r="R592" s="131"/>
      <c r="S592" s="69" t="n">
        <f aca="false">IF($Q592="入荷済み",N($L592),0)</f>
        <v>0</v>
      </c>
      <c r="T592" s="80"/>
      <c r="U592" s="80"/>
    </row>
    <row r="593" customFormat="false" ht="15" hidden="false" customHeight="false" outlineLevel="0" collapsed="false">
      <c r="B593" s="66" t="str">
        <f aca="false">IF(OR($E593="",$F593=""),"","PO-"&amp;TEXT($E593,"yyyymmdd")&amp;"-"&amp;TEXT(COUNTIFS($E$6:$E593,$E593,$C$6:$C593,$C593),"000"))</f>
        <v/>
      </c>
      <c r="C593" s="130"/>
      <c r="D593" s="66" t="str">
        <f aca="false">IFERROR(INDEX(定数マスタ!$C$6:$C$105,MATCH($C593,定数マスタ!$B$6:$B$105,0)),"")</f>
        <v/>
      </c>
      <c r="E593" s="131"/>
      <c r="F593" s="130"/>
      <c r="G593" s="66" t="str">
        <f aca="false">IFERROR(INDEX(商品マスタ!$C$6:$C$1005,MATCH($F593,商品マスタ!$B$6:$B$1005,0)),"")</f>
        <v/>
      </c>
      <c r="H593" s="66" t="str">
        <f aca="false">IFERROR(INDEX(商品マスタ!$E$6:$E$1005,MATCH($F593,商品マスタ!$B$6:$B$1005,0)),"")</f>
        <v/>
      </c>
      <c r="I593" s="69" t="str">
        <f aca="false">IFERROR(INDEX(商品マスタ!$F$6:$F$1005,MATCH($F593,商品マスタ!$B$6:$B$1005,0)),"")</f>
        <v/>
      </c>
      <c r="J593" s="69" t="str">
        <f aca="false">IF(OR($F593="",$C593&lt;&gt;'設定（最初に1回）'!$C$4),"",IFERROR(INDEX(発注計算!$Y$6:$Y$405,MATCH($F593,発注計算!$C$6:$C$405,0)),""))</f>
        <v/>
      </c>
      <c r="K593" s="70"/>
      <c r="L593" s="69" t="str">
        <f aca="false">IF($K593="","",N($K593)*N($I593))</f>
        <v/>
      </c>
      <c r="M593" s="71" t="str">
        <f aca="false">IFERROR(INDEX(商品マスタ!$G$6:$G$1005,MATCH($F593,商品マスタ!$B$6:$B$1005,0)),"")</f>
        <v/>
      </c>
      <c r="N593" s="71" t="str">
        <f aca="false">IF($K593="","",N($K593)*N($M593))</f>
        <v/>
      </c>
      <c r="O593" s="66" t="str">
        <f aca="false">IFERROR(INDEX(商品マスタ!$H$6:$H$1005,MATCH($F593,商品マスタ!$B$6:$B$1005,0)),"")</f>
        <v/>
      </c>
      <c r="P593" s="87" t="str">
        <f aca="false">IF(OR($E593="",$O593=""),"",WORKDAY($E593,$O593))</f>
        <v/>
      </c>
      <c r="Q593" s="80"/>
      <c r="R593" s="131"/>
      <c r="S593" s="69" t="n">
        <f aca="false">IF($Q593="入荷済み",N($L593),0)</f>
        <v>0</v>
      </c>
      <c r="T593" s="80"/>
      <c r="U593" s="80"/>
    </row>
    <row r="594" customFormat="false" ht="15" hidden="false" customHeight="false" outlineLevel="0" collapsed="false">
      <c r="B594" s="66" t="str">
        <f aca="false">IF(OR($E594="",$F594=""),"","PO-"&amp;TEXT($E594,"yyyymmdd")&amp;"-"&amp;TEXT(COUNTIFS($E$6:$E594,$E594,$C$6:$C594,$C594),"000"))</f>
        <v/>
      </c>
      <c r="C594" s="130"/>
      <c r="D594" s="66" t="str">
        <f aca="false">IFERROR(INDEX(定数マスタ!$C$6:$C$105,MATCH($C594,定数マスタ!$B$6:$B$105,0)),"")</f>
        <v/>
      </c>
      <c r="E594" s="131"/>
      <c r="F594" s="130"/>
      <c r="G594" s="66" t="str">
        <f aca="false">IFERROR(INDEX(商品マスタ!$C$6:$C$1005,MATCH($F594,商品マスタ!$B$6:$B$1005,0)),"")</f>
        <v/>
      </c>
      <c r="H594" s="66" t="str">
        <f aca="false">IFERROR(INDEX(商品マスタ!$E$6:$E$1005,MATCH($F594,商品マスタ!$B$6:$B$1005,0)),"")</f>
        <v/>
      </c>
      <c r="I594" s="69" t="str">
        <f aca="false">IFERROR(INDEX(商品マスタ!$F$6:$F$1005,MATCH($F594,商品マスタ!$B$6:$B$1005,0)),"")</f>
        <v/>
      </c>
      <c r="J594" s="69" t="str">
        <f aca="false">IF(OR($F594="",$C594&lt;&gt;'設定（最初に1回）'!$C$4),"",IFERROR(INDEX(発注計算!$Y$6:$Y$405,MATCH($F594,発注計算!$C$6:$C$405,0)),""))</f>
        <v/>
      </c>
      <c r="K594" s="70"/>
      <c r="L594" s="69" t="str">
        <f aca="false">IF($K594="","",N($K594)*N($I594))</f>
        <v/>
      </c>
      <c r="M594" s="71" t="str">
        <f aca="false">IFERROR(INDEX(商品マスタ!$G$6:$G$1005,MATCH($F594,商品マスタ!$B$6:$B$1005,0)),"")</f>
        <v/>
      </c>
      <c r="N594" s="71" t="str">
        <f aca="false">IF($K594="","",N($K594)*N($M594))</f>
        <v/>
      </c>
      <c r="O594" s="66" t="str">
        <f aca="false">IFERROR(INDEX(商品マスタ!$H$6:$H$1005,MATCH($F594,商品マスタ!$B$6:$B$1005,0)),"")</f>
        <v/>
      </c>
      <c r="P594" s="87" t="str">
        <f aca="false">IF(OR($E594="",$O594=""),"",WORKDAY($E594,$O594))</f>
        <v/>
      </c>
      <c r="Q594" s="80"/>
      <c r="R594" s="131"/>
      <c r="S594" s="69" t="n">
        <f aca="false">IF($Q594="入荷済み",N($L594),0)</f>
        <v>0</v>
      </c>
      <c r="T594" s="80"/>
      <c r="U594" s="80"/>
    </row>
    <row r="595" customFormat="false" ht="15" hidden="false" customHeight="false" outlineLevel="0" collapsed="false">
      <c r="B595" s="66" t="str">
        <f aca="false">IF(OR($E595="",$F595=""),"","PO-"&amp;TEXT($E595,"yyyymmdd")&amp;"-"&amp;TEXT(COUNTIFS($E$6:$E595,$E595,$C$6:$C595,$C595),"000"))</f>
        <v/>
      </c>
      <c r="C595" s="130"/>
      <c r="D595" s="66" t="str">
        <f aca="false">IFERROR(INDEX(定数マスタ!$C$6:$C$105,MATCH($C595,定数マスタ!$B$6:$B$105,0)),"")</f>
        <v/>
      </c>
      <c r="E595" s="131"/>
      <c r="F595" s="130"/>
      <c r="G595" s="66" t="str">
        <f aca="false">IFERROR(INDEX(商品マスタ!$C$6:$C$1005,MATCH($F595,商品マスタ!$B$6:$B$1005,0)),"")</f>
        <v/>
      </c>
      <c r="H595" s="66" t="str">
        <f aca="false">IFERROR(INDEX(商品マスタ!$E$6:$E$1005,MATCH($F595,商品マスタ!$B$6:$B$1005,0)),"")</f>
        <v/>
      </c>
      <c r="I595" s="69" t="str">
        <f aca="false">IFERROR(INDEX(商品マスタ!$F$6:$F$1005,MATCH($F595,商品マスタ!$B$6:$B$1005,0)),"")</f>
        <v/>
      </c>
      <c r="J595" s="69" t="str">
        <f aca="false">IF(OR($F595="",$C595&lt;&gt;'設定（最初に1回）'!$C$4),"",IFERROR(INDEX(発注計算!$Y$6:$Y$405,MATCH($F595,発注計算!$C$6:$C$405,0)),""))</f>
        <v/>
      </c>
      <c r="K595" s="70"/>
      <c r="L595" s="69" t="str">
        <f aca="false">IF($K595="","",N($K595)*N($I595))</f>
        <v/>
      </c>
      <c r="M595" s="71" t="str">
        <f aca="false">IFERROR(INDEX(商品マスタ!$G$6:$G$1005,MATCH($F595,商品マスタ!$B$6:$B$1005,0)),"")</f>
        <v/>
      </c>
      <c r="N595" s="71" t="str">
        <f aca="false">IF($K595="","",N($K595)*N($M595))</f>
        <v/>
      </c>
      <c r="O595" s="66" t="str">
        <f aca="false">IFERROR(INDEX(商品マスタ!$H$6:$H$1005,MATCH($F595,商品マスタ!$B$6:$B$1005,0)),"")</f>
        <v/>
      </c>
      <c r="P595" s="87" t="str">
        <f aca="false">IF(OR($E595="",$O595=""),"",WORKDAY($E595,$O595))</f>
        <v/>
      </c>
      <c r="Q595" s="80"/>
      <c r="R595" s="131"/>
      <c r="S595" s="69" t="n">
        <f aca="false">IF($Q595="入荷済み",N($L595),0)</f>
        <v>0</v>
      </c>
      <c r="T595" s="80"/>
      <c r="U595" s="80"/>
    </row>
    <row r="596" customFormat="false" ht="15" hidden="false" customHeight="false" outlineLevel="0" collapsed="false">
      <c r="B596" s="66" t="str">
        <f aca="false">IF(OR($E596="",$F596=""),"","PO-"&amp;TEXT($E596,"yyyymmdd")&amp;"-"&amp;TEXT(COUNTIFS($E$6:$E596,$E596,$C$6:$C596,$C596),"000"))</f>
        <v/>
      </c>
      <c r="C596" s="130"/>
      <c r="D596" s="66" t="str">
        <f aca="false">IFERROR(INDEX(定数マスタ!$C$6:$C$105,MATCH($C596,定数マスタ!$B$6:$B$105,0)),"")</f>
        <v/>
      </c>
      <c r="E596" s="131"/>
      <c r="F596" s="130"/>
      <c r="G596" s="66" t="str">
        <f aca="false">IFERROR(INDEX(商品マスタ!$C$6:$C$1005,MATCH($F596,商品マスタ!$B$6:$B$1005,0)),"")</f>
        <v/>
      </c>
      <c r="H596" s="66" t="str">
        <f aca="false">IFERROR(INDEX(商品マスタ!$E$6:$E$1005,MATCH($F596,商品マスタ!$B$6:$B$1005,0)),"")</f>
        <v/>
      </c>
      <c r="I596" s="69" t="str">
        <f aca="false">IFERROR(INDEX(商品マスタ!$F$6:$F$1005,MATCH($F596,商品マスタ!$B$6:$B$1005,0)),"")</f>
        <v/>
      </c>
      <c r="J596" s="69" t="str">
        <f aca="false">IF(OR($F596="",$C596&lt;&gt;'設定（最初に1回）'!$C$4),"",IFERROR(INDEX(発注計算!$Y$6:$Y$405,MATCH($F596,発注計算!$C$6:$C$405,0)),""))</f>
        <v/>
      </c>
      <c r="K596" s="70"/>
      <c r="L596" s="69" t="str">
        <f aca="false">IF($K596="","",N($K596)*N($I596))</f>
        <v/>
      </c>
      <c r="M596" s="71" t="str">
        <f aca="false">IFERROR(INDEX(商品マスタ!$G$6:$G$1005,MATCH($F596,商品マスタ!$B$6:$B$1005,0)),"")</f>
        <v/>
      </c>
      <c r="N596" s="71" t="str">
        <f aca="false">IF($K596="","",N($K596)*N($M596))</f>
        <v/>
      </c>
      <c r="O596" s="66" t="str">
        <f aca="false">IFERROR(INDEX(商品マスタ!$H$6:$H$1005,MATCH($F596,商品マスタ!$B$6:$B$1005,0)),"")</f>
        <v/>
      </c>
      <c r="P596" s="87" t="str">
        <f aca="false">IF(OR($E596="",$O596=""),"",WORKDAY($E596,$O596))</f>
        <v/>
      </c>
      <c r="Q596" s="80"/>
      <c r="R596" s="131"/>
      <c r="S596" s="69" t="n">
        <f aca="false">IF($Q596="入荷済み",N($L596),0)</f>
        <v>0</v>
      </c>
      <c r="T596" s="80"/>
      <c r="U596" s="80"/>
    </row>
    <row r="597" customFormat="false" ht="15" hidden="false" customHeight="false" outlineLevel="0" collapsed="false">
      <c r="B597" s="66" t="str">
        <f aca="false">IF(OR($E597="",$F597=""),"","PO-"&amp;TEXT($E597,"yyyymmdd")&amp;"-"&amp;TEXT(COUNTIFS($E$6:$E597,$E597,$C$6:$C597,$C597),"000"))</f>
        <v/>
      </c>
      <c r="C597" s="130"/>
      <c r="D597" s="66" t="str">
        <f aca="false">IFERROR(INDEX(定数マスタ!$C$6:$C$105,MATCH($C597,定数マスタ!$B$6:$B$105,0)),"")</f>
        <v/>
      </c>
      <c r="E597" s="131"/>
      <c r="F597" s="130"/>
      <c r="G597" s="66" t="str">
        <f aca="false">IFERROR(INDEX(商品マスタ!$C$6:$C$1005,MATCH($F597,商品マスタ!$B$6:$B$1005,0)),"")</f>
        <v/>
      </c>
      <c r="H597" s="66" t="str">
        <f aca="false">IFERROR(INDEX(商品マスタ!$E$6:$E$1005,MATCH($F597,商品マスタ!$B$6:$B$1005,0)),"")</f>
        <v/>
      </c>
      <c r="I597" s="69" t="str">
        <f aca="false">IFERROR(INDEX(商品マスタ!$F$6:$F$1005,MATCH($F597,商品マスタ!$B$6:$B$1005,0)),"")</f>
        <v/>
      </c>
      <c r="J597" s="69" t="str">
        <f aca="false">IF(OR($F597="",$C597&lt;&gt;'設定（最初に1回）'!$C$4),"",IFERROR(INDEX(発注計算!$Y$6:$Y$405,MATCH($F597,発注計算!$C$6:$C$405,0)),""))</f>
        <v/>
      </c>
      <c r="K597" s="70"/>
      <c r="L597" s="69" t="str">
        <f aca="false">IF($K597="","",N($K597)*N($I597))</f>
        <v/>
      </c>
      <c r="M597" s="71" t="str">
        <f aca="false">IFERROR(INDEX(商品マスタ!$G$6:$G$1005,MATCH($F597,商品マスタ!$B$6:$B$1005,0)),"")</f>
        <v/>
      </c>
      <c r="N597" s="71" t="str">
        <f aca="false">IF($K597="","",N($K597)*N($M597))</f>
        <v/>
      </c>
      <c r="O597" s="66" t="str">
        <f aca="false">IFERROR(INDEX(商品マスタ!$H$6:$H$1005,MATCH($F597,商品マスタ!$B$6:$B$1005,0)),"")</f>
        <v/>
      </c>
      <c r="P597" s="87" t="str">
        <f aca="false">IF(OR($E597="",$O597=""),"",WORKDAY($E597,$O597))</f>
        <v/>
      </c>
      <c r="Q597" s="80"/>
      <c r="R597" s="131"/>
      <c r="S597" s="69" t="n">
        <f aca="false">IF($Q597="入荷済み",N($L597),0)</f>
        <v>0</v>
      </c>
      <c r="T597" s="80"/>
      <c r="U597" s="80"/>
    </row>
    <row r="598" customFormat="false" ht="15" hidden="false" customHeight="false" outlineLevel="0" collapsed="false">
      <c r="B598" s="66" t="str">
        <f aca="false">IF(OR($E598="",$F598=""),"","PO-"&amp;TEXT($E598,"yyyymmdd")&amp;"-"&amp;TEXT(COUNTIFS($E$6:$E598,$E598,$C$6:$C598,$C598),"000"))</f>
        <v/>
      </c>
      <c r="C598" s="130"/>
      <c r="D598" s="66" t="str">
        <f aca="false">IFERROR(INDEX(定数マスタ!$C$6:$C$105,MATCH($C598,定数マスタ!$B$6:$B$105,0)),"")</f>
        <v/>
      </c>
      <c r="E598" s="131"/>
      <c r="F598" s="130"/>
      <c r="G598" s="66" t="str">
        <f aca="false">IFERROR(INDEX(商品マスタ!$C$6:$C$1005,MATCH($F598,商品マスタ!$B$6:$B$1005,0)),"")</f>
        <v/>
      </c>
      <c r="H598" s="66" t="str">
        <f aca="false">IFERROR(INDEX(商品マスタ!$E$6:$E$1005,MATCH($F598,商品マスタ!$B$6:$B$1005,0)),"")</f>
        <v/>
      </c>
      <c r="I598" s="69" t="str">
        <f aca="false">IFERROR(INDEX(商品マスタ!$F$6:$F$1005,MATCH($F598,商品マスタ!$B$6:$B$1005,0)),"")</f>
        <v/>
      </c>
      <c r="J598" s="69" t="str">
        <f aca="false">IF(OR($F598="",$C598&lt;&gt;'設定（最初に1回）'!$C$4),"",IFERROR(INDEX(発注計算!$Y$6:$Y$405,MATCH($F598,発注計算!$C$6:$C$405,0)),""))</f>
        <v/>
      </c>
      <c r="K598" s="70"/>
      <c r="L598" s="69" t="str">
        <f aca="false">IF($K598="","",N($K598)*N($I598))</f>
        <v/>
      </c>
      <c r="M598" s="71" t="str">
        <f aca="false">IFERROR(INDEX(商品マスタ!$G$6:$G$1005,MATCH($F598,商品マスタ!$B$6:$B$1005,0)),"")</f>
        <v/>
      </c>
      <c r="N598" s="71" t="str">
        <f aca="false">IF($K598="","",N($K598)*N($M598))</f>
        <v/>
      </c>
      <c r="O598" s="66" t="str">
        <f aca="false">IFERROR(INDEX(商品マスタ!$H$6:$H$1005,MATCH($F598,商品マスタ!$B$6:$B$1005,0)),"")</f>
        <v/>
      </c>
      <c r="P598" s="87" t="str">
        <f aca="false">IF(OR($E598="",$O598=""),"",WORKDAY($E598,$O598))</f>
        <v/>
      </c>
      <c r="Q598" s="80"/>
      <c r="R598" s="131"/>
      <c r="S598" s="69" t="n">
        <f aca="false">IF($Q598="入荷済み",N($L598),0)</f>
        <v>0</v>
      </c>
      <c r="T598" s="80"/>
      <c r="U598" s="80"/>
    </row>
    <row r="599" customFormat="false" ht="15" hidden="false" customHeight="false" outlineLevel="0" collapsed="false">
      <c r="B599" s="66" t="str">
        <f aca="false">IF(OR($E599="",$F599=""),"","PO-"&amp;TEXT($E599,"yyyymmdd")&amp;"-"&amp;TEXT(COUNTIFS($E$6:$E599,$E599,$C$6:$C599,$C599),"000"))</f>
        <v/>
      </c>
      <c r="C599" s="130"/>
      <c r="D599" s="66" t="str">
        <f aca="false">IFERROR(INDEX(定数マスタ!$C$6:$C$105,MATCH($C599,定数マスタ!$B$6:$B$105,0)),"")</f>
        <v/>
      </c>
      <c r="E599" s="131"/>
      <c r="F599" s="130"/>
      <c r="G599" s="66" t="str">
        <f aca="false">IFERROR(INDEX(商品マスタ!$C$6:$C$1005,MATCH($F599,商品マスタ!$B$6:$B$1005,0)),"")</f>
        <v/>
      </c>
      <c r="H599" s="66" t="str">
        <f aca="false">IFERROR(INDEX(商品マスタ!$E$6:$E$1005,MATCH($F599,商品マスタ!$B$6:$B$1005,0)),"")</f>
        <v/>
      </c>
      <c r="I599" s="69" t="str">
        <f aca="false">IFERROR(INDEX(商品マスタ!$F$6:$F$1005,MATCH($F599,商品マスタ!$B$6:$B$1005,0)),"")</f>
        <v/>
      </c>
      <c r="J599" s="69" t="str">
        <f aca="false">IF(OR($F599="",$C599&lt;&gt;'設定（最初に1回）'!$C$4),"",IFERROR(INDEX(発注計算!$Y$6:$Y$405,MATCH($F599,発注計算!$C$6:$C$405,0)),""))</f>
        <v/>
      </c>
      <c r="K599" s="70"/>
      <c r="L599" s="69" t="str">
        <f aca="false">IF($K599="","",N($K599)*N($I599))</f>
        <v/>
      </c>
      <c r="M599" s="71" t="str">
        <f aca="false">IFERROR(INDEX(商品マスタ!$G$6:$G$1005,MATCH($F599,商品マスタ!$B$6:$B$1005,0)),"")</f>
        <v/>
      </c>
      <c r="N599" s="71" t="str">
        <f aca="false">IF($K599="","",N($K599)*N($M599))</f>
        <v/>
      </c>
      <c r="O599" s="66" t="str">
        <f aca="false">IFERROR(INDEX(商品マスタ!$H$6:$H$1005,MATCH($F599,商品マスタ!$B$6:$B$1005,0)),"")</f>
        <v/>
      </c>
      <c r="P599" s="87" t="str">
        <f aca="false">IF(OR($E599="",$O599=""),"",WORKDAY($E599,$O599))</f>
        <v/>
      </c>
      <c r="Q599" s="80"/>
      <c r="R599" s="131"/>
      <c r="S599" s="69" t="n">
        <f aca="false">IF($Q599="入荷済み",N($L599),0)</f>
        <v>0</v>
      </c>
      <c r="T599" s="80"/>
      <c r="U599" s="80"/>
    </row>
    <row r="600" customFormat="false" ht="15" hidden="false" customHeight="false" outlineLevel="0" collapsed="false">
      <c r="B600" s="66" t="str">
        <f aca="false">IF(OR($E600="",$F600=""),"","PO-"&amp;TEXT($E600,"yyyymmdd")&amp;"-"&amp;TEXT(COUNTIFS($E$6:$E600,$E600,$C$6:$C600,$C600),"000"))</f>
        <v/>
      </c>
      <c r="C600" s="130"/>
      <c r="D600" s="66" t="str">
        <f aca="false">IFERROR(INDEX(定数マスタ!$C$6:$C$105,MATCH($C600,定数マスタ!$B$6:$B$105,0)),"")</f>
        <v/>
      </c>
      <c r="E600" s="131"/>
      <c r="F600" s="130"/>
      <c r="G600" s="66" t="str">
        <f aca="false">IFERROR(INDEX(商品マスタ!$C$6:$C$1005,MATCH($F600,商品マスタ!$B$6:$B$1005,0)),"")</f>
        <v/>
      </c>
      <c r="H600" s="66" t="str">
        <f aca="false">IFERROR(INDEX(商品マスタ!$E$6:$E$1005,MATCH($F600,商品マスタ!$B$6:$B$1005,0)),"")</f>
        <v/>
      </c>
      <c r="I600" s="69" t="str">
        <f aca="false">IFERROR(INDEX(商品マスタ!$F$6:$F$1005,MATCH($F600,商品マスタ!$B$6:$B$1005,0)),"")</f>
        <v/>
      </c>
      <c r="J600" s="69" t="str">
        <f aca="false">IF(OR($F600="",$C600&lt;&gt;'設定（最初に1回）'!$C$4),"",IFERROR(INDEX(発注計算!$Y$6:$Y$405,MATCH($F600,発注計算!$C$6:$C$405,0)),""))</f>
        <v/>
      </c>
      <c r="K600" s="70"/>
      <c r="L600" s="69" t="str">
        <f aca="false">IF($K600="","",N($K600)*N($I600))</f>
        <v/>
      </c>
      <c r="M600" s="71" t="str">
        <f aca="false">IFERROR(INDEX(商品マスタ!$G$6:$G$1005,MATCH($F600,商品マスタ!$B$6:$B$1005,0)),"")</f>
        <v/>
      </c>
      <c r="N600" s="71" t="str">
        <f aca="false">IF($K600="","",N($K600)*N($M600))</f>
        <v/>
      </c>
      <c r="O600" s="66" t="str">
        <f aca="false">IFERROR(INDEX(商品マスタ!$H$6:$H$1005,MATCH($F600,商品マスタ!$B$6:$B$1005,0)),"")</f>
        <v/>
      </c>
      <c r="P600" s="87" t="str">
        <f aca="false">IF(OR($E600="",$O600=""),"",WORKDAY($E600,$O600))</f>
        <v/>
      </c>
      <c r="Q600" s="80"/>
      <c r="R600" s="131"/>
      <c r="S600" s="69" t="n">
        <f aca="false">IF($Q600="入荷済み",N($L600),0)</f>
        <v>0</v>
      </c>
      <c r="T600" s="80"/>
      <c r="U600" s="80"/>
    </row>
    <row r="601" customFormat="false" ht="15" hidden="false" customHeight="false" outlineLevel="0" collapsed="false">
      <c r="B601" s="66" t="str">
        <f aca="false">IF(OR($E601="",$F601=""),"","PO-"&amp;TEXT($E601,"yyyymmdd")&amp;"-"&amp;TEXT(COUNTIFS($E$6:$E601,$E601,$C$6:$C601,$C601),"000"))</f>
        <v/>
      </c>
      <c r="C601" s="130"/>
      <c r="D601" s="66" t="str">
        <f aca="false">IFERROR(INDEX(定数マスタ!$C$6:$C$105,MATCH($C601,定数マスタ!$B$6:$B$105,0)),"")</f>
        <v/>
      </c>
      <c r="E601" s="131"/>
      <c r="F601" s="130"/>
      <c r="G601" s="66" t="str">
        <f aca="false">IFERROR(INDEX(商品マスタ!$C$6:$C$1005,MATCH($F601,商品マスタ!$B$6:$B$1005,0)),"")</f>
        <v/>
      </c>
      <c r="H601" s="66" t="str">
        <f aca="false">IFERROR(INDEX(商品マスタ!$E$6:$E$1005,MATCH($F601,商品マスタ!$B$6:$B$1005,0)),"")</f>
        <v/>
      </c>
      <c r="I601" s="69" t="str">
        <f aca="false">IFERROR(INDEX(商品マスタ!$F$6:$F$1005,MATCH($F601,商品マスタ!$B$6:$B$1005,0)),"")</f>
        <v/>
      </c>
      <c r="J601" s="69" t="str">
        <f aca="false">IF(OR($F601="",$C601&lt;&gt;'設定（最初に1回）'!$C$4),"",IFERROR(INDEX(発注計算!$Y$6:$Y$405,MATCH($F601,発注計算!$C$6:$C$405,0)),""))</f>
        <v/>
      </c>
      <c r="K601" s="70"/>
      <c r="L601" s="69" t="str">
        <f aca="false">IF($K601="","",N($K601)*N($I601))</f>
        <v/>
      </c>
      <c r="M601" s="71" t="str">
        <f aca="false">IFERROR(INDEX(商品マスタ!$G$6:$G$1005,MATCH($F601,商品マスタ!$B$6:$B$1005,0)),"")</f>
        <v/>
      </c>
      <c r="N601" s="71" t="str">
        <f aca="false">IF($K601="","",N($K601)*N($M601))</f>
        <v/>
      </c>
      <c r="O601" s="66" t="str">
        <f aca="false">IFERROR(INDEX(商品マスタ!$H$6:$H$1005,MATCH($F601,商品マスタ!$B$6:$B$1005,0)),"")</f>
        <v/>
      </c>
      <c r="P601" s="87" t="str">
        <f aca="false">IF(OR($E601="",$O601=""),"",WORKDAY($E601,$O601))</f>
        <v/>
      </c>
      <c r="Q601" s="80"/>
      <c r="R601" s="131"/>
      <c r="S601" s="69" t="n">
        <f aca="false">IF($Q601="入荷済み",N($L601),0)</f>
        <v>0</v>
      </c>
      <c r="T601" s="80"/>
      <c r="U601" s="80"/>
    </row>
    <row r="602" customFormat="false" ht="15" hidden="false" customHeight="false" outlineLevel="0" collapsed="false">
      <c r="B602" s="66" t="str">
        <f aca="false">IF(OR($E602="",$F602=""),"","PO-"&amp;TEXT($E602,"yyyymmdd")&amp;"-"&amp;TEXT(COUNTIFS($E$6:$E602,$E602,$C$6:$C602,$C602),"000"))</f>
        <v/>
      </c>
      <c r="C602" s="130"/>
      <c r="D602" s="66" t="str">
        <f aca="false">IFERROR(INDEX(定数マスタ!$C$6:$C$105,MATCH($C602,定数マスタ!$B$6:$B$105,0)),"")</f>
        <v/>
      </c>
      <c r="E602" s="131"/>
      <c r="F602" s="130"/>
      <c r="G602" s="66" t="str">
        <f aca="false">IFERROR(INDEX(商品マスタ!$C$6:$C$1005,MATCH($F602,商品マスタ!$B$6:$B$1005,0)),"")</f>
        <v/>
      </c>
      <c r="H602" s="66" t="str">
        <f aca="false">IFERROR(INDEX(商品マスタ!$E$6:$E$1005,MATCH($F602,商品マスタ!$B$6:$B$1005,0)),"")</f>
        <v/>
      </c>
      <c r="I602" s="69" t="str">
        <f aca="false">IFERROR(INDEX(商品マスタ!$F$6:$F$1005,MATCH($F602,商品マスタ!$B$6:$B$1005,0)),"")</f>
        <v/>
      </c>
      <c r="J602" s="69" t="str">
        <f aca="false">IF(OR($F602="",$C602&lt;&gt;'設定（最初に1回）'!$C$4),"",IFERROR(INDEX(発注計算!$Y$6:$Y$405,MATCH($F602,発注計算!$C$6:$C$405,0)),""))</f>
        <v/>
      </c>
      <c r="K602" s="70"/>
      <c r="L602" s="69" t="str">
        <f aca="false">IF($K602="","",N($K602)*N($I602))</f>
        <v/>
      </c>
      <c r="M602" s="71" t="str">
        <f aca="false">IFERROR(INDEX(商品マスタ!$G$6:$G$1005,MATCH($F602,商品マスタ!$B$6:$B$1005,0)),"")</f>
        <v/>
      </c>
      <c r="N602" s="71" t="str">
        <f aca="false">IF($K602="","",N($K602)*N($M602))</f>
        <v/>
      </c>
      <c r="O602" s="66" t="str">
        <f aca="false">IFERROR(INDEX(商品マスタ!$H$6:$H$1005,MATCH($F602,商品マスタ!$B$6:$B$1005,0)),"")</f>
        <v/>
      </c>
      <c r="P602" s="87" t="str">
        <f aca="false">IF(OR($E602="",$O602=""),"",WORKDAY($E602,$O602))</f>
        <v/>
      </c>
      <c r="Q602" s="80"/>
      <c r="R602" s="131"/>
      <c r="S602" s="69" t="n">
        <f aca="false">IF($Q602="入荷済み",N($L602),0)</f>
        <v>0</v>
      </c>
      <c r="T602" s="80"/>
      <c r="U602" s="80"/>
    </row>
    <row r="603" customFormat="false" ht="15" hidden="false" customHeight="false" outlineLevel="0" collapsed="false">
      <c r="B603" s="66" t="str">
        <f aca="false">IF(OR($E603="",$F603=""),"","PO-"&amp;TEXT($E603,"yyyymmdd")&amp;"-"&amp;TEXT(COUNTIFS($E$6:$E603,$E603,$C$6:$C603,$C603),"000"))</f>
        <v/>
      </c>
      <c r="C603" s="130"/>
      <c r="D603" s="66" t="str">
        <f aca="false">IFERROR(INDEX(定数マスタ!$C$6:$C$105,MATCH($C603,定数マスタ!$B$6:$B$105,0)),"")</f>
        <v/>
      </c>
      <c r="E603" s="131"/>
      <c r="F603" s="130"/>
      <c r="G603" s="66" t="str">
        <f aca="false">IFERROR(INDEX(商品マスタ!$C$6:$C$1005,MATCH($F603,商品マスタ!$B$6:$B$1005,0)),"")</f>
        <v/>
      </c>
      <c r="H603" s="66" t="str">
        <f aca="false">IFERROR(INDEX(商品マスタ!$E$6:$E$1005,MATCH($F603,商品マスタ!$B$6:$B$1005,0)),"")</f>
        <v/>
      </c>
      <c r="I603" s="69" t="str">
        <f aca="false">IFERROR(INDEX(商品マスタ!$F$6:$F$1005,MATCH($F603,商品マスタ!$B$6:$B$1005,0)),"")</f>
        <v/>
      </c>
      <c r="J603" s="69" t="str">
        <f aca="false">IF(OR($F603="",$C603&lt;&gt;'設定（最初に1回）'!$C$4),"",IFERROR(INDEX(発注計算!$Y$6:$Y$405,MATCH($F603,発注計算!$C$6:$C$405,0)),""))</f>
        <v/>
      </c>
      <c r="K603" s="70"/>
      <c r="L603" s="69" t="str">
        <f aca="false">IF($K603="","",N($K603)*N($I603))</f>
        <v/>
      </c>
      <c r="M603" s="71" t="str">
        <f aca="false">IFERROR(INDEX(商品マスタ!$G$6:$G$1005,MATCH($F603,商品マスタ!$B$6:$B$1005,0)),"")</f>
        <v/>
      </c>
      <c r="N603" s="71" t="str">
        <f aca="false">IF($K603="","",N($K603)*N($M603))</f>
        <v/>
      </c>
      <c r="O603" s="66" t="str">
        <f aca="false">IFERROR(INDEX(商品マスタ!$H$6:$H$1005,MATCH($F603,商品マスタ!$B$6:$B$1005,0)),"")</f>
        <v/>
      </c>
      <c r="P603" s="87" t="str">
        <f aca="false">IF(OR($E603="",$O603=""),"",WORKDAY($E603,$O603))</f>
        <v/>
      </c>
      <c r="Q603" s="80"/>
      <c r="R603" s="131"/>
      <c r="S603" s="69" t="n">
        <f aca="false">IF($Q603="入荷済み",N($L603),0)</f>
        <v>0</v>
      </c>
      <c r="T603" s="80"/>
      <c r="U603" s="80"/>
    </row>
    <row r="604" customFormat="false" ht="15" hidden="false" customHeight="false" outlineLevel="0" collapsed="false">
      <c r="B604" s="66" t="str">
        <f aca="false">IF(OR($E604="",$F604=""),"","PO-"&amp;TEXT($E604,"yyyymmdd")&amp;"-"&amp;TEXT(COUNTIFS($E$6:$E604,$E604,$C$6:$C604,$C604),"000"))</f>
        <v/>
      </c>
      <c r="C604" s="130"/>
      <c r="D604" s="66" t="str">
        <f aca="false">IFERROR(INDEX(定数マスタ!$C$6:$C$105,MATCH($C604,定数マスタ!$B$6:$B$105,0)),"")</f>
        <v/>
      </c>
      <c r="E604" s="131"/>
      <c r="F604" s="130"/>
      <c r="G604" s="66" t="str">
        <f aca="false">IFERROR(INDEX(商品マスタ!$C$6:$C$1005,MATCH($F604,商品マスタ!$B$6:$B$1005,0)),"")</f>
        <v/>
      </c>
      <c r="H604" s="66" t="str">
        <f aca="false">IFERROR(INDEX(商品マスタ!$E$6:$E$1005,MATCH($F604,商品マスタ!$B$6:$B$1005,0)),"")</f>
        <v/>
      </c>
      <c r="I604" s="69" t="str">
        <f aca="false">IFERROR(INDEX(商品マスタ!$F$6:$F$1005,MATCH($F604,商品マスタ!$B$6:$B$1005,0)),"")</f>
        <v/>
      </c>
      <c r="J604" s="69" t="str">
        <f aca="false">IF(OR($F604="",$C604&lt;&gt;'設定（最初に1回）'!$C$4),"",IFERROR(INDEX(発注計算!$Y$6:$Y$405,MATCH($F604,発注計算!$C$6:$C$405,0)),""))</f>
        <v/>
      </c>
      <c r="K604" s="70"/>
      <c r="L604" s="69" t="str">
        <f aca="false">IF($K604="","",N($K604)*N($I604))</f>
        <v/>
      </c>
      <c r="M604" s="71" t="str">
        <f aca="false">IFERROR(INDEX(商品マスタ!$G$6:$G$1005,MATCH($F604,商品マスタ!$B$6:$B$1005,0)),"")</f>
        <v/>
      </c>
      <c r="N604" s="71" t="str">
        <f aca="false">IF($K604="","",N($K604)*N($M604))</f>
        <v/>
      </c>
      <c r="O604" s="66" t="str">
        <f aca="false">IFERROR(INDEX(商品マスタ!$H$6:$H$1005,MATCH($F604,商品マスタ!$B$6:$B$1005,0)),"")</f>
        <v/>
      </c>
      <c r="P604" s="87" t="str">
        <f aca="false">IF(OR($E604="",$O604=""),"",WORKDAY($E604,$O604))</f>
        <v/>
      </c>
      <c r="Q604" s="80"/>
      <c r="R604" s="131"/>
      <c r="S604" s="69" t="n">
        <f aca="false">IF($Q604="入荷済み",N($L604),0)</f>
        <v>0</v>
      </c>
      <c r="T604" s="80"/>
      <c r="U604" s="80"/>
    </row>
    <row r="605" customFormat="false" ht="15" hidden="false" customHeight="false" outlineLevel="0" collapsed="false">
      <c r="B605" s="66" t="str">
        <f aca="false">IF(OR($E605="",$F605=""),"","PO-"&amp;TEXT($E605,"yyyymmdd")&amp;"-"&amp;TEXT(COUNTIFS($E$6:$E605,$E605,$C$6:$C605,$C605),"000"))</f>
        <v/>
      </c>
      <c r="C605" s="130"/>
      <c r="D605" s="66" t="str">
        <f aca="false">IFERROR(INDEX(定数マスタ!$C$6:$C$105,MATCH($C605,定数マスタ!$B$6:$B$105,0)),"")</f>
        <v/>
      </c>
      <c r="E605" s="131"/>
      <c r="F605" s="130"/>
      <c r="G605" s="66" t="str">
        <f aca="false">IFERROR(INDEX(商品マスタ!$C$6:$C$1005,MATCH($F605,商品マスタ!$B$6:$B$1005,0)),"")</f>
        <v/>
      </c>
      <c r="H605" s="66" t="str">
        <f aca="false">IFERROR(INDEX(商品マスタ!$E$6:$E$1005,MATCH($F605,商品マスタ!$B$6:$B$1005,0)),"")</f>
        <v/>
      </c>
      <c r="I605" s="69" t="str">
        <f aca="false">IFERROR(INDEX(商品マスタ!$F$6:$F$1005,MATCH($F605,商品マスタ!$B$6:$B$1005,0)),"")</f>
        <v/>
      </c>
      <c r="J605" s="69" t="str">
        <f aca="false">IF(OR($F605="",$C605&lt;&gt;'設定（最初に1回）'!$C$4),"",IFERROR(INDEX(発注計算!$Y$6:$Y$405,MATCH($F605,発注計算!$C$6:$C$405,0)),""))</f>
        <v/>
      </c>
      <c r="K605" s="70"/>
      <c r="L605" s="69" t="str">
        <f aca="false">IF($K605="","",N($K605)*N($I605))</f>
        <v/>
      </c>
      <c r="M605" s="71" t="str">
        <f aca="false">IFERROR(INDEX(商品マスタ!$G$6:$G$1005,MATCH($F605,商品マスタ!$B$6:$B$1005,0)),"")</f>
        <v/>
      </c>
      <c r="N605" s="71" t="str">
        <f aca="false">IF($K605="","",N($K605)*N($M605))</f>
        <v/>
      </c>
      <c r="O605" s="66" t="str">
        <f aca="false">IFERROR(INDEX(商品マスタ!$H$6:$H$1005,MATCH($F605,商品マスタ!$B$6:$B$1005,0)),"")</f>
        <v/>
      </c>
      <c r="P605" s="87" t="str">
        <f aca="false">IF(OR($E605="",$O605=""),"",WORKDAY($E605,$O605))</f>
        <v/>
      </c>
      <c r="Q605" s="80"/>
      <c r="R605" s="131"/>
      <c r="S605" s="69" t="n">
        <f aca="false">IF($Q605="入荷済み",N($L605),0)</f>
        <v>0</v>
      </c>
      <c r="T605" s="80"/>
      <c r="U605" s="80"/>
    </row>
    <row r="606" customFormat="false" ht="15" hidden="false" customHeight="false" outlineLevel="0" collapsed="false">
      <c r="B606" s="66" t="str">
        <f aca="false">IF(OR($E606="",$F606=""),"","PO-"&amp;TEXT($E606,"yyyymmdd")&amp;"-"&amp;TEXT(COUNTIFS($E$6:$E606,$E606,$C$6:$C606,$C606),"000"))</f>
        <v/>
      </c>
      <c r="C606" s="130"/>
      <c r="D606" s="66" t="str">
        <f aca="false">IFERROR(INDEX(定数マスタ!$C$6:$C$105,MATCH($C606,定数マスタ!$B$6:$B$105,0)),"")</f>
        <v/>
      </c>
      <c r="E606" s="131"/>
      <c r="F606" s="130"/>
      <c r="G606" s="66" t="str">
        <f aca="false">IFERROR(INDEX(商品マスタ!$C$6:$C$1005,MATCH($F606,商品マスタ!$B$6:$B$1005,0)),"")</f>
        <v/>
      </c>
      <c r="H606" s="66" t="str">
        <f aca="false">IFERROR(INDEX(商品マスタ!$E$6:$E$1005,MATCH($F606,商品マスタ!$B$6:$B$1005,0)),"")</f>
        <v/>
      </c>
      <c r="I606" s="69" t="str">
        <f aca="false">IFERROR(INDEX(商品マスタ!$F$6:$F$1005,MATCH($F606,商品マスタ!$B$6:$B$1005,0)),"")</f>
        <v/>
      </c>
      <c r="J606" s="69" t="str">
        <f aca="false">IF(OR($F606="",$C606&lt;&gt;'設定（最初に1回）'!$C$4),"",IFERROR(INDEX(発注計算!$Y$6:$Y$405,MATCH($F606,発注計算!$C$6:$C$405,0)),""))</f>
        <v/>
      </c>
      <c r="K606" s="70"/>
      <c r="L606" s="69" t="str">
        <f aca="false">IF($K606="","",N($K606)*N($I606))</f>
        <v/>
      </c>
      <c r="M606" s="71" t="str">
        <f aca="false">IFERROR(INDEX(商品マスタ!$G$6:$G$1005,MATCH($F606,商品マスタ!$B$6:$B$1005,0)),"")</f>
        <v/>
      </c>
      <c r="N606" s="71" t="str">
        <f aca="false">IF($K606="","",N($K606)*N($M606))</f>
        <v/>
      </c>
      <c r="O606" s="66" t="str">
        <f aca="false">IFERROR(INDEX(商品マスタ!$H$6:$H$1005,MATCH($F606,商品マスタ!$B$6:$B$1005,0)),"")</f>
        <v/>
      </c>
      <c r="P606" s="87" t="str">
        <f aca="false">IF(OR($E606="",$O606=""),"",WORKDAY($E606,$O606))</f>
        <v/>
      </c>
      <c r="Q606" s="80"/>
      <c r="R606" s="131"/>
      <c r="S606" s="69" t="n">
        <f aca="false">IF($Q606="入荷済み",N($L606),0)</f>
        <v>0</v>
      </c>
      <c r="T606" s="80"/>
      <c r="U606" s="80"/>
    </row>
    <row r="607" customFormat="false" ht="15" hidden="false" customHeight="false" outlineLevel="0" collapsed="false">
      <c r="B607" s="66" t="str">
        <f aca="false">IF(OR($E607="",$F607=""),"","PO-"&amp;TEXT($E607,"yyyymmdd")&amp;"-"&amp;TEXT(COUNTIFS($E$6:$E607,$E607,$C$6:$C607,$C607),"000"))</f>
        <v/>
      </c>
      <c r="C607" s="130"/>
      <c r="D607" s="66" t="str">
        <f aca="false">IFERROR(INDEX(定数マスタ!$C$6:$C$105,MATCH($C607,定数マスタ!$B$6:$B$105,0)),"")</f>
        <v/>
      </c>
      <c r="E607" s="131"/>
      <c r="F607" s="130"/>
      <c r="G607" s="66" t="str">
        <f aca="false">IFERROR(INDEX(商品マスタ!$C$6:$C$1005,MATCH($F607,商品マスタ!$B$6:$B$1005,0)),"")</f>
        <v/>
      </c>
      <c r="H607" s="66" t="str">
        <f aca="false">IFERROR(INDEX(商品マスタ!$E$6:$E$1005,MATCH($F607,商品マスタ!$B$6:$B$1005,0)),"")</f>
        <v/>
      </c>
      <c r="I607" s="69" t="str">
        <f aca="false">IFERROR(INDEX(商品マスタ!$F$6:$F$1005,MATCH($F607,商品マスタ!$B$6:$B$1005,0)),"")</f>
        <v/>
      </c>
      <c r="J607" s="69" t="str">
        <f aca="false">IF(OR($F607="",$C607&lt;&gt;'設定（最初に1回）'!$C$4),"",IFERROR(INDEX(発注計算!$Y$6:$Y$405,MATCH($F607,発注計算!$C$6:$C$405,0)),""))</f>
        <v/>
      </c>
      <c r="K607" s="70"/>
      <c r="L607" s="69" t="str">
        <f aca="false">IF($K607="","",N($K607)*N($I607))</f>
        <v/>
      </c>
      <c r="M607" s="71" t="str">
        <f aca="false">IFERROR(INDEX(商品マスタ!$G$6:$G$1005,MATCH($F607,商品マスタ!$B$6:$B$1005,0)),"")</f>
        <v/>
      </c>
      <c r="N607" s="71" t="str">
        <f aca="false">IF($K607="","",N($K607)*N($M607))</f>
        <v/>
      </c>
      <c r="O607" s="66" t="str">
        <f aca="false">IFERROR(INDEX(商品マスタ!$H$6:$H$1005,MATCH($F607,商品マスタ!$B$6:$B$1005,0)),"")</f>
        <v/>
      </c>
      <c r="P607" s="87" t="str">
        <f aca="false">IF(OR($E607="",$O607=""),"",WORKDAY($E607,$O607))</f>
        <v/>
      </c>
      <c r="Q607" s="80"/>
      <c r="R607" s="131"/>
      <c r="S607" s="69" t="n">
        <f aca="false">IF($Q607="入荷済み",N($L607),0)</f>
        <v>0</v>
      </c>
      <c r="T607" s="80"/>
      <c r="U607" s="80"/>
    </row>
    <row r="608" customFormat="false" ht="15" hidden="false" customHeight="false" outlineLevel="0" collapsed="false">
      <c r="B608" s="66" t="str">
        <f aca="false">IF(OR($E608="",$F608=""),"","PO-"&amp;TEXT($E608,"yyyymmdd")&amp;"-"&amp;TEXT(COUNTIFS($E$6:$E608,$E608,$C$6:$C608,$C608),"000"))</f>
        <v/>
      </c>
      <c r="C608" s="130"/>
      <c r="D608" s="66" t="str">
        <f aca="false">IFERROR(INDEX(定数マスタ!$C$6:$C$105,MATCH($C608,定数マスタ!$B$6:$B$105,0)),"")</f>
        <v/>
      </c>
      <c r="E608" s="131"/>
      <c r="F608" s="130"/>
      <c r="G608" s="66" t="str">
        <f aca="false">IFERROR(INDEX(商品マスタ!$C$6:$C$1005,MATCH($F608,商品マスタ!$B$6:$B$1005,0)),"")</f>
        <v/>
      </c>
      <c r="H608" s="66" t="str">
        <f aca="false">IFERROR(INDEX(商品マスタ!$E$6:$E$1005,MATCH($F608,商品マスタ!$B$6:$B$1005,0)),"")</f>
        <v/>
      </c>
      <c r="I608" s="69" t="str">
        <f aca="false">IFERROR(INDEX(商品マスタ!$F$6:$F$1005,MATCH($F608,商品マスタ!$B$6:$B$1005,0)),"")</f>
        <v/>
      </c>
      <c r="J608" s="69" t="str">
        <f aca="false">IF(OR($F608="",$C608&lt;&gt;'設定（最初に1回）'!$C$4),"",IFERROR(INDEX(発注計算!$Y$6:$Y$405,MATCH($F608,発注計算!$C$6:$C$405,0)),""))</f>
        <v/>
      </c>
      <c r="K608" s="70"/>
      <c r="L608" s="69" t="str">
        <f aca="false">IF($K608="","",N($K608)*N($I608))</f>
        <v/>
      </c>
      <c r="M608" s="71" t="str">
        <f aca="false">IFERROR(INDEX(商品マスタ!$G$6:$G$1005,MATCH($F608,商品マスタ!$B$6:$B$1005,0)),"")</f>
        <v/>
      </c>
      <c r="N608" s="71" t="str">
        <f aca="false">IF($K608="","",N($K608)*N($M608))</f>
        <v/>
      </c>
      <c r="O608" s="66" t="str">
        <f aca="false">IFERROR(INDEX(商品マスタ!$H$6:$H$1005,MATCH($F608,商品マスタ!$B$6:$B$1005,0)),"")</f>
        <v/>
      </c>
      <c r="P608" s="87" t="str">
        <f aca="false">IF(OR($E608="",$O608=""),"",WORKDAY($E608,$O608))</f>
        <v/>
      </c>
      <c r="Q608" s="80"/>
      <c r="R608" s="131"/>
      <c r="S608" s="69" t="n">
        <f aca="false">IF($Q608="入荷済み",N($L608),0)</f>
        <v>0</v>
      </c>
      <c r="T608" s="80"/>
      <c r="U608" s="80"/>
    </row>
    <row r="609" customFormat="false" ht="15" hidden="false" customHeight="false" outlineLevel="0" collapsed="false">
      <c r="B609" s="66" t="str">
        <f aca="false">IF(OR($E609="",$F609=""),"","PO-"&amp;TEXT($E609,"yyyymmdd")&amp;"-"&amp;TEXT(COUNTIFS($E$6:$E609,$E609,$C$6:$C609,$C609),"000"))</f>
        <v/>
      </c>
      <c r="C609" s="130"/>
      <c r="D609" s="66" t="str">
        <f aca="false">IFERROR(INDEX(定数マスタ!$C$6:$C$105,MATCH($C609,定数マスタ!$B$6:$B$105,0)),"")</f>
        <v/>
      </c>
      <c r="E609" s="131"/>
      <c r="F609" s="130"/>
      <c r="G609" s="66" t="str">
        <f aca="false">IFERROR(INDEX(商品マスタ!$C$6:$C$1005,MATCH($F609,商品マスタ!$B$6:$B$1005,0)),"")</f>
        <v/>
      </c>
      <c r="H609" s="66" t="str">
        <f aca="false">IFERROR(INDEX(商品マスタ!$E$6:$E$1005,MATCH($F609,商品マスタ!$B$6:$B$1005,0)),"")</f>
        <v/>
      </c>
      <c r="I609" s="69" t="str">
        <f aca="false">IFERROR(INDEX(商品マスタ!$F$6:$F$1005,MATCH($F609,商品マスタ!$B$6:$B$1005,0)),"")</f>
        <v/>
      </c>
      <c r="J609" s="69" t="str">
        <f aca="false">IF(OR($F609="",$C609&lt;&gt;'設定（最初に1回）'!$C$4),"",IFERROR(INDEX(発注計算!$Y$6:$Y$405,MATCH($F609,発注計算!$C$6:$C$405,0)),""))</f>
        <v/>
      </c>
      <c r="K609" s="70"/>
      <c r="L609" s="69" t="str">
        <f aca="false">IF($K609="","",N($K609)*N($I609))</f>
        <v/>
      </c>
      <c r="M609" s="71" t="str">
        <f aca="false">IFERROR(INDEX(商品マスタ!$G$6:$G$1005,MATCH($F609,商品マスタ!$B$6:$B$1005,0)),"")</f>
        <v/>
      </c>
      <c r="N609" s="71" t="str">
        <f aca="false">IF($K609="","",N($K609)*N($M609))</f>
        <v/>
      </c>
      <c r="O609" s="66" t="str">
        <f aca="false">IFERROR(INDEX(商品マスタ!$H$6:$H$1005,MATCH($F609,商品マスタ!$B$6:$B$1005,0)),"")</f>
        <v/>
      </c>
      <c r="P609" s="87" t="str">
        <f aca="false">IF(OR($E609="",$O609=""),"",WORKDAY($E609,$O609))</f>
        <v/>
      </c>
      <c r="Q609" s="80"/>
      <c r="R609" s="131"/>
      <c r="S609" s="69" t="n">
        <f aca="false">IF($Q609="入荷済み",N($L609),0)</f>
        <v>0</v>
      </c>
      <c r="T609" s="80"/>
      <c r="U609" s="80"/>
    </row>
    <row r="610" customFormat="false" ht="15" hidden="false" customHeight="false" outlineLevel="0" collapsed="false">
      <c r="B610" s="66" t="str">
        <f aca="false">IF(OR($E610="",$F610=""),"","PO-"&amp;TEXT($E610,"yyyymmdd")&amp;"-"&amp;TEXT(COUNTIFS($E$6:$E610,$E610,$C$6:$C610,$C610),"000"))</f>
        <v/>
      </c>
      <c r="C610" s="130"/>
      <c r="D610" s="66" t="str">
        <f aca="false">IFERROR(INDEX(定数マスタ!$C$6:$C$105,MATCH($C610,定数マスタ!$B$6:$B$105,0)),"")</f>
        <v/>
      </c>
      <c r="E610" s="131"/>
      <c r="F610" s="130"/>
      <c r="G610" s="66" t="str">
        <f aca="false">IFERROR(INDEX(商品マスタ!$C$6:$C$1005,MATCH($F610,商品マスタ!$B$6:$B$1005,0)),"")</f>
        <v/>
      </c>
      <c r="H610" s="66" t="str">
        <f aca="false">IFERROR(INDEX(商品マスタ!$E$6:$E$1005,MATCH($F610,商品マスタ!$B$6:$B$1005,0)),"")</f>
        <v/>
      </c>
      <c r="I610" s="69" t="str">
        <f aca="false">IFERROR(INDEX(商品マスタ!$F$6:$F$1005,MATCH($F610,商品マスタ!$B$6:$B$1005,0)),"")</f>
        <v/>
      </c>
      <c r="J610" s="69" t="str">
        <f aca="false">IF(OR($F610="",$C610&lt;&gt;'設定（最初に1回）'!$C$4),"",IFERROR(INDEX(発注計算!$Y$6:$Y$405,MATCH($F610,発注計算!$C$6:$C$405,0)),""))</f>
        <v/>
      </c>
      <c r="K610" s="70"/>
      <c r="L610" s="69" t="str">
        <f aca="false">IF($K610="","",N($K610)*N($I610))</f>
        <v/>
      </c>
      <c r="M610" s="71" t="str">
        <f aca="false">IFERROR(INDEX(商品マスタ!$G$6:$G$1005,MATCH($F610,商品マスタ!$B$6:$B$1005,0)),"")</f>
        <v/>
      </c>
      <c r="N610" s="71" t="str">
        <f aca="false">IF($K610="","",N($K610)*N($M610))</f>
        <v/>
      </c>
      <c r="O610" s="66" t="str">
        <f aca="false">IFERROR(INDEX(商品マスタ!$H$6:$H$1005,MATCH($F610,商品マスタ!$B$6:$B$1005,0)),"")</f>
        <v/>
      </c>
      <c r="P610" s="87" t="str">
        <f aca="false">IF(OR($E610="",$O610=""),"",WORKDAY($E610,$O610))</f>
        <v/>
      </c>
      <c r="Q610" s="80"/>
      <c r="R610" s="131"/>
      <c r="S610" s="69" t="n">
        <f aca="false">IF($Q610="入荷済み",N($L610),0)</f>
        <v>0</v>
      </c>
      <c r="T610" s="80"/>
      <c r="U610" s="80"/>
    </row>
    <row r="611" customFormat="false" ht="15" hidden="false" customHeight="false" outlineLevel="0" collapsed="false">
      <c r="B611" s="66" t="str">
        <f aca="false">IF(OR($E611="",$F611=""),"","PO-"&amp;TEXT($E611,"yyyymmdd")&amp;"-"&amp;TEXT(COUNTIFS($E$6:$E611,$E611,$C$6:$C611,$C611),"000"))</f>
        <v/>
      </c>
      <c r="C611" s="130"/>
      <c r="D611" s="66" t="str">
        <f aca="false">IFERROR(INDEX(定数マスタ!$C$6:$C$105,MATCH($C611,定数マスタ!$B$6:$B$105,0)),"")</f>
        <v/>
      </c>
      <c r="E611" s="131"/>
      <c r="F611" s="130"/>
      <c r="G611" s="66" t="str">
        <f aca="false">IFERROR(INDEX(商品マスタ!$C$6:$C$1005,MATCH($F611,商品マスタ!$B$6:$B$1005,0)),"")</f>
        <v/>
      </c>
      <c r="H611" s="66" t="str">
        <f aca="false">IFERROR(INDEX(商品マスタ!$E$6:$E$1005,MATCH($F611,商品マスタ!$B$6:$B$1005,0)),"")</f>
        <v/>
      </c>
      <c r="I611" s="69" t="str">
        <f aca="false">IFERROR(INDEX(商品マスタ!$F$6:$F$1005,MATCH($F611,商品マスタ!$B$6:$B$1005,0)),"")</f>
        <v/>
      </c>
      <c r="J611" s="69" t="str">
        <f aca="false">IF(OR($F611="",$C611&lt;&gt;'設定（最初に1回）'!$C$4),"",IFERROR(INDEX(発注計算!$Y$6:$Y$405,MATCH($F611,発注計算!$C$6:$C$405,0)),""))</f>
        <v/>
      </c>
      <c r="K611" s="70"/>
      <c r="L611" s="69" t="str">
        <f aca="false">IF($K611="","",N($K611)*N($I611))</f>
        <v/>
      </c>
      <c r="M611" s="71" t="str">
        <f aca="false">IFERROR(INDEX(商品マスタ!$G$6:$G$1005,MATCH($F611,商品マスタ!$B$6:$B$1005,0)),"")</f>
        <v/>
      </c>
      <c r="N611" s="71" t="str">
        <f aca="false">IF($K611="","",N($K611)*N($M611))</f>
        <v/>
      </c>
      <c r="O611" s="66" t="str">
        <f aca="false">IFERROR(INDEX(商品マスタ!$H$6:$H$1005,MATCH($F611,商品マスタ!$B$6:$B$1005,0)),"")</f>
        <v/>
      </c>
      <c r="P611" s="87" t="str">
        <f aca="false">IF(OR($E611="",$O611=""),"",WORKDAY($E611,$O611))</f>
        <v/>
      </c>
      <c r="Q611" s="80"/>
      <c r="R611" s="131"/>
      <c r="S611" s="69" t="n">
        <f aca="false">IF($Q611="入荷済み",N($L611),0)</f>
        <v>0</v>
      </c>
      <c r="T611" s="80"/>
      <c r="U611" s="80"/>
    </row>
    <row r="612" customFormat="false" ht="15" hidden="false" customHeight="false" outlineLevel="0" collapsed="false">
      <c r="B612" s="66" t="str">
        <f aca="false">IF(OR($E612="",$F612=""),"","PO-"&amp;TEXT($E612,"yyyymmdd")&amp;"-"&amp;TEXT(COUNTIFS($E$6:$E612,$E612,$C$6:$C612,$C612),"000"))</f>
        <v/>
      </c>
      <c r="C612" s="130"/>
      <c r="D612" s="66" t="str">
        <f aca="false">IFERROR(INDEX(定数マスタ!$C$6:$C$105,MATCH($C612,定数マスタ!$B$6:$B$105,0)),"")</f>
        <v/>
      </c>
      <c r="E612" s="131"/>
      <c r="F612" s="130"/>
      <c r="G612" s="66" t="str">
        <f aca="false">IFERROR(INDEX(商品マスタ!$C$6:$C$1005,MATCH($F612,商品マスタ!$B$6:$B$1005,0)),"")</f>
        <v/>
      </c>
      <c r="H612" s="66" t="str">
        <f aca="false">IFERROR(INDEX(商品マスタ!$E$6:$E$1005,MATCH($F612,商品マスタ!$B$6:$B$1005,0)),"")</f>
        <v/>
      </c>
      <c r="I612" s="69" t="str">
        <f aca="false">IFERROR(INDEX(商品マスタ!$F$6:$F$1005,MATCH($F612,商品マスタ!$B$6:$B$1005,0)),"")</f>
        <v/>
      </c>
      <c r="J612" s="69" t="str">
        <f aca="false">IF(OR($F612="",$C612&lt;&gt;'設定（最初に1回）'!$C$4),"",IFERROR(INDEX(発注計算!$Y$6:$Y$405,MATCH($F612,発注計算!$C$6:$C$405,0)),""))</f>
        <v/>
      </c>
      <c r="K612" s="70"/>
      <c r="L612" s="69" t="str">
        <f aca="false">IF($K612="","",N($K612)*N($I612))</f>
        <v/>
      </c>
      <c r="M612" s="71" t="str">
        <f aca="false">IFERROR(INDEX(商品マスタ!$G$6:$G$1005,MATCH($F612,商品マスタ!$B$6:$B$1005,0)),"")</f>
        <v/>
      </c>
      <c r="N612" s="71" t="str">
        <f aca="false">IF($K612="","",N($K612)*N($M612))</f>
        <v/>
      </c>
      <c r="O612" s="66" t="str">
        <f aca="false">IFERROR(INDEX(商品マスタ!$H$6:$H$1005,MATCH($F612,商品マスタ!$B$6:$B$1005,0)),"")</f>
        <v/>
      </c>
      <c r="P612" s="87" t="str">
        <f aca="false">IF(OR($E612="",$O612=""),"",WORKDAY($E612,$O612))</f>
        <v/>
      </c>
      <c r="Q612" s="80"/>
      <c r="R612" s="131"/>
      <c r="S612" s="69" t="n">
        <f aca="false">IF($Q612="入荷済み",N($L612),0)</f>
        <v>0</v>
      </c>
      <c r="T612" s="80"/>
      <c r="U612" s="80"/>
    </row>
    <row r="613" customFormat="false" ht="15" hidden="false" customHeight="false" outlineLevel="0" collapsed="false">
      <c r="B613" s="66" t="str">
        <f aca="false">IF(OR($E613="",$F613=""),"","PO-"&amp;TEXT($E613,"yyyymmdd")&amp;"-"&amp;TEXT(COUNTIFS($E$6:$E613,$E613,$C$6:$C613,$C613),"000"))</f>
        <v/>
      </c>
      <c r="C613" s="130"/>
      <c r="D613" s="66" t="str">
        <f aca="false">IFERROR(INDEX(定数マスタ!$C$6:$C$105,MATCH($C613,定数マスタ!$B$6:$B$105,0)),"")</f>
        <v/>
      </c>
      <c r="E613" s="131"/>
      <c r="F613" s="130"/>
      <c r="G613" s="66" t="str">
        <f aca="false">IFERROR(INDEX(商品マスタ!$C$6:$C$1005,MATCH($F613,商品マスタ!$B$6:$B$1005,0)),"")</f>
        <v/>
      </c>
      <c r="H613" s="66" t="str">
        <f aca="false">IFERROR(INDEX(商品マスタ!$E$6:$E$1005,MATCH($F613,商品マスタ!$B$6:$B$1005,0)),"")</f>
        <v/>
      </c>
      <c r="I613" s="69" t="str">
        <f aca="false">IFERROR(INDEX(商品マスタ!$F$6:$F$1005,MATCH($F613,商品マスタ!$B$6:$B$1005,0)),"")</f>
        <v/>
      </c>
      <c r="J613" s="69" t="str">
        <f aca="false">IF(OR($F613="",$C613&lt;&gt;'設定（最初に1回）'!$C$4),"",IFERROR(INDEX(発注計算!$Y$6:$Y$405,MATCH($F613,発注計算!$C$6:$C$405,0)),""))</f>
        <v/>
      </c>
      <c r="K613" s="70"/>
      <c r="L613" s="69" t="str">
        <f aca="false">IF($K613="","",N($K613)*N($I613))</f>
        <v/>
      </c>
      <c r="M613" s="71" t="str">
        <f aca="false">IFERROR(INDEX(商品マスタ!$G$6:$G$1005,MATCH($F613,商品マスタ!$B$6:$B$1005,0)),"")</f>
        <v/>
      </c>
      <c r="N613" s="71" t="str">
        <f aca="false">IF($K613="","",N($K613)*N($M613))</f>
        <v/>
      </c>
      <c r="O613" s="66" t="str">
        <f aca="false">IFERROR(INDEX(商品マスタ!$H$6:$H$1005,MATCH($F613,商品マスタ!$B$6:$B$1005,0)),"")</f>
        <v/>
      </c>
      <c r="P613" s="87" t="str">
        <f aca="false">IF(OR($E613="",$O613=""),"",WORKDAY($E613,$O613))</f>
        <v/>
      </c>
      <c r="Q613" s="80"/>
      <c r="R613" s="131"/>
      <c r="S613" s="69" t="n">
        <f aca="false">IF($Q613="入荷済み",N($L613),0)</f>
        <v>0</v>
      </c>
      <c r="T613" s="80"/>
      <c r="U613" s="80"/>
    </row>
    <row r="614" customFormat="false" ht="15" hidden="false" customHeight="false" outlineLevel="0" collapsed="false">
      <c r="B614" s="66" t="str">
        <f aca="false">IF(OR($E614="",$F614=""),"","PO-"&amp;TEXT($E614,"yyyymmdd")&amp;"-"&amp;TEXT(COUNTIFS($E$6:$E614,$E614,$C$6:$C614,$C614),"000"))</f>
        <v/>
      </c>
      <c r="C614" s="130"/>
      <c r="D614" s="66" t="str">
        <f aca="false">IFERROR(INDEX(定数マスタ!$C$6:$C$105,MATCH($C614,定数マスタ!$B$6:$B$105,0)),"")</f>
        <v/>
      </c>
      <c r="E614" s="131"/>
      <c r="F614" s="130"/>
      <c r="G614" s="66" t="str">
        <f aca="false">IFERROR(INDEX(商品マスタ!$C$6:$C$1005,MATCH($F614,商品マスタ!$B$6:$B$1005,0)),"")</f>
        <v/>
      </c>
      <c r="H614" s="66" t="str">
        <f aca="false">IFERROR(INDEX(商品マスタ!$E$6:$E$1005,MATCH($F614,商品マスタ!$B$6:$B$1005,0)),"")</f>
        <v/>
      </c>
      <c r="I614" s="69" t="str">
        <f aca="false">IFERROR(INDEX(商品マスタ!$F$6:$F$1005,MATCH($F614,商品マスタ!$B$6:$B$1005,0)),"")</f>
        <v/>
      </c>
      <c r="J614" s="69" t="str">
        <f aca="false">IF(OR($F614="",$C614&lt;&gt;'設定（最初に1回）'!$C$4),"",IFERROR(INDEX(発注計算!$Y$6:$Y$405,MATCH($F614,発注計算!$C$6:$C$405,0)),""))</f>
        <v/>
      </c>
      <c r="K614" s="70"/>
      <c r="L614" s="69" t="str">
        <f aca="false">IF($K614="","",N($K614)*N($I614))</f>
        <v/>
      </c>
      <c r="M614" s="71" t="str">
        <f aca="false">IFERROR(INDEX(商品マスタ!$G$6:$G$1005,MATCH($F614,商品マスタ!$B$6:$B$1005,0)),"")</f>
        <v/>
      </c>
      <c r="N614" s="71" t="str">
        <f aca="false">IF($K614="","",N($K614)*N($M614))</f>
        <v/>
      </c>
      <c r="O614" s="66" t="str">
        <f aca="false">IFERROR(INDEX(商品マスタ!$H$6:$H$1005,MATCH($F614,商品マスタ!$B$6:$B$1005,0)),"")</f>
        <v/>
      </c>
      <c r="P614" s="87" t="str">
        <f aca="false">IF(OR($E614="",$O614=""),"",WORKDAY($E614,$O614))</f>
        <v/>
      </c>
      <c r="Q614" s="80"/>
      <c r="R614" s="131"/>
      <c r="S614" s="69" t="n">
        <f aca="false">IF($Q614="入荷済み",N($L614),0)</f>
        <v>0</v>
      </c>
      <c r="T614" s="80"/>
      <c r="U614" s="80"/>
    </row>
    <row r="615" customFormat="false" ht="15" hidden="false" customHeight="false" outlineLevel="0" collapsed="false">
      <c r="B615" s="66" t="str">
        <f aca="false">IF(OR($E615="",$F615=""),"","PO-"&amp;TEXT($E615,"yyyymmdd")&amp;"-"&amp;TEXT(COUNTIFS($E$6:$E615,$E615,$C$6:$C615,$C615),"000"))</f>
        <v/>
      </c>
      <c r="C615" s="130"/>
      <c r="D615" s="66" t="str">
        <f aca="false">IFERROR(INDEX(定数マスタ!$C$6:$C$105,MATCH($C615,定数マスタ!$B$6:$B$105,0)),"")</f>
        <v/>
      </c>
      <c r="E615" s="131"/>
      <c r="F615" s="130"/>
      <c r="G615" s="66" t="str">
        <f aca="false">IFERROR(INDEX(商品マスタ!$C$6:$C$1005,MATCH($F615,商品マスタ!$B$6:$B$1005,0)),"")</f>
        <v/>
      </c>
      <c r="H615" s="66" t="str">
        <f aca="false">IFERROR(INDEX(商品マスタ!$E$6:$E$1005,MATCH($F615,商品マスタ!$B$6:$B$1005,0)),"")</f>
        <v/>
      </c>
      <c r="I615" s="69" t="str">
        <f aca="false">IFERROR(INDEX(商品マスタ!$F$6:$F$1005,MATCH($F615,商品マスタ!$B$6:$B$1005,0)),"")</f>
        <v/>
      </c>
      <c r="J615" s="69" t="str">
        <f aca="false">IF(OR($F615="",$C615&lt;&gt;'設定（最初に1回）'!$C$4),"",IFERROR(INDEX(発注計算!$Y$6:$Y$405,MATCH($F615,発注計算!$C$6:$C$405,0)),""))</f>
        <v/>
      </c>
      <c r="K615" s="70"/>
      <c r="L615" s="69" t="str">
        <f aca="false">IF($K615="","",N($K615)*N($I615))</f>
        <v/>
      </c>
      <c r="M615" s="71" t="str">
        <f aca="false">IFERROR(INDEX(商品マスタ!$G$6:$G$1005,MATCH($F615,商品マスタ!$B$6:$B$1005,0)),"")</f>
        <v/>
      </c>
      <c r="N615" s="71" t="str">
        <f aca="false">IF($K615="","",N($K615)*N($M615))</f>
        <v/>
      </c>
      <c r="O615" s="66" t="str">
        <f aca="false">IFERROR(INDEX(商品マスタ!$H$6:$H$1005,MATCH($F615,商品マスタ!$B$6:$B$1005,0)),"")</f>
        <v/>
      </c>
      <c r="P615" s="87" t="str">
        <f aca="false">IF(OR($E615="",$O615=""),"",WORKDAY($E615,$O615))</f>
        <v/>
      </c>
      <c r="Q615" s="80"/>
      <c r="R615" s="131"/>
      <c r="S615" s="69" t="n">
        <f aca="false">IF($Q615="入荷済み",N($L615),0)</f>
        <v>0</v>
      </c>
      <c r="T615" s="80"/>
      <c r="U615" s="80"/>
    </row>
    <row r="616" customFormat="false" ht="15" hidden="false" customHeight="false" outlineLevel="0" collapsed="false">
      <c r="B616" s="66" t="str">
        <f aca="false">IF(OR($E616="",$F616=""),"","PO-"&amp;TEXT($E616,"yyyymmdd")&amp;"-"&amp;TEXT(COUNTIFS($E$6:$E616,$E616,$C$6:$C616,$C616),"000"))</f>
        <v/>
      </c>
      <c r="C616" s="130"/>
      <c r="D616" s="66" t="str">
        <f aca="false">IFERROR(INDEX(定数マスタ!$C$6:$C$105,MATCH($C616,定数マスタ!$B$6:$B$105,0)),"")</f>
        <v/>
      </c>
      <c r="E616" s="131"/>
      <c r="F616" s="130"/>
      <c r="G616" s="66" t="str">
        <f aca="false">IFERROR(INDEX(商品マスタ!$C$6:$C$1005,MATCH($F616,商品マスタ!$B$6:$B$1005,0)),"")</f>
        <v/>
      </c>
      <c r="H616" s="66" t="str">
        <f aca="false">IFERROR(INDEX(商品マスタ!$E$6:$E$1005,MATCH($F616,商品マスタ!$B$6:$B$1005,0)),"")</f>
        <v/>
      </c>
      <c r="I616" s="69" t="str">
        <f aca="false">IFERROR(INDEX(商品マスタ!$F$6:$F$1005,MATCH($F616,商品マスタ!$B$6:$B$1005,0)),"")</f>
        <v/>
      </c>
      <c r="J616" s="69" t="str">
        <f aca="false">IF(OR($F616="",$C616&lt;&gt;'設定（最初に1回）'!$C$4),"",IFERROR(INDEX(発注計算!$Y$6:$Y$405,MATCH($F616,発注計算!$C$6:$C$405,0)),""))</f>
        <v/>
      </c>
      <c r="K616" s="70"/>
      <c r="L616" s="69" t="str">
        <f aca="false">IF($K616="","",N($K616)*N($I616))</f>
        <v/>
      </c>
      <c r="M616" s="71" t="str">
        <f aca="false">IFERROR(INDEX(商品マスタ!$G$6:$G$1005,MATCH($F616,商品マスタ!$B$6:$B$1005,0)),"")</f>
        <v/>
      </c>
      <c r="N616" s="71" t="str">
        <f aca="false">IF($K616="","",N($K616)*N($M616))</f>
        <v/>
      </c>
      <c r="O616" s="66" t="str">
        <f aca="false">IFERROR(INDEX(商品マスタ!$H$6:$H$1005,MATCH($F616,商品マスタ!$B$6:$B$1005,0)),"")</f>
        <v/>
      </c>
      <c r="P616" s="87" t="str">
        <f aca="false">IF(OR($E616="",$O616=""),"",WORKDAY($E616,$O616))</f>
        <v/>
      </c>
      <c r="Q616" s="80"/>
      <c r="R616" s="131"/>
      <c r="S616" s="69" t="n">
        <f aca="false">IF($Q616="入荷済み",N($L616),0)</f>
        <v>0</v>
      </c>
      <c r="T616" s="80"/>
      <c r="U616" s="80"/>
    </row>
    <row r="617" customFormat="false" ht="15" hidden="false" customHeight="false" outlineLevel="0" collapsed="false">
      <c r="B617" s="66" t="str">
        <f aca="false">IF(OR($E617="",$F617=""),"","PO-"&amp;TEXT($E617,"yyyymmdd")&amp;"-"&amp;TEXT(COUNTIFS($E$6:$E617,$E617,$C$6:$C617,$C617),"000"))</f>
        <v/>
      </c>
      <c r="C617" s="130"/>
      <c r="D617" s="66" t="str">
        <f aca="false">IFERROR(INDEX(定数マスタ!$C$6:$C$105,MATCH($C617,定数マスタ!$B$6:$B$105,0)),"")</f>
        <v/>
      </c>
      <c r="E617" s="131"/>
      <c r="F617" s="130"/>
      <c r="G617" s="66" t="str">
        <f aca="false">IFERROR(INDEX(商品マスタ!$C$6:$C$1005,MATCH($F617,商品マスタ!$B$6:$B$1005,0)),"")</f>
        <v/>
      </c>
      <c r="H617" s="66" t="str">
        <f aca="false">IFERROR(INDEX(商品マスタ!$E$6:$E$1005,MATCH($F617,商品マスタ!$B$6:$B$1005,0)),"")</f>
        <v/>
      </c>
      <c r="I617" s="69" t="str">
        <f aca="false">IFERROR(INDEX(商品マスタ!$F$6:$F$1005,MATCH($F617,商品マスタ!$B$6:$B$1005,0)),"")</f>
        <v/>
      </c>
      <c r="J617" s="69" t="str">
        <f aca="false">IF(OR($F617="",$C617&lt;&gt;'設定（最初に1回）'!$C$4),"",IFERROR(INDEX(発注計算!$Y$6:$Y$405,MATCH($F617,発注計算!$C$6:$C$405,0)),""))</f>
        <v/>
      </c>
      <c r="K617" s="70"/>
      <c r="L617" s="69" t="str">
        <f aca="false">IF($K617="","",N($K617)*N($I617))</f>
        <v/>
      </c>
      <c r="M617" s="71" t="str">
        <f aca="false">IFERROR(INDEX(商品マスタ!$G$6:$G$1005,MATCH($F617,商品マスタ!$B$6:$B$1005,0)),"")</f>
        <v/>
      </c>
      <c r="N617" s="71" t="str">
        <f aca="false">IF($K617="","",N($K617)*N($M617))</f>
        <v/>
      </c>
      <c r="O617" s="66" t="str">
        <f aca="false">IFERROR(INDEX(商品マスタ!$H$6:$H$1005,MATCH($F617,商品マスタ!$B$6:$B$1005,0)),"")</f>
        <v/>
      </c>
      <c r="P617" s="87" t="str">
        <f aca="false">IF(OR($E617="",$O617=""),"",WORKDAY($E617,$O617))</f>
        <v/>
      </c>
      <c r="Q617" s="80"/>
      <c r="R617" s="131"/>
      <c r="S617" s="69" t="n">
        <f aca="false">IF($Q617="入荷済み",N($L617),0)</f>
        <v>0</v>
      </c>
      <c r="T617" s="80"/>
      <c r="U617" s="80"/>
    </row>
    <row r="618" customFormat="false" ht="15" hidden="false" customHeight="false" outlineLevel="0" collapsed="false">
      <c r="B618" s="66" t="str">
        <f aca="false">IF(OR($E618="",$F618=""),"","PO-"&amp;TEXT($E618,"yyyymmdd")&amp;"-"&amp;TEXT(COUNTIFS($E$6:$E618,$E618,$C$6:$C618,$C618),"000"))</f>
        <v/>
      </c>
      <c r="C618" s="130"/>
      <c r="D618" s="66" t="str">
        <f aca="false">IFERROR(INDEX(定数マスタ!$C$6:$C$105,MATCH($C618,定数マスタ!$B$6:$B$105,0)),"")</f>
        <v/>
      </c>
      <c r="E618" s="131"/>
      <c r="F618" s="130"/>
      <c r="G618" s="66" t="str">
        <f aca="false">IFERROR(INDEX(商品マスタ!$C$6:$C$1005,MATCH($F618,商品マスタ!$B$6:$B$1005,0)),"")</f>
        <v/>
      </c>
      <c r="H618" s="66" t="str">
        <f aca="false">IFERROR(INDEX(商品マスタ!$E$6:$E$1005,MATCH($F618,商品マスタ!$B$6:$B$1005,0)),"")</f>
        <v/>
      </c>
      <c r="I618" s="69" t="str">
        <f aca="false">IFERROR(INDEX(商品マスタ!$F$6:$F$1005,MATCH($F618,商品マスタ!$B$6:$B$1005,0)),"")</f>
        <v/>
      </c>
      <c r="J618" s="69" t="str">
        <f aca="false">IF(OR($F618="",$C618&lt;&gt;'設定（最初に1回）'!$C$4),"",IFERROR(INDEX(発注計算!$Y$6:$Y$405,MATCH($F618,発注計算!$C$6:$C$405,0)),""))</f>
        <v/>
      </c>
      <c r="K618" s="70"/>
      <c r="L618" s="69" t="str">
        <f aca="false">IF($K618="","",N($K618)*N($I618))</f>
        <v/>
      </c>
      <c r="M618" s="71" t="str">
        <f aca="false">IFERROR(INDEX(商品マスタ!$G$6:$G$1005,MATCH($F618,商品マスタ!$B$6:$B$1005,0)),"")</f>
        <v/>
      </c>
      <c r="N618" s="71" t="str">
        <f aca="false">IF($K618="","",N($K618)*N($M618))</f>
        <v/>
      </c>
      <c r="O618" s="66" t="str">
        <f aca="false">IFERROR(INDEX(商品マスタ!$H$6:$H$1005,MATCH($F618,商品マスタ!$B$6:$B$1005,0)),"")</f>
        <v/>
      </c>
      <c r="P618" s="87" t="str">
        <f aca="false">IF(OR($E618="",$O618=""),"",WORKDAY($E618,$O618))</f>
        <v/>
      </c>
      <c r="Q618" s="80"/>
      <c r="R618" s="131"/>
      <c r="S618" s="69" t="n">
        <f aca="false">IF($Q618="入荷済み",N($L618),0)</f>
        <v>0</v>
      </c>
      <c r="T618" s="80"/>
      <c r="U618" s="80"/>
    </row>
    <row r="619" customFormat="false" ht="15" hidden="false" customHeight="false" outlineLevel="0" collapsed="false">
      <c r="B619" s="66" t="str">
        <f aca="false">IF(OR($E619="",$F619=""),"","PO-"&amp;TEXT($E619,"yyyymmdd")&amp;"-"&amp;TEXT(COUNTIFS($E$6:$E619,$E619,$C$6:$C619,$C619),"000"))</f>
        <v/>
      </c>
      <c r="C619" s="130"/>
      <c r="D619" s="66" t="str">
        <f aca="false">IFERROR(INDEX(定数マスタ!$C$6:$C$105,MATCH($C619,定数マスタ!$B$6:$B$105,0)),"")</f>
        <v/>
      </c>
      <c r="E619" s="131"/>
      <c r="F619" s="130"/>
      <c r="G619" s="66" t="str">
        <f aca="false">IFERROR(INDEX(商品マスタ!$C$6:$C$1005,MATCH($F619,商品マスタ!$B$6:$B$1005,0)),"")</f>
        <v/>
      </c>
      <c r="H619" s="66" t="str">
        <f aca="false">IFERROR(INDEX(商品マスタ!$E$6:$E$1005,MATCH($F619,商品マスタ!$B$6:$B$1005,0)),"")</f>
        <v/>
      </c>
      <c r="I619" s="69" t="str">
        <f aca="false">IFERROR(INDEX(商品マスタ!$F$6:$F$1005,MATCH($F619,商品マスタ!$B$6:$B$1005,0)),"")</f>
        <v/>
      </c>
      <c r="J619" s="69" t="str">
        <f aca="false">IF(OR($F619="",$C619&lt;&gt;'設定（最初に1回）'!$C$4),"",IFERROR(INDEX(発注計算!$Y$6:$Y$405,MATCH($F619,発注計算!$C$6:$C$405,0)),""))</f>
        <v/>
      </c>
      <c r="K619" s="70"/>
      <c r="L619" s="69" t="str">
        <f aca="false">IF($K619="","",N($K619)*N($I619))</f>
        <v/>
      </c>
      <c r="M619" s="71" t="str">
        <f aca="false">IFERROR(INDEX(商品マスタ!$G$6:$G$1005,MATCH($F619,商品マスタ!$B$6:$B$1005,0)),"")</f>
        <v/>
      </c>
      <c r="N619" s="71" t="str">
        <f aca="false">IF($K619="","",N($K619)*N($M619))</f>
        <v/>
      </c>
      <c r="O619" s="66" t="str">
        <f aca="false">IFERROR(INDEX(商品マスタ!$H$6:$H$1005,MATCH($F619,商品マスタ!$B$6:$B$1005,0)),"")</f>
        <v/>
      </c>
      <c r="P619" s="87" t="str">
        <f aca="false">IF(OR($E619="",$O619=""),"",WORKDAY($E619,$O619))</f>
        <v/>
      </c>
      <c r="Q619" s="80"/>
      <c r="R619" s="131"/>
      <c r="S619" s="69" t="n">
        <f aca="false">IF($Q619="入荷済み",N($L619),0)</f>
        <v>0</v>
      </c>
      <c r="T619" s="80"/>
      <c r="U619" s="80"/>
    </row>
    <row r="620" customFormat="false" ht="15" hidden="false" customHeight="false" outlineLevel="0" collapsed="false">
      <c r="B620" s="66" t="str">
        <f aca="false">IF(OR($E620="",$F620=""),"","PO-"&amp;TEXT($E620,"yyyymmdd")&amp;"-"&amp;TEXT(COUNTIFS($E$6:$E620,$E620,$C$6:$C620,$C620),"000"))</f>
        <v/>
      </c>
      <c r="C620" s="130"/>
      <c r="D620" s="66" t="str">
        <f aca="false">IFERROR(INDEX(定数マスタ!$C$6:$C$105,MATCH($C620,定数マスタ!$B$6:$B$105,0)),"")</f>
        <v/>
      </c>
      <c r="E620" s="131"/>
      <c r="F620" s="130"/>
      <c r="G620" s="66" t="str">
        <f aca="false">IFERROR(INDEX(商品マスタ!$C$6:$C$1005,MATCH($F620,商品マスタ!$B$6:$B$1005,0)),"")</f>
        <v/>
      </c>
      <c r="H620" s="66" t="str">
        <f aca="false">IFERROR(INDEX(商品マスタ!$E$6:$E$1005,MATCH($F620,商品マスタ!$B$6:$B$1005,0)),"")</f>
        <v/>
      </c>
      <c r="I620" s="69" t="str">
        <f aca="false">IFERROR(INDEX(商品マスタ!$F$6:$F$1005,MATCH($F620,商品マスタ!$B$6:$B$1005,0)),"")</f>
        <v/>
      </c>
      <c r="J620" s="69" t="str">
        <f aca="false">IF(OR($F620="",$C620&lt;&gt;'設定（最初に1回）'!$C$4),"",IFERROR(INDEX(発注計算!$Y$6:$Y$405,MATCH($F620,発注計算!$C$6:$C$405,0)),""))</f>
        <v/>
      </c>
      <c r="K620" s="70"/>
      <c r="L620" s="69" t="str">
        <f aca="false">IF($K620="","",N($K620)*N($I620))</f>
        <v/>
      </c>
      <c r="M620" s="71" t="str">
        <f aca="false">IFERROR(INDEX(商品マスタ!$G$6:$G$1005,MATCH($F620,商品マスタ!$B$6:$B$1005,0)),"")</f>
        <v/>
      </c>
      <c r="N620" s="71" t="str">
        <f aca="false">IF($K620="","",N($K620)*N($M620))</f>
        <v/>
      </c>
      <c r="O620" s="66" t="str">
        <f aca="false">IFERROR(INDEX(商品マスタ!$H$6:$H$1005,MATCH($F620,商品マスタ!$B$6:$B$1005,0)),"")</f>
        <v/>
      </c>
      <c r="P620" s="87" t="str">
        <f aca="false">IF(OR($E620="",$O620=""),"",WORKDAY($E620,$O620))</f>
        <v/>
      </c>
      <c r="Q620" s="80"/>
      <c r="R620" s="131"/>
      <c r="S620" s="69" t="n">
        <f aca="false">IF($Q620="入荷済み",N($L620),0)</f>
        <v>0</v>
      </c>
      <c r="T620" s="80"/>
      <c r="U620" s="80"/>
    </row>
    <row r="621" customFormat="false" ht="15" hidden="false" customHeight="false" outlineLevel="0" collapsed="false">
      <c r="B621" s="66" t="str">
        <f aca="false">IF(OR($E621="",$F621=""),"","PO-"&amp;TEXT($E621,"yyyymmdd")&amp;"-"&amp;TEXT(COUNTIFS($E$6:$E621,$E621,$C$6:$C621,$C621),"000"))</f>
        <v/>
      </c>
      <c r="C621" s="130"/>
      <c r="D621" s="66" t="str">
        <f aca="false">IFERROR(INDEX(定数マスタ!$C$6:$C$105,MATCH($C621,定数マスタ!$B$6:$B$105,0)),"")</f>
        <v/>
      </c>
      <c r="E621" s="131"/>
      <c r="F621" s="130"/>
      <c r="G621" s="66" t="str">
        <f aca="false">IFERROR(INDEX(商品マスタ!$C$6:$C$1005,MATCH($F621,商品マスタ!$B$6:$B$1005,0)),"")</f>
        <v/>
      </c>
      <c r="H621" s="66" t="str">
        <f aca="false">IFERROR(INDEX(商品マスタ!$E$6:$E$1005,MATCH($F621,商品マスタ!$B$6:$B$1005,0)),"")</f>
        <v/>
      </c>
      <c r="I621" s="69" t="str">
        <f aca="false">IFERROR(INDEX(商品マスタ!$F$6:$F$1005,MATCH($F621,商品マスタ!$B$6:$B$1005,0)),"")</f>
        <v/>
      </c>
      <c r="J621" s="69" t="str">
        <f aca="false">IF(OR($F621="",$C621&lt;&gt;'設定（最初に1回）'!$C$4),"",IFERROR(INDEX(発注計算!$Y$6:$Y$405,MATCH($F621,発注計算!$C$6:$C$405,0)),""))</f>
        <v/>
      </c>
      <c r="K621" s="70"/>
      <c r="L621" s="69" t="str">
        <f aca="false">IF($K621="","",N($K621)*N($I621))</f>
        <v/>
      </c>
      <c r="M621" s="71" t="str">
        <f aca="false">IFERROR(INDEX(商品マスタ!$G$6:$G$1005,MATCH($F621,商品マスタ!$B$6:$B$1005,0)),"")</f>
        <v/>
      </c>
      <c r="N621" s="71" t="str">
        <f aca="false">IF($K621="","",N($K621)*N($M621))</f>
        <v/>
      </c>
      <c r="O621" s="66" t="str">
        <f aca="false">IFERROR(INDEX(商品マスタ!$H$6:$H$1005,MATCH($F621,商品マスタ!$B$6:$B$1005,0)),"")</f>
        <v/>
      </c>
      <c r="P621" s="87" t="str">
        <f aca="false">IF(OR($E621="",$O621=""),"",WORKDAY($E621,$O621))</f>
        <v/>
      </c>
      <c r="Q621" s="80"/>
      <c r="R621" s="131"/>
      <c r="S621" s="69" t="n">
        <f aca="false">IF($Q621="入荷済み",N($L621),0)</f>
        <v>0</v>
      </c>
      <c r="T621" s="80"/>
      <c r="U621" s="80"/>
    </row>
    <row r="622" customFormat="false" ht="15" hidden="false" customHeight="false" outlineLevel="0" collapsed="false">
      <c r="B622" s="66" t="str">
        <f aca="false">IF(OR($E622="",$F622=""),"","PO-"&amp;TEXT($E622,"yyyymmdd")&amp;"-"&amp;TEXT(COUNTIFS($E$6:$E622,$E622,$C$6:$C622,$C622),"000"))</f>
        <v/>
      </c>
      <c r="C622" s="130"/>
      <c r="D622" s="66" t="str">
        <f aca="false">IFERROR(INDEX(定数マスタ!$C$6:$C$105,MATCH($C622,定数マスタ!$B$6:$B$105,0)),"")</f>
        <v/>
      </c>
      <c r="E622" s="131"/>
      <c r="F622" s="130"/>
      <c r="G622" s="66" t="str">
        <f aca="false">IFERROR(INDEX(商品マスタ!$C$6:$C$1005,MATCH($F622,商品マスタ!$B$6:$B$1005,0)),"")</f>
        <v/>
      </c>
      <c r="H622" s="66" t="str">
        <f aca="false">IFERROR(INDEX(商品マスタ!$E$6:$E$1005,MATCH($F622,商品マスタ!$B$6:$B$1005,0)),"")</f>
        <v/>
      </c>
      <c r="I622" s="69" t="str">
        <f aca="false">IFERROR(INDEX(商品マスタ!$F$6:$F$1005,MATCH($F622,商品マスタ!$B$6:$B$1005,0)),"")</f>
        <v/>
      </c>
      <c r="J622" s="69" t="str">
        <f aca="false">IF(OR($F622="",$C622&lt;&gt;'設定（最初に1回）'!$C$4),"",IFERROR(INDEX(発注計算!$Y$6:$Y$405,MATCH($F622,発注計算!$C$6:$C$405,0)),""))</f>
        <v/>
      </c>
      <c r="K622" s="70"/>
      <c r="L622" s="69" t="str">
        <f aca="false">IF($K622="","",N($K622)*N($I622))</f>
        <v/>
      </c>
      <c r="M622" s="71" t="str">
        <f aca="false">IFERROR(INDEX(商品マスタ!$G$6:$G$1005,MATCH($F622,商品マスタ!$B$6:$B$1005,0)),"")</f>
        <v/>
      </c>
      <c r="N622" s="71" t="str">
        <f aca="false">IF($K622="","",N($K622)*N($M622))</f>
        <v/>
      </c>
      <c r="O622" s="66" t="str">
        <f aca="false">IFERROR(INDEX(商品マスタ!$H$6:$H$1005,MATCH($F622,商品マスタ!$B$6:$B$1005,0)),"")</f>
        <v/>
      </c>
      <c r="P622" s="87" t="str">
        <f aca="false">IF(OR($E622="",$O622=""),"",WORKDAY($E622,$O622))</f>
        <v/>
      </c>
      <c r="Q622" s="80"/>
      <c r="R622" s="131"/>
      <c r="S622" s="69" t="n">
        <f aca="false">IF($Q622="入荷済み",N($L622),0)</f>
        <v>0</v>
      </c>
      <c r="T622" s="80"/>
      <c r="U622" s="80"/>
    </row>
    <row r="623" customFormat="false" ht="15" hidden="false" customHeight="false" outlineLevel="0" collapsed="false">
      <c r="B623" s="66" t="str">
        <f aca="false">IF(OR($E623="",$F623=""),"","PO-"&amp;TEXT($E623,"yyyymmdd")&amp;"-"&amp;TEXT(COUNTIFS($E$6:$E623,$E623,$C$6:$C623,$C623),"000"))</f>
        <v/>
      </c>
      <c r="C623" s="130"/>
      <c r="D623" s="66" t="str">
        <f aca="false">IFERROR(INDEX(定数マスタ!$C$6:$C$105,MATCH($C623,定数マスタ!$B$6:$B$105,0)),"")</f>
        <v/>
      </c>
      <c r="E623" s="131"/>
      <c r="F623" s="130"/>
      <c r="G623" s="66" t="str">
        <f aca="false">IFERROR(INDEX(商品マスタ!$C$6:$C$1005,MATCH($F623,商品マスタ!$B$6:$B$1005,0)),"")</f>
        <v/>
      </c>
      <c r="H623" s="66" t="str">
        <f aca="false">IFERROR(INDEX(商品マスタ!$E$6:$E$1005,MATCH($F623,商品マスタ!$B$6:$B$1005,0)),"")</f>
        <v/>
      </c>
      <c r="I623" s="69" t="str">
        <f aca="false">IFERROR(INDEX(商品マスタ!$F$6:$F$1005,MATCH($F623,商品マスタ!$B$6:$B$1005,0)),"")</f>
        <v/>
      </c>
      <c r="J623" s="69" t="str">
        <f aca="false">IF(OR($F623="",$C623&lt;&gt;'設定（最初に1回）'!$C$4),"",IFERROR(INDEX(発注計算!$Y$6:$Y$405,MATCH($F623,発注計算!$C$6:$C$405,0)),""))</f>
        <v/>
      </c>
      <c r="K623" s="70"/>
      <c r="L623" s="69" t="str">
        <f aca="false">IF($K623="","",N($K623)*N($I623))</f>
        <v/>
      </c>
      <c r="M623" s="71" t="str">
        <f aca="false">IFERROR(INDEX(商品マスタ!$G$6:$G$1005,MATCH($F623,商品マスタ!$B$6:$B$1005,0)),"")</f>
        <v/>
      </c>
      <c r="N623" s="71" t="str">
        <f aca="false">IF($K623="","",N($K623)*N($M623))</f>
        <v/>
      </c>
      <c r="O623" s="66" t="str">
        <f aca="false">IFERROR(INDEX(商品マスタ!$H$6:$H$1005,MATCH($F623,商品マスタ!$B$6:$B$1005,0)),"")</f>
        <v/>
      </c>
      <c r="P623" s="87" t="str">
        <f aca="false">IF(OR($E623="",$O623=""),"",WORKDAY($E623,$O623))</f>
        <v/>
      </c>
      <c r="Q623" s="80"/>
      <c r="R623" s="131"/>
      <c r="S623" s="69" t="n">
        <f aca="false">IF($Q623="入荷済み",N($L623),0)</f>
        <v>0</v>
      </c>
      <c r="T623" s="80"/>
      <c r="U623" s="80"/>
    </row>
    <row r="624" customFormat="false" ht="15" hidden="false" customHeight="false" outlineLevel="0" collapsed="false">
      <c r="B624" s="66" t="str">
        <f aca="false">IF(OR($E624="",$F624=""),"","PO-"&amp;TEXT($E624,"yyyymmdd")&amp;"-"&amp;TEXT(COUNTIFS($E$6:$E624,$E624,$C$6:$C624,$C624),"000"))</f>
        <v/>
      </c>
      <c r="C624" s="130"/>
      <c r="D624" s="66" t="str">
        <f aca="false">IFERROR(INDEX(定数マスタ!$C$6:$C$105,MATCH($C624,定数マスタ!$B$6:$B$105,0)),"")</f>
        <v/>
      </c>
      <c r="E624" s="131"/>
      <c r="F624" s="130"/>
      <c r="G624" s="66" t="str">
        <f aca="false">IFERROR(INDEX(商品マスタ!$C$6:$C$1005,MATCH($F624,商品マスタ!$B$6:$B$1005,0)),"")</f>
        <v/>
      </c>
      <c r="H624" s="66" t="str">
        <f aca="false">IFERROR(INDEX(商品マスタ!$E$6:$E$1005,MATCH($F624,商品マスタ!$B$6:$B$1005,0)),"")</f>
        <v/>
      </c>
      <c r="I624" s="69" t="str">
        <f aca="false">IFERROR(INDEX(商品マスタ!$F$6:$F$1005,MATCH($F624,商品マスタ!$B$6:$B$1005,0)),"")</f>
        <v/>
      </c>
      <c r="J624" s="69" t="str">
        <f aca="false">IF(OR($F624="",$C624&lt;&gt;'設定（最初に1回）'!$C$4),"",IFERROR(INDEX(発注計算!$Y$6:$Y$405,MATCH($F624,発注計算!$C$6:$C$405,0)),""))</f>
        <v/>
      </c>
      <c r="K624" s="70"/>
      <c r="L624" s="69" t="str">
        <f aca="false">IF($K624="","",N($K624)*N($I624))</f>
        <v/>
      </c>
      <c r="M624" s="71" t="str">
        <f aca="false">IFERROR(INDEX(商品マスタ!$G$6:$G$1005,MATCH($F624,商品マスタ!$B$6:$B$1005,0)),"")</f>
        <v/>
      </c>
      <c r="N624" s="71" t="str">
        <f aca="false">IF($K624="","",N($K624)*N($M624))</f>
        <v/>
      </c>
      <c r="O624" s="66" t="str">
        <f aca="false">IFERROR(INDEX(商品マスタ!$H$6:$H$1005,MATCH($F624,商品マスタ!$B$6:$B$1005,0)),"")</f>
        <v/>
      </c>
      <c r="P624" s="87" t="str">
        <f aca="false">IF(OR($E624="",$O624=""),"",WORKDAY($E624,$O624))</f>
        <v/>
      </c>
      <c r="Q624" s="80"/>
      <c r="R624" s="131"/>
      <c r="S624" s="69" t="n">
        <f aca="false">IF($Q624="入荷済み",N($L624),0)</f>
        <v>0</v>
      </c>
      <c r="T624" s="80"/>
      <c r="U624" s="80"/>
    </row>
    <row r="625" customFormat="false" ht="15" hidden="false" customHeight="false" outlineLevel="0" collapsed="false">
      <c r="B625" s="66" t="str">
        <f aca="false">IF(OR($E625="",$F625=""),"","PO-"&amp;TEXT($E625,"yyyymmdd")&amp;"-"&amp;TEXT(COUNTIFS($E$6:$E625,$E625,$C$6:$C625,$C625),"000"))</f>
        <v/>
      </c>
      <c r="C625" s="130"/>
      <c r="D625" s="66" t="str">
        <f aca="false">IFERROR(INDEX(定数マスタ!$C$6:$C$105,MATCH($C625,定数マスタ!$B$6:$B$105,0)),"")</f>
        <v/>
      </c>
      <c r="E625" s="131"/>
      <c r="F625" s="130"/>
      <c r="G625" s="66" t="str">
        <f aca="false">IFERROR(INDEX(商品マスタ!$C$6:$C$1005,MATCH($F625,商品マスタ!$B$6:$B$1005,0)),"")</f>
        <v/>
      </c>
      <c r="H625" s="66" t="str">
        <f aca="false">IFERROR(INDEX(商品マスタ!$E$6:$E$1005,MATCH($F625,商品マスタ!$B$6:$B$1005,0)),"")</f>
        <v/>
      </c>
      <c r="I625" s="69" t="str">
        <f aca="false">IFERROR(INDEX(商品マスタ!$F$6:$F$1005,MATCH($F625,商品マスタ!$B$6:$B$1005,0)),"")</f>
        <v/>
      </c>
      <c r="J625" s="69" t="str">
        <f aca="false">IF(OR($F625="",$C625&lt;&gt;'設定（最初に1回）'!$C$4),"",IFERROR(INDEX(発注計算!$Y$6:$Y$405,MATCH($F625,発注計算!$C$6:$C$405,0)),""))</f>
        <v/>
      </c>
      <c r="K625" s="70"/>
      <c r="L625" s="69" t="str">
        <f aca="false">IF($K625="","",N($K625)*N($I625))</f>
        <v/>
      </c>
      <c r="M625" s="71" t="str">
        <f aca="false">IFERROR(INDEX(商品マスタ!$G$6:$G$1005,MATCH($F625,商品マスタ!$B$6:$B$1005,0)),"")</f>
        <v/>
      </c>
      <c r="N625" s="71" t="str">
        <f aca="false">IF($K625="","",N($K625)*N($M625))</f>
        <v/>
      </c>
      <c r="O625" s="66" t="str">
        <f aca="false">IFERROR(INDEX(商品マスタ!$H$6:$H$1005,MATCH($F625,商品マスタ!$B$6:$B$1005,0)),"")</f>
        <v/>
      </c>
      <c r="P625" s="87" t="str">
        <f aca="false">IF(OR($E625="",$O625=""),"",WORKDAY($E625,$O625))</f>
        <v/>
      </c>
      <c r="Q625" s="80"/>
      <c r="R625" s="131"/>
      <c r="S625" s="69" t="n">
        <f aca="false">IF($Q625="入荷済み",N($L625),0)</f>
        <v>0</v>
      </c>
      <c r="T625" s="80"/>
      <c r="U625" s="80"/>
    </row>
    <row r="626" customFormat="false" ht="15" hidden="false" customHeight="false" outlineLevel="0" collapsed="false">
      <c r="B626" s="66" t="str">
        <f aca="false">IF(OR($E626="",$F626=""),"","PO-"&amp;TEXT($E626,"yyyymmdd")&amp;"-"&amp;TEXT(COUNTIFS($E$6:$E626,$E626,$C$6:$C626,$C626),"000"))</f>
        <v/>
      </c>
      <c r="C626" s="130"/>
      <c r="D626" s="66" t="str">
        <f aca="false">IFERROR(INDEX(定数マスタ!$C$6:$C$105,MATCH($C626,定数マスタ!$B$6:$B$105,0)),"")</f>
        <v/>
      </c>
      <c r="E626" s="131"/>
      <c r="F626" s="130"/>
      <c r="G626" s="66" t="str">
        <f aca="false">IFERROR(INDEX(商品マスタ!$C$6:$C$1005,MATCH($F626,商品マスタ!$B$6:$B$1005,0)),"")</f>
        <v/>
      </c>
      <c r="H626" s="66" t="str">
        <f aca="false">IFERROR(INDEX(商品マスタ!$E$6:$E$1005,MATCH($F626,商品マスタ!$B$6:$B$1005,0)),"")</f>
        <v/>
      </c>
      <c r="I626" s="69" t="str">
        <f aca="false">IFERROR(INDEX(商品マスタ!$F$6:$F$1005,MATCH($F626,商品マスタ!$B$6:$B$1005,0)),"")</f>
        <v/>
      </c>
      <c r="J626" s="69" t="str">
        <f aca="false">IF(OR($F626="",$C626&lt;&gt;'設定（最初に1回）'!$C$4),"",IFERROR(INDEX(発注計算!$Y$6:$Y$405,MATCH($F626,発注計算!$C$6:$C$405,0)),""))</f>
        <v/>
      </c>
      <c r="K626" s="70"/>
      <c r="L626" s="69" t="str">
        <f aca="false">IF($K626="","",N($K626)*N($I626))</f>
        <v/>
      </c>
      <c r="M626" s="71" t="str">
        <f aca="false">IFERROR(INDEX(商品マスタ!$G$6:$G$1005,MATCH($F626,商品マスタ!$B$6:$B$1005,0)),"")</f>
        <v/>
      </c>
      <c r="N626" s="71" t="str">
        <f aca="false">IF($K626="","",N($K626)*N($M626))</f>
        <v/>
      </c>
      <c r="O626" s="66" t="str">
        <f aca="false">IFERROR(INDEX(商品マスタ!$H$6:$H$1005,MATCH($F626,商品マスタ!$B$6:$B$1005,0)),"")</f>
        <v/>
      </c>
      <c r="P626" s="87" t="str">
        <f aca="false">IF(OR($E626="",$O626=""),"",WORKDAY($E626,$O626))</f>
        <v/>
      </c>
      <c r="Q626" s="80"/>
      <c r="R626" s="131"/>
      <c r="S626" s="69" t="n">
        <f aca="false">IF($Q626="入荷済み",N($L626),0)</f>
        <v>0</v>
      </c>
      <c r="T626" s="80"/>
      <c r="U626" s="80"/>
    </row>
    <row r="627" customFormat="false" ht="15" hidden="false" customHeight="false" outlineLevel="0" collapsed="false">
      <c r="B627" s="66" t="str">
        <f aca="false">IF(OR($E627="",$F627=""),"","PO-"&amp;TEXT($E627,"yyyymmdd")&amp;"-"&amp;TEXT(COUNTIFS($E$6:$E627,$E627,$C$6:$C627,$C627),"000"))</f>
        <v/>
      </c>
      <c r="C627" s="130"/>
      <c r="D627" s="66" t="str">
        <f aca="false">IFERROR(INDEX(定数マスタ!$C$6:$C$105,MATCH($C627,定数マスタ!$B$6:$B$105,0)),"")</f>
        <v/>
      </c>
      <c r="E627" s="131"/>
      <c r="F627" s="130"/>
      <c r="G627" s="66" t="str">
        <f aca="false">IFERROR(INDEX(商品マスタ!$C$6:$C$1005,MATCH($F627,商品マスタ!$B$6:$B$1005,0)),"")</f>
        <v/>
      </c>
      <c r="H627" s="66" t="str">
        <f aca="false">IFERROR(INDEX(商品マスタ!$E$6:$E$1005,MATCH($F627,商品マスタ!$B$6:$B$1005,0)),"")</f>
        <v/>
      </c>
      <c r="I627" s="69" t="str">
        <f aca="false">IFERROR(INDEX(商品マスタ!$F$6:$F$1005,MATCH($F627,商品マスタ!$B$6:$B$1005,0)),"")</f>
        <v/>
      </c>
      <c r="J627" s="69" t="str">
        <f aca="false">IF(OR($F627="",$C627&lt;&gt;'設定（最初に1回）'!$C$4),"",IFERROR(INDEX(発注計算!$Y$6:$Y$405,MATCH($F627,発注計算!$C$6:$C$405,0)),""))</f>
        <v/>
      </c>
      <c r="K627" s="70"/>
      <c r="L627" s="69" t="str">
        <f aca="false">IF($K627="","",N($K627)*N($I627))</f>
        <v/>
      </c>
      <c r="M627" s="71" t="str">
        <f aca="false">IFERROR(INDEX(商品マスタ!$G$6:$G$1005,MATCH($F627,商品マスタ!$B$6:$B$1005,0)),"")</f>
        <v/>
      </c>
      <c r="N627" s="71" t="str">
        <f aca="false">IF($K627="","",N($K627)*N($M627))</f>
        <v/>
      </c>
      <c r="O627" s="66" t="str">
        <f aca="false">IFERROR(INDEX(商品マスタ!$H$6:$H$1005,MATCH($F627,商品マスタ!$B$6:$B$1005,0)),"")</f>
        <v/>
      </c>
      <c r="P627" s="87" t="str">
        <f aca="false">IF(OR($E627="",$O627=""),"",WORKDAY($E627,$O627))</f>
        <v/>
      </c>
      <c r="Q627" s="80"/>
      <c r="R627" s="131"/>
      <c r="S627" s="69" t="n">
        <f aca="false">IF($Q627="入荷済み",N($L627),0)</f>
        <v>0</v>
      </c>
      <c r="T627" s="80"/>
      <c r="U627" s="80"/>
    </row>
    <row r="628" customFormat="false" ht="15" hidden="false" customHeight="false" outlineLevel="0" collapsed="false">
      <c r="B628" s="66" t="str">
        <f aca="false">IF(OR($E628="",$F628=""),"","PO-"&amp;TEXT($E628,"yyyymmdd")&amp;"-"&amp;TEXT(COUNTIFS($E$6:$E628,$E628,$C$6:$C628,$C628),"000"))</f>
        <v/>
      </c>
      <c r="C628" s="130"/>
      <c r="D628" s="66" t="str">
        <f aca="false">IFERROR(INDEX(定数マスタ!$C$6:$C$105,MATCH($C628,定数マスタ!$B$6:$B$105,0)),"")</f>
        <v/>
      </c>
      <c r="E628" s="131"/>
      <c r="F628" s="130"/>
      <c r="G628" s="66" t="str">
        <f aca="false">IFERROR(INDEX(商品マスタ!$C$6:$C$1005,MATCH($F628,商品マスタ!$B$6:$B$1005,0)),"")</f>
        <v/>
      </c>
      <c r="H628" s="66" t="str">
        <f aca="false">IFERROR(INDEX(商品マスタ!$E$6:$E$1005,MATCH($F628,商品マスタ!$B$6:$B$1005,0)),"")</f>
        <v/>
      </c>
      <c r="I628" s="69" t="str">
        <f aca="false">IFERROR(INDEX(商品マスタ!$F$6:$F$1005,MATCH($F628,商品マスタ!$B$6:$B$1005,0)),"")</f>
        <v/>
      </c>
      <c r="J628" s="69" t="str">
        <f aca="false">IF(OR($F628="",$C628&lt;&gt;'設定（最初に1回）'!$C$4),"",IFERROR(INDEX(発注計算!$Y$6:$Y$405,MATCH($F628,発注計算!$C$6:$C$405,0)),""))</f>
        <v/>
      </c>
      <c r="K628" s="70"/>
      <c r="L628" s="69" t="str">
        <f aca="false">IF($K628="","",N($K628)*N($I628))</f>
        <v/>
      </c>
      <c r="M628" s="71" t="str">
        <f aca="false">IFERROR(INDEX(商品マスタ!$G$6:$G$1005,MATCH($F628,商品マスタ!$B$6:$B$1005,0)),"")</f>
        <v/>
      </c>
      <c r="N628" s="71" t="str">
        <f aca="false">IF($K628="","",N($K628)*N($M628))</f>
        <v/>
      </c>
      <c r="O628" s="66" t="str">
        <f aca="false">IFERROR(INDEX(商品マスタ!$H$6:$H$1005,MATCH($F628,商品マスタ!$B$6:$B$1005,0)),"")</f>
        <v/>
      </c>
      <c r="P628" s="87" t="str">
        <f aca="false">IF(OR($E628="",$O628=""),"",WORKDAY($E628,$O628))</f>
        <v/>
      </c>
      <c r="Q628" s="80"/>
      <c r="R628" s="131"/>
      <c r="S628" s="69" t="n">
        <f aca="false">IF($Q628="入荷済み",N($L628),0)</f>
        <v>0</v>
      </c>
      <c r="T628" s="80"/>
      <c r="U628" s="80"/>
    </row>
    <row r="629" customFormat="false" ht="15" hidden="false" customHeight="false" outlineLevel="0" collapsed="false">
      <c r="B629" s="66" t="str">
        <f aca="false">IF(OR($E629="",$F629=""),"","PO-"&amp;TEXT($E629,"yyyymmdd")&amp;"-"&amp;TEXT(COUNTIFS($E$6:$E629,$E629,$C$6:$C629,$C629),"000"))</f>
        <v/>
      </c>
      <c r="C629" s="130"/>
      <c r="D629" s="66" t="str">
        <f aca="false">IFERROR(INDEX(定数マスタ!$C$6:$C$105,MATCH($C629,定数マスタ!$B$6:$B$105,0)),"")</f>
        <v/>
      </c>
      <c r="E629" s="131"/>
      <c r="F629" s="130"/>
      <c r="G629" s="66" t="str">
        <f aca="false">IFERROR(INDEX(商品マスタ!$C$6:$C$1005,MATCH($F629,商品マスタ!$B$6:$B$1005,0)),"")</f>
        <v/>
      </c>
      <c r="H629" s="66" t="str">
        <f aca="false">IFERROR(INDEX(商品マスタ!$E$6:$E$1005,MATCH($F629,商品マスタ!$B$6:$B$1005,0)),"")</f>
        <v/>
      </c>
      <c r="I629" s="69" t="str">
        <f aca="false">IFERROR(INDEX(商品マスタ!$F$6:$F$1005,MATCH($F629,商品マスタ!$B$6:$B$1005,0)),"")</f>
        <v/>
      </c>
      <c r="J629" s="69" t="str">
        <f aca="false">IF(OR($F629="",$C629&lt;&gt;'設定（最初に1回）'!$C$4),"",IFERROR(INDEX(発注計算!$Y$6:$Y$405,MATCH($F629,発注計算!$C$6:$C$405,0)),""))</f>
        <v/>
      </c>
      <c r="K629" s="70"/>
      <c r="L629" s="69" t="str">
        <f aca="false">IF($K629="","",N($K629)*N($I629))</f>
        <v/>
      </c>
      <c r="M629" s="71" t="str">
        <f aca="false">IFERROR(INDEX(商品マスタ!$G$6:$G$1005,MATCH($F629,商品マスタ!$B$6:$B$1005,0)),"")</f>
        <v/>
      </c>
      <c r="N629" s="71" t="str">
        <f aca="false">IF($K629="","",N($K629)*N($M629))</f>
        <v/>
      </c>
      <c r="O629" s="66" t="str">
        <f aca="false">IFERROR(INDEX(商品マスタ!$H$6:$H$1005,MATCH($F629,商品マスタ!$B$6:$B$1005,0)),"")</f>
        <v/>
      </c>
      <c r="P629" s="87" t="str">
        <f aca="false">IF(OR($E629="",$O629=""),"",WORKDAY($E629,$O629))</f>
        <v/>
      </c>
      <c r="Q629" s="80"/>
      <c r="R629" s="131"/>
      <c r="S629" s="69" t="n">
        <f aca="false">IF($Q629="入荷済み",N($L629),0)</f>
        <v>0</v>
      </c>
      <c r="T629" s="80"/>
      <c r="U629" s="80"/>
    </row>
    <row r="630" customFormat="false" ht="15" hidden="false" customHeight="false" outlineLevel="0" collapsed="false">
      <c r="B630" s="66" t="str">
        <f aca="false">IF(OR($E630="",$F630=""),"","PO-"&amp;TEXT($E630,"yyyymmdd")&amp;"-"&amp;TEXT(COUNTIFS($E$6:$E630,$E630,$C$6:$C630,$C630),"000"))</f>
        <v/>
      </c>
      <c r="C630" s="130"/>
      <c r="D630" s="66" t="str">
        <f aca="false">IFERROR(INDEX(定数マスタ!$C$6:$C$105,MATCH($C630,定数マスタ!$B$6:$B$105,0)),"")</f>
        <v/>
      </c>
      <c r="E630" s="131"/>
      <c r="F630" s="130"/>
      <c r="G630" s="66" t="str">
        <f aca="false">IFERROR(INDEX(商品マスタ!$C$6:$C$1005,MATCH($F630,商品マスタ!$B$6:$B$1005,0)),"")</f>
        <v/>
      </c>
      <c r="H630" s="66" t="str">
        <f aca="false">IFERROR(INDEX(商品マスタ!$E$6:$E$1005,MATCH($F630,商品マスタ!$B$6:$B$1005,0)),"")</f>
        <v/>
      </c>
      <c r="I630" s="69" t="str">
        <f aca="false">IFERROR(INDEX(商品マスタ!$F$6:$F$1005,MATCH($F630,商品マスタ!$B$6:$B$1005,0)),"")</f>
        <v/>
      </c>
      <c r="J630" s="69" t="str">
        <f aca="false">IF(OR($F630="",$C630&lt;&gt;'設定（最初に1回）'!$C$4),"",IFERROR(INDEX(発注計算!$Y$6:$Y$405,MATCH($F630,発注計算!$C$6:$C$405,0)),""))</f>
        <v/>
      </c>
      <c r="K630" s="70"/>
      <c r="L630" s="69" t="str">
        <f aca="false">IF($K630="","",N($K630)*N($I630))</f>
        <v/>
      </c>
      <c r="M630" s="71" t="str">
        <f aca="false">IFERROR(INDEX(商品マスタ!$G$6:$G$1005,MATCH($F630,商品マスタ!$B$6:$B$1005,0)),"")</f>
        <v/>
      </c>
      <c r="N630" s="71" t="str">
        <f aca="false">IF($K630="","",N($K630)*N($M630))</f>
        <v/>
      </c>
      <c r="O630" s="66" t="str">
        <f aca="false">IFERROR(INDEX(商品マスタ!$H$6:$H$1005,MATCH($F630,商品マスタ!$B$6:$B$1005,0)),"")</f>
        <v/>
      </c>
      <c r="P630" s="87" t="str">
        <f aca="false">IF(OR($E630="",$O630=""),"",WORKDAY($E630,$O630))</f>
        <v/>
      </c>
      <c r="Q630" s="80"/>
      <c r="R630" s="131"/>
      <c r="S630" s="69" t="n">
        <f aca="false">IF($Q630="入荷済み",N($L630),0)</f>
        <v>0</v>
      </c>
      <c r="T630" s="80"/>
      <c r="U630" s="80"/>
    </row>
    <row r="631" customFormat="false" ht="15" hidden="false" customHeight="false" outlineLevel="0" collapsed="false">
      <c r="B631" s="66" t="str">
        <f aca="false">IF(OR($E631="",$F631=""),"","PO-"&amp;TEXT($E631,"yyyymmdd")&amp;"-"&amp;TEXT(COUNTIFS($E$6:$E631,$E631,$C$6:$C631,$C631),"000"))</f>
        <v/>
      </c>
      <c r="C631" s="130"/>
      <c r="D631" s="66" t="str">
        <f aca="false">IFERROR(INDEX(定数マスタ!$C$6:$C$105,MATCH($C631,定数マスタ!$B$6:$B$105,0)),"")</f>
        <v/>
      </c>
      <c r="E631" s="131"/>
      <c r="F631" s="130"/>
      <c r="G631" s="66" t="str">
        <f aca="false">IFERROR(INDEX(商品マスタ!$C$6:$C$1005,MATCH($F631,商品マスタ!$B$6:$B$1005,0)),"")</f>
        <v/>
      </c>
      <c r="H631" s="66" t="str">
        <f aca="false">IFERROR(INDEX(商品マスタ!$E$6:$E$1005,MATCH($F631,商品マスタ!$B$6:$B$1005,0)),"")</f>
        <v/>
      </c>
      <c r="I631" s="69" t="str">
        <f aca="false">IFERROR(INDEX(商品マスタ!$F$6:$F$1005,MATCH($F631,商品マスタ!$B$6:$B$1005,0)),"")</f>
        <v/>
      </c>
      <c r="J631" s="69" t="str">
        <f aca="false">IF(OR($F631="",$C631&lt;&gt;'設定（最初に1回）'!$C$4),"",IFERROR(INDEX(発注計算!$Y$6:$Y$405,MATCH($F631,発注計算!$C$6:$C$405,0)),""))</f>
        <v/>
      </c>
      <c r="K631" s="70"/>
      <c r="L631" s="69" t="str">
        <f aca="false">IF($K631="","",N($K631)*N($I631))</f>
        <v/>
      </c>
      <c r="M631" s="71" t="str">
        <f aca="false">IFERROR(INDEX(商品マスタ!$G$6:$G$1005,MATCH($F631,商品マスタ!$B$6:$B$1005,0)),"")</f>
        <v/>
      </c>
      <c r="N631" s="71" t="str">
        <f aca="false">IF($K631="","",N($K631)*N($M631))</f>
        <v/>
      </c>
      <c r="O631" s="66" t="str">
        <f aca="false">IFERROR(INDEX(商品マスタ!$H$6:$H$1005,MATCH($F631,商品マスタ!$B$6:$B$1005,0)),"")</f>
        <v/>
      </c>
      <c r="P631" s="87" t="str">
        <f aca="false">IF(OR($E631="",$O631=""),"",WORKDAY($E631,$O631))</f>
        <v/>
      </c>
      <c r="Q631" s="80"/>
      <c r="R631" s="131"/>
      <c r="S631" s="69" t="n">
        <f aca="false">IF($Q631="入荷済み",N($L631),0)</f>
        <v>0</v>
      </c>
      <c r="T631" s="80"/>
      <c r="U631" s="80"/>
    </row>
    <row r="632" customFormat="false" ht="15" hidden="false" customHeight="false" outlineLevel="0" collapsed="false">
      <c r="B632" s="66" t="str">
        <f aca="false">IF(OR($E632="",$F632=""),"","PO-"&amp;TEXT($E632,"yyyymmdd")&amp;"-"&amp;TEXT(COUNTIFS($E$6:$E632,$E632,$C$6:$C632,$C632),"000"))</f>
        <v/>
      </c>
      <c r="C632" s="130"/>
      <c r="D632" s="66" t="str">
        <f aca="false">IFERROR(INDEX(定数マスタ!$C$6:$C$105,MATCH($C632,定数マスタ!$B$6:$B$105,0)),"")</f>
        <v/>
      </c>
      <c r="E632" s="131"/>
      <c r="F632" s="130"/>
      <c r="G632" s="66" t="str">
        <f aca="false">IFERROR(INDEX(商品マスタ!$C$6:$C$1005,MATCH($F632,商品マスタ!$B$6:$B$1005,0)),"")</f>
        <v/>
      </c>
      <c r="H632" s="66" t="str">
        <f aca="false">IFERROR(INDEX(商品マスタ!$E$6:$E$1005,MATCH($F632,商品マスタ!$B$6:$B$1005,0)),"")</f>
        <v/>
      </c>
      <c r="I632" s="69" t="str">
        <f aca="false">IFERROR(INDEX(商品マスタ!$F$6:$F$1005,MATCH($F632,商品マスタ!$B$6:$B$1005,0)),"")</f>
        <v/>
      </c>
      <c r="J632" s="69" t="str">
        <f aca="false">IF(OR($F632="",$C632&lt;&gt;'設定（最初に1回）'!$C$4),"",IFERROR(INDEX(発注計算!$Y$6:$Y$405,MATCH($F632,発注計算!$C$6:$C$405,0)),""))</f>
        <v/>
      </c>
      <c r="K632" s="70"/>
      <c r="L632" s="69" t="str">
        <f aca="false">IF($K632="","",N($K632)*N($I632))</f>
        <v/>
      </c>
      <c r="M632" s="71" t="str">
        <f aca="false">IFERROR(INDEX(商品マスタ!$G$6:$G$1005,MATCH($F632,商品マスタ!$B$6:$B$1005,0)),"")</f>
        <v/>
      </c>
      <c r="N632" s="71" t="str">
        <f aca="false">IF($K632="","",N($K632)*N($M632))</f>
        <v/>
      </c>
      <c r="O632" s="66" t="str">
        <f aca="false">IFERROR(INDEX(商品マスタ!$H$6:$H$1005,MATCH($F632,商品マスタ!$B$6:$B$1005,0)),"")</f>
        <v/>
      </c>
      <c r="P632" s="87" t="str">
        <f aca="false">IF(OR($E632="",$O632=""),"",WORKDAY($E632,$O632))</f>
        <v/>
      </c>
      <c r="Q632" s="80"/>
      <c r="R632" s="131"/>
      <c r="S632" s="69" t="n">
        <f aca="false">IF($Q632="入荷済み",N($L632),0)</f>
        <v>0</v>
      </c>
      <c r="T632" s="80"/>
      <c r="U632" s="80"/>
    </row>
    <row r="633" customFormat="false" ht="15" hidden="false" customHeight="false" outlineLevel="0" collapsed="false">
      <c r="B633" s="66" t="str">
        <f aca="false">IF(OR($E633="",$F633=""),"","PO-"&amp;TEXT($E633,"yyyymmdd")&amp;"-"&amp;TEXT(COUNTIFS($E$6:$E633,$E633,$C$6:$C633,$C633),"000"))</f>
        <v/>
      </c>
      <c r="C633" s="130"/>
      <c r="D633" s="66" t="str">
        <f aca="false">IFERROR(INDEX(定数マスタ!$C$6:$C$105,MATCH($C633,定数マスタ!$B$6:$B$105,0)),"")</f>
        <v/>
      </c>
      <c r="E633" s="131"/>
      <c r="F633" s="130"/>
      <c r="G633" s="66" t="str">
        <f aca="false">IFERROR(INDEX(商品マスタ!$C$6:$C$1005,MATCH($F633,商品マスタ!$B$6:$B$1005,0)),"")</f>
        <v/>
      </c>
      <c r="H633" s="66" t="str">
        <f aca="false">IFERROR(INDEX(商品マスタ!$E$6:$E$1005,MATCH($F633,商品マスタ!$B$6:$B$1005,0)),"")</f>
        <v/>
      </c>
      <c r="I633" s="69" t="str">
        <f aca="false">IFERROR(INDEX(商品マスタ!$F$6:$F$1005,MATCH($F633,商品マスタ!$B$6:$B$1005,0)),"")</f>
        <v/>
      </c>
      <c r="J633" s="69" t="str">
        <f aca="false">IF(OR($F633="",$C633&lt;&gt;'設定（最初に1回）'!$C$4),"",IFERROR(INDEX(発注計算!$Y$6:$Y$405,MATCH($F633,発注計算!$C$6:$C$405,0)),""))</f>
        <v/>
      </c>
      <c r="K633" s="70"/>
      <c r="L633" s="69" t="str">
        <f aca="false">IF($K633="","",N($K633)*N($I633))</f>
        <v/>
      </c>
      <c r="M633" s="71" t="str">
        <f aca="false">IFERROR(INDEX(商品マスタ!$G$6:$G$1005,MATCH($F633,商品マスタ!$B$6:$B$1005,0)),"")</f>
        <v/>
      </c>
      <c r="N633" s="71" t="str">
        <f aca="false">IF($K633="","",N($K633)*N($M633))</f>
        <v/>
      </c>
      <c r="O633" s="66" t="str">
        <f aca="false">IFERROR(INDEX(商品マスタ!$H$6:$H$1005,MATCH($F633,商品マスタ!$B$6:$B$1005,0)),"")</f>
        <v/>
      </c>
      <c r="P633" s="87" t="str">
        <f aca="false">IF(OR($E633="",$O633=""),"",WORKDAY($E633,$O633))</f>
        <v/>
      </c>
      <c r="Q633" s="80"/>
      <c r="R633" s="131"/>
      <c r="S633" s="69" t="n">
        <f aca="false">IF($Q633="入荷済み",N($L633),0)</f>
        <v>0</v>
      </c>
      <c r="T633" s="80"/>
      <c r="U633" s="80"/>
    </row>
    <row r="634" customFormat="false" ht="15" hidden="false" customHeight="false" outlineLevel="0" collapsed="false">
      <c r="B634" s="66" t="str">
        <f aca="false">IF(OR($E634="",$F634=""),"","PO-"&amp;TEXT($E634,"yyyymmdd")&amp;"-"&amp;TEXT(COUNTIFS($E$6:$E634,$E634,$C$6:$C634,$C634),"000"))</f>
        <v/>
      </c>
      <c r="C634" s="130"/>
      <c r="D634" s="66" t="str">
        <f aca="false">IFERROR(INDEX(定数マスタ!$C$6:$C$105,MATCH($C634,定数マスタ!$B$6:$B$105,0)),"")</f>
        <v/>
      </c>
      <c r="E634" s="131"/>
      <c r="F634" s="130"/>
      <c r="G634" s="66" t="str">
        <f aca="false">IFERROR(INDEX(商品マスタ!$C$6:$C$1005,MATCH($F634,商品マスタ!$B$6:$B$1005,0)),"")</f>
        <v/>
      </c>
      <c r="H634" s="66" t="str">
        <f aca="false">IFERROR(INDEX(商品マスタ!$E$6:$E$1005,MATCH($F634,商品マスタ!$B$6:$B$1005,0)),"")</f>
        <v/>
      </c>
      <c r="I634" s="69" t="str">
        <f aca="false">IFERROR(INDEX(商品マスタ!$F$6:$F$1005,MATCH($F634,商品マスタ!$B$6:$B$1005,0)),"")</f>
        <v/>
      </c>
      <c r="J634" s="69" t="str">
        <f aca="false">IF(OR($F634="",$C634&lt;&gt;'設定（最初に1回）'!$C$4),"",IFERROR(INDEX(発注計算!$Y$6:$Y$405,MATCH($F634,発注計算!$C$6:$C$405,0)),""))</f>
        <v/>
      </c>
      <c r="K634" s="70"/>
      <c r="L634" s="69" t="str">
        <f aca="false">IF($K634="","",N($K634)*N($I634))</f>
        <v/>
      </c>
      <c r="M634" s="71" t="str">
        <f aca="false">IFERROR(INDEX(商品マスタ!$G$6:$G$1005,MATCH($F634,商品マスタ!$B$6:$B$1005,0)),"")</f>
        <v/>
      </c>
      <c r="N634" s="71" t="str">
        <f aca="false">IF($K634="","",N($K634)*N($M634))</f>
        <v/>
      </c>
      <c r="O634" s="66" t="str">
        <f aca="false">IFERROR(INDEX(商品マスタ!$H$6:$H$1005,MATCH($F634,商品マスタ!$B$6:$B$1005,0)),"")</f>
        <v/>
      </c>
      <c r="P634" s="87" t="str">
        <f aca="false">IF(OR($E634="",$O634=""),"",WORKDAY($E634,$O634))</f>
        <v/>
      </c>
      <c r="Q634" s="80"/>
      <c r="R634" s="131"/>
      <c r="S634" s="69" t="n">
        <f aca="false">IF($Q634="入荷済み",N($L634),0)</f>
        <v>0</v>
      </c>
      <c r="T634" s="80"/>
      <c r="U634" s="80"/>
    </row>
    <row r="635" customFormat="false" ht="15" hidden="false" customHeight="false" outlineLevel="0" collapsed="false">
      <c r="B635" s="66" t="str">
        <f aca="false">IF(OR($E635="",$F635=""),"","PO-"&amp;TEXT($E635,"yyyymmdd")&amp;"-"&amp;TEXT(COUNTIFS($E$6:$E635,$E635,$C$6:$C635,$C635),"000"))</f>
        <v/>
      </c>
      <c r="C635" s="130"/>
      <c r="D635" s="66" t="str">
        <f aca="false">IFERROR(INDEX(定数マスタ!$C$6:$C$105,MATCH($C635,定数マスタ!$B$6:$B$105,0)),"")</f>
        <v/>
      </c>
      <c r="E635" s="131"/>
      <c r="F635" s="130"/>
      <c r="G635" s="66" t="str">
        <f aca="false">IFERROR(INDEX(商品マスタ!$C$6:$C$1005,MATCH($F635,商品マスタ!$B$6:$B$1005,0)),"")</f>
        <v/>
      </c>
      <c r="H635" s="66" t="str">
        <f aca="false">IFERROR(INDEX(商品マスタ!$E$6:$E$1005,MATCH($F635,商品マスタ!$B$6:$B$1005,0)),"")</f>
        <v/>
      </c>
      <c r="I635" s="69" t="str">
        <f aca="false">IFERROR(INDEX(商品マスタ!$F$6:$F$1005,MATCH($F635,商品マスタ!$B$6:$B$1005,0)),"")</f>
        <v/>
      </c>
      <c r="J635" s="69" t="str">
        <f aca="false">IF(OR($F635="",$C635&lt;&gt;'設定（最初に1回）'!$C$4),"",IFERROR(INDEX(発注計算!$Y$6:$Y$405,MATCH($F635,発注計算!$C$6:$C$405,0)),""))</f>
        <v/>
      </c>
      <c r="K635" s="70"/>
      <c r="L635" s="69" t="str">
        <f aca="false">IF($K635="","",N($K635)*N($I635))</f>
        <v/>
      </c>
      <c r="M635" s="71" t="str">
        <f aca="false">IFERROR(INDEX(商品マスタ!$G$6:$G$1005,MATCH($F635,商品マスタ!$B$6:$B$1005,0)),"")</f>
        <v/>
      </c>
      <c r="N635" s="71" t="str">
        <f aca="false">IF($K635="","",N($K635)*N($M635))</f>
        <v/>
      </c>
      <c r="O635" s="66" t="str">
        <f aca="false">IFERROR(INDEX(商品マスタ!$H$6:$H$1005,MATCH($F635,商品マスタ!$B$6:$B$1005,0)),"")</f>
        <v/>
      </c>
      <c r="P635" s="87" t="str">
        <f aca="false">IF(OR($E635="",$O635=""),"",WORKDAY($E635,$O635))</f>
        <v/>
      </c>
      <c r="Q635" s="80"/>
      <c r="R635" s="131"/>
      <c r="S635" s="69" t="n">
        <f aca="false">IF($Q635="入荷済み",N($L635),0)</f>
        <v>0</v>
      </c>
      <c r="T635" s="80"/>
      <c r="U635" s="80"/>
    </row>
    <row r="636" customFormat="false" ht="15" hidden="false" customHeight="false" outlineLevel="0" collapsed="false">
      <c r="B636" s="66" t="str">
        <f aca="false">IF(OR($E636="",$F636=""),"","PO-"&amp;TEXT($E636,"yyyymmdd")&amp;"-"&amp;TEXT(COUNTIFS($E$6:$E636,$E636,$C$6:$C636,$C636),"000"))</f>
        <v/>
      </c>
      <c r="C636" s="130"/>
      <c r="D636" s="66" t="str">
        <f aca="false">IFERROR(INDEX(定数マスタ!$C$6:$C$105,MATCH($C636,定数マスタ!$B$6:$B$105,0)),"")</f>
        <v/>
      </c>
      <c r="E636" s="131"/>
      <c r="F636" s="130"/>
      <c r="G636" s="66" t="str">
        <f aca="false">IFERROR(INDEX(商品マスタ!$C$6:$C$1005,MATCH($F636,商品マスタ!$B$6:$B$1005,0)),"")</f>
        <v/>
      </c>
      <c r="H636" s="66" t="str">
        <f aca="false">IFERROR(INDEX(商品マスタ!$E$6:$E$1005,MATCH($F636,商品マスタ!$B$6:$B$1005,0)),"")</f>
        <v/>
      </c>
      <c r="I636" s="69" t="str">
        <f aca="false">IFERROR(INDEX(商品マスタ!$F$6:$F$1005,MATCH($F636,商品マスタ!$B$6:$B$1005,0)),"")</f>
        <v/>
      </c>
      <c r="J636" s="69" t="str">
        <f aca="false">IF(OR($F636="",$C636&lt;&gt;'設定（最初に1回）'!$C$4),"",IFERROR(INDEX(発注計算!$Y$6:$Y$405,MATCH($F636,発注計算!$C$6:$C$405,0)),""))</f>
        <v/>
      </c>
      <c r="K636" s="70"/>
      <c r="L636" s="69" t="str">
        <f aca="false">IF($K636="","",N($K636)*N($I636))</f>
        <v/>
      </c>
      <c r="M636" s="71" t="str">
        <f aca="false">IFERROR(INDEX(商品マスタ!$G$6:$G$1005,MATCH($F636,商品マスタ!$B$6:$B$1005,0)),"")</f>
        <v/>
      </c>
      <c r="N636" s="71" t="str">
        <f aca="false">IF($K636="","",N($K636)*N($M636))</f>
        <v/>
      </c>
      <c r="O636" s="66" t="str">
        <f aca="false">IFERROR(INDEX(商品マスタ!$H$6:$H$1005,MATCH($F636,商品マスタ!$B$6:$B$1005,0)),"")</f>
        <v/>
      </c>
      <c r="P636" s="87" t="str">
        <f aca="false">IF(OR($E636="",$O636=""),"",WORKDAY($E636,$O636))</f>
        <v/>
      </c>
      <c r="Q636" s="80"/>
      <c r="R636" s="131"/>
      <c r="S636" s="69" t="n">
        <f aca="false">IF($Q636="入荷済み",N($L636),0)</f>
        <v>0</v>
      </c>
      <c r="T636" s="80"/>
      <c r="U636" s="80"/>
    </row>
    <row r="637" customFormat="false" ht="15" hidden="false" customHeight="false" outlineLevel="0" collapsed="false">
      <c r="B637" s="66" t="str">
        <f aca="false">IF(OR($E637="",$F637=""),"","PO-"&amp;TEXT($E637,"yyyymmdd")&amp;"-"&amp;TEXT(COUNTIFS($E$6:$E637,$E637,$C$6:$C637,$C637),"000"))</f>
        <v/>
      </c>
      <c r="C637" s="130"/>
      <c r="D637" s="66" t="str">
        <f aca="false">IFERROR(INDEX(定数マスタ!$C$6:$C$105,MATCH($C637,定数マスタ!$B$6:$B$105,0)),"")</f>
        <v/>
      </c>
      <c r="E637" s="131"/>
      <c r="F637" s="130"/>
      <c r="G637" s="66" t="str">
        <f aca="false">IFERROR(INDEX(商品マスタ!$C$6:$C$1005,MATCH($F637,商品マスタ!$B$6:$B$1005,0)),"")</f>
        <v/>
      </c>
      <c r="H637" s="66" t="str">
        <f aca="false">IFERROR(INDEX(商品マスタ!$E$6:$E$1005,MATCH($F637,商品マスタ!$B$6:$B$1005,0)),"")</f>
        <v/>
      </c>
      <c r="I637" s="69" t="str">
        <f aca="false">IFERROR(INDEX(商品マスタ!$F$6:$F$1005,MATCH($F637,商品マスタ!$B$6:$B$1005,0)),"")</f>
        <v/>
      </c>
      <c r="J637" s="69" t="str">
        <f aca="false">IF(OR($F637="",$C637&lt;&gt;'設定（最初に1回）'!$C$4),"",IFERROR(INDEX(発注計算!$Y$6:$Y$405,MATCH($F637,発注計算!$C$6:$C$405,0)),""))</f>
        <v/>
      </c>
      <c r="K637" s="70"/>
      <c r="L637" s="69" t="str">
        <f aca="false">IF($K637="","",N($K637)*N($I637))</f>
        <v/>
      </c>
      <c r="M637" s="71" t="str">
        <f aca="false">IFERROR(INDEX(商品マスタ!$G$6:$G$1005,MATCH($F637,商品マスタ!$B$6:$B$1005,0)),"")</f>
        <v/>
      </c>
      <c r="N637" s="71" t="str">
        <f aca="false">IF($K637="","",N($K637)*N($M637))</f>
        <v/>
      </c>
      <c r="O637" s="66" t="str">
        <f aca="false">IFERROR(INDEX(商品マスタ!$H$6:$H$1005,MATCH($F637,商品マスタ!$B$6:$B$1005,0)),"")</f>
        <v/>
      </c>
      <c r="P637" s="87" t="str">
        <f aca="false">IF(OR($E637="",$O637=""),"",WORKDAY($E637,$O637))</f>
        <v/>
      </c>
      <c r="Q637" s="80"/>
      <c r="R637" s="131"/>
      <c r="S637" s="69" t="n">
        <f aca="false">IF($Q637="入荷済み",N($L637),0)</f>
        <v>0</v>
      </c>
      <c r="T637" s="80"/>
      <c r="U637" s="80"/>
    </row>
    <row r="638" customFormat="false" ht="15" hidden="false" customHeight="false" outlineLevel="0" collapsed="false">
      <c r="B638" s="66" t="str">
        <f aca="false">IF(OR($E638="",$F638=""),"","PO-"&amp;TEXT($E638,"yyyymmdd")&amp;"-"&amp;TEXT(COUNTIFS($E$6:$E638,$E638,$C$6:$C638,$C638),"000"))</f>
        <v/>
      </c>
      <c r="C638" s="130"/>
      <c r="D638" s="66" t="str">
        <f aca="false">IFERROR(INDEX(定数マスタ!$C$6:$C$105,MATCH($C638,定数マスタ!$B$6:$B$105,0)),"")</f>
        <v/>
      </c>
      <c r="E638" s="131"/>
      <c r="F638" s="130"/>
      <c r="G638" s="66" t="str">
        <f aca="false">IFERROR(INDEX(商品マスタ!$C$6:$C$1005,MATCH($F638,商品マスタ!$B$6:$B$1005,0)),"")</f>
        <v/>
      </c>
      <c r="H638" s="66" t="str">
        <f aca="false">IFERROR(INDEX(商品マスタ!$E$6:$E$1005,MATCH($F638,商品マスタ!$B$6:$B$1005,0)),"")</f>
        <v/>
      </c>
      <c r="I638" s="69" t="str">
        <f aca="false">IFERROR(INDEX(商品マスタ!$F$6:$F$1005,MATCH($F638,商品マスタ!$B$6:$B$1005,0)),"")</f>
        <v/>
      </c>
      <c r="J638" s="69" t="str">
        <f aca="false">IF(OR($F638="",$C638&lt;&gt;'設定（最初に1回）'!$C$4),"",IFERROR(INDEX(発注計算!$Y$6:$Y$405,MATCH($F638,発注計算!$C$6:$C$405,0)),""))</f>
        <v/>
      </c>
      <c r="K638" s="70"/>
      <c r="L638" s="69" t="str">
        <f aca="false">IF($K638="","",N($K638)*N($I638))</f>
        <v/>
      </c>
      <c r="M638" s="71" t="str">
        <f aca="false">IFERROR(INDEX(商品マスタ!$G$6:$G$1005,MATCH($F638,商品マスタ!$B$6:$B$1005,0)),"")</f>
        <v/>
      </c>
      <c r="N638" s="71" t="str">
        <f aca="false">IF($K638="","",N($K638)*N($M638))</f>
        <v/>
      </c>
      <c r="O638" s="66" t="str">
        <f aca="false">IFERROR(INDEX(商品マスタ!$H$6:$H$1005,MATCH($F638,商品マスタ!$B$6:$B$1005,0)),"")</f>
        <v/>
      </c>
      <c r="P638" s="87" t="str">
        <f aca="false">IF(OR($E638="",$O638=""),"",WORKDAY($E638,$O638))</f>
        <v/>
      </c>
      <c r="Q638" s="80"/>
      <c r="R638" s="131"/>
      <c r="S638" s="69" t="n">
        <f aca="false">IF($Q638="入荷済み",N($L638),0)</f>
        <v>0</v>
      </c>
      <c r="T638" s="80"/>
      <c r="U638" s="80"/>
    </row>
    <row r="639" customFormat="false" ht="15" hidden="false" customHeight="false" outlineLevel="0" collapsed="false">
      <c r="B639" s="66" t="str">
        <f aca="false">IF(OR($E639="",$F639=""),"","PO-"&amp;TEXT($E639,"yyyymmdd")&amp;"-"&amp;TEXT(COUNTIFS($E$6:$E639,$E639,$C$6:$C639,$C639),"000"))</f>
        <v/>
      </c>
      <c r="C639" s="130"/>
      <c r="D639" s="66" t="str">
        <f aca="false">IFERROR(INDEX(定数マスタ!$C$6:$C$105,MATCH($C639,定数マスタ!$B$6:$B$105,0)),"")</f>
        <v/>
      </c>
      <c r="E639" s="131"/>
      <c r="F639" s="130"/>
      <c r="G639" s="66" t="str">
        <f aca="false">IFERROR(INDEX(商品マスタ!$C$6:$C$1005,MATCH($F639,商品マスタ!$B$6:$B$1005,0)),"")</f>
        <v/>
      </c>
      <c r="H639" s="66" t="str">
        <f aca="false">IFERROR(INDEX(商品マスタ!$E$6:$E$1005,MATCH($F639,商品マスタ!$B$6:$B$1005,0)),"")</f>
        <v/>
      </c>
      <c r="I639" s="69" t="str">
        <f aca="false">IFERROR(INDEX(商品マスタ!$F$6:$F$1005,MATCH($F639,商品マスタ!$B$6:$B$1005,0)),"")</f>
        <v/>
      </c>
      <c r="J639" s="69" t="str">
        <f aca="false">IF(OR($F639="",$C639&lt;&gt;'設定（最初に1回）'!$C$4),"",IFERROR(INDEX(発注計算!$Y$6:$Y$405,MATCH($F639,発注計算!$C$6:$C$405,0)),""))</f>
        <v/>
      </c>
      <c r="K639" s="70"/>
      <c r="L639" s="69" t="str">
        <f aca="false">IF($K639="","",N($K639)*N($I639))</f>
        <v/>
      </c>
      <c r="M639" s="71" t="str">
        <f aca="false">IFERROR(INDEX(商品マスタ!$G$6:$G$1005,MATCH($F639,商品マスタ!$B$6:$B$1005,0)),"")</f>
        <v/>
      </c>
      <c r="N639" s="71" t="str">
        <f aca="false">IF($K639="","",N($K639)*N($M639))</f>
        <v/>
      </c>
      <c r="O639" s="66" t="str">
        <f aca="false">IFERROR(INDEX(商品マスタ!$H$6:$H$1005,MATCH($F639,商品マスタ!$B$6:$B$1005,0)),"")</f>
        <v/>
      </c>
      <c r="P639" s="87" t="str">
        <f aca="false">IF(OR($E639="",$O639=""),"",WORKDAY($E639,$O639))</f>
        <v/>
      </c>
      <c r="Q639" s="80"/>
      <c r="R639" s="131"/>
      <c r="S639" s="69" t="n">
        <f aca="false">IF($Q639="入荷済み",N($L639),0)</f>
        <v>0</v>
      </c>
      <c r="T639" s="80"/>
      <c r="U639" s="80"/>
    </row>
    <row r="640" customFormat="false" ht="15" hidden="false" customHeight="false" outlineLevel="0" collapsed="false">
      <c r="B640" s="66" t="str">
        <f aca="false">IF(OR($E640="",$F640=""),"","PO-"&amp;TEXT($E640,"yyyymmdd")&amp;"-"&amp;TEXT(COUNTIFS($E$6:$E640,$E640,$C$6:$C640,$C640),"000"))</f>
        <v/>
      </c>
      <c r="C640" s="130"/>
      <c r="D640" s="66" t="str">
        <f aca="false">IFERROR(INDEX(定数マスタ!$C$6:$C$105,MATCH($C640,定数マスタ!$B$6:$B$105,0)),"")</f>
        <v/>
      </c>
      <c r="E640" s="131"/>
      <c r="F640" s="130"/>
      <c r="G640" s="66" t="str">
        <f aca="false">IFERROR(INDEX(商品マスタ!$C$6:$C$1005,MATCH($F640,商品マスタ!$B$6:$B$1005,0)),"")</f>
        <v/>
      </c>
      <c r="H640" s="66" t="str">
        <f aca="false">IFERROR(INDEX(商品マスタ!$E$6:$E$1005,MATCH($F640,商品マスタ!$B$6:$B$1005,0)),"")</f>
        <v/>
      </c>
      <c r="I640" s="69" t="str">
        <f aca="false">IFERROR(INDEX(商品マスタ!$F$6:$F$1005,MATCH($F640,商品マスタ!$B$6:$B$1005,0)),"")</f>
        <v/>
      </c>
      <c r="J640" s="69" t="str">
        <f aca="false">IF(OR($F640="",$C640&lt;&gt;'設定（最初に1回）'!$C$4),"",IFERROR(INDEX(発注計算!$Y$6:$Y$405,MATCH($F640,発注計算!$C$6:$C$405,0)),""))</f>
        <v/>
      </c>
      <c r="K640" s="70"/>
      <c r="L640" s="69" t="str">
        <f aca="false">IF($K640="","",N($K640)*N($I640))</f>
        <v/>
      </c>
      <c r="M640" s="71" t="str">
        <f aca="false">IFERROR(INDEX(商品マスタ!$G$6:$G$1005,MATCH($F640,商品マスタ!$B$6:$B$1005,0)),"")</f>
        <v/>
      </c>
      <c r="N640" s="71" t="str">
        <f aca="false">IF($K640="","",N($K640)*N($M640))</f>
        <v/>
      </c>
      <c r="O640" s="66" t="str">
        <f aca="false">IFERROR(INDEX(商品マスタ!$H$6:$H$1005,MATCH($F640,商品マスタ!$B$6:$B$1005,0)),"")</f>
        <v/>
      </c>
      <c r="P640" s="87" t="str">
        <f aca="false">IF(OR($E640="",$O640=""),"",WORKDAY($E640,$O640))</f>
        <v/>
      </c>
      <c r="Q640" s="80"/>
      <c r="R640" s="131"/>
      <c r="S640" s="69" t="n">
        <f aca="false">IF($Q640="入荷済み",N($L640),0)</f>
        <v>0</v>
      </c>
      <c r="T640" s="80"/>
      <c r="U640" s="80"/>
    </row>
    <row r="641" customFormat="false" ht="15" hidden="false" customHeight="false" outlineLevel="0" collapsed="false">
      <c r="B641" s="66" t="str">
        <f aca="false">IF(OR($E641="",$F641=""),"","PO-"&amp;TEXT($E641,"yyyymmdd")&amp;"-"&amp;TEXT(COUNTIFS($E$6:$E641,$E641,$C$6:$C641,$C641),"000"))</f>
        <v/>
      </c>
      <c r="C641" s="130"/>
      <c r="D641" s="66" t="str">
        <f aca="false">IFERROR(INDEX(定数マスタ!$C$6:$C$105,MATCH($C641,定数マスタ!$B$6:$B$105,0)),"")</f>
        <v/>
      </c>
      <c r="E641" s="131"/>
      <c r="F641" s="130"/>
      <c r="G641" s="66" t="str">
        <f aca="false">IFERROR(INDEX(商品マスタ!$C$6:$C$1005,MATCH($F641,商品マスタ!$B$6:$B$1005,0)),"")</f>
        <v/>
      </c>
      <c r="H641" s="66" t="str">
        <f aca="false">IFERROR(INDEX(商品マスタ!$E$6:$E$1005,MATCH($F641,商品マスタ!$B$6:$B$1005,0)),"")</f>
        <v/>
      </c>
      <c r="I641" s="69" t="str">
        <f aca="false">IFERROR(INDEX(商品マスタ!$F$6:$F$1005,MATCH($F641,商品マスタ!$B$6:$B$1005,0)),"")</f>
        <v/>
      </c>
      <c r="J641" s="69" t="str">
        <f aca="false">IF(OR($F641="",$C641&lt;&gt;'設定（最初に1回）'!$C$4),"",IFERROR(INDEX(発注計算!$Y$6:$Y$405,MATCH($F641,発注計算!$C$6:$C$405,0)),""))</f>
        <v/>
      </c>
      <c r="K641" s="70"/>
      <c r="L641" s="69" t="str">
        <f aca="false">IF($K641="","",N($K641)*N($I641))</f>
        <v/>
      </c>
      <c r="M641" s="71" t="str">
        <f aca="false">IFERROR(INDEX(商品マスタ!$G$6:$G$1005,MATCH($F641,商品マスタ!$B$6:$B$1005,0)),"")</f>
        <v/>
      </c>
      <c r="N641" s="71" t="str">
        <f aca="false">IF($K641="","",N($K641)*N($M641))</f>
        <v/>
      </c>
      <c r="O641" s="66" t="str">
        <f aca="false">IFERROR(INDEX(商品マスタ!$H$6:$H$1005,MATCH($F641,商品マスタ!$B$6:$B$1005,0)),"")</f>
        <v/>
      </c>
      <c r="P641" s="87" t="str">
        <f aca="false">IF(OR($E641="",$O641=""),"",WORKDAY($E641,$O641))</f>
        <v/>
      </c>
      <c r="Q641" s="80"/>
      <c r="R641" s="131"/>
      <c r="S641" s="69" t="n">
        <f aca="false">IF($Q641="入荷済み",N($L641),0)</f>
        <v>0</v>
      </c>
      <c r="T641" s="80"/>
      <c r="U641" s="80"/>
    </row>
    <row r="642" customFormat="false" ht="15" hidden="false" customHeight="false" outlineLevel="0" collapsed="false">
      <c r="B642" s="66" t="str">
        <f aca="false">IF(OR($E642="",$F642=""),"","PO-"&amp;TEXT($E642,"yyyymmdd")&amp;"-"&amp;TEXT(COUNTIFS($E$6:$E642,$E642,$C$6:$C642,$C642),"000"))</f>
        <v/>
      </c>
      <c r="C642" s="130"/>
      <c r="D642" s="66" t="str">
        <f aca="false">IFERROR(INDEX(定数マスタ!$C$6:$C$105,MATCH($C642,定数マスタ!$B$6:$B$105,0)),"")</f>
        <v/>
      </c>
      <c r="E642" s="131"/>
      <c r="F642" s="130"/>
      <c r="G642" s="66" t="str">
        <f aca="false">IFERROR(INDEX(商品マスタ!$C$6:$C$1005,MATCH($F642,商品マスタ!$B$6:$B$1005,0)),"")</f>
        <v/>
      </c>
      <c r="H642" s="66" t="str">
        <f aca="false">IFERROR(INDEX(商品マスタ!$E$6:$E$1005,MATCH($F642,商品マスタ!$B$6:$B$1005,0)),"")</f>
        <v/>
      </c>
      <c r="I642" s="69" t="str">
        <f aca="false">IFERROR(INDEX(商品マスタ!$F$6:$F$1005,MATCH($F642,商品マスタ!$B$6:$B$1005,0)),"")</f>
        <v/>
      </c>
      <c r="J642" s="69" t="str">
        <f aca="false">IF(OR($F642="",$C642&lt;&gt;'設定（最初に1回）'!$C$4),"",IFERROR(INDEX(発注計算!$Y$6:$Y$405,MATCH($F642,発注計算!$C$6:$C$405,0)),""))</f>
        <v/>
      </c>
      <c r="K642" s="70"/>
      <c r="L642" s="69" t="str">
        <f aca="false">IF($K642="","",N($K642)*N($I642))</f>
        <v/>
      </c>
      <c r="M642" s="71" t="str">
        <f aca="false">IFERROR(INDEX(商品マスタ!$G$6:$G$1005,MATCH($F642,商品マスタ!$B$6:$B$1005,0)),"")</f>
        <v/>
      </c>
      <c r="N642" s="71" t="str">
        <f aca="false">IF($K642="","",N($K642)*N($M642))</f>
        <v/>
      </c>
      <c r="O642" s="66" t="str">
        <f aca="false">IFERROR(INDEX(商品マスタ!$H$6:$H$1005,MATCH($F642,商品マスタ!$B$6:$B$1005,0)),"")</f>
        <v/>
      </c>
      <c r="P642" s="87" t="str">
        <f aca="false">IF(OR($E642="",$O642=""),"",WORKDAY($E642,$O642))</f>
        <v/>
      </c>
      <c r="Q642" s="80"/>
      <c r="R642" s="131"/>
      <c r="S642" s="69" t="n">
        <f aca="false">IF($Q642="入荷済み",N($L642),0)</f>
        <v>0</v>
      </c>
      <c r="T642" s="80"/>
      <c r="U642" s="80"/>
    </row>
    <row r="643" customFormat="false" ht="15" hidden="false" customHeight="false" outlineLevel="0" collapsed="false">
      <c r="B643" s="66" t="str">
        <f aca="false">IF(OR($E643="",$F643=""),"","PO-"&amp;TEXT($E643,"yyyymmdd")&amp;"-"&amp;TEXT(COUNTIFS($E$6:$E643,$E643,$C$6:$C643,$C643),"000"))</f>
        <v/>
      </c>
      <c r="C643" s="130"/>
      <c r="D643" s="66" t="str">
        <f aca="false">IFERROR(INDEX(定数マスタ!$C$6:$C$105,MATCH($C643,定数マスタ!$B$6:$B$105,0)),"")</f>
        <v/>
      </c>
      <c r="E643" s="131"/>
      <c r="F643" s="130"/>
      <c r="G643" s="66" t="str">
        <f aca="false">IFERROR(INDEX(商品マスタ!$C$6:$C$1005,MATCH($F643,商品マスタ!$B$6:$B$1005,0)),"")</f>
        <v/>
      </c>
      <c r="H643" s="66" t="str">
        <f aca="false">IFERROR(INDEX(商品マスタ!$E$6:$E$1005,MATCH($F643,商品マスタ!$B$6:$B$1005,0)),"")</f>
        <v/>
      </c>
      <c r="I643" s="69" t="str">
        <f aca="false">IFERROR(INDEX(商品マスタ!$F$6:$F$1005,MATCH($F643,商品マスタ!$B$6:$B$1005,0)),"")</f>
        <v/>
      </c>
      <c r="J643" s="69" t="str">
        <f aca="false">IF(OR($F643="",$C643&lt;&gt;'設定（最初に1回）'!$C$4),"",IFERROR(INDEX(発注計算!$Y$6:$Y$405,MATCH($F643,発注計算!$C$6:$C$405,0)),""))</f>
        <v/>
      </c>
      <c r="K643" s="70"/>
      <c r="L643" s="69" t="str">
        <f aca="false">IF($K643="","",N($K643)*N($I643))</f>
        <v/>
      </c>
      <c r="M643" s="71" t="str">
        <f aca="false">IFERROR(INDEX(商品マスタ!$G$6:$G$1005,MATCH($F643,商品マスタ!$B$6:$B$1005,0)),"")</f>
        <v/>
      </c>
      <c r="N643" s="71" t="str">
        <f aca="false">IF($K643="","",N($K643)*N($M643))</f>
        <v/>
      </c>
      <c r="O643" s="66" t="str">
        <f aca="false">IFERROR(INDEX(商品マスタ!$H$6:$H$1005,MATCH($F643,商品マスタ!$B$6:$B$1005,0)),"")</f>
        <v/>
      </c>
      <c r="P643" s="87" t="str">
        <f aca="false">IF(OR($E643="",$O643=""),"",WORKDAY($E643,$O643))</f>
        <v/>
      </c>
      <c r="Q643" s="80"/>
      <c r="R643" s="131"/>
      <c r="S643" s="69" t="n">
        <f aca="false">IF($Q643="入荷済み",N($L643),0)</f>
        <v>0</v>
      </c>
      <c r="T643" s="80"/>
      <c r="U643" s="80"/>
    </row>
    <row r="644" customFormat="false" ht="15" hidden="false" customHeight="false" outlineLevel="0" collapsed="false">
      <c r="B644" s="66" t="str">
        <f aca="false">IF(OR($E644="",$F644=""),"","PO-"&amp;TEXT($E644,"yyyymmdd")&amp;"-"&amp;TEXT(COUNTIFS($E$6:$E644,$E644,$C$6:$C644,$C644),"000"))</f>
        <v/>
      </c>
      <c r="C644" s="130"/>
      <c r="D644" s="66" t="str">
        <f aca="false">IFERROR(INDEX(定数マスタ!$C$6:$C$105,MATCH($C644,定数マスタ!$B$6:$B$105,0)),"")</f>
        <v/>
      </c>
      <c r="E644" s="131"/>
      <c r="F644" s="130"/>
      <c r="G644" s="66" t="str">
        <f aca="false">IFERROR(INDEX(商品マスタ!$C$6:$C$1005,MATCH($F644,商品マスタ!$B$6:$B$1005,0)),"")</f>
        <v/>
      </c>
      <c r="H644" s="66" t="str">
        <f aca="false">IFERROR(INDEX(商品マスタ!$E$6:$E$1005,MATCH($F644,商品マスタ!$B$6:$B$1005,0)),"")</f>
        <v/>
      </c>
      <c r="I644" s="69" t="str">
        <f aca="false">IFERROR(INDEX(商品マスタ!$F$6:$F$1005,MATCH($F644,商品マスタ!$B$6:$B$1005,0)),"")</f>
        <v/>
      </c>
      <c r="J644" s="69" t="str">
        <f aca="false">IF(OR($F644="",$C644&lt;&gt;'設定（最初に1回）'!$C$4),"",IFERROR(INDEX(発注計算!$Y$6:$Y$405,MATCH($F644,発注計算!$C$6:$C$405,0)),""))</f>
        <v/>
      </c>
      <c r="K644" s="70"/>
      <c r="L644" s="69" t="str">
        <f aca="false">IF($K644="","",N($K644)*N($I644))</f>
        <v/>
      </c>
      <c r="M644" s="71" t="str">
        <f aca="false">IFERROR(INDEX(商品マスタ!$G$6:$G$1005,MATCH($F644,商品マスタ!$B$6:$B$1005,0)),"")</f>
        <v/>
      </c>
      <c r="N644" s="71" t="str">
        <f aca="false">IF($K644="","",N($K644)*N($M644))</f>
        <v/>
      </c>
      <c r="O644" s="66" t="str">
        <f aca="false">IFERROR(INDEX(商品マスタ!$H$6:$H$1005,MATCH($F644,商品マスタ!$B$6:$B$1005,0)),"")</f>
        <v/>
      </c>
      <c r="P644" s="87" t="str">
        <f aca="false">IF(OR($E644="",$O644=""),"",WORKDAY($E644,$O644))</f>
        <v/>
      </c>
      <c r="Q644" s="80"/>
      <c r="R644" s="131"/>
      <c r="S644" s="69" t="n">
        <f aca="false">IF($Q644="入荷済み",N($L644),0)</f>
        <v>0</v>
      </c>
      <c r="T644" s="80"/>
      <c r="U644" s="80"/>
    </row>
    <row r="645" customFormat="false" ht="15" hidden="false" customHeight="false" outlineLevel="0" collapsed="false">
      <c r="B645" s="66" t="str">
        <f aca="false">IF(OR($E645="",$F645=""),"","PO-"&amp;TEXT($E645,"yyyymmdd")&amp;"-"&amp;TEXT(COUNTIFS($E$6:$E645,$E645,$C$6:$C645,$C645),"000"))</f>
        <v/>
      </c>
      <c r="C645" s="130"/>
      <c r="D645" s="66" t="str">
        <f aca="false">IFERROR(INDEX(定数マスタ!$C$6:$C$105,MATCH($C645,定数マスタ!$B$6:$B$105,0)),"")</f>
        <v/>
      </c>
      <c r="E645" s="131"/>
      <c r="F645" s="130"/>
      <c r="G645" s="66" t="str">
        <f aca="false">IFERROR(INDEX(商品マスタ!$C$6:$C$1005,MATCH($F645,商品マスタ!$B$6:$B$1005,0)),"")</f>
        <v/>
      </c>
      <c r="H645" s="66" t="str">
        <f aca="false">IFERROR(INDEX(商品マスタ!$E$6:$E$1005,MATCH($F645,商品マスタ!$B$6:$B$1005,0)),"")</f>
        <v/>
      </c>
      <c r="I645" s="69" t="str">
        <f aca="false">IFERROR(INDEX(商品マスタ!$F$6:$F$1005,MATCH($F645,商品マスタ!$B$6:$B$1005,0)),"")</f>
        <v/>
      </c>
      <c r="J645" s="69" t="str">
        <f aca="false">IF(OR($F645="",$C645&lt;&gt;'設定（最初に1回）'!$C$4),"",IFERROR(INDEX(発注計算!$Y$6:$Y$405,MATCH($F645,発注計算!$C$6:$C$405,0)),""))</f>
        <v/>
      </c>
      <c r="K645" s="70"/>
      <c r="L645" s="69" t="str">
        <f aca="false">IF($K645="","",N($K645)*N($I645))</f>
        <v/>
      </c>
      <c r="M645" s="71" t="str">
        <f aca="false">IFERROR(INDEX(商品マスタ!$G$6:$G$1005,MATCH($F645,商品マスタ!$B$6:$B$1005,0)),"")</f>
        <v/>
      </c>
      <c r="N645" s="71" t="str">
        <f aca="false">IF($K645="","",N($K645)*N($M645))</f>
        <v/>
      </c>
      <c r="O645" s="66" t="str">
        <f aca="false">IFERROR(INDEX(商品マスタ!$H$6:$H$1005,MATCH($F645,商品マスタ!$B$6:$B$1005,0)),"")</f>
        <v/>
      </c>
      <c r="P645" s="87" t="str">
        <f aca="false">IF(OR($E645="",$O645=""),"",WORKDAY($E645,$O645))</f>
        <v/>
      </c>
      <c r="Q645" s="80"/>
      <c r="R645" s="131"/>
      <c r="S645" s="69" t="n">
        <f aca="false">IF($Q645="入荷済み",N($L645),0)</f>
        <v>0</v>
      </c>
      <c r="T645" s="80"/>
      <c r="U645" s="80"/>
    </row>
    <row r="646" customFormat="false" ht="15" hidden="false" customHeight="false" outlineLevel="0" collapsed="false">
      <c r="B646" s="66" t="str">
        <f aca="false">IF(OR($E646="",$F646=""),"","PO-"&amp;TEXT($E646,"yyyymmdd")&amp;"-"&amp;TEXT(COUNTIFS($E$6:$E646,$E646,$C$6:$C646,$C646),"000"))</f>
        <v/>
      </c>
      <c r="C646" s="130"/>
      <c r="D646" s="66" t="str">
        <f aca="false">IFERROR(INDEX(定数マスタ!$C$6:$C$105,MATCH($C646,定数マスタ!$B$6:$B$105,0)),"")</f>
        <v/>
      </c>
      <c r="E646" s="131"/>
      <c r="F646" s="130"/>
      <c r="G646" s="66" t="str">
        <f aca="false">IFERROR(INDEX(商品マスタ!$C$6:$C$1005,MATCH($F646,商品マスタ!$B$6:$B$1005,0)),"")</f>
        <v/>
      </c>
      <c r="H646" s="66" t="str">
        <f aca="false">IFERROR(INDEX(商品マスタ!$E$6:$E$1005,MATCH($F646,商品マスタ!$B$6:$B$1005,0)),"")</f>
        <v/>
      </c>
      <c r="I646" s="69" t="str">
        <f aca="false">IFERROR(INDEX(商品マスタ!$F$6:$F$1005,MATCH($F646,商品マスタ!$B$6:$B$1005,0)),"")</f>
        <v/>
      </c>
      <c r="J646" s="69" t="str">
        <f aca="false">IF(OR($F646="",$C646&lt;&gt;'設定（最初に1回）'!$C$4),"",IFERROR(INDEX(発注計算!$Y$6:$Y$405,MATCH($F646,発注計算!$C$6:$C$405,0)),""))</f>
        <v/>
      </c>
      <c r="K646" s="70"/>
      <c r="L646" s="69" t="str">
        <f aca="false">IF($K646="","",N($K646)*N($I646))</f>
        <v/>
      </c>
      <c r="M646" s="71" t="str">
        <f aca="false">IFERROR(INDEX(商品マスタ!$G$6:$G$1005,MATCH($F646,商品マスタ!$B$6:$B$1005,0)),"")</f>
        <v/>
      </c>
      <c r="N646" s="71" t="str">
        <f aca="false">IF($K646="","",N($K646)*N($M646))</f>
        <v/>
      </c>
      <c r="O646" s="66" t="str">
        <f aca="false">IFERROR(INDEX(商品マスタ!$H$6:$H$1005,MATCH($F646,商品マスタ!$B$6:$B$1005,0)),"")</f>
        <v/>
      </c>
      <c r="P646" s="87" t="str">
        <f aca="false">IF(OR($E646="",$O646=""),"",WORKDAY($E646,$O646))</f>
        <v/>
      </c>
      <c r="Q646" s="80"/>
      <c r="R646" s="131"/>
      <c r="S646" s="69" t="n">
        <f aca="false">IF($Q646="入荷済み",N($L646),0)</f>
        <v>0</v>
      </c>
      <c r="T646" s="80"/>
      <c r="U646" s="80"/>
    </row>
    <row r="647" customFormat="false" ht="15" hidden="false" customHeight="false" outlineLevel="0" collapsed="false">
      <c r="B647" s="66" t="str">
        <f aca="false">IF(OR($E647="",$F647=""),"","PO-"&amp;TEXT($E647,"yyyymmdd")&amp;"-"&amp;TEXT(COUNTIFS($E$6:$E647,$E647,$C$6:$C647,$C647),"000"))</f>
        <v/>
      </c>
      <c r="C647" s="130"/>
      <c r="D647" s="66" t="str">
        <f aca="false">IFERROR(INDEX(定数マスタ!$C$6:$C$105,MATCH($C647,定数マスタ!$B$6:$B$105,0)),"")</f>
        <v/>
      </c>
      <c r="E647" s="131"/>
      <c r="F647" s="130"/>
      <c r="G647" s="66" t="str">
        <f aca="false">IFERROR(INDEX(商品マスタ!$C$6:$C$1005,MATCH($F647,商品マスタ!$B$6:$B$1005,0)),"")</f>
        <v/>
      </c>
      <c r="H647" s="66" t="str">
        <f aca="false">IFERROR(INDEX(商品マスタ!$E$6:$E$1005,MATCH($F647,商品マスタ!$B$6:$B$1005,0)),"")</f>
        <v/>
      </c>
      <c r="I647" s="69" t="str">
        <f aca="false">IFERROR(INDEX(商品マスタ!$F$6:$F$1005,MATCH($F647,商品マスタ!$B$6:$B$1005,0)),"")</f>
        <v/>
      </c>
      <c r="J647" s="69" t="str">
        <f aca="false">IF(OR($F647="",$C647&lt;&gt;'設定（最初に1回）'!$C$4),"",IFERROR(INDEX(発注計算!$Y$6:$Y$405,MATCH($F647,発注計算!$C$6:$C$405,0)),""))</f>
        <v/>
      </c>
      <c r="K647" s="70"/>
      <c r="L647" s="69" t="str">
        <f aca="false">IF($K647="","",N($K647)*N($I647))</f>
        <v/>
      </c>
      <c r="M647" s="71" t="str">
        <f aca="false">IFERROR(INDEX(商品マスタ!$G$6:$G$1005,MATCH($F647,商品マスタ!$B$6:$B$1005,0)),"")</f>
        <v/>
      </c>
      <c r="N647" s="71" t="str">
        <f aca="false">IF($K647="","",N($K647)*N($M647))</f>
        <v/>
      </c>
      <c r="O647" s="66" t="str">
        <f aca="false">IFERROR(INDEX(商品マスタ!$H$6:$H$1005,MATCH($F647,商品マスタ!$B$6:$B$1005,0)),"")</f>
        <v/>
      </c>
      <c r="P647" s="87" t="str">
        <f aca="false">IF(OR($E647="",$O647=""),"",WORKDAY($E647,$O647))</f>
        <v/>
      </c>
      <c r="Q647" s="80"/>
      <c r="R647" s="131"/>
      <c r="S647" s="69" t="n">
        <f aca="false">IF($Q647="入荷済み",N($L647),0)</f>
        <v>0</v>
      </c>
      <c r="T647" s="80"/>
      <c r="U647" s="80"/>
    </row>
    <row r="648" customFormat="false" ht="15" hidden="false" customHeight="false" outlineLevel="0" collapsed="false">
      <c r="B648" s="66" t="str">
        <f aca="false">IF(OR($E648="",$F648=""),"","PO-"&amp;TEXT($E648,"yyyymmdd")&amp;"-"&amp;TEXT(COUNTIFS($E$6:$E648,$E648,$C$6:$C648,$C648),"000"))</f>
        <v/>
      </c>
      <c r="C648" s="130"/>
      <c r="D648" s="66" t="str">
        <f aca="false">IFERROR(INDEX(定数マスタ!$C$6:$C$105,MATCH($C648,定数マスタ!$B$6:$B$105,0)),"")</f>
        <v/>
      </c>
      <c r="E648" s="131"/>
      <c r="F648" s="130"/>
      <c r="G648" s="66" t="str">
        <f aca="false">IFERROR(INDEX(商品マスタ!$C$6:$C$1005,MATCH($F648,商品マスタ!$B$6:$B$1005,0)),"")</f>
        <v/>
      </c>
      <c r="H648" s="66" t="str">
        <f aca="false">IFERROR(INDEX(商品マスタ!$E$6:$E$1005,MATCH($F648,商品マスタ!$B$6:$B$1005,0)),"")</f>
        <v/>
      </c>
      <c r="I648" s="69" t="str">
        <f aca="false">IFERROR(INDEX(商品マスタ!$F$6:$F$1005,MATCH($F648,商品マスタ!$B$6:$B$1005,0)),"")</f>
        <v/>
      </c>
      <c r="J648" s="69" t="str">
        <f aca="false">IF(OR($F648="",$C648&lt;&gt;'設定（最初に1回）'!$C$4),"",IFERROR(INDEX(発注計算!$Y$6:$Y$405,MATCH($F648,発注計算!$C$6:$C$405,0)),""))</f>
        <v/>
      </c>
      <c r="K648" s="70"/>
      <c r="L648" s="69" t="str">
        <f aca="false">IF($K648="","",N($K648)*N($I648))</f>
        <v/>
      </c>
      <c r="M648" s="71" t="str">
        <f aca="false">IFERROR(INDEX(商品マスタ!$G$6:$G$1005,MATCH($F648,商品マスタ!$B$6:$B$1005,0)),"")</f>
        <v/>
      </c>
      <c r="N648" s="71" t="str">
        <f aca="false">IF($K648="","",N($K648)*N($M648))</f>
        <v/>
      </c>
      <c r="O648" s="66" t="str">
        <f aca="false">IFERROR(INDEX(商品マスタ!$H$6:$H$1005,MATCH($F648,商品マスタ!$B$6:$B$1005,0)),"")</f>
        <v/>
      </c>
      <c r="P648" s="87" t="str">
        <f aca="false">IF(OR($E648="",$O648=""),"",WORKDAY($E648,$O648))</f>
        <v/>
      </c>
      <c r="Q648" s="80"/>
      <c r="R648" s="131"/>
      <c r="S648" s="69" t="n">
        <f aca="false">IF($Q648="入荷済み",N($L648),0)</f>
        <v>0</v>
      </c>
      <c r="T648" s="80"/>
      <c r="U648" s="80"/>
    </row>
    <row r="649" customFormat="false" ht="15" hidden="false" customHeight="false" outlineLevel="0" collapsed="false">
      <c r="B649" s="66" t="str">
        <f aca="false">IF(OR($E649="",$F649=""),"","PO-"&amp;TEXT($E649,"yyyymmdd")&amp;"-"&amp;TEXT(COUNTIFS($E$6:$E649,$E649,$C$6:$C649,$C649),"000"))</f>
        <v/>
      </c>
      <c r="C649" s="130"/>
      <c r="D649" s="66" t="str">
        <f aca="false">IFERROR(INDEX(定数マスタ!$C$6:$C$105,MATCH($C649,定数マスタ!$B$6:$B$105,0)),"")</f>
        <v/>
      </c>
      <c r="E649" s="131"/>
      <c r="F649" s="130"/>
      <c r="G649" s="66" t="str">
        <f aca="false">IFERROR(INDEX(商品マスタ!$C$6:$C$1005,MATCH($F649,商品マスタ!$B$6:$B$1005,0)),"")</f>
        <v/>
      </c>
      <c r="H649" s="66" t="str">
        <f aca="false">IFERROR(INDEX(商品マスタ!$E$6:$E$1005,MATCH($F649,商品マスタ!$B$6:$B$1005,0)),"")</f>
        <v/>
      </c>
      <c r="I649" s="69" t="str">
        <f aca="false">IFERROR(INDEX(商品マスタ!$F$6:$F$1005,MATCH($F649,商品マスタ!$B$6:$B$1005,0)),"")</f>
        <v/>
      </c>
      <c r="J649" s="69" t="str">
        <f aca="false">IF(OR($F649="",$C649&lt;&gt;'設定（最初に1回）'!$C$4),"",IFERROR(INDEX(発注計算!$Y$6:$Y$405,MATCH($F649,発注計算!$C$6:$C$405,0)),""))</f>
        <v/>
      </c>
      <c r="K649" s="70"/>
      <c r="L649" s="69" t="str">
        <f aca="false">IF($K649="","",N($K649)*N($I649))</f>
        <v/>
      </c>
      <c r="M649" s="71" t="str">
        <f aca="false">IFERROR(INDEX(商品マスタ!$G$6:$G$1005,MATCH($F649,商品マスタ!$B$6:$B$1005,0)),"")</f>
        <v/>
      </c>
      <c r="N649" s="71" t="str">
        <f aca="false">IF($K649="","",N($K649)*N($M649))</f>
        <v/>
      </c>
      <c r="O649" s="66" t="str">
        <f aca="false">IFERROR(INDEX(商品マスタ!$H$6:$H$1005,MATCH($F649,商品マスタ!$B$6:$B$1005,0)),"")</f>
        <v/>
      </c>
      <c r="P649" s="87" t="str">
        <f aca="false">IF(OR($E649="",$O649=""),"",WORKDAY($E649,$O649))</f>
        <v/>
      </c>
      <c r="Q649" s="80"/>
      <c r="R649" s="131"/>
      <c r="S649" s="69" t="n">
        <f aca="false">IF($Q649="入荷済み",N($L649),0)</f>
        <v>0</v>
      </c>
      <c r="T649" s="80"/>
      <c r="U649" s="80"/>
    </row>
    <row r="650" customFormat="false" ht="15" hidden="false" customHeight="false" outlineLevel="0" collapsed="false">
      <c r="B650" s="66" t="str">
        <f aca="false">IF(OR($E650="",$F650=""),"","PO-"&amp;TEXT($E650,"yyyymmdd")&amp;"-"&amp;TEXT(COUNTIFS($E$6:$E650,$E650,$C$6:$C650,$C650),"000"))</f>
        <v/>
      </c>
      <c r="C650" s="130"/>
      <c r="D650" s="66" t="str">
        <f aca="false">IFERROR(INDEX(定数マスタ!$C$6:$C$105,MATCH($C650,定数マスタ!$B$6:$B$105,0)),"")</f>
        <v/>
      </c>
      <c r="E650" s="131"/>
      <c r="F650" s="130"/>
      <c r="G650" s="66" t="str">
        <f aca="false">IFERROR(INDEX(商品マスタ!$C$6:$C$1005,MATCH($F650,商品マスタ!$B$6:$B$1005,0)),"")</f>
        <v/>
      </c>
      <c r="H650" s="66" t="str">
        <f aca="false">IFERROR(INDEX(商品マスタ!$E$6:$E$1005,MATCH($F650,商品マスタ!$B$6:$B$1005,0)),"")</f>
        <v/>
      </c>
      <c r="I650" s="69" t="str">
        <f aca="false">IFERROR(INDEX(商品マスタ!$F$6:$F$1005,MATCH($F650,商品マスタ!$B$6:$B$1005,0)),"")</f>
        <v/>
      </c>
      <c r="J650" s="69" t="str">
        <f aca="false">IF(OR($F650="",$C650&lt;&gt;'設定（最初に1回）'!$C$4),"",IFERROR(INDEX(発注計算!$Y$6:$Y$405,MATCH($F650,発注計算!$C$6:$C$405,0)),""))</f>
        <v/>
      </c>
      <c r="K650" s="70"/>
      <c r="L650" s="69" t="str">
        <f aca="false">IF($K650="","",N($K650)*N($I650))</f>
        <v/>
      </c>
      <c r="M650" s="71" t="str">
        <f aca="false">IFERROR(INDEX(商品マスタ!$G$6:$G$1005,MATCH($F650,商品マスタ!$B$6:$B$1005,0)),"")</f>
        <v/>
      </c>
      <c r="N650" s="71" t="str">
        <f aca="false">IF($K650="","",N($K650)*N($M650))</f>
        <v/>
      </c>
      <c r="O650" s="66" t="str">
        <f aca="false">IFERROR(INDEX(商品マスタ!$H$6:$H$1005,MATCH($F650,商品マスタ!$B$6:$B$1005,0)),"")</f>
        <v/>
      </c>
      <c r="P650" s="87" t="str">
        <f aca="false">IF(OR($E650="",$O650=""),"",WORKDAY($E650,$O650))</f>
        <v/>
      </c>
      <c r="Q650" s="80"/>
      <c r="R650" s="131"/>
      <c r="S650" s="69" t="n">
        <f aca="false">IF($Q650="入荷済み",N($L650),0)</f>
        <v>0</v>
      </c>
      <c r="T650" s="80"/>
      <c r="U650" s="80"/>
    </row>
    <row r="651" customFormat="false" ht="15" hidden="false" customHeight="false" outlineLevel="0" collapsed="false">
      <c r="B651" s="66" t="str">
        <f aca="false">IF(OR($E651="",$F651=""),"","PO-"&amp;TEXT($E651,"yyyymmdd")&amp;"-"&amp;TEXT(COUNTIFS($E$6:$E651,$E651,$C$6:$C651,$C651),"000"))</f>
        <v/>
      </c>
      <c r="C651" s="130"/>
      <c r="D651" s="66" t="str">
        <f aca="false">IFERROR(INDEX(定数マスタ!$C$6:$C$105,MATCH($C651,定数マスタ!$B$6:$B$105,0)),"")</f>
        <v/>
      </c>
      <c r="E651" s="131"/>
      <c r="F651" s="130"/>
      <c r="G651" s="66" t="str">
        <f aca="false">IFERROR(INDEX(商品マスタ!$C$6:$C$1005,MATCH($F651,商品マスタ!$B$6:$B$1005,0)),"")</f>
        <v/>
      </c>
      <c r="H651" s="66" t="str">
        <f aca="false">IFERROR(INDEX(商品マスタ!$E$6:$E$1005,MATCH($F651,商品マスタ!$B$6:$B$1005,0)),"")</f>
        <v/>
      </c>
      <c r="I651" s="69" t="str">
        <f aca="false">IFERROR(INDEX(商品マスタ!$F$6:$F$1005,MATCH($F651,商品マスタ!$B$6:$B$1005,0)),"")</f>
        <v/>
      </c>
      <c r="J651" s="69" t="str">
        <f aca="false">IF(OR($F651="",$C651&lt;&gt;'設定（最初に1回）'!$C$4),"",IFERROR(INDEX(発注計算!$Y$6:$Y$405,MATCH($F651,発注計算!$C$6:$C$405,0)),""))</f>
        <v/>
      </c>
      <c r="K651" s="70"/>
      <c r="L651" s="69" t="str">
        <f aca="false">IF($K651="","",N($K651)*N($I651))</f>
        <v/>
      </c>
      <c r="M651" s="71" t="str">
        <f aca="false">IFERROR(INDEX(商品マスタ!$G$6:$G$1005,MATCH($F651,商品マスタ!$B$6:$B$1005,0)),"")</f>
        <v/>
      </c>
      <c r="N651" s="71" t="str">
        <f aca="false">IF($K651="","",N($K651)*N($M651))</f>
        <v/>
      </c>
      <c r="O651" s="66" t="str">
        <f aca="false">IFERROR(INDEX(商品マスタ!$H$6:$H$1005,MATCH($F651,商品マスタ!$B$6:$B$1005,0)),"")</f>
        <v/>
      </c>
      <c r="P651" s="87" t="str">
        <f aca="false">IF(OR($E651="",$O651=""),"",WORKDAY($E651,$O651))</f>
        <v/>
      </c>
      <c r="Q651" s="80"/>
      <c r="R651" s="131"/>
      <c r="S651" s="69" t="n">
        <f aca="false">IF($Q651="入荷済み",N($L651),0)</f>
        <v>0</v>
      </c>
      <c r="T651" s="80"/>
      <c r="U651" s="80"/>
    </row>
    <row r="652" customFormat="false" ht="15" hidden="false" customHeight="false" outlineLevel="0" collapsed="false">
      <c r="B652" s="66" t="str">
        <f aca="false">IF(OR($E652="",$F652=""),"","PO-"&amp;TEXT($E652,"yyyymmdd")&amp;"-"&amp;TEXT(COUNTIFS($E$6:$E652,$E652,$C$6:$C652,$C652),"000"))</f>
        <v/>
      </c>
      <c r="C652" s="130"/>
      <c r="D652" s="66" t="str">
        <f aca="false">IFERROR(INDEX(定数マスタ!$C$6:$C$105,MATCH($C652,定数マスタ!$B$6:$B$105,0)),"")</f>
        <v/>
      </c>
      <c r="E652" s="131"/>
      <c r="F652" s="130"/>
      <c r="G652" s="66" t="str">
        <f aca="false">IFERROR(INDEX(商品マスタ!$C$6:$C$1005,MATCH($F652,商品マスタ!$B$6:$B$1005,0)),"")</f>
        <v/>
      </c>
      <c r="H652" s="66" t="str">
        <f aca="false">IFERROR(INDEX(商品マスタ!$E$6:$E$1005,MATCH($F652,商品マスタ!$B$6:$B$1005,0)),"")</f>
        <v/>
      </c>
      <c r="I652" s="69" t="str">
        <f aca="false">IFERROR(INDEX(商品マスタ!$F$6:$F$1005,MATCH($F652,商品マスタ!$B$6:$B$1005,0)),"")</f>
        <v/>
      </c>
      <c r="J652" s="69" t="str">
        <f aca="false">IF(OR($F652="",$C652&lt;&gt;'設定（最初に1回）'!$C$4),"",IFERROR(INDEX(発注計算!$Y$6:$Y$405,MATCH($F652,発注計算!$C$6:$C$405,0)),""))</f>
        <v/>
      </c>
      <c r="K652" s="70"/>
      <c r="L652" s="69" t="str">
        <f aca="false">IF($K652="","",N($K652)*N($I652))</f>
        <v/>
      </c>
      <c r="M652" s="71" t="str">
        <f aca="false">IFERROR(INDEX(商品マスタ!$G$6:$G$1005,MATCH($F652,商品マスタ!$B$6:$B$1005,0)),"")</f>
        <v/>
      </c>
      <c r="N652" s="71" t="str">
        <f aca="false">IF($K652="","",N($K652)*N($M652))</f>
        <v/>
      </c>
      <c r="O652" s="66" t="str">
        <f aca="false">IFERROR(INDEX(商品マスタ!$H$6:$H$1005,MATCH($F652,商品マスタ!$B$6:$B$1005,0)),"")</f>
        <v/>
      </c>
      <c r="P652" s="87" t="str">
        <f aca="false">IF(OR($E652="",$O652=""),"",WORKDAY($E652,$O652))</f>
        <v/>
      </c>
      <c r="Q652" s="80"/>
      <c r="R652" s="131"/>
      <c r="S652" s="69" t="n">
        <f aca="false">IF($Q652="入荷済み",N($L652),0)</f>
        <v>0</v>
      </c>
      <c r="T652" s="80"/>
      <c r="U652" s="80"/>
    </row>
    <row r="653" customFormat="false" ht="15" hidden="false" customHeight="false" outlineLevel="0" collapsed="false">
      <c r="B653" s="66" t="str">
        <f aca="false">IF(OR($E653="",$F653=""),"","PO-"&amp;TEXT($E653,"yyyymmdd")&amp;"-"&amp;TEXT(COUNTIFS($E$6:$E653,$E653,$C$6:$C653,$C653),"000"))</f>
        <v/>
      </c>
      <c r="C653" s="130"/>
      <c r="D653" s="66" t="str">
        <f aca="false">IFERROR(INDEX(定数マスタ!$C$6:$C$105,MATCH($C653,定数マスタ!$B$6:$B$105,0)),"")</f>
        <v/>
      </c>
      <c r="E653" s="131"/>
      <c r="F653" s="130"/>
      <c r="G653" s="66" t="str">
        <f aca="false">IFERROR(INDEX(商品マスタ!$C$6:$C$1005,MATCH($F653,商品マスタ!$B$6:$B$1005,0)),"")</f>
        <v/>
      </c>
      <c r="H653" s="66" t="str">
        <f aca="false">IFERROR(INDEX(商品マスタ!$E$6:$E$1005,MATCH($F653,商品マスタ!$B$6:$B$1005,0)),"")</f>
        <v/>
      </c>
      <c r="I653" s="69" t="str">
        <f aca="false">IFERROR(INDEX(商品マスタ!$F$6:$F$1005,MATCH($F653,商品マスタ!$B$6:$B$1005,0)),"")</f>
        <v/>
      </c>
      <c r="J653" s="69" t="str">
        <f aca="false">IF(OR($F653="",$C653&lt;&gt;'設定（最初に1回）'!$C$4),"",IFERROR(INDEX(発注計算!$Y$6:$Y$405,MATCH($F653,発注計算!$C$6:$C$405,0)),""))</f>
        <v/>
      </c>
      <c r="K653" s="70"/>
      <c r="L653" s="69" t="str">
        <f aca="false">IF($K653="","",N($K653)*N($I653))</f>
        <v/>
      </c>
      <c r="M653" s="71" t="str">
        <f aca="false">IFERROR(INDEX(商品マスタ!$G$6:$G$1005,MATCH($F653,商品マスタ!$B$6:$B$1005,0)),"")</f>
        <v/>
      </c>
      <c r="N653" s="71" t="str">
        <f aca="false">IF($K653="","",N($K653)*N($M653))</f>
        <v/>
      </c>
      <c r="O653" s="66" t="str">
        <f aca="false">IFERROR(INDEX(商品マスタ!$H$6:$H$1005,MATCH($F653,商品マスタ!$B$6:$B$1005,0)),"")</f>
        <v/>
      </c>
      <c r="P653" s="87" t="str">
        <f aca="false">IF(OR($E653="",$O653=""),"",WORKDAY($E653,$O653))</f>
        <v/>
      </c>
      <c r="Q653" s="80"/>
      <c r="R653" s="131"/>
      <c r="S653" s="69" t="n">
        <f aca="false">IF($Q653="入荷済み",N($L653),0)</f>
        <v>0</v>
      </c>
      <c r="T653" s="80"/>
      <c r="U653" s="80"/>
    </row>
    <row r="654" customFormat="false" ht="15" hidden="false" customHeight="false" outlineLevel="0" collapsed="false">
      <c r="B654" s="66" t="str">
        <f aca="false">IF(OR($E654="",$F654=""),"","PO-"&amp;TEXT($E654,"yyyymmdd")&amp;"-"&amp;TEXT(COUNTIFS($E$6:$E654,$E654,$C$6:$C654,$C654),"000"))</f>
        <v/>
      </c>
      <c r="C654" s="130"/>
      <c r="D654" s="66" t="str">
        <f aca="false">IFERROR(INDEX(定数マスタ!$C$6:$C$105,MATCH($C654,定数マスタ!$B$6:$B$105,0)),"")</f>
        <v/>
      </c>
      <c r="E654" s="131"/>
      <c r="F654" s="130"/>
      <c r="G654" s="66" t="str">
        <f aca="false">IFERROR(INDEX(商品マスタ!$C$6:$C$1005,MATCH($F654,商品マスタ!$B$6:$B$1005,0)),"")</f>
        <v/>
      </c>
      <c r="H654" s="66" t="str">
        <f aca="false">IFERROR(INDEX(商品マスタ!$E$6:$E$1005,MATCH($F654,商品マスタ!$B$6:$B$1005,0)),"")</f>
        <v/>
      </c>
      <c r="I654" s="69" t="str">
        <f aca="false">IFERROR(INDEX(商品マスタ!$F$6:$F$1005,MATCH($F654,商品マスタ!$B$6:$B$1005,0)),"")</f>
        <v/>
      </c>
      <c r="J654" s="69" t="str">
        <f aca="false">IF(OR($F654="",$C654&lt;&gt;'設定（最初に1回）'!$C$4),"",IFERROR(INDEX(発注計算!$Y$6:$Y$405,MATCH($F654,発注計算!$C$6:$C$405,0)),""))</f>
        <v/>
      </c>
      <c r="K654" s="70"/>
      <c r="L654" s="69" t="str">
        <f aca="false">IF($K654="","",N($K654)*N($I654))</f>
        <v/>
      </c>
      <c r="M654" s="71" t="str">
        <f aca="false">IFERROR(INDEX(商品マスタ!$G$6:$G$1005,MATCH($F654,商品マスタ!$B$6:$B$1005,0)),"")</f>
        <v/>
      </c>
      <c r="N654" s="71" t="str">
        <f aca="false">IF($K654="","",N($K654)*N($M654))</f>
        <v/>
      </c>
      <c r="O654" s="66" t="str">
        <f aca="false">IFERROR(INDEX(商品マスタ!$H$6:$H$1005,MATCH($F654,商品マスタ!$B$6:$B$1005,0)),"")</f>
        <v/>
      </c>
      <c r="P654" s="87" t="str">
        <f aca="false">IF(OR($E654="",$O654=""),"",WORKDAY($E654,$O654))</f>
        <v/>
      </c>
      <c r="Q654" s="80"/>
      <c r="R654" s="131"/>
      <c r="S654" s="69" t="n">
        <f aca="false">IF($Q654="入荷済み",N($L654),0)</f>
        <v>0</v>
      </c>
      <c r="T654" s="80"/>
      <c r="U654" s="80"/>
    </row>
    <row r="655" customFormat="false" ht="15" hidden="false" customHeight="false" outlineLevel="0" collapsed="false">
      <c r="B655" s="66" t="str">
        <f aca="false">IF(OR($E655="",$F655=""),"","PO-"&amp;TEXT($E655,"yyyymmdd")&amp;"-"&amp;TEXT(COUNTIFS($E$6:$E655,$E655,$C$6:$C655,$C655),"000"))</f>
        <v/>
      </c>
      <c r="C655" s="130"/>
      <c r="D655" s="66" t="str">
        <f aca="false">IFERROR(INDEX(定数マスタ!$C$6:$C$105,MATCH($C655,定数マスタ!$B$6:$B$105,0)),"")</f>
        <v/>
      </c>
      <c r="E655" s="131"/>
      <c r="F655" s="130"/>
      <c r="G655" s="66" t="str">
        <f aca="false">IFERROR(INDEX(商品マスタ!$C$6:$C$1005,MATCH($F655,商品マスタ!$B$6:$B$1005,0)),"")</f>
        <v/>
      </c>
      <c r="H655" s="66" t="str">
        <f aca="false">IFERROR(INDEX(商品マスタ!$E$6:$E$1005,MATCH($F655,商品マスタ!$B$6:$B$1005,0)),"")</f>
        <v/>
      </c>
      <c r="I655" s="69" t="str">
        <f aca="false">IFERROR(INDEX(商品マスタ!$F$6:$F$1005,MATCH($F655,商品マスタ!$B$6:$B$1005,0)),"")</f>
        <v/>
      </c>
      <c r="J655" s="69" t="str">
        <f aca="false">IF(OR($F655="",$C655&lt;&gt;'設定（最初に1回）'!$C$4),"",IFERROR(INDEX(発注計算!$Y$6:$Y$405,MATCH($F655,発注計算!$C$6:$C$405,0)),""))</f>
        <v/>
      </c>
      <c r="K655" s="70"/>
      <c r="L655" s="69" t="str">
        <f aca="false">IF($K655="","",N($K655)*N($I655))</f>
        <v/>
      </c>
      <c r="M655" s="71" t="str">
        <f aca="false">IFERROR(INDEX(商品マスタ!$G$6:$G$1005,MATCH($F655,商品マスタ!$B$6:$B$1005,0)),"")</f>
        <v/>
      </c>
      <c r="N655" s="71" t="str">
        <f aca="false">IF($K655="","",N($K655)*N($M655))</f>
        <v/>
      </c>
      <c r="O655" s="66" t="str">
        <f aca="false">IFERROR(INDEX(商品マスタ!$H$6:$H$1005,MATCH($F655,商品マスタ!$B$6:$B$1005,0)),"")</f>
        <v/>
      </c>
      <c r="P655" s="87" t="str">
        <f aca="false">IF(OR($E655="",$O655=""),"",WORKDAY($E655,$O655))</f>
        <v/>
      </c>
      <c r="Q655" s="80"/>
      <c r="R655" s="131"/>
      <c r="S655" s="69" t="n">
        <f aca="false">IF($Q655="入荷済み",N($L655),0)</f>
        <v>0</v>
      </c>
      <c r="T655" s="80"/>
      <c r="U655" s="80"/>
    </row>
    <row r="656" customFormat="false" ht="15" hidden="false" customHeight="false" outlineLevel="0" collapsed="false">
      <c r="B656" s="66" t="str">
        <f aca="false">IF(OR($E656="",$F656=""),"","PO-"&amp;TEXT($E656,"yyyymmdd")&amp;"-"&amp;TEXT(COUNTIFS($E$6:$E656,$E656,$C$6:$C656,$C656),"000"))</f>
        <v/>
      </c>
      <c r="C656" s="130"/>
      <c r="D656" s="66" t="str">
        <f aca="false">IFERROR(INDEX(定数マスタ!$C$6:$C$105,MATCH($C656,定数マスタ!$B$6:$B$105,0)),"")</f>
        <v/>
      </c>
      <c r="E656" s="131"/>
      <c r="F656" s="130"/>
      <c r="G656" s="66" t="str">
        <f aca="false">IFERROR(INDEX(商品マスタ!$C$6:$C$1005,MATCH($F656,商品マスタ!$B$6:$B$1005,0)),"")</f>
        <v/>
      </c>
      <c r="H656" s="66" t="str">
        <f aca="false">IFERROR(INDEX(商品マスタ!$E$6:$E$1005,MATCH($F656,商品マスタ!$B$6:$B$1005,0)),"")</f>
        <v/>
      </c>
      <c r="I656" s="69" t="str">
        <f aca="false">IFERROR(INDEX(商品マスタ!$F$6:$F$1005,MATCH($F656,商品マスタ!$B$6:$B$1005,0)),"")</f>
        <v/>
      </c>
      <c r="J656" s="69" t="str">
        <f aca="false">IF(OR($F656="",$C656&lt;&gt;'設定（最初に1回）'!$C$4),"",IFERROR(INDEX(発注計算!$Y$6:$Y$405,MATCH($F656,発注計算!$C$6:$C$405,0)),""))</f>
        <v/>
      </c>
      <c r="K656" s="70"/>
      <c r="L656" s="69" t="str">
        <f aca="false">IF($K656="","",N($K656)*N($I656))</f>
        <v/>
      </c>
      <c r="M656" s="71" t="str">
        <f aca="false">IFERROR(INDEX(商品マスタ!$G$6:$G$1005,MATCH($F656,商品マスタ!$B$6:$B$1005,0)),"")</f>
        <v/>
      </c>
      <c r="N656" s="71" t="str">
        <f aca="false">IF($K656="","",N($K656)*N($M656))</f>
        <v/>
      </c>
      <c r="O656" s="66" t="str">
        <f aca="false">IFERROR(INDEX(商品マスタ!$H$6:$H$1005,MATCH($F656,商品マスタ!$B$6:$B$1005,0)),"")</f>
        <v/>
      </c>
      <c r="P656" s="87" t="str">
        <f aca="false">IF(OR($E656="",$O656=""),"",WORKDAY($E656,$O656))</f>
        <v/>
      </c>
      <c r="Q656" s="80"/>
      <c r="R656" s="131"/>
      <c r="S656" s="69" t="n">
        <f aca="false">IF($Q656="入荷済み",N($L656),0)</f>
        <v>0</v>
      </c>
      <c r="T656" s="80"/>
      <c r="U656" s="80"/>
    </row>
    <row r="657" customFormat="false" ht="15" hidden="false" customHeight="false" outlineLevel="0" collapsed="false">
      <c r="B657" s="66" t="str">
        <f aca="false">IF(OR($E657="",$F657=""),"","PO-"&amp;TEXT($E657,"yyyymmdd")&amp;"-"&amp;TEXT(COUNTIFS($E$6:$E657,$E657,$C$6:$C657,$C657),"000"))</f>
        <v/>
      </c>
      <c r="C657" s="130"/>
      <c r="D657" s="66" t="str">
        <f aca="false">IFERROR(INDEX(定数マスタ!$C$6:$C$105,MATCH($C657,定数マスタ!$B$6:$B$105,0)),"")</f>
        <v/>
      </c>
      <c r="E657" s="131"/>
      <c r="F657" s="130"/>
      <c r="G657" s="66" t="str">
        <f aca="false">IFERROR(INDEX(商品マスタ!$C$6:$C$1005,MATCH($F657,商品マスタ!$B$6:$B$1005,0)),"")</f>
        <v/>
      </c>
      <c r="H657" s="66" t="str">
        <f aca="false">IFERROR(INDEX(商品マスタ!$E$6:$E$1005,MATCH($F657,商品マスタ!$B$6:$B$1005,0)),"")</f>
        <v/>
      </c>
      <c r="I657" s="69" t="str">
        <f aca="false">IFERROR(INDEX(商品マスタ!$F$6:$F$1005,MATCH($F657,商品マスタ!$B$6:$B$1005,0)),"")</f>
        <v/>
      </c>
      <c r="J657" s="69" t="str">
        <f aca="false">IF(OR($F657="",$C657&lt;&gt;'設定（最初に1回）'!$C$4),"",IFERROR(INDEX(発注計算!$Y$6:$Y$405,MATCH($F657,発注計算!$C$6:$C$405,0)),""))</f>
        <v/>
      </c>
      <c r="K657" s="70"/>
      <c r="L657" s="69" t="str">
        <f aca="false">IF($K657="","",N($K657)*N($I657))</f>
        <v/>
      </c>
      <c r="M657" s="71" t="str">
        <f aca="false">IFERROR(INDEX(商品マスタ!$G$6:$G$1005,MATCH($F657,商品マスタ!$B$6:$B$1005,0)),"")</f>
        <v/>
      </c>
      <c r="N657" s="71" t="str">
        <f aca="false">IF($K657="","",N($K657)*N($M657))</f>
        <v/>
      </c>
      <c r="O657" s="66" t="str">
        <f aca="false">IFERROR(INDEX(商品マスタ!$H$6:$H$1005,MATCH($F657,商品マスタ!$B$6:$B$1005,0)),"")</f>
        <v/>
      </c>
      <c r="P657" s="87" t="str">
        <f aca="false">IF(OR($E657="",$O657=""),"",WORKDAY($E657,$O657))</f>
        <v/>
      </c>
      <c r="Q657" s="80"/>
      <c r="R657" s="131"/>
      <c r="S657" s="69" t="n">
        <f aca="false">IF($Q657="入荷済み",N($L657),0)</f>
        <v>0</v>
      </c>
      <c r="T657" s="80"/>
      <c r="U657" s="80"/>
    </row>
    <row r="658" customFormat="false" ht="15" hidden="false" customHeight="false" outlineLevel="0" collapsed="false">
      <c r="B658" s="66" t="str">
        <f aca="false">IF(OR($E658="",$F658=""),"","PO-"&amp;TEXT($E658,"yyyymmdd")&amp;"-"&amp;TEXT(COUNTIFS($E$6:$E658,$E658,$C$6:$C658,$C658),"000"))</f>
        <v/>
      </c>
      <c r="C658" s="130"/>
      <c r="D658" s="66" t="str">
        <f aca="false">IFERROR(INDEX(定数マスタ!$C$6:$C$105,MATCH($C658,定数マスタ!$B$6:$B$105,0)),"")</f>
        <v/>
      </c>
      <c r="E658" s="131"/>
      <c r="F658" s="130"/>
      <c r="G658" s="66" t="str">
        <f aca="false">IFERROR(INDEX(商品マスタ!$C$6:$C$1005,MATCH($F658,商品マスタ!$B$6:$B$1005,0)),"")</f>
        <v/>
      </c>
      <c r="H658" s="66" t="str">
        <f aca="false">IFERROR(INDEX(商品マスタ!$E$6:$E$1005,MATCH($F658,商品マスタ!$B$6:$B$1005,0)),"")</f>
        <v/>
      </c>
      <c r="I658" s="69" t="str">
        <f aca="false">IFERROR(INDEX(商品マスタ!$F$6:$F$1005,MATCH($F658,商品マスタ!$B$6:$B$1005,0)),"")</f>
        <v/>
      </c>
      <c r="J658" s="69" t="str">
        <f aca="false">IF(OR($F658="",$C658&lt;&gt;'設定（最初に1回）'!$C$4),"",IFERROR(INDEX(発注計算!$Y$6:$Y$405,MATCH($F658,発注計算!$C$6:$C$405,0)),""))</f>
        <v/>
      </c>
      <c r="K658" s="70"/>
      <c r="L658" s="69" t="str">
        <f aca="false">IF($K658="","",N($K658)*N($I658))</f>
        <v/>
      </c>
      <c r="M658" s="71" t="str">
        <f aca="false">IFERROR(INDEX(商品マスタ!$G$6:$G$1005,MATCH($F658,商品マスタ!$B$6:$B$1005,0)),"")</f>
        <v/>
      </c>
      <c r="N658" s="71" t="str">
        <f aca="false">IF($K658="","",N($K658)*N($M658))</f>
        <v/>
      </c>
      <c r="O658" s="66" t="str">
        <f aca="false">IFERROR(INDEX(商品マスタ!$H$6:$H$1005,MATCH($F658,商品マスタ!$B$6:$B$1005,0)),"")</f>
        <v/>
      </c>
      <c r="P658" s="87" t="str">
        <f aca="false">IF(OR($E658="",$O658=""),"",WORKDAY($E658,$O658))</f>
        <v/>
      </c>
      <c r="Q658" s="80"/>
      <c r="R658" s="131"/>
      <c r="S658" s="69" t="n">
        <f aca="false">IF($Q658="入荷済み",N($L658),0)</f>
        <v>0</v>
      </c>
      <c r="T658" s="80"/>
      <c r="U658" s="80"/>
    </row>
    <row r="659" customFormat="false" ht="15" hidden="false" customHeight="false" outlineLevel="0" collapsed="false">
      <c r="B659" s="66" t="str">
        <f aca="false">IF(OR($E659="",$F659=""),"","PO-"&amp;TEXT($E659,"yyyymmdd")&amp;"-"&amp;TEXT(COUNTIFS($E$6:$E659,$E659,$C$6:$C659,$C659),"000"))</f>
        <v/>
      </c>
      <c r="C659" s="130"/>
      <c r="D659" s="66" t="str">
        <f aca="false">IFERROR(INDEX(定数マスタ!$C$6:$C$105,MATCH($C659,定数マスタ!$B$6:$B$105,0)),"")</f>
        <v/>
      </c>
      <c r="E659" s="131"/>
      <c r="F659" s="130"/>
      <c r="G659" s="66" t="str">
        <f aca="false">IFERROR(INDEX(商品マスタ!$C$6:$C$1005,MATCH($F659,商品マスタ!$B$6:$B$1005,0)),"")</f>
        <v/>
      </c>
      <c r="H659" s="66" t="str">
        <f aca="false">IFERROR(INDEX(商品マスタ!$E$6:$E$1005,MATCH($F659,商品マスタ!$B$6:$B$1005,0)),"")</f>
        <v/>
      </c>
      <c r="I659" s="69" t="str">
        <f aca="false">IFERROR(INDEX(商品マスタ!$F$6:$F$1005,MATCH($F659,商品マスタ!$B$6:$B$1005,0)),"")</f>
        <v/>
      </c>
      <c r="J659" s="69" t="str">
        <f aca="false">IF(OR($F659="",$C659&lt;&gt;'設定（最初に1回）'!$C$4),"",IFERROR(INDEX(発注計算!$Y$6:$Y$405,MATCH($F659,発注計算!$C$6:$C$405,0)),""))</f>
        <v/>
      </c>
      <c r="K659" s="70"/>
      <c r="L659" s="69" t="str">
        <f aca="false">IF($K659="","",N($K659)*N($I659))</f>
        <v/>
      </c>
      <c r="M659" s="71" t="str">
        <f aca="false">IFERROR(INDEX(商品マスタ!$G$6:$G$1005,MATCH($F659,商品マスタ!$B$6:$B$1005,0)),"")</f>
        <v/>
      </c>
      <c r="N659" s="71" t="str">
        <f aca="false">IF($K659="","",N($K659)*N($M659))</f>
        <v/>
      </c>
      <c r="O659" s="66" t="str">
        <f aca="false">IFERROR(INDEX(商品マスタ!$H$6:$H$1005,MATCH($F659,商品マスタ!$B$6:$B$1005,0)),"")</f>
        <v/>
      </c>
      <c r="P659" s="87" t="str">
        <f aca="false">IF(OR($E659="",$O659=""),"",WORKDAY($E659,$O659))</f>
        <v/>
      </c>
      <c r="Q659" s="80"/>
      <c r="R659" s="131"/>
      <c r="S659" s="69" t="n">
        <f aca="false">IF($Q659="入荷済み",N($L659),0)</f>
        <v>0</v>
      </c>
      <c r="T659" s="80"/>
      <c r="U659" s="80"/>
    </row>
    <row r="660" customFormat="false" ht="15" hidden="false" customHeight="false" outlineLevel="0" collapsed="false">
      <c r="B660" s="66" t="str">
        <f aca="false">IF(OR($E660="",$F660=""),"","PO-"&amp;TEXT($E660,"yyyymmdd")&amp;"-"&amp;TEXT(COUNTIFS($E$6:$E660,$E660,$C$6:$C660,$C660),"000"))</f>
        <v/>
      </c>
      <c r="C660" s="130"/>
      <c r="D660" s="66" t="str">
        <f aca="false">IFERROR(INDEX(定数マスタ!$C$6:$C$105,MATCH($C660,定数マスタ!$B$6:$B$105,0)),"")</f>
        <v/>
      </c>
      <c r="E660" s="131"/>
      <c r="F660" s="130"/>
      <c r="G660" s="66" t="str">
        <f aca="false">IFERROR(INDEX(商品マスタ!$C$6:$C$1005,MATCH($F660,商品マスタ!$B$6:$B$1005,0)),"")</f>
        <v/>
      </c>
      <c r="H660" s="66" t="str">
        <f aca="false">IFERROR(INDEX(商品マスタ!$E$6:$E$1005,MATCH($F660,商品マスタ!$B$6:$B$1005,0)),"")</f>
        <v/>
      </c>
      <c r="I660" s="69" t="str">
        <f aca="false">IFERROR(INDEX(商品マスタ!$F$6:$F$1005,MATCH($F660,商品マスタ!$B$6:$B$1005,0)),"")</f>
        <v/>
      </c>
      <c r="J660" s="69" t="str">
        <f aca="false">IF(OR($F660="",$C660&lt;&gt;'設定（最初に1回）'!$C$4),"",IFERROR(INDEX(発注計算!$Y$6:$Y$405,MATCH($F660,発注計算!$C$6:$C$405,0)),""))</f>
        <v/>
      </c>
      <c r="K660" s="70"/>
      <c r="L660" s="69" t="str">
        <f aca="false">IF($K660="","",N($K660)*N($I660))</f>
        <v/>
      </c>
      <c r="M660" s="71" t="str">
        <f aca="false">IFERROR(INDEX(商品マスタ!$G$6:$G$1005,MATCH($F660,商品マスタ!$B$6:$B$1005,0)),"")</f>
        <v/>
      </c>
      <c r="N660" s="71" t="str">
        <f aca="false">IF($K660="","",N($K660)*N($M660))</f>
        <v/>
      </c>
      <c r="O660" s="66" t="str">
        <f aca="false">IFERROR(INDEX(商品マスタ!$H$6:$H$1005,MATCH($F660,商品マスタ!$B$6:$B$1005,0)),"")</f>
        <v/>
      </c>
      <c r="P660" s="87" t="str">
        <f aca="false">IF(OR($E660="",$O660=""),"",WORKDAY($E660,$O660))</f>
        <v/>
      </c>
      <c r="Q660" s="80"/>
      <c r="R660" s="131"/>
      <c r="S660" s="69" t="n">
        <f aca="false">IF($Q660="入荷済み",N($L660),0)</f>
        <v>0</v>
      </c>
      <c r="T660" s="80"/>
      <c r="U660" s="80"/>
    </row>
    <row r="661" customFormat="false" ht="15" hidden="false" customHeight="false" outlineLevel="0" collapsed="false">
      <c r="B661" s="66" t="str">
        <f aca="false">IF(OR($E661="",$F661=""),"","PO-"&amp;TEXT($E661,"yyyymmdd")&amp;"-"&amp;TEXT(COUNTIFS($E$6:$E661,$E661,$C$6:$C661,$C661),"000"))</f>
        <v/>
      </c>
      <c r="C661" s="130"/>
      <c r="D661" s="66" t="str">
        <f aca="false">IFERROR(INDEX(定数マスタ!$C$6:$C$105,MATCH($C661,定数マスタ!$B$6:$B$105,0)),"")</f>
        <v/>
      </c>
      <c r="E661" s="131"/>
      <c r="F661" s="130"/>
      <c r="G661" s="66" t="str">
        <f aca="false">IFERROR(INDEX(商品マスタ!$C$6:$C$1005,MATCH($F661,商品マスタ!$B$6:$B$1005,0)),"")</f>
        <v/>
      </c>
      <c r="H661" s="66" t="str">
        <f aca="false">IFERROR(INDEX(商品マスタ!$E$6:$E$1005,MATCH($F661,商品マスタ!$B$6:$B$1005,0)),"")</f>
        <v/>
      </c>
      <c r="I661" s="69" t="str">
        <f aca="false">IFERROR(INDEX(商品マスタ!$F$6:$F$1005,MATCH($F661,商品マスタ!$B$6:$B$1005,0)),"")</f>
        <v/>
      </c>
      <c r="J661" s="69" t="str">
        <f aca="false">IF(OR($F661="",$C661&lt;&gt;'設定（最初に1回）'!$C$4),"",IFERROR(INDEX(発注計算!$Y$6:$Y$405,MATCH($F661,発注計算!$C$6:$C$405,0)),""))</f>
        <v/>
      </c>
      <c r="K661" s="70"/>
      <c r="L661" s="69" t="str">
        <f aca="false">IF($K661="","",N($K661)*N($I661))</f>
        <v/>
      </c>
      <c r="M661" s="71" t="str">
        <f aca="false">IFERROR(INDEX(商品マスタ!$G$6:$G$1005,MATCH($F661,商品マスタ!$B$6:$B$1005,0)),"")</f>
        <v/>
      </c>
      <c r="N661" s="71" t="str">
        <f aca="false">IF($K661="","",N($K661)*N($M661))</f>
        <v/>
      </c>
      <c r="O661" s="66" t="str">
        <f aca="false">IFERROR(INDEX(商品マスタ!$H$6:$H$1005,MATCH($F661,商品マスタ!$B$6:$B$1005,0)),"")</f>
        <v/>
      </c>
      <c r="P661" s="87" t="str">
        <f aca="false">IF(OR($E661="",$O661=""),"",WORKDAY($E661,$O661))</f>
        <v/>
      </c>
      <c r="Q661" s="80"/>
      <c r="R661" s="131"/>
      <c r="S661" s="69" t="n">
        <f aca="false">IF($Q661="入荷済み",N($L661),0)</f>
        <v>0</v>
      </c>
      <c r="T661" s="80"/>
      <c r="U661" s="80"/>
    </row>
    <row r="662" customFormat="false" ht="15" hidden="false" customHeight="false" outlineLevel="0" collapsed="false">
      <c r="B662" s="66" t="str">
        <f aca="false">IF(OR($E662="",$F662=""),"","PO-"&amp;TEXT($E662,"yyyymmdd")&amp;"-"&amp;TEXT(COUNTIFS($E$6:$E662,$E662,$C$6:$C662,$C662),"000"))</f>
        <v/>
      </c>
      <c r="C662" s="130"/>
      <c r="D662" s="66" t="str">
        <f aca="false">IFERROR(INDEX(定数マスタ!$C$6:$C$105,MATCH($C662,定数マスタ!$B$6:$B$105,0)),"")</f>
        <v/>
      </c>
      <c r="E662" s="131"/>
      <c r="F662" s="130"/>
      <c r="G662" s="66" t="str">
        <f aca="false">IFERROR(INDEX(商品マスタ!$C$6:$C$1005,MATCH($F662,商品マスタ!$B$6:$B$1005,0)),"")</f>
        <v/>
      </c>
      <c r="H662" s="66" t="str">
        <f aca="false">IFERROR(INDEX(商品マスタ!$E$6:$E$1005,MATCH($F662,商品マスタ!$B$6:$B$1005,0)),"")</f>
        <v/>
      </c>
      <c r="I662" s="69" t="str">
        <f aca="false">IFERROR(INDEX(商品マスタ!$F$6:$F$1005,MATCH($F662,商品マスタ!$B$6:$B$1005,0)),"")</f>
        <v/>
      </c>
      <c r="J662" s="69" t="str">
        <f aca="false">IF(OR($F662="",$C662&lt;&gt;'設定（最初に1回）'!$C$4),"",IFERROR(INDEX(発注計算!$Y$6:$Y$405,MATCH($F662,発注計算!$C$6:$C$405,0)),""))</f>
        <v/>
      </c>
      <c r="K662" s="70"/>
      <c r="L662" s="69" t="str">
        <f aca="false">IF($K662="","",N($K662)*N($I662))</f>
        <v/>
      </c>
      <c r="M662" s="71" t="str">
        <f aca="false">IFERROR(INDEX(商品マスタ!$G$6:$G$1005,MATCH($F662,商品マスタ!$B$6:$B$1005,0)),"")</f>
        <v/>
      </c>
      <c r="N662" s="71" t="str">
        <f aca="false">IF($K662="","",N($K662)*N($M662))</f>
        <v/>
      </c>
      <c r="O662" s="66" t="str">
        <f aca="false">IFERROR(INDEX(商品マスタ!$H$6:$H$1005,MATCH($F662,商品マスタ!$B$6:$B$1005,0)),"")</f>
        <v/>
      </c>
      <c r="P662" s="87" t="str">
        <f aca="false">IF(OR($E662="",$O662=""),"",WORKDAY($E662,$O662))</f>
        <v/>
      </c>
      <c r="Q662" s="80"/>
      <c r="R662" s="131"/>
      <c r="S662" s="69" t="n">
        <f aca="false">IF($Q662="入荷済み",N($L662),0)</f>
        <v>0</v>
      </c>
      <c r="T662" s="80"/>
      <c r="U662" s="80"/>
    </row>
    <row r="663" customFormat="false" ht="15" hidden="false" customHeight="false" outlineLevel="0" collapsed="false">
      <c r="B663" s="66" t="str">
        <f aca="false">IF(OR($E663="",$F663=""),"","PO-"&amp;TEXT($E663,"yyyymmdd")&amp;"-"&amp;TEXT(COUNTIFS($E$6:$E663,$E663,$C$6:$C663,$C663),"000"))</f>
        <v/>
      </c>
      <c r="C663" s="130"/>
      <c r="D663" s="66" t="str">
        <f aca="false">IFERROR(INDEX(定数マスタ!$C$6:$C$105,MATCH($C663,定数マスタ!$B$6:$B$105,0)),"")</f>
        <v/>
      </c>
      <c r="E663" s="131"/>
      <c r="F663" s="130"/>
      <c r="G663" s="66" t="str">
        <f aca="false">IFERROR(INDEX(商品マスタ!$C$6:$C$1005,MATCH($F663,商品マスタ!$B$6:$B$1005,0)),"")</f>
        <v/>
      </c>
      <c r="H663" s="66" t="str">
        <f aca="false">IFERROR(INDEX(商品マスタ!$E$6:$E$1005,MATCH($F663,商品マスタ!$B$6:$B$1005,0)),"")</f>
        <v/>
      </c>
      <c r="I663" s="69" t="str">
        <f aca="false">IFERROR(INDEX(商品マスタ!$F$6:$F$1005,MATCH($F663,商品マスタ!$B$6:$B$1005,0)),"")</f>
        <v/>
      </c>
      <c r="J663" s="69" t="str">
        <f aca="false">IF(OR($F663="",$C663&lt;&gt;'設定（最初に1回）'!$C$4),"",IFERROR(INDEX(発注計算!$Y$6:$Y$405,MATCH($F663,発注計算!$C$6:$C$405,0)),""))</f>
        <v/>
      </c>
      <c r="K663" s="70"/>
      <c r="L663" s="69" t="str">
        <f aca="false">IF($K663="","",N($K663)*N($I663))</f>
        <v/>
      </c>
      <c r="M663" s="71" t="str">
        <f aca="false">IFERROR(INDEX(商品マスタ!$G$6:$G$1005,MATCH($F663,商品マスタ!$B$6:$B$1005,0)),"")</f>
        <v/>
      </c>
      <c r="N663" s="71" t="str">
        <f aca="false">IF($K663="","",N($K663)*N($M663))</f>
        <v/>
      </c>
      <c r="O663" s="66" t="str">
        <f aca="false">IFERROR(INDEX(商品マスタ!$H$6:$H$1005,MATCH($F663,商品マスタ!$B$6:$B$1005,0)),"")</f>
        <v/>
      </c>
      <c r="P663" s="87" t="str">
        <f aca="false">IF(OR($E663="",$O663=""),"",WORKDAY($E663,$O663))</f>
        <v/>
      </c>
      <c r="Q663" s="80"/>
      <c r="R663" s="131"/>
      <c r="S663" s="69" t="n">
        <f aca="false">IF($Q663="入荷済み",N($L663),0)</f>
        <v>0</v>
      </c>
      <c r="T663" s="80"/>
      <c r="U663" s="80"/>
    </row>
    <row r="664" customFormat="false" ht="15" hidden="false" customHeight="false" outlineLevel="0" collapsed="false">
      <c r="B664" s="66" t="str">
        <f aca="false">IF(OR($E664="",$F664=""),"","PO-"&amp;TEXT($E664,"yyyymmdd")&amp;"-"&amp;TEXT(COUNTIFS($E$6:$E664,$E664,$C$6:$C664,$C664),"000"))</f>
        <v/>
      </c>
      <c r="C664" s="130"/>
      <c r="D664" s="66" t="str">
        <f aca="false">IFERROR(INDEX(定数マスタ!$C$6:$C$105,MATCH($C664,定数マスタ!$B$6:$B$105,0)),"")</f>
        <v/>
      </c>
      <c r="E664" s="131"/>
      <c r="F664" s="130"/>
      <c r="G664" s="66" t="str">
        <f aca="false">IFERROR(INDEX(商品マスタ!$C$6:$C$1005,MATCH($F664,商品マスタ!$B$6:$B$1005,0)),"")</f>
        <v/>
      </c>
      <c r="H664" s="66" t="str">
        <f aca="false">IFERROR(INDEX(商品マスタ!$E$6:$E$1005,MATCH($F664,商品マスタ!$B$6:$B$1005,0)),"")</f>
        <v/>
      </c>
      <c r="I664" s="69" t="str">
        <f aca="false">IFERROR(INDEX(商品マスタ!$F$6:$F$1005,MATCH($F664,商品マスタ!$B$6:$B$1005,0)),"")</f>
        <v/>
      </c>
      <c r="J664" s="69" t="str">
        <f aca="false">IF(OR($F664="",$C664&lt;&gt;'設定（最初に1回）'!$C$4),"",IFERROR(INDEX(発注計算!$Y$6:$Y$405,MATCH($F664,発注計算!$C$6:$C$405,0)),""))</f>
        <v/>
      </c>
      <c r="K664" s="70"/>
      <c r="L664" s="69" t="str">
        <f aca="false">IF($K664="","",N($K664)*N($I664))</f>
        <v/>
      </c>
      <c r="M664" s="71" t="str">
        <f aca="false">IFERROR(INDEX(商品マスタ!$G$6:$G$1005,MATCH($F664,商品マスタ!$B$6:$B$1005,0)),"")</f>
        <v/>
      </c>
      <c r="N664" s="71" t="str">
        <f aca="false">IF($K664="","",N($K664)*N($M664))</f>
        <v/>
      </c>
      <c r="O664" s="66" t="str">
        <f aca="false">IFERROR(INDEX(商品マスタ!$H$6:$H$1005,MATCH($F664,商品マスタ!$B$6:$B$1005,0)),"")</f>
        <v/>
      </c>
      <c r="P664" s="87" t="str">
        <f aca="false">IF(OR($E664="",$O664=""),"",WORKDAY($E664,$O664))</f>
        <v/>
      </c>
      <c r="Q664" s="80"/>
      <c r="R664" s="131"/>
      <c r="S664" s="69" t="n">
        <f aca="false">IF($Q664="入荷済み",N($L664),0)</f>
        <v>0</v>
      </c>
      <c r="T664" s="80"/>
      <c r="U664" s="80"/>
    </row>
    <row r="665" customFormat="false" ht="15" hidden="false" customHeight="false" outlineLevel="0" collapsed="false">
      <c r="B665" s="66" t="str">
        <f aca="false">IF(OR($E665="",$F665=""),"","PO-"&amp;TEXT($E665,"yyyymmdd")&amp;"-"&amp;TEXT(COUNTIFS($E$6:$E665,$E665,$C$6:$C665,$C665),"000"))</f>
        <v/>
      </c>
      <c r="C665" s="130"/>
      <c r="D665" s="66" t="str">
        <f aca="false">IFERROR(INDEX(定数マスタ!$C$6:$C$105,MATCH($C665,定数マスタ!$B$6:$B$105,0)),"")</f>
        <v/>
      </c>
      <c r="E665" s="131"/>
      <c r="F665" s="130"/>
      <c r="G665" s="66" t="str">
        <f aca="false">IFERROR(INDEX(商品マスタ!$C$6:$C$1005,MATCH($F665,商品マスタ!$B$6:$B$1005,0)),"")</f>
        <v/>
      </c>
      <c r="H665" s="66" t="str">
        <f aca="false">IFERROR(INDEX(商品マスタ!$E$6:$E$1005,MATCH($F665,商品マスタ!$B$6:$B$1005,0)),"")</f>
        <v/>
      </c>
      <c r="I665" s="69" t="str">
        <f aca="false">IFERROR(INDEX(商品マスタ!$F$6:$F$1005,MATCH($F665,商品マスタ!$B$6:$B$1005,0)),"")</f>
        <v/>
      </c>
      <c r="J665" s="69" t="str">
        <f aca="false">IF(OR($F665="",$C665&lt;&gt;'設定（最初に1回）'!$C$4),"",IFERROR(INDEX(発注計算!$Y$6:$Y$405,MATCH($F665,発注計算!$C$6:$C$405,0)),""))</f>
        <v/>
      </c>
      <c r="K665" s="70"/>
      <c r="L665" s="69" t="str">
        <f aca="false">IF($K665="","",N($K665)*N($I665))</f>
        <v/>
      </c>
      <c r="M665" s="71" t="str">
        <f aca="false">IFERROR(INDEX(商品マスタ!$G$6:$G$1005,MATCH($F665,商品マスタ!$B$6:$B$1005,0)),"")</f>
        <v/>
      </c>
      <c r="N665" s="71" t="str">
        <f aca="false">IF($K665="","",N($K665)*N($M665))</f>
        <v/>
      </c>
      <c r="O665" s="66" t="str">
        <f aca="false">IFERROR(INDEX(商品マスタ!$H$6:$H$1005,MATCH($F665,商品マスタ!$B$6:$B$1005,0)),"")</f>
        <v/>
      </c>
      <c r="P665" s="87" t="str">
        <f aca="false">IF(OR($E665="",$O665=""),"",WORKDAY($E665,$O665))</f>
        <v/>
      </c>
      <c r="Q665" s="80"/>
      <c r="R665" s="131"/>
      <c r="S665" s="69" t="n">
        <f aca="false">IF($Q665="入荷済み",N($L665),0)</f>
        <v>0</v>
      </c>
      <c r="T665" s="80"/>
      <c r="U665" s="80"/>
    </row>
    <row r="666" customFormat="false" ht="15" hidden="false" customHeight="false" outlineLevel="0" collapsed="false">
      <c r="B666" s="66" t="str">
        <f aca="false">IF(OR($E666="",$F666=""),"","PO-"&amp;TEXT($E666,"yyyymmdd")&amp;"-"&amp;TEXT(COUNTIFS($E$6:$E666,$E666,$C$6:$C666,$C666),"000"))</f>
        <v/>
      </c>
      <c r="C666" s="130"/>
      <c r="D666" s="66" t="str">
        <f aca="false">IFERROR(INDEX(定数マスタ!$C$6:$C$105,MATCH($C666,定数マスタ!$B$6:$B$105,0)),"")</f>
        <v/>
      </c>
      <c r="E666" s="131"/>
      <c r="F666" s="130"/>
      <c r="G666" s="66" t="str">
        <f aca="false">IFERROR(INDEX(商品マスタ!$C$6:$C$1005,MATCH($F666,商品マスタ!$B$6:$B$1005,0)),"")</f>
        <v/>
      </c>
      <c r="H666" s="66" t="str">
        <f aca="false">IFERROR(INDEX(商品マスタ!$E$6:$E$1005,MATCH($F666,商品マスタ!$B$6:$B$1005,0)),"")</f>
        <v/>
      </c>
      <c r="I666" s="69" t="str">
        <f aca="false">IFERROR(INDEX(商品マスタ!$F$6:$F$1005,MATCH($F666,商品マスタ!$B$6:$B$1005,0)),"")</f>
        <v/>
      </c>
      <c r="J666" s="69" t="str">
        <f aca="false">IF(OR($F666="",$C666&lt;&gt;'設定（最初に1回）'!$C$4),"",IFERROR(INDEX(発注計算!$Y$6:$Y$405,MATCH($F666,発注計算!$C$6:$C$405,0)),""))</f>
        <v/>
      </c>
      <c r="K666" s="70"/>
      <c r="L666" s="69" t="str">
        <f aca="false">IF($K666="","",N($K666)*N($I666))</f>
        <v/>
      </c>
      <c r="M666" s="71" t="str">
        <f aca="false">IFERROR(INDEX(商品マスタ!$G$6:$G$1005,MATCH($F666,商品マスタ!$B$6:$B$1005,0)),"")</f>
        <v/>
      </c>
      <c r="N666" s="71" t="str">
        <f aca="false">IF($K666="","",N($K666)*N($M666))</f>
        <v/>
      </c>
      <c r="O666" s="66" t="str">
        <f aca="false">IFERROR(INDEX(商品マスタ!$H$6:$H$1005,MATCH($F666,商品マスタ!$B$6:$B$1005,0)),"")</f>
        <v/>
      </c>
      <c r="P666" s="87" t="str">
        <f aca="false">IF(OR($E666="",$O666=""),"",WORKDAY($E666,$O666))</f>
        <v/>
      </c>
      <c r="Q666" s="80"/>
      <c r="R666" s="131"/>
      <c r="S666" s="69" t="n">
        <f aca="false">IF($Q666="入荷済み",N($L666),0)</f>
        <v>0</v>
      </c>
      <c r="T666" s="80"/>
      <c r="U666" s="80"/>
    </row>
    <row r="667" customFormat="false" ht="15" hidden="false" customHeight="false" outlineLevel="0" collapsed="false">
      <c r="B667" s="66" t="str">
        <f aca="false">IF(OR($E667="",$F667=""),"","PO-"&amp;TEXT($E667,"yyyymmdd")&amp;"-"&amp;TEXT(COUNTIFS($E$6:$E667,$E667,$C$6:$C667,$C667),"000"))</f>
        <v/>
      </c>
      <c r="C667" s="130"/>
      <c r="D667" s="66" t="str">
        <f aca="false">IFERROR(INDEX(定数マスタ!$C$6:$C$105,MATCH($C667,定数マスタ!$B$6:$B$105,0)),"")</f>
        <v/>
      </c>
      <c r="E667" s="131"/>
      <c r="F667" s="130"/>
      <c r="G667" s="66" t="str">
        <f aca="false">IFERROR(INDEX(商品マスタ!$C$6:$C$1005,MATCH($F667,商品マスタ!$B$6:$B$1005,0)),"")</f>
        <v/>
      </c>
      <c r="H667" s="66" t="str">
        <f aca="false">IFERROR(INDEX(商品マスタ!$E$6:$E$1005,MATCH($F667,商品マスタ!$B$6:$B$1005,0)),"")</f>
        <v/>
      </c>
      <c r="I667" s="69" t="str">
        <f aca="false">IFERROR(INDEX(商品マスタ!$F$6:$F$1005,MATCH($F667,商品マスタ!$B$6:$B$1005,0)),"")</f>
        <v/>
      </c>
      <c r="J667" s="69" t="str">
        <f aca="false">IF(OR($F667="",$C667&lt;&gt;'設定（最初に1回）'!$C$4),"",IFERROR(INDEX(発注計算!$Y$6:$Y$405,MATCH($F667,発注計算!$C$6:$C$405,0)),""))</f>
        <v/>
      </c>
      <c r="K667" s="70"/>
      <c r="L667" s="69" t="str">
        <f aca="false">IF($K667="","",N($K667)*N($I667))</f>
        <v/>
      </c>
      <c r="M667" s="71" t="str">
        <f aca="false">IFERROR(INDEX(商品マスタ!$G$6:$G$1005,MATCH($F667,商品マスタ!$B$6:$B$1005,0)),"")</f>
        <v/>
      </c>
      <c r="N667" s="71" t="str">
        <f aca="false">IF($K667="","",N($K667)*N($M667))</f>
        <v/>
      </c>
      <c r="O667" s="66" t="str">
        <f aca="false">IFERROR(INDEX(商品マスタ!$H$6:$H$1005,MATCH($F667,商品マスタ!$B$6:$B$1005,0)),"")</f>
        <v/>
      </c>
      <c r="P667" s="87" t="str">
        <f aca="false">IF(OR($E667="",$O667=""),"",WORKDAY($E667,$O667))</f>
        <v/>
      </c>
      <c r="Q667" s="80"/>
      <c r="R667" s="131"/>
      <c r="S667" s="69" t="n">
        <f aca="false">IF($Q667="入荷済み",N($L667),0)</f>
        <v>0</v>
      </c>
      <c r="T667" s="80"/>
      <c r="U667" s="80"/>
    </row>
    <row r="668" customFormat="false" ht="15" hidden="false" customHeight="false" outlineLevel="0" collapsed="false">
      <c r="B668" s="66" t="str">
        <f aca="false">IF(OR($E668="",$F668=""),"","PO-"&amp;TEXT($E668,"yyyymmdd")&amp;"-"&amp;TEXT(COUNTIFS($E$6:$E668,$E668,$C$6:$C668,$C668),"000"))</f>
        <v/>
      </c>
      <c r="C668" s="130"/>
      <c r="D668" s="66" t="str">
        <f aca="false">IFERROR(INDEX(定数マスタ!$C$6:$C$105,MATCH($C668,定数マスタ!$B$6:$B$105,0)),"")</f>
        <v/>
      </c>
      <c r="E668" s="131"/>
      <c r="F668" s="130"/>
      <c r="G668" s="66" t="str">
        <f aca="false">IFERROR(INDEX(商品マスタ!$C$6:$C$1005,MATCH($F668,商品マスタ!$B$6:$B$1005,0)),"")</f>
        <v/>
      </c>
      <c r="H668" s="66" t="str">
        <f aca="false">IFERROR(INDEX(商品マスタ!$E$6:$E$1005,MATCH($F668,商品マスタ!$B$6:$B$1005,0)),"")</f>
        <v/>
      </c>
      <c r="I668" s="69" t="str">
        <f aca="false">IFERROR(INDEX(商品マスタ!$F$6:$F$1005,MATCH($F668,商品マスタ!$B$6:$B$1005,0)),"")</f>
        <v/>
      </c>
      <c r="J668" s="69" t="str">
        <f aca="false">IF(OR($F668="",$C668&lt;&gt;'設定（最初に1回）'!$C$4),"",IFERROR(INDEX(発注計算!$Y$6:$Y$405,MATCH($F668,発注計算!$C$6:$C$405,0)),""))</f>
        <v/>
      </c>
      <c r="K668" s="70"/>
      <c r="L668" s="69" t="str">
        <f aca="false">IF($K668="","",N($K668)*N($I668))</f>
        <v/>
      </c>
      <c r="M668" s="71" t="str">
        <f aca="false">IFERROR(INDEX(商品マスタ!$G$6:$G$1005,MATCH($F668,商品マスタ!$B$6:$B$1005,0)),"")</f>
        <v/>
      </c>
      <c r="N668" s="71" t="str">
        <f aca="false">IF($K668="","",N($K668)*N($M668))</f>
        <v/>
      </c>
      <c r="O668" s="66" t="str">
        <f aca="false">IFERROR(INDEX(商品マスタ!$H$6:$H$1005,MATCH($F668,商品マスタ!$B$6:$B$1005,0)),"")</f>
        <v/>
      </c>
      <c r="P668" s="87" t="str">
        <f aca="false">IF(OR($E668="",$O668=""),"",WORKDAY($E668,$O668))</f>
        <v/>
      </c>
      <c r="Q668" s="80"/>
      <c r="R668" s="131"/>
      <c r="S668" s="69" t="n">
        <f aca="false">IF($Q668="入荷済み",N($L668),0)</f>
        <v>0</v>
      </c>
      <c r="T668" s="80"/>
      <c r="U668" s="80"/>
    </row>
    <row r="669" customFormat="false" ht="15" hidden="false" customHeight="false" outlineLevel="0" collapsed="false">
      <c r="B669" s="66" t="str">
        <f aca="false">IF(OR($E669="",$F669=""),"","PO-"&amp;TEXT($E669,"yyyymmdd")&amp;"-"&amp;TEXT(COUNTIFS($E$6:$E669,$E669,$C$6:$C669,$C669),"000"))</f>
        <v/>
      </c>
      <c r="C669" s="130"/>
      <c r="D669" s="66" t="str">
        <f aca="false">IFERROR(INDEX(定数マスタ!$C$6:$C$105,MATCH($C669,定数マスタ!$B$6:$B$105,0)),"")</f>
        <v/>
      </c>
      <c r="E669" s="131"/>
      <c r="F669" s="130"/>
      <c r="G669" s="66" t="str">
        <f aca="false">IFERROR(INDEX(商品マスタ!$C$6:$C$1005,MATCH($F669,商品マスタ!$B$6:$B$1005,0)),"")</f>
        <v/>
      </c>
      <c r="H669" s="66" t="str">
        <f aca="false">IFERROR(INDEX(商品マスタ!$E$6:$E$1005,MATCH($F669,商品マスタ!$B$6:$B$1005,0)),"")</f>
        <v/>
      </c>
      <c r="I669" s="69" t="str">
        <f aca="false">IFERROR(INDEX(商品マスタ!$F$6:$F$1005,MATCH($F669,商品マスタ!$B$6:$B$1005,0)),"")</f>
        <v/>
      </c>
      <c r="J669" s="69" t="str">
        <f aca="false">IF(OR($F669="",$C669&lt;&gt;'設定（最初に1回）'!$C$4),"",IFERROR(INDEX(発注計算!$Y$6:$Y$405,MATCH($F669,発注計算!$C$6:$C$405,0)),""))</f>
        <v/>
      </c>
      <c r="K669" s="70"/>
      <c r="L669" s="69" t="str">
        <f aca="false">IF($K669="","",N($K669)*N($I669))</f>
        <v/>
      </c>
      <c r="M669" s="71" t="str">
        <f aca="false">IFERROR(INDEX(商品マスタ!$G$6:$G$1005,MATCH($F669,商品マスタ!$B$6:$B$1005,0)),"")</f>
        <v/>
      </c>
      <c r="N669" s="71" t="str">
        <f aca="false">IF($K669="","",N($K669)*N($M669))</f>
        <v/>
      </c>
      <c r="O669" s="66" t="str">
        <f aca="false">IFERROR(INDEX(商品マスタ!$H$6:$H$1005,MATCH($F669,商品マスタ!$B$6:$B$1005,0)),"")</f>
        <v/>
      </c>
      <c r="P669" s="87" t="str">
        <f aca="false">IF(OR($E669="",$O669=""),"",WORKDAY($E669,$O669))</f>
        <v/>
      </c>
      <c r="Q669" s="80"/>
      <c r="R669" s="131"/>
      <c r="S669" s="69" t="n">
        <f aca="false">IF($Q669="入荷済み",N($L669),0)</f>
        <v>0</v>
      </c>
      <c r="T669" s="80"/>
      <c r="U669" s="80"/>
    </row>
    <row r="670" customFormat="false" ht="15" hidden="false" customHeight="false" outlineLevel="0" collapsed="false">
      <c r="B670" s="66" t="str">
        <f aca="false">IF(OR($E670="",$F670=""),"","PO-"&amp;TEXT($E670,"yyyymmdd")&amp;"-"&amp;TEXT(COUNTIFS($E$6:$E670,$E670,$C$6:$C670,$C670),"000"))</f>
        <v/>
      </c>
      <c r="C670" s="130"/>
      <c r="D670" s="66" t="str">
        <f aca="false">IFERROR(INDEX(定数マスタ!$C$6:$C$105,MATCH($C670,定数マスタ!$B$6:$B$105,0)),"")</f>
        <v/>
      </c>
      <c r="E670" s="131"/>
      <c r="F670" s="130"/>
      <c r="G670" s="66" t="str">
        <f aca="false">IFERROR(INDEX(商品マスタ!$C$6:$C$1005,MATCH($F670,商品マスタ!$B$6:$B$1005,0)),"")</f>
        <v/>
      </c>
      <c r="H670" s="66" t="str">
        <f aca="false">IFERROR(INDEX(商品マスタ!$E$6:$E$1005,MATCH($F670,商品マスタ!$B$6:$B$1005,0)),"")</f>
        <v/>
      </c>
      <c r="I670" s="69" t="str">
        <f aca="false">IFERROR(INDEX(商品マスタ!$F$6:$F$1005,MATCH($F670,商品マスタ!$B$6:$B$1005,0)),"")</f>
        <v/>
      </c>
      <c r="J670" s="69" t="str">
        <f aca="false">IF(OR($F670="",$C670&lt;&gt;'設定（最初に1回）'!$C$4),"",IFERROR(INDEX(発注計算!$Y$6:$Y$405,MATCH($F670,発注計算!$C$6:$C$405,0)),""))</f>
        <v/>
      </c>
      <c r="K670" s="70"/>
      <c r="L670" s="69" t="str">
        <f aca="false">IF($K670="","",N($K670)*N($I670))</f>
        <v/>
      </c>
      <c r="M670" s="71" t="str">
        <f aca="false">IFERROR(INDEX(商品マスタ!$G$6:$G$1005,MATCH($F670,商品マスタ!$B$6:$B$1005,0)),"")</f>
        <v/>
      </c>
      <c r="N670" s="71" t="str">
        <f aca="false">IF($K670="","",N($K670)*N($M670))</f>
        <v/>
      </c>
      <c r="O670" s="66" t="str">
        <f aca="false">IFERROR(INDEX(商品マスタ!$H$6:$H$1005,MATCH($F670,商品マスタ!$B$6:$B$1005,0)),"")</f>
        <v/>
      </c>
      <c r="P670" s="87" t="str">
        <f aca="false">IF(OR($E670="",$O670=""),"",WORKDAY($E670,$O670))</f>
        <v/>
      </c>
      <c r="Q670" s="80"/>
      <c r="R670" s="131"/>
      <c r="S670" s="69" t="n">
        <f aca="false">IF($Q670="入荷済み",N($L670),0)</f>
        <v>0</v>
      </c>
      <c r="T670" s="80"/>
      <c r="U670" s="80"/>
    </row>
    <row r="671" customFormat="false" ht="15" hidden="false" customHeight="false" outlineLevel="0" collapsed="false">
      <c r="B671" s="66" t="str">
        <f aca="false">IF(OR($E671="",$F671=""),"","PO-"&amp;TEXT($E671,"yyyymmdd")&amp;"-"&amp;TEXT(COUNTIFS($E$6:$E671,$E671,$C$6:$C671,$C671),"000"))</f>
        <v/>
      </c>
      <c r="C671" s="130"/>
      <c r="D671" s="66" t="str">
        <f aca="false">IFERROR(INDEX(定数マスタ!$C$6:$C$105,MATCH($C671,定数マスタ!$B$6:$B$105,0)),"")</f>
        <v/>
      </c>
      <c r="E671" s="131"/>
      <c r="F671" s="130"/>
      <c r="G671" s="66" t="str">
        <f aca="false">IFERROR(INDEX(商品マスタ!$C$6:$C$1005,MATCH($F671,商品マスタ!$B$6:$B$1005,0)),"")</f>
        <v/>
      </c>
      <c r="H671" s="66" t="str">
        <f aca="false">IFERROR(INDEX(商品マスタ!$E$6:$E$1005,MATCH($F671,商品マスタ!$B$6:$B$1005,0)),"")</f>
        <v/>
      </c>
      <c r="I671" s="69" t="str">
        <f aca="false">IFERROR(INDEX(商品マスタ!$F$6:$F$1005,MATCH($F671,商品マスタ!$B$6:$B$1005,0)),"")</f>
        <v/>
      </c>
      <c r="J671" s="69" t="str">
        <f aca="false">IF(OR($F671="",$C671&lt;&gt;'設定（最初に1回）'!$C$4),"",IFERROR(INDEX(発注計算!$Y$6:$Y$405,MATCH($F671,発注計算!$C$6:$C$405,0)),""))</f>
        <v/>
      </c>
      <c r="K671" s="70"/>
      <c r="L671" s="69" t="str">
        <f aca="false">IF($K671="","",N($K671)*N($I671))</f>
        <v/>
      </c>
      <c r="M671" s="71" t="str">
        <f aca="false">IFERROR(INDEX(商品マスタ!$G$6:$G$1005,MATCH($F671,商品マスタ!$B$6:$B$1005,0)),"")</f>
        <v/>
      </c>
      <c r="N671" s="71" t="str">
        <f aca="false">IF($K671="","",N($K671)*N($M671))</f>
        <v/>
      </c>
      <c r="O671" s="66" t="str">
        <f aca="false">IFERROR(INDEX(商品マスタ!$H$6:$H$1005,MATCH($F671,商品マスタ!$B$6:$B$1005,0)),"")</f>
        <v/>
      </c>
      <c r="P671" s="87" t="str">
        <f aca="false">IF(OR($E671="",$O671=""),"",WORKDAY($E671,$O671))</f>
        <v/>
      </c>
      <c r="Q671" s="80"/>
      <c r="R671" s="131"/>
      <c r="S671" s="69" t="n">
        <f aca="false">IF($Q671="入荷済み",N($L671),0)</f>
        <v>0</v>
      </c>
      <c r="T671" s="80"/>
      <c r="U671" s="80"/>
    </row>
    <row r="672" customFormat="false" ht="15" hidden="false" customHeight="false" outlineLevel="0" collapsed="false">
      <c r="B672" s="66" t="str">
        <f aca="false">IF(OR($E672="",$F672=""),"","PO-"&amp;TEXT($E672,"yyyymmdd")&amp;"-"&amp;TEXT(COUNTIFS($E$6:$E672,$E672,$C$6:$C672,$C672),"000"))</f>
        <v/>
      </c>
      <c r="C672" s="130"/>
      <c r="D672" s="66" t="str">
        <f aca="false">IFERROR(INDEX(定数マスタ!$C$6:$C$105,MATCH($C672,定数マスタ!$B$6:$B$105,0)),"")</f>
        <v/>
      </c>
      <c r="E672" s="131"/>
      <c r="F672" s="130"/>
      <c r="G672" s="66" t="str">
        <f aca="false">IFERROR(INDEX(商品マスタ!$C$6:$C$1005,MATCH($F672,商品マスタ!$B$6:$B$1005,0)),"")</f>
        <v/>
      </c>
      <c r="H672" s="66" t="str">
        <f aca="false">IFERROR(INDEX(商品マスタ!$E$6:$E$1005,MATCH($F672,商品マスタ!$B$6:$B$1005,0)),"")</f>
        <v/>
      </c>
      <c r="I672" s="69" t="str">
        <f aca="false">IFERROR(INDEX(商品マスタ!$F$6:$F$1005,MATCH($F672,商品マスタ!$B$6:$B$1005,0)),"")</f>
        <v/>
      </c>
      <c r="J672" s="69" t="str">
        <f aca="false">IF(OR($F672="",$C672&lt;&gt;'設定（最初に1回）'!$C$4),"",IFERROR(INDEX(発注計算!$Y$6:$Y$405,MATCH($F672,発注計算!$C$6:$C$405,0)),""))</f>
        <v/>
      </c>
      <c r="K672" s="70"/>
      <c r="L672" s="69" t="str">
        <f aca="false">IF($K672="","",N($K672)*N($I672))</f>
        <v/>
      </c>
      <c r="M672" s="71" t="str">
        <f aca="false">IFERROR(INDEX(商品マスタ!$G$6:$G$1005,MATCH($F672,商品マスタ!$B$6:$B$1005,0)),"")</f>
        <v/>
      </c>
      <c r="N672" s="71" t="str">
        <f aca="false">IF($K672="","",N($K672)*N($M672))</f>
        <v/>
      </c>
      <c r="O672" s="66" t="str">
        <f aca="false">IFERROR(INDEX(商品マスタ!$H$6:$H$1005,MATCH($F672,商品マスタ!$B$6:$B$1005,0)),"")</f>
        <v/>
      </c>
      <c r="P672" s="87" t="str">
        <f aca="false">IF(OR($E672="",$O672=""),"",WORKDAY($E672,$O672))</f>
        <v/>
      </c>
      <c r="Q672" s="80"/>
      <c r="R672" s="131"/>
      <c r="S672" s="69" t="n">
        <f aca="false">IF($Q672="入荷済み",N($L672),0)</f>
        <v>0</v>
      </c>
      <c r="T672" s="80"/>
      <c r="U672" s="80"/>
    </row>
    <row r="673" customFormat="false" ht="15" hidden="false" customHeight="false" outlineLevel="0" collapsed="false">
      <c r="B673" s="66" t="str">
        <f aca="false">IF(OR($E673="",$F673=""),"","PO-"&amp;TEXT($E673,"yyyymmdd")&amp;"-"&amp;TEXT(COUNTIFS($E$6:$E673,$E673,$C$6:$C673,$C673),"000"))</f>
        <v/>
      </c>
      <c r="C673" s="130"/>
      <c r="D673" s="66" t="str">
        <f aca="false">IFERROR(INDEX(定数マスタ!$C$6:$C$105,MATCH($C673,定数マスタ!$B$6:$B$105,0)),"")</f>
        <v/>
      </c>
      <c r="E673" s="131"/>
      <c r="F673" s="130"/>
      <c r="G673" s="66" t="str">
        <f aca="false">IFERROR(INDEX(商品マスタ!$C$6:$C$1005,MATCH($F673,商品マスタ!$B$6:$B$1005,0)),"")</f>
        <v/>
      </c>
      <c r="H673" s="66" t="str">
        <f aca="false">IFERROR(INDEX(商品マスタ!$E$6:$E$1005,MATCH($F673,商品マスタ!$B$6:$B$1005,0)),"")</f>
        <v/>
      </c>
      <c r="I673" s="69" t="str">
        <f aca="false">IFERROR(INDEX(商品マスタ!$F$6:$F$1005,MATCH($F673,商品マスタ!$B$6:$B$1005,0)),"")</f>
        <v/>
      </c>
      <c r="J673" s="69" t="str">
        <f aca="false">IF(OR($F673="",$C673&lt;&gt;'設定（最初に1回）'!$C$4),"",IFERROR(INDEX(発注計算!$Y$6:$Y$405,MATCH($F673,発注計算!$C$6:$C$405,0)),""))</f>
        <v/>
      </c>
      <c r="K673" s="70"/>
      <c r="L673" s="69" t="str">
        <f aca="false">IF($K673="","",N($K673)*N($I673))</f>
        <v/>
      </c>
      <c r="M673" s="71" t="str">
        <f aca="false">IFERROR(INDEX(商品マスタ!$G$6:$G$1005,MATCH($F673,商品マスタ!$B$6:$B$1005,0)),"")</f>
        <v/>
      </c>
      <c r="N673" s="71" t="str">
        <f aca="false">IF($K673="","",N($K673)*N($M673))</f>
        <v/>
      </c>
      <c r="O673" s="66" t="str">
        <f aca="false">IFERROR(INDEX(商品マスタ!$H$6:$H$1005,MATCH($F673,商品マスタ!$B$6:$B$1005,0)),"")</f>
        <v/>
      </c>
      <c r="P673" s="87" t="str">
        <f aca="false">IF(OR($E673="",$O673=""),"",WORKDAY($E673,$O673))</f>
        <v/>
      </c>
      <c r="Q673" s="80"/>
      <c r="R673" s="131"/>
      <c r="S673" s="69" t="n">
        <f aca="false">IF($Q673="入荷済み",N($L673),0)</f>
        <v>0</v>
      </c>
      <c r="T673" s="80"/>
      <c r="U673" s="80"/>
    </row>
    <row r="674" customFormat="false" ht="15" hidden="false" customHeight="false" outlineLevel="0" collapsed="false">
      <c r="B674" s="66" t="str">
        <f aca="false">IF(OR($E674="",$F674=""),"","PO-"&amp;TEXT($E674,"yyyymmdd")&amp;"-"&amp;TEXT(COUNTIFS($E$6:$E674,$E674,$C$6:$C674,$C674),"000"))</f>
        <v/>
      </c>
      <c r="C674" s="130"/>
      <c r="D674" s="66" t="str">
        <f aca="false">IFERROR(INDEX(定数マスタ!$C$6:$C$105,MATCH($C674,定数マスタ!$B$6:$B$105,0)),"")</f>
        <v/>
      </c>
      <c r="E674" s="131"/>
      <c r="F674" s="130"/>
      <c r="G674" s="66" t="str">
        <f aca="false">IFERROR(INDEX(商品マスタ!$C$6:$C$1005,MATCH($F674,商品マスタ!$B$6:$B$1005,0)),"")</f>
        <v/>
      </c>
      <c r="H674" s="66" t="str">
        <f aca="false">IFERROR(INDEX(商品マスタ!$E$6:$E$1005,MATCH($F674,商品マスタ!$B$6:$B$1005,0)),"")</f>
        <v/>
      </c>
      <c r="I674" s="69" t="str">
        <f aca="false">IFERROR(INDEX(商品マスタ!$F$6:$F$1005,MATCH($F674,商品マスタ!$B$6:$B$1005,0)),"")</f>
        <v/>
      </c>
      <c r="J674" s="69" t="str">
        <f aca="false">IF(OR($F674="",$C674&lt;&gt;'設定（最初に1回）'!$C$4),"",IFERROR(INDEX(発注計算!$Y$6:$Y$405,MATCH($F674,発注計算!$C$6:$C$405,0)),""))</f>
        <v/>
      </c>
      <c r="K674" s="70"/>
      <c r="L674" s="69" t="str">
        <f aca="false">IF($K674="","",N($K674)*N($I674))</f>
        <v/>
      </c>
      <c r="M674" s="71" t="str">
        <f aca="false">IFERROR(INDEX(商品マスタ!$G$6:$G$1005,MATCH($F674,商品マスタ!$B$6:$B$1005,0)),"")</f>
        <v/>
      </c>
      <c r="N674" s="71" t="str">
        <f aca="false">IF($K674="","",N($K674)*N($M674))</f>
        <v/>
      </c>
      <c r="O674" s="66" t="str">
        <f aca="false">IFERROR(INDEX(商品マスタ!$H$6:$H$1005,MATCH($F674,商品マスタ!$B$6:$B$1005,0)),"")</f>
        <v/>
      </c>
      <c r="P674" s="87" t="str">
        <f aca="false">IF(OR($E674="",$O674=""),"",WORKDAY($E674,$O674))</f>
        <v/>
      </c>
      <c r="Q674" s="80"/>
      <c r="R674" s="131"/>
      <c r="S674" s="69" t="n">
        <f aca="false">IF($Q674="入荷済み",N($L674),0)</f>
        <v>0</v>
      </c>
      <c r="T674" s="80"/>
      <c r="U674" s="80"/>
    </row>
    <row r="675" customFormat="false" ht="15" hidden="false" customHeight="false" outlineLevel="0" collapsed="false">
      <c r="B675" s="66" t="str">
        <f aca="false">IF(OR($E675="",$F675=""),"","PO-"&amp;TEXT($E675,"yyyymmdd")&amp;"-"&amp;TEXT(COUNTIFS($E$6:$E675,$E675,$C$6:$C675,$C675),"000"))</f>
        <v/>
      </c>
      <c r="C675" s="130"/>
      <c r="D675" s="66" t="str">
        <f aca="false">IFERROR(INDEX(定数マスタ!$C$6:$C$105,MATCH($C675,定数マスタ!$B$6:$B$105,0)),"")</f>
        <v/>
      </c>
      <c r="E675" s="131"/>
      <c r="F675" s="130"/>
      <c r="G675" s="66" t="str">
        <f aca="false">IFERROR(INDEX(商品マスタ!$C$6:$C$1005,MATCH($F675,商品マスタ!$B$6:$B$1005,0)),"")</f>
        <v/>
      </c>
      <c r="H675" s="66" t="str">
        <f aca="false">IFERROR(INDEX(商品マスタ!$E$6:$E$1005,MATCH($F675,商品マスタ!$B$6:$B$1005,0)),"")</f>
        <v/>
      </c>
      <c r="I675" s="69" t="str">
        <f aca="false">IFERROR(INDEX(商品マスタ!$F$6:$F$1005,MATCH($F675,商品マスタ!$B$6:$B$1005,0)),"")</f>
        <v/>
      </c>
      <c r="J675" s="69" t="str">
        <f aca="false">IF(OR($F675="",$C675&lt;&gt;'設定（最初に1回）'!$C$4),"",IFERROR(INDEX(発注計算!$Y$6:$Y$405,MATCH($F675,発注計算!$C$6:$C$405,0)),""))</f>
        <v/>
      </c>
      <c r="K675" s="70"/>
      <c r="L675" s="69" t="str">
        <f aca="false">IF($K675="","",N($K675)*N($I675))</f>
        <v/>
      </c>
      <c r="M675" s="71" t="str">
        <f aca="false">IFERROR(INDEX(商品マスタ!$G$6:$G$1005,MATCH($F675,商品マスタ!$B$6:$B$1005,0)),"")</f>
        <v/>
      </c>
      <c r="N675" s="71" t="str">
        <f aca="false">IF($K675="","",N($K675)*N($M675))</f>
        <v/>
      </c>
      <c r="O675" s="66" t="str">
        <f aca="false">IFERROR(INDEX(商品マスタ!$H$6:$H$1005,MATCH($F675,商品マスタ!$B$6:$B$1005,0)),"")</f>
        <v/>
      </c>
      <c r="P675" s="87" t="str">
        <f aca="false">IF(OR($E675="",$O675=""),"",WORKDAY($E675,$O675))</f>
        <v/>
      </c>
      <c r="Q675" s="80"/>
      <c r="R675" s="131"/>
      <c r="S675" s="69" t="n">
        <f aca="false">IF($Q675="入荷済み",N($L675),0)</f>
        <v>0</v>
      </c>
      <c r="T675" s="80"/>
      <c r="U675" s="80"/>
    </row>
    <row r="676" customFormat="false" ht="15" hidden="false" customHeight="false" outlineLevel="0" collapsed="false">
      <c r="B676" s="66" t="str">
        <f aca="false">IF(OR($E676="",$F676=""),"","PO-"&amp;TEXT($E676,"yyyymmdd")&amp;"-"&amp;TEXT(COUNTIFS($E$6:$E676,$E676,$C$6:$C676,$C676),"000"))</f>
        <v/>
      </c>
      <c r="C676" s="130"/>
      <c r="D676" s="66" t="str">
        <f aca="false">IFERROR(INDEX(定数マスタ!$C$6:$C$105,MATCH($C676,定数マスタ!$B$6:$B$105,0)),"")</f>
        <v/>
      </c>
      <c r="E676" s="131"/>
      <c r="F676" s="130"/>
      <c r="G676" s="66" t="str">
        <f aca="false">IFERROR(INDEX(商品マスタ!$C$6:$C$1005,MATCH($F676,商品マスタ!$B$6:$B$1005,0)),"")</f>
        <v/>
      </c>
      <c r="H676" s="66" t="str">
        <f aca="false">IFERROR(INDEX(商品マスタ!$E$6:$E$1005,MATCH($F676,商品マスタ!$B$6:$B$1005,0)),"")</f>
        <v/>
      </c>
      <c r="I676" s="69" t="str">
        <f aca="false">IFERROR(INDEX(商品マスタ!$F$6:$F$1005,MATCH($F676,商品マスタ!$B$6:$B$1005,0)),"")</f>
        <v/>
      </c>
      <c r="J676" s="69" t="str">
        <f aca="false">IF(OR($F676="",$C676&lt;&gt;'設定（最初に1回）'!$C$4),"",IFERROR(INDEX(発注計算!$Y$6:$Y$405,MATCH($F676,発注計算!$C$6:$C$405,0)),""))</f>
        <v/>
      </c>
      <c r="K676" s="70"/>
      <c r="L676" s="69" t="str">
        <f aca="false">IF($K676="","",N($K676)*N($I676))</f>
        <v/>
      </c>
      <c r="M676" s="71" t="str">
        <f aca="false">IFERROR(INDEX(商品マスタ!$G$6:$G$1005,MATCH($F676,商品マスタ!$B$6:$B$1005,0)),"")</f>
        <v/>
      </c>
      <c r="N676" s="71" t="str">
        <f aca="false">IF($K676="","",N($K676)*N($M676))</f>
        <v/>
      </c>
      <c r="O676" s="66" t="str">
        <f aca="false">IFERROR(INDEX(商品マスタ!$H$6:$H$1005,MATCH($F676,商品マスタ!$B$6:$B$1005,0)),"")</f>
        <v/>
      </c>
      <c r="P676" s="87" t="str">
        <f aca="false">IF(OR($E676="",$O676=""),"",WORKDAY($E676,$O676))</f>
        <v/>
      </c>
      <c r="Q676" s="80"/>
      <c r="R676" s="131"/>
      <c r="S676" s="69" t="n">
        <f aca="false">IF($Q676="入荷済み",N($L676),0)</f>
        <v>0</v>
      </c>
      <c r="T676" s="80"/>
      <c r="U676" s="80"/>
    </row>
    <row r="677" customFormat="false" ht="15" hidden="false" customHeight="false" outlineLevel="0" collapsed="false">
      <c r="B677" s="66" t="str">
        <f aca="false">IF(OR($E677="",$F677=""),"","PO-"&amp;TEXT($E677,"yyyymmdd")&amp;"-"&amp;TEXT(COUNTIFS($E$6:$E677,$E677,$C$6:$C677,$C677),"000"))</f>
        <v/>
      </c>
      <c r="C677" s="130"/>
      <c r="D677" s="66" t="str">
        <f aca="false">IFERROR(INDEX(定数マスタ!$C$6:$C$105,MATCH($C677,定数マスタ!$B$6:$B$105,0)),"")</f>
        <v/>
      </c>
      <c r="E677" s="131"/>
      <c r="F677" s="130"/>
      <c r="G677" s="66" t="str">
        <f aca="false">IFERROR(INDEX(商品マスタ!$C$6:$C$1005,MATCH($F677,商品マスタ!$B$6:$B$1005,0)),"")</f>
        <v/>
      </c>
      <c r="H677" s="66" t="str">
        <f aca="false">IFERROR(INDEX(商品マスタ!$E$6:$E$1005,MATCH($F677,商品マスタ!$B$6:$B$1005,0)),"")</f>
        <v/>
      </c>
      <c r="I677" s="69" t="str">
        <f aca="false">IFERROR(INDEX(商品マスタ!$F$6:$F$1005,MATCH($F677,商品マスタ!$B$6:$B$1005,0)),"")</f>
        <v/>
      </c>
      <c r="J677" s="69" t="str">
        <f aca="false">IF(OR($F677="",$C677&lt;&gt;'設定（最初に1回）'!$C$4),"",IFERROR(INDEX(発注計算!$Y$6:$Y$405,MATCH($F677,発注計算!$C$6:$C$405,0)),""))</f>
        <v/>
      </c>
      <c r="K677" s="70"/>
      <c r="L677" s="69" t="str">
        <f aca="false">IF($K677="","",N($K677)*N($I677))</f>
        <v/>
      </c>
      <c r="M677" s="71" t="str">
        <f aca="false">IFERROR(INDEX(商品マスタ!$G$6:$G$1005,MATCH($F677,商品マスタ!$B$6:$B$1005,0)),"")</f>
        <v/>
      </c>
      <c r="N677" s="71" t="str">
        <f aca="false">IF($K677="","",N($K677)*N($M677))</f>
        <v/>
      </c>
      <c r="O677" s="66" t="str">
        <f aca="false">IFERROR(INDEX(商品マスタ!$H$6:$H$1005,MATCH($F677,商品マスタ!$B$6:$B$1005,0)),"")</f>
        <v/>
      </c>
      <c r="P677" s="87" t="str">
        <f aca="false">IF(OR($E677="",$O677=""),"",WORKDAY($E677,$O677))</f>
        <v/>
      </c>
      <c r="Q677" s="80"/>
      <c r="R677" s="131"/>
      <c r="S677" s="69" t="n">
        <f aca="false">IF($Q677="入荷済み",N($L677),0)</f>
        <v>0</v>
      </c>
      <c r="T677" s="80"/>
      <c r="U677" s="80"/>
    </row>
    <row r="678" customFormat="false" ht="15" hidden="false" customHeight="false" outlineLevel="0" collapsed="false">
      <c r="B678" s="66" t="str">
        <f aca="false">IF(OR($E678="",$F678=""),"","PO-"&amp;TEXT($E678,"yyyymmdd")&amp;"-"&amp;TEXT(COUNTIFS($E$6:$E678,$E678,$C$6:$C678,$C678),"000"))</f>
        <v/>
      </c>
      <c r="C678" s="130"/>
      <c r="D678" s="66" t="str">
        <f aca="false">IFERROR(INDEX(定数マスタ!$C$6:$C$105,MATCH($C678,定数マスタ!$B$6:$B$105,0)),"")</f>
        <v/>
      </c>
      <c r="E678" s="131"/>
      <c r="F678" s="130"/>
      <c r="G678" s="66" t="str">
        <f aca="false">IFERROR(INDEX(商品マスタ!$C$6:$C$1005,MATCH($F678,商品マスタ!$B$6:$B$1005,0)),"")</f>
        <v/>
      </c>
      <c r="H678" s="66" t="str">
        <f aca="false">IFERROR(INDEX(商品マスタ!$E$6:$E$1005,MATCH($F678,商品マスタ!$B$6:$B$1005,0)),"")</f>
        <v/>
      </c>
      <c r="I678" s="69" t="str">
        <f aca="false">IFERROR(INDEX(商品マスタ!$F$6:$F$1005,MATCH($F678,商品マスタ!$B$6:$B$1005,0)),"")</f>
        <v/>
      </c>
      <c r="J678" s="69" t="str">
        <f aca="false">IF(OR($F678="",$C678&lt;&gt;'設定（最初に1回）'!$C$4),"",IFERROR(INDEX(発注計算!$Y$6:$Y$405,MATCH($F678,発注計算!$C$6:$C$405,0)),""))</f>
        <v/>
      </c>
      <c r="K678" s="70"/>
      <c r="L678" s="69" t="str">
        <f aca="false">IF($K678="","",N($K678)*N($I678))</f>
        <v/>
      </c>
      <c r="M678" s="71" t="str">
        <f aca="false">IFERROR(INDEX(商品マスタ!$G$6:$G$1005,MATCH($F678,商品マスタ!$B$6:$B$1005,0)),"")</f>
        <v/>
      </c>
      <c r="N678" s="71" t="str">
        <f aca="false">IF($K678="","",N($K678)*N($M678))</f>
        <v/>
      </c>
      <c r="O678" s="66" t="str">
        <f aca="false">IFERROR(INDEX(商品マスタ!$H$6:$H$1005,MATCH($F678,商品マスタ!$B$6:$B$1005,0)),"")</f>
        <v/>
      </c>
      <c r="P678" s="87" t="str">
        <f aca="false">IF(OR($E678="",$O678=""),"",WORKDAY($E678,$O678))</f>
        <v/>
      </c>
      <c r="Q678" s="80"/>
      <c r="R678" s="131"/>
      <c r="S678" s="69" t="n">
        <f aca="false">IF($Q678="入荷済み",N($L678),0)</f>
        <v>0</v>
      </c>
      <c r="T678" s="80"/>
      <c r="U678" s="80"/>
    </row>
    <row r="679" customFormat="false" ht="15" hidden="false" customHeight="false" outlineLevel="0" collapsed="false">
      <c r="B679" s="66" t="str">
        <f aca="false">IF(OR($E679="",$F679=""),"","PO-"&amp;TEXT($E679,"yyyymmdd")&amp;"-"&amp;TEXT(COUNTIFS($E$6:$E679,$E679,$C$6:$C679,$C679),"000"))</f>
        <v/>
      </c>
      <c r="C679" s="130"/>
      <c r="D679" s="66" t="str">
        <f aca="false">IFERROR(INDEX(定数マスタ!$C$6:$C$105,MATCH($C679,定数マスタ!$B$6:$B$105,0)),"")</f>
        <v/>
      </c>
      <c r="E679" s="131"/>
      <c r="F679" s="130"/>
      <c r="G679" s="66" t="str">
        <f aca="false">IFERROR(INDEX(商品マスタ!$C$6:$C$1005,MATCH($F679,商品マスタ!$B$6:$B$1005,0)),"")</f>
        <v/>
      </c>
      <c r="H679" s="66" t="str">
        <f aca="false">IFERROR(INDEX(商品マスタ!$E$6:$E$1005,MATCH($F679,商品マスタ!$B$6:$B$1005,0)),"")</f>
        <v/>
      </c>
      <c r="I679" s="69" t="str">
        <f aca="false">IFERROR(INDEX(商品マスタ!$F$6:$F$1005,MATCH($F679,商品マスタ!$B$6:$B$1005,0)),"")</f>
        <v/>
      </c>
      <c r="J679" s="69" t="str">
        <f aca="false">IF(OR($F679="",$C679&lt;&gt;'設定（最初に1回）'!$C$4),"",IFERROR(INDEX(発注計算!$Y$6:$Y$405,MATCH($F679,発注計算!$C$6:$C$405,0)),""))</f>
        <v/>
      </c>
      <c r="K679" s="70"/>
      <c r="L679" s="69" t="str">
        <f aca="false">IF($K679="","",N($K679)*N($I679))</f>
        <v/>
      </c>
      <c r="M679" s="71" t="str">
        <f aca="false">IFERROR(INDEX(商品マスタ!$G$6:$G$1005,MATCH($F679,商品マスタ!$B$6:$B$1005,0)),"")</f>
        <v/>
      </c>
      <c r="N679" s="71" t="str">
        <f aca="false">IF($K679="","",N($K679)*N($M679))</f>
        <v/>
      </c>
      <c r="O679" s="66" t="str">
        <f aca="false">IFERROR(INDEX(商品マスタ!$H$6:$H$1005,MATCH($F679,商品マスタ!$B$6:$B$1005,0)),"")</f>
        <v/>
      </c>
      <c r="P679" s="87" t="str">
        <f aca="false">IF(OR($E679="",$O679=""),"",WORKDAY($E679,$O679))</f>
        <v/>
      </c>
      <c r="Q679" s="80"/>
      <c r="R679" s="131"/>
      <c r="S679" s="69" t="n">
        <f aca="false">IF($Q679="入荷済み",N($L679),0)</f>
        <v>0</v>
      </c>
      <c r="T679" s="80"/>
      <c r="U679" s="80"/>
    </row>
    <row r="680" customFormat="false" ht="15" hidden="false" customHeight="false" outlineLevel="0" collapsed="false">
      <c r="B680" s="66" t="str">
        <f aca="false">IF(OR($E680="",$F680=""),"","PO-"&amp;TEXT($E680,"yyyymmdd")&amp;"-"&amp;TEXT(COUNTIFS($E$6:$E680,$E680,$C$6:$C680,$C680),"000"))</f>
        <v/>
      </c>
      <c r="C680" s="130"/>
      <c r="D680" s="66" t="str">
        <f aca="false">IFERROR(INDEX(定数マスタ!$C$6:$C$105,MATCH($C680,定数マスタ!$B$6:$B$105,0)),"")</f>
        <v/>
      </c>
      <c r="E680" s="131"/>
      <c r="F680" s="130"/>
      <c r="G680" s="66" t="str">
        <f aca="false">IFERROR(INDEX(商品マスタ!$C$6:$C$1005,MATCH($F680,商品マスタ!$B$6:$B$1005,0)),"")</f>
        <v/>
      </c>
      <c r="H680" s="66" t="str">
        <f aca="false">IFERROR(INDEX(商品マスタ!$E$6:$E$1005,MATCH($F680,商品マスタ!$B$6:$B$1005,0)),"")</f>
        <v/>
      </c>
      <c r="I680" s="69" t="str">
        <f aca="false">IFERROR(INDEX(商品マスタ!$F$6:$F$1005,MATCH($F680,商品マスタ!$B$6:$B$1005,0)),"")</f>
        <v/>
      </c>
      <c r="J680" s="69" t="str">
        <f aca="false">IF(OR($F680="",$C680&lt;&gt;'設定（最初に1回）'!$C$4),"",IFERROR(INDEX(発注計算!$Y$6:$Y$405,MATCH($F680,発注計算!$C$6:$C$405,0)),""))</f>
        <v/>
      </c>
      <c r="K680" s="70"/>
      <c r="L680" s="69" t="str">
        <f aca="false">IF($K680="","",N($K680)*N($I680))</f>
        <v/>
      </c>
      <c r="M680" s="71" t="str">
        <f aca="false">IFERROR(INDEX(商品マスタ!$G$6:$G$1005,MATCH($F680,商品マスタ!$B$6:$B$1005,0)),"")</f>
        <v/>
      </c>
      <c r="N680" s="71" t="str">
        <f aca="false">IF($K680="","",N($K680)*N($M680))</f>
        <v/>
      </c>
      <c r="O680" s="66" t="str">
        <f aca="false">IFERROR(INDEX(商品マスタ!$H$6:$H$1005,MATCH($F680,商品マスタ!$B$6:$B$1005,0)),"")</f>
        <v/>
      </c>
      <c r="P680" s="87" t="str">
        <f aca="false">IF(OR($E680="",$O680=""),"",WORKDAY($E680,$O680))</f>
        <v/>
      </c>
      <c r="Q680" s="80"/>
      <c r="R680" s="131"/>
      <c r="S680" s="69" t="n">
        <f aca="false">IF($Q680="入荷済み",N($L680),0)</f>
        <v>0</v>
      </c>
      <c r="T680" s="80"/>
      <c r="U680" s="80"/>
    </row>
    <row r="681" customFormat="false" ht="15" hidden="false" customHeight="false" outlineLevel="0" collapsed="false">
      <c r="B681" s="66" t="str">
        <f aca="false">IF(OR($E681="",$F681=""),"","PO-"&amp;TEXT($E681,"yyyymmdd")&amp;"-"&amp;TEXT(COUNTIFS($E$6:$E681,$E681,$C$6:$C681,$C681),"000"))</f>
        <v/>
      </c>
      <c r="C681" s="130"/>
      <c r="D681" s="66" t="str">
        <f aca="false">IFERROR(INDEX(定数マスタ!$C$6:$C$105,MATCH($C681,定数マスタ!$B$6:$B$105,0)),"")</f>
        <v/>
      </c>
      <c r="E681" s="131"/>
      <c r="F681" s="130"/>
      <c r="G681" s="66" t="str">
        <f aca="false">IFERROR(INDEX(商品マスタ!$C$6:$C$1005,MATCH($F681,商品マスタ!$B$6:$B$1005,0)),"")</f>
        <v/>
      </c>
      <c r="H681" s="66" t="str">
        <f aca="false">IFERROR(INDEX(商品マスタ!$E$6:$E$1005,MATCH($F681,商品マスタ!$B$6:$B$1005,0)),"")</f>
        <v/>
      </c>
      <c r="I681" s="69" t="str">
        <f aca="false">IFERROR(INDEX(商品マスタ!$F$6:$F$1005,MATCH($F681,商品マスタ!$B$6:$B$1005,0)),"")</f>
        <v/>
      </c>
      <c r="J681" s="69" t="str">
        <f aca="false">IF(OR($F681="",$C681&lt;&gt;'設定（最初に1回）'!$C$4),"",IFERROR(INDEX(発注計算!$Y$6:$Y$405,MATCH($F681,発注計算!$C$6:$C$405,0)),""))</f>
        <v/>
      </c>
      <c r="K681" s="70"/>
      <c r="L681" s="69" t="str">
        <f aca="false">IF($K681="","",N($K681)*N($I681))</f>
        <v/>
      </c>
      <c r="M681" s="71" t="str">
        <f aca="false">IFERROR(INDEX(商品マスタ!$G$6:$G$1005,MATCH($F681,商品マスタ!$B$6:$B$1005,0)),"")</f>
        <v/>
      </c>
      <c r="N681" s="71" t="str">
        <f aca="false">IF($K681="","",N($K681)*N($M681))</f>
        <v/>
      </c>
      <c r="O681" s="66" t="str">
        <f aca="false">IFERROR(INDEX(商品マスタ!$H$6:$H$1005,MATCH($F681,商品マスタ!$B$6:$B$1005,0)),"")</f>
        <v/>
      </c>
      <c r="P681" s="87" t="str">
        <f aca="false">IF(OR($E681="",$O681=""),"",WORKDAY($E681,$O681))</f>
        <v/>
      </c>
      <c r="Q681" s="80"/>
      <c r="R681" s="131"/>
      <c r="S681" s="69" t="n">
        <f aca="false">IF($Q681="入荷済み",N($L681),0)</f>
        <v>0</v>
      </c>
      <c r="T681" s="80"/>
      <c r="U681" s="80"/>
    </row>
    <row r="682" customFormat="false" ht="15" hidden="false" customHeight="false" outlineLevel="0" collapsed="false">
      <c r="B682" s="66" t="str">
        <f aca="false">IF(OR($E682="",$F682=""),"","PO-"&amp;TEXT($E682,"yyyymmdd")&amp;"-"&amp;TEXT(COUNTIFS($E$6:$E682,$E682,$C$6:$C682,$C682),"000"))</f>
        <v/>
      </c>
      <c r="C682" s="130"/>
      <c r="D682" s="66" t="str">
        <f aca="false">IFERROR(INDEX(定数マスタ!$C$6:$C$105,MATCH($C682,定数マスタ!$B$6:$B$105,0)),"")</f>
        <v/>
      </c>
      <c r="E682" s="131"/>
      <c r="F682" s="130"/>
      <c r="G682" s="66" t="str">
        <f aca="false">IFERROR(INDEX(商品マスタ!$C$6:$C$1005,MATCH($F682,商品マスタ!$B$6:$B$1005,0)),"")</f>
        <v/>
      </c>
      <c r="H682" s="66" t="str">
        <f aca="false">IFERROR(INDEX(商品マスタ!$E$6:$E$1005,MATCH($F682,商品マスタ!$B$6:$B$1005,0)),"")</f>
        <v/>
      </c>
      <c r="I682" s="69" t="str">
        <f aca="false">IFERROR(INDEX(商品マスタ!$F$6:$F$1005,MATCH($F682,商品マスタ!$B$6:$B$1005,0)),"")</f>
        <v/>
      </c>
      <c r="J682" s="69" t="str">
        <f aca="false">IF(OR($F682="",$C682&lt;&gt;'設定（最初に1回）'!$C$4),"",IFERROR(INDEX(発注計算!$Y$6:$Y$405,MATCH($F682,発注計算!$C$6:$C$405,0)),""))</f>
        <v/>
      </c>
      <c r="K682" s="70"/>
      <c r="L682" s="69" t="str">
        <f aca="false">IF($K682="","",N($K682)*N($I682))</f>
        <v/>
      </c>
      <c r="M682" s="71" t="str">
        <f aca="false">IFERROR(INDEX(商品マスタ!$G$6:$G$1005,MATCH($F682,商品マスタ!$B$6:$B$1005,0)),"")</f>
        <v/>
      </c>
      <c r="N682" s="71" t="str">
        <f aca="false">IF($K682="","",N($K682)*N($M682))</f>
        <v/>
      </c>
      <c r="O682" s="66" t="str">
        <f aca="false">IFERROR(INDEX(商品マスタ!$H$6:$H$1005,MATCH($F682,商品マスタ!$B$6:$B$1005,0)),"")</f>
        <v/>
      </c>
      <c r="P682" s="87" t="str">
        <f aca="false">IF(OR($E682="",$O682=""),"",WORKDAY($E682,$O682))</f>
        <v/>
      </c>
      <c r="Q682" s="80"/>
      <c r="R682" s="131"/>
      <c r="S682" s="69" t="n">
        <f aca="false">IF($Q682="入荷済み",N($L682),0)</f>
        <v>0</v>
      </c>
      <c r="T682" s="80"/>
      <c r="U682" s="80"/>
    </row>
    <row r="683" customFormat="false" ht="15" hidden="false" customHeight="false" outlineLevel="0" collapsed="false">
      <c r="B683" s="66" t="str">
        <f aca="false">IF(OR($E683="",$F683=""),"","PO-"&amp;TEXT($E683,"yyyymmdd")&amp;"-"&amp;TEXT(COUNTIFS($E$6:$E683,$E683,$C$6:$C683,$C683),"000"))</f>
        <v/>
      </c>
      <c r="C683" s="130"/>
      <c r="D683" s="66" t="str">
        <f aca="false">IFERROR(INDEX(定数マスタ!$C$6:$C$105,MATCH($C683,定数マスタ!$B$6:$B$105,0)),"")</f>
        <v/>
      </c>
      <c r="E683" s="131"/>
      <c r="F683" s="130"/>
      <c r="G683" s="66" t="str">
        <f aca="false">IFERROR(INDEX(商品マスタ!$C$6:$C$1005,MATCH($F683,商品マスタ!$B$6:$B$1005,0)),"")</f>
        <v/>
      </c>
      <c r="H683" s="66" t="str">
        <f aca="false">IFERROR(INDEX(商品マスタ!$E$6:$E$1005,MATCH($F683,商品マスタ!$B$6:$B$1005,0)),"")</f>
        <v/>
      </c>
      <c r="I683" s="69" t="str">
        <f aca="false">IFERROR(INDEX(商品マスタ!$F$6:$F$1005,MATCH($F683,商品マスタ!$B$6:$B$1005,0)),"")</f>
        <v/>
      </c>
      <c r="J683" s="69" t="str">
        <f aca="false">IF(OR($F683="",$C683&lt;&gt;'設定（最初に1回）'!$C$4),"",IFERROR(INDEX(発注計算!$Y$6:$Y$405,MATCH($F683,発注計算!$C$6:$C$405,0)),""))</f>
        <v/>
      </c>
      <c r="K683" s="70"/>
      <c r="L683" s="69" t="str">
        <f aca="false">IF($K683="","",N($K683)*N($I683))</f>
        <v/>
      </c>
      <c r="M683" s="71" t="str">
        <f aca="false">IFERROR(INDEX(商品マスタ!$G$6:$G$1005,MATCH($F683,商品マスタ!$B$6:$B$1005,0)),"")</f>
        <v/>
      </c>
      <c r="N683" s="71" t="str">
        <f aca="false">IF($K683="","",N($K683)*N($M683))</f>
        <v/>
      </c>
      <c r="O683" s="66" t="str">
        <f aca="false">IFERROR(INDEX(商品マスタ!$H$6:$H$1005,MATCH($F683,商品マスタ!$B$6:$B$1005,0)),"")</f>
        <v/>
      </c>
      <c r="P683" s="87" t="str">
        <f aca="false">IF(OR($E683="",$O683=""),"",WORKDAY($E683,$O683))</f>
        <v/>
      </c>
      <c r="Q683" s="80"/>
      <c r="R683" s="131"/>
      <c r="S683" s="69" t="n">
        <f aca="false">IF($Q683="入荷済み",N($L683),0)</f>
        <v>0</v>
      </c>
      <c r="T683" s="80"/>
      <c r="U683" s="80"/>
    </row>
    <row r="684" customFormat="false" ht="15" hidden="false" customHeight="false" outlineLevel="0" collapsed="false">
      <c r="B684" s="66" t="str">
        <f aca="false">IF(OR($E684="",$F684=""),"","PO-"&amp;TEXT($E684,"yyyymmdd")&amp;"-"&amp;TEXT(COUNTIFS($E$6:$E684,$E684,$C$6:$C684,$C684),"000"))</f>
        <v/>
      </c>
      <c r="C684" s="130"/>
      <c r="D684" s="66" t="str">
        <f aca="false">IFERROR(INDEX(定数マスタ!$C$6:$C$105,MATCH($C684,定数マスタ!$B$6:$B$105,0)),"")</f>
        <v/>
      </c>
      <c r="E684" s="131"/>
      <c r="F684" s="130"/>
      <c r="G684" s="66" t="str">
        <f aca="false">IFERROR(INDEX(商品マスタ!$C$6:$C$1005,MATCH($F684,商品マスタ!$B$6:$B$1005,0)),"")</f>
        <v/>
      </c>
      <c r="H684" s="66" t="str">
        <f aca="false">IFERROR(INDEX(商品マスタ!$E$6:$E$1005,MATCH($F684,商品マスタ!$B$6:$B$1005,0)),"")</f>
        <v/>
      </c>
      <c r="I684" s="69" t="str">
        <f aca="false">IFERROR(INDEX(商品マスタ!$F$6:$F$1005,MATCH($F684,商品マスタ!$B$6:$B$1005,0)),"")</f>
        <v/>
      </c>
      <c r="J684" s="69" t="str">
        <f aca="false">IF(OR($F684="",$C684&lt;&gt;'設定（最初に1回）'!$C$4),"",IFERROR(INDEX(発注計算!$Y$6:$Y$405,MATCH($F684,発注計算!$C$6:$C$405,0)),""))</f>
        <v/>
      </c>
      <c r="K684" s="70"/>
      <c r="L684" s="69" t="str">
        <f aca="false">IF($K684="","",N($K684)*N($I684))</f>
        <v/>
      </c>
      <c r="M684" s="71" t="str">
        <f aca="false">IFERROR(INDEX(商品マスタ!$G$6:$G$1005,MATCH($F684,商品マスタ!$B$6:$B$1005,0)),"")</f>
        <v/>
      </c>
      <c r="N684" s="71" t="str">
        <f aca="false">IF($K684="","",N($K684)*N($M684))</f>
        <v/>
      </c>
      <c r="O684" s="66" t="str">
        <f aca="false">IFERROR(INDEX(商品マスタ!$H$6:$H$1005,MATCH($F684,商品マスタ!$B$6:$B$1005,0)),"")</f>
        <v/>
      </c>
      <c r="P684" s="87" t="str">
        <f aca="false">IF(OR($E684="",$O684=""),"",WORKDAY($E684,$O684))</f>
        <v/>
      </c>
      <c r="Q684" s="80"/>
      <c r="R684" s="131"/>
      <c r="S684" s="69" t="n">
        <f aca="false">IF($Q684="入荷済み",N($L684),0)</f>
        <v>0</v>
      </c>
      <c r="T684" s="80"/>
      <c r="U684" s="80"/>
    </row>
    <row r="685" customFormat="false" ht="15" hidden="false" customHeight="false" outlineLevel="0" collapsed="false">
      <c r="B685" s="66" t="str">
        <f aca="false">IF(OR($E685="",$F685=""),"","PO-"&amp;TEXT($E685,"yyyymmdd")&amp;"-"&amp;TEXT(COUNTIFS($E$6:$E685,$E685,$C$6:$C685,$C685),"000"))</f>
        <v/>
      </c>
      <c r="C685" s="130"/>
      <c r="D685" s="66" t="str">
        <f aca="false">IFERROR(INDEX(定数マスタ!$C$6:$C$105,MATCH($C685,定数マスタ!$B$6:$B$105,0)),"")</f>
        <v/>
      </c>
      <c r="E685" s="131"/>
      <c r="F685" s="130"/>
      <c r="G685" s="66" t="str">
        <f aca="false">IFERROR(INDEX(商品マスタ!$C$6:$C$1005,MATCH($F685,商品マスタ!$B$6:$B$1005,0)),"")</f>
        <v/>
      </c>
      <c r="H685" s="66" t="str">
        <f aca="false">IFERROR(INDEX(商品マスタ!$E$6:$E$1005,MATCH($F685,商品マスタ!$B$6:$B$1005,0)),"")</f>
        <v/>
      </c>
      <c r="I685" s="69" t="str">
        <f aca="false">IFERROR(INDEX(商品マスタ!$F$6:$F$1005,MATCH($F685,商品マスタ!$B$6:$B$1005,0)),"")</f>
        <v/>
      </c>
      <c r="J685" s="69" t="str">
        <f aca="false">IF(OR($F685="",$C685&lt;&gt;'設定（最初に1回）'!$C$4),"",IFERROR(INDEX(発注計算!$Y$6:$Y$405,MATCH($F685,発注計算!$C$6:$C$405,0)),""))</f>
        <v/>
      </c>
      <c r="K685" s="70"/>
      <c r="L685" s="69" t="str">
        <f aca="false">IF($K685="","",N($K685)*N($I685))</f>
        <v/>
      </c>
      <c r="M685" s="71" t="str">
        <f aca="false">IFERROR(INDEX(商品マスタ!$G$6:$G$1005,MATCH($F685,商品マスタ!$B$6:$B$1005,0)),"")</f>
        <v/>
      </c>
      <c r="N685" s="71" t="str">
        <f aca="false">IF($K685="","",N($K685)*N($M685))</f>
        <v/>
      </c>
      <c r="O685" s="66" t="str">
        <f aca="false">IFERROR(INDEX(商品マスタ!$H$6:$H$1005,MATCH($F685,商品マスタ!$B$6:$B$1005,0)),"")</f>
        <v/>
      </c>
      <c r="P685" s="87" t="str">
        <f aca="false">IF(OR($E685="",$O685=""),"",WORKDAY($E685,$O685))</f>
        <v/>
      </c>
      <c r="Q685" s="80"/>
      <c r="R685" s="131"/>
      <c r="S685" s="69" t="n">
        <f aca="false">IF($Q685="入荷済み",N($L685),0)</f>
        <v>0</v>
      </c>
      <c r="T685" s="80"/>
      <c r="U685" s="80"/>
    </row>
    <row r="686" customFormat="false" ht="15" hidden="false" customHeight="false" outlineLevel="0" collapsed="false">
      <c r="B686" s="66" t="str">
        <f aca="false">IF(OR($E686="",$F686=""),"","PO-"&amp;TEXT($E686,"yyyymmdd")&amp;"-"&amp;TEXT(COUNTIFS($E$6:$E686,$E686,$C$6:$C686,$C686),"000"))</f>
        <v/>
      </c>
      <c r="C686" s="130"/>
      <c r="D686" s="66" t="str">
        <f aca="false">IFERROR(INDEX(定数マスタ!$C$6:$C$105,MATCH($C686,定数マスタ!$B$6:$B$105,0)),"")</f>
        <v/>
      </c>
      <c r="E686" s="131"/>
      <c r="F686" s="130"/>
      <c r="G686" s="66" t="str">
        <f aca="false">IFERROR(INDEX(商品マスタ!$C$6:$C$1005,MATCH($F686,商品マスタ!$B$6:$B$1005,0)),"")</f>
        <v/>
      </c>
      <c r="H686" s="66" t="str">
        <f aca="false">IFERROR(INDEX(商品マスタ!$E$6:$E$1005,MATCH($F686,商品マスタ!$B$6:$B$1005,0)),"")</f>
        <v/>
      </c>
      <c r="I686" s="69" t="str">
        <f aca="false">IFERROR(INDEX(商品マスタ!$F$6:$F$1005,MATCH($F686,商品マスタ!$B$6:$B$1005,0)),"")</f>
        <v/>
      </c>
      <c r="J686" s="69" t="str">
        <f aca="false">IF(OR($F686="",$C686&lt;&gt;'設定（最初に1回）'!$C$4),"",IFERROR(INDEX(発注計算!$Y$6:$Y$405,MATCH($F686,発注計算!$C$6:$C$405,0)),""))</f>
        <v/>
      </c>
      <c r="K686" s="70"/>
      <c r="L686" s="69" t="str">
        <f aca="false">IF($K686="","",N($K686)*N($I686))</f>
        <v/>
      </c>
      <c r="M686" s="71" t="str">
        <f aca="false">IFERROR(INDEX(商品マスタ!$G$6:$G$1005,MATCH($F686,商品マスタ!$B$6:$B$1005,0)),"")</f>
        <v/>
      </c>
      <c r="N686" s="71" t="str">
        <f aca="false">IF($K686="","",N($K686)*N($M686))</f>
        <v/>
      </c>
      <c r="O686" s="66" t="str">
        <f aca="false">IFERROR(INDEX(商品マスタ!$H$6:$H$1005,MATCH($F686,商品マスタ!$B$6:$B$1005,0)),"")</f>
        <v/>
      </c>
      <c r="P686" s="87" t="str">
        <f aca="false">IF(OR($E686="",$O686=""),"",WORKDAY($E686,$O686))</f>
        <v/>
      </c>
      <c r="Q686" s="80"/>
      <c r="R686" s="131"/>
      <c r="S686" s="69" t="n">
        <f aca="false">IF($Q686="入荷済み",N($L686),0)</f>
        <v>0</v>
      </c>
      <c r="T686" s="80"/>
      <c r="U686" s="80"/>
    </row>
    <row r="687" customFormat="false" ht="15" hidden="false" customHeight="false" outlineLevel="0" collapsed="false">
      <c r="B687" s="66" t="str">
        <f aca="false">IF(OR($E687="",$F687=""),"","PO-"&amp;TEXT($E687,"yyyymmdd")&amp;"-"&amp;TEXT(COUNTIFS($E$6:$E687,$E687,$C$6:$C687,$C687),"000"))</f>
        <v/>
      </c>
      <c r="C687" s="130"/>
      <c r="D687" s="66" t="str">
        <f aca="false">IFERROR(INDEX(定数マスタ!$C$6:$C$105,MATCH($C687,定数マスタ!$B$6:$B$105,0)),"")</f>
        <v/>
      </c>
      <c r="E687" s="131"/>
      <c r="F687" s="130"/>
      <c r="G687" s="66" t="str">
        <f aca="false">IFERROR(INDEX(商品マスタ!$C$6:$C$1005,MATCH($F687,商品マスタ!$B$6:$B$1005,0)),"")</f>
        <v/>
      </c>
      <c r="H687" s="66" t="str">
        <f aca="false">IFERROR(INDEX(商品マスタ!$E$6:$E$1005,MATCH($F687,商品マスタ!$B$6:$B$1005,0)),"")</f>
        <v/>
      </c>
      <c r="I687" s="69" t="str">
        <f aca="false">IFERROR(INDEX(商品マスタ!$F$6:$F$1005,MATCH($F687,商品マスタ!$B$6:$B$1005,0)),"")</f>
        <v/>
      </c>
      <c r="J687" s="69" t="str">
        <f aca="false">IF(OR($F687="",$C687&lt;&gt;'設定（最初に1回）'!$C$4),"",IFERROR(INDEX(発注計算!$Y$6:$Y$405,MATCH($F687,発注計算!$C$6:$C$405,0)),""))</f>
        <v/>
      </c>
      <c r="K687" s="70"/>
      <c r="L687" s="69" t="str">
        <f aca="false">IF($K687="","",N($K687)*N($I687))</f>
        <v/>
      </c>
      <c r="M687" s="71" t="str">
        <f aca="false">IFERROR(INDEX(商品マスタ!$G$6:$G$1005,MATCH($F687,商品マスタ!$B$6:$B$1005,0)),"")</f>
        <v/>
      </c>
      <c r="N687" s="71" t="str">
        <f aca="false">IF($K687="","",N($K687)*N($M687))</f>
        <v/>
      </c>
      <c r="O687" s="66" t="str">
        <f aca="false">IFERROR(INDEX(商品マスタ!$H$6:$H$1005,MATCH($F687,商品マスタ!$B$6:$B$1005,0)),"")</f>
        <v/>
      </c>
      <c r="P687" s="87" t="str">
        <f aca="false">IF(OR($E687="",$O687=""),"",WORKDAY($E687,$O687))</f>
        <v/>
      </c>
      <c r="Q687" s="80"/>
      <c r="R687" s="131"/>
      <c r="S687" s="69" t="n">
        <f aca="false">IF($Q687="入荷済み",N($L687),0)</f>
        <v>0</v>
      </c>
      <c r="T687" s="80"/>
      <c r="U687" s="80"/>
    </row>
    <row r="688" customFormat="false" ht="15" hidden="false" customHeight="false" outlineLevel="0" collapsed="false">
      <c r="B688" s="66" t="str">
        <f aca="false">IF(OR($E688="",$F688=""),"","PO-"&amp;TEXT($E688,"yyyymmdd")&amp;"-"&amp;TEXT(COUNTIFS($E$6:$E688,$E688,$C$6:$C688,$C688),"000"))</f>
        <v/>
      </c>
      <c r="C688" s="130"/>
      <c r="D688" s="66" t="str">
        <f aca="false">IFERROR(INDEX(定数マスタ!$C$6:$C$105,MATCH($C688,定数マスタ!$B$6:$B$105,0)),"")</f>
        <v/>
      </c>
      <c r="E688" s="131"/>
      <c r="F688" s="130"/>
      <c r="G688" s="66" t="str">
        <f aca="false">IFERROR(INDEX(商品マスタ!$C$6:$C$1005,MATCH($F688,商品マスタ!$B$6:$B$1005,0)),"")</f>
        <v/>
      </c>
      <c r="H688" s="66" t="str">
        <f aca="false">IFERROR(INDEX(商品マスタ!$E$6:$E$1005,MATCH($F688,商品マスタ!$B$6:$B$1005,0)),"")</f>
        <v/>
      </c>
      <c r="I688" s="69" t="str">
        <f aca="false">IFERROR(INDEX(商品マスタ!$F$6:$F$1005,MATCH($F688,商品マスタ!$B$6:$B$1005,0)),"")</f>
        <v/>
      </c>
      <c r="J688" s="69" t="str">
        <f aca="false">IF(OR($F688="",$C688&lt;&gt;'設定（最初に1回）'!$C$4),"",IFERROR(INDEX(発注計算!$Y$6:$Y$405,MATCH($F688,発注計算!$C$6:$C$405,0)),""))</f>
        <v/>
      </c>
      <c r="K688" s="70"/>
      <c r="L688" s="69" t="str">
        <f aca="false">IF($K688="","",N($K688)*N($I688))</f>
        <v/>
      </c>
      <c r="M688" s="71" t="str">
        <f aca="false">IFERROR(INDEX(商品マスタ!$G$6:$G$1005,MATCH($F688,商品マスタ!$B$6:$B$1005,0)),"")</f>
        <v/>
      </c>
      <c r="N688" s="71" t="str">
        <f aca="false">IF($K688="","",N($K688)*N($M688))</f>
        <v/>
      </c>
      <c r="O688" s="66" t="str">
        <f aca="false">IFERROR(INDEX(商品マスタ!$H$6:$H$1005,MATCH($F688,商品マスタ!$B$6:$B$1005,0)),"")</f>
        <v/>
      </c>
      <c r="P688" s="87" t="str">
        <f aca="false">IF(OR($E688="",$O688=""),"",WORKDAY($E688,$O688))</f>
        <v/>
      </c>
      <c r="Q688" s="80"/>
      <c r="R688" s="131"/>
      <c r="S688" s="69" t="n">
        <f aca="false">IF($Q688="入荷済み",N($L688),0)</f>
        <v>0</v>
      </c>
      <c r="T688" s="80"/>
      <c r="U688" s="80"/>
    </row>
    <row r="689" customFormat="false" ht="15" hidden="false" customHeight="false" outlineLevel="0" collapsed="false">
      <c r="B689" s="66" t="str">
        <f aca="false">IF(OR($E689="",$F689=""),"","PO-"&amp;TEXT($E689,"yyyymmdd")&amp;"-"&amp;TEXT(COUNTIFS($E$6:$E689,$E689,$C$6:$C689,$C689),"000"))</f>
        <v/>
      </c>
      <c r="C689" s="130"/>
      <c r="D689" s="66" t="str">
        <f aca="false">IFERROR(INDEX(定数マスタ!$C$6:$C$105,MATCH($C689,定数マスタ!$B$6:$B$105,0)),"")</f>
        <v/>
      </c>
      <c r="E689" s="131"/>
      <c r="F689" s="130"/>
      <c r="G689" s="66" t="str">
        <f aca="false">IFERROR(INDEX(商品マスタ!$C$6:$C$1005,MATCH($F689,商品マスタ!$B$6:$B$1005,0)),"")</f>
        <v/>
      </c>
      <c r="H689" s="66" t="str">
        <f aca="false">IFERROR(INDEX(商品マスタ!$E$6:$E$1005,MATCH($F689,商品マスタ!$B$6:$B$1005,0)),"")</f>
        <v/>
      </c>
      <c r="I689" s="69" t="str">
        <f aca="false">IFERROR(INDEX(商品マスタ!$F$6:$F$1005,MATCH($F689,商品マスタ!$B$6:$B$1005,0)),"")</f>
        <v/>
      </c>
      <c r="J689" s="69" t="str">
        <f aca="false">IF(OR($F689="",$C689&lt;&gt;'設定（最初に1回）'!$C$4),"",IFERROR(INDEX(発注計算!$Y$6:$Y$405,MATCH($F689,発注計算!$C$6:$C$405,0)),""))</f>
        <v/>
      </c>
      <c r="K689" s="70"/>
      <c r="L689" s="69" t="str">
        <f aca="false">IF($K689="","",N($K689)*N($I689))</f>
        <v/>
      </c>
      <c r="M689" s="71" t="str">
        <f aca="false">IFERROR(INDEX(商品マスタ!$G$6:$G$1005,MATCH($F689,商品マスタ!$B$6:$B$1005,0)),"")</f>
        <v/>
      </c>
      <c r="N689" s="71" t="str">
        <f aca="false">IF($K689="","",N($K689)*N($M689))</f>
        <v/>
      </c>
      <c r="O689" s="66" t="str">
        <f aca="false">IFERROR(INDEX(商品マスタ!$H$6:$H$1005,MATCH($F689,商品マスタ!$B$6:$B$1005,0)),"")</f>
        <v/>
      </c>
      <c r="P689" s="87" t="str">
        <f aca="false">IF(OR($E689="",$O689=""),"",WORKDAY($E689,$O689))</f>
        <v/>
      </c>
      <c r="Q689" s="80"/>
      <c r="R689" s="131"/>
      <c r="S689" s="69" t="n">
        <f aca="false">IF($Q689="入荷済み",N($L689),0)</f>
        <v>0</v>
      </c>
      <c r="T689" s="80"/>
      <c r="U689" s="80"/>
    </row>
    <row r="690" customFormat="false" ht="15" hidden="false" customHeight="false" outlineLevel="0" collapsed="false">
      <c r="B690" s="66" t="str">
        <f aca="false">IF(OR($E690="",$F690=""),"","PO-"&amp;TEXT($E690,"yyyymmdd")&amp;"-"&amp;TEXT(COUNTIFS($E$6:$E690,$E690,$C$6:$C690,$C690),"000"))</f>
        <v/>
      </c>
      <c r="C690" s="130"/>
      <c r="D690" s="66" t="str">
        <f aca="false">IFERROR(INDEX(定数マスタ!$C$6:$C$105,MATCH($C690,定数マスタ!$B$6:$B$105,0)),"")</f>
        <v/>
      </c>
      <c r="E690" s="131"/>
      <c r="F690" s="130"/>
      <c r="G690" s="66" t="str">
        <f aca="false">IFERROR(INDEX(商品マスタ!$C$6:$C$1005,MATCH($F690,商品マスタ!$B$6:$B$1005,0)),"")</f>
        <v/>
      </c>
      <c r="H690" s="66" t="str">
        <f aca="false">IFERROR(INDEX(商品マスタ!$E$6:$E$1005,MATCH($F690,商品マスタ!$B$6:$B$1005,0)),"")</f>
        <v/>
      </c>
      <c r="I690" s="69" t="str">
        <f aca="false">IFERROR(INDEX(商品マスタ!$F$6:$F$1005,MATCH($F690,商品マスタ!$B$6:$B$1005,0)),"")</f>
        <v/>
      </c>
      <c r="J690" s="69" t="str">
        <f aca="false">IF(OR($F690="",$C690&lt;&gt;'設定（最初に1回）'!$C$4),"",IFERROR(INDEX(発注計算!$Y$6:$Y$405,MATCH($F690,発注計算!$C$6:$C$405,0)),""))</f>
        <v/>
      </c>
      <c r="K690" s="70"/>
      <c r="L690" s="69" t="str">
        <f aca="false">IF($K690="","",N($K690)*N($I690))</f>
        <v/>
      </c>
      <c r="M690" s="71" t="str">
        <f aca="false">IFERROR(INDEX(商品マスタ!$G$6:$G$1005,MATCH($F690,商品マスタ!$B$6:$B$1005,0)),"")</f>
        <v/>
      </c>
      <c r="N690" s="71" t="str">
        <f aca="false">IF($K690="","",N($K690)*N($M690))</f>
        <v/>
      </c>
      <c r="O690" s="66" t="str">
        <f aca="false">IFERROR(INDEX(商品マスタ!$H$6:$H$1005,MATCH($F690,商品マスタ!$B$6:$B$1005,0)),"")</f>
        <v/>
      </c>
      <c r="P690" s="87" t="str">
        <f aca="false">IF(OR($E690="",$O690=""),"",WORKDAY($E690,$O690))</f>
        <v/>
      </c>
      <c r="Q690" s="80"/>
      <c r="R690" s="131"/>
      <c r="S690" s="69" t="n">
        <f aca="false">IF($Q690="入荷済み",N($L690),0)</f>
        <v>0</v>
      </c>
      <c r="T690" s="80"/>
      <c r="U690" s="80"/>
    </row>
    <row r="691" customFormat="false" ht="15" hidden="false" customHeight="false" outlineLevel="0" collapsed="false">
      <c r="B691" s="66" t="str">
        <f aca="false">IF(OR($E691="",$F691=""),"","PO-"&amp;TEXT($E691,"yyyymmdd")&amp;"-"&amp;TEXT(COUNTIFS($E$6:$E691,$E691,$C$6:$C691,$C691),"000"))</f>
        <v/>
      </c>
      <c r="C691" s="130"/>
      <c r="D691" s="66" t="str">
        <f aca="false">IFERROR(INDEX(定数マスタ!$C$6:$C$105,MATCH($C691,定数マスタ!$B$6:$B$105,0)),"")</f>
        <v/>
      </c>
      <c r="E691" s="131"/>
      <c r="F691" s="130"/>
      <c r="G691" s="66" t="str">
        <f aca="false">IFERROR(INDEX(商品マスタ!$C$6:$C$1005,MATCH($F691,商品マスタ!$B$6:$B$1005,0)),"")</f>
        <v/>
      </c>
      <c r="H691" s="66" t="str">
        <f aca="false">IFERROR(INDEX(商品マスタ!$E$6:$E$1005,MATCH($F691,商品マスタ!$B$6:$B$1005,0)),"")</f>
        <v/>
      </c>
      <c r="I691" s="69" t="str">
        <f aca="false">IFERROR(INDEX(商品マスタ!$F$6:$F$1005,MATCH($F691,商品マスタ!$B$6:$B$1005,0)),"")</f>
        <v/>
      </c>
      <c r="J691" s="69" t="str">
        <f aca="false">IF(OR($F691="",$C691&lt;&gt;'設定（最初に1回）'!$C$4),"",IFERROR(INDEX(発注計算!$Y$6:$Y$405,MATCH($F691,発注計算!$C$6:$C$405,0)),""))</f>
        <v/>
      </c>
      <c r="K691" s="70"/>
      <c r="L691" s="69" t="str">
        <f aca="false">IF($K691="","",N($K691)*N($I691))</f>
        <v/>
      </c>
      <c r="M691" s="71" t="str">
        <f aca="false">IFERROR(INDEX(商品マスタ!$G$6:$G$1005,MATCH($F691,商品マスタ!$B$6:$B$1005,0)),"")</f>
        <v/>
      </c>
      <c r="N691" s="71" t="str">
        <f aca="false">IF($K691="","",N($K691)*N($M691))</f>
        <v/>
      </c>
      <c r="O691" s="66" t="str">
        <f aca="false">IFERROR(INDEX(商品マスタ!$H$6:$H$1005,MATCH($F691,商品マスタ!$B$6:$B$1005,0)),"")</f>
        <v/>
      </c>
      <c r="P691" s="87" t="str">
        <f aca="false">IF(OR($E691="",$O691=""),"",WORKDAY($E691,$O691))</f>
        <v/>
      </c>
      <c r="Q691" s="80"/>
      <c r="R691" s="131"/>
      <c r="S691" s="69" t="n">
        <f aca="false">IF($Q691="入荷済み",N($L691),0)</f>
        <v>0</v>
      </c>
      <c r="T691" s="80"/>
      <c r="U691" s="80"/>
    </row>
    <row r="692" customFormat="false" ht="15" hidden="false" customHeight="false" outlineLevel="0" collapsed="false">
      <c r="B692" s="66" t="str">
        <f aca="false">IF(OR($E692="",$F692=""),"","PO-"&amp;TEXT($E692,"yyyymmdd")&amp;"-"&amp;TEXT(COUNTIFS($E$6:$E692,$E692,$C$6:$C692,$C692),"000"))</f>
        <v/>
      </c>
      <c r="C692" s="130"/>
      <c r="D692" s="66" t="str">
        <f aca="false">IFERROR(INDEX(定数マスタ!$C$6:$C$105,MATCH($C692,定数マスタ!$B$6:$B$105,0)),"")</f>
        <v/>
      </c>
      <c r="E692" s="131"/>
      <c r="F692" s="130"/>
      <c r="G692" s="66" t="str">
        <f aca="false">IFERROR(INDEX(商品マスタ!$C$6:$C$1005,MATCH($F692,商品マスタ!$B$6:$B$1005,0)),"")</f>
        <v/>
      </c>
      <c r="H692" s="66" t="str">
        <f aca="false">IFERROR(INDEX(商品マスタ!$E$6:$E$1005,MATCH($F692,商品マスタ!$B$6:$B$1005,0)),"")</f>
        <v/>
      </c>
      <c r="I692" s="69" t="str">
        <f aca="false">IFERROR(INDEX(商品マスタ!$F$6:$F$1005,MATCH($F692,商品マスタ!$B$6:$B$1005,0)),"")</f>
        <v/>
      </c>
      <c r="J692" s="69" t="str">
        <f aca="false">IF(OR($F692="",$C692&lt;&gt;'設定（最初に1回）'!$C$4),"",IFERROR(INDEX(発注計算!$Y$6:$Y$405,MATCH($F692,発注計算!$C$6:$C$405,0)),""))</f>
        <v/>
      </c>
      <c r="K692" s="70"/>
      <c r="L692" s="69" t="str">
        <f aca="false">IF($K692="","",N($K692)*N($I692))</f>
        <v/>
      </c>
      <c r="M692" s="71" t="str">
        <f aca="false">IFERROR(INDEX(商品マスタ!$G$6:$G$1005,MATCH($F692,商品マスタ!$B$6:$B$1005,0)),"")</f>
        <v/>
      </c>
      <c r="N692" s="71" t="str">
        <f aca="false">IF($K692="","",N($K692)*N($M692))</f>
        <v/>
      </c>
      <c r="O692" s="66" t="str">
        <f aca="false">IFERROR(INDEX(商品マスタ!$H$6:$H$1005,MATCH($F692,商品マスタ!$B$6:$B$1005,0)),"")</f>
        <v/>
      </c>
      <c r="P692" s="87" t="str">
        <f aca="false">IF(OR($E692="",$O692=""),"",WORKDAY($E692,$O692))</f>
        <v/>
      </c>
      <c r="Q692" s="80"/>
      <c r="R692" s="131"/>
      <c r="S692" s="69" t="n">
        <f aca="false">IF($Q692="入荷済み",N($L692),0)</f>
        <v>0</v>
      </c>
      <c r="T692" s="80"/>
      <c r="U692" s="80"/>
    </row>
    <row r="693" customFormat="false" ht="15" hidden="false" customHeight="false" outlineLevel="0" collapsed="false">
      <c r="B693" s="66" t="str">
        <f aca="false">IF(OR($E693="",$F693=""),"","PO-"&amp;TEXT($E693,"yyyymmdd")&amp;"-"&amp;TEXT(COUNTIFS($E$6:$E693,$E693,$C$6:$C693,$C693),"000"))</f>
        <v/>
      </c>
      <c r="C693" s="130"/>
      <c r="D693" s="66" t="str">
        <f aca="false">IFERROR(INDEX(定数マスタ!$C$6:$C$105,MATCH($C693,定数マスタ!$B$6:$B$105,0)),"")</f>
        <v/>
      </c>
      <c r="E693" s="131"/>
      <c r="F693" s="130"/>
      <c r="G693" s="66" t="str">
        <f aca="false">IFERROR(INDEX(商品マスタ!$C$6:$C$1005,MATCH($F693,商品マスタ!$B$6:$B$1005,0)),"")</f>
        <v/>
      </c>
      <c r="H693" s="66" t="str">
        <f aca="false">IFERROR(INDEX(商品マスタ!$E$6:$E$1005,MATCH($F693,商品マスタ!$B$6:$B$1005,0)),"")</f>
        <v/>
      </c>
      <c r="I693" s="69" t="str">
        <f aca="false">IFERROR(INDEX(商品マスタ!$F$6:$F$1005,MATCH($F693,商品マスタ!$B$6:$B$1005,0)),"")</f>
        <v/>
      </c>
      <c r="J693" s="69" t="str">
        <f aca="false">IF(OR($F693="",$C693&lt;&gt;'設定（最初に1回）'!$C$4),"",IFERROR(INDEX(発注計算!$Y$6:$Y$405,MATCH($F693,発注計算!$C$6:$C$405,0)),""))</f>
        <v/>
      </c>
      <c r="K693" s="70"/>
      <c r="L693" s="69" t="str">
        <f aca="false">IF($K693="","",N($K693)*N($I693))</f>
        <v/>
      </c>
      <c r="M693" s="71" t="str">
        <f aca="false">IFERROR(INDEX(商品マスタ!$G$6:$G$1005,MATCH($F693,商品マスタ!$B$6:$B$1005,0)),"")</f>
        <v/>
      </c>
      <c r="N693" s="71" t="str">
        <f aca="false">IF($K693="","",N($K693)*N($M693))</f>
        <v/>
      </c>
      <c r="O693" s="66" t="str">
        <f aca="false">IFERROR(INDEX(商品マスタ!$H$6:$H$1005,MATCH($F693,商品マスタ!$B$6:$B$1005,0)),"")</f>
        <v/>
      </c>
      <c r="P693" s="87" t="str">
        <f aca="false">IF(OR($E693="",$O693=""),"",WORKDAY($E693,$O693))</f>
        <v/>
      </c>
      <c r="Q693" s="80"/>
      <c r="R693" s="131"/>
      <c r="S693" s="69" t="n">
        <f aca="false">IF($Q693="入荷済み",N($L693),0)</f>
        <v>0</v>
      </c>
      <c r="T693" s="80"/>
      <c r="U693" s="80"/>
    </row>
    <row r="694" customFormat="false" ht="15" hidden="false" customHeight="false" outlineLevel="0" collapsed="false">
      <c r="B694" s="66" t="str">
        <f aca="false">IF(OR($E694="",$F694=""),"","PO-"&amp;TEXT($E694,"yyyymmdd")&amp;"-"&amp;TEXT(COUNTIFS($E$6:$E694,$E694,$C$6:$C694,$C694),"000"))</f>
        <v/>
      </c>
      <c r="C694" s="130"/>
      <c r="D694" s="66" t="str">
        <f aca="false">IFERROR(INDEX(定数マスタ!$C$6:$C$105,MATCH($C694,定数マスタ!$B$6:$B$105,0)),"")</f>
        <v/>
      </c>
      <c r="E694" s="131"/>
      <c r="F694" s="130"/>
      <c r="G694" s="66" t="str">
        <f aca="false">IFERROR(INDEX(商品マスタ!$C$6:$C$1005,MATCH($F694,商品マスタ!$B$6:$B$1005,0)),"")</f>
        <v/>
      </c>
      <c r="H694" s="66" t="str">
        <f aca="false">IFERROR(INDEX(商品マスタ!$E$6:$E$1005,MATCH($F694,商品マスタ!$B$6:$B$1005,0)),"")</f>
        <v/>
      </c>
      <c r="I694" s="69" t="str">
        <f aca="false">IFERROR(INDEX(商品マスタ!$F$6:$F$1005,MATCH($F694,商品マスタ!$B$6:$B$1005,0)),"")</f>
        <v/>
      </c>
      <c r="J694" s="69" t="str">
        <f aca="false">IF(OR($F694="",$C694&lt;&gt;'設定（最初に1回）'!$C$4),"",IFERROR(INDEX(発注計算!$Y$6:$Y$405,MATCH($F694,発注計算!$C$6:$C$405,0)),""))</f>
        <v/>
      </c>
      <c r="K694" s="70"/>
      <c r="L694" s="69" t="str">
        <f aca="false">IF($K694="","",N($K694)*N($I694))</f>
        <v/>
      </c>
      <c r="M694" s="71" t="str">
        <f aca="false">IFERROR(INDEX(商品マスタ!$G$6:$G$1005,MATCH($F694,商品マスタ!$B$6:$B$1005,0)),"")</f>
        <v/>
      </c>
      <c r="N694" s="71" t="str">
        <f aca="false">IF($K694="","",N($K694)*N($M694))</f>
        <v/>
      </c>
      <c r="O694" s="66" t="str">
        <f aca="false">IFERROR(INDEX(商品マスタ!$H$6:$H$1005,MATCH($F694,商品マスタ!$B$6:$B$1005,0)),"")</f>
        <v/>
      </c>
      <c r="P694" s="87" t="str">
        <f aca="false">IF(OR($E694="",$O694=""),"",WORKDAY($E694,$O694))</f>
        <v/>
      </c>
      <c r="Q694" s="80"/>
      <c r="R694" s="131"/>
      <c r="S694" s="69" t="n">
        <f aca="false">IF($Q694="入荷済み",N($L694),0)</f>
        <v>0</v>
      </c>
      <c r="T694" s="80"/>
      <c r="U694" s="80"/>
    </row>
    <row r="695" customFormat="false" ht="15" hidden="false" customHeight="false" outlineLevel="0" collapsed="false">
      <c r="B695" s="66" t="str">
        <f aca="false">IF(OR($E695="",$F695=""),"","PO-"&amp;TEXT($E695,"yyyymmdd")&amp;"-"&amp;TEXT(COUNTIFS($E$6:$E695,$E695,$C$6:$C695,$C695),"000"))</f>
        <v/>
      </c>
      <c r="C695" s="130"/>
      <c r="D695" s="66" t="str">
        <f aca="false">IFERROR(INDEX(定数マスタ!$C$6:$C$105,MATCH($C695,定数マスタ!$B$6:$B$105,0)),"")</f>
        <v/>
      </c>
      <c r="E695" s="131"/>
      <c r="F695" s="130"/>
      <c r="G695" s="66" t="str">
        <f aca="false">IFERROR(INDEX(商品マスタ!$C$6:$C$1005,MATCH($F695,商品マスタ!$B$6:$B$1005,0)),"")</f>
        <v/>
      </c>
      <c r="H695" s="66" t="str">
        <f aca="false">IFERROR(INDEX(商品マスタ!$E$6:$E$1005,MATCH($F695,商品マスタ!$B$6:$B$1005,0)),"")</f>
        <v/>
      </c>
      <c r="I695" s="69" t="str">
        <f aca="false">IFERROR(INDEX(商品マスタ!$F$6:$F$1005,MATCH($F695,商品マスタ!$B$6:$B$1005,0)),"")</f>
        <v/>
      </c>
      <c r="J695" s="69" t="str">
        <f aca="false">IF(OR($F695="",$C695&lt;&gt;'設定（最初に1回）'!$C$4),"",IFERROR(INDEX(発注計算!$Y$6:$Y$405,MATCH($F695,発注計算!$C$6:$C$405,0)),""))</f>
        <v/>
      </c>
      <c r="K695" s="70"/>
      <c r="L695" s="69" t="str">
        <f aca="false">IF($K695="","",N($K695)*N($I695))</f>
        <v/>
      </c>
      <c r="M695" s="71" t="str">
        <f aca="false">IFERROR(INDEX(商品マスタ!$G$6:$G$1005,MATCH($F695,商品マスタ!$B$6:$B$1005,0)),"")</f>
        <v/>
      </c>
      <c r="N695" s="71" t="str">
        <f aca="false">IF($K695="","",N($K695)*N($M695))</f>
        <v/>
      </c>
      <c r="O695" s="66" t="str">
        <f aca="false">IFERROR(INDEX(商品マスタ!$H$6:$H$1005,MATCH($F695,商品マスタ!$B$6:$B$1005,0)),"")</f>
        <v/>
      </c>
      <c r="P695" s="87" t="str">
        <f aca="false">IF(OR($E695="",$O695=""),"",WORKDAY($E695,$O695))</f>
        <v/>
      </c>
      <c r="Q695" s="80"/>
      <c r="R695" s="131"/>
      <c r="S695" s="69" t="n">
        <f aca="false">IF($Q695="入荷済み",N($L695),0)</f>
        <v>0</v>
      </c>
      <c r="T695" s="80"/>
      <c r="U695" s="80"/>
    </row>
    <row r="696" customFormat="false" ht="15" hidden="false" customHeight="false" outlineLevel="0" collapsed="false">
      <c r="B696" s="66" t="str">
        <f aca="false">IF(OR($E696="",$F696=""),"","PO-"&amp;TEXT($E696,"yyyymmdd")&amp;"-"&amp;TEXT(COUNTIFS($E$6:$E696,$E696,$C$6:$C696,$C696),"000"))</f>
        <v/>
      </c>
      <c r="C696" s="130"/>
      <c r="D696" s="66" t="str">
        <f aca="false">IFERROR(INDEX(定数マスタ!$C$6:$C$105,MATCH($C696,定数マスタ!$B$6:$B$105,0)),"")</f>
        <v/>
      </c>
      <c r="E696" s="131"/>
      <c r="F696" s="130"/>
      <c r="G696" s="66" t="str">
        <f aca="false">IFERROR(INDEX(商品マスタ!$C$6:$C$1005,MATCH($F696,商品マスタ!$B$6:$B$1005,0)),"")</f>
        <v/>
      </c>
      <c r="H696" s="66" t="str">
        <f aca="false">IFERROR(INDEX(商品マスタ!$E$6:$E$1005,MATCH($F696,商品マスタ!$B$6:$B$1005,0)),"")</f>
        <v/>
      </c>
      <c r="I696" s="69" t="str">
        <f aca="false">IFERROR(INDEX(商品マスタ!$F$6:$F$1005,MATCH($F696,商品マスタ!$B$6:$B$1005,0)),"")</f>
        <v/>
      </c>
      <c r="J696" s="69" t="str">
        <f aca="false">IF(OR($F696="",$C696&lt;&gt;'設定（最初に1回）'!$C$4),"",IFERROR(INDEX(発注計算!$Y$6:$Y$405,MATCH($F696,発注計算!$C$6:$C$405,0)),""))</f>
        <v/>
      </c>
      <c r="K696" s="70"/>
      <c r="L696" s="69" t="str">
        <f aca="false">IF($K696="","",N($K696)*N($I696))</f>
        <v/>
      </c>
      <c r="M696" s="71" t="str">
        <f aca="false">IFERROR(INDEX(商品マスタ!$G$6:$G$1005,MATCH($F696,商品マスタ!$B$6:$B$1005,0)),"")</f>
        <v/>
      </c>
      <c r="N696" s="71" t="str">
        <f aca="false">IF($K696="","",N($K696)*N($M696))</f>
        <v/>
      </c>
      <c r="O696" s="66" t="str">
        <f aca="false">IFERROR(INDEX(商品マスタ!$H$6:$H$1005,MATCH($F696,商品マスタ!$B$6:$B$1005,0)),"")</f>
        <v/>
      </c>
      <c r="P696" s="87" t="str">
        <f aca="false">IF(OR($E696="",$O696=""),"",WORKDAY($E696,$O696))</f>
        <v/>
      </c>
      <c r="Q696" s="80"/>
      <c r="R696" s="131"/>
      <c r="S696" s="69" t="n">
        <f aca="false">IF($Q696="入荷済み",N($L696),0)</f>
        <v>0</v>
      </c>
      <c r="T696" s="80"/>
      <c r="U696" s="80"/>
    </row>
    <row r="697" customFormat="false" ht="15" hidden="false" customHeight="false" outlineLevel="0" collapsed="false">
      <c r="B697" s="66" t="str">
        <f aca="false">IF(OR($E697="",$F697=""),"","PO-"&amp;TEXT($E697,"yyyymmdd")&amp;"-"&amp;TEXT(COUNTIFS($E$6:$E697,$E697,$C$6:$C697,$C697),"000"))</f>
        <v/>
      </c>
      <c r="C697" s="130"/>
      <c r="D697" s="66" t="str">
        <f aca="false">IFERROR(INDEX(定数マスタ!$C$6:$C$105,MATCH($C697,定数マスタ!$B$6:$B$105,0)),"")</f>
        <v/>
      </c>
      <c r="E697" s="131"/>
      <c r="F697" s="130"/>
      <c r="G697" s="66" t="str">
        <f aca="false">IFERROR(INDEX(商品マスタ!$C$6:$C$1005,MATCH($F697,商品マスタ!$B$6:$B$1005,0)),"")</f>
        <v/>
      </c>
      <c r="H697" s="66" t="str">
        <f aca="false">IFERROR(INDEX(商品マスタ!$E$6:$E$1005,MATCH($F697,商品マスタ!$B$6:$B$1005,0)),"")</f>
        <v/>
      </c>
      <c r="I697" s="69" t="str">
        <f aca="false">IFERROR(INDEX(商品マスタ!$F$6:$F$1005,MATCH($F697,商品マスタ!$B$6:$B$1005,0)),"")</f>
        <v/>
      </c>
      <c r="J697" s="69" t="str">
        <f aca="false">IF(OR($F697="",$C697&lt;&gt;'設定（最初に1回）'!$C$4),"",IFERROR(INDEX(発注計算!$Y$6:$Y$405,MATCH($F697,発注計算!$C$6:$C$405,0)),""))</f>
        <v/>
      </c>
      <c r="K697" s="70"/>
      <c r="L697" s="69" t="str">
        <f aca="false">IF($K697="","",N($K697)*N($I697))</f>
        <v/>
      </c>
      <c r="M697" s="71" t="str">
        <f aca="false">IFERROR(INDEX(商品マスタ!$G$6:$G$1005,MATCH($F697,商品マスタ!$B$6:$B$1005,0)),"")</f>
        <v/>
      </c>
      <c r="N697" s="71" t="str">
        <f aca="false">IF($K697="","",N($K697)*N($M697))</f>
        <v/>
      </c>
      <c r="O697" s="66" t="str">
        <f aca="false">IFERROR(INDEX(商品マスタ!$H$6:$H$1005,MATCH($F697,商品マスタ!$B$6:$B$1005,0)),"")</f>
        <v/>
      </c>
      <c r="P697" s="87" t="str">
        <f aca="false">IF(OR($E697="",$O697=""),"",WORKDAY($E697,$O697))</f>
        <v/>
      </c>
      <c r="Q697" s="80"/>
      <c r="R697" s="131"/>
      <c r="S697" s="69" t="n">
        <f aca="false">IF($Q697="入荷済み",N($L697),0)</f>
        <v>0</v>
      </c>
      <c r="T697" s="80"/>
      <c r="U697" s="80"/>
    </row>
    <row r="698" customFormat="false" ht="15" hidden="false" customHeight="false" outlineLevel="0" collapsed="false">
      <c r="B698" s="66" t="str">
        <f aca="false">IF(OR($E698="",$F698=""),"","PO-"&amp;TEXT($E698,"yyyymmdd")&amp;"-"&amp;TEXT(COUNTIFS($E$6:$E698,$E698,$C$6:$C698,$C698),"000"))</f>
        <v/>
      </c>
      <c r="C698" s="130"/>
      <c r="D698" s="66" t="str">
        <f aca="false">IFERROR(INDEX(定数マスタ!$C$6:$C$105,MATCH($C698,定数マスタ!$B$6:$B$105,0)),"")</f>
        <v/>
      </c>
      <c r="E698" s="131"/>
      <c r="F698" s="130"/>
      <c r="G698" s="66" t="str">
        <f aca="false">IFERROR(INDEX(商品マスタ!$C$6:$C$1005,MATCH($F698,商品マスタ!$B$6:$B$1005,0)),"")</f>
        <v/>
      </c>
      <c r="H698" s="66" t="str">
        <f aca="false">IFERROR(INDEX(商品マスタ!$E$6:$E$1005,MATCH($F698,商品マスタ!$B$6:$B$1005,0)),"")</f>
        <v/>
      </c>
      <c r="I698" s="69" t="str">
        <f aca="false">IFERROR(INDEX(商品マスタ!$F$6:$F$1005,MATCH($F698,商品マスタ!$B$6:$B$1005,0)),"")</f>
        <v/>
      </c>
      <c r="J698" s="69" t="str">
        <f aca="false">IF(OR($F698="",$C698&lt;&gt;'設定（最初に1回）'!$C$4),"",IFERROR(INDEX(発注計算!$Y$6:$Y$405,MATCH($F698,発注計算!$C$6:$C$405,0)),""))</f>
        <v/>
      </c>
      <c r="K698" s="70"/>
      <c r="L698" s="69" t="str">
        <f aca="false">IF($K698="","",N($K698)*N($I698))</f>
        <v/>
      </c>
      <c r="M698" s="71" t="str">
        <f aca="false">IFERROR(INDEX(商品マスタ!$G$6:$G$1005,MATCH($F698,商品マスタ!$B$6:$B$1005,0)),"")</f>
        <v/>
      </c>
      <c r="N698" s="71" t="str">
        <f aca="false">IF($K698="","",N($K698)*N($M698))</f>
        <v/>
      </c>
      <c r="O698" s="66" t="str">
        <f aca="false">IFERROR(INDEX(商品マスタ!$H$6:$H$1005,MATCH($F698,商品マスタ!$B$6:$B$1005,0)),"")</f>
        <v/>
      </c>
      <c r="P698" s="87" t="str">
        <f aca="false">IF(OR($E698="",$O698=""),"",WORKDAY($E698,$O698))</f>
        <v/>
      </c>
      <c r="Q698" s="80"/>
      <c r="R698" s="131"/>
      <c r="S698" s="69" t="n">
        <f aca="false">IF($Q698="入荷済み",N($L698),0)</f>
        <v>0</v>
      </c>
      <c r="T698" s="80"/>
      <c r="U698" s="80"/>
    </row>
    <row r="699" customFormat="false" ht="15" hidden="false" customHeight="false" outlineLevel="0" collapsed="false">
      <c r="B699" s="66" t="str">
        <f aca="false">IF(OR($E699="",$F699=""),"","PO-"&amp;TEXT($E699,"yyyymmdd")&amp;"-"&amp;TEXT(COUNTIFS($E$6:$E699,$E699,$C$6:$C699,$C699),"000"))</f>
        <v/>
      </c>
      <c r="C699" s="130"/>
      <c r="D699" s="66" t="str">
        <f aca="false">IFERROR(INDEX(定数マスタ!$C$6:$C$105,MATCH($C699,定数マスタ!$B$6:$B$105,0)),"")</f>
        <v/>
      </c>
      <c r="E699" s="131"/>
      <c r="F699" s="130"/>
      <c r="G699" s="66" t="str">
        <f aca="false">IFERROR(INDEX(商品マスタ!$C$6:$C$1005,MATCH($F699,商品マスタ!$B$6:$B$1005,0)),"")</f>
        <v/>
      </c>
      <c r="H699" s="66" t="str">
        <f aca="false">IFERROR(INDEX(商品マスタ!$E$6:$E$1005,MATCH($F699,商品マスタ!$B$6:$B$1005,0)),"")</f>
        <v/>
      </c>
      <c r="I699" s="69" t="str">
        <f aca="false">IFERROR(INDEX(商品マスタ!$F$6:$F$1005,MATCH($F699,商品マスタ!$B$6:$B$1005,0)),"")</f>
        <v/>
      </c>
      <c r="J699" s="69" t="str">
        <f aca="false">IF(OR($F699="",$C699&lt;&gt;'設定（最初に1回）'!$C$4),"",IFERROR(INDEX(発注計算!$Y$6:$Y$405,MATCH($F699,発注計算!$C$6:$C$405,0)),""))</f>
        <v/>
      </c>
      <c r="K699" s="70"/>
      <c r="L699" s="69" t="str">
        <f aca="false">IF($K699="","",N($K699)*N($I699))</f>
        <v/>
      </c>
      <c r="M699" s="71" t="str">
        <f aca="false">IFERROR(INDEX(商品マスタ!$G$6:$G$1005,MATCH($F699,商品マスタ!$B$6:$B$1005,0)),"")</f>
        <v/>
      </c>
      <c r="N699" s="71" t="str">
        <f aca="false">IF($K699="","",N($K699)*N($M699))</f>
        <v/>
      </c>
      <c r="O699" s="66" t="str">
        <f aca="false">IFERROR(INDEX(商品マスタ!$H$6:$H$1005,MATCH($F699,商品マスタ!$B$6:$B$1005,0)),"")</f>
        <v/>
      </c>
      <c r="P699" s="87" t="str">
        <f aca="false">IF(OR($E699="",$O699=""),"",WORKDAY($E699,$O699))</f>
        <v/>
      </c>
      <c r="Q699" s="80"/>
      <c r="R699" s="131"/>
      <c r="S699" s="69" t="n">
        <f aca="false">IF($Q699="入荷済み",N($L699),0)</f>
        <v>0</v>
      </c>
      <c r="T699" s="80"/>
      <c r="U699" s="80"/>
    </row>
    <row r="700" customFormat="false" ht="15" hidden="false" customHeight="false" outlineLevel="0" collapsed="false">
      <c r="B700" s="66" t="str">
        <f aca="false">IF(OR($E700="",$F700=""),"","PO-"&amp;TEXT($E700,"yyyymmdd")&amp;"-"&amp;TEXT(COUNTIFS($E$6:$E700,$E700,$C$6:$C700,$C700),"000"))</f>
        <v/>
      </c>
      <c r="C700" s="130"/>
      <c r="D700" s="66" t="str">
        <f aca="false">IFERROR(INDEX(定数マスタ!$C$6:$C$105,MATCH($C700,定数マスタ!$B$6:$B$105,0)),"")</f>
        <v/>
      </c>
      <c r="E700" s="131"/>
      <c r="F700" s="130"/>
      <c r="G700" s="66" t="str">
        <f aca="false">IFERROR(INDEX(商品マスタ!$C$6:$C$1005,MATCH($F700,商品マスタ!$B$6:$B$1005,0)),"")</f>
        <v/>
      </c>
      <c r="H700" s="66" t="str">
        <f aca="false">IFERROR(INDEX(商品マスタ!$E$6:$E$1005,MATCH($F700,商品マスタ!$B$6:$B$1005,0)),"")</f>
        <v/>
      </c>
      <c r="I700" s="69" t="str">
        <f aca="false">IFERROR(INDEX(商品マスタ!$F$6:$F$1005,MATCH($F700,商品マスタ!$B$6:$B$1005,0)),"")</f>
        <v/>
      </c>
      <c r="J700" s="69" t="str">
        <f aca="false">IF(OR($F700="",$C700&lt;&gt;'設定（最初に1回）'!$C$4),"",IFERROR(INDEX(発注計算!$Y$6:$Y$405,MATCH($F700,発注計算!$C$6:$C$405,0)),""))</f>
        <v/>
      </c>
      <c r="K700" s="70"/>
      <c r="L700" s="69" t="str">
        <f aca="false">IF($K700="","",N($K700)*N($I700))</f>
        <v/>
      </c>
      <c r="M700" s="71" t="str">
        <f aca="false">IFERROR(INDEX(商品マスタ!$G$6:$G$1005,MATCH($F700,商品マスタ!$B$6:$B$1005,0)),"")</f>
        <v/>
      </c>
      <c r="N700" s="71" t="str">
        <f aca="false">IF($K700="","",N($K700)*N($M700))</f>
        <v/>
      </c>
      <c r="O700" s="66" t="str">
        <f aca="false">IFERROR(INDEX(商品マスタ!$H$6:$H$1005,MATCH($F700,商品マスタ!$B$6:$B$1005,0)),"")</f>
        <v/>
      </c>
      <c r="P700" s="87" t="str">
        <f aca="false">IF(OR($E700="",$O700=""),"",WORKDAY($E700,$O700))</f>
        <v/>
      </c>
      <c r="Q700" s="80"/>
      <c r="R700" s="131"/>
      <c r="S700" s="69" t="n">
        <f aca="false">IF($Q700="入荷済み",N($L700),0)</f>
        <v>0</v>
      </c>
      <c r="T700" s="80"/>
      <c r="U700" s="80"/>
    </row>
    <row r="701" customFormat="false" ht="15" hidden="false" customHeight="false" outlineLevel="0" collapsed="false">
      <c r="B701" s="66" t="str">
        <f aca="false">IF(OR($E701="",$F701=""),"","PO-"&amp;TEXT($E701,"yyyymmdd")&amp;"-"&amp;TEXT(COUNTIFS($E$6:$E701,$E701,$C$6:$C701,$C701),"000"))</f>
        <v/>
      </c>
      <c r="C701" s="130"/>
      <c r="D701" s="66" t="str">
        <f aca="false">IFERROR(INDEX(定数マスタ!$C$6:$C$105,MATCH($C701,定数マスタ!$B$6:$B$105,0)),"")</f>
        <v/>
      </c>
      <c r="E701" s="131"/>
      <c r="F701" s="130"/>
      <c r="G701" s="66" t="str">
        <f aca="false">IFERROR(INDEX(商品マスタ!$C$6:$C$1005,MATCH($F701,商品マスタ!$B$6:$B$1005,0)),"")</f>
        <v/>
      </c>
      <c r="H701" s="66" t="str">
        <f aca="false">IFERROR(INDEX(商品マスタ!$E$6:$E$1005,MATCH($F701,商品マスタ!$B$6:$B$1005,0)),"")</f>
        <v/>
      </c>
      <c r="I701" s="69" t="str">
        <f aca="false">IFERROR(INDEX(商品マスタ!$F$6:$F$1005,MATCH($F701,商品マスタ!$B$6:$B$1005,0)),"")</f>
        <v/>
      </c>
      <c r="J701" s="69" t="str">
        <f aca="false">IF(OR($F701="",$C701&lt;&gt;'設定（最初に1回）'!$C$4),"",IFERROR(INDEX(発注計算!$Y$6:$Y$405,MATCH($F701,発注計算!$C$6:$C$405,0)),""))</f>
        <v/>
      </c>
      <c r="K701" s="70"/>
      <c r="L701" s="69" t="str">
        <f aca="false">IF($K701="","",N($K701)*N($I701))</f>
        <v/>
      </c>
      <c r="M701" s="71" t="str">
        <f aca="false">IFERROR(INDEX(商品マスタ!$G$6:$G$1005,MATCH($F701,商品マスタ!$B$6:$B$1005,0)),"")</f>
        <v/>
      </c>
      <c r="N701" s="71" t="str">
        <f aca="false">IF($K701="","",N($K701)*N($M701))</f>
        <v/>
      </c>
      <c r="O701" s="66" t="str">
        <f aca="false">IFERROR(INDEX(商品マスタ!$H$6:$H$1005,MATCH($F701,商品マスタ!$B$6:$B$1005,0)),"")</f>
        <v/>
      </c>
      <c r="P701" s="87" t="str">
        <f aca="false">IF(OR($E701="",$O701=""),"",WORKDAY($E701,$O701))</f>
        <v/>
      </c>
      <c r="Q701" s="80"/>
      <c r="R701" s="131"/>
      <c r="S701" s="69" t="n">
        <f aca="false">IF($Q701="入荷済み",N($L701),0)</f>
        <v>0</v>
      </c>
      <c r="T701" s="80"/>
      <c r="U701" s="80"/>
    </row>
    <row r="702" customFormat="false" ht="15" hidden="false" customHeight="false" outlineLevel="0" collapsed="false">
      <c r="B702" s="66" t="str">
        <f aca="false">IF(OR($E702="",$F702=""),"","PO-"&amp;TEXT($E702,"yyyymmdd")&amp;"-"&amp;TEXT(COUNTIFS($E$6:$E702,$E702,$C$6:$C702,$C702),"000"))</f>
        <v/>
      </c>
      <c r="C702" s="130"/>
      <c r="D702" s="66" t="str">
        <f aca="false">IFERROR(INDEX(定数マスタ!$C$6:$C$105,MATCH($C702,定数マスタ!$B$6:$B$105,0)),"")</f>
        <v/>
      </c>
      <c r="E702" s="131"/>
      <c r="F702" s="130"/>
      <c r="G702" s="66" t="str">
        <f aca="false">IFERROR(INDEX(商品マスタ!$C$6:$C$1005,MATCH($F702,商品マスタ!$B$6:$B$1005,0)),"")</f>
        <v/>
      </c>
      <c r="H702" s="66" t="str">
        <f aca="false">IFERROR(INDEX(商品マスタ!$E$6:$E$1005,MATCH($F702,商品マスタ!$B$6:$B$1005,0)),"")</f>
        <v/>
      </c>
      <c r="I702" s="69" t="str">
        <f aca="false">IFERROR(INDEX(商品マスタ!$F$6:$F$1005,MATCH($F702,商品マスタ!$B$6:$B$1005,0)),"")</f>
        <v/>
      </c>
      <c r="J702" s="69" t="str">
        <f aca="false">IF(OR($F702="",$C702&lt;&gt;'設定（最初に1回）'!$C$4),"",IFERROR(INDEX(発注計算!$Y$6:$Y$405,MATCH($F702,発注計算!$C$6:$C$405,0)),""))</f>
        <v/>
      </c>
      <c r="K702" s="70"/>
      <c r="L702" s="69" t="str">
        <f aca="false">IF($K702="","",N($K702)*N($I702))</f>
        <v/>
      </c>
      <c r="M702" s="71" t="str">
        <f aca="false">IFERROR(INDEX(商品マスタ!$G$6:$G$1005,MATCH($F702,商品マスタ!$B$6:$B$1005,0)),"")</f>
        <v/>
      </c>
      <c r="N702" s="71" t="str">
        <f aca="false">IF($K702="","",N($K702)*N($M702))</f>
        <v/>
      </c>
      <c r="O702" s="66" t="str">
        <f aca="false">IFERROR(INDEX(商品マスタ!$H$6:$H$1005,MATCH($F702,商品マスタ!$B$6:$B$1005,0)),"")</f>
        <v/>
      </c>
      <c r="P702" s="87" t="str">
        <f aca="false">IF(OR($E702="",$O702=""),"",WORKDAY($E702,$O702))</f>
        <v/>
      </c>
      <c r="Q702" s="80"/>
      <c r="R702" s="131"/>
      <c r="S702" s="69" t="n">
        <f aca="false">IF($Q702="入荷済み",N($L702),0)</f>
        <v>0</v>
      </c>
      <c r="T702" s="80"/>
      <c r="U702" s="80"/>
    </row>
    <row r="703" customFormat="false" ht="15" hidden="false" customHeight="false" outlineLevel="0" collapsed="false">
      <c r="B703" s="66" t="str">
        <f aca="false">IF(OR($E703="",$F703=""),"","PO-"&amp;TEXT($E703,"yyyymmdd")&amp;"-"&amp;TEXT(COUNTIFS($E$6:$E703,$E703,$C$6:$C703,$C703),"000"))</f>
        <v/>
      </c>
      <c r="C703" s="130"/>
      <c r="D703" s="66" t="str">
        <f aca="false">IFERROR(INDEX(定数マスタ!$C$6:$C$105,MATCH($C703,定数マスタ!$B$6:$B$105,0)),"")</f>
        <v/>
      </c>
      <c r="E703" s="131"/>
      <c r="F703" s="130"/>
      <c r="G703" s="66" t="str">
        <f aca="false">IFERROR(INDEX(商品マスタ!$C$6:$C$1005,MATCH($F703,商品マスタ!$B$6:$B$1005,0)),"")</f>
        <v/>
      </c>
      <c r="H703" s="66" t="str">
        <f aca="false">IFERROR(INDEX(商品マスタ!$E$6:$E$1005,MATCH($F703,商品マスタ!$B$6:$B$1005,0)),"")</f>
        <v/>
      </c>
      <c r="I703" s="69" t="str">
        <f aca="false">IFERROR(INDEX(商品マスタ!$F$6:$F$1005,MATCH($F703,商品マスタ!$B$6:$B$1005,0)),"")</f>
        <v/>
      </c>
      <c r="J703" s="69" t="str">
        <f aca="false">IF(OR($F703="",$C703&lt;&gt;'設定（最初に1回）'!$C$4),"",IFERROR(INDEX(発注計算!$Y$6:$Y$405,MATCH($F703,発注計算!$C$6:$C$405,0)),""))</f>
        <v/>
      </c>
      <c r="K703" s="70"/>
      <c r="L703" s="69" t="str">
        <f aca="false">IF($K703="","",N($K703)*N($I703))</f>
        <v/>
      </c>
      <c r="M703" s="71" t="str">
        <f aca="false">IFERROR(INDEX(商品マスタ!$G$6:$G$1005,MATCH($F703,商品マスタ!$B$6:$B$1005,0)),"")</f>
        <v/>
      </c>
      <c r="N703" s="71" t="str">
        <f aca="false">IF($K703="","",N($K703)*N($M703))</f>
        <v/>
      </c>
      <c r="O703" s="66" t="str">
        <f aca="false">IFERROR(INDEX(商品マスタ!$H$6:$H$1005,MATCH($F703,商品マスタ!$B$6:$B$1005,0)),"")</f>
        <v/>
      </c>
      <c r="P703" s="87" t="str">
        <f aca="false">IF(OR($E703="",$O703=""),"",WORKDAY($E703,$O703))</f>
        <v/>
      </c>
      <c r="Q703" s="80"/>
      <c r="R703" s="131"/>
      <c r="S703" s="69" t="n">
        <f aca="false">IF($Q703="入荷済み",N($L703),0)</f>
        <v>0</v>
      </c>
      <c r="T703" s="80"/>
      <c r="U703" s="80"/>
    </row>
    <row r="704" customFormat="false" ht="15" hidden="false" customHeight="false" outlineLevel="0" collapsed="false">
      <c r="B704" s="66" t="str">
        <f aca="false">IF(OR($E704="",$F704=""),"","PO-"&amp;TEXT($E704,"yyyymmdd")&amp;"-"&amp;TEXT(COUNTIFS($E$6:$E704,$E704,$C$6:$C704,$C704),"000"))</f>
        <v/>
      </c>
      <c r="C704" s="130"/>
      <c r="D704" s="66" t="str">
        <f aca="false">IFERROR(INDEX(定数マスタ!$C$6:$C$105,MATCH($C704,定数マスタ!$B$6:$B$105,0)),"")</f>
        <v/>
      </c>
      <c r="E704" s="131"/>
      <c r="F704" s="130"/>
      <c r="G704" s="66" t="str">
        <f aca="false">IFERROR(INDEX(商品マスタ!$C$6:$C$1005,MATCH($F704,商品マスタ!$B$6:$B$1005,0)),"")</f>
        <v/>
      </c>
      <c r="H704" s="66" t="str">
        <f aca="false">IFERROR(INDEX(商品マスタ!$E$6:$E$1005,MATCH($F704,商品マスタ!$B$6:$B$1005,0)),"")</f>
        <v/>
      </c>
      <c r="I704" s="69" t="str">
        <f aca="false">IFERROR(INDEX(商品マスタ!$F$6:$F$1005,MATCH($F704,商品マスタ!$B$6:$B$1005,0)),"")</f>
        <v/>
      </c>
      <c r="J704" s="69" t="str">
        <f aca="false">IF(OR($F704="",$C704&lt;&gt;'設定（最初に1回）'!$C$4),"",IFERROR(INDEX(発注計算!$Y$6:$Y$405,MATCH($F704,発注計算!$C$6:$C$405,0)),""))</f>
        <v/>
      </c>
      <c r="K704" s="70"/>
      <c r="L704" s="69" t="str">
        <f aca="false">IF($K704="","",N($K704)*N($I704))</f>
        <v/>
      </c>
      <c r="M704" s="71" t="str">
        <f aca="false">IFERROR(INDEX(商品マスタ!$G$6:$G$1005,MATCH($F704,商品マスタ!$B$6:$B$1005,0)),"")</f>
        <v/>
      </c>
      <c r="N704" s="71" t="str">
        <f aca="false">IF($K704="","",N($K704)*N($M704))</f>
        <v/>
      </c>
      <c r="O704" s="66" t="str">
        <f aca="false">IFERROR(INDEX(商品マスタ!$H$6:$H$1005,MATCH($F704,商品マスタ!$B$6:$B$1005,0)),"")</f>
        <v/>
      </c>
      <c r="P704" s="87" t="str">
        <f aca="false">IF(OR($E704="",$O704=""),"",WORKDAY($E704,$O704))</f>
        <v/>
      </c>
      <c r="Q704" s="80"/>
      <c r="R704" s="131"/>
      <c r="S704" s="69" t="n">
        <f aca="false">IF($Q704="入荷済み",N($L704),0)</f>
        <v>0</v>
      </c>
      <c r="T704" s="80"/>
      <c r="U704" s="80"/>
    </row>
    <row r="705" customFormat="false" ht="15" hidden="false" customHeight="false" outlineLevel="0" collapsed="false">
      <c r="B705" s="66" t="str">
        <f aca="false">IF(OR($E705="",$F705=""),"","PO-"&amp;TEXT($E705,"yyyymmdd")&amp;"-"&amp;TEXT(COUNTIFS($E$6:$E705,$E705,$C$6:$C705,$C705),"000"))</f>
        <v/>
      </c>
      <c r="C705" s="130"/>
      <c r="D705" s="66" t="str">
        <f aca="false">IFERROR(INDEX(定数マスタ!$C$6:$C$105,MATCH($C705,定数マスタ!$B$6:$B$105,0)),"")</f>
        <v/>
      </c>
      <c r="E705" s="131"/>
      <c r="F705" s="130"/>
      <c r="G705" s="66" t="str">
        <f aca="false">IFERROR(INDEX(商品マスタ!$C$6:$C$1005,MATCH($F705,商品マスタ!$B$6:$B$1005,0)),"")</f>
        <v/>
      </c>
      <c r="H705" s="66" t="str">
        <f aca="false">IFERROR(INDEX(商品マスタ!$E$6:$E$1005,MATCH($F705,商品マスタ!$B$6:$B$1005,0)),"")</f>
        <v/>
      </c>
      <c r="I705" s="69" t="str">
        <f aca="false">IFERROR(INDEX(商品マスタ!$F$6:$F$1005,MATCH($F705,商品マスタ!$B$6:$B$1005,0)),"")</f>
        <v/>
      </c>
      <c r="J705" s="69" t="str">
        <f aca="false">IF(OR($F705="",$C705&lt;&gt;'設定（最初に1回）'!$C$4),"",IFERROR(INDEX(発注計算!$Y$6:$Y$405,MATCH($F705,発注計算!$C$6:$C$405,0)),""))</f>
        <v/>
      </c>
      <c r="K705" s="70"/>
      <c r="L705" s="69" t="str">
        <f aca="false">IF($K705="","",N($K705)*N($I705))</f>
        <v/>
      </c>
      <c r="M705" s="71" t="str">
        <f aca="false">IFERROR(INDEX(商品マスタ!$G$6:$G$1005,MATCH($F705,商品マスタ!$B$6:$B$1005,0)),"")</f>
        <v/>
      </c>
      <c r="N705" s="71" t="str">
        <f aca="false">IF($K705="","",N($K705)*N($M705))</f>
        <v/>
      </c>
      <c r="O705" s="66" t="str">
        <f aca="false">IFERROR(INDEX(商品マスタ!$H$6:$H$1005,MATCH($F705,商品マスタ!$B$6:$B$1005,0)),"")</f>
        <v/>
      </c>
      <c r="P705" s="87" t="str">
        <f aca="false">IF(OR($E705="",$O705=""),"",WORKDAY($E705,$O705))</f>
        <v/>
      </c>
      <c r="Q705" s="80"/>
      <c r="R705" s="131"/>
      <c r="S705" s="69" t="n">
        <f aca="false">IF($Q705="入荷済み",N($L705),0)</f>
        <v>0</v>
      </c>
      <c r="T705" s="80"/>
      <c r="U705" s="80"/>
    </row>
    <row r="706" customFormat="false" ht="15" hidden="false" customHeight="false" outlineLevel="0" collapsed="false">
      <c r="B706" s="66" t="str">
        <f aca="false">IF(OR($E706="",$F706=""),"","PO-"&amp;TEXT($E706,"yyyymmdd")&amp;"-"&amp;TEXT(COUNTIFS($E$6:$E706,$E706,$C$6:$C706,$C706),"000"))</f>
        <v/>
      </c>
      <c r="C706" s="130"/>
      <c r="D706" s="66" t="str">
        <f aca="false">IFERROR(INDEX(定数マスタ!$C$6:$C$105,MATCH($C706,定数マスタ!$B$6:$B$105,0)),"")</f>
        <v/>
      </c>
      <c r="E706" s="131"/>
      <c r="F706" s="130"/>
      <c r="G706" s="66" t="str">
        <f aca="false">IFERROR(INDEX(商品マスタ!$C$6:$C$1005,MATCH($F706,商品マスタ!$B$6:$B$1005,0)),"")</f>
        <v/>
      </c>
      <c r="H706" s="66" t="str">
        <f aca="false">IFERROR(INDEX(商品マスタ!$E$6:$E$1005,MATCH($F706,商品マスタ!$B$6:$B$1005,0)),"")</f>
        <v/>
      </c>
      <c r="I706" s="69" t="str">
        <f aca="false">IFERROR(INDEX(商品マスタ!$F$6:$F$1005,MATCH($F706,商品マスタ!$B$6:$B$1005,0)),"")</f>
        <v/>
      </c>
      <c r="J706" s="69" t="str">
        <f aca="false">IF(OR($F706="",$C706&lt;&gt;'設定（最初に1回）'!$C$4),"",IFERROR(INDEX(発注計算!$Y$6:$Y$405,MATCH($F706,発注計算!$C$6:$C$405,0)),""))</f>
        <v/>
      </c>
      <c r="K706" s="70"/>
      <c r="L706" s="69" t="str">
        <f aca="false">IF($K706="","",N($K706)*N($I706))</f>
        <v/>
      </c>
      <c r="M706" s="71" t="str">
        <f aca="false">IFERROR(INDEX(商品マスタ!$G$6:$G$1005,MATCH($F706,商品マスタ!$B$6:$B$1005,0)),"")</f>
        <v/>
      </c>
      <c r="N706" s="71" t="str">
        <f aca="false">IF($K706="","",N($K706)*N($M706))</f>
        <v/>
      </c>
      <c r="O706" s="66" t="str">
        <f aca="false">IFERROR(INDEX(商品マスタ!$H$6:$H$1005,MATCH($F706,商品マスタ!$B$6:$B$1005,0)),"")</f>
        <v/>
      </c>
      <c r="P706" s="87" t="str">
        <f aca="false">IF(OR($E706="",$O706=""),"",WORKDAY($E706,$O706))</f>
        <v/>
      </c>
      <c r="Q706" s="80"/>
      <c r="R706" s="131"/>
      <c r="S706" s="69" t="n">
        <f aca="false">IF($Q706="入荷済み",N($L706),0)</f>
        <v>0</v>
      </c>
      <c r="T706" s="80"/>
      <c r="U706" s="80"/>
    </row>
    <row r="707" customFormat="false" ht="15" hidden="false" customHeight="false" outlineLevel="0" collapsed="false">
      <c r="B707" s="66" t="str">
        <f aca="false">IF(OR($E707="",$F707=""),"","PO-"&amp;TEXT($E707,"yyyymmdd")&amp;"-"&amp;TEXT(COUNTIFS($E$6:$E707,$E707,$C$6:$C707,$C707),"000"))</f>
        <v/>
      </c>
      <c r="C707" s="130"/>
      <c r="D707" s="66" t="str">
        <f aca="false">IFERROR(INDEX(定数マスタ!$C$6:$C$105,MATCH($C707,定数マスタ!$B$6:$B$105,0)),"")</f>
        <v/>
      </c>
      <c r="E707" s="131"/>
      <c r="F707" s="130"/>
      <c r="G707" s="66" t="str">
        <f aca="false">IFERROR(INDEX(商品マスタ!$C$6:$C$1005,MATCH($F707,商品マスタ!$B$6:$B$1005,0)),"")</f>
        <v/>
      </c>
      <c r="H707" s="66" t="str">
        <f aca="false">IFERROR(INDEX(商品マスタ!$E$6:$E$1005,MATCH($F707,商品マスタ!$B$6:$B$1005,0)),"")</f>
        <v/>
      </c>
      <c r="I707" s="69" t="str">
        <f aca="false">IFERROR(INDEX(商品マスタ!$F$6:$F$1005,MATCH($F707,商品マスタ!$B$6:$B$1005,0)),"")</f>
        <v/>
      </c>
      <c r="J707" s="69" t="str">
        <f aca="false">IF(OR($F707="",$C707&lt;&gt;'設定（最初に1回）'!$C$4),"",IFERROR(INDEX(発注計算!$Y$6:$Y$405,MATCH($F707,発注計算!$C$6:$C$405,0)),""))</f>
        <v/>
      </c>
      <c r="K707" s="70"/>
      <c r="L707" s="69" t="str">
        <f aca="false">IF($K707="","",N($K707)*N($I707))</f>
        <v/>
      </c>
      <c r="M707" s="71" t="str">
        <f aca="false">IFERROR(INDEX(商品マスタ!$G$6:$G$1005,MATCH($F707,商品マスタ!$B$6:$B$1005,0)),"")</f>
        <v/>
      </c>
      <c r="N707" s="71" t="str">
        <f aca="false">IF($K707="","",N($K707)*N($M707))</f>
        <v/>
      </c>
      <c r="O707" s="66" t="str">
        <f aca="false">IFERROR(INDEX(商品マスタ!$H$6:$H$1005,MATCH($F707,商品マスタ!$B$6:$B$1005,0)),"")</f>
        <v/>
      </c>
      <c r="P707" s="87" t="str">
        <f aca="false">IF(OR($E707="",$O707=""),"",WORKDAY($E707,$O707))</f>
        <v/>
      </c>
      <c r="Q707" s="80"/>
      <c r="R707" s="131"/>
      <c r="S707" s="69" t="n">
        <f aca="false">IF($Q707="入荷済み",N($L707),0)</f>
        <v>0</v>
      </c>
      <c r="T707" s="80"/>
      <c r="U707" s="80"/>
    </row>
    <row r="708" customFormat="false" ht="15" hidden="false" customHeight="false" outlineLevel="0" collapsed="false">
      <c r="B708" s="66" t="str">
        <f aca="false">IF(OR($E708="",$F708=""),"","PO-"&amp;TEXT($E708,"yyyymmdd")&amp;"-"&amp;TEXT(COUNTIFS($E$6:$E708,$E708,$C$6:$C708,$C708),"000"))</f>
        <v/>
      </c>
      <c r="C708" s="130"/>
      <c r="D708" s="66" t="str">
        <f aca="false">IFERROR(INDEX(定数マスタ!$C$6:$C$105,MATCH($C708,定数マスタ!$B$6:$B$105,0)),"")</f>
        <v/>
      </c>
      <c r="E708" s="131"/>
      <c r="F708" s="130"/>
      <c r="G708" s="66" t="str">
        <f aca="false">IFERROR(INDEX(商品マスタ!$C$6:$C$1005,MATCH($F708,商品マスタ!$B$6:$B$1005,0)),"")</f>
        <v/>
      </c>
      <c r="H708" s="66" t="str">
        <f aca="false">IFERROR(INDEX(商品マスタ!$E$6:$E$1005,MATCH($F708,商品マスタ!$B$6:$B$1005,0)),"")</f>
        <v/>
      </c>
      <c r="I708" s="69" t="str">
        <f aca="false">IFERROR(INDEX(商品マスタ!$F$6:$F$1005,MATCH($F708,商品マスタ!$B$6:$B$1005,0)),"")</f>
        <v/>
      </c>
      <c r="J708" s="69" t="str">
        <f aca="false">IF(OR($F708="",$C708&lt;&gt;'設定（最初に1回）'!$C$4),"",IFERROR(INDEX(発注計算!$Y$6:$Y$405,MATCH($F708,発注計算!$C$6:$C$405,0)),""))</f>
        <v/>
      </c>
      <c r="K708" s="70"/>
      <c r="L708" s="69" t="str">
        <f aca="false">IF($K708="","",N($K708)*N($I708))</f>
        <v/>
      </c>
      <c r="M708" s="71" t="str">
        <f aca="false">IFERROR(INDEX(商品マスタ!$G$6:$G$1005,MATCH($F708,商品マスタ!$B$6:$B$1005,0)),"")</f>
        <v/>
      </c>
      <c r="N708" s="71" t="str">
        <f aca="false">IF($K708="","",N($K708)*N($M708))</f>
        <v/>
      </c>
      <c r="O708" s="66" t="str">
        <f aca="false">IFERROR(INDEX(商品マスタ!$H$6:$H$1005,MATCH($F708,商品マスタ!$B$6:$B$1005,0)),"")</f>
        <v/>
      </c>
      <c r="P708" s="87" t="str">
        <f aca="false">IF(OR($E708="",$O708=""),"",WORKDAY($E708,$O708))</f>
        <v/>
      </c>
      <c r="Q708" s="80"/>
      <c r="R708" s="131"/>
      <c r="S708" s="69" t="n">
        <f aca="false">IF($Q708="入荷済み",N($L708),0)</f>
        <v>0</v>
      </c>
      <c r="T708" s="80"/>
      <c r="U708" s="80"/>
    </row>
    <row r="709" customFormat="false" ht="15" hidden="false" customHeight="false" outlineLevel="0" collapsed="false">
      <c r="B709" s="66" t="str">
        <f aca="false">IF(OR($E709="",$F709=""),"","PO-"&amp;TEXT($E709,"yyyymmdd")&amp;"-"&amp;TEXT(COUNTIFS($E$6:$E709,$E709,$C$6:$C709,$C709),"000"))</f>
        <v/>
      </c>
      <c r="C709" s="130"/>
      <c r="D709" s="66" t="str">
        <f aca="false">IFERROR(INDEX(定数マスタ!$C$6:$C$105,MATCH($C709,定数マスタ!$B$6:$B$105,0)),"")</f>
        <v/>
      </c>
      <c r="E709" s="131"/>
      <c r="F709" s="130"/>
      <c r="G709" s="66" t="str">
        <f aca="false">IFERROR(INDEX(商品マスタ!$C$6:$C$1005,MATCH($F709,商品マスタ!$B$6:$B$1005,0)),"")</f>
        <v/>
      </c>
      <c r="H709" s="66" t="str">
        <f aca="false">IFERROR(INDEX(商品マスタ!$E$6:$E$1005,MATCH($F709,商品マスタ!$B$6:$B$1005,0)),"")</f>
        <v/>
      </c>
      <c r="I709" s="69" t="str">
        <f aca="false">IFERROR(INDEX(商品マスタ!$F$6:$F$1005,MATCH($F709,商品マスタ!$B$6:$B$1005,0)),"")</f>
        <v/>
      </c>
      <c r="J709" s="69" t="str">
        <f aca="false">IF(OR($F709="",$C709&lt;&gt;'設定（最初に1回）'!$C$4),"",IFERROR(INDEX(発注計算!$Y$6:$Y$405,MATCH($F709,発注計算!$C$6:$C$405,0)),""))</f>
        <v/>
      </c>
      <c r="K709" s="70"/>
      <c r="L709" s="69" t="str">
        <f aca="false">IF($K709="","",N($K709)*N($I709))</f>
        <v/>
      </c>
      <c r="M709" s="71" t="str">
        <f aca="false">IFERROR(INDEX(商品マスタ!$G$6:$G$1005,MATCH($F709,商品マスタ!$B$6:$B$1005,0)),"")</f>
        <v/>
      </c>
      <c r="N709" s="71" t="str">
        <f aca="false">IF($K709="","",N($K709)*N($M709))</f>
        <v/>
      </c>
      <c r="O709" s="66" t="str">
        <f aca="false">IFERROR(INDEX(商品マスタ!$H$6:$H$1005,MATCH($F709,商品マスタ!$B$6:$B$1005,0)),"")</f>
        <v/>
      </c>
      <c r="P709" s="87" t="str">
        <f aca="false">IF(OR($E709="",$O709=""),"",WORKDAY($E709,$O709))</f>
        <v/>
      </c>
      <c r="Q709" s="80"/>
      <c r="R709" s="131"/>
      <c r="S709" s="69" t="n">
        <f aca="false">IF($Q709="入荷済み",N($L709),0)</f>
        <v>0</v>
      </c>
      <c r="T709" s="80"/>
      <c r="U709" s="80"/>
    </row>
    <row r="710" customFormat="false" ht="15" hidden="false" customHeight="false" outlineLevel="0" collapsed="false">
      <c r="B710" s="66" t="str">
        <f aca="false">IF(OR($E710="",$F710=""),"","PO-"&amp;TEXT($E710,"yyyymmdd")&amp;"-"&amp;TEXT(COUNTIFS($E$6:$E710,$E710,$C$6:$C710,$C710),"000"))</f>
        <v/>
      </c>
      <c r="C710" s="130"/>
      <c r="D710" s="66" t="str">
        <f aca="false">IFERROR(INDEX(定数マスタ!$C$6:$C$105,MATCH($C710,定数マスタ!$B$6:$B$105,0)),"")</f>
        <v/>
      </c>
      <c r="E710" s="131"/>
      <c r="F710" s="130"/>
      <c r="G710" s="66" t="str">
        <f aca="false">IFERROR(INDEX(商品マスタ!$C$6:$C$1005,MATCH($F710,商品マスタ!$B$6:$B$1005,0)),"")</f>
        <v/>
      </c>
      <c r="H710" s="66" t="str">
        <f aca="false">IFERROR(INDEX(商品マスタ!$E$6:$E$1005,MATCH($F710,商品マスタ!$B$6:$B$1005,0)),"")</f>
        <v/>
      </c>
      <c r="I710" s="69" t="str">
        <f aca="false">IFERROR(INDEX(商品マスタ!$F$6:$F$1005,MATCH($F710,商品マスタ!$B$6:$B$1005,0)),"")</f>
        <v/>
      </c>
      <c r="J710" s="69" t="str">
        <f aca="false">IF(OR($F710="",$C710&lt;&gt;'設定（最初に1回）'!$C$4),"",IFERROR(INDEX(発注計算!$Y$6:$Y$405,MATCH($F710,発注計算!$C$6:$C$405,0)),""))</f>
        <v/>
      </c>
      <c r="K710" s="70"/>
      <c r="L710" s="69" t="str">
        <f aca="false">IF($K710="","",N($K710)*N($I710))</f>
        <v/>
      </c>
      <c r="M710" s="71" t="str">
        <f aca="false">IFERROR(INDEX(商品マスタ!$G$6:$G$1005,MATCH($F710,商品マスタ!$B$6:$B$1005,0)),"")</f>
        <v/>
      </c>
      <c r="N710" s="71" t="str">
        <f aca="false">IF($K710="","",N($K710)*N($M710))</f>
        <v/>
      </c>
      <c r="O710" s="66" t="str">
        <f aca="false">IFERROR(INDEX(商品マスタ!$H$6:$H$1005,MATCH($F710,商品マスタ!$B$6:$B$1005,0)),"")</f>
        <v/>
      </c>
      <c r="P710" s="87" t="str">
        <f aca="false">IF(OR($E710="",$O710=""),"",WORKDAY($E710,$O710))</f>
        <v/>
      </c>
      <c r="Q710" s="80"/>
      <c r="R710" s="131"/>
      <c r="S710" s="69" t="n">
        <f aca="false">IF($Q710="入荷済み",N($L710),0)</f>
        <v>0</v>
      </c>
      <c r="T710" s="80"/>
      <c r="U710" s="80"/>
    </row>
    <row r="711" customFormat="false" ht="15" hidden="false" customHeight="false" outlineLevel="0" collapsed="false">
      <c r="B711" s="66" t="str">
        <f aca="false">IF(OR($E711="",$F711=""),"","PO-"&amp;TEXT($E711,"yyyymmdd")&amp;"-"&amp;TEXT(COUNTIFS($E$6:$E711,$E711,$C$6:$C711,$C711),"000"))</f>
        <v/>
      </c>
      <c r="C711" s="130"/>
      <c r="D711" s="66" t="str">
        <f aca="false">IFERROR(INDEX(定数マスタ!$C$6:$C$105,MATCH($C711,定数マスタ!$B$6:$B$105,0)),"")</f>
        <v/>
      </c>
      <c r="E711" s="131"/>
      <c r="F711" s="130"/>
      <c r="G711" s="66" t="str">
        <f aca="false">IFERROR(INDEX(商品マスタ!$C$6:$C$1005,MATCH($F711,商品マスタ!$B$6:$B$1005,0)),"")</f>
        <v/>
      </c>
      <c r="H711" s="66" t="str">
        <f aca="false">IFERROR(INDEX(商品マスタ!$E$6:$E$1005,MATCH($F711,商品マスタ!$B$6:$B$1005,0)),"")</f>
        <v/>
      </c>
      <c r="I711" s="69" t="str">
        <f aca="false">IFERROR(INDEX(商品マスタ!$F$6:$F$1005,MATCH($F711,商品マスタ!$B$6:$B$1005,0)),"")</f>
        <v/>
      </c>
      <c r="J711" s="69" t="str">
        <f aca="false">IF(OR($F711="",$C711&lt;&gt;'設定（最初に1回）'!$C$4),"",IFERROR(INDEX(発注計算!$Y$6:$Y$405,MATCH($F711,発注計算!$C$6:$C$405,0)),""))</f>
        <v/>
      </c>
      <c r="K711" s="70"/>
      <c r="L711" s="69" t="str">
        <f aca="false">IF($K711="","",N($K711)*N($I711))</f>
        <v/>
      </c>
      <c r="M711" s="71" t="str">
        <f aca="false">IFERROR(INDEX(商品マスタ!$G$6:$G$1005,MATCH($F711,商品マスタ!$B$6:$B$1005,0)),"")</f>
        <v/>
      </c>
      <c r="N711" s="71" t="str">
        <f aca="false">IF($K711="","",N($K711)*N($M711))</f>
        <v/>
      </c>
      <c r="O711" s="66" t="str">
        <f aca="false">IFERROR(INDEX(商品マスタ!$H$6:$H$1005,MATCH($F711,商品マスタ!$B$6:$B$1005,0)),"")</f>
        <v/>
      </c>
      <c r="P711" s="87" t="str">
        <f aca="false">IF(OR($E711="",$O711=""),"",WORKDAY($E711,$O711))</f>
        <v/>
      </c>
      <c r="Q711" s="80"/>
      <c r="R711" s="131"/>
      <c r="S711" s="69" t="n">
        <f aca="false">IF($Q711="入荷済み",N($L711),0)</f>
        <v>0</v>
      </c>
      <c r="T711" s="80"/>
      <c r="U711" s="80"/>
    </row>
    <row r="712" customFormat="false" ht="15" hidden="false" customHeight="false" outlineLevel="0" collapsed="false">
      <c r="B712" s="66" t="str">
        <f aca="false">IF(OR($E712="",$F712=""),"","PO-"&amp;TEXT($E712,"yyyymmdd")&amp;"-"&amp;TEXT(COUNTIFS($E$6:$E712,$E712,$C$6:$C712,$C712),"000"))</f>
        <v/>
      </c>
      <c r="C712" s="130"/>
      <c r="D712" s="66" t="str">
        <f aca="false">IFERROR(INDEX(定数マスタ!$C$6:$C$105,MATCH($C712,定数マスタ!$B$6:$B$105,0)),"")</f>
        <v/>
      </c>
      <c r="E712" s="131"/>
      <c r="F712" s="130"/>
      <c r="G712" s="66" t="str">
        <f aca="false">IFERROR(INDEX(商品マスタ!$C$6:$C$1005,MATCH($F712,商品マスタ!$B$6:$B$1005,0)),"")</f>
        <v/>
      </c>
      <c r="H712" s="66" t="str">
        <f aca="false">IFERROR(INDEX(商品マスタ!$E$6:$E$1005,MATCH($F712,商品マスタ!$B$6:$B$1005,0)),"")</f>
        <v/>
      </c>
      <c r="I712" s="69" t="str">
        <f aca="false">IFERROR(INDEX(商品マスタ!$F$6:$F$1005,MATCH($F712,商品マスタ!$B$6:$B$1005,0)),"")</f>
        <v/>
      </c>
      <c r="J712" s="69" t="str">
        <f aca="false">IF(OR($F712="",$C712&lt;&gt;'設定（最初に1回）'!$C$4),"",IFERROR(INDEX(発注計算!$Y$6:$Y$405,MATCH($F712,発注計算!$C$6:$C$405,0)),""))</f>
        <v/>
      </c>
      <c r="K712" s="70"/>
      <c r="L712" s="69" t="str">
        <f aca="false">IF($K712="","",N($K712)*N($I712))</f>
        <v/>
      </c>
      <c r="M712" s="71" t="str">
        <f aca="false">IFERROR(INDEX(商品マスタ!$G$6:$G$1005,MATCH($F712,商品マスタ!$B$6:$B$1005,0)),"")</f>
        <v/>
      </c>
      <c r="N712" s="71" t="str">
        <f aca="false">IF($K712="","",N($K712)*N($M712))</f>
        <v/>
      </c>
      <c r="O712" s="66" t="str">
        <f aca="false">IFERROR(INDEX(商品マスタ!$H$6:$H$1005,MATCH($F712,商品マスタ!$B$6:$B$1005,0)),"")</f>
        <v/>
      </c>
      <c r="P712" s="87" t="str">
        <f aca="false">IF(OR($E712="",$O712=""),"",WORKDAY($E712,$O712))</f>
        <v/>
      </c>
      <c r="Q712" s="80"/>
      <c r="R712" s="131"/>
      <c r="S712" s="69" t="n">
        <f aca="false">IF($Q712="入荷済み",N($L712),0)</f>
        <v>0</v>
      </c>
      <c r="T712" s="80"/>
      <c r="U712" s="80"/>
    </row>
    <row r="713" customFormat="false" ht="15" hidden="false" customHeight="false" outlineLevel="0" collapsed="false">
      <c r="B713" s="66" t="str">
        <f aca="false">IF(OR($E713="",$F713=""),"","PO-"&amp;TEXT($E713,"yyyymmdd")&amp;"-"&amp;TEXT(COUNTIFS($E$6:$E713,$E713,$C$6:$C713,$C713),"000"))</f>
        <v/>
      </c>
      <c r="C713" s="130"/>
      <c r="D713" s="66" t="str">
        <f aca="false">IFERROR(INDEX(定数マスタ!$C$6:$C$105,MATCH($C713,定数マスタ!$B$6:$B$105,0)),"")</f>
        <v/>
      </c>
      <c r="E713" s="131"/>
      <c r="F713" s="130"/>
      <c r="G713" s="66" t="str">
        <f aca="false">IFERROR(INDEX(商品マスタ!$C$6:$C$1005,MATCH($F713,商品マスタ!$B$6:$B$1005,0)),"")</f>
        <v/>
      </c>
      <c r="H713" s="66" t="str">
        <f aca="false">IFERROR(INDEX(商品マスタ!$E$6:$E$1005,MATCH($F713,商品マスタ!$B$6:$B$1005,0)),"")</f>
        <v/>
      </c>
      <c r="I713" s="69" t="str">
        <f aca="false">IFERROR(INDEX(商品マスタ!$F$6:$F$1005,MATCH($F713,商品マスタ!$B$6:$B$1005,0)),"")</f>
        <v/>
      </c>
      <c r="J713" s="69" t="str">
        <f aca="false">IF(OR($F713="",$C713&lt;&gt;'設定（最初に1回）'!$C$4),"",IFERROR(INDEX(発注計算!$Y$6:$Y$405,MATCH($F713,発注計算!$C$6:$C$405,0)),""))</f>
        <v/>
      </c>
      <c r="K713" s="70"/>
      <c r="L713" s="69" t="str">
        <f aca="false">IF($K713="","",N($K713)*N($I713))</f>
        <v/>
      </c>
      <c r="M713" s="71" t="str">
        <f aca="false">IFERROR(INDEX(商品マスタ!$G$6:$G$1005,MATCH($F713,商品マスタ!$B$6:$B$1005,0)),"")</f>
        <v/>
      </c>
      <c r="N713" s="71" t="str">
        <f aca="false">IF($K713="","",N($K713)*N($M713))</f>
        <v/>
      </c>
      <c r="O713" s="66" t="str">
        <f aca="false">IFERROR(INDEX(商品マスタ!$H$6:$H$1005,MATCH($F713,商品マスタ!$B$6:$B$1005,0)),"")</f>
        <v/>
      </c>
      <c r="P713" s="87" t="str">
        <f aca="false">IF(OR($E713="",$O713=""),"",WORKDAY($E713,$O713))</f>
        <v/>
      </c>
      <c r="Q713" s="80"/>
      <c r="R713" s="131"/>
      <c r="S713" s="69" t="n">
        <f aca="false">IF($Q713="入荷済み",N($L713),0)</f>
        <v>0</v>
      </c>
      <c r="T713" s="80"/>
      <c r="U713" s="80"/>
    </row>
    <row r="714" customFormat="false" ht="15" hidden="false" customHeight="false" outlineLevel="0" collapsed="false">
      <c r="B714" s="66" t="str">
        <f aca="false">IF(OR($E714="",$F714=""),"","PO-"&amp;TEXT($E714,"yyyymmdd")&amp;"-"&amp;TEXT(COUNTIFS($E$6:$E714,$E714,$C$6:$C714,$C714),"000"))</f>
        <v/>
      </c>
      <c r="C714" s="130"/>
      <c r="D714" s="66" t="str">
        <f aca="false">IFERROR(INDEX(定数マスタ!$C$6:$C$105,MATCH($C714,定数マスタ!$B$6:$B$105,0)),"")</f>
        <v/>
      </c>
      <c r="E714" s="131"/>
      <c r="F714" s="130"/>
      <c r="G714" s="66" t="str">
        <f aca="false">IFERROR(INDEX(商品マスタ!$C$6:$C$1005,MATCH($F714,商品マスタ!$B$6:$B$1005,0)),"")</f>
        <v/>
      </c>
      <c r="H714" s="66" t="str">
        <f aca="false">IFERROR(INDEX(商品マスタ!$E$6:$E$1005,MATCH($F714,商品マスタ!$B$6:$B$1005,0)),"")</f>
        <v/>
      </c>
      <c r="I714" s="69" t="str">
        <f aca="false">IFERROR(INDEX(商品マスタ!$F$6:$F$1005,MATCH($F714,商品マスタ!$B$6:$B$1005,0)),"")</f>
        <v/>
      </c>
      <c r="J714" s="69" t="str">
        <f aca="false">IF(OR($F714="",$C714&lt;&gt;'設定（最初に1回）'!$C$4),"",IFERROR(INDEX(発注計算!$Y$6:$Y$405,MATCH($F714,発注計算!$C$6:$C$405,0)),""))</f>
        <v/>
      </c>
      <c r="K714" s="70"/>
      <c r="L714" s="69" t="str">
        <f aca="false">IF($K714="","",N($K714)*N($I714))</f>
        <v/>
      </c>
      <c r="M714" s="71" t="str">
        <f aca="false">IFERROR(INDEX(商品マスタ!$G$6:$G$1005,MATCH($F714,商品マスタ!$B$6:$B$1005,0)),"")</f>
        <v/>
      </c>
      <c r="N714" s="71" t="str">
        <f aca="false">IF($K714="","",N($K714)*N($M714))</f>
        <v/>
      </c>
      <c r="O714" s="66" t="str">
        <f aca="false">IFERROR(INDEX(商品マスタ!$H$6:$H$1005,MATCH($F714,商品マスタ!$B$6:$B$1005,0)),"")</f>
        <v/>
      </c>
      <c r="P714" s="87" t="str">
        <f aca="false">IF(OR($E714="",$O714=""),"",WORKDAY($E714,$O714))</f>
        <v/>
      </c>
      <c r="Q714" s="80"/>
      <c r="R714" s="131"/>
      <c r="S714" s="69" t="n">
        <f aca="false">IF($Q714="入荷済み",N($L714),0)</f>
        <v>0</v>
      </c>
      <c r="T714" s="80"/>
      <c r="U714" s="80"/>
    </row>
    <row r="715" customFormat="false" ht="15" hidden="false" customHeight="false" outlineLevel="0" collapsed="false">
      <c r="B715" s="66" t="str">
        <f aca="false">IF(OR($E715="",$F715=""),"","PO-"&amp;TEXT($E715,"yyyymmdd")&amp;"-"&amp;TEXT(COUNTIFS($E$6:$E715,$E715,$C$6:$C715,$C715),"000"))</f>
        <v/>
      </c>
      <c r="C715" s="130"/>
      <c r="D715" s="66" t="str">
        <f aca="false">IFERROR(INDEX(定数マスタ!$C$6:$C$105,MATCH($C715,定数マスタ!$B$6:$B$105,0)),"")</f>
        <v/>
      </c>
      <c r="E715" s="131"/>
      <c r="F715" s="130"/>
      <c r="G715" s="66" t="str">
        <f aca="false">IFERROR(INDEX(商品マスタ!$C$6:$C$1005,MATCH($F715,商品マスタ!$B$6:$B$1005,0)),"")</f>
        <v/>
      </c>
      <c r="H715" s="66" t="str">
        <f aca="false">IFERROR(INDEX(商品マスタ!$E$6:$E$1005,MATCH($F715,商品マスタ!$B$6:$B$1005,0)),"")</f>
        <v/>
      </c>
      <c r="I715" s="69" t="str">
        <f aca="false">IFERROR(INDEX(商品マスタ!$F$6:$F$1005,MATCH($F715,商品マスタ!$B$6:$B$1005,0)),"")</f>
        <v/>
      </c>
      <c r="J715" s="69" t="str">
        <f aca="false">IF(OR($F715="",$C715&lt;&gt;'設定（最初に1回）'!$C$4),"",IFERROR(INDEX(発注計算!$Y$6:$Y$405,MATCH($F715,発注計算!$C$6:$C$405,0)),""))</f>
        <v/>
      </c>
      <c r="K715" s="70"/>
      <c r="L715" s="69" t="str">
        <f aca="false">IF($K715="","",N($K715)*N($I715))</f>
        <v/>
      </c>
      <c r="M715" s="71" t="str">
        <f aca="false">IFERROR(INDEX(商品マスタ!$G$6:$G$1005,MATCH($F715,商品マスタ!$B$6:$B$1005,0)),"")</f>
        <v/>
      </c>
      <c r="N715" s="71" t="str">
        <f aca="false">IF($K715="","",N($K715)*N($M715))</f>
        <v/>
      </c>
      <c r="O715" s="66" t="str">
        <f aca="false">IFERROR(INDEX(商品マスタ!$H$6:$H$1005,MATCH($F715,商品マスタ!$B$6:$B$1005,0)),"")</f>
        <v/>
      </c>
      <c r="P715" s="87" t="str">
        <f aca="false">IF(OR($E715="",$O715=""),"",WORKDAY($E715,$O715))</f>
        <v/>
      </c>
      <c r="Q715" s="80"/>
      <c r="R715" s="131"/>
      <c r="S715" s="69" t="n">
        <f aca="false">IF($Q715="入荷済み",N($L715),0)</f>
        <v>0</v>
      </c>
      <c r="T715" s="80"/>
      <c r="U715" s="80"/>
    </row>
    <row r="716" customFormat="false" ht="15" hidden="false" customHeight="false" outlineLevel="0" collapsed="false">
      <c r="B716" s="66" t="str">
        <f aca="false">IF(OR($E716="",$F716=""),"","PO-"&amp;TEXT($E716,"yyyymmdd")&amp;"-"&amp;TEXT(COUNTIFS($E$6:$E716,$E716,$C$6:$C716,$C716),"000"))</f>
        <v/>
      </c>
      <c r="C716" s="130"/>
      <c r="D716" s="66" t="str">
        <f aca="false">IFERROR(INDEX(定数マスタ!$C$6:$C$105,MATCH($C716,定数マスタ!$B$6:$B$105,0)),"")</f>
        <v/>
      </c>
      <c r="E716" s="131"/>
      <c r="F716" s="130"/>
      <c r="G716" s="66" t="str">
        <f aca="false">IFERROR(INDEX(商品マスタ!$C$6:$C$1005,MATCH($F716,商品マスタ!$B$6:$B$1005,0)),"")</f>
        <v/>
      </c>
      <c r="H716" s="66" t="str">
        <f aca="false">IFERROR(INDEX(商品マスタ!$E$6:$E$1005,MATCH($F716,商品マスタ!$B$6:$B$1005,0)),"")</f>
        <v/>
      </c>
      <c r="I716" s="69" t="str">
        <f aca="false">IFERROR(INDEX(商品マスタ!$F$6:$F$1005,MATCH($F716,商品マスタ!$B$6:$B$1005,0)),"")</f>
        <v/>
      </c>
      <c r="J716" s="69" t="str">
        <f aca="false">IF(OR($F716="",$C716&lt;&gt;'設定（最初に1回）'!$C$4),"",IFERROR(INDEX(発注計算!$Y$6:$Y$405,MATCH($F716,発注計算!$C$6:$C$405,0)),""))</f>
        <v/>
      </c>
      <c r="K716" s="70"/>
      <c r="L716" s="69" t="str">
        <f aca="false">IF($K716="","",N($K716)*N($I716))</f>
        <v/>
      </c>
      <c r="M716" s="71" t="str">
        <f aca="false">IFERROR(INDEX(商品マスタ!$G$6:$G$1005,MATCH($F716,商品マスタ!$B$6:$B$1005,0)),"")</f>
        <v/>
      </c>
      <c r="N716" s="71" t="str">
        <f aca="false">IF($K716="","",N($K716)*N($M716))</f>
        <v/>
      </c>
      <c r="O716" s="66" t="str">
        <f aca="false">IFERROR(INDEX(商品マスタ!$H$6:$H$1005,MATCH($F716,商品マスタ!$B$6:$B$1005,0)),"")</f>
        <v/>
      </c>
      <c r="P716" s="87" t="str">
        <f aca="false">IF(OR($E716="",$O716=""),"",WORKDAY($E716,$O716))</f>
        <v/>
      </c>
      <c r="Q716" s="80"/>
      <c r="R716" s="131"/>
      <c r="S716" s="69" t="n">
        <f aca="false">IF($Q716="入荷済み",N($L716),0)</f>
        <v>0</v>
      </c>
      <c r="T716" s="80"/>
      <c r="U716" s="80"/>
    </row>
    <row r="717" customFormat="false" ht="15" hidden="false" customHeight="false" outlineLevel="0" collapsed="false">
      <c r="B717" s="66" t="str">
        <f aca="false">IF(OR($E717="",$F717=""),"","PO-"&amp;TEXT($E717,"yyyymmdd")&amp;"-"&amp;TEXT(COUNTIFS($E$6:$E717,$E717,$C$6:$C717,$C717),"000"))</f>
        <v/>
      </c>
      <c r="C717" s="130"/>
      <c r="D717" s="66" t="str">
        <f aca="false">IFERROR(INDEX(定数マスタ!$C$6:$C$105,MATCH($C717,定数マスタ!$B$6:$B$105,0)),"")</f>
        <v/>
      </c>
      <c r="E717" s="131"/>
      <c r="F717" s="130"/>
      <c r="G717" s="66" t="str">
        <f aca="false">IFERROR(INDEX(商品マスタ!$C$6:$C$1005,MATCH($F717,商品マスタ!$B$6:$B$1005,0)),"")</f>
        <v/>
      </c>
      <c r="H717" s="66" t="str">
        <f aca="false">IFERROR(INDEX(商品マスタ!$E$6:$E$1005,MATCH($F717,商品マスタ!$B$6:$B$1005,0)),"")</f>
        <v/>
      </c>
      <c r="I717" s="69" t="str">
        <f aca="false">IFERROR(INDEX(商品マスタ!$F$6:$F$1005,MATCH($F717,商品マスタ!$B$6:$B$1005,0)),"")</f>
        <v/>
      </c>
      <c r="J717" s="69" t="str">
        <f aca="false">IF(OR($F717="",$C717&lt;&gt;'設定（最初に1回）'!$C$4),"",IFERROR(INDEX(発注計算!$Y$6:$Y$405,MATCH($F717,発注計算!$C$6:$C$405,0)),""))</f>
        <v/>
      </c>
      <c r="K717" s="70"/>
      <c r="L717" s="69" t="str">
        <f aca="false">IF($K717="","",N($K717)*N($I717))</f>
        <v/>
      </c>
      <c r="M717" s="71" t="str">
        <f aca="false">IFERROR(INDEX(商品マスタ!$G$6:$G$1005,MATCH($F717,商品マスタ!$B$6:$B$1005,0)),"")</f>
        <v/>
      </c>
      <c r="N717" s="71" t="str">
        <f aca="false">IF($K717="","",N($K717)*N($M717))</f>
        <v/>
      </c>
      <c r="O717" s="66" t="str">
        <f aca="false">IFERROR(INDEX(商品マスタ!$H$6:$H$1005,MATCH($F717,商品マスタ!$B$6:$B$1005,0)),"")</f>
        <v/>
      </c>
      <c r="P717" s="87" t="str">
        <f aca="false">IF(OR($E717="",$O717=""),"",WORKDAY($E717,$O717))</f>
        <v/>
      </c>
      <c r="Q717" s="80"/>
      <c r="R717" s="131"/>
      <c r="S717" s="69" t="n">
        <f aca="false">IF($Q717="入荷済み",N($L717),0)</f>
        <v>0</v>
      </c>
      <c r="T717" s="80"/>
      <c r="U717" s="80"/>
    </row>
    <row r="718" customFormat="false" ht="15" hidden="false" customHeight="false" outlineLevel="0" collapsed="false">
      <c r="B718" s="66" t="str">
        <f aca="false">IF(OR($E718="",$F718=""),"","PO-"&amp;TEXT($E718,"yyyymmdd")&amp;"-"&amp;TEXT(COUNTIFS($E$6:$E718,$E718,$C$6:$C718,$C718),"000"))</f>
        <v/>
      </c>
      <c r="C718" s="130"/>
      <c r="D718" s="66" t="str">
        <f aca="false">IFERROR(INDEX(定数マスタ!$C$6:$C$105,MATCH($C718,定数マスタ!$B$6:$B$105,0)),"")</f>
        <v/>
      </c>
      <c r="E718" s="131"/>
      <c r="F718" s="130"/>
      <c r="G718" s="66" t="str">
        <f aca="false">IFERROR(INDEX(商品マスタ!$C$6:$C$1005,MATCH($F718,商品マスタ!$B$6:$B$1005,0)),"")</f>
        <v/>
      </c>
      <c r="H718" s="66" t="str">
        <f aca="false">IFERROR(INDEX(商品マスタ!$E$6:$E$1005,MATCH($F718,商品マスタ!$B$6:$B$1005,0)),"")</f>
        <v/>
      </c>
      <c r="I718" s="69" t="str">
        <f aca="false">IFERROR(INDEX(商品マスタ!$F$6:$F$1005,MATCH($F718,商品マスタ!$B$6:$B$1005,0)),"")</f>
        <v/>
      </c>
      <c r="J718" s="69" t="str">
        <f aca="false">IF(OR($F718="",$C718&lt;&gt;'設定（最初に1回）'!$C$4),"",IFERROR(INDEX(発注計算!$Y$6:$Y$405,MATCH($F718,発注計算!$C$6:$C$405,0)),""))</f>
        <v/>
      </c>
      <c r="K718" s="70"/>
      <c r="L718" s="69" t="str">
        <f aca="false">IF($K718="","",N($K718)*N($I718))</f>
        <v/>
      </c>
      <c r="M718" s="71" t="str">
        <f aca="false">IFERROR(INDEX(商品マスタ!$G$6:$G$1005,MATCH($F718,商品マスタ!$B$6:$B$1005,0)),"")</f>
        <v/>
      </c>
      <c r="N718" s="71" t="str">
        <f aca="false">IF($K718="","",N($K718)*N($M718))</f>
        <v/>
      </c>
      <c r="O718" s="66" t="str">
        <f aca="false">IFERROR(INDEX(商品マスタ!$H$6:$H$1005,MATCH($F718,商品マスタ!$B$6:$B$1005,0)),"")</f>
        <v/>
      </c>
      <c r="P718" s="87" t="str">
        <f aca="false">IF(OR($E718="",$O718=""),"",WORKDAY($E718,$O718))</f>
        <v/>
      </c>
      <c r="Q718" s="80"/>
      <c r="R718" s="131"/>
      <c r="S718" s="69" t="n">
        <f aca="false">IF($Q718="入荷済み",N($L718),0)</f>
        <v>0</v>
      </c>
      <c r="T718" s="80"/>
      <c r="U718" s="80"/>
    </row>
    <row r="719" customFormat="false" ht="15" hidden="false" customHeight="false" outlineLevel="0" collapsed="false">
      <c r="B719" s="66" t="str">
        <f aca="false">IF(OR($E719="",$F719=""),"","PO-"&amp;TEXT($E719,"yyyymmdd")&amp;"-"&amp;TEXT(COUNTIFS($E$6:$E719,$E719,$C$6:$C719,$C719),"000"))</f>
        <v/>
      </c>
      <c r="C719" s="130"/>
      <c r="D719" s="66" t="str">
        <f aca="false">IFERROR(INDEX(定数マスタ!$C$6:$C$105,MATCH($C719,定数マスタ!$B$6:$B$105,0)),"")</f>
        <v/>
      </c>
      <c r="E719" s="131"/>
      <c r="F719" s="130"/>
      <c r="G719" s="66" t="str">
        <f aca="false">IFERROR(INDEX(商品マスタ!$C$6:$C$1005,MATCH($F719,商品マスタ!$B$6:$B$1005,0)),"")</f>
        <v/>
      </c>
      <c r="H719" s="66" t="str">
        <f aca="false">IFERROR(INDEX(商品マスタ!$E$6:$E$1005,MATCH($F719,商品マスタ!$B$6:$B$1005,0)),"")</f>
        <v/>
      </c>
      <c r="I719" s="69" t="str">
        <f aca="false">IFERROR(INDEX(商品マスタ!$F$6:$F$1005,MATCH($F719,商品マスタ!$B$6:$B$1005,0)),"")</f>
        <v/>
      </c>
      <c r="J719" s="69" t="str">
        <f aca="false">IF(OR($F719="",$C719&lt;&gt;'設定（最初に1回）'!$C$4),"",IFERROR(INDEX(発注計算!$Y$6:$Y$405,MATCH($F719,発注計算!$C$6:$C$405,0)),""))</f>
        <v/>
      </c>
      <c r="K719" s="70"/>
      <c r="L719" s="69" t="str">
        <f aca="false">IF($K719="","",N($K719)*N($I719))</f>
        <v/>
      </c>
      <c r="M719" s="71" t="str">
        <f aca="false">IFERROR(INDEX(商品マスタ!$G$6:$G$1005,MATCH($F719,商品マスタ!$B$6:$B$1005,0)),"")</f>
        <v/>
      </c>
      <c r="N719" s="71" t="str">
        <f aca="false">IF($K719="","",N($K719)*N($M719))</f>
        <v/>
      </c>
      <c r="O719" s="66" t="str">
        <f aca="false">IFERROR(INDEX(商品マスタ!$H$6:$H$1005,MATCH($F719,商品マスタ!$B$6:$B$1005,0)),"")</f>
        <v/>
      </c>
      <c r="P719" s="87" t="str">
        <f aca="false">IF(OR($E719="",$O719=""),"",WORKDAY($E719,$O719))</f>
        <v/>
      </c>
      <c r="Q719" s="80"/>
      <c r="R719" s="131"/>
      <c r="S719" s="69" t="n">
        <f aca="false">IF($Q719="入荷済み",N($L719),0)</f>
        <v>0</v>
      </c>
      <c r="T719" s="80"/>
      <c r="U719" s="80"/>
    </row>
    <row r="720" customFormat="false" ht="15" hidden="false" customHeight="false" outlineLevel="0" collapsed="false">
      <c r="B720" s="66" t="str">
        <f aca="false">IF(OR($E720="",$F720=""),"","PO-"&amp;TEXT($E720,"yyyymmdd")&amp;"-"&amp;TEXT(COUNTIFS($E$6:$E720,$E720,$C$6:$C720,$C720),"000"))</f>
        <v/>
      </c>
      <c r="C720" s="130"/>
      <c r="D720" s="66" t="str">
        <f aca="false">IFERROR(INDEX(定数マスタ!$C$6:$C$105,MATCH($C720,定数マスタ!$B$6:$B$105,0)),"")</f>
        <v/>
      </c>
      <c r="E720" s="131"/>
      <c r="F720" s="130"/>
      <c r="G720" s="66" t="str">
        <f aca="false">IFERROR(INDEX(商品マスタ!$C$6:$C$1005,MATCH($F720,商品マスタ!$B$6:$B$1005,0)),"")</f>
        <v/>
      </c>
      <c r="H720" s="66" t="str">
        <f aca="false">IFERROR(INDEX(商品マスタ!$E$6:$E$1005,MATCH($F720,商品マスタ!$B$6:$B$1005,0)),"")</f>
        <v/>
      </c>
      <c r="I720" s="69" t="str">
        <f aca="false">IFERROR(INDEX(商品マスタ!$F$6:$F$1005,MATCH($F720,商品マスタ!$B$6:$B$1005,0)),"")</f>
        <v/>
      </c>
      <c r="J720" s="69" t="str">
        <f aca="false">IF(OR($F720="",$C720&lt;&gt;'設定（最初に1回）'!$C$4),"",IFERROR(INDEX(発注計算!$Y$6:$Y$405,MATCH($F720,発注計算!$C$6:$C$405,0)),""))</f>
        <v/>
      </c>
      <c r="K720" s="70"/>
      <c r="L720" s="69" t="str">
        <f aca="false">IF($K720="","",N($K720)*N($I720))</f>
        <v/>
      </c>
      <c r="M720" s="71" t="str">
        <f aca="false">IFERROR(INDEX(商品マスタ!$G$6:$G$1005,MATCH($F720,商品マスタ!$B$6:$B$1005,0)),"")</f>
        <v/>
      </c>
      <c r="N720" s="71" t="str">
        <f aca="false">IF($K720="","",N($K720)*N($M720))</f>
        <v/>
      </c>
      <c r="O720" s="66" t="str">
        <f aca="false">IFERROR(INDEX(商品マスタ!$H$6:$H$1005,MATCH($F720,商品マスタ!$B$6:$B$1005,0)),"")</f>
        <v/>
      </c>
      <c r="P720" s="87" t="str">
        <f aca="false">IF(OR($E720="",$O720=""),"",WORKDAY($E720,$O720))</f>
        <v/>
      </c>
      <c r="Q720" s="80"/>
      <c r="R720" s="131"/>
      <c r="S720" s="69" t="n">
        <f aca="false">IF($Q720="入荷済み",N($L720),0)</f>
        <v>0</v>
      </c>
      <c r="T720" s="80"/>
      <c r="U720" s="80"/>
    </row>
    <row r="721" customFormat="false" ht="15" hidden="false" customHeight="false" outlineLevel="0" collapsed="false">
      <c r="B721" s="66" t="str">
        <f aca="false">IF(OR($E721="",$F721=""),"","PO-"&amp;TEXT($E721,"yyyymmdd")&amp;"-"&amp;TEXT(COUNTIFS($E$6:$E721,$E721,$C$6:$C721,$C721),"000"))</f>
        <v/>
      </c>
      <c r="C721" s="130"/>
      <c r="D721" s="66" t="str">
        <f aca="false">IFERROR(INDEX(定数マスタ!$C$6:$C$105,MATCH($C721,定数マスタ!$B$6:$B$105,0)),"")</f>
        <v/>
      </c>
      <c r="E721" s="131"/>
      <c r="F721" s="130"/>
      <c r="G721" s="66" t="str">
        <f aca="false">IFERROR(INDEX(商品マスタ!$C$6:$C$1005,MATCH($F721,商品マスタ!$B$6:$B$1005,0)),"")</f>
        <v/>
      </c>
      <c r="H721" s="66" t="str">
        <f aca="false">IFERROR(INDEX(商品マスタ!$E$6:$E$1005,MATCH($F721,商品マスタ!$B$6:$B$1005,0)),"")</f>
        <v/>
      </c>
      <c r="I721" s="69" t="str">
        <f aca="false">IFERROR(INDEX(商品マスタ!$F$6:$F$1005,MATCH($F721,商品マスタ!$B$6:$B$1005,0)),"")</f>
        <v/>
      </c>
      <c r="J721" s="69" t="str">
        <f aca="false">IF(OR($F721="",$C721&lt;&gt;'設定（最初に1回）'!$C$4),"",IFERROR(INDEX(発注計算!$Y$6:$Y$405,MATCH($F721,発注計算!$C$6:$C$405,0)),""))</f>
        <v/>
      </c>
      <c r="K721" s="70"/>
      <c r="L721" s="69" t="str">
        <f aca="false">IF($K721="","",N($K721)*N($I721))</f>
        <v/>
      </c>
      <c r="M721" s="71" t="str">
        <f aca="false">IFERROR(INDEX(商品マスタ!$G$6:$G$1005,MATCH($F721,商品マスタ!$B$6:$B$1005,0)),"")</f>
        <v/>
      </c>
      <c r="N721" s="71" t="str">
        <f aca="false">IF($K721="","",N($K721)*N($M721))</f>
        <v/>
      </c>
      <c r="O721" s="66" t="str">
        <f aca="false">IFERROR(INDEX(商品マスタ!$H$6:$H$1005,MATCH($F721,商品マスタ!$B$6:$B$1005,0)),"")</f>
        <v/>
      </c>
      <c r="P721" s="87" t="str">
        <f aca="false">IF(OR($E721="",$O721=""),"",WORKDAY($E721,$O721))</f>
        <v/>
      </c>
      <c r="Q721" s="80"/>
      <c r="R721" s="131"/>
      <c r="S721" s="69" t="n">
        <f aca="false">IF($Q721="入荷済み",N($L721),0)</f>
        <v>0</v>
      </c>
      <c r="T721" s="80"/>
      <c r="U721" s="80"/>
    </row>
    <row r="722" customFormat="false" ht="15" hidden="false" customHeight="false" outlineLevel="0" collapsed="false">
      <c r="B722" s="66" t="str">
        <f aca="false">IF(OR($E722="",$F722=""),"","PO-"&amp;TEXT($E722,"yyyymmdd")&amp;"-"&amp;TEXT(COUNTIFS($E$6:$E722,$E722,$C$6:$C722,$C722),"000"))</f>
        <v/>
      </c>
      <c r="C722" s="130"/>
      <c r="D722" s="66" t="str">
        <f aca="false">IFERROR(INDEX(定数マスタ!$C$6:$C$105,MATCH($C722,定数マスタ!$B$6:$B$105,0)),"")</f>
        <v/>
      </c>
      <c r="E722" s="131"/>
      <c r="F722" s="130"/>
      <c r="G722" s="66" t="str">
        <f aca="false">IFERROR(INDEX(商品マスタ!$C$6:$C$1005,MATCH($F722,商品マスタ!$B$6:$B$1005,0)),"")</f>
        <v/>
      </c>
      <c r="H722" s="66" t="str">
        <f aca="false">IFERROR(INDEX(商品マスタ!$E$6:$E$1005,MATCH($F722,商品マスタ!$B$6:$B$1005,0)),"")</f>
        <v/>
      </c>
      <c r="I722" s="69" t="str">
        <f aca="false">IFERROR(INDEX(商品マスタ!$F$6:$F$1005,MATCH($F722,商品マスタ!$B$6:$B$1005,0)),"")</f>
        <v/>
      </c>
      <c r="J722" s="69" t="str">
        <f aca="false">IF(OR($F722="",$C722&lt;&gt;'設定（最初に1回）'!$C$4),"",IFERROR(INDEX(発注計算!$Y$6:$Y$405,MATCH($F722,発注計算!$C$6:$C$405,0)),""))</f>
        <v/>
      </c>
      <c r="K722" s="70"/>
      <c r="L722" s="69" t="str">
        <f aca="false">IF($K722="","",N($K722)*N($I722))</f>
        <v/>
      </c>
      <c r="M722" s="71" t="str">
        <f aca="false">IFERROR(INDEX(商品マスタ!$G$6:$G$1005,MATCH($F722,商品マスタ!$B$6:$B$1005,0)),"")</f>
        <v/>
      </c>
      <c r="N722" s="71" t="str">
        <f aca="false">IF($K722="","",N($K722)*N($M722))</f>
        <v/>
      </c>
      <c r="O722" s="66" t="str">
        <f aca="false">IFERROR(INDEX(商品マスタ!$H$6:$H$1005,MATCH($F722,商品マスタ!$B$6:$B$1005,0)),"")</f>
        <v/>
      </c>
      <c r="P722" s="87" t="str">
        <f aca="false">IF(OR($E722="",$O722=""),"",WORKDAY($E722,$O722))</f>
        <v/>
      </c>
      <c r="Q722" s="80"/>
      <c r="R722" s="131"/>
      <c r="S722" s="69" t="n">
        <f aca="false">IF($Q722="入荷済み",N($L722),0)</f>
        <v>0</v>
      </c>
      <c r="T722" s="80"/>
      <c r="U722" s="80"/>
    </row>
    <row r="723" customFormat="false" ht="15" hidden="false" customHeight="false" outlineLevel="0" collapsed="false">
      <c r="B723" s="66" t="str">
        <f aca="false">IF(OR($E723="",$F723=""),"","PO-"&amp;TEXT($E723,"yyyymmdd")&amp;"-"&amp;TEXT(COUNTIFS($E$6:$E723,$E723,$C$6:$C723,$C723),"000"))</f>
        <v/>
      </c>
      <c r="C723" s="130"/>
      <c r="D723" s="66" t="str">
        <f aca="false">IFERROR(INDEX(定数マスタ!$C$6:$C$105,MATCH($C723,定数マスタ!$B$6:$B$105,0)),"")</f>
        <v/>
      </c>
      <c r="E723" s="131"/>
      <c r="F723" s="130"/>
      <c r="G723" s="66" t="str">
        <f aca="false">IFERROR(INDEX(商品マスタ!$C$6:$C$1005,MATCH($F723,商品マスタ!$B$6:$B$1005,0)),"")</f>
        <v/>
      </c>
      <c r="H723" s="66" t="str">
        <f aca="false">IFERROR(INDEX(商品マスタ!$E$6:$E$1005,MATCH($F723,商品マスタ!$B$6:$B$1005,0)),"")</f>
        <v/>
      </c>
      <c r="I723" s="69" t="str">
        <f aca="false">IFERROR(INDEX(商品マスタ!$F$6:$F$1005,MATCH($F723,商品マスタ!$B$6:$B$1005,0)),"")</f>
        <v/>
      </c>
      <c r="J723" s="69" t="str">
        <f aca="false">IF(OR($F723="",$C723&lt;&gt;'設定（最初に1回）'!$C$4),"",IFERROR(INDEX(発注計算!$Y$6:$Y$405,MATCH($F723,発注計算!$C$6:$C$405,0)),""))</f>
        <v/>
      </c>
      <c r="K723" s="70"/>
      <c r="L723" s="69" t="str">
        <f aca="false">IF($K723="","",N($K723)*N($I723))</f>
        <v/>
      </c>
      <c r="M723" s="71" t="str">
        <f aca="false">IFERROR(INDEX(商品マスタ!$G$6:$G$1005,MATCH($F723,商品マスタ!$B$6:$B$1005,0)),"")</f>
        <v/>
      </c>
      <c r="N723" s="71" t="str">
        <f aca="false">IF($K723="","",N($K723)*N($M723))</f>
        <v/>
      </c>
      <c r="O723" s="66" t="str">
        <f aca="false">IFERROR(INDEX(商品マスタ!$H$6:$H$1005,MATCH($F723,商品マスタ!$B$6:$B$1005,0)),"")</f>
        <v/>
      </c>
      <c r="P723" s="87" t="str">
        <f aca="false">IF(OR($E723="",$O723=""),"",WORKDAY($E723,$O723))</f>
        <v/>
      </c>
      <c r="Q723" s="80"/>
      <c r="R723" s="131"/>
      <c r="S723" s="69" t="n">
        <f aca="false">IF($Q723="入荷済み",N($L723),0)</f>
        <v>0</v>
      </c>
      <c r="T723" s="80"/>
      <c r="U723" s="80"/>
    </row>
    <row r="724" customFormat="false" ht="15" hidden="false" customHeight="false" outlineLevel="0" collapsed="false">
      <c r="B724" s="66" t="str">
        <f aca="false">IF(OR($E724="",$F724=""),"","PO-"&amp;TEXT($E724,"yyyymmdd")&amp;"-"&amp;TEXT(COUNTIFS($E$6:$E724,$E724,$C$6:$C724,$C724),"000"))</f>
        <v/>
      </c>
      <c r="C724" s="130"/>
      <c r="D724" s="66" t="str">
        <f aca="false">IFERROR(INDEX(定数マスタ!$C$6:$C$105,MATCH($C724,定数マスタ!$B$6:$B$105,0)),"")</f>
        <v/>
      </c>
      <c r="E724" s="131"/>
      <c r="F724" s="130"/>
      <c r="G724" s="66" t="str">
        <f aca="false">IFERROR(INDEX(商品マスタ!$C$6:$C$1005,MATCH($F724,商品マスタ!$B$6:$B$1005,0)),"")</f>
        <v/>
      </c>
      <c r="H724" s="66" t="str">
        <f aca="false">IFERROR(INDEX(商品マスタ!$E$6:$E$1005,MATCH($F724,商品マスタ!$B$6:$B$1005,0)),"")</f>
        <v/>
      </c>
      <c r="I724" s="69" t="str">
        <f aca="false">IFERROR(INDEX(商品マスタ!$F$6:$F$1005,MATCH($F724,商品マスタ!$B$6:$B$1005,0)),"")</f>
        <v/>
      </c>
      <c r="J724" s="69" t="str">
        <f aca="false">IF(OR($F724="",$C724&lt;&gt;'設定（最初に1回）'!$C$4),"",IFERROR(INDEX(発注計算!$Y$6:$Y$405,MATCH($F724,発注計算!$C$6:$C$405,0)),""))</f>
        <v/>
      </c>
      <c r="K724" s="70"/>
      <c r="L724" s="69" t="str">
        <f aca="false">IF($K724="","",N($K724)*N($I724))</f>
        <v/>
      </c>
      <c r="M724" s="71" t="str">
        <f aca="false">IFERROR(INDEX(商品マスタ!$G$6:$G$1005,MATCH($F724,商品マスタ!$B$6:$B$1005,0)),"")</f>
        <v/>
      </c>
      <c r="N724" s="71" t="str">
        <f aca="false">IF($K724="","",N($K724)*N($M724))</f>
        <v/>
      </c>
      <c r="O724" s="66" t="str">
        <f aca="false">IFERROR(INDEX(商品マスタ!$H$6:$H$1005,MATCH($F724,商品マスタ!$B$6:$B$1005,0)),"")</f>
        <v/>
      </c>
      <c r="P724" s="87" t="str">
        <f aca="false">IF(OR($E724="",$O724=""),"",WORKDAY($E724,$O724))</f>
        <v/>
      </c>
      <c r="Q724" s="80"/>
      <c r="R724" s="131"/>
      <c r="S724" s="69" t="n">
        <f aca="false">IF($Q724="入荷済み",N($L724),0)</f>
        <v>0</v>
      </c>
      <c r="T724" s="80"/>
      <c r="U724" s="80"/>
    </row>
    <row r="725" customFormat="false" ht="15" hidden="false" customHeight="false" outlineLevel="0" collapsed="false">
      <c r="B725" s="66" t="str">
        <f aca="false">IF(OR($E725="",$F725=""),"","PO-"&amp;TEXT($E725,"yyyymmdd")&amp;"-"&amp;TEXT(COUNTIFS($E$6:$E725,$E725,$C$6:$C725,$C725),"000"))</f>
        <v/>
      </c>
      <c r="C725" s="130"/>
      <c r="D725" s="66" t="str">
        <f aca="false">IFERROR(INDEX(定数マスタ!$C$6:$C$105,MATCH($C725,定数マスタ!$B$6:$B$105,0)),"")</f>
        <v/>
      </c>
      <c r="E725" s="131"/>
      <c r="F725" s="130"/>
      <c r="G725" s="66" t="str">
        <f aca="false">IFERROR(INDEX(商品マスタ!$C$6:$C$1005,MATCH($F725,商品マスタ!$B$6:$B$1005,0)),"")</f>
        <v/>
      </c>
      <c r="H725" s="66" t="str">
        <f aca="false">IFERROR(INDEX(商品マスタ!$E$6:$E$1005,MATCH($F725,商品マスタ!$B$6:$B$1005,0)),"")</f>
        <v/>
      </c>
      <c r="I725" s="69" t="str">
        <f aca="false">IFERROR(INDEX(商品マスタ!$F$6:$F$1005,MATCH($F725,商品マスタ!$B$6:$B$1005,0)),"")</f>
        <v/>
      </c>
      <c r="J725" s="69" t="str">
        <f aca="false">IF(OR($F725="",$C725&lt;&gt;'設定（最初に1回）'!$C$4),"",IFERROR(INDEX(発注計算!$Y$6:$Y$405,MATCH($F725,発注計算!$C$6:$C$405,0)),""))</f>
        <v/>
      </c>
      <c r="K725" s="70"/>
      <c r="L725" s="69" t="str">
        <f aca="false">IF($K725="","",N($K725)*N($I725))</f>
        <v/>
      </c>
      <c r="M725" s="71" t="str">
        <f aca="false">IFERROR(INDEX(商品マスタ!$G$6:$G$1005,MATCH($F725,商品マスタ!$B$6:$B$1005,0)),"")</f>
        <v/>
      </c>
      <c r="N725" s="71" t="str">
        <f aca="false">IF($K725="","",N($K725)*N($M725))</f>
        <v/>
      </c>
      <c r="O725" s="66" t="str">
        <f aca="false">IFERROR(INDEX(商品マスタ!$H$6:$H$1005,MATCH($F725,商品マスタ!$B$6:$B$1005,0)),"")</f>
        <v/>
      </c>
      <c r="P725" s="87" t="str">
        <f aca="false">IF(OR($E725="",$O725=""),"",WORKDAY($E725,$O725))</f>
        <v/>
      </c>
      <c r="Q725" s="80"/>
      <c r="R725" s="131"/>
      <c r="S725" s="69" t="n">
        <f aca="false">IF($Q725="入荷済み",N($L725),0)</f>
        <v>0</v>
      </c>
      <c r="T725" s="80"/>
      <c r="U725" s="80"/>
    </row>
    <row r="726" customFormat="false" ht="15" hidden="false" customHeight="false" outlineLevel="0" collapsed="false">
      <c r="B726" s="66" t="str">
        <f aca="false">IF(OR($E726="",$F726=""),"","PO-"&amp;TEXT($E726,"yyyymmdd")&amp;"-"&amp;TEXT(COUNTIFS($E$6:$E726,$E726,$C$6:$C726,$C726),"000"))</f>
        <v/>
      </c>
      <c r="C726" s="130"/>
      <c r="D726" s="66" t="str">
        <f aca="false">IFERROR(INDEX(定数マスタ!$C$6:$C$105,MATCH($C726,定数マスタ!$B$6:$B$105,0)),"")</f>
        <v/>
      </c>
      <c r="E726" s="131"/>
      <c r="F726" s="130"/>
      <c r="G726" s="66" t="str">
        <f aca="false">IFERROR(INDEX(商品マスタ!$C$6:$C$1005,MATCH($F726,商品マスタ!$B$6:$B$1005,0)),"")</f>
        <v/>
      </c>
      <c r="H726" s="66" t="str">
        <f aca="false">IFERROR(INDEX(商品マスタ!$E$6:$E$1005,MATCH($F726,商品マスタ!$B$6:$B$1005,0)),"")</f>
        <v/>
      </c>
      <c r="I726" s="69" t="str">
        <f aca="false">IFERROR(INDEX(商品マスタ!$F$6:$F$1005,MATCH($F726,商品マスタ!$B$6:$B$1005,0)),"")</f>
        <v/>
      </c>
      <c r="J726" s="69" t="str">
        <f aca="false">IF(OR($F726="",$C726&lt;&gt;'設定（最初に1回）'!$C$4),"",IFERROR(INDEX(発注計算!$Y$6:$Y$405,MATCH($F726,発注計算!$C$6:$C$405,0)),""))</f>
        <v/>
      </c>
      <c r="K726" s="70"/>
      <c r="L726" s="69" t="str">
        <f aca="false">IF($K726="","",N($K726)*N($I726))</f>
        <v/>
      </c>
      <c r="M726" s="71" t="str">
        <f aca="false">IFERROR(INDEX(商品マスタ!$G$6:$G$1005,MATCH($F726,商品マスタ!$B$6:$B$1005,0)),"")</f>
        <v/>
      </c>
      <c r="N726" s="71" t="str">
        <f aca="false">IF($K726="","",N($K726)*N($M726))</f>
        <v/>
      </c>
      <c r="O726" s="66" t="str">
        <f aca="false">IFERROR(INDEX(商品マスタ!$H$6:$H$1005,MATCH($F726,商品マスタ!$B$6:$B$1005,0)),"")</f>
        <v/>
      </c>
      <c r="P726" s="87" t="str">
        <f aca="false">IF(OR($E726="",$O726=""),"",WORKDAY($E726,$O726))</f>
        <v/>
      </c>
      <c r="Q726" s="80"/>
      <c r="R726" s="131"/>
      <c r="S726" s="69" t="n">
        <f aca="false">IF($Q726="入荷済み",N($L726),0)</f>
        <v>0</v>
      </c>
      <c r="T726" s="80"/>
      <c r="U726" s="80"/>
    </row>
    <row r="727" customFormat="false" ht="15" hidden="false" customHeight="false" outlineLevel="0" collapsed="false">
      <c r="B727" s="66" t="str">
        <f aca="false">IF(OR($E727="",$F727=""),"","PO-"&amp;TEXT($E727,"yyyymmdd")&amp;"-"&amp;TEXT(COUNTIFS($E$6:$E727,$E727,$C$6:$C727,$C727),"000"))</f>
        <v/>
      </c>
      <c r="C727" s="130"/>
      <c r="D727" s="66" t="str">
        <f aca="false">IFERROR(INDEX(定数マスタ!$C$6:$C$105,MATCH($C727,定数マスタ!$B$6:$B$105,0)),"")</f>
        <v/>
      </c>
      <c r="E727" s="131"/>
      <c r="F727" s="130"/>
      <c r="G727" s="66" t="str">
        <f aca="false">IFERROR(INDEX(商品マスタ!$C$6:$C$1005,MATCH($F727,商品マスタ!$B$6:$B$1005,0)),"")</f>
        <v/>
      </c>
      <c r="H727" s="66" t="str">
        <f aca="false">IFERROR(INDEX(商品マスタ!$E$6:$E$1005,MATCH($F727,商品マスタ!$B$6:$B$1005,0)),"")</f>
        <v/>
      </c>
      <c r="I727" s="69" t="str">
        <f aca="false">IFERROR(INDEX(商品マスタ!$F$6:$F$1005,MATCH($F727,商品マスタ!$B$6:$B$1005,0)),"")</f>
        <v/>
      </c>
      <c r="J727" s="69" t="str">
        <f aca="false">IF(OR($F727="",$C727&lt;&gt;'設定（最初に1回）'!$C$4),"",IFERROR(INDEX(発注計算!$Y$6:$Y$405,MATCH($F727,発注計算!$C$6:$C$405,0)),""))</f>
        <v/>
      </c>
      <c r="K727" s="70"/>
      <c r="L727" s="69" t="str">
        <f aca="false">IF($K727="","",N($K727)*N($I727))</f>
        <v/>
      </c>
      <c r="M727" s="71" t="str">
        <f aca="false">IFERROR(INDEX(商品マスタ!$G$6:$G$1005,MATCH($F727,商品マスタ!$B$6:$B$1005,0)),"")</f>
        <v/>
      </c>
      <c r="N727" s="71" t="str">
        <f aca="false">IF($K727="","",N($K727)*N($M727))</f>
        <v/>
      </c>
      <c r="O727" s="66" t="str">
        <f aca="false">IFERROR(INDEX(商品マスタ!$H$6:$H$1005,MATCH($F727,商品マスタ!$B$6:$B$1005,0)),"")</f>
        <v/>
      </c>
      <c r="P727" s="87" t="str">
        <f aca="false">IF(OR($E727="",$O727=""),"",WORKDAY($E727,$O727))</f>
        <v/>
      </c>
      <c r="Q727" s="80"/>
      <c r="R727" s="131"/>
      <c r="S727" s="69" t="n">
        <f aca="false">IF($Q727="入荷済み",N($L727),0)</f>
        <v>0</v>
      </c>
      <c r="T727" s="80"/>
      <c r="U727" s="80"/>
    </row>
    <row r="728" customFormat="false" ht="15" hidden="false" customHeight="false" outlineLevel="0" collapsed="false">
      <c r="B728" s="66" t="str">
        <f aca="false">IF(OR($E728="",$F728=""),"","PO-"&amp;TEXT($E728,"yyyymmdd")&amp;"-"&amp;TEXT(COUNTIFS($E$6:$E728,$E728,$C$6:$C728,$C728),"000"))</f>
        <v/>
      </c>
      <c r="C728" s="130"/>
      <c r="D728" s="66" t="str">
        <f aca="false">IFERROR(INDEX(定数マスタ!$C$6:$C$105,MATCH($C728,定数マスタ!$B$6:$B$105,0)),"")</f>
        <v/>
      </c>
      <c r="E728" s="131"/>
      <c r="F728" s="130"/>
      <c r="G728" s="66" t="str">
        <f aca="false">IFERROR(INDEX(商品マスタ!$C$6:$C$1005,MATCH($F728,商品マスタ!$B$6:$B$1005,0)),"")</f>
        <v/>
      </c>
      <c r="H728" s="66" t="str">
        <f aca="false">IFERROR(INDEX(商品マスタ!$E$6:$E$1005,MATCH($F728,商品マスタ!$B$6:$B$1005,0)),"")</f>
        <v/>
      </c>
      <c r="I728" s="69" t="str">
        <f aca="false">IFERROR(INDEX(商品マスタ!$F$6:$F$1005,MATCH($F728,商品マスタ!$B$6:$B$1005,0)),"")</f>
        <v/>
      </c>
      <c r="J728" s="69" t="str">
        <f aca="false">IF(OR($F728="",$C728&lt;&gt;'設定（最初に1回）'!$C$4),"",IFERROR(INDEX(発注計算!$Y$6:$Y$405,MATCH($F728,発注計算!$C$6:$C$405,0)),""))</f>
        <v/>
      </c>
      <c r="K728" s="70"/>
      <c r="L728" s="69" t="str">
        <f aca="false">IF($K728="","",N($K728)*N($I728))</f>
        <v/>
      </c>
      <c r="M728" s="71" t="str">
        <f aca="false">IFERROR(INDEX(商品マスタ!$G$6:$G$1005,MATCH($F728,商品マスタ!$B$6:$B$1005,0)),"")</f>
        <v/>
      </c>
      <c r="N728" s="71" t="str">
        <f aca="false">IF($K728="","",N($K728)*N($M728))</f>
        <v/>
      </c>
      <c r="O728" s="66" t="str">
        <f aca="false">IFERROR(INDEX(商品マスタ!$H$6:$H$1005,MATCH($F728,商品マスタ!$B$6:$B$1005,0)),"")</f>
        <v/>
      </c>
      <c r="P728" s="87" t="str">
        <f aca="false">IF(OR($E728="",$O728=""),"",WORKDAY($E728,$O728))</f>
        <v/>
      </c>
      <c r="Q728" s="80"/>
      <c r="R728" s="131"/>
      <c r="S728" s="69" t="n">
        <f aca="false">IF($Q728="入荷済み",N($L728),0)</f>
        <v>0</v>
      </c>
      <c r="T728" s="80"/>
      <c r="U728" s="80"/>
    </row>
    <row r="729" customFormat="false" ht="15" hidden="false" customHeight="false" outlineLevel="0" collapsed="false">
      <c r="B729" s="66" t="str">
        <f aca="false">IF(OR($E729="",$F729=""),"","PO-"&amp;TEXT($E729,"yyyymmdd")&amp;"-"&amp;TEXT(COUNTIFS($E$6:$E729,$E729,$C$6:$C729,$C729),"000"))</f>
        <v/>
      </c>
      <c r="C729" s="130"/>
      <c r="D729" s="66" t="str">
        <f aca="false">IFERROR(INDEX(定数マスタ!$C$6:$C$105,MATCH($C729,定数マスタ!$B$6:$B$105,0)),"")</f>
        <v/>
      </c>
      <c r="E729" s="131"/>
      <c r="F729" s="130"/>
      <c r="G729" s="66" t="str">
        <f aca="false">IFERROR(INDEX(商品マスタ!$C$6:$C$1005,MATCH($F729,商品マスタ!$B$6:$B$1005,0)),"")</f>
        <v/>
      </c>
      <c r="H729" s="66" t="str">
        <f aca="false">IFERROR(INDEX(商品マスタ!$E$6:$E$1005,MATCH($F729,商品マスタ!$B$6:$B$1005,0)),"")</f>
        <v/>
      </c>
      <c r="I729" s="69" t="str">
        <f aca="false">IFERROR(INDEX(商品マスタ!$F$6:$F$1005,MATCH($F729,商品マスタ!$B$6:$B$1005,0)),"")</f>
        <v/>
      </c>
      <c r="J729" s="69" t="str">
        <f aca="false">IF(OR($F729="",$C729&lt;&gt;'設定（最初に1回）'!$C$4),"",IFERROR(INDEX(発注計算!$Y$6:$Y$405,MATCH($F729,発注計算!$C$6:$C$405,0)),""))</f>
        <v/>
      </c>
      <c r="K729" s="70"/>
      <c r="L729" s="69" t="str">
        <f aca="false">IF($K729="","",N($K729)*N($I729))</f>
        <v/>
      </c>
      <c r="M729" s="71" t="str">
        <f aca="false">IFERROR(INDEX(商品マスタ!$G$6:$G$1005,MATCH($F729,商品マスタ!$B$6:$B$1005,0)),"")</f>
        <v/>
      </c>
      <c r="N729" s="71" t="str">
        <f aca="false">IF($K729="","",N($K729)*N($M729))</f>
        <v/>
      </c>
      <c r="O729" s="66" t="str">
        <f aca="false">IFERROR(INDEX(商品マスタ!$H$6:$H$1005,MATCH($F729,商品マスタ!$B$6:$B$1005,0)),"")</f>
        <v/>
      </c>
      <c r="P729" s="87" t="str">
        <f aca="false">IF(OR($E729="",$O729=""),"",WORKDAY($E729,$O729))</f>
        <v/>
      </c>
      <c r="Q729" s="80"/>
      <c r="R729" s="131"/>
      <c r="S729" s="69" t="n">
        <f aca="false">IF($Q729="入荷済み",N($L729),0)</f>
        <v>0</v>
      </c>
      <c r="T729" s="80"/>
      <c r="U729" s="80"/>
    </row>
    <row r="730" customFormat="false" ht="15" hidden="false" customHeight="false" outlineLevel="0" collapsed="false">
      <c r="B730" s="66" t="str">
        <f aca="false">IF(OR($E730="",$F730=""),"","PO-"&amp;TEXT($E730,"yyyymmdd")&amp;"-"&amp;TEXT(COUNTIFS($E$6:$E730,$E730,$C$6:$C730,$C730),"000"))</f>
        <v/>
      </c>
      <c r="C730" s="130"/>
      <c r="D730" s="66" t="str">
        <f aca="false">IFERROR(INDEX(定数マスタ!$C$6:$C$105,MATCH($C730,定数マスタ!$B$6:$B$105,0)),"")</f>
        <v/>
      </c>
      <c r="E730" s="131"/>
      <c r="F730" s="130"/>
      <c r="G730" s="66" t="str">
        <f aca="false">IFERROR(INDEX(商品マスタ!$C$6:$C$1005,MATCH($F730,商品マスタ!$B$6:$B$1005,0)),"")</f>
        <v/>
      </c>
      <c r="H730" s="66" t="str">
        <f aca="false">IFERROR(INDEX(商品マスタ!$E$6:$E$1005,MATCH($F730,商品マスタ!$B$6:$B$1005,0)),"")</f>
        <v/>
      </c>
      <c r="I730" s="69" t="str">
        <f aca="false">IFERROR(INDEX(商品マスタ!$F$6:$F$1005,MATCH($F730,商品マスタ!$B$6:$B$1005,0)),"")</f>
        <v/>
      </c>
      <c r="J730" s="69" t="str">
        <f aca="false">IF(OR($F730="",$C730&lt;&gt;'設定（最初に1回）'!$C$4),"",IFERROR(INDEX(発注計算!$Y$6:$Y$405,MATCH($F730,発注計算!$C$6:$C$405,0)),""))</f>
        <v/>
      </c>
      <c r="K730" s="70"/>
      <c r="L730" s="69" t="str">
        <f aca="false">IF($K730="","",N($K730)*N($I730))</f>
        <v/>
      </c>
      <c r="M730" s="71" t="str">
        <f aca="false">IFERROR(INDEX(商品マスタ!$G$6:$G$1005,MATCH($F730,商品マスタ!$B$6:$B$1005,0)),"")</f>
        <v/>
      </c>
      <c r="N730" s="71" t="str">
        <f aca="false">IF($K730="","",N($K730)*N($M730))</f>
        <v/>
      </c>
      <c r="O730" s="66" t="str">
        <f aca="false">IFERROR(INDEX(商品マスタ!$H$6:$H$1005,MATCH($F730,商品マスタ!$B$6:$B$1005,0)),"")</f>
        <v/>
      </c>
      <c r="P730" s="87" t="str">
        <f aca="false">IF(OR($E730="",$O730=""),"",WORKDAY($E730,$O730))</f>
        <v/>
      </c>
      <c r="Q730" s="80"/>
      <c r="R730" s="131"/>
      <c r="S730" s="69" t="n">
        <f aca="false">IF($Q730="入荷済み",N($L730),0)</f>
        <v>0</v>
      </c>
      <c r="T730" s="80"/>
      <c r="U730" s="80"/>
    </row>
    <row r="731" customFormat="false" ht="15" hidden="false" customHeight="false" outlineLevel="0" collapsed="false">
      <c r="B731" s="66" t="str">
        <f aca="false">IF(OR($E731="",$F731=""),"","PO-"&amp;TEXT($E731,"yyyymmdd")&amp;"-"&amp;TEXT(COUNTIFS($E$6:$E731,$E731,$C$6:$C731,$C731),"000"))</f>
        <v/>
      </c>
      <c r="C731" s="130"/>
      <c r="D731" s="66" t="str">
        <f aca="false">IFERROR(INDEX(定数マスタ!$C$6:$C$105,MATCH($C731,定数マスタ!$B$6:$B$105,0)),"")</f>
        <v/>
      </c>
      <c r="E731" s="131"/>
      <c r="F731" s="130"/>
      <c r="G731" s="66" t="str">
        <f aca="false">IFERROR(INDEX(商品マスタ!$C$6:$C$1005,MATCH($F731,商品マスタ!$B$6:$B$1005,0)),"")</f>
        <v/>
      </c>
      <c r="H731" s="66" t="str">
        <f aca="false">IFERROR(INDEX(商品マスタ!$E$6:$E$1005,MATCH($F731,商品マスタ!$B$6:$B$1005,0)),"")</f>
        <v/>
      </c>
      <c r="I731" s="69" t="str">
        <f aca="false">IFERROR(INDEX(商品マスタ!$F$6:$F$1005,MATCH($F731,商品マスタ!$B$6:$B$1005,0)),"")</f>
        <v/>
      </c>
      <c r="J731" s="69" t="str">
        <f aca="false">IF(OR($F731="",$C731&lt;&gt;'設定（最初に1回）'!$C$4),"",IFERROR(INDEX(発注計算!$Y$6:$Y$405,MATCH($F731,発注計算!$C$6:$C$405,0)),""))</f>
        <v/>
      </c>
      <c r="K731" s="70"/>
      <c r="L731" s="69" t="str">
        <f aca="false">IF($K731="","",N($K731)*N($I731))</f>
        <v/>
      </c>
      <c r="M731" s="71" t="str">
        <f aca="false">IFERROR(INDEX(商品マスタ!$G$6:$G$1005,MATCH($F731,商品マスタ!$B$6:$B$1005,0)),"")</f>
        <v/>
      </c>
      <c r="N731" s="71" t="str">
        <f aca="false">IF($K731="","",N($K731)*N($M731))</f>
        <v/>
      </c>
      <c r="O731" s="66" t="str">
        <f aca="false">IFERROR(INDEX(商品マスタ!$H$6:$H$1005,MATCH($F731,商品マスタ!$B$6:$B$1005,0)),"")</f>
        <v/>
      </c>
      <c r="P731" s="87" t="str">
        <f aca="false">IF(OR($E731="",$O731=""),"",WORKDAY($E731,$O731))</f>
        <v/>
      </c>
      <c r="Q731" s="80"/>
      <c r="R731" s="131"/>
      <c r="S731" s="69" t="n">
        <f aca="false">IF($Q731="入荷済み",N($L731),0)</f>
        <v>0</v>
      </c>
      <c r="T731" s="80"/>
      <c r="U731" s="80"/>
    </row>
    <row r="732" customFormat="false" ht="15" hidden="false" customHeight="false" outlineLevel="0" collapsed="false">
      <c r="B732" s="66" t="str">
        <f aca="false">IF(OR($E732="",$F732=""),"","PO-"&amp;TEXT($E732,"yyyymmdd")&amp;"-"&amp;TEXT(COUNTIFS($E$6:$E732,$E732,$C$6:$C732,$C732),"000"))</f>
        <v/>
      </c>
      <c r="C732" s="130"/>
      <c r="D732" s="66" t="str">
        <f aca="false">IFERROR(INDEX(定数マスタ!$C$6:$C$105,MATCH($C732,定数マスタ!$B$6:$B$105,0)),"")</f>
        <v/>
      </c>
      <c r="E732" s="131"/>
      <c r="F732" s="130"/>
      <c r="G732" s="66" t="str">
        <f aca="false">IFERROR(INDEX(商品マスタ!$C$6:$C$1005,MATCH($F732,商品マスタ!$B$6:$B$1005,0)),"")</f>
        <v/>
      </c>
      <c r="H732" s="66" t="str">
        <f aca="false">IFERROR(INDEX(商品マスタ!$E$6:$E$1005,MATCH($F732,商品マスタ!$B$6:$B$1005,0)),"")</f>
        <v/>
      </c>
      <c r="I732" s="69" t="str">
        <f aca="false">IFERROR(INDEX(商品マスタ!$F$6:$F$1005,MATCH($F732,商品マスタ!$B$6:$B$1005,0)),"")</f>
        <v/>
      </c>
      <c r="J732" s="69" t="str">
        <f aca="false">IF(OR($F732="",$C732&lt;&gt;'設定（最初に1回）'!$C$4),"",IFERROR(INDEX(発注計算!$Y$6:$Y$405,MATCH($F732,発注計算!$C$6:$C$405,0)),""))</f>
        <v/>
      </c>
      <c r="K732" s="70"/>
      <c r="L732" s="69" t="str">
        <f aca="false">IF($K732="","",N($K732)*N($I732))</f>
        <v/>
      </c>
      <c r="M732" s="71" t="str">
        <f aca="false">IFERROR(INDEX(商品マスタ!$G$6:$G$1005,MATCH($F732,商品マスタ!$B$6:$B$1005,0)),"")</f>
        <v/>
      </c>
      <c r="N732" s="71" t="str">
        <f aca="false">IF($K732="","",N($K732)*N($M732))</f>
        <v/>
      </c>
      <c r="O732" s="66" t="str">
        <f aca="false">IFERROR(INDEX(商品マスタ!$H$6:$H$1005,MATCH($F732,商品マスタ!$B$6:$B$1005,0)),"")</f>
        <v/>
      </c>
      <c r="P732" s="87" t="str">
        <f aca="false">IF(OR($E732="",$O732=""),"",WORKDAY($E732,$O732))</f>
        <v/>
      </c>
      <c r="Q732" s="80"/>
      <c r="R732" s="131"/>
      <c r="S732" s="69" t="n">
        <f aca="false">IF($Q732="入荷済み",N($L732),0)</f>
        <v>0</v>
      </c>
      <c r="T732" s="80"/>
      <c r="U732" s="80"/>
    </row>
    <row r="733" customFormat="false" ht="15" hidden="false" customHeight="false" outlineLevel="0" collapsed="false">
      <c r="B733" s="66" t="str">
        <f aca="false">IF(OR($E733="",$F733=""),"","PO-"&amp;TEXT($E733,"yyyymmdd")&amp;"-"&amp;TEXT(COUNTIFS($E$6:$E733,$E733,$C$6:$C733,$C733),"000"))</f>
        <v/>
      </c>
      <c r="C733" s="130"/>
      <c r="D733" s="66" t="str">
        <f aca="false">IFERROR(INDEX(定数マスタ!$C$6:$C$105,MATCH($C733,定数マスタ!$B$6:$B$105,0)),"")</f>
        <v/>
      </c>
      <c r="E733" s="131"/>
      <c r="F733" s="130"/>
      <c r="G733" s="66" t="str">
        <f aca="false">IFERROR(INDEX(商品マスタ!$C$6:$C$1005,MATCH($F733,商品マスタ!$B$6:$B$1005,0)),"")</f>
        <v/>
      </c>
      <c r="H733" s="66" t="str">
        <f aca="false">IFERROR(INDEX(商品マスタ!$E$6:$E$1005,MATCH($F733,商品マスタ!$B$6:$B$1005,0)),"")</f>
        <v/>
      </c>
      <c r="I733" s="69" t="str">
        <f aca="false">IFERROR(INDEX(商品マスタ!$F$6:$F$1005,MATCH($F733,商品マスタ!$B$6:$B$1005,0)),"")</f>
        <v/>
      </c>
      <c r="J733" s="69" t="str">
        <f aca="false">IF(OR($F733="",$C733&lt;&gt;'設定（最初に1回）'!$C$4),"",IFERROR(INDEX(発注計算!$Y$6:$Y$405,MATCH($F733,発注計算!$C$6:$C$405,0)),""))</f>
        <v/>
      </c>
      <c r="K733" s="70"/>
      <c r="L733" s="69" t="str">
        <f aca="false">IF($K733="","",N($K733)*N($I733))</f>
        <v/>
      </c>
      <c r="M733" s="71" t="str">
        <f aca="false">IFERROR(INDEX(商品マスタ!$G$6:$G$1005,MATCH($F733,商品マスタ!$B$6:$B$1005,0)),"")</f>
        <v/>
      </c>
      <c r="N733" s="71" t="str">
        <f aca="false">IF($K733="","",N($K733)*N($M733))</f>
        <v/>
      </c>
      <c r="O733" s="66" t="str">
        <f aca="false">IFERROR(INDEX(商品マスタ!$H$6:$H$1005,MATCH($F733,商品マスタ!$B$6:$B$1005,0)),"")</f>
        <v/>
      </c>
      <c r="P733" s="87" t="str">
        <f aca="false">IF(OR($E733="",$O733=""),"",WORKDAY($E733,$O733))</f>
        <v/>
      </c>
      <c r="Q733" s="80"/>
      <c r="R733" s="131"/>
      <c r="S733" s="69" t="n">
        <f aca="false">IF($Q733="入荷済み",N($L733),0)</f>
        <v>0</v>
      </c>
      <c r="T733" s="80"/>
      <c r="U733" s="80"/>
    </row>
    <row r="734" customFormat="false" ht="15" hidden="false" customHeight="false" outlineLevel="0" collapsed="false">
      <c r="B734" s="66" t="str">
        <f aca="false">IF(OR($E734="",$F734=""),"","PO-"&amp;TEXT($E734,"yyyymmdd")&amp;"-"&amp;TEXT(COUNTIFS($E$6:$E734,$E734,$C$6:$C734,$C734),"000"))</f>
        <v/>
      </c>
      <c r="C734" s="130"/>
      <c r="D734" s="66" t="str">
        <f aca="false">IFERROR(INDEX(定数マスタ!$C$6:$C$105,MATCH($C734,定数マスタ!$B$6:$B$105,0)),"")</f>
        <v/>
      </c>
      <c r="E734" s="131"/>
      <c r="F734" s="130"/>
      <c r="G734" s="66" t="str">
        <f aca="false">IFERROR(INDEX(商品マスタ!$C$6:$C$1005,MATCH($F734,商品マスタ!$B$6:$B$1005,0)),"")</f>
        <v/>
      </c>
      <c r="H734" s="66" t="str">
        <f aca="false">IFERROR(INDEX(商品マスタ!$E$6:$E$1005,MATCH($F734,商品マスタ!$B$6:$B$1005,0)),"")</f>
        <v/>
      </c>
      <c r="I734" s="69" t="str">
        <f aca="false">IFERROR(INDEX(商品マスタ!$F$6:$F$1005,MATCH($F734,商品マスタ!$B$6:$B$1005,0)),"")</f>
        <v/>
      </c>
      <c r="J734" s="69" t="str">
        <f aca="false">IF(OR($F734="",$C734&lt;&gt;'設定（最初に1回）'!$C$4),"",IFERROR(INDEX(発注計算!$Y$6:$Y$405,MATCH($F734,発注計算!$C$6:$C$405,0)),""))</f>
        <v/>
      </c>
      <c r="K734" s="70"/>
      <c r="L734" s="69" t="str">
        <f aca="false">IF($K734="","",N($K734)*N($I734))</f>
        <v/>
      </c>
      <c r="M734" s="71" t="str">
        <f aca="false">IFERROR(INDEX(商品マスタ!$G$6:$G$1005,MATCH($F734,商品マスタ!$B$6:$B$1005,0)),"")</f>
        <v/>
      </c>
      <c r="N734" s="71" t="str">
        <f aca="false">IF($K734="","",N($K734)*N($M734))</f>
        <v/>
      </c>
      <c r="O734" s="66" t="str">
        <f aca="false">IFERROR(INDEX(商品マスタ!$H$6:$H$1005,MATCH($F734,商品マスタ!$B$6:$B$1005,0)),"")</f>
        <v/>
      </c>
      <c r="P734" s="87" t="str">
        <f aca="false">IF(OR($E734="",$O734=""),"",WORKDAY($E734,$O734))</f>
        <v/>
      </c>
      <c r="Q734" s="80"/>
      <c r="R734" s="131"/>
      <c r="S734" s="69" t="n">
        <f aca="false">IF($Q734="入荷済み",N($L734),0)</f>
        <v>0</v>
      </c>
      <c r="T734" s="80"/>
      <c r="U734" s="80"/>
    </row>
    <row r="735" customFormat="false" ht="15" hidden="false" customHeight="false" outlineLevel="0" collapsed="false">
      <c r="B735" s="66" t="str">
        <f aca="false">IF(OR($E735="",$F735=""),"","PO-"&amp;TEXT($E735,"yyyymmdd")&amp;"-"&amp;TEXT(COUNTIFS($E$6:$E735,$E735,$C$6:$C735,$C735),"000"))</f>
        <v/>
      </c>
      <c r="C735" s="130"/>
      <c r="D735" s="66" t="str">
        <f aca="false">IFERROR(INDEX(定数マスタ!$C$6:$C$105,MATCH($C735,定数マスタ!$B$6:$B$105,0)),"")</f>
        <v/>
      </c>
      <c r="E735" s="131"/>
      <c r="F735" s="130"/>
      <c r="G735" s="66" t="str">
        <f aca="false">IFERROR(INDEX(商品マスタ!$C$6:$C$1005,MATCH($F735,商品マスタ!$B$6:$B$1005,0)),"")</f>
        <v/>
      </c>
      <c r="H735" s="66" t="str">
        <f aca="false">IFERROR(INDEX(商品マスタ!$E$6:$E$1005,MATCH($F735,商品マスタ!$B$6:$B$1005,0)),"")</f>
        <v/>
      </c>
      <c r="I735" s="69" t="str">
        <f aca="false">IFERROR(INDEX(商品マスタ!$F$6:$F$1005,MATCH($F735,商品マスタ!$B$6:$B$1005,0)),"")</f>
        <v/>
      </c>
      <c r="J735" s="69" t="str">
        <f aca="false">IF(OR($F735="",$C735&lt;&gt;'設定（最初に1回）'!$C$4),"",IFERROR(INDEX(発注計算!$Y$6:$Y$405,MATCH($F735,発注計算!$C$6:$C$405,0)),""))</f>
        <v/>
      </c>
      <c r="K735" s="70"/>
      <c r="L735" s="69" t="str">
        <f aca="false">IF($K735="","",N($K735)*N($I735))</f>
        <v/>
      </c>
      <c r="M735" s="71" t="str">
        <f aca="false">IFERROR(INDEX(商品マスタ!$G$6:$G$1005,MATCH($F735,商品マスタ!$B$6:$B$1005,0)),"")</f>
        <v/>
      </c>
      <c r="N735" s="71" t="str">
        <f aca="false">IF($K735="","",N($K735)*N($M735))</f>
        <v/>
      </c>
      <c r="O735" s="66" t="str">
        <f aca="false">IFERROR(INDEX(商品マスタ!$H$6:$H$1005,MATCH($F735,商品マスタ!$B$6:$B$1005,0)),"")</f>
        <v/>
      </c>
      <c r="P735" s="87" t="str">
        <f aca="false">IF(OR($E735="",$O735=""),"",WORKDAY($E735,$O735))</f>
        <v/>
      </c>
      <c r="Q735" s="80"/>
      <c r="R735" s="131"/>
      <c r="S735" s="69" t="n">
        <f aca="false">IF($Q735="入荷済み",N($L735),0)</f>
        <v>0</v>
      </c>
      <c r="T735" s="80"/>
      <c r="U735" s="80"/>
    </row>
    <row r="736" customFormat="false" ht="15" hidden="false" customHeight="false" outlineLevel="0" collapsed="false">
      <c r="B736" s="66" t="str">
        <f aca="false">IF(OR($E736="",$F736=""),"","PO-"&amp;TEXT($E736,"yyyymmdd")&amp;"-"&amp;TEXT(COUNTIFS($E$6:$E736,$E736,$C$6:$C736,$C736),"000"))</f>
        <v/>
      </c>
      <c r="C736" s="130"/>
      <c r="D736" s="66" t="str">
        <f aca="false">IFERROR(INDEX(定数マスタ!$C$6:$C$105,MATCH($C736,定数マスタ!$B$6:$B$105,0)),"")</f>
        <v/>
      </c>
      <c r="E736" s="131"/>
      <c r="F736" s="130"/>
      <c r="G736" s="66" t="str">
        <f aca="false">IFERROR(INDEX(商品マスタ!$C$6:$C$1005,MATCH($F736,商品マスタ!$B$6:$B$1005,0)),"")</f>
        <v/>
      </c>
      <c r="H736" s="66" t="str">
        <f aca="false">IFERROR(INDEX(商品マスタ!$E$6:$E$1005,MATCH($F736,商品マスタ!$B$6:$B$1005,0)),"")</f>
        <v/>
      </c>
      <c r="I736" s="69" t="str">
        <f aca="false">IFERROR(INDEX(商品マスタ!$F$6:$F$1005,MATCH($F736,商品マスタ!$B$6:$B$1005,0)),"")</f>
        <v/>
      </c>
      <c r="J736" s="69" t="str">
        <f aca="false">IF(OR($F736="",$C736&lt;&gt;'設定（最初に1回）'!$C$4),"",IFERROR(INDEX(発注計算!$Y$6:$Y$405,MATCH($F736,発注計算!$C$6:$C$405,0)),""))</f>
        <v/>
      </c>
      <c r="K736" s="70"/>
      <c r="L736" s="69" t="str">
        <f aca="false">IF($K736="","",N($K736)*N($I736))</f>
        <v/>
      </c>
      <c r="M736" s="71" t="str">
        <f aca="false">IFERROR(INDEX(商品マスタ!$G$6:$G$1005,MATCH($F736,商品マスタ!$B$6:$B$1005,0)),"")</f>
        <v/>
      </c>
      <c r="N736" s="71" t="str">
        <f aca="false">IF($K736="","",N($K736)*N($M736))</f>
        <v/>
      </c>
      <c r="O736" s="66" t="str">
        <f aca="false">IFERROR(INDEX(商品マスタ!$H$6:$H$1005,MATCH($F736,商品マスタ!$B$6:$B$1005,0)),"")</f>
        <v/>
      </c>
      <c r="P736" s="87" t="str">
        <f aca="false">IF(OR($E736="",$O736=""),"",WORKDAY($E736,$O736))</f>
        <v/>
      </c>
      <c r="Q736" s="80"/>
      <c r="R736" s="131"/>
      <c r="S736" s="69" t="n">
        <f aca="false">IF($Q736="入荷済み",N($L736),0)</f>
        <v>0</v>
      </c>
      <c r="T736" s="80"/>
      <c r="U736" s="80"/>
    </row>
    <row r="737" customFormat="false" ht="15" hidden="false" customHeight="false" outlineLevel="0" collapsed="false">
      <c r="B737" s="66" t="str">
        <f aca="false">IF(OR($E737="",$F737=""),"","PO-"&amp;TEXT($E737,"yyyymmdd")&amp;"-"&amp;TEXT(COUNTIFS($E$6:$E737,$E737,$C$6:$C737,$C737),"000"))</f>
        <v/>
      </c>
      <c r="C737" s="130"/>
      <c r="D737" s="66" t="str">
        <f aca="false">IFERROR(INDEX(定数マスタ!$C$6:$C$105,MATCH($C737,定数マスタ!$B$6:$B$105,0)),"")</f>
        <v/>
      </c>
      <c r="E737" s="131"/>
      <c r="F737" s="130"/>
      <c r="G737" s="66" t="str">
        <f aca="false">IFERROR(INDEX(商品マスタ!$C$6:$C$1005,MATCH($F737,商品マスタ!$B$6:$B$1005,0)),"")</f>
        <v/>
      </c>
      <c r="H737" s="66" t="str">
        <f aca="false">IFERROR(INDEX(商品マスタ!$E$6:$E$1005,MATCH($F737,商品マスタ!$B$6:$B$1005,0)),"")</f>
        <v/>
      </c>
      <c r="I737" s="69" t="str">
        <f aca="false">IFERROR(INDEX(商品マスタ!$F$6:$F$1005,MATCH($F737,商品マスタ!$B$6:$B$1005,0)),"")</f>
        <v/>
      </c>
      <c r="J737" s="69" t="str">
        <f aca="false">IF(OR($F737="",$C737&lt;&gt;'設定（最初に1回）'!$C$4),"",IFERROR(INDEX(発注計算!$Y$6:$Y$405,MATCH($F737,発注計算!$C$6:$C$405,0)),""))</f>
        <v/>
      </c>
      <c r="K737" s="70"/>
      <c r="L737" s="69" t="str">
        <f aca="false">IF($K737="","",N($K737)*N($I737))</f>
        <v/>
      </c>
      <c r="M737" s="71" t="str">
        <f aca="false">IFERROR(INDEX(商品マスタ!$G$6:$G$1005,MATCH($F737,商品マスタ!$B$6:$B$1005,0)),"")</f>
        <v/>
      </c>
      <c r="N737" s="71" t="str">
        <f aca="false">IF($K737="","",N($K737)*N($M737))</f>
        <v/>
      </c>
      <c r="O737" s="66" t="str">
        <f aca="false">IFERROR(INDEX(商品マスタ!$H$6:$H$1005,MATCH($F737,商品マスタ!$B$6:$B$1005,0)),"")</f>
        <v/>
      </c>
      <c r="P737" s="87" t="str">
        <f aca="false">IF(OR($E737="",$O737=""),"",WORKDAY($E737,$O737))</f>
        <v/>
      </c>
      <c r="Q737" s="80"/>
      <c r="R737" s="131"/>
      <c r="S737" s="69" t="n">
        <f aca="false">IF($Q737="入荷済み",N($L737),0)</f>
        <v>0</v>
      </c>
      <c r="T737" s="80"/>
      <c r="U737" s="80"/>
    </row>
    <row r="738" customFormat="false" ht="15" hidden="false" customHeight="false" outlineLevel="0" collapsed="false">
      <c r="B738" s="66" t="str">
        <f aca="false">IF(OR($E738="",$F738=""),"","PO-"&amp;TEXT($E738,"yyyymmdd")&amp;"-"&amp;TEXT(COUNTIFS($E$6:$E738,$E738,$C$6:$C738,$C738),"000"))</f>
        <v/>
      </c>
      <c r="C738" s="130"/>
      <c r="D738" s="66" t="str">
        <f aca="false">IFERROR(INDEX(定数マスタ!$C$6:$C$105,MATCH($C738,定数マスタ!$B$6:$B$105,0)),"")</f>
        <v/>
      </c>
      <c r="E738" s="131"/>
      <c r="F738" s="130"/>
      <c r="G738" s="66" t="str">
        <f aca="false">IFERROR(INDEX(商品マスタ!$C$6:$C$1005,MATCH($F738,商品マスタ!$B$6:$B$1005,0)),"")</f>
        <v/>
      </c>
      <c r="H738" s="66" t="str">
        <f aca="false">IFERROR(INDEX(商品マスタ!$E$6:$E$1005,MATCH($F738,商品マスタ!$B$6:$B$1005,0)),"")</f>
        <v/>
      </c>
      <c r="I738" s="69" t="str">
        <f aca="false">IFERROR(INDEX(商品マスタ!$F$6:$F$1005,MATCH($F738,商品マスタ!$B$6:$B$1005,0)),"")</f>
        <v/>
      </c>
      <c r="J738" s="69" t="str">
        <f aca="false">IF(OR($F738="",$C738&lt;&gt;'設定（最初に1回）'!$C$4),"",IFERROR(INDEX(発注計算!$Y$6:$Y$405,MATCH($F738,発注計算!$C$6:$C$405,0)),""))</f>
        <v/>
      </c>
      <c r="K738" s="70"/>
      <c r="L738" s="69" t="str">
        <f aca="false">IF($K738="","",N($K738)*N($I738))</f>
        <v/>
      </c>
      <c r="M738" s="71" t="str">
        <f aca="false">IFERROR(INDEX(商品マスタ!$G$6:$G$1005,MATCH($F738,商品マスタ!$B$6:$B$1005,0)),"")</f>
        <v/>
      </c>
      <c r="N738" s="71" t="str">
        <f aca="false">IF($K738="","",N($K738)*N($M738))</f>
        <v/>
      </c>
      <c r="O738" s="66" t="str">
        <f aca="false">IFERROR(INDEX(商品マスタ!$H$6:$H$1005,MATCH($F738,商品マスタ!$B$6:$B$1005,0)),"")</f>
        <v/>
      </c>
      <c r="P738" s="87" t="str">
        <f aca="false">IF(OR($E738="",$O738=""),"",WORKDAY($E738,$O738))</f>
        <v/>
      </c>
      <c r="Q738" s="80"/>
      <c r="R738" s="131"/>
      <c r="S738" s="69" t="n">
        <f aca="false">IF($Q738="入荷済み",N($L738),0)</f>
        <v>0</v>
      </c>
      <c r="T738" s="80"/>
      <c r="U738" s="80"/>
    </row>
    <row r="739" customFormat="false" ht="15" hidden="false" customHeight="false" outlineLevel="0" collapsed="false">
      <c r="B739" s="66" t="str">
        <f aca="false">IF(OR($E739="",$F739=""),"","PO-"&amp;TEXT($E739,"yyyymmdd")&amp;"-"&amp;TEXT(COUNTIFS($E$6:$E739,$E739,$C$6:$C739,$C739),"000"))</f>
        <v/>
      </c>
      <c r="C739" s="130"/>
      <c r="D739" s="66" t="str">
        <f aca="false">IFERROR(INDEX(定数マスタ!$C$6:$C$105,MATCH($C739,定数マスタ!$B$6:$B$105,0)),"")</f>
        <v/>
      </c>
      <c r="E739" s="131"/>
      <c r="F739" s="130"/>
      <c r="G739" s="66" t="str">
        <f aca="false">IFERROR(INDEX(商品マスタ!$C$6:$C$1005,MATCH($F739,商品マスタ!$B$6:$B$1005,0)),"")</f>
        <v/>
      </c>
      <c r="H739" s="66" t="str">
        <f aca="false">IFERROR(INDEX(商品マスタ!$E$6:$E$1005,MATCH($F739,商品マスタ!$B$6:$B$1005,0)),"")</f>
        <v/>
      </c>
      <c r="I739" s="69" t="str">
        <f aca="false">IFERROR(INDEX(商品マスタ!$F$6:$F$1005,MATCH($F739,商品マスタ!$B$6:$B$1005,0)),"")</f>
        <v/>
      </c>
      <c r="J739" s="69" t="str">
        <f aca="false">IF(OR($F739="",$C739&lt;&gt;'設定（最初に1回）'!$C$4),"",IFERROR(INDEX(発注計算!$Y$6:$Y$405,MATCH($F739,発注計算!$C$6:$C$405,0)),""))</f>
        <v/>
      </c>
      <c r="K739" s="70"/>
      <c r="L739" s="69" t="str">
        <f aca="false">IF($K739="","",N($K739)*N($I739))</f>
        <v/>
      </c>
      <c r="M739" s="71" t="str">
        <f aca="false">IFERROR(INDEX(商品マスタ!$G$6:$G$1005,MATCH($F739,商品マスタ!$B$6:$B$1005,0)),"")</f>
        <v/>
      </c>
      <c r="N739" s="71" t="str">
        <f aca="false">IF($K739="","",N($K739)*N($M739))</f>
        <v/>
      </c>
      <c r="O739" s="66" t="str">
        <f aca="false">IFERROR(INDEX(商品マスタ!$H$6:$H$1005,MATCH($F739,商品マスタ!$B$6:$B$1005,0)),"")</f>
        <v/>
      </c>
      <c r="P739" s="87" t="str">
        <f aca="false">IF(OR($E739="",$O739=""),"",WORKDAY($E739,$O739))</f>
        <v/>
      </c>
      <c r="Q739" s="80"/>
      <c r="R739" s="131"/>
      <c r="S739" s="69" t="n">
        <f aca="false">IF($Q739="入荷済み",N($L739),0)</f>
        <v>0</v>
      </c>
      <c r="T739" s="80"/>
      <c r="U739" s="80"/>
    </row>
    <row r="740" customFormat="false" ht="15" hidden="false" customHeight="false" outlineLevel="0" collapsed="false">
      <c r="B740" s="66" t="str">
        <f aca="false">IF(OR($E740="",$F740=""),"","PO-"&amp;TEXT($E740,"yyyymmdd")&amp;"-"&amp;TEXT(COUNTIFS($E$6:$E740,$E740,$C$6:$C740,$C740),"000"))</f>
        <v/>
      </c>
      <c r="C740" s="130"/>
      <c r="D740" s="66" t="str">
        <f aca="false">IFERROR(INDEX(定数マスタ!$C$6:$C$105,MATCH($C740,定数マスタ!$B$6:$B$105,0)),"")</f>
        <v/>
      </c>
      <c r="E740" s="131"/>
      <c r="F740" s="130"/>
      <c r="G740" s="66" t="str">
        <f aca="false">IFERROR(INDEX(商品マスタ!$C$6:$C$1005,MATCH($F740,商品マスタ!$B$6:$B$1005,0)),"")</f>
        <v/>
      </c>
      <c r="H740" s="66" t="str">
        <f aca="false">IFERROR(INDEX(商品マスタ!$E$6:$E$1005,MATCH($F740,商品マスタ!$B$6:$B$1005,0)),"")</f>
        <v/>
      </c>
      <c r="I740" s="69" t="str">
        <f aca="false">IFERROR(INDEX(商品マスタ!$F$6:$F$1005,MATCH($F740,商品マスタ!$B$6:$B$1005,0)),"")</f>
        <v/>
      </c>
      <c r="J740" s="69" t="str">
        <f aca="false">IF(OR($F740="",$C740&lt;&gt;'設定（最初に1回）'!$C$4),"",IFERROR(INDEX(発注計算!$Y$6:$Y$405,MATCH($F740,発注計算!$C$6:$C$405,0)),""))</f>
        <v/>
      </c>
      <c r="K740" s="70"/>
      <c r="L740" s="69" t="str">
        <f aca="false">IF($K740="","",N($K740)*N($I740))</f>
        <v/>
      </c>
      <c r="M740" s="71" t="str">
        <f aca="false">IFERROR(INDEX(商品マスタ!$G$6:$G$1005,MATCH($F740,商品マスタ!$B$6:$B$1005,0)),"")</f>
        <v/>
      </c>
      <c r="N740" s="71" t="str">
        <f aca="false">IF($K740="","",N($K740)*N($M740))</f>
        <v/>
      </c>
      <c r="O740" s="66" t="str">
        <f aca="false">IFERROR(INDEX(商品マスタ!$H$6:$H$1005,MATCH($F740,商品マスタ!$B$6:$B$1005,0)),"")</f>
        <v/>
      </c>
      <c r="P740" s="87" t="str">
        <f aca="false">IF(OR($E740="",$O740=""),"",WORKDAY($E740,$O740))</f>
        <v/>
      </c>
      <c r="Q740" s="80"/>
      <c r="R740" s="131"/>
      <c r="S740" s="69" t="n">
        <f aca="false">IF($Q740="入荷済み",N($L740),0)</f>
        <v>0</v>
      </c>
      <c r="T740" s="80"/>
      <c r="U740" s="80"/>
    </row>
    <row r="741" customFormat="false" ht="15" hidden="false" customHeight="false" outlineLevel="0" collapsed="false">
      <c r="B741" s="66" t="str">
        <f aca="false">IF(OR($E741="",$F741=""),"","PO-"&amp;TEXT($E741,"yyyymmdd")&amp;"-"&amp;TEXT(COUNTIFS($E$6:$E741,$E741,$C$6:$C741,$C741),"000"))</f>
        <v/>
      </c>
      <c r="C741" s="130"/>
      <c r="D741" s="66" t="str">
        <f aca="false">IFERROR(INDEX(定数マスタ!$C$6:$C$105,MATCH($C741,定数マスタ!$B$6:$B$105,0)),"")</f>
        <v/>
      </c>
      <c r="E741" s="131"/>
      <c r="F741" s="130"/>
      <c r="G741" s="66" t="str">
        <f aca="false">IFERROR(INDEX(商品マスタ!$C$6:$C$1005,MATCH($F741,商品マスタ!$B$6:$B$1005,0)),"")</f>
        <v/>
      </c>
      <c r="H741" s="66" t="str">
        <f aca="false">IFERROR(INDEX(商品マスタ!$E$6:$E$1005,MATCH($F741,商品マスタ!$B$6:$B$1005,0)),"")</f>
        <v/>
      </c>
      <c r="I741" s="69" t="str">
        <f aca="false">IFERROR(INDEX(商品マスタ!$F$6:$F$1005,MATCH($F741,商品マスタ!$B$6:$B$1005,0)),"")</f>
        <v/>
      </c>
      <c r="J741" s="69" t="str">
        <f aca="false">IF(OR($F741="",$C741&lt;&gt;'設定（最初に1回）'!$C$4),"",IFERROR(INDEX(発注計算!$Y$6:$Y$405,MATCH($F741,発注計算!$C$6:$C$405,0)),""))</f>
        <v/>
      </c>
      <c r="K741" s="70"/>
      <c r="L741" s="69" t="str">
        <f aca="false">IF($K741="","",N($K741)*N($I741))</f>
        <v/>
      </c>
      <c r="M741" s="71" t="str">
        <f aca="false">IFERROR(INDEX(商品マスタ!$G$6:$G$1005,MATCH($F741,商品マスタ!$B$6:$B$1005,0)),"")</f>
        <v/>
      </c>
      <c r="N741" s="71" t="str">
        <f aca="false">IF($K741="","",N($K741)*N($M741))</f>
        <v/>
      </c>
      <c r="O741" s="66" t="str">
        <f aca="false">IFERROR(INDEX(商品マスタ!$H$6:$H$1005,MATCH($F741,商品マスタ!$B$6:$B$1005,0)),"")</f>
        <v/>
      </c>
      <c r="P741" s="87" t="str">
        <f aca="false">IF(OR($E741="",$O741=""),"",WORKDAY($E741,$O741))</f>
        <v/>
      </c>
      <c r="Q741" s="80"/>
      <c r="R741" s="131"/>
      <c r="S741" s="69" t="n">
        <f aca="false">IF($Q741="入荷済み",N($L741),0)</f>
        <v>0</v>
      </c>
      <c r="T741" s="80"/>
      <c r="U741" s="80"/>
    </row>
    <row r="742" customFormat="false" ht="15" hidden="false" customHeight="false" outlineLevel="0" collapsed="false">
      <c r="B742" s="66" t="str">
        <f aca="false">IF(OR($E742="",$F742=""),"","PO-"&amp;TEXT($E742,"yyyymmdd")&amp;"-"&amp;TEXT(COUNTIFS($E$6:$E742,$E742,$C$6:$C742,$C742),"000"))</f>
        <v/>
      </c>
      <c r="C742" s="130"/>
      <c r="D742" s="66" t="str">
        <f aca="false">IFERROR(INDEX(定数マスタ!$C$6:$C$105,MATCH($C742,定数マスタ!$B$6:$B$105,0)),"")</f>
        <v/>
      </c>
      <c r="E742" s="131"/>
      <c r="F742" s="130"/>
      <c r="G742" s="66" t="str">
        <f aca="false">IFERROR(INDEX(商品マスタ!$C$6:$C$1005,MATCH($F742,商品マスタ!$B$6:$B$1005,0)),"")</f>
        <v/>
      </c>
      <c r="H742" s="66" t="str">
        <f aca="false">IFERROR(INDEX(商品マスタ!$E$6:$E$1005,MATCH($F742,商品マスタ!$B$6:$B$1005,0)),"")</f>
        <v/>
      </c>
      <c r="I742" s="69" t="str">
        <f aca="false">IFERROR(INDEX(商品マスタ!$F$6:$F$1005,MATCH($F742,商品マスタ!$B$6:$B$1005,0)),"")</f>
        <v/>
      </c>
      <c r="J742" s="69" t="str">
        <f aca="false">IF(OR($F742="",$C742&lt;&gt;'設定（最初に1回）'!$C$4),"",IFERROR(INDEX(発注計算!$Y$6:$Y$405,MATCH($F742,発注計算!$C$6:$C$405,0)),""))</f>
        <v/>
      </c>
      <c r="K742" s="70"/>
      <c r="L742" s="69" t="str">
        <f aca="false">IF($K742="","",N($K742)*N($I742))</f>
        <v/>
      </c>
      <c r="M742" s="71" t="str">
        <f aca="false">IFERROR(INDEX(商品マスタ!$G$6:$G$1005,MATCH($F742,商品マスタ!$B$6:$B$1005,0)),"")</f>
        <v/>
      </c>
      <c r="N742" s="71" t="str">
        <f aca="false">IF($K742="","",N($K742)*N($M742))</f>
        <v/>
      </c>
      <c r="O742" s="66" t="str">
        <f aca="false">IFERROR(INDEX(商品マスタ!$H$6:$H$1005,MATCH($F742,商品マスタ!$B$6:$B$1005,0)),"")</f>
        <v/>
      </c>
      <c r="P742" s="87" t="str">
        <f aca="false">IF(OR($E742="",$O742=""),"",WORKDAY($E742,$O742))</f>
        <v/>
      </c>
      <c r="Q742" s="80"/>
      <c r="R742" s="131"/>
      <c r="S742" s="69" t="n">
        <f aca="false">IF($Q742="入荷済み",N($L742),0)</f>
        <v>0</v>
      </c>
      <c r="T742" s="80"/>
      <c r="U742" s="80"/>
    </row>
    <row r="743" customFormat="false" ht="15" hidden="false" customHeight="false" outlineLevel="0" collapsed="false">
      <c r="B743" s="66" t="str">
        <f aca="false">IF(OR($E743="",$F743=""),"","PO-"&amp;TEXT($E743,"yyyymmdd")&amp;"-"&amp;TEXT(COUNTIFS($E$6:$E743,$E743,$C$6:$C743,$C743),"000"))</f>
        <v/>
      </c>
      <c r="C743" s="130"/>
      <c r="D743" s="66" t="str">
        <f aca="false">IFERROR(INDEX(定数マスタ!$C$6:$C$105,MATCH($C743,定数マスタ!$B$6:$B$105,0)),"")</f>
        <v/>
      </c>
      <c r="E743" s="131"/>
      <c r="F743" s="130"/>
      <c r="G743" s="66" t="str">
        <f aca="false">IFERROR(INDEX(商品マスタ!$C$6:$C$1005,MATCH($F743,商品マスタ!$B$6:$B$1005,0)),"")</f>
        <v/>
      </c>
      <c r="H743" s="66" t="str">
        <f aca="false">IFERROR(INDEX(商品マスタ!$E$6:$E$1005,MATCH($F743,商品マスタ!$B$6:$B$1005,0)),"")</f>
        <v/>
      </c>
      <c r="I743" s="69" t="str">
        <f aca="false">IFERROR(INDEX(商品マスタ!$F$6:$F$1005,MATCH($F743,商品マスタ!$B$6:$B$1005,0)),"")</f>
        <v/>
      </c>
      <c r="J743" s="69" t="str">
        <f aca="false">IF(OR($F743="",$C743&lt;&gt;'設定（最初に1回）'!$C$4),"",IFERROR(INDEX(発注計算!$Y$6:$Y$405,MATCH($F743,発注計算!$C$6:$C$405,0)),""))</f>
        <v/>
      </c>
      <c r="K743" s="70"/>
      <c r="L743" s="69" t="str">
        <f aca="false">IF($K743="","",N($K743)*N($I743))</f>
        <v/>
      </c>
      <c r="M743" s="71" t="str">
        <f aca="false">IFERROR(INDEX(商品マスタ!$G$6:$G$1005,MATCH($F743,商品マスタ!$B$6:$B$1005,0)),"")</f>
        <v/>
      </c>
      <c r="N743" s="71" t="str">
        <f aca="false">IF($K743="","",N($K743)*N($M743))</f>
        <v/>
      </c>
      <c r="O743" s="66" t="str">
        <f aca="false">IFERROR(INDEX(商品マスタ!$H$6:$H$1005,MATCH($F743,商品マスタ!$B$6:$B$1005,0)),"")</f>
        <v/>
      </c>
      <c r="P743" s="87" t="str">
        <f aca="false">IF(OR($E743="",$O743=""),"",WORKDAY($E743,$O743))</f>
        <v/>
      </c>
      <c r="Q743" s="80"/>
      <c r="R743" s="131"/>
      <c r="S743" s="69" t="n">
        <f aca="false">IF($Q743="入荷済み",N($L743),0)</f>
        <v>0</v>
      </c>
      <c r="T743" s="80"/>
      <c r="U743" s="80"/>
    </row>
    <row r="744" customFormat="false" ht="15" hidden="false" customHeight="false" outlineLevel="0" collapsed="false">
      <c r="B744" s="66" t="str">
        <f aca="false">IF(OR($E744="",$F744=""),"","PO-"&amp;TEXT($E744,"yyyymmdd")&amp;"-"&amp;TEXT(COUNTIFS($E$6:$E744,$E744,$C$6:$C744,$C744),"000"))</f>
        <v/>
      </c>
      <c r="C744" s="130"/>
      <c r="D744" s="66" t="str">
        <f aca="false">IFERROR(INDEX(定数マスタ!$C$6:$C$105,MATCH($C744,定数マスタ!$B$6:$B$105,0)),"")</f>
        <v/>
      </c>
      <c r="E744" s="131"/>
      <c r="F744" s="130"/>
      <c r="G744" s="66" t="str">
        <f aca="false">IFERROR(INDEX(商品マスタ!$C$6:$C$1005,MATCH($F744,商品マスタ!$B$6:$B$1005,0)),"")</f>
        <v/>
      </c>
      <c r="H744" s="66" t="str">
        <f aca="false">IFERROR(INDEX(商品マスタ!$E$6:$E$1005,MATCH($F744,商品マスタ!$B$6:$B$1005,0)),"")</f>
        <v/>
      </c>
      <c r="I744" s="69" t="str">
        <f aca="false">IFERROR(INDEX(商品マスタ!$F$6:$F$1005,MATCH($F744,商品マスタ!$B$6:$B$1005,0)),"")</f>
        <v/>
      </c>
      <c r="J744" s="69" t="str">
        <f aca="false">IF(OR($F744="",$C744&lt;&gt;'設定（最初に1回）'!$C$4),"",IFERROR(INDEX(発注計算!$Y$6:$Y$405,MATCH($F744,発注計算!$C$6:$C$405,0)),""))</f>
        <v/>
      </c>
      <c r="K744" s="70"/>
      <c r="L744" s="69" t="str">
        <f aca="false">IF($K744="","",N($K744)*N($I744))</f>
        <v/>
      </c>
      <c r="M744" s="71" t="str">
        <f aca="false">IFERROR(INDEX(商品マスタ!$G$6:$G$1005,MATCH($F744,商品マスタ!$B$6:$B$1005,0)),"")</f>
        <v/>
      </c>
      <c r="N744" s="71" t="str">
        <f aca="false">IF($K744="","",N($K744)*N($M744))</f>
        <v/>
      </c>
      <c r="O744" s="66" t="str">
        <f aca="false">IFERROR(INDEX(商品マスタ!$H$6:$H$1005,MATCH($F744,商品マスタ!$B$6:$B$1005,0)),"")</f>
        <v/>
      </c>
      <c r="P744" s="87" t="str">
        <f aca="false">IF(OR($E744="",$O744=""),"",WORKDAY($E744,$O744))</f>
        <v/>
      </c>
      <c r="Q744" s="80"/>
      <c r="R744" s="131"/>
      <c r="S744" s="69" t="n">
        <f aca="false">IF($Q744="入荷済み",N($L744),0)</f>
        <v>0</v>
      </c>
      <c r="T744" s="80"/>
      <c r="U744" s="80"/>
    </row>
    <row r="745" customFormat="false" ht="15" hidden="false" customHeight="false" outlineLevel="0" collapsed="false">
      <c r="B745" s="66" t="str">
        <f aca="false">IF(OR($E745="",$F745=""),"","PO-"&amp;TEXT($E745,"yyyymmdd")&amp;"-"&amp;TEXT(COUNTIFS($E$6:$E745,$E745,$C$6:$C745,$C745),"000"))</f>
        <v/>
      </c>
      <c r="C745" s="130"/>
      <c r="D745" s="66" t="str">
        <f aca="false">IFERROR(INDEX(定数マスタ!$C$6:$C$105,MATCH($C745,定数マスタ!$B$6:$B$105,0)),"")</f>
        <v/>
      </c>
      <c r="E745" s="131"/>
      <c r="F745" s="130"/>
      <c r="G745" s="66" t="str">
        <f aca="false">IFERROR(INDEX(商品マスタ!$C$6:$C$1005,MATCH($F745,商品マスタ!$B$6:$B$1005,0)),"")</f>
        <v/>
      </c>
      <c r="H745" s="66" t="str">
        <f aca="false">IFERROR(INDEX(商品マスタ!$E$6:$E$1005,MATCH($F745,商品マスタ!$B$6:$B$1005,0)),"")</f>
        <v/>
      </c>
      <c r="I745" s="69" t="str">
        <f aca="false">IFERROR(INDEX(商品マスタ!$F$6:$F$1005,MATCH($F745,商品マスタ!$B$6:$B$1005,0)),"")</f>
        <v/>
      </c>
      <c r="J745" s="69" t="str">
        <f aca="false">IF(OR($F745="",$C745&lt;&gt;'設定（最初に1回）'!$C$4),"",IFERROR(INDEX(発注計算!$Y$6:$Y$405,MATCH($F745,発注計算!$C$6:$C$405,0)),""))</f>
        <v/>
      </c>
      <c r="K745" s="70"/>
      <c r="L745" s="69" t="str">
        <f aca="false">IF($K745="","",N($K745)*N($I745))</f>
        <v/>
      </c>
      <c r="M745" s="71" t="str">
        <f aca="false">IFERROR(INDEX(商品マスタ!$G$6:$G$1005,MATCH($F745,商品マスタ!$B$6:$B$1005,0)),"")</f>
        <v/>
      </c>
      <c r="N745" s="71" t="str">
        <f aca="false">IF($K745="","",N($K745)*N($M745))</f>
        <v/>
      </c>
      <c r="O745" s="66" t="str">
        <f aca="false">IFERROR(INDEX(商品マスタ!$H$6:$H$1005,MATCH($F745,商品マスタ!$B$6:$B$1005,0)),"")</f>
        <v/>
      </c>
      <c r="P745" s="87" t="str">
        <f aca="false">IF(OR($E745="",$O745=""),"",WORKDAY($E745,$O745))</f>
        <v/>
      </c>
      <c r="Q745" s="80"/>
      <c r="R745" s="131"/>
      <c r="S745" s="69" t="n">
        <f aca="false">IF($Q745="入荷済み",N($L745),0)</f>
        <v>0</v>
      </c>
      <c r="T745" s="80"/>
      <c r="U745" s="80"/>
    </row>
    <row r="746" customFormat="false" ht="15" hidden="false" customHeight="false" outlineLevel="0" collapsed="false">
      <c r="B746" s="66" t="str">
        <f aca="false">IF(OR($E746="",$F746=""),"","PO-"&amp;TEXT($E746,"yyyymmdd")&amp;"-"&amp;TEXT(COUNTIFS($E$6:$E746,$E746,$C$6:$C746,$C746),"000"))</f>
        <v/>
      </c>
      <c r="C746" s="130"/>
      <c r="D746" s="66" t="str">
        <f aca="false">IFERROR(INDEX(定数マスタ!$C$6:$C$105,MATCH($C746,定数マスタ!$B$6:$B$105,0)),"")</f>
        <v/>
      </c>
      <c r="E746" s="131"/>
      <c r="F746" s="130"/>
      <c r="G746" s="66" t="str">
        <f aca="false">IFERROR(INDEX(商品マスタ!$C$6:$C$1005,MATCH($F746,商品マスタ!$B$6:$B$1005,0)),"")</f>
        <v/>
      </c>
      <c r="H746" s="66" t="str">
        <f aca="false">IFERROR(INDEX(商品マスタ!$E$6:$E$1005,MATCH($F746,商品マスタ!$B$6:$B$1005,0)),"")</f>
        <v/>
      </c>
      <c r="I746" s="69" t="str">
        <f aca="false">IFERROR(INDEX(商品マスタ!$F$6:$F$1005,MATCH($F746,商品マスタ!$B$6:$B$1005,0)),"")</f>
        <v/>
      </c>
      <c r="J746" s="69" t="str">
        <f aca="false">IF(OR($F746="",$C746&lt;&gt;'設定（最初に1回）'!$C$4),"",IFERROR(INDEX(発注計算!$Y$6:$Y$405,MATCH($F746,発注計算!$C$6:$C$405,0)),""))</f>
        <v/>
      </c>
      <c r="K746" s="70"/>
      <c r="L746" s="69" t="str">
        <f aca="false">IF($K746="","",N($K746)*N($I746))</f>
        <v/>
      </c>
      <c r="M746" s="71" t="str">
        <f aca="false">IFERROR(INDEX(商品マスタ!$G$6:$G$1005,MATCH($F746,商品マスタ!$B$6:$B$1005,0)),"")</f>
        <v/>
      </c>
      <c r="N746" s="71" t="str">
        <f aca="false">IF($K746="","",N($K746)*N($M746))</f>
        <v/>
      </c>
      <c r="O746" s="66" t="str">
        <f aca="false">IFERROR(INDEX(商品マスタ!$H$6:$H$1005,MATCH($F746,商品マスタ!$B$6:$B$1005,0)),"")</f>
        <v/>
      </c>
      <c r="P746" s="87" t="str">
        <f aca="false">IF(OR($E746="",$O746=""),"",WORKDAY($E746,$O746))</f>
        <v/>
      </c>
      <c r="Q746" s="80"/>
      <c r="R746" s="131"/>
      <c r="S746" s="69" t="n">
        <f aca="false">IF($Q746="入荷済み",N($L746),0)</f>
        <v>0</v>
      </c>
      <c r="T746" s="80"/>
      <c r="U746" s="80"/>
    </row>
    <row r="747" customFormat="false" ht="15" hidden="false" customHeight="false" outlineLevel="0" collapsed="false">
      <c r="B747" s="66" t="str">
        <f aca="false">IF(OR($E747="",$F747=""),"","PO-"&amp;TEXT($E747,"yyyymmdd")&amp;"-"&amp;TEXT(COUNTIFS($E$6:$E747,$E747,$C$6:$C747,$C747),"000"))</f>
        <v/>
      </c>
      <c r="C747" s="130"/>
      <c r="D747" s="66" t="str">
        <f aca="false">IFERROR(INDEX(定数マスタ!$C$6:$C$105,MATCH($C747,定数マスタ!$B$6:$B$105,0)),"")</f>
        <v/>
      </c>
      <c r="E747" s="131"/>
      <c r="F747" s="130"/>
      <c r="G747" s="66" t="str">
        <f aca="false">IFERROR(INDEX(商品マスタ!$C$6:$C$1005,MATCH($F747,商品マスタ!$B$6:$B$1005,0)),"")</f>
        <v/>
      </c>
      <c r="H747" s="66" t="str">
        <f aca="false">IFERROR(INDEX(商品マスタ!$E$6:$E$1005,MATCH($F747,商品マスタ!$B$6:$B$1005,0)),"")</f>
        <v/>
      </c>
      <c r="I747" s="69" t="str">
        <f aca="false">IFERROR(INDEX(商品マスタ!$F$6:$F$1005,MATCH($F747,商品マスタ!$B$6:$B$1005,0)),"")</f>
        <v/>
      </c>
      <c r="J747" s="69" t="str">
        <f aca="false">IF(OR($F747="",$C747&lt;&gt;'設定（最初に1回）'!$C$4),"",IFERROR(INDEX(発注計算!$Y$6:$Y$405,MATCH($F747,発注計算!$C$6:$C$405,0)),""))</f>
        <v/>
      </c>
      <c r="K747" s="70"/>
      <c r="L747" s="69" t="str">
        <f aca="false">IF($K747="","",N($K747)*N($I747))</f>
        <v/>
      </c>
      <c r="M747" s="71" t="str">
        <f aca="false">IFERROR(INDEX(商品マスタ!$G$6:$G$1005,MATCH($F747,商品マスタ!$B$6:$B$1005,0)),"")</f>
        <v/>
      </c>
      <c r="N747" s="71" t="str">
        <f aca="false">IF($K747="","",N($K747)*N($M747))</f>
        <v/>
      </c>
      <c r="O747" s="66" t="str">
        <f aca="false">IFERROR(INDEX(商品マスタ!$H$6:$H$1005,MATCH($F747,商品マスタ!$B$6:$B$1005,0)),"")</f>
        <v/>
      </c>
      <c r="P747" s="87" t="str">
        <f aca="false">IF(OR($E747="",$O747=""),"",WORKDAY($E747,$O747))</f>
        <v/>
      </c>
      <c r="Q747" s="80"/>
      <c r="R747" s="131"/>
      <c r="S747" s="69" t="n">
        <f aca="false">IF($Q747="入荷済み",N($L747),0)</f>
        <v>0</v>
      </c>
      <c r="T747" s="80"/>
      <c r="U747" s="80"/>
    </row>
    <row r="748" customFormat="false" ht="15" hidden="false" customHeight="false" outlineLevel="0" collapsed="false">
      <c r="B748" s="66" t="str">
        <f aca="false">IF(OR($E748="",$F748=""),"","PO-"&amp;TEXT($E748,"yyyymmdd")&amp;"-"&amp;TEXT(COUNTIFS($E$6:$E748,$E748,$C$6:$C748,$C748),"000"))</f>
        <v/>
      </c>
      <c r="C748" s="130"/>
      <c r="D748" s="66" t="str">
        <f aca="false">IFERROR(INDEX(定数マスタ!$C$6:$C$105,MATCH($C748,定数マスタ!$B$6:$B$105,0)),"")</f>
        <v/>
      </c>
      <c r="E748" s="131"/>
      <c r="F748" s="130"/>
      <c r="G748" s="66" t="str">
        <f aca="false">IFERROR(INDEX(商品マスタ!$C$6:$C$1005,MATCH($F748,商品マスタ!$B$6:$B$1005,0)),"")</f>
        <v/>
      </c>
      <c r="H748" s="66" t="str">
        <f aca="false">IFERROR(INDEX(商品マスタ!$E$6:$E$1005,MATCH($F748,商品マスタ!$B$6:$B$1005,0)),"")</f>
        <v/>
      </c>
      <c r="I748" s="69" t="str">
        <f aca="false">IFERROR(INDEX(商品マスタ!$F$6:$F$1005,MATCH($F748,商品マスタ!$B$6:$B$1005,0)),"")</f>
        <v/>
      </c>
      <c r="J748" s="69" t="str">
        <f aca="false">IF(OR($F748="",$C748&lt;&gt;'設定（最初に1回）'!$C$4),"",IFERROR(INDEX(発注計算!$Y$6:$Y$405,MATCH($F748,発注計算!$C$6:$C$405,0)),""))</f>
        <v/>
      </c>
      <c r="K748" s="70"/>
      <c r="L748" s="69" t="str">
        <f aca="false">IF($K748="","",N($K748)*N($I748))</f>
        <v/>
      </c>
      <c r="M748" s="71" t="str">
        <f aca="false">IFERROR(INDEX(商品マスタ!$G$6:$G$1005,MATCH($F748,商品マスタ!$B$6:$B$1005,0)),"")</f>
        <v/>
      </c>
      <c r="N748" s="71" t="str">
        <f aca="false">IF($K748="","",N($K748)*N($M748))</f>
        <v/>
      </c>
      <c r="O748" s="66" t="str">
        <f aca="false">IFERROR(INDEX(商品マスタ!$H$6:$H$1005,MATCH($F748,商品マスタ!$B$6:$B$1005,0)),"")</f>
        <v/>
      </c>
      <c r="P748" s="87" t="str">
        <f aca="false">IF(OR($E748="",$O748=""),"",WORKDAY($E748,$O748))</f>
        <v/>
      </c>
      <c r="Q748" s="80"/>
      <c r="R748" s="131"/>
      <c r="S748" s="69" t="n">
        <f aca="false">IF($Q748="入荷済み",N($L748),0)</f>
        <v>0</v>
      </c>
      <c r="T748" s="80"/>
      <c r="U748" s="80"/>
    </row>
    <row r="749" customFormat="false" ht="15" hidden="false" customHeight="false" outlineLevel="0" collapsed="false">
      <c r="B749" s="66" t="str">
        <f aca="false">IF(OR($E749="",$F749=""),"","PO-"&amp;TEXT($E749,"yyyymmdd")&amp;"-"&amp;TEXT(COUNTIFS($E$6:$E749,$E749,$C$6:$C749,$C749),"000"))</f>
        <v/>
      </c>
      <c r="C749" s="130"/>
      <c r="D749" s="66" t="str">
        <f aca="false">IFERROR(INDEX(定数マスタ!$C$6:$C$105,MATCH($C749,定数マスタ!$B$6:$B$105,0)),"")</f>
        <v/>
      </c>
      <c r="E749" s="131"/>
      <c r="F749" s="130"/>
      <c r="G749" s="66" t="str">
        <f aca="false">IFERROR(INDEX(商品マスタ!$C$6:$C$1005,MATCH($F749,商品マスタ!$B$6:$B$1005,0)),"")</f>
        <v/>
      </c>
      <c r="H749" s="66" t="str">
        <f aca="false">IFERROR(INDEX(商品マスタ!$E$6:$E$1005,MATCH($F749,商品マスタ!$B$6:$B$1005,0)),"")</f>
        <v/>
      </c>
      <c r="I749" s="69" t="str">
        <f aca="false">IFERROR(INDEX(商品マスタ!$F$6:$F$1005,MATCH($F749,商品マスタ!$B$6:$B$1005,0)),"")</f>
        <v/>
      </c>
      <c r="J749" s="69" t="str">
        <f aca="false">IF(OR($F749="",$C749&lt;&gt;'設定（最初に1回）'!$C$4),"",IFERROR(INDEX(発注計算!$Y$6:$Y$405,MATCH($F749,発注計算!$C$6:$C$405,0)),""))</f>
        <v/>
      </c>
      <c r="K749" s="70"/>
      <c r="L749" s="69" t="str">
        <f aca="false">IF($K749="","",N($K749)*N($I749))</f>
        <v/>
      </c>
      <c r="M749" s="71" t="str">
        <f aca="false">IFERROR(INDEX(商品マスタ!$G$6:$G$1005,MATCH($F749,商品マスタ!$B$6:$B$1005,0)),"")</f>
        <v/>
      </c>
      <c r="N749" s="71" t="str">
        <f aca="false">IF($K749="","",N($K749)*N($M749))</f>
        <v/>
      </c>
      <c r="O749" s="66" t="str">
        <f aca="false">IFERROR(INDEX(商品マスタ!$H$6:$H$1005,MATCH($F749,商品マスタ!$B$6:$B$1005,0)),"")</f>
        <v/>
      </c>
      <c r="P749" s="87" t="str">
        <f aca="false">IF(OR($E749="",$O749=""),"",WORKDAY($E749,$O749))</f>
        <v/>
      </c>
      <c r="Q749" s="80"/>
      <c r="R749" s="131"/>
      <c r="S749" s="69" t="n">
        <f aca="false">IF($Q749="入荷済み",N($L749),0)</f>
        <v>0</v>
      </c>
      <c r="T749" s="80"/>
      <c r="U749" s="80"/>
    </row>
    <row r="750" customFormat="false" ht="15" hidden="false" customHeight="false" outlineLevel="0" collapsed="false">
      <c r="B750" s="66" t="str">
        <f aca="false">IF(OR($E750="",$F750=""),"","PO-"&amp;TEXT($E750,"yyyymmdd")&amp;"-"&amp;TEXT(COUNTIFS($E$6:$E750,$E750,$C$6:$C750,$C750),"000"))</f>
        <v/>
      </c>
      <c r="C750" s="130"/>
      <c r="D750" s="66" t="str">
        <f aca="false">IFERROR(INDEX(定数マスタ!$C$6:$C$105,MATCH($C750,定数マスタ!$B$6:$B$105,0)),"")</f>
        <v/>
      </c>
      <c r="E750" s="131"/>
      <c r="F750" s="130"/>
      <c r="G750" s="66" t="str">
        <f aca="false">IFERROR(INDEX(商品マスタ!$C$6:$C$1005,MATCH($F750,商品マスタ!$B$6:$B$1005,0)),"")</f>
        <v/>
      </c>
      <c r="H750" s="66" t="str">
        <f aca="false">IFERROR(INDEX(商品マスタ!$E$6:$E$1005,MATCH($F750,商品マスタ!$B$6:$B$1005,0)),"")</f>
        <v/>
      </c>
      <c r="I750" s="69" t="str">
        <f aca="false">IFERROR(INDEX(商品マスタ!$F$6:$F$1005,MATCH($F750,商品マスタ!$B$6:$B$1005,0)),"")</f>
        <v/>
      </c>
      <c r="J750" s="69" t="str">
        <f aca="false">IF(OR($F750="",$C750&lt;&gt;'設定（最初に1回）'!$C$4),"",IFERROR(INDEX(発注計算!$Y$6:$Y$405,MATCH($F750,発注計算!$C$6:$C$405,0)),""))</f>
        <v/>
      </c>
      <c r="K750" s="70"/>
      <c r="L750" s="69" t="str">
        <f aca="false">IF($K750="","",N($K750)*N($I750))</f>
        <v/>
      </c>
      <c r="M750" s="71" t="str">
        <f aca="false">IFERROR(INDEX(商品マスタ!$G$6:$G$1005,MATCH($F750,商品マスタ!$B$6:$B$1005,0)),"")</f>
        <v/>
      </c>
      <c r="N750" s="71" t="str">
        <f aca="false">IF($K750="","",N($K750)*N($M750))</f>
        <v/>
      </c>
      <c r="O750" s="66" t="str">
        <f aca="false">IFERROR(INDEX(商品マスタ!$H$6:$H$1005,MATCH($F750,商品マスタ!$B$6:$B$1005,0)),"")</f>
        <v/>
      </c>
      <c r="P750" s="87" t="str">
        <f aca="false">IF(OR($E750="",$O750=""),"",WORKDAY($E750,$O750))</f>
        <v/>
      </c>
      <c r="Q750" s="80"/>
      <c r="R750" s="131"/>
      <c r="S750" s="69" t="n">
        <f aca="false">IF($Q750="入荷済み",N($L750),0)</f>
        <v>0</v>
      </c>
      <c r="T750" s="80"/>
      <c r="U750" s="80"/>
    </row>
    <row r="751" customFormat="false" ht="15" hidden="false" customHeight="false" outlineLevel="0" collapsed="false">
      <c r="B751" s="66" t="str">
        <f aca="false">IF(OR($E751="",$F751=""),"","PO-"&amp;TEXT($E751,"yyyymmdd")&amp;"-"&amp;TEXT(COUNTIFS($E$6:$E751,$E751,$C$6:$C751,$C751),"000"))</f>
        <v/>
      </c>
      <c r="C751" s="130"/>
      <c r="D751" s="66" t="str">
        <f aca="false">IFERROR(INDEX(定数マスタ!$C$6:$C$105,MATCH($C751,定数マスタ!$B$6:$B$105,0)),"")</f>
        <v/>
      </c>
      <c r="E751" s="131"/>
      <c r="F751" s="130"/>
      <c r="G751" s="66" t="str">
        <f aca="false">IFERROR(INDEX(商品マスタ!$C$6:$C$1005,MATCH($F751,商品マスタ!$B$6:$B$1005,0)),"")</f>
        <v/>
      </c>
      <c r="H751" s="66" t="str">
        <f aca="false">IFERROR(INDEX(商品マスタ!$E$6:$E$1005,MATCH($F751,商品マスタ!$B$6:$B$1005,0)),"")</f>
        <v/>
      </c>
      <c r="I751" s="69" t="str">
        <f aca="false">IFERROR(INDEX(商品マスタ!$F$6:$F$1005,MATCH($F751,商品マスタ!$B$6:$B$1005,0)),"")</f>
        <v/>
      </c>
      <c r="J751" s="69" t="str">
        <f aca="false">IF(OR($F751="",$C751&lt;&gt;'設定（最初に1回）'!$C$4),"",IFERROR(INDEX(発注計算!$Y$6:$Y$405,MATCH($F751,発注計算!$C$6:$C$405,0)),""))</f>
        <v/>
      </c>
      <c r="K751" s="70"/>
      <c r="L751" s="69" t="str">
        <f aca="false">IF($K751="","",N($K751)*N($I751))</f>
        <v/>
      </c>
      <c r="M751" s="71" t="str">
        <f aca="false">IFERROR(INDEX(商品マスタ!$G$6:$G$1005,MATCH($F751,商品マスタ!$B$6:$B$1005,0)),"")</f>
        <v/>
      </c>
      <c r="N751" s="71" t="str">
        <f aca="false">IF($K751="","",N($K751)*N($M751))</f>
        <v/>
      </c>
      <c r="O751" s="66" t="str">
        <f aca="false">IFERROR(INDEX(商品マスタ!$H$6:$H$1005,MATCH($F751,商品マスタ!$B$6:$B$1005,0)),"")</f>
        <v/>
      </c>
      <c r="P751" s="87" t="str">
        <f aca="false">IF(OR($E751="",$O751=""),"",WORKDAY($E751,$O751))</f>
        <v/>
      </c>
      <c r="Q751" s="80"/>
      <c r="R751" s="131"/>
      <c r="S751" s="69" t="n">
        <f aca="false">IF($Q751="入荷済み",N($L751),0)</f>
        <v>0</v>
      </c>
      <c r="T751" s="80"/>
      <c r="U751" s="80"/>
    </row>
    <row r="752" customFormat="false" ht="15" hidden="false" customHeight="false" outlineLevel="0" collapsed="false">
      <c r="B752" s="66" t="str">
        <f aca="false">IF(OR($E752="",$F752=""),"","PO-"&amp;TEXT($E752,"yyyymmdd")&amp;"-"&amp;TEXT(COUNTIFS($E$6:$E752,$E752,$C$6:$C752,$C752),"000"))</f>
        <v/>
      </c>
      <c r="C752" s="130"/>
      <c r="D752" s="66" t="str">
        <f aca="false">IFERROR(INDEX(定数マスタ!$C$6:$C$105,MATCH($C752,定数マスタ!$B$6:$B$105,0)),"")</f>
        <v/>
      </c>
      <c r="E752" s="131"/>
      <c r="F752" s="130"/>
      <c r="G752" s="66" t="str">
        <f aca="false">IFERROR(INDEX(商品マスタ!$C$6:$C$1005,MATCH($F752,商品マスタ!$B$6:$B$1005,0)),"")</f>
        <v/>
      </c>
      <c r="H752" s="66" t="str">
        <f aca="false">IFERROR(INDEX(商品マスタ!$E$6:$E$1005,MATCH($F752,商品マスタ!$B$6:$B$1005,0)),"")</f>
        <v/>
      </c>
      <c r="I752" s="69" t="str">
        <f aca="false">IFERROR(INDEX(商品マスタ!$F$6:$F$1005,MATCH($F752,商品マスタ!$B$6:$B$1005,0)),"")</f>
        <v/>
      </c>
      <c r="J752" s="69" t="str">
        <f aca="false">IF(OR($F752="",$C752&lt;&gt;'設定（最初に1回）'!$C$4),"",IFERROR(INDEX(発注計算!$Y$6:$Y$405,MATCH($F752,発注計算!$C$6:$C$405,0)),""))</f>
        <v/>
      </c>
      <c r="K752" s="70"/>
      <c r="L752" s="69" t="str">
        <f aca="false">IF($K752="","",N($K752)*N($I752))</f>
        <v/>
      </c>
      <c r="M752" s="71" t="str">
        <f aca="false">IFERROR(INDEX(商品マスタ!$G$6:$G$1005,MATCH($F752,商品マスタ!$B$6:$B$1005,0)),"")</f>
        <v/>
      </c>
      <c r="N752" s="71" t="str">
        <f aca="false">IF($K752="","",N($K752)*N($M752))</f>
        <v/>
      </c>
      <c r="O752" s="66" t="str">
        <f aca="false">IFERROR(INDEX(商品マスタ!$H$6:$H$1005,MATCH($F752,商品マスタ!$B$6:$B$1005,0)),"")</f>
        <v/>
      </c>
      <c r="P752" s="87" t="str">
        <f aca="false">IF(OR($E752="",$O752=""),"",WORKDAY($E752,$O752))</f>
        <v/>
      </c>
      <c r="Q752" s="80"/>
      <c r="R752" s="131"/>
      <c r="S752" s="69" t="n">
        <f aca="false">IF($Q752="入荷済み",N($L752),0)</f>
        <v>0</v>
      </c>
      <c r="T752" s="80"/>
      <c r="U752" s="80"/>
    </row>
    <row r="753" customFormat="false" ht="15" hidden="false" customHeight="false" outlineLevel="0" collapsed="false">
      <c r="B753" s="66" t="str">
        <f aca="false">IF(OR($E753="",$F753=""),"","PO-"&amp;TEXT($E753,"yyyymmdd")&amp;"-"&amp;TEXT(COUNTIFS($E$6:$E753,$E753,$C$6:$C753,$C753),"000"))</f>
        <v/>
      </c>
      <c r="C753" s="130"/>
      <c r="D753" s="66" t="str">
        <f aca="false">IFERROR(INDEX(定数マスタ!$C$6:$C$105,MATCH($C753,定数マスタ!$B$6:$B$105,0)),"")</f>
        <v/>
      </c>
      <c r="E753" s="131"/>
      <c r="F753" s="130"/>
      <c r="G753" s="66" t="str">
        <f aca="false">IFERROR(INDEX(商品マスタ!$C$6:$C$1005,MATCH($F753,商品マスタ!$B$6:$B$1005,0)),"")</f>
        <v/>
      </c>
      <c r="H753" s="66" t="str">
        <f aca="false">IFERROR(INDEX(商品マスタ!$E$6:$E$1005,MATCH($F753,商品マスタ!$B$6:$B$1005,0)),"")</f>
        <v/>
      </c>
      <c r="I753" s="69" t="str">
        <f aca="false">IFERROR(INDEX(商品マスタ!$F$6:$F$1005,MATCH($F753,商品マスタ!$B$6:$B$1005,0)),"")</f>
        <v/>
      </c>
      <c r="J753" s="69" t="str">
        <f aca="false">IF(OR($F753="",$C753&lt;&gt;'設定（最初に1回）'!$C$4),"",IFERROR(INDEX(発注計算!$Y$6:$Y$405,MATCH($F753,発注計算!$C$6:$C$405,0)),""))</f>
        <v/>
      </c>
      <c r="K753" s="70"/>
      <c r="L753" s="69" t="str">
        <f aca="false">IF($K753="","",N($K753)*N($I753))</f>
        <v/>
      </c>
      <c r="M753" s="71" t="str">
        <f aca="false">IFERROR(INDEX(商品マスタ!$G$6:$G$1005,MATCH($F753,商品マスタ!$B$6:$B$1005,0)),"")</f>
        <v/>
      </c>
      <c r="N753" s="71" t="str">
        <f aca="false">IF($K753="","",N($K753)*N($M753))</f>
        <v/>
      </c>
      <c r="O753" s="66" t="str">
        <f aca="false">IFERROR(INDEX(商品マスタ!$H$6:$H$1005,MATCH($F753,商品マスタ!$B$6:$B$1005,0)),"")</f>
        <v/>
      </c>
      <c r="P753" s="87" t="str">
        <f aca="false">IF(OR($E753="",$O753=""),"",WORKDAY($E753,$O753))</f>
        <v/>
      </c>
      <c r="Q753" s="80"/>
      <c r="R753" s="131"/>
      <c r="S753" s="69" t="n">
        <f aca="false">IF($Q753="入荷済み",N($L753),0)</f>
        <v>0</v>
      </c>
      <c r="T753" s="80"/>
      <c r="U753" s="80"/>
    </row>
    <row r="754" customFormat="false" ht="15" hidden="false" customHeight="false" outlineLevel="0" collapsed="false">
      <c r="B754" s="66" t="str">
        <f aca="false">IF(OR($E754="",$F754=""),"","PO-"&amp;TEXT($E754,"yyyymmdd")&amp;"-"&amp;TEXT(COUNTIFS($E$6:$E754,$E754,$C$6:$C754,$C754),"000"))</f>
        <v/>
      </c>
      <c r="C754" s="130"/>
      <c r="D754" s="66" t="str">
        <f aca="false">IFERROR(INDEX(定数マスタ!$C$6:$C$105,MATCH($C754,定数マスタ!$B$6:$B$105,0)),"")</f>
        <v/>
      </c>
      <c r="E754" s="131"/>
      <c r="F754" s="130"/>
      <c r="G754" s="66" t="str">
        <f aca="false">IFERROR(INDEX(商品マスタ!$C$6:$C$1005,MATCH($F754,商品マスタ!$B$6:$B$1005,0)),"")</f>
        <v/>
      </c>
      <c r="H754" s="66" t="str">
        <f aca="false">IFERROR(INDEX(商品マスタ!$E$6:$E$1005,MATCH($F754,商品マスタ!$B$6:$B$1005,0)),"")</f>
        <v/>
      </c>
      <c r="I754" s="69" t="str">
        <f aca="false">IFERROR(INDEX(商品マスタ!$F$6:$F$1005,MATCH($F754,商品マスタ!$B$6:$B$1005,0)),"")</f>
        <v/>
      </c>
      <c r="J754" s="69" t="str">
        <f aca="false">IF(OR($F754="",$C754&lt;&gt;'設定（最初に1回）'!$C$4),"",IFERROR(INDEX(発注計算!$Y$6:$Y$405,MATCH($F754,発注計算!$C$6:$C$405,0)),""))</f>
        <v/>
      </c>
      <c r="K754" s="70"/>
      <c r="L754" s="69" t="str">
        <f aca="false">IF($K754="","",N($K754)*N($I754))</f>
        <v/>
      </c>
      <c r="M754" s="71" t="str">
        <f aca="false">IFERROR(INDEX(商品マスタ!$G$6:$G$1005,MATCH($F754,商品マスタ!$B$6:$B$1005,0)),"")</f>
        <v/>
      </c>
      <c r="N754" s="71" t="str">
        <f aca="false">IF($K754="","",N($K754)*N($M754))</f>
        <v/>
      </c>
      <c r="O754" s="66" t="str">
        <f aca="false">IFERROR(INDEX(商品マスタ!$H$6:$H$1005,MATCH($F754,商品マスタ!$B$6:$B$1005,0)),"")</f>
        <v/>
      </c>
      <c r="P754" s="87" t="str">
        <f aca="false">IF(OR($E754="",$O754=""),"",WORKDAY($E754,$O754))</f>
        <v/>
      </c>
      <c r="Q754" s="80"/>
      <c r="R754" s="131"/>
      <c r="S754" s="69" t="n">
        <f aca="false">IF($Q754="入荷済み",N($L754),0)</f>
        <v>0</v>
      </c>
      <c r="T754" s="80"/>
      <c r="U754" s="80"/>
    </row>
    <row r="755" customFormat="false" ht="15" hidden="false" customHeight="false" outlineLevel="0" collapsed="false">
      <c r="B755" s="66" t="str">
        <f aca="false">IF(OR($E755="",$F755=""),"","PO-"&amp;TEXT($E755,"yyyymmdd")&amp;"-"&amp;TEXT(COUNTIFS($E$6:$E755,$E755,$C$6:$C755,$C755),"000"))</f>
        <v/>
      </c>
      <c r="C755" s="130"/>
      <c r="D755" s="66" t="str">
        <f aca="false">IFERROR(INDEX(定数マスタ!$C$6:$C$105,MATCH($C755,定数マスタ!$B$6:$B$105,0)),"")</f>
        <v/>
      </c>
      <c r="E755" s="131"/>
      <c r="F755" s="130"/>
      <c r="G755" s="66" t="str">
        <f aca="false">IFERROR(INDEX(商品マスタ!$C$6:$C$1005,MATCH($F755,商品マスタ!$B$6:$B$1005,0)),"")</f>
        <v/>
      </c>
      <c r="H755" s="66" t="str">
        <f aca="false">IFERROR(INDEX(商品マスタ!$E$6:$E$1005,MATCH($F755,商品マスタ!$B$6:$B$1005,0)),"")</f>
        <v/>
      </c>
      <c r="I755" s="69" t="str">
        <f aca="false">IFERROR(INDEX(商品マスタ!$F$6:$F$1005,MATCH($F755,商品マスタ!$B$6:$B$1005,0)),"")</f>
        <v/>
      </c>
      <c r="J755" s="69" t="str">
        <f aca="false">IF(OR($F755="",$C755&lt;&gt;'設定（最初に1回）'!$C$4),"",IFERROR(INDEX(発注計算!$Y$6:$Y$405,MATCH($F755,発注計算!$C$6:$C$405,0)),""))</f>
        <v/>
      </c>
      <c r="K755" s="70"/>
      <c r="L755" s="69" t="str">
        <f aca="false">IF($K755="","",N($K755)*N($I755))</f>
        <v/>
      </c>
      <c r="M755" s="71" t="str">
        <f aca="false">IFERROR(INDEX(商品マスタ!$G$6:$G$1005,MATCH($F755,商品マスタ!$B$6:$B$1005,0)),"")</f>
        <v/>
      </c>
      <c r="N755" s="71" t="str">
        <f aca="false">IF($K755="","",N($K755)*N($M755))</f>
        <v/>
      </c>
      <c r="O755" s="66" t="str">
        <f aca="false">IFERROR(INDEX(商品マスタ!$H$6:$H$1005,MATCH($F755,商品マスタ!$B$6:$B$1005,0)),"")</f>
        <v/>
      </c>
      <c r="P755" s="87" t="str">
        <f aca="false">IF(OR($E755="",$O755=""),"",WORKDAY($E755,$O755))</f>
        <v/>
      </c>
      <c r="Q755" s="80"/>
      <c r="R755" s="131"/>
      <c r="S755" s="69" t="n">
        <f aca="false">IF($Q755="入荷済み",N($L755),0)</f>
        <v>0</v>
      </c>
      <c r="T755" s="80"/>
      <c r="U755" s="80"/>
    </row>
    <row r="756" customFormat="false" ht="15" hidden="false" customHeight="false" outlineLevel="0" collapsed="false">
      <c r="B756" s="66" t="str">
        <f aca="false">IF(OR($E756="",$F756=""),"","PO-"&amp;TEXT($E756,"yyyymmdd")&amp;"-"&amp;TEXT(COUNTIFS($E$6:$E756,$E756,$C$6:$C756,$C756),"000"))</f>
        <v/>
      </c>
      <c r="C756" s="130"/>
      <c r="D756" s="66" t="str">
        <f aca="false">IFERROR(INDEX(定数マスタ!$C$6:$C$105,MATCH($C756,定数マスタ!$B$6:$B$105,0)),"")</f>
        <v/>
      </c>
      <c r="E756" s="131"/>
      <c r="F756" s="130"/>
      <c r="G756" s="66" t="str">
        <f aca="false">IFERROR(INDEX(商品マスタ!$C$6:$C$1005,MATCH($F756,商品マスタ!$B$6:$B$1005,0)),"")</f>
        <v/>
      </c>
      <c r="H756" s="66" t="str">
        <f aca="false">IFERROR(INDEX(商品マスタ!$E$6:$E$1005,MATCH($F756,商品マスタ!$B$6:$B$1005,0)),"")</f>
        <v/>
      </c>
      <c r="I756" s="69" t="str">
        <f aca="false">IFERROR(INDEX(商品マスタ!$F$6:$F$1005,MATCH($F756,商品マスタ!$B$6:$B$1005,0)),"")</f>
        <v/>
      </c>
      <c r="J756" s="69" t="str">
        <f aca="false">IF(OR($F756="",$C756&lt;&gt;'設定（最初に1回）'!$C$4),"",IFERROR(INDEX(発注計算!$Y$6:$Y$405,MATCH($F756,発注計算!$C$6:$C$405,0)),""))</f>
        <v/>
      </c>
      <c r="K756" s="70"/>
      <c r="L756" s="69" t="str">
        <f aca="false">IF($K756="","",N($K756)*N($I756))</f>
        <v/>
      </c>
      <c r="M756" s="71" t="str">
        <f aca="false">IFERROR(INDEX(商品マスタ!$G$6:$G$1005,MATCH($F756,商品マスタ!$B$6:$B$1005,0)),"")</f>
        <v/>
      </c>
      <c r="N756" s="71" t="str">
        <f aca="false">IF($K756="","",N($K756)*N($M756))</f>
        <v/>
      </c>
      <c r="O756" s="66" t="str">
        <f aca="false">IFERROR(INDEX(商品マスタ!$H$6:$H$1005,MATCH($F756,商品マスタ!$B$6:$B$1005,0)),"")</f>
        <v/>
      </c>
      <c r="P756" s="87" t="str">
        <f aca="false">IF(OR($E756="",$O756=""),"",WORKDAY($E756,$O756))</f>
        <v/>
      </c>
      <c r="Q756" s="80"/>
      <c r="R756" s="131"/>
      <c r="S756" s="69" t="n">
        <f aca="false">IF($Q756="入荷済み",N($L756),0)</f>
        <v>0</v>
      </c>
      <c r="T756" s="80"/>
      <c r="U756" s="80"/>
    </row>
    <row r="757" customFormat="false" ht="15" hidden="false" customHeight="false" outlineLevel="0" collapsed="false">
      <c r="B757" s="66" t="str">
        <f aca="false">IF(OR($E757="",$F757=""),"","PO-"&amp;TEXT($E757,"yyyymmdd")&amp;"-"&amp;TEXT(COUNTIFS($E$6:$E757,$E757,$C$6:$C757,$C757),"000"))</f>
        <v/>
      </c>
      <c r="C757" s="130"/>
      <c r="D757" s="66" t="str">
        <f aca="false">IFERROR(INDEX(定数マスタ!$C$6:$C$105,MATCH($C757,定数マスタ!$B$6:$B$105,0)),"")</f>
        <v/>
      </c>
      <c r="E757" s="131"/>
      <c r="F757" s="130"/>
      <c r="G757" s="66" t="str">
        <f aca="false">IFERROR(INDEX(商品マスタ!$C$6:$C$1005,MATCH($F757,商品マスタ!$B$6:$B$1005,0)),"")</f>
        <v/>
      </c>
      <c r="H757" s="66" t="str">
        <f aca="false">IFERROR(INDEX(商品マスタ!$E$6:$E$1005,MATCH($F757,商品マスタ!$B$6:$B$1005,0)),"")</f>
        <v/>
      </c>
      <c r="I757" s="69" t="str">
        <f aca="false">IFERROR(INDEX(商品マスタ!$F$6:$F$1005,MATCH($F757,商品マスタ!$B$6:$B$1005,0)),"")</f>
        <v/>
      </c>
      <c r="J757" s="69" t="str">
        <f aca="false">IF(OR($F757="",$C757&lt;&gt;'設定（最初に1回）'!$C$4),"",IFERROR(INDEX(発注計算!$Y$6:$Y$405,MATCH($F757,発注計算!$C$6:$C$405,0)),""))</f>
        <v/>
      </c>
      <c r="K757" s="70"/>
      <c r="L757" s="69" t="str">
        <f aca="false">IF($K757="","",N($K757)*N($I757))</f>
        <v/>
      </c>
      <c r="M757" s="71" t="str">
        <f aca="false">IFERROR(INDEX(商品マスタ!$G$6:$G$1005,MATCH($F757,商品マスタ!$B$6:$B$1005,0)),"")</f>
        <v/>
      </c>
      <c r="N757" s="71" t="str">
        <f aca="false">IF($K757="","",N($K757)*N($M757))</f>
        <v/>
      </c>
      <c r="O757" s="66" t="str">
        <f aca="false">IFERROR(INDEX(商品マスタ!$H$6:$H$1005,MATCH($F757,商品マスタ!$B$6:$B$1005,0)),"")</f>
        <v/>
      </c>
      <c r="P757" s="87" t="str">
        <f aca="false">IF(OR($E757="",$O757=""),"",WORKDAY($E757,$O757))</f>
        <v/>
      </c>
      <c r="Q757" s="80"/>
      <c r="R757" s="131"/>
      <c r="S757" s="69" t="n">
        <f aca="false">IF($Q757="入荷済み",N($L757),0)</f>
        <v>0</v>
      </c>
      <c r="T757" s="80"/>
      <c r="U757" s="80"/>
    </row>
    <row r="758" customFormat="false" ht="15" hidden="false" customHeight="false" outlineLevel="0" collapsed="false">
      <c r="B758" s="66" t="str">
        <f aca="false">IF(OR($E758="",$F758=""),"","PO-"&amp;TEXT($E758,"yyyymmdd")&amp;"-"&amp;TEXT(COUNTIFS($E$6:$E758,$E758,$C$6:$C758,$C758),"000"))</f>
        <v/>
      </c>
      <c r="C758" s="130"/>
      <c r="D758" s="66" t="str">
        <f aca="false">IFERROR(INDEX(定数マスタ!$C$6:$C$105,MATCH($C758,定数マスタ!$B$6:$B$105,0)),"")</f>
        <v/>
      </c>
      <c r="E758" s="131"/>
      <c r="F758" s="130"/>
      <c r="G758" s="66" t="str">
        <f aca="false">IFERROR(INDEX(商品マスタ!$C$6:$C$1005,MATCH($F758,商品マスタ!$B$6:$B$1005,0)),"")</f>
        <v/>
      </c>
      <c r="H758" s="66" t="str">
        <f aca="false">IFERROR(INDEX(商品マスタ!$E$6:$E$1005,MATCH($F758,商品マスタ!$B$6:$B$1005,0)),"")</f>
        <v/>
      </c>
      <c r="I758" s="69" t="str">
        <f aca="false">IFERROR(INDEX(商品マスタ!$F$6:$F$1005,MATCH($F758,商品マスタ!$B$6:$B$1005,0)),"")</f>
        <v/>
      </c>
      <c r="J758" s="69" t="str">
        <f aca="false">IF(OR($F758="",$C758&lt;&gt;'設定（最初に1回）'!$C$4),"",IFERROR(INDEX(発注計算!$Y$6:$Y$405,MATCH($F758,発注計算!$C$6:$C$405,0)),""))</f>
        <v/>
      </c>
      <c r="K758" s="70"/>
      <c r="L758" s="69" t="str">
        <f aca="false">IF($K758="","",N($K758)*N($I758))</f>
        <v/>
      </c>
      <c r="M758" s="71" t="str">
        <f aca="false">IFERROR(INDEX(商品マスタ!$G$6:$G$1005,MATCH($F758,商品マスタ!$B$6:$B$1005,0)),"")</f>
        <v/>
      </c>
      <c r="N758" s="71" t="str">
        <f aca="false">IF($K758="","",N($K758)*N($M758))</f>
        <v/>
      </c>
      <c r="O758" s="66" t="str">
        <f aca="false">IFERROR(INDEX(商品マスタ!$H$6:$H$1005,MATCH($F758,商品マスタ!$B$6:$B$1005,0)),"")</f>
        <v/>
      </c>
      <c r="P758" s="87" t="str">
        <f aca="false">IF(OR($E758="",$O758=""),"",WORKDAY($E758,$O758))</f>
        <v/>
      </c>
      <c r="Q758" s="80"/>
      <c r="R758" s="131"/>
      <c r="S758" s="69" t="n">
        <f aca="false">IF($Q758="入荷済み",N($L758),0)</f>
        <v>0</v>
      </c>
      <c r="T758" s="80"/>
      <c r="U758" s="80"/>
    </row>
    <row r="759" customFormat="false" ht="15" hidden="false" customHeight="false" outlineLevel="0" collapsed="false">
      <c r="B759" s="66" t="str">
        <f aca="false">IF(OR($E759="",$F759=""),"","PO-"&amp;TEXT($E759,"yyyymmdd")&amp;"-"&amp;TEXT(COUNTIFS($E$6:$E759,$E759,$C$6:$C759,$C759),"000"))</f>
        <v/>
      </c>
      <c r="C759" s="130"/>
      <c r="D759" s="66" t="str">
        <f aca="false">IFERROR(INDEX(定数マスタ!$C$6:$C$105,MATCH($C759,定数マスタ!$B$6:$B$105,0)),"")</f>
        <v/>
      </c>
      <c r="E759" s="131"/>
      <c r="F759" s="130"/>
      <c r="G759" s="66" t="str">
        <f aca="false">IFERROR(INDEX(商品マスタ!$C$6:$C$1005,MATCH($F759,商品マスタ!$B$6:$B$1005,0)),"")</f>
        <v/>
      </c>
      <c r="H759" s="66" t="str">
        <f aca="false">IFERROR(INDEX(商品マスタ!$E$6:$E$1005,MATCH($F759,商品マスタ!$B$6:$B$1005,0)),"")</f>
        <v/>
      </c>
      <c r="I759" s="69" t="str">
        <f aca="false">IFERROR(INDEX(商品マスタ!$F$6:$F$1005,MATCH($F759,商品マスタ!$B$6:$B$1005,0)),"")</f>
        <v/>
      </c>
      <c r="J759" s="69" t="str">
        <f aca="false">IF(OR($F759="",$C759&lt;&gt;'設定（最初に1回）'!$C$4),"",IFERROR(INDEX(発注計算!$Y$6:$Y$405,MATCH($F759,発注計算!$C$6:$C$405,0)),""))</f>
        <v/>
      </c>
      <c r="K759" s="70"/>
      <c r="L759" s="69" t="str">
        <f aca="false">IF($K759="","",N($K759)*N($I759))</f>
        <v/>
      </c>
      <c r="M759" s="71" t="str">
        <f aca="false">IFERROR(INDEX(商品マスタ!$G$6:$G$1005,MATCH($F759,商品マスタ!$B$6:$B$1005,0)),"")</f>
        <v/>
      </c>
      <c r="N759" s="71" t="str">
        <f aca="false">IF($K759="","",N($K759)*N($M759))</f>
        <v/>
      </c>
      <c r="O759" s="66" t="str">
        <f aca="false">IFERROR(INDEX(商品マスタ!$H$6:$H$1005,MATCH($F759,商品マスタ!$B$6:$B$1005,0)),"")</f>
        <v/>
      </c>
      <c r="P759" s="87" t="str">
        <f aca="false">IF(OR($E759="",$O759=""),"",WORKDAY($E759,$O759))</f>
        <v/>
      </c>
      <c r="Q759" s="80"/>
      <c r="R759" s="131"/>
      <c r="S759" s="69" t="n">
        <f aca="false">IF($Q759="入荷済み",N($L759),0)</f>
        <v>0</v>
      </c>
      <c r="T759" s="80"/>
      <c r="U759" s="80"/>
    </row>
    <row r="760" customFormat="false" ht="15" hidden="false" customHeight="false" outlineLevel="0" collapsed="false">
      <c r="B760" s="66" t="str">
        <f aca="false">IF(OR($E760="",$F760=""),"","PO-"&amp;TEXT($E760,"yyyymmdd")&amp;"-"&amp;TEXT(COUNTIFS($E$6:$E760,$E760,$C$6:$C760,$C760),"000"))</f>
        <v/>
      </c>
      <c r="C760" s="130"/>
      <c r="D760" s="66" t="str">
        <f aca="false">IFERROR(INDEX(定数マスタ!$C$6:$C$105,MATCH($C760,定数マスタ!$B$6:$B$105,0)),"")</f>
        <v/>
      </c>
      <c r="E760" s="131"/>
      <c r="F760" s="130"/>
      <c r="G760" s="66" t="str">
        <f aca="false">IFERROR(INDEX(商品マスタ!$C$6:$C$1005,MATCH($F760,商品マスタ!$B$6:$B$1005,0)),"")</f>
        <v/>
      </c>
      <c r="H760" s="66" t="str">
        <f aca="false">IFERROR(INDEX(商品マスタ!$E$6:$E$1005,MATCH($F760,商品マスタ!$B$6:$B$1005,0)),"")</f>
        <v/>
      </c>
      <c r="I760" s="69" t="str">
        <f aca="false">IFERROR(INDEX(商品マスタ!$F$6:$F$1005,MATCH($F760,商品マスタ!$B$6:$B$1005,0)),"")</f>
        <v/>
      </c>
      <c r="J760" s="69" t="str">
        <f aca="false">IF(OR($F760="",$C760&lt;&gt;'設定（最初に1回）'!$C$4),"",IFERROR(INDEX(発注計算!$Y$6:$Y$405,MATCH($F760,発注計算!$C$6:$C$405,0)),""))</f>
        <v/>
      </c>
      <c r="K760" s="70"/>
      <c r="L760" s="69" t="str">
        <f aca="false">IF($K760="","",N($K760)*N($I760))</f>
        <v/>
      </c>
      <c r="M760" s="71" t="str">
        <f aca="false">IFERROR(INDEX(商品マスタ!$G$6:$G$1005,MATCH($F760,商品マスタ!$B$6:$B$1005,0)),"")</f>
        <v/>
      </c>
      <c r="N760" s="71" t="str">
        <f aca="false">IF($K760="","",N($K760)*N($M760))</f>
        <v/>
      </c>
      <c r="O760" s="66" t="str">
        <f aca="false">IFERROR(INDEX(商品マスタ!$H$6:$H$1005,MATCH($F760,商品マスタ!$B$6:$B$1005,0)),"")</f>
        <v/>
      </c>
      <c r="P760" s="87" t="str">
        <f aca="false">IF(OR($E760="",$O760=""),"",WORKDAY($E760,$O760))</f>
        <v/>
      </c>
      <c r="Q760" s="80"/>
      <c r="R760" s="131"/>
      <c r="S760" s="69" t="n">
        <f aca="false">IF($Q760="入荷済み",N($L760),0)</f>
        <v>0</v>
      </c>
      <c r="T760" s="80"/>
      <c r="U760" s="80"/>
    </row>
    <row r="761" customFormat="false" ht="15" hidden="false" customHeight="false" outlineLevel="0" collapsed="false">
      <c r="B761" s="66" t="str">
        <f aca="false">IF(OR($E761="",$F761=""),"","PO-"&amp;TEXT($E761,"yyyymmdd")&amp;"-"&amp;TEXT(COUNTIFS($E$6:$E761,$E761,$C$6:$C761,$C761),"000"))</f>
        <v/>
      </c>
      <c r="C761" s="130"/>
      <c r="D761" s="66" t="str">
        <f aca="false">IFERROR(INDEX(定数マスタ!$C$6:$C$105,MATCH($C761,定数マスタ!$B$6:$B$105,0)),"")</f>
        <v/>
      </c>
      <c r="E761" s="131"/>
      <c r="F761" s="130"/>
      <c r="G761" s="66" t="str">
        <f aca="false">IFERROR(INDEX(商品マスタ!$C$6:$C$1005,MATCH($F761,商品マスタ!$B$6:$B$1005,0)),"")</f>
        <v/>
      </c>
      <c r="H761" s="66" t="str">
        <f aca="false">IFERROR(INDEX(商品マスタ!$E$6:$E$1005,MATCH($F761,商品マスタ!$B$6:$B$1005,0)),"")</f>
        <v/>
      </c>
      <c r="I761" s="69" t="str">
        <f aca="false">IFERROR(INDEX(商品マスタ!$F$6:$F$1005,MATCH($F761,商品マスタ!$B$6:$B$1005,0)),"")</f>
        <v/>
      </c>
      <c r="J761" s="69" t="str">
        <f aca="false">IF(OR($F761="",$C761&lt;&gt;'設定（最初に1回）'!$C$4),"",IFERROR(INDEX(発注計算!$Y$6:$Y$405,MATCH($F761,発注計算!$C$6:$C$405,0)),""))</f>
        <v/>
      </c>
      <c r="K761" s="70"/>
      <c r="L761" s="69" t="str">
        <f aca="false">IF($K761="","",N($K761)*N($I761))</f>
        <v/>
      </c>
      <c r="M761" s="71" t="str">
        <f aca="false">IFERROR(INDEX(商品マスタ!$G$6:$G$1005,MATCH($F761,商品マスタ!$B$6:$B$1005,0)),"")</f>
        <v/>
      </c>
      <c r="N761" s="71" t="str">
        <f aca="false">IF($K761="","",N($K761)*N($M761))</f>
        <v/>
      </c>
      <c r="O761" s="66" t="str">
        <f aca="false">IFERROR(INDEX(商品マスタ!$H$6:$H$1005,MATCH($F761,商品マスタ!$B$6:$B$1005,0)),"")</f>
        <v/>
      </c>
      <c r="P761" s="87" t="str">
        <f aca="false">IF(OR($E761="",$O761=""),"",WORKDAY($E761,$O761))</f>
        <v/>
      </c>
      <c r="Q761" s="80"/>
      <c r="R761" s="131"/>
      <c r="S761" s="69" t="n">
        <f aca="false">IF($Q761="入荷済み",N($L761),0)</f>
        <v>0</v>
      </c>
      <c r="T761" s="80"/>
      <c r="U761" s="80"/>
    </row>
    <row r="762" customFormat="false" ht="15" hidden="false" customHeight="false" outlineLevel="0" collapsed="false">
      <c r="B762" s="66" t="str">
        <f aca="false">IF(OR($E762="",$F762=""),"","PO-"&amp;TEXT($E762,"yyyymmdd")&amp;"-"&amp;TEXT(COUNTIFS($E$6:$E762,$E762,$C$6:$C762,$C762),"000"))</f>
        <v/>
      </c>
      <c r="C762" s="130"/>
      <c r="D762" s="66" t="str">
        <f aca="false">IFERROR(INDEX(定数マスタ!$C$6:$C$105,MATCH($C762,定数マスタ!$B$6:$B$105,0)),"")</f>
        <v/>
      </c>
      <c r="E762" s="131"/>
      <c r="F762" s="130"/>
      <c r="G762" s="66" t="str">
        <f aca="false">IFERROR(INDEX(商品マスタ!$C$6:$C$1005,MATCH($F762,商品マスタ!$B$6:$B$1005,0)),"")</f>
        <v/>
      </c>
      <c r="H762" s="66" t="str">
        <f aca="false">IFERROR(INDEX(商品マスタ!$E$6:$E$1005,MATCH($F762,商品マスタ!$B$6:$B$1005,0)),"")</f>
        <v/>
      </c>
      <c r="I762" s="69" t="str">
        <f aca="false">IFERROR(INDEX(商品マスタ!$F$6:$F$1005,MATCH($F762,商品マスタ!$B$6:$B$1005,0)),"")</f>
        <v/>
      </c>
      <c r="J762" s="69" t="str">
        <f aca="false">IF(OR($F762="",$C762&lt;&gt;'設定（最初に1回）'!$C$4),"",IFERROR(INDEX(発注計算!$Y$6:$Y$405,MATCH($F762,発注計算!$C$6:$C$405,0)),""))</f>
        <v/>
      </c>
      <c r="K762" s="70"/>
      <c r="L762" s="69" t="str">
        <f aca="false">IF($K762="","",N($K762)*N($I762))</f>
        <v/>
      </c>
      <c r="M762" s="71" t="str">
        <f aca="false">IFERROR(INDEX(商品マスタ!$G$6:$G$1005,MATCH($F762,商品マスタ!$B$6:$B$1005,0)),"")</f>
        <v/>
      </c>
      <c r="N762" s="71" t="str">
        <f aca="false">IF($K762="","",N($K762)*N($M762))</f>
        <v/>
      </c>
      <c r="O762" s="66" t="str">
        <f aca="false">IFERROR(INDEX(商品マスタ!$H$6:$H$1005,MATCH($F762,商品マスタ!$B$6:$B$1005,0)),"")</f>
        <v/>
      </c>
      <c r="P762" s="87" t="str">
        <f aca="false">IF(OR($E762="",$O762=""),"",WORKDAY($E762,$O762))</f>
        <v/>
      </c>
      <c r="Q762" s="80"/>
      <c r="R762" s="131"/>
      <c r="S762" s="69" t="n">
        <f aca="false">IF($Q762="入荷済み",N($L762),0)</f>
        <v>0</v>
      </c>
      <c r="T762" s="80"/>
      <c r="U762" s="80"/>
    </row>
    <row r="763" customFormat="false" ht="15" hidden="false" customHeight="false" outlineLevel="0" collapsed="false">
      <c r="B763" s="66" t="str">
        <f aca="false">IF(OR($E763="",$F763=""),"","PO-"&amp;TEXT($E763,"yyyymmdd")&amp;"-"&amp;TEXT(COUNTIFS($E$6:$E763,$E763,$C$6:$C763,$C763),"000"))</f>
        <v/>
      </c>
      <c r="C763" s="130"/>
      <c r="D763" s="66" t="str">
        <f aca="false">IFERROR(INDEX(定数マスタ!$C$6:$C$105,MATCH($C763,定数マスタ!$B$6:$B$105,0)),"")</f>
        <v/>
      </c>
      <c r="E763" s="131"/>
      <c r="F763" s="130"/>
      <c r="G763" s="66" t="str">
        <f aca="false">IFERROR(INDEX(商品マスタ!$C$6:$C$1005,MATCH($F763,商品マスタ!$B$6:$B$1005,0)),"")</f>
        <v/>
      </c>
      <c r="H763" s="66" t="str">
        <f aca="false">IFERROR(INDEX(商品マスタ!$E$6:$E$1005,MATCH($F763,商品マスタ!$B$6:$B$1005,0)),"")</f>
        <v/>
      </c>
      <c r="I763" s="69" t="str">
        <f aca="false">IFERROR(INDEX(商品マスタ!$F$6:$F$1005,MATCH($F763,商品マスタ!$B$6:$B$1005,0)),"")</f>
        <v/>
      </c>
      <c r="J763" s="69" t="str">
        <f aca="false">IF(OR($F763="",$C763&lt;&gt;'設定（最初に1回）'!$C$4),"",IFERROR(INDEX(発注計算!$Y$6:$Y$405,MATCH($F763,発注計算!$C$6:$C$405,0)),""))</f>
        <v/>
      </c>
      <c r="K763" s="70"/>
      <c r="L763" s="69" t="str">
        <f aca="false">IF($K763="","",N($K763)*N($I763))</f>
        <v/>
      </c>
      <c r="M763" s="71" t="str">
        <f aca="false">IFERROR(INDEX(商品マスタ!$G$6:$G$1005,MATCH($F763,商品マスタ!$B$6:$B$1005,0)),"")</f>
        <v/>
      </c>
      <c r="N763" s="71" t="str">
        <f aca="false">IF($K763="","",N($K763)*N($M763))</f>
        <v/>
      </c>
      <c r="O763" s="66" t="str">
        <f aca="false">IFERROR(INDEX(商品マスタ!$H$6:$H$1005,MATCH($F763,商品マスタ!$B$6:$B$1005,0)),"")</f>
        <v/>
      </c>
      <c r="P763" s="87" t="str">
        <f aca="false">IF(OR($E763="",$O763=""),"",WORKDAY($E763,$O763))</f>
        <v/>
      </c>
      <c r="Q763" s="80"/>
      <c r="R763" s="131"/>
      <c r="S763" s="69" t="n">
        <f aca="false">IF($Q763="入荷済み",N($L763),0)</f>
        <v>0</v>
      </c>
      <c r="T763" s="80"/>
      <c r="U763" s="80"/>
    </row>
    <row r="764" customFormat="false" ht="15" hidden="false" customHeight="false" outlineLevel="0" collapsed="false">
      <c r="B764" s="66" t="str">
        <f aca="false">IF(OR($E764="",$F764=""),"","PO-"&amp;TEXT($E764,"yyyymmdd")&amp;"-"&amp;TEXT(COUNTIFS($E$6:$E764,$E764,$C$6:$C764,$C764),"000"))</f>
        <v/>
      </c>
      <c r="C764" s="130"/>
      <c r="D764" s="66" t="str">
        <f aca="false">IFERROR(INDEX(定数マスタ!$C$6:$C$105,MATCH($C764,定数マスタ!$B$6:$B$105,0)),"")</f>
        <v/>
      </c>
      <c r="E764" s="131"/>
      <c r="F764" s="130"/>
      <c r="G764" s="66" t="str">
        <f aca="false">IFERROR(INDEX(商品マスタ!$C$6:$C$1005,MATCH($F764,商品マスタ!$B$6:$B$1005,0)),"")</f>
        <v/>
      </c>
      <c r="H764" s="66" t="str">
        <f aca="false">IFERROR(INDEX(商品マスタ!$E$6:$E$1005,MATCH($F764,商品マスタ!$B$6:$B$1005,0)),"")</f>
        <v/>
      </c>
      <c r="I764" s="69" t="str">
        <f aca="false">IFERROR(INDEX(商品マスタ!$F$6:$F$1005,MATCH($F764,商品マスタ!$B$6:$B$1005,0)),"")</f>
        <v/>
      </c>
      <c r="J764" s="69" t="str">
        <f aca="false">IF(OR($F764="",$C764&lt;&gt;'設定（最初に1回）'!$C$4),"",IFERROR(INDEX(発注計算!$Y$6:$Y$405,MATCH($F764,発注計算!$C$6:$C$405,0)),""))</f>
        <v/>
      </c>
      <c r="K764" s="70"/>
      <c r="L764" s="69" t="str">
        <f aca="false">IF($K764="","",N($K764)*N($I764))</f>
        <v/>
      </c>
      <c r="M764" s="71" t="str">
        <f aca="false">IFERROR(INDEX(商品マスタ!$G$6:$G$1005,MATCH($F764,商品マスタ!$B$6:$B$1005,0)),"")</f>
        <v/>
      </c>
      <c r="N764" s="71" t="str">
        <f aca="false">IF($K764="","",N($K764)*N($M764))</f>
        <v/>
      </c>
      <c r="O764" s="66" t="str">
        <f aca="false">IFERROR(INDEX(商品マスタ!$H$6:$H$1005,MATCH($F764,商品マスタ!$B$6:$B$1005,0)),"")</f>
        <v/>
      </c>
      <c r="P764" s="87" t="str">
        <f aca="false">IF(OR($E764="",$O764=""),"",WORKDAY($E764,$O764))</f>
        <v/>
      </c>
      <c r="Q764" s="80"/>
      <c r="R764" s="131"/>
      <c r="S764" s="69" t="n">
        <f aca="false">IF($Q764="入荷済み",N($L764),0)</f>
        <v>0</v>
      </c>
      <c r="T764" s="80"/>
      <c r="U764" s="80"/>
    </row>
    <row r="765" customFormat="false" ht="15" hidden="false" customHeight="false" outlineLevel="0" collapsed="false">
      <c r="B765" s="66" t="str">
        <f aca="false">IF(OR($E765="",$F765=""),"","PO-"&amp;TEXT($E765,"yyyymmdd")&amp;"-"&amp;TEXT(COUNTIFS($E$6:$E765,$E765,$C$6:$C765,$C765),"000"))</f>
        <v/>
      </c>
      <c r="C765" s="130"/>
      <c r="D765" s="66" t="str">
        <f aca="false">IFERROR(INDEX(定数マスタ!$C$6:$C$105,MATCH($C765,定数マスタ!$B$6:$B$105,0)),"")</f>
        <v/>
      </c>
      <c r="E765" s="131"/>
      <c r="F765" s="130"/>
      <c r="G765" s="66" t="str">
        <f aca="false">IFERROR(INDEX(商品マスタ!$C$6:$C$1005,MATCH($F765,商品マスタ!$B$6:$B$1005,0)),"")</f>
        <v/>
      </c>
      <c r="H765" s="66" t="str">
        <f aca="false">IFERROR(INDEX(商品マスタ!$E$6:$E$1005,MATCH($F765,商品マスタ!$B$6:$B$1005,0)),"")</f>
        <v/>
      </c>
      <c r="I765" s="69" t="str">
        <f aca="false">IFERROR(INDEX(商品マスタ!$F$6:$F$1005,MATCH($F765,商品マスタ!$B$6:$B$1005,0)),"")</f>
        <v/>
      </c>
      <c r="J765" s="69" t="str">
        <f aca="false">IF(OR($F765="",$C765&lt;&gt;'設定（最初に1回）'!$C$4),"",IFERROR(INDEX(発注計算!$Y$6:$Y$405,MATCH($F765,発注計算!$C$6:$C$405,0)),""))</f>
        <v/>
      </c>
      <c r="K765" s="70"/>
      <c r="L765" s="69" t="str">
        <f aca="false">IF($K765="","",N($K765)*N($I765))</f>
        <v/>
      </c>
      <c r="M765" s="71" t="str">
        <f aca="false">IFERROR(INDEX(商品マスタ!$G$6:$G$1005,MATCH($F765,商品マスタ!$B$6:$B$1005,0)),"")</f>
        <v/>
      </c>
      <c r="N765" s="71" t="str">
        <f aca="false">IF($K765="","",N($K765)*N($M765))</f>
        <v/>
      </c>
      <c r="O765" s="66" t="str">
        <f aca="false">IFERROR(INDEX(商品マスタ!$H$6:$H$1005,MATCH($F765,商品マスタ!$B$6:$B$1005,0)),"")</f>
        <v/>
      </c>
      <c r="P765" s="87" t="str">
        <f aca="false">IF(OR($E765="",$O765=""),"",WORKDAY($E765,$O765))</f>
        <v/>
      </c>
      <c r="Q765" s="80"/>
      <c r="R765" s="131"/>
      <c r="S765" s="69" t="n">
        <f aca="false">IF($Q765="入荷済み",N($L765),0)</f>
        <v>0</v>
      </c>
      <c r="T765" s="80"/>
      <c r="U765" s="80"/>
    </row>
    <row r="766" customFormat="false" ht="15" hidden="false" customHeight="false" outlineLevel="0" collapsed="false">
      <c r="B766" s="66" t="str">
        <f aca="false">IF(OR($E766="",$F766=""),"","PO-"&amp;TEXT($E766,"yyyymmdd")&amp;"-"&amp;TEXT(COUNTIFS($E$6:$E766,$E766,$C$6:$C766,$C766),"000"))</f>
        <v/>
      </c>
      <c r="C766" s="130"/>
      <c r="D766" s="66" t="str">
        <f aca="false">IFERROR(INDEX(定数マスタ!$C$6:$C$105,MATCH($C766,定数マスタ!$B$6:$B$105,0)),"")</f>
        <v/>
      </c>
      <c r="E766" s="131"/>
      <c r="F766" s="130"/>
      <c r="G766" s="66" t="str">
        <f aca="false">IFERROR(INDEX(商品マスタ!$C$6:$C$1005,MATCH($F766,商品マスタ!$B$6:$B$1005,0)),"")</f>
        <v/>
      </c>
      <c r="H766" s="66" t="str">
        <f aca="false">IFERROR(INDEX(商品マスタ!$E$6:$E$1005,MATCH($F766,商品マスタ!$B$6:$B$1005,0)),"")</f>
        <v/>
      </c>
      <c r="I766" s="69" t="str">
        <f aca="false">IFERROR(INDEX(商品マスタ!$F$6:$F$1005,MATCH($F766,商品マスタ!$B$6:$B$1005,0)),"")</f>
        <v/>
      </c>
      <c r="J766" s="69" t="str">
        <f aca="false">IF(OR($F766="",$C766&lt;&gt;'設定（最初に1回）'!$C$4),"",IFERROR(INDEX(発注計算!$Y$6:$Y$405,MATCH($F766,発注計算!$C$6:$C$405,0)),""))</f>
        <v/>
      </c>
      <c r="K766" s="70"/>
      <c r="L766" s="69" t="str">
        <f aca="false">IF($K766="","",N($K766)*N($I766))</f>
        <v/>
      </c>
      <c r="M766" s="71" t="str">
        <f aca="false">IFERROR(INDEX(商品マスタ!$G$6:$G$1005,MATCH($F766,商品マスタ!$B$6:$B$1005,0)),"")</f>
        <v/>
      </c>
      <c r="N766" s="71" t="str">
        <f aca="false">IF($K766="","",N($K766)*N($M766))</f>
        <v/>
      </c>
      <c r="O766" s="66" t="str">
        <f aca="false">IFERROR(INDEX(商品マスタ!$H$6:$H$1005,MATCH($F766,商品マスタ!$B$6:$B$1005,0)),"")</f>
        <v/>
      </c>
      <c r="P766" s="87" t="str">
        <f aca="false">IF(OR($E766="",$O766=""),"",WORKDAY($E766,$O766))</f>
        <v/>
      </c>
      <c r="Q766" s="80"/>
      <c r="R766" s="131"/>
      <c r="S766" s="69" t="n">
        <f aca="false">IF($Q766="入荷済み",N($L766),0)</f>
        <v>0</v>
      </c>
      <c r="T766" s="80"/>
      <c r="U766" s="80"/>
    </row>
    <row r="767" customFormat="false" ht="15" hidden="false" customHeight="false" outlineLevel="0" collapsed="false">
      <c r="B767" s="66" t="str">
        <f aca="false">IF(OR($E767="",$F767=""),"","PO-"&amp;TEXT($E767,"yyyymmdd")&amp;"-"&amp;TEXT(COUNTIFS($E$6:$E767,$E767,$C$6:$C767,$C767),"000"))</f>
        <v/>
      </c>
      <c r="C767" s="130"/>
      <c r="D767" s="66" t="str">
        <f aca="false">IFERROR(INDEX(定数マスタ!$C$6:$C$105,MATCH($C767,定数マスタ!$B$6:$B$105,0)),"")</f>
        <v/>
      </c>
      <c r="E767" s="131"/>
      <c r="F767" s="130"/>
      <c r="G767" s="66" t="str">
        <f aca="false">IFERROR(INDEX(商品マスタ!$C$6:$C$1005,MATCH($F767,商品マスタ!$B$6:$B$1005,0)),"")</f>
        <v/>
      </c>
      <c r="H767" s="66" t="str">
        <f aca="false">IFERROR(INDEX(商品マスタ!$E$6:$E$1005,MATCH($F767,商品マスタ!$B$6:$B$1005,0)),"")</f>
        <v/>
      </c>
      <c r="I767" s="69" t="str">
        <f aca="false">IFERROR(INDEX(商品マスタ!$F$6:$F$1005,MATCH($F767,商品マスタ!$B$6:$B$1005,0)),"")</f>
        <v/>
      </c>
      <c r="J767" s="69" t="str">
        <f aca="false">IF(OR($F767="",$C767&lt;&gt;'設定（最初に1回）'!$C$4),"",IFERROR(INDEX(発注計算!$Y$6:$Y$405,MATCH($F767,発注計算!$C$6:$C$405,0)),""))</f>
        <v/>
      </c>
      <c r="K767" s="70"/>
      <c r="L767" s="69" t="str">
        <f aca="false">IF($K767="","",N($K767)*N($I767))</f>
        <v/>
      </c>
      <c r="M767" s="71" t="str">
        <f aca="false">IFERROR(INDEX(商品マスタ!$G$6:$G$1005,MATCH($F767,商品マスタ!$B$6:$B$1005,0)),"")</f>
        <v/>
      </c>
      <c r="N767" s="71" t="str">
        <f aca="false">IF($K767="","",N($K767)*N($M767))</f>
        <v/>
      </c>
      <c r="O767" s="66" t="str">
        <f aca="false">IFERROR(INDEX(商品マスタ!$H$6:$H$1005,MATCH($F767,商品マスタ!$B$6:$B$1005,0)),"")</f>
        <v/>
      </c>
      <c r="P767" s="87" t="str">
        <f aca="false">IF(OR($E767="",$O767=""),"",WORKDAY($E767,$O767))</f>
        <v/>
      </c>
      <c r="Q767" s="80"/>
      <c r="R767" s="131"/>
      <c r="S767" s="69" t="n">
        <f aca="false">IF($Q767="入荷済み",N($L767),0)</f>
        <v>0</v>
      </c>
      <c r="T767" s="80"/>
      <c r="U767" s="80"/>
    </row>
    <row r="768" customFormat="false" ht="15" hidden="false" customHeight="false" outlineLevel="0" collapsed="false">
      <c r="B768" s="66" t="str">
        <f aca="false">IF(OR($E768="",$F768=""),"","PO-"&amp;TEXT($E768,"yyyymmdd")&amp;"-"&amp;TEXT(COUNTIFS($E$6:$E768,$E768,$C$6:$C768,$C768),"000"))</f>
        <v/>
      </c>
      <c r="C768" s="130"/>
      <c r="D768" s="66" t="str">
        <f aca="false">IFERROR(INDEX(定数マスタ!$C$6:$C$105,MATCH($C768,定数マスタ!$B$6:$B$105,0)),"")</f>
        <v/>
      </c>
      <c r="E768" s="131"/>
      <c r="F768" s="130"/>
      <c r="G768" s="66" t="str">
        <f aca="false">IFERROR(INDEX(商品マスタ!$C$6:$C$1005,MATCH($F768,商品マスタ!$B$6:$B$1005,0)),"")</f>
        <v/>
      </c>
      <c r="H768" s="66" t="str">
        <f aca="false">IFERROR(INDEX(商品マスタ!$E$6:$E$1005,MATCH($F768,商品マスタ!$B$6:$B$1005,0)),"")</f>
        <v/>
      </c>
      <c r="I768" s="69" t="str">
        <f aca="false">IFERROR(INDEX(商品マスタ!$F$6:$F$1005,MATCH($F768,商品マスタ!$B$6:$B$1005,0)),"")</f>
        <v/>
      </c>
      <c r="J768" s="69" t="str">
        <f aca="false">IF(OR($F768="",$C768&lt;&gt;'設定（最初に1回）'!$C$4),"",IFERROR(INDEX(発注計算!$Y$6:$Y$405,MATCH($F768,発注計算!$C$6:$C$405,0)),""))</f>
        <v/>
      </c>
      <c r="K768" s="70"/>
      <c r="L768" s="69" t="str">
        <f aca="false">IF($K768="","",N($K768)*N($I768))</f>
        <v/>
      </c>
      <c r="M768" s="71" t="str">
        <f aca="false">IFERROR(INDEX(商品マスタ!$G$6:$G$1005,MATCH($F768,商品マスタ!$B$6:$B$1005,0)),"")</f>
        <v/>
      </c>
      <c r="N768" s="71" t="str">
        <f aca="false">IF($K768="","",N($K768)*N($M768))</f>
        <v/>
      </c>
      <c r="O768" s="66" t="str">
        <f aca="false">IFERROR(INDEX(商品マスタ!$H$6:$H$1005,MATCH($F768,商品マスタ!$B$6:$B$1005,0)),"")</f>
        <v/>
      </c>
      <c r="P768" s="87" t="str">
        <f aca="false">IF(OR($E768="",$O768=""),"",WORKDAY($E768,$O768))</f>
        <v/>
      </c>
      <c r="Q768" s="80"/>
      <c r="R768" s="131"/>
      <c r="S768" s="69" t="n">
        <f aca="false">IF($Q768="入荷済み",N($L768),0)</f>
        <v>0</v>
      </c>
      <c r="T768" s="80"/>
      <c r="U768" s="80"/>
    </row>
    <row r="769" customFormat="false" ht="15" hidden="false" customHeight="false" outlineLevel="0" collapsed="false">
      <c r="B769" s="66" t="str">
        <f aca="false">IF(OR($E769="",$F769=""),"","PO-"&amp;TEXT($E769,"yyyymmdd")&amp;"-"&amp;TEXT(COUNTIFS($E$6:$E769,$E769,$C$6:$C769,$C769),"000"))</f>
        <v/>
      </c>
      <c r="C769" s="130"/>
      <c r="D769" s="66" t="str">
        <f aca="false">IFERROR(INDEX(定数マスタ!$C$6:$C$105,MATCH($C769,定数マスタ!$B$6:$B$105,0)),"")</f>
        <v/>
      </c>
      <c r="E769" s="131"/>
      <c r="F769" s="130"/>
      <c r="G769" s="66" t="str">
        <f aca="false">IFERROR(INDEX(商品マスタ!$C$6:$C$1005,MATCH($F769,商品マスタ!$B$6:$B$1005,0)),"")</f>
        <v/>
      </c>
      <c r="H769" s="66" t="str">
        <f aca="false">IFERROR(INDEX(商品マスタ!$E$6:$E$1005,MATCH($F769,商品マスタ!$B$6:$B$1005,0)),"")</f>
        <v/>
      </c>
      <c r="I769" s="69" t="str">
        <f aca="false">IFERROR(INDEX(商品マスタ!$F$6:$F$1005,MATCH($F769,商品マスタ!$B$6:$B$1005,0)),"")</f>
        <v/>
      </c>
      <c r="J769" s="69" t="str">
        <f aca="false">IF(OR($F769="",$C769&lt;&gt;'設定（最初に1回）'!$C$4),"",IFERROR(INDEX(発注計算!$Y$6:$Y$405,MATCH($F769,発注計算!$C$6:$C$405,0)),""))</f>
        <v/>
      </c>
      <c r="K769" s="70"/>
      <c r="L769" s="69" t="str">
        <f aca="false">IF($K769="","",N($K769)*N($I769))</f>
        <v/>
      </c>
      <c r="M769" s="71" t="str">
        <f aca="false">IFERROR(INDEX(商品マスタ!$G$6:$G$1005,MATCH($F769,商品マスタ!$B$6:$B$1005,0)),"")</f>
        <v/>
      </c>
      <c r="N769" s="71" t="str">
        <f aca="false">IF($K769="","",N($K769)*N($M769))</f>
        <v/>
      </c>
      <c r="O769" s="66" t="str">
        <f aca="false">IFERROR(INDEX(商品マスタ!$H$6:$H$1005,MATCH($F769,商品マスタ!$B$6:$B$1005,0)),"")</f>
        <v/>
      </c>
      <c r="P769" s="87" t="str">
        <f aca="false">IF(OR($E769="",$O769=""),"",WORKDAY($E769,$O769))</f>
        <v/>
      </c>
      <c r="Q769" s="80"/>
      <c r="R769" s="131"/>
      <c r="S769" s="69" t="n">
        <f aca="false">IF($Q769="入荷済み",N($L769),0)</f>
        <v>0</v>
      </c>
      <c r="T769" s="80"/>
      <c r="U769" s="80"/>
    </row>
    <row r="770" customFormat="false" ht="15" hidden="false" customHeight="false" outlineLevel="0" collapsed="false">
      <c r="B770" s="66" t="str">
        <f aca="false">IF(OR($E770="",$F770=""),"","PO-"&amp;TEXT($E770,"yyyymmdd")&amp;"-"&amp;TEXT(COUNTIFS($E$6:$E770,$E770,$C$6:$C770,$C770),"000"))</f>
        <v/>
      </c>
      <c r="C770" s="130"/>
      <c r="D770" s="66" t="str">
        <f aca="false">IFERROR(INDEX(定数マスタ!$C$6:$C$105,MATCH($C770,定数マスタ!$B$6:$B$105,0)),"")</f>
        <v/>
      </c>
      <c r="E770" s="131"/>
      <c r="F770" s="130"/>
      <c r="G770" s="66" t="str">
        <f aca="false">IFERROR(INDEX(商品マスタ!$C$6:$C$1005,MATCH($F770,商品マスタ!$B$6:$B$1005,0)),"")</f>
        <v/>
      </c>
      <c r="H770" s="66" t="str">
        <f aca="false">IFERROR(INDEX(商品マスタ!$E$6:$E$1005,MATCH($F770,商品マスタ!$B$6:$B$1005,0)),"")</f>
        <v/>
      </c>
      <c r="I770" s="69" t="str">
        <f aca="false">IFERROR(INDEX(商品マスタ!$F$6:$F$1005,MATCH($F770,商品マスタ!$B$6:$B$1005,0)),"")</f>
        <v/>
      </c>
      <c r="J770" s="69" t="str">
        <f aca="false">IF(OR($F770="",$C770&lt;&gt;'設定（最初に1回）'!$C$4),"",IFERROR(INDEX(発注計算!$Y$6:$Y$405,MATCH($F770,発注計算!$C$6:$C$405,0)),""))</f>
        <v/>
      </c>
      <c r="K770" s="70"/>
      <c r="L770" s="69" t="str">
        <f aca="false">IF($K770="","",N($K770)*N($I770))</f>
        <v/>
      </c>
      <c r="M770" s="71" t="str">
        <f aca="false">IFERROR(INDEX(商品マスタ!$G$6:$G$1005,MATCH($F770,商品マスタ!$B$6:$B$1005,0)),"")</f>
        <v/>
      </c>
      <c r="N770" s="71" t="str">
        <f aca="false">IF($K770="","",N($K770)*N($M770))</f>
        <v/>
      </c>
      <c r="O770" s="66" t="str">
        <f aca="false">IFERROR(INDEX(商品マスタ!$H$6:$H$1005,MATCH($F770,商品マスタ!$B$6:$B$1005,0)),"")</f>
        <v/>
      </c>
      <c r="P770" s="87" t="str">
        <f aca="false">IF(OR($E770="",$O770=""),"",WORKDAY($E770,$O770))</f>
        <v/>
      </c>
      <c r="Q770" s="80"/>
      <c r="R770" s="131"/>
      <c r="S770" s="69" t="n">
        <f aca="false">IF($Q770="入荷済み",N($L770),0)</f>
        <v>0</v>
      </c>
      <c r="T770" s="80"/>
      <c r="U770" s="80"/>
    </row>
    <row r="771" customFormat="false" ht="15" hidden="false" customHeight="false" outlineLevel="0" collapsed="false">
      <c r="B771" s="66" t="str">
        <f aca="false">IF(OR($E771="",$F771=""),"","PO-"&amp;TEXT($E771,"yyyymmdd")&amp;"-"&amp;TEXT(COUNTIFS($E$6:$E771,$E771,$C$6:$C771,$C771),"000"))</f>
        <v/>
      </c>
      <c r="C771" s="130"/>
      <c r="D771" s="66" t="str">
        <f aca="false">IFERROR(INDEX(定数マスタ!$C$6:$C$105,MATCH($C771,定数マスタ!$B$6:$B$105,0)),"")</f>
        <v/>
      </c>
      <c r="E771" s="131"/>
      <c r="F771" s="130"/>
      <c r="G771" s="66" t="str">
        <f aca="false">IFERROR(INDEX(商品マスタ!$C$6:$C$1005,MATCH($F771,商品マスタ!$B$6:$B$1005,0)),"")</f>
        <v/>
      </c>
      <c r="H771" s="66" t="str">
        <f aca="false">IFERROR(INDEX(商品マスタ!$E$6:$E$1005,MATCH($F771,商品マスタ!$B$6:$B$1005,0)),"")</f>
        <v/>
      </c>
      <c r="I771" s="69" t="str">
        <f aca="false">IFERROR(INDEX(商品マスタ!$F$6:$F$1005,MATCH($F771,商品マスタ!$B$6:$B$1005,0)),"")</f>
        <v/>
      </c>
      <c r="J771" s="69" t="str">
        <f aca="false">IF(OR($F771="",$C771&lt;&gt;'設定（最初に1回）'!$C$4),"",IFERROR(INDEX(発注計算!$Y$6:$Y$405,MATCH($F771,発注計算!$C$6:$C$405,0)),""))</f>
        <v/>
      </c>
      <c r="K771" s="70"/>
      <c r="L771" s="69" t="str">
        <f aca="false">IF($K771="","",N($K771)*N($I771))</f>
        <v/>
      </c>
      <c r="M771" s="71" t="str">
        <f aca="false">IFERROR(INDEX(商品マスタ!$G$6:$G$1005,MATCH($F771,商品マスタ!$B$6:$B$1005,0)),"")</f>
        <v/>
      </c>
      <c r="N771" s="71" t="str">
        <f aca="false">IF($K771="","",N($K771)*N($M771))</f>
        <v/>
      </c>
      <c r="O771" s="66" t="str">
        <f aca="false">IFERROR(INDEX(商品マスタ!$H$6:$H$1005,MATCH($F771,商品マスタ!$B$6:$B$1005,0)),"")</f>
        <v/>
      </c>
      <c r="P771" s="87" t="str">
        <f aca="false">IF(OR($E771="",$O771=""),"",WORKDAY($E771,$O771))</f>
        <v/>
      </c>
      <c r="Q771" s="80"/>
      <c r="R771" s="131"/>
      <c r="S771" s="69" t="n">
        <f aca="false">IF($Q771="入荷済み",N($L771),0)</f>
        <v>0</v>
      </c>
      <c r="T771" s="80"/>
      <c r="U771" s="80"/>
    </row>
    <row r="772" customFormat="false" ht="15" hidden="false" customHeight="false" outlineLevel="0" collapsed="false">
      <c r="B772" s="66" t="str">
        <f aca="false">IF(OR($E772="",$F772=""),"","PO-"&amp;TEXT($E772,"yyyymmdd")&amp;"-"&amp;TEXT(COUNTIFS($E$6:$E772,$E772,$C$6:$C772,$C772),"000"))</f>
        <v/>
      </c>
      <c r="C772" s="130"/>
      <c r="D772" s="66" t="str">
        <f aca="false">IFERROR(INDEX(定数マスタ!$C$6:$C$105,MATCH($C772,定数マスタ!$B$6:$B$105,0)),"")</f>
        <v/>
      </c>
      <c r="E772" s="131"/>
      <c r="F772" s="130"/>
      <c r="G772" s="66" t="str">
        <f aca="false">IFERROR(INDEX(商品マスタ!$C$6:$C$1005,MATCH($F772,商品マスタ!$B$6:$B$1005,0)),"")</f>
        <v/>
      </c>
      <c r="H772" s="66" t="str">
        <f aca="false">IFERROR(INDEX(商品マスタ!$E$6:$E$1005,MATCH($F772,商品マスタ!$B$6:$B$1005,0)),"")</f>
        <v/>
      </c>
      <c r="I772" s="69" t="str">
        <f aca="false">IFERROR(INDEX(商品マスタ!$F$6:$F$1005,MATCH($F772,商品マスタ!$B$6:$B$1005,0)),"")</f>
        <v/>
      </c>
      <c r="J772" s="69" t="str">
        <f aca="false">IF(OR($F772="",$C772&lt;&gt;'設定（最初に1回）'!$C$4),"",IFERROR(INDEX(発注計算!$Y$6:$Y$405,MATCH($F772,発注計算!$C$6:$C$405,0)),""))</f>
        <v/>
      </c>
      <c r="K772" s="70"/>
      <c r="L772" s="69" t="str">
        <f aca="false">IF($K772="","",N($K772)*N($I772))</f>
        <v/>
      </c>
      <c r="M772" s="71" t="str">
        <f aca="false">IFERROR(INDEX(商品マスタ!$G$6:$G$1005,MATCH($F772,商品マスタ!$B$6:$B$1005,0)),"")</f>
        <v/>
      </c>
      <c r="N772" s="71" t="str">
        <f aca="false">IF($K772="","",N($K772)*N($M772))</f>
        <v/>
      </c>
      <c r="O772" s="66" t="str">
        <f aca="false">IFERROR(INDEX(商品マスタ!$H$6:$H$1005,MATCH($F772,商品マスタ!$B$6:$B$1005,0)),"")</f>
        <v/>
      </c>
      <c r="P772" s="87" t="str">
        <f aca="false">IF(OR($E772="",$O772=""),"",WORKDAY($E772,$O772))</f>
        <v/>
      </c>
      <c r="Q772" s="80"/>
      <c r="R772" s="131"/>
      <c r="S772" s="69" t="n">
        <f aca="false">IF($Q772="入荷済み",N($L772),0)</f>
        <v>0</v>
      </c>
      <c r="T772" s="80"/>
      <c r="U772" s="80"/>
    </row>
    <row r="773" customFormat="false" ht="15" hidden="false" customHeight="false" outlineLevel="0" collapsed="false">
      <c r="B773" s="66" t="str">
        <f aca="false">IF(OR($E773="",$F773=""),"","PO-"&amp;TEXT($E773,"yyyymmdd")&amp;"-"&amp;TEXT(COUNTIFS($E$6:$E773,$E773,$C$6:$C773,$C773),"000"))</f>
        <v/>
      </c>
      <c r="C773" s="130"/>
      <c r="D773" s="66" t="str">
        <f aca="false">IFERROR(INDEX(定数マスタ!$C$6:$C$105,MATCH($C773,定数マスタ!$B$6:$B$105,0)),"")</f>
        <v/>
      </c>
      <c r="E773" s="131"/>
      <c r="F773" s="130"/>
      <c r="G773" s="66" t="str">
        <f aca="false">IFERROR(INDEX(商品マスタ!$C$6:$C$1005,MATCH($F773,商品マスタ!$B$6:$B$1005,0)),"")</f>
        <v/>
      </c>
      <c r="H773" s="66" t="str">
        <f aca="false">IFERROR(INDEX(商品マスタ!$E$6:$E$1005,MATCH($F773,商品マスタ!$B$6:$B$1005,0)),"")</f>
        <v/>
      </c>
      <c r="I773" s="69" t="str">
        <f aca="false">IFERROR(INDEX(商品マスタ!$F$6:$F$1005,MATCH($F773,商品マスタ!$B$6:$B$1005,0)),"")</f>
        <v/>
      </c>
      <c r="J773" s="69" t="str">
        <f aca="false">IF(OR($F773="",$C773&lt;&gt;'設定（最初に1回）'!$C$4),"",IFERROR(INDEX(発注計算!$Y$6:$Y$405,MATCH($F773,発注計算!$C$6:$C$405,0)),""))</f>
        <v/>
      </c>
      <c r="K773" s="70"/>
      <c r="L773" s="69" t="str">
        <f aca="false">IF($K773="","",N($K773)*N($I773))</f>
        <v/>
      </c>
      <c r="M773" s="71" t="str">
        <f aca="false">IFERROR(INDEX(商品マスタ!$G$6:$G$1005,MATCH($F773,商品マスタ!$B$6:$B$1005,0)),"")</f>
        <v/>
      </c>
      <c r="N773" s="71" t="str">
        <f aca="false">IF($K773="","",N($K773)*N($M773))</f>
        <v/>
      </c>
      <c r="O773" s="66" t="str">
        <f aca="false">IFERROR(INDEX(商品マスタ!$H$6:$H$1005,MATCH($F773,商品マスタ!$B$6:$B$1005,0)),"")</f>
        <v/>
      </c>
      <c r="P773" s="87" t="str">
        <f aca="false">IF(OR($E773="",$O773=""),"",WORKDAY($E773,$O773))</f>
        <v/>
      </c>
      <c r="Q773" s="80"/>
      <c r="R773" s="131"/>
      <c r="S773" s="69" t="n">
        <f aca="false">IF($Q773="入荷済み",N($L773),0)</f>
        <v>0</v>
      </c>
      <c r="T773" s="80"/>
      <c r="U773" s="80"/>
    </row>
    <row r="774" customFormat="false" ht="15" hidden="false" customHeight="false" outlineLevel="0" collapsed="false">
      <c r="B774" s="66" t="str">
        <f aca="false">IF(OR($E774="",$F774=""),"","PO-"&amp;TEXT($E774,"yyyymmdd")&amp;"-"&amp;TEXT(COUNTIFS($E$6:$E774,$E774,$C$6:$C774,$C774),"000"))</f>
        <v/>
      </c>
      <c r="C774" s="130"/>
      <c r="D774" s="66" t="str">
        <f aca="false">IFERROR(INDEX(定数マスタ!$C$6:$C$105,MATCH($C774,定数マスタ!$B$6:$B$105,0)),"")</f>
        <v/>
      </c>
      <c r="E774" s="131"/>
      <c r="F774" s="130"/>
      <c r="G774" s="66" t="str">
        <f aca="false">IFERROR(INDEX(商品マスタ!$C$6:$C$1005,MATCH($F774,商品マスタ!$B$6:$B$1005,0)),"")</f>
        <v/>
      </c>
      <c r="H774" s="66" t="str">
        <f aca="false">IFERROR(INDEX(商品マスタ!$E$6:$E$1005,MATCH($F774,商品マスタ!$B$6:$B$1005,0)),"")</f>
        <v/>
      </c>
      <c r="I774" s="69" t="str">
        <f aca="false">IFERROR(INDEX(商品マスタ!$F$6:$F$1005,MATCH($F774,商品マスタ!$B$6:$B$1005,0)),"")</f>
        <v/>
      </c>
      <c r="J774" s="69" t="str">
        <f aca="false">IF(OR($F774="",$C774&lt;&gt;'設定（最初に1回）'!$C$4),"",IFERROR(INDEX(発注計算!$Y$6:$Y$405,MATCH($F774,発注計算!$C$6:$C$405,0)),""))</f>
        <v/>
      </c>
      <c r="K774" s="70"/>
      <c r="L774" s="69" t="str">
        <f aca="false">IF($K774="","",N($K774)*N($I774))</f>
        <v/>
      </c>
      <c r="M774" s="71" t="str">
        <f aca="false">IFERROR(INDEX(商品マスタ!$G$6:$G$1005,MATCH($F774,商品マスタ!$B$6:$B$1005,0)),"")</f>
        <v/>
      </c>
      <c r="N774" s="71" t="str">
        <f aca="false">IF($K774="","",N($K774)*N($M774))</f>
        <v/>
      </c>
      <c r="O774" s="66" t="str">
        <f aca="false">IFERROR(INDEX(商品マスタ!$H$6:$H$1005,MATCH($F774,商品マスタ!$B$6:$B$1005,0)),"")</f>
        <v/>
      </c>
      <c r="P774" s="87" t="str">
        <f aca="false">IF(OR($E774="",$O774=""),"",WORKDAY($E774,$O774))</f>
        <v/>
      </c>
      <c r="Q774" s="80"/>
      <c r="R774" s="131"/>
      <c r="S774" s="69" t="n">
        <f aca="false">IF($Q774="入荷済み",N($L774),0)</f>
        <v>0</v>
      </c>
      <c r="T774" s="80"/>
      <c r="U774" s="80"/>
    </row>
    <row r="775" customFormat="false" ht="15" hidden="false" customHeight="false" outlineLevel="0" collapsed="false">
      <c r="B775" s="66" t="str">
        <f aca="false">IF(OR($E775="",$F775=""),"","PO-"&amp;TEXT($E775,"yyyymmdd")&amp;"-"&amp;TEXT(COUNTIFS($E$6:$E775,$E775,$C$6:$C775,$C775),"000"))</f>
        <v/>
      </c>
      <c r="C775" s="130"/>
      <c r="D775" s="66" t="str">
        <f aca="false">IFERROR(INDEX(定数マスタ!$C$6:$C$105,MATCH($C775,定数マスタ!$B$6:$B$105,0)),"")</f>
        <v/>
      </c>
      <c r="E775" s="131"/>
      <c r="F775" s="130"/>
      <c r="G775" s="66" t="str">
        <f aca="false">IFERROR(INDEX(商品マスタ!$C$6:$C$1005,MATCH($F775,商品マスタ!$B$6:$B$1005,0)),"")</f>
        <v/>
      </c>
      <c r="H775" s="66" t="str">
        <f aca="false">IFERROR(INDEX(商品マスタ!$E$6:$E$1005,MATCH($F775,商品マスタ!$B$6:$B$1005,0)),"")</f>
        <v/>
      </c>
      <c r="I775" s="69" t="str">
        <f aca="false">IFERROR(INDEX(商品マスタ!$F$6:$F$1005,MATCH($F775,商品マスタ!$B$6:$B$1005,0)),"")</f>
        <v/>
      </c>
      <c r="J775" s="69" t="str">
        <f aca="false">IF(OR($F775="",$C775&lt;&gt;'設定（最初に1回）'!$C$4),"",IFERROR(INDEX(発注計算!$Y$6:$Y$405,MATCH($F775,発注計算!$C$6:$C$405,0)),""))</f>
        <v/>
      </c>
      <c r="K775" s="70"/>
      <c r="L775" s="69" t="str">
        <f aca="false">IF($K775="","",N($K775)*N($I775))</f>
        <v/>
      </c>
      <c r="M775" s="71" t="str">
        <f aca="false">IFERROR(INDEX(商品マスタ!$G$6:$G$1005,MATCH($F775,商品マスタ!$B$6:$B$1005,0)),"")</f>
        <v/>
      </c>
      <c r="N775" s="71" t="str">
        <f aca="false">IF($K775="","",N($K775)*N($M775))</f>
        <v/>
      </c>
      <c r="O775" s="66" t="str">
        <f aca="false">IFERROR(INDEX(商品マスタ!$H$6:$H$1005,MATCH($F775,商品マスタ!$B$6:$B$1005,0)),"")</f>
        <v/>
      </c>
      <c r="P775" s="87" t="str">
        <f aca="false">IF(OR($E775="",$O775=""),"",WORKDAY($E775,$O775))</f>
        <v/>
      </c>
      <c r="Q775" s="80"/>
      <c r="R775" s="131"/>
      <c r="S775" s="69" t="n">
        <f aca="false">IF($Q775="入荷済み",N($L775),0)</f>
        <v>0</v>
      </c>
      <c r="T775" s="80"/>
      <c r="U775" s="80"/>
    </row>
    <row r="776" customFormat="false" ht="15" hidden="false" customHeight="false" outlineLevel="0" collapsed="false">
      <c r="B776" s="66" t="str">
        <f aca="false">IF(OR($E776="",$F776=""),"","PO-"&amp;TEXT($E776,"yyyymmdd")&amp;"-"&amp;TEXT(COUNTIFS($E$6:$E776,$E776,$C$6:$C776,$C776),"000"))</f>
        <v/>
      </c>
      <c r="C776" s="130"/>
      <c r="D776" s="66" t="str">
        <f aca="false">IFERROR(INDEX(定数マスタ!$C$6:$C$105,MATCH($C776,定数マスタ!$B$6:$B$105,0)),"")</f>
        <v/>
      </c>
      <c r="E776" s="131"/>
      <c r="F776" s="130"/>
      <c r="G776" s="66" t="str">
        <f aca="false">IFERROR(INDEX(商品マスタ!$C$6:$C$1005,MATCH($F776,商品マスタ!$B$6:$B$1005,0)),"")</f>
        <v/>
      </c>
      <c r="H776" s="66" t="str">
        <f aca="false">IFERROR(INDEX(商品マスタ!$E$6:$E$1005,MATCH($F776,商品マスタ!$B$6:$B$1005,0)),"")</f>
        <v/>
      </c>
      <c r="I776" s="69" t="str">
        <f aca="false">IFERROR(INDEX(商品マスタ!$F$6:$F$1005,MATCH($F776,商品マスタ!$B$6:$B$1005,0)),"")</f>
        <v/>
      </c>
      <c r="J776" s="69" t="str">
        <f aca="false">IF(OR($F776="",$C776&lt;&gt;'設定（最初に1回）'!$C$4),"",IFERROR(INDEX(発注計算!$Y$6:$Y$405,MATCH($F776,発注計算!$C$6:$C$405,0)),""))</f>
        <v/>
      </c>
      <c r="K776" s="70"/>
      <c r="L776" s="69" t="str">
        <f aca="false">IF($K776="","",N($K776)*N($I776))</f>
        <v/>
      </c>
      <c r="M776" s="71" t="str">
        <f aca="false">IFERROR(INDEX(商品マスタ!$G$6:$G$1005,MATCH($F776,商品マスタ!$B$6:$B$1005,0)),"")</f>
        <v/>
      </c>
      <c r="N776" s="71" t="str">
        <f aca="false">IF($K776="","",N($K776)*N($M776))</f>
        <v/>
      </c>
      <c r="O776" s="66" t="str">
        <f aca="false">IFERROR(INDEX(商品マスタ!$H$6:$H$1005,MATCH($F776,商品マスタ!$B$6:$B$1005,0)),"")</f>
        <v/>
      </c>
      <c r="P776" s="87" t="str">
        <f aca="false">IF(OR($E776="",$O776=""),"",WORKDAY($E776,$O776))</f>
        <v/>
      </c>
      <c r="Q776" s="80"/>
      <c r="R776" s="131"/>
      <c r="S776" s="69" t="n">
        <f aca="false">IF($Q776="入荷済み",N($L776),0)</f>
        <v>0</v>
      </c>
      <c r="T776" s="80"/>
      <c r="U776" s="80"/>
    </row>
    <row r="777" customFormat="false" ht="15" hidden="false" customHeight="false" outlineLevel="0" collapsed="false">
      <c r="B777" s="66" t="str">
        <f aca="false">IF(OR($E777="",$F777=""),"","PO-"&amp;TEXT($E777,"yyyymmdd")&amp;"-"&amp;TEXT(COUNTIFS($E$6:$E777,$E777,$C$6:$C777,$C777),"000"))</f>
        <v/>
      </c>
      <c r="C777" s="130"/>
      <c r="D777" s="66" t="str">
        <f aca="false">IFERROR(INDEX(定数マスタ!$C$6:$C$105,MATCH($C777,定数マスタ!$B$6:$B$105,0)),"")</f>
        <v/>
      </c>
      <c r="E777" s="131"/>
      <c r="F777" s="130"/>
      <c r="G777" s="66" t="str">
        <f aca="false">IFERROR(INDEX(商品マスタ!$C$6:$C$1005,MATCH($F777,商品マスタ!$B$6:$B$1005,0)),"")</f>
        <v/>
      </c>
      <c r="H777" s="66" t="str">
        <f aca="false">IFERROR(INDEX(商品マスタ!$E$6:$E$1005,MATCH($F777,商品マスタ!$B$6:$B$1005,0)),"")</f>
        <v/>
      </c>
      <c r="I777" s="69" t="str">
        <f aca="false">IFERROR(INDEX(商品マスタ!$F$6:$F$1005,MATCH($F777,商品マスタ!$B$6:$B$1005,0)),"")</f>
        <v/>
      </c>
      <c r="J777" s="69" t="str">
        <f aca="false">IF(OR($F777="",$C777&lt;&gt;'設定（最初に1回）'!$C$4),"",IFERROR(INDEX(発注計算!$Y$6:$Y$405,MATCH($F777,発注計算!$C$6:$C$405,0)),""))</f>
        <v/>
      </c>
      <c r="K777" s="70"/>
      <c r="L777" s="69" t="str">
        <f aca="false">IF($K777="","",N($K777)*N($I777))</f>
        <v/>
      </c>
      <c r="M777" s="71" t="str">
        <f aca="false">IFERROR(INDEX(商品マスタ!$G$6:$G$1005,MATCH($F777,商品マスタ!$B$6:$B$1005,0)),"")</f>
        <v/>
      </c>
      <c r="N777" s="71" t="str">
        <f aca="false">IF($K777="","",N($K777)*N($M777))</f>
        <v/>
      </c>
      <c r="O777" s="66" t="str">
        <f aca="false">IFERROR(INDEX(商品マスタ!$H$6:$H$1005,MATCH($F777,商品マスタ!$B$6:$B$1005,0)),"")</f>
        <v/>
      </c>
      <c r="P777" s="87" t="str">
        <f aca="false">IF(OR($E777="",$O777=""),"",WORKDAY($E777,$O777))</f>
        <v/>
      </c>
      <c r="Q777" s="80"/>
      <c r="R777" s="131"/>
      <c r="S777" s="69" t="n">
        <f aca="false">IF($Q777="入荷済み",N($L777),0)</f>
        <v>0</v>
      </c>
      <c r="T777" s="80"/>
      <c r="U777" s="80"/>
    </row>
    <row r="778" customFormat="false" ht="15" hidden="false" customHeight="false" outlineLevel="0" collapsed="false">
      <c r="B778" s="66" t="str">
        <f aca="false">IF(OR($E778="",$F778=""),"","PO-"&amp;TEXT($E778,"yyyymmdd")&amp;"-"&amp;TEXT(COUNTIFS($E$6:$E778,$E778,$C$6:$C778,$C778),"000"))</f>
        <v/>
      </c>
      <c r="C778" s="130"/>
      <c r="D778" s="66" t="str">
        <f aca="false">IFERROR(INDEX(定数マスタ!$C$6:$C$105,MATCH($C778,定数マスタ!$B$6:$B$105,0)),"")</f>
        <v/>
      </c>
      <c r="E778" s="131"/>
      <c r="F778" s="130"/>
      <c r="G778" s="66" t="str">
        <f aca="false">IFERROR(INDEX(商品マスタ!$C$6:$C$1005,MATCH($F778,商品マスタ!$B$6:$B$1005,0)),"")</f>
        <v/>
      </c>
      <c r="H778" s="66" t="str">
        <f aca="false">IFERROR(INDEX(商品マスタ!$E$6:$E$1005,MATCH($F778,商品マスタ!$B$6:$B$1005,0)),"")</f>
        <v/>
      </c>
      <c r="I778" s="69" t="str">
        <f aca="false">IFERROR(INDEX(商品マスタ!$F$6:$F$1005,MATCH($F778,商品マスタ!$B$6:$B$1005,0)),"")</f>
        <v/>
      </c>
      <c r="J778" s="69" t="str">
        <f aca="false">IF(OR($F778="",$C778&lt;&gt;'設定（最初に1回）'!$C$4),"",IFERROR(INDEX(発注計算!$Y$6:$Y$405,MATCH($F778,発注計算!$C$6:$C$405,0)),""))</f>
        <v/>
      </c>
      <c r="K778" s="70"/>
      <c r="L778" s="69" t="str">
        <f aca="false">IF($K778="","",N($K778)*N($I778))</f>
        <v/>
      </c>
      <c r="M778" s="71" t="str">
        <f aca="false">IFERROR(INDEX(商品マスタ!$G$6:$G$1005,MATCH($F778,商品マスタ!$B$6:$B$1005,0)),"")</f>
        <v/>
      </c>
      <c r="N778" s="71" t="str">
        <f aca="false">IF($K778="","",N($K778)*N($M778))</f>
        <v/>
      </c>
      <c r="O778" s="66" t="str">
        <f aca="false">IFERROR(INDEX(商品マスタ!$H$6:$H$1005,MATCH($F778,商品マスタ!$B$6:$B$1005,0)),"")</f>
        <v/>
      </c>
      <c r="P778" s="87" t="str">
        <f aca="false">IF(OR($E778="",$O778=""),"",WORKDAY($E778,$O778))</f>
        <v/>
      </c>
      <c r="Q778" s="80"/>
      <c r="R778" s="131"/>
      <c r="S778" s="69" t="n">
        <f aca="false">IF($Q778="入荷済み",N($L778),0)</f>
        <v>0</v>
      </c>
      <c r="T778" s="80"/>
      <c r="U778" s="80"/>
    </row>
    <row r="779" customFormat="false" ht="15" hidden="false" customHeight="false" outlineLevel="0" collapsed="false">
      <c r="B779" s="66" t="str">
        <f aca="false">IF(OR($E779="",$F779=""),"","PO-"&amp;TEXT($E779,"yyyymmdd")&amp;"-"&amp;TEXT(COUNTIFS($E$6:$E779,$E779,$C$6:$C779,$C779),"000"))</f>
        <v/>
      </c>
      <c r="C779" s="130"/>
      <c r="D779" s="66" t="str">
        <f aca="false">IFERROR(INDEX(定数マスタ!$C$6:$C$105,MATCH($C779,定数マスタ!$B$6:$B$105,0)),"")</f>
        <v/>
      </c>
      <c r="E779" s="131"/>
      <c r="F779" s="130"/>
      <c r="G779" s="66" t="str">
        <f aca="false">IFERROR(INDEX(商品マスタ!$C$6:$C$1005,MATCH($F779,商品マスタ!$B$6:$B$1005,0)),"")</f>
        <v/>
      </c>
      <c r="H779" s="66" t="str">
        <f aca="false">IFERROR(INDEX(商品マスタ!$E$6:$E$1005,MATCH($F779,商品マスタ!$B$6:$B$1005,0)),"")</f>
        <v/>
      </c>
      <c r="I779" s="69" t="str">
        <f aca="false">IFERROR(INDEX(商品マスタ!$F$6:$F$1005,MATCH($F779,商品マスタ!$B$6:$B$1005,0)),"")</f>
        <v/>
      </c>
      <c r="J779" s="69" t="str">
        <f aca="false">IF(OR($F779="",$C779&lt;&gt;'設定（最初に1回）'!$C$4),"",IFERROR(INDEX(発注計算!$Y$6:$Y$405,MATCH($F779,発注計算!$C$6:$C$405,0)),""))</f>
        <v/>
      </c>
      <c r="K779" s="70"/>
      <c r="L779" s="69" t="str">
        <f aca="false">IF($K779="","",N($K779)*N($I779))</f>
        <v/>
      </c>
      <c r="M779" s="71" t="str">
        <f aca="false">IFERROR(INDEX(商品マスタ!$G$6:$G$1005,MATCH($F779,商品マスタ!$B$6:$B$1005,0)),"")</f>
        <v/>
      </c>
      <c r="N779" s="71" t="str">
        <f aca="false">IF($K779="","",N($K779)*N($M779))</f>
        <v/>
      </c>
      <c r="O779" s="66" t="str">
        <f aca="false">IFERROR(INDEX(商品マスタ!$H$6:$H$1005,MATCH($F779,商品マスタ!$B$6:$B$1005,0)),"")</f>
        <v/>
      </c>
      <c r="P779" s="87" t="str">
        <f aca="false">IF(OR($E779="",$O779=""),"",WORKDAY($E779,$O779))</f>
        <v/>
      </c>
      <c r="Q779" s="80"/>
      <c r="R779" s="131"/>
      <c r="S779" s="69" t="n">
        <f aca="false">IF($Q779="入荷済み",N($L779),0)</f>
        <v>0</v>
      </c>
      <c r="T779" s="80"/>
      <c r="U779" s="80"/>
    </row>
    <row r="780" customFormat="false" ht="15" hidden="false" customHeight="false" outlineLevel="0" collapsed="false">
      <c r="B780" s="66" t="str">
        <f aca="false">IF(OR($E780="",$F780=""),"","PO-"&amp;TEXT($E780,"yyyymmdd")&amp;"-"&amp;TEXT(COUNTIFS($E$6:$E780,$E780,$C$6:$C780,$C780),"000"))</f>
        <v/>
      </c>
      <c r="C780" s="130"/>
      <c r="D780" s="66" t="str">
        <f aca="false">IFERROR(INDEX(定数マスタ!$C$6:$C$105,MATCH($C780,定数マスタ!$B$6:$B$105,0)),"")</f>
        <v/>
      </c>
      <c r="E780" s="131"/>
      <c r="F780" s="130"/>
      <c r="G780" s="66" t="str">
        <f aca="false">IFERROR(INDEX(商品マスタ!$C$6:$C$1005,MATCH($F780,商品マスタ!$B$6:$B$1005,0)),"")</f>
        <v/>
      </c>
      <c r="H780" s="66" t="str">
        <f aca="false">IFERROR(INDEX(商品マスタ!$E$6:$E$1005,MATCH($F780,商品マスタ!$B$6:$B$1005,0)),"")</f>
        <v/>
      </c>
      <c r="I780" s="69" t="str">
        <f aca="false">IFERROR(INDEX(商品マスタ!$F$6:$F$1005,MATCH($F780,商品マスタ!$B$6:$B$1005,0)),"")</f>
        <v/>
      </c>
      <c r="J780" s="69" t="str">
        <f aca="false">IF(OR($F780="",$C780&lt;&gt;'設定（最初に1回）'!$C$4),"",IFERROR(INDEX(発注計算!$Y$6:$Y$405,MATCH($F780,発注計算!$C$6:$C$405,0)),""))</f>
        <v/>
      </c>
      <c r="K780" s="70"/>
      <c r="L780" s="69" t="str">
        <f aca="false">IF($K780="","",N($K780)*N($I780))</f>
        <v/>
      </c>
      <c r="M780" s="71" t="str">
        <f aca="false">IFERROR(INDEX(商品マスタ!$G$6:$G$1005,MATCH($F780,商品マスタ!$B$6:$B$1005,0)),"")</f>
        <v/>
      </c>
      <c r="N780" s="71" t="str">
        <f aca="false">IF($K780="","",N($K780)*N($M780))</f>
        <v/>
      </c>
      <c r="O780" s="66" t="str">
        <f aca="false">IFERROR(INDEX(商品マスタ!$H$6:$H$1005,MATCH($F780,商品マスタ!$B$6:$B$1005,0)),"")</f>
        <v/>
      </c>
      <c r="P780" s="87" t="str">
        <f aca="false">IF(OR($E780="",$O780=""),"",WORKDAY($E780,$O780))</f>
        <v/>
      </c>
      <c r="Q780" s="80"/>
      <c r="R780" s="131"/>
      <c r="S780" s="69" t="n">
        <f aca="false">IF($Q780="入荷済み",N($L780),0)</f>
        <v>0</v>
      </c>
      <c r="T780" s="80"/>
      <c r="U780" s="80"/>
    </row>
    <row r="781" customFormat="false" ht="15" hidden="false" customHeight="false" outlineLevel="0" collapsed="false">
      <c r="B781" s="66" t="str">
        <f aca="false">IF(OR($E781="",$F781=""),"","PO-"&amp;TEXT($E781,"yyyymmdd")&amp;"-"&amp;TEXT(COUNTIFS($E$6:$E781,$E781,$C$6:$C781,$C781),"000"))</f>
        <v/>
      </c>
      <c r="C781" s="130"/>
      <c r="D781" s="66" t="str">
        <f aca="false">IFERROR(INDEX(定数マスタ!$C$6:$C$105,MATCH($C781,定数マスタ!$B$6:$B$105,0)),"")</f>
        <v/>
      </c>
      <c r="E781" s="131"/>
      <c r="F781" s="130"/>
      <c r="G781" s="66" t="str">
        <f aca="false">IFERROR(INDEX(商品マスタ!$C$6:$C$1005,MATCH($F781,商品マスタ!$B$6:$B$1005,0)),"")</f>
        <v/>
      </c>
      <c r="H781" s="66" t="str">
        <f aca="false">IFERROR(INDEX(商品マスタ!$E$6:$E$1005,MATCH($F781,商品マスタ!$B$6:$B$1005,0)),"")</f>
        <v/>
      </c>
      <c r="I781" s="69" t="str">
        <f aca="false">IFERROR(INDEX(商品マスタ!$F$6:$F$1005,MATCH($F781,商品マスタ!$B$6:$B$1005,0)),"")</f>
        <v/>
      </c>
      <c r="J781" s="69" t="str">
        <f aca="false">IF(OR($F781="",$C781&lt;&gt;'設定（最初に1回）'!$C$4),"",IFERROR(INDEX(発注計算!$Y$6:$Y$405,MATCH($F781,発注計算!$C$6:$C$405,0)),""))</f>
        <v/>
      </c>
      <c r="K781" s="70"/>
      <c r="L781" s="69" t="str">
        <f aca="false">IF($K781="","",N($K781)*N($I781))</f>
        <v/>
      </c>
      <c r="M781" s="71" t="str">
        <f aca="false">IFERROR(INDEX(商品マスタ!$G$6:$G$1005,MATCH($F781,商品マスタ!$B$6:$B$1005,0)),"")</f>
        <v/>
      </c>
      <c r="N781" s="71" t="str">
        <f aca="false">IF($K781="","",N($K781)*N($M781))</f>
        <v/>
      </c>
      <c r="O781" s="66" t="str">
        <f aca="false">IFERROR(INDEX(商品マスタ!$H$6:$H$1005,MATCH($F781,商品マスタ!$B$6:$B$1005,0)),"")</f>
        <v/>
      </c>
      <c r="P781" s="87" t="str">
        <f aca="false">IF(OR($E781="",$O781=""),"",WORKDAY($E781,$O781))</f>
        <v/>
      </c>
      <c r="Q781" s="80"/>
      <c r="R781" s="131"/>
      <c r="S781" s="69" t="n">
        <f aca="false">IF($Q781="入荷済み",N($L781),0)</f>
        <v>0</v>
      </c>
      <c r="T781" s="80"/>
      <c r="U781" s="80"/>
    </row>
    <row r="782" customFormat="false" ht="15" hidden="false" customHeight="false" outlineLevel="0" collapsed="false">
      <c r="B782" s="66" t="str">
        <f aca="false">IF(OR($E782="",$F782=""),"","PO-"&amp;TEXT($E782,"yyyymmdd")&amp;"-"&amp;TEXT(COUNTIFS($E$6:$E782,$E782,$C$6:$C782,$C782),"000"))</f>
        <v/>
      </c>
      <c r="C782" s="130"/>
      <c r="D782" s="66" t="str">
        <f aca="false">IFERROR(INDEX(定数マスタ!$C$6:$C$105,MATCH($C782,定数マスタ!$B$6:$B$105,0)),"")</f>
        <v/>
      </c>
      <c r="E782" s="131"/>
      <c r="F782" s="130"/>
      <c r="G782" s="66" t="str">
        <f aca="false">IFERROR(INDEX(商品マスタ!$C$6:$C$1005,MATCH($F782,商品マスタ!$B$6:$B$1005,0)),"")</f>
        <v/>
      </c>
      <c r="H782" s="66" t="str">
        <f aca="false">IFERROR(INDEX(商品マスタ!$E$6:$E$1005,MATCH($F782,商品マスタ!$B$6:$B$1005,0)),"")</f>
        <v/>
      </c>
      <c r="I782" s="69" t="str">
        <f aca="false">IFERROR(INDEX(商品マスタ!$F$6:$F$1005,MATCH($F782,商品マスタ!$B$6:$B$1005,0)),"")</f>
        <v/>
      </c>
      <c r="J782" s="69" t="str">
        <f aca="false">IF(OR($F782="",$C782&lt;&gt;'設定（最初に1回）'!$C$4),"",IFERROR(INDEX(発注計算!$Y$6:$Y$405,MATCH($F782,発注計算!$C$6:$C$405,0)),""))</f>
        <v/>
      </c>
      <c r="K782" s="70"/>
      <c r="L782" s="69" t="str">
        <f aca="false">IF($K782="","",N($K782)*N($I782))</f>
        <v/>
      </c>
      <c r="M782" s="71" t="str">
        <f aca="false">IFERROR(INDEX(商品マスタ!$G$6:$G$1005,MATCH($F782,商品マスタ!$B$6:$B$1005,0)),"")</f>
        <v/>
      </c>
      <c r="N782" s="71" t="str">
        <f aca="false">IF($K782="","",N($K782)*N($M782))</f>
        <v/>
      </c>
      <c r="O782" s="66" t="str">
        <f aca="false">IFERROR(INDEX(商品マスタ!$H$6:$H$1005,MATCH($F782,商品マスタ!$B$6:$B$1005,0)),"")</f>
        <v/>
      </c>
      <c r="P782" s="87" t="str">
        <f aca="false">IF(OR($E782="",$O782=""),"",WORKDAY($E782,$O782))</f>
        <v/>
      </c>
      <c r="Q782" s="80"/>
      <c r="R782" s="131"/>
      <c r="S782" s="69" t="n">
        <f aca="false">IF($Q782="入荷済み",N($L782),0)</f>
        <v>0</v>
      </c>
      <c r="T782" s="80"/>
      <c r="U782" s="80"/>
    </row>
    <row r="783" customFormat="false" ht="15" hidden="false" customHeight="false" outlineLevel="0" collapsed="false">
      <c r="B783" s="66" t="str">
        <f aca="false">IF(OR($E783="",$F783=""),"","PO-"&amp;TEXT($E783,"yyyymmdd")&amp;"-"&amp;TEXT(COUNTIFS($E$6:$E783,$E783,$C$6:$C783,$C783),"000"))</f>
        <v/>
      </c>
      <c r="C783" s="130"/>
      <c r="D783" s="66" t="str">
        <f aca="false">IFERROR(INDEX(定数マスタ!$C$6:$C$105,MATCH($C783,定数マスタ!$B$6:$B$105,0)),"")</f>
        <v/>
      </c>
      <c r="E783" s="131"/>
      <c r="F783" s="130"/>
      <c r="G783" s="66" t="str">
        <f aca="false">IFERROR(INDEX(商品マスタ!$C$6:$C$1005,MATCH($F783,商品マスタ!$B$6:$B$1005,0)),"")</f>
        <v/>
      </c>
      <c r="H783" s="66" t="str">
        <f aca="false">IFERROR(INDEX(商品マスタ!$E$6:$E$1005,MATCH($F783,商品マスタ!$B$6:$B$1005,0)),"")</f>
        <v/>
      </c>
      <c r="I783" s="69" t="str">
        <f aca="false">IFERROR(INDEX(商品マスタ!$F$6:$F$1005,MATCH($F783,商品マスタ!$B$6:$B$1005,0)),"")</f>
        <v/>
      </c>
      <c r="J783" s="69" t="str">
        <f aca="false">IF(OR($F783="",$C783&lt;&gt;'設定（最初に1回）'!$C$4),"",IFERROR(INDEX(発注計算!$Y$6:$Y$405,MATCH($F783,発注計算!$C$6:$C$405,0)),""))</f>
        <v/>
      </c>
      <c r="K783" s="70"/>
      <c r="L783" s="69" t="str">
        <f aca="false">IF($K783="","",N($K783)*N($I783))</f>
        <v/>
      </c>
      <c r="M783" s="71" t="str">
        <f aca="false">IFERROR(INDEX(商品マスタ!$G$6:$G$1005,MATCH($F783,商品マスタ!$B$6:$B$1005,0)),"")</f>
        <v/>
      </c>
      <c r="N783" s="71" t="str">
        <f aca="false">IF($K783="","",N($K783)*N($M783))</f>
        <v/>
      </c>
      <c r="O783" s="66" t="str">
        <f aca="false">IFERROR(INDEX(商品マスタ!$H$6:$H$1005,MATCH($F783,商品マスタ!$B$6:$B$1005,0)),"")</f>
        <v/>
      </c>
      <c r="P783" s="87" t="str">
        <f aca="false">IF(OR($E783="",$O783=""),"",WORKDAY($E783,$O783))</f>
        <v/>
      </c>
      <c r="Q783" s="80"/>
      <c r="R783" s="131"/>
      <c r="S783" s="69" t="n">
        <f aca="false">IF($Q783="入荷済み",N($L783),0)</f>
        <v>0</v>
      </c>
      <c r="T783" s="80"/>
      <c r="U783" s="80"/>
    </row>
    <row r="784" customFormat="false" ht="15" hidden="false" customHeight="false" outlineLevel="0" collapsed="false">
      <c r="B784" s="66" t="str">
        <f aca="false">IF(OR($E784="",$F784=""),"","PO-"&amp;TEXT($E784,"yyyymmdd")&amp;"-"&amp;TEXT(COUNTIFS($E$6:$E784,$E784,$C$6:$C784,$C784),"000"))</f>
        <v/>
      </c>
      <c r="C784" s="130"/>
      <c r="D784" s="66" t="str">
        <f aca="false">IFERROR(INDEX(定数マスタ!$C$6:$C$105,MATCH($C784,定数マスタ!$B$6:$B$105,0)),"")</f>
        <v/>
      </c>
      <c r="E784" s="131"/>
      <c r="F784" s="130"/>
      <c r="G784" s="66" t="str">
        <f aca="false">IFERROR(INDEX(商品マスタ!$C$6:$C$1005,MATCH($F784,商品マスタ!$B$6:$B$1005,0)),"")</f>
        <v/>
      </c>
      <c r="H784" s="66" t="str">
        <f aca="false">IFERROR(INDEX(商品マスタ!$E$6:$E$1005,MATCH($F784,商品マスタ!$B$6:$B$1005,0)),"")</f>
        <v/>
      </c>
      <c r="I784" s="69" t="str">
        <f aca="false">IFERROR(INDEX(商品マスタ!$F$6:$F$1005,MATCH($F784,商品マスタ!$B$6:$B$1005,0)),"")</f>
        <v/>
      </c>
      <c r="J784" s="69" t="str">
        <f aca="false">IF(OR($F784="",$C784&lt;&gt;'設定（最初に1回）'!$C$4),"",IFERROR(INDEX(発注計算!$Y$6:$Y$405,MATCH($F784,発注計算!$C$6:$C$405,0)),""))</f>
        <v/>
      </c>
      <c r="K784" s="70"/>
      <c r="L784" s="69" t="str">
        <f aca="false">IF($K784="","",N($K784)*N($I784))</f>
        <v/>
      </c>
      <c r="M784" s="71" t="str">
        <f aca="false">IFERROR(INDEX(商品マスタ!$G$6:$G$1005,MATCH($F784,商品マスタ!$B$6:$B$1005,0)),"")</f>
        <v/>
      </c>
      <c r="N784" s="71" t="str">
        <f aca="false">IF($K784="","",N($K784)*N($M784))</f>
        <v/>
      </c>
      <c r="O784" s="66" t="str">
        <f aca="false">IFERROR(INDEX(商品マスタ!$H$6:$H$1005,MATCH($F784,商品マスタ!$B$6:$B$1005,0)),"")</f>
        <v/>
      </c>
      <c r="P784" s="87" t="str">
        <f aca="false">IF(OR($E784="",$O784=""),"",WORKDAY($E784,$O784))</f>
        <v/>
      </c>
      <c r="Q784" s="80"/>
      <c r="R784" s="131"/>
      <c r="S784" s="69" t="n">
        <f aca="false">IF($Q784="入荷済み",N($L784),0)</f>
        <v>0</v>
      </c>
      <c r="T784" s="80"/>
      <c r="U784" s="80"/>
    </row>
    <row r="785" customFormat="false" ht="15" hidden="false" customHeight="false" outlineLevel="0" collapsed="false">
      <c r="B785" s="66" t="str">
        <f aca="false">IF(OR($E785="",$F785=""),"","PO-"&amp;TEXT($E785,"yyyymmdd")&amp;"-"&amp;TEXT(COUNTIFS($E$6:$E785,$E785,$C$6:$C785,$C785),"000"))</f>
        <v/>
      </c>
      <c r="C785" s="130"/>
      <c r="D785" s="66" t="str">
        <f aca="false">IFERROR(INDEX(定数マスタ!$C$6:$C$105,MATCH($C785,定数マスタ!$B$6:$B$105,0)),"")</f>
        <v/>
      </c>
      <c r="E785" s="131"/>
      <c r="F785" s="130"/>
      <c r="G785" s="66" t="str">
        <f aca="false">IFERROR(INDEX(商品マスタ!$C$6:$C$1005,MATCH($F785,商品マスタ!$B$6:$B$1005,0)),"")</f>
        <v/>
      </c>
      <c r="H785" s="66" t="str">
        <f aca="false">IFERROR(INDEX(商品マスタ!$E$6:$E$1005,MATCH($F785,商品マスタ!$B$6:$B$1005,0)),"")</f>
        <v/>
      </c>
      <c r="I785" s="69" t="str">
        <f aca="false">IFERROR(INDEX(商品マスタ!$F$6:$F$1005,MATCH($F785,商品マスタ!$B$6:$B$1005,0)),"")</f>
        <v/>
      </c>
      <c r="J785" s="69" t="str">
        <f aca="false">IF(OR($F785="",$C785&lt;&gt;'設定（最初に1回）'!$C$4),"",IFERROR(INDEX(発注計算!$Y$6:$Y$405,MATCH($F785,発注計算!$C$6:$C$405,0)),""))</f>
        <v/>
      </c>
      <c r="K785" s="70"/>
      <c r="L785" s="69" t="str">
        <f aca="false">IF($K785="","",N($K785)*N($I785))</f>
        <v/>
      </c>
      <c r="M785" s="71" t="str">
        <f aca="false">IFERROR(INDEX(商品マスタ!$G$6:$G$1005,MATCH($F785,商品マスタ!$B$6:$B$1005,0)),"")</f>
        <v/>
      </c>
      <c r="N785" s="71" t="str">
        <f aca="false">IF($K785="","",N($K785)*N($M785))</f>
        <v/>
      </c>
      <c r="O785" s="66" t="str">
        <f aca="false">IFERROR(INDEX(商品マスタ!$H$6:$H$1005,MATCH($F785,商品マスタ!$B$6:$B$1005,0)),"")</f>
        <v/>
      </c>
      <c r="P785" s="87" t="str">
        <f aca="false">IF(OR($E785="",$O785=""),"",WORKDAY($E785,$O785))</f>
        <v/>
      </c>
      <c r="Q785" s="80"/>
      <c r="R785" s="131"/>
      <c r="S785" s="69" t="n">
        <f aca="false">IF($Q785="入荷済み",N($L785),0)</f>
        <v>0</v>
      </c>
      <c r="T785" s="80"/>
      <c r="U785" s="80"/>
    </row>
    <row r="786" customFormat="false" ht="15" hidden="false" customHeight="false" outlineLevel="0" collapsed="false">
      <c r="B786" s="66" t="str">
        <f aca="false">IF(OR($E786="",$F786=""),"","PO-"&amp;TEXT($E786,"yyyymmdd")&amp;"-"&amp;TEXT(COUNTIFS($E$6:$E786,$E786,$C$6:$C786,$C786),"000"))</f>
        <v/>
      </c>
      <c r="C786" s="130"/>
      <c r="D786" s="66" t="str">
        <f aca="false">IFERROR(INDEX(定数マスタ!$C$6:$C$105,MATCH($C786,定数マスタ!$B$6:$B$105,0)),"")</f>
        <v/>
      </c>
      <c r="E786" s="131"/>
      <c r="F786" s="130"/>
      <c r="G786" s="66" t="str">
        <f aca="false">IFERROR(INDEX(商品マスタ!$C$6:$C$1005,MATCH($F786,商品マスタ!$B$6:$B$1005,0)),"")</f>
        <v/>
      </c>
      <c r="H786" s="66" t="str">
        <f aca="false">IFERROR(INDEX(商品マスタ!$E$6:$E$1005,MATCH($F786,商品マスタ!$B$6:$B$1005,0)),"")</f>
        <v/>
      </c>
      <c r="I786" s="69" t="str">
        <f aca="false">IFERROR(INDEX(商品マスタ!$F$6:$F$1005,MATCH($F786,商品マスタ!$B$6:$B$1005,0)),"")</f>
        <v/>
      </c>
      <c r="J786" s="69" t="str">
        <f aca="false">IF(OR($F786="",$C786&lt;&gt;'設定（最初に1回）'!$C$4),"",IFERROR(INDEX(発注計算!$Y$6:$Y$405,MATCH($F786,発注計算!$C$6:$C$405,0)),""))</f>
        <v/>
      </c>
      <c r="K786" s="70"/>
      <c r="L786" s="69" t="str">
        <f aca="false">IF($K786="","",N($K786)*N($I786))</f>
        <v/>
      </c>
      <c r="M786" s="71" t="str">
        <f aca="false">IFERROR(INDEX(商品マスタ!$G$6:$G$1005,MATCH($F786,商品マスタ!$B$6:$B$1005,0)),"")</f>
        <v/>
      </c>
      <c r="N786" s="71" t="str">
        <f aca="false">IF($K786="","",N($K786)*N($M786))</f>
        <v/>
      </c>
      <c r="O786" s="66" t="str">
        <f aca="false">IFERROR(INDEX(商品マスタ!$H$6:$H$1005,MATCH($F786,商品マスタ!$B$6:$B$1005,0)),"")</f>
        <v/>
      </c>
      <c r="P786" s="87" t="str">
        <f aca="false">IF(OR($E786="",$O786=""),"",WORKDAY($E786,$O786))</f>
        <v/>
      </c>
      <c r="Q786" s="80"/>
      <c r="R786" s="131"/>
      <c r="S786" s="69" t="n">
        <f aca="false">IF($Q786="入荷済み",N($L786),0)</f>
        <v>0</v>
      </c>
      <c r="T786" s="80"/>
      <c r="U786" s="80"/>
    </row>
    <row r="787" customFormat="false" ht="15" hidden="false" customHeight="false" outlineLevel="0" collapsed="false">
      <c r="B787" s="66" t="str">
        <f aca="false">IF(OR($E787="",$F787=""),"","PO-"&amp;TEXT($E787,"yyyymmdd")&amp;"-"&amp;TEXT(COUNTIFS($E$6:$E787,$E787,$C$6:$C787,$C787),"000"))</f>
        <v/>
      </c>
      <c r="C787" s="130"/>
      <c r="D787" s="66" t="str">
        <f aca="false">IFERROR(INDEX(定数マスタ!$C$6:$C$105,MATCH($C787,定数マスタ!$B$6:$B$105,0)),"")</f>
        <v/>
      </c>
      <c r="E787" s="131"/>
      <c r="F787" s="130"/>
      <c r="G787" s="66" t="str">
        <f aca="false">IFERROR(INDEX(商品マスタ!$C$6:$C$1005,MATCH($F787,商品マスタ!$B$6:$B$1005,0)),"")</f>
        <v/>
      </c>
      <c r="H787" s="66" t="str">
        <f aca="false">IFERROR(INDEX(商品マスタ!$E$6:$E$1005,MATCH($F787,商品マスタ!$B$6:$B$1005,0)),"")</f>
        <v/>
      </c>
      <c r="I787" s="69" t="str">
        <f aca="false">IFERROR(INDEX(商品マスタ!$F$6:$F$1005,MATCH($F787,商品マスタ!$B$6:$B$1005,0)),"")</f>
        <v/>
      </c>
      <c r="J787" s="69" t="str">
        <f aca="false">IF(OR($F787="",$C787&lt;&gt;'設定（最初に1回）'!$C$4),"",IFERROR(INDEX(発注計算!$Y$6:$Y$405,MATCH($F787,発注計算!$C$6:$C$405,0)),""))</f>
        <v/>
      </c>
      <c r="K787" s="70"/>
      <c r="L787" s="69" t="str">
        <f aca="false">IF($K787="","",N($K787)*N($I787))</f>
        <v/>
      </c>
      <c r="M787" s="71" t="str">
        <f aca="false">IFERROR(INDEX(商品マスタ!$G$6:$G$1005,MATCH($F787,商品マスタ!$B$6:$B$1005,0)),"")</f>
        <v/>
      </c>
      <c r="N787" s="71" t="str">
        <f aca="false">IF($K787="","",N($K787)*N($M787))</f>
        <v/>
      </c>
      <c r="O787" s="66" t="str">
        <f aca="false">IFERROR(INDEX(商品マスタ!$H$6:$H$1005,MATCH($F787,商品マスタ!$B$6:$B$1005,0)),"")</f>
        <v/>
      </c>
      <c r="P787" s="87" t="str">
        <f aca="false">IF(OR($E787="",$O787=""),"",WORKDAY($E787,$O787))</f>
        <v/>
      </c>
      <c r="Q787" s="80"/>
      <c r="R787" s="131"/>
      <c r="S787" s="69" t="n">
        <f aca="false">IF($Q787="入荷済み",N($L787),0)</f>
        <v>0</v>
      </c>
      <c r="T787" s="80"/>
      <c r="U787" s="80"/>
    </row>
    <row r="788" customFormat="false" ht="15" hidden="false" customHeight="false" outlineLevel="0" collapsed="false">
      <c r="B788" s="66" t="str">
        <f aca="false">IF(OR($E788="",$F788=""),"","PO-"&amp;TEXT($E788,"yyyymmdd")&amp;"-"&amp;TEXT(COUNTIFS($E$6:$E788,$E788,$C$6:$C788,$C788),"000"))</f>
        <v/>
      </c>
      <c r="C788" s="130"/>
      <c r="D788" s="66" t="str">
        <f aca="false">IFERROR(INDEX(定数マスタ!$C$6:$C$105,MATCH($C788,定数マスタ!$B$6:$B$105,0)),"")</f>
        <v/>
      </c>
      <c r="E788" s="131"/>
      <c r="F788" s="130"/>
      <c r="G788" s="66" t="str">
        <f aca="false">IFERROR(INDEX(商品マスタ!$C$6:$C$1005,MATCH($F788,商品マスタ!$B$6:$B$1005,0)),"")</f>
        <v/>
      </c>
      <c r="H788" s="66" t="str">
        <f aca="false">IFERROR(INDEX(商品マスタ!$E$6:$E$1005,MATCH($F788,商品マスタ!$B$6:$B$1005,0)),"")</f>
        <v/>
      </c>
      <c r="I788" s="69" t="str">
        <f aca="false">IFERROR(INDEX(商品マスタ!$F$6:$F$1005,MATCH($F788,商品マスタ!$B$6:$B$1005,0)),"")</f>
        <v/>
      </c>
      <c r="J788" s="69" t="str">
        <f aca="false">IF(OR($F788="",$C788&lt;&gt;'設定（最初に1回）'!$C$4),"",IFERROR(INDEX(発注計算!$Y$6:$Y$405,MATCH($F788,発注計算!$C$6:$C$405,0)),""))</f>
        <v/>
      </c>
      <c r="K788" s="70"/>
      <c r="L788" s="69" t="str">
        <f aca="false">IF($K788="","",N($K788)*N($I788))</f>
        <v/>
      </c>
      <c r="M788" s="71" t="str">
        <f aca="false">IFERROR(INDEX(商品マスタ!$G$6:$G$1005,MATCH($F788,商品マスタ!$B$6:$B$1005,0)),"")</f>
        <v/>
      </c>
      <c r="N788" s="71" t="str">
        <f aca="false">IF($K788="","",N($K788)*N($M788))</f>
        <v/>
      </c>
      <c r="O788" s="66" t="str">
        <f aca="false">IFERROR(INDEX(商品マスタ!$H$6:$H$1005,MATCH($F788,商品マスタ!$B$6:$B$1005,0)),"")</f>
        <v/>
      </c>
      <c r="P788" s="87" t="str">
        <f aca="false">IF(OR($E788="",$O788=""),"",WORKDAY($E788,$O788))</f>
        <v/>
      </c>
      <c r="Q788" s="80"/>
      <c r="R788" s="131"/>
      <c r="S788" s="69" t="n">
        <f aca="false">IF($Q788="入荷済み",N($L788),0)</f>
        <v>0</v>
      </c>
      <c r="T788" s="80"/>
      <c r="U788" s="80"/>
    </row>
    <row r="789" customFormat="false" ht="15" hidden="false" customHeight="false" outlineLevel="0" collapsed="false">
      <c r="B789" s="66" t="str">
        <f aca="false">IF(OR($E789="",$F789=""),"","PO-"&amp;TEXT($E789,"yyyymmdd")&amp;"-"&amp;TEXT(COUNTIFS($E$6:$E789,$E789,$C$6:$C789,$C789),"000"))</f>
        <v/>
      </c>
      <c r="C789" s="130"/>
      <c r="D789" s="66" t="str">
        <f aca="false">IFERROR(INDEX(定数マスタ!$C$6:$C$105,MATCH($C789,定数マスタ!$B$6:$B$105,0)),"")</f>
        <v/>
      </c>
      <c r="E789" s="131"/>
      <c r="F789" s="130"/>
      <c r="G789" s="66" t="str">
        <f aca="false">IFERROR(INDEX(商品マスタ!$C$6:$C$1005,MATCH($F789,商品マスタ!$B$6:$B$1005,0)),"")</f>
        <v/>
      </c>
      <c r="H789" s="66" t="str">
        <f aca="false">IFERROR(INDEX(商品マスタ!$E$6:$E$1005,MATCH($F789,商品マスタ!$B$6:$B$1005,0)),"")</f>
        <v/>
      </c>
      <c r="I789" s="69" t="str">
        <f aca="false">IFERROR(INDEX(商品マスタ!$F$6:$F$1005,MATCH($F789,商品マスタ!$B$6:$B$1005,0)),"")</f>
        <v/>
      </c>
      <c r="J789" s="69" t="str">
        <f aca="false">IF(OR($F789="",$C789&lt;&gt;'設定（最初に1回）'!$C$4),"",IFERROR(INDEX(発注計算!$Y$6:$Y$405,MATCH($F789,発注計算!$C$6:$C$405,0)),""))</f>
        <v/>
      </c>
      <c r="K789" s="70"/>
      <c r="L789" s="69" t="str">
        <f aca="false">IF($K789="","",N($K789)*N($I789))</f>
        <v/>
      </c>
      <c r="M789" s="71" t="str">
        <f aca="false">IFERROR(INDEX(商品マスタ!$G$6:$G$1005,MATCH($F789,商品マスタ!$B$6:$B$1005,0)),"")</f>
        <v/>
      </c>
      <c r="N789" s="71" t="str">
        <f aca="false">IF($K789="","",N($K789)*N($M789))</f>
        <v/>
      </c>
      <c r="O789" s="66" t="str">
        <f aca="false">IFERROR(INDEX(商品マスタ!$H$6:$H$1005,MATCH($F789,商品マスタ!$B$6:$B$1005,0)),"")</f>
        <v/>
      </c>
      <c r="P789" s="87" t="str">
        <f aca="false">IF(OR($E789="",$O789=""),"",WORKDAY($E789,$O789))</f>
        <v/>
      </c>
      <c r="Q789" s="80"/>
      <c r="R789" s="131"/>
      <c r="S789" s="69" t="n">
        <f aca="false">IF($Q789="入荷済み",N($L789),0)</f>
        <v>0</v>
      </c>
      <c r="T789" s="80"/>
      <c r="U789" s="80"/>
    </row>
    <row r="790" customFormat="false" ht="15" hidden="false" customHeight="false" outlineLevel="0" collapsed="false">
      <c r="B790" s="66" t="str">
        <f aca="false">IF(OR($E790="",$F790=""),"","PO-"&amp;TEXT($E790,"yyyymmdd")&amp;"-"&amp;TEXT(COUNTIFS($E$6:$E790,$E790,$C$6:$C790,$C790),"000"))</f>
        <v/>
      </c>
      <c r="C790" s="130"/>
      <c r="D790" s="66" t="str">
        <f aca="false">IFERROR(INDEX(定数マスタ!$C$6:$C$105,MATCH($C790,定数マスタ!$B$6:$B$105,0)),"")</f>
        <v/>
      </c>
      <c r="E790" s="131"/>
      <c r="F790" s="130"/>
      <c r="G790" s="66" t="str">
        <f aca="false">IFERROR(INDEX(商品マスタ!$C$6:$C$1005,MATCH($F790,商品マスタ!$B$6:$B$1005,0)),"")</f>
        <v/>
      </c>
      <c r="H790" s="66" t="str">
        <f aca="false">IFERROR(INDEX(商品マスタ!$E$6:$E$1005,MATCH($F790,商品マスタ!$B$6:$B$1005,0)),"")</f>
        <v/>
      </c>
      <c r="I790" s="69" t="str">
        <f aca="false">IFERROR(INDEX(商品マスタ!$F$6:$F$1005,MATCH($F790,商品マスタ!$B$6:$B$1005,0)),"")</f>
        <v/>
      </c>
      <c r="J790" s="69" t="str">
        <f aca="false">IF(OR($F790="",$C790&lt;&gt;'設定（最初に1回）'!$C$4),"",IFERROR(INDEX(発注計算!$Y$6:$Y$405,MATCH($F790,発注計算!$C$6:$C$405,0)),""))</f>
        <v/>
      </c>
      <c r="K790" s="70"/>
      <c r="L790" s="69" t="str">
        <f aca="false">IF($K790="","",N($K790)*N($I790))</f>
        <v/>
      </c>
      <c r="M790" s="71" t="str">
        <f aca="false">IFERROR(INDEX(商品マスタ!$G$6:$G$1005,MATCH($F790,商品マスタ!$B$6:$B$1005,0)),"")</f>
        <v/>
      </c>
      <c r="N790" s="71" t="str">
        <f aca="false">IF($K790="","",N($K790)*N($M790))</f>
        <v/>
      </c>
      <c r="O790" s="66" t="str">
        <f aca="false">IFERROR(INDEX(商品マスタ!$H$6:$H$1005,MATCH($F790,商品マスタ!$B$6:$B$1005,0)),"")</f>
        <v/>
      </c>
      <c r="P790" s="87" t="str">
        <f aca="false">IF(OR($E790="",$O790=""),"",WORKDAY($E790,$O790))</f>
        <v/>
      </c>
      <c r="Q790" s="80"/>
      <c r="R790" s="131"/>
      <c r="S790" s="69" t="n">
        <f aca="false">IF($Q790="入荷済み",N($L790),0)</f>
        <v>0</v>
      </c>
      <c r="T790" s="80"/>
      <c r="U790" s="80"/>
    </row>
    <row r="791" customFormat="false" ht="15" hidden="false" customHeight="false" outlineLevel="0" collapsed="false">
      <c r="B791" s="66" t="str">
        <f aca="false">IF(OR($E791="",$F791=""),"","PO-"&amp;TEXT($E791,"yyyymmdd")&amp;"-"&amp;TEXT(COUNTIFS($E$6:$E791,$E791,$C$6:$C791,$C791),"000"))</f>
        <v/>
      </c>
      <c r="C791" s="130"/>
      <c r="D791" s="66" t="str">
        <f aca="false">IFERROR(INDEX(定数マスタ!$C$6:$C$105,MATCH($C791,定数マスタ!$B$6:$B$105,0)),"")</f>
        <v/>
      </c>
      <c r="E791" s="131"/>
      <c r="F791" s="130"/>
      <c r="G791" s="66" t="str">
        <f aca="false">IFERROR(INDEX(商品マスタ!$C$6:$C$1005,MATCH($F791,商品マスタ!$B$6:$B$1005,0)),"")</f>
        <v/>
      </c>
      <c r="H791" s="66" t="str">
        <f aca="false">IFERROR(INDEX(商品マスタ!$E$6:$E$1005,MATCH($F791,商品マスタ!$B$6:$B$1005,0)),"")</f>
        <v/>
      </c>
      <c r="I791" s="69" t="str">
        <f aca="false">IFERROR(INDEX(商品マスタ!$F$6:$F$1005,MATCH($F791,商品マスタ!$B$6:$B$1005,0)),"")</f>
        <v/>
      </c>
      <c r="J791" s="69" t="str">
        <f aca="false">IF(OR($F791="",$C791&lt;&gt;'設定（最初に1回）'!$C$4),"",IFERROR(INDEX(発注計算!$Y$6:$Y$405,MATCH($F791,発注計算!$C$6:$C$405,0)),""))</f>
        <v/>
      </c>
      <c r="K791" s="70"/>
      <c r="L791" s="69" t="str">
        <f aca="false">IF($K791="","",N($K791)*N($I791))</f>
        <v/>
      </c>
      <c r="M791" s="71" t="str">
        <f aca="false">IFERROR(INDEX(商品マスタ!$G$6:$G$1005,MATCH($F791,商品マスタ!$B$6:$B$1005,0)),"")</f>
        <v/>
      </c>
      <c r="N791" s="71" t="str">
        <f aca="false">IF($K791="","",N($K791)*N($M791))</f>
        <v/>
      </c>
      <c r="O791" s="66" t="str">
        <f aca="false">IFERROR(INDEX(商品マスタ!$H$6:$H$1005,MATCH($F791,商品マスタ!$B$6:$B$1005,0)),"")</f>
        <v/>
      </c>
      <c r="P791" s="87" t="str">
        <f aca="false">IF(OR($E791="",$O791=""),"",WORKDAY($E791,$O791))</f>
        <v/>
      </c>
      <c r="Q791" s="80"/>
      <c r="R791" s="131"/>
      <c r="S791" s="69" t="n">
        <f aca="false">IF($Q791="入荷済み",N($L791),0)</f>
        <v>0</v>
      </c>
      <c r="T791" s="80"/>
      <c r="U791" s="80"/>
    </row>
    <row r="792" customFormat="false" ht="15" hidden="false" customHeight="false" outlineLevel="0" collapsed="false">
      <c r="B792" s="66" t="str">
        <f aca="false">IF(OR($E792="",$F792=""),"","PO-"&amp;TEXT($E792,"yyyymmdd")&amp;"-"&amp;TEXT(COUNTIFS($E$6:$E792,$E792,$C$6:$C792,$C792),"000"))</f>
        <v/>
      </c>
      <c r="C792" s="130"/>
      <c r="D792" s="66" t="str">
        <f aca="false">IFERROR(INDEX(定数マスタ!$C$6:$C$105,MATCH($C792,定数マスタ!$B$6:$B$105,0)),"")</f>
        <v/>
      </c>
      <c r="E792" s="131"/>
      <c r="F792" s="130"/>
      <c r="G792" s="66" t="str">
        <f aca="false">IFERROR(INDEX(商品マスタ!$C$6:$C$1005,MATCH($F792,商品マスタ!$B$6:$B$1005,0)),"")</f>
        <v/>
      </c>
      <c r="H792" s="66" t="str">
        <f aca="false">IFERROR(INDEX(商品マスタ!$E$6:$E$1005,MATCH($F792,商品マスタ!$B$6:$B$1005,0)),"")</f>
        <v/>
      </c>
      <c r="I792" s="69" t="str">
        <f aca="false">IFERROR(INDEX(商品マスタ!$F$6:$F$1005,MATCH($F792,商品マスタ!$B$6:$B$1005,0)),"")</f>
        <v/>
      </c>
      <c r="J792" s="69" t="str">
        <f aca="false">IF(OR($F792="",$C792&lt;&gt;'設定（最初に1回）'!$C$4),"",IFERROR(INDEX(発注計算!$Y$6:$Y$405,MATCH($F792,発注計算!$C$6:$C$405,0)),""))</f>
        <v/>
      </c>
      <c r="K792" s="70"/>
      <c r="L792" s="69" t="str">
        <f aca="false">IF($K792="","",N($K792)*N($I792))</f>
        <v/>
      </c>
      <c r="M792" s="71" t="str">
        <f aca="false">IFERROR(INDEX(商品マスタ!$G$6:$G$1005,MATCH($F792,商品マスタ!$B$6:$B$1005,0)),"")</f>
        <v/>
      </c>
      <c r="N792" s="71" t="str">
        <f aca="false">IF($K792="","",N($K792)*N($M792))</f>
        <v/>
      </c>
      <c r="O792" s="66" t="str">
        <f aca="false">IFERROR(INDEX(商品マスタ!$H$6:$H$1005,MATCH($F792,商品マスタ!$B$6:$B$1005,0)),"")</f>
        <v/>
      </c>
      <c r="P792" s="87" t="str">
        <f aca="false">IF(OR($E792="",$O792=""),"",WORKDAY($E792,$O792))</f>
        <v/>
      </c>
      <c r="Q792" s="80"/>
      <c r="R792" s="131"/>
      <c r="S792" s="69" t="n">
        <f aca="false">IF($Q792="入荷済み",N($L792),0)</f>
        <v>0</v>
      </c>
      <c r="T792" s="80"/>
      <c r="U792" s="80"/>
    </row>
    <row r="793" customFormat="false" ht="15" hidden="false" customHeight="false" outlineLevel="0" collapsed="false">
      <c r="B793" s="66" t="str">
        <f aca="false">IF(OR($E793="",$F793=""),"","PO-"&amp;TEXT($E793,"yyyymmdd")&amp;"-"&amp;TEXT(COUNTIFS($E$6:$E793,$E793,$C$6:$C793,$C793),"000"))</f>
        <v/>
      </c>
      <c r="C793" s="130"/>
      <c r="D793" s="66" t="str">
        <f aca="false">IFERROR(INDEX(定数マスタ!$C$6:$C$105,MATCH($C793,定数マスタ!$B$6:$B$105,0)),"")</f>
        <v/>
      </c>
      <c r="E793" s="131"/>
      <c r="F793" s="130"/>
      <c r="G793" s="66" t="str">
        <f aca="false">IFERROR(INDEX(商品マスタ!$C$6:$C$1005,MATCH($F793,商品マスタ!$B$6:$B$1005,0)),"")</f>
        <v/>
      </c>
      <c r="H793" s="66" t="str">
        <f aca="false">IFERROR(INDEX(商品マスタ!$E$6:$E$1005,MATCH($F793,商品マスタ!$B$6:$B$1005,0)),"")</f>
        <v/>
      </c>
      <c r="I793" s="69" t="str">
        <f aca="false">IFERROR(INDEX(商品マスタ!$F$6:$F$1005,MATCH($F793,商品マスタ!$B$6:$B$1005,0)),"")</f>
        <v/>
      </c>
      <c r="J793" s="69" t="str">
        <f aca="false">IF(OR($F793="",$C793&lt;&gt;'設定（最初に1回）'!$C$4),"",IFERROR(INDEX(発注計算!$Y$6:$Y$405,MATCH($F793,発注計算!$C$6:$C$405,0)),""))</f>
        <v/>
      </c>
      <c r="K793" s="70"/>
      <c r="L793" s="69" t="str">
        <f aca="false">IF($K793="","",N($K793)*N($I793))</f>
        <v/>
      </c>
      <c r="M793" s="71" t="str">
        <f aca="false">IFERROR(INDEX(商品マスタ!$G$6:$G$1005,MATCH($F793,商品マスタ!$B$6:$B$1005,0)),"")</f>
        <v/>
      </c>
      <c r="N793" s="71" t="str">
        <f aca="false">IF($K793="","",N($K793)*N($M793))</f>
        <v/>
      </c>
      <c r="O793" s="66" t="str">
        <f aca="false">IFERROR(INDEX(商品マスタ!$H$6:$H$1005,MATCH($F793,商品マスタ!$B$6:$B$1005,0)),"")</f>
        <v/>
      </c>
      <c r="P793" s="87" t="str">
        <f aca="false">IF(OR($E793="",$O793=""),"",WORKDAY($E793,$O793))</f>
        <v/>
      </c>
      <c r="Q793" s="80"/>
      <c r="R793" s="131"/>
      <c r="S793" s="69" t="n">
        <f aca="false">IF($Q793="入荷済み",N($L793),0)</f>
        <v>0</v>
      </c>
      <c r="T793" s="80"/>
      <c r="U793" s="80"/>
    </row>
    <row r="794" customFormat="false" ht="15" hidden="false" customHeight="false" outlineLevel="0" collapsed="false">
      <c r="B794" s="66" t="str">
        <f aca="false">IF(OR($E794="",$F794=""),"","PO-"&amp;TEXT($E794,"yyyymmdd")&amp;"-"&amp;TEXT(COUNTIFS($E$6:$E794,$E794,$C$6:$C794,$C794),"000"))</f>
        <v/>
      </c>
      <c r="C794" s="130"/>
      <c r="D794" s="66" t="str">
        <f aca="false">IFERROR(INDEX(定数マスタ!$C$6:$C$105,MATCH($C794,定数マスタ!$B$6:$B$105,0)),"")</f>
        <v/>
      </c>
      <c r="E794" s="131"/>
      <c r="F794" s="130"/>
      <c r="G794" s="66" t="str">
        <f aca="false">IFERROR(INDEX(商品マスタ!$C$6:$C$1005,MATCH($F794,商品マスタ!$B$6:$B$1005,0)),"")</f>
        <v/>
      </c>
      <c r="H794" s="66" t="str">
        <f aca="false">IFERROR(INDEX(商品マスタ!$E$6:$E$1005,MATCH($F794,商品マスタ!$B$6:$B$1005,0)),"")</f>
        <v/>
      </c>
      <c r="I794" s="69" t="str">
        <f aca="false">IFERROR(INDEX(商品マスタ!$F$6:$F$1005,MATCH($F794,商品マスタ!$B$6:$B$1005,0)),"")</f>
        <v/>
      </c>
      <c r="J794" s="69" t="str">
        <f aca="false">IF(OR($F794="",$C794&lt;&gt;'設定（最初に1回）'!$C$4),"",IFERROR(INDEX(発注計算!$Y$6:$Y$405,MATCH($F794,発注計算!$C$6:$C$405,0)),""))</f>
        <v/>
      </c>
      <c r="K794" s="70"/>
      <c r="L794" s="69" t="str">
        <f aca="false">IF($K794="","",N($K794)*N($I794))</f>
        <v/>
      </c>
      <c r="M794" s="71" t="str">
        <f aca="false">IFERROR(INDEX(商品マスタ!$G$6:$G$1005,MATCH($F794,商品マスタ!$B$6:$B$1005,0)),"")</f>
        <v/>
      </c>
      <c r="N794" s="71" t="str">
        <f aca="false">IF($K794="","",N($K794)*N($M794))</f>
        <v/>
      </c>
      <c r="O794" s="66" t="str">
        <f aca="false">IFERROR(INDEX(商品マスタ!$H$6:$H$1005,MATCH($F794,商品マスタ!$B$6:$B$1005,0)),"")</f>
        <v/>
      </c>
      <c r="P794" s="87" t="str">
        <f aca="false">IF(OR($E794="",$O794=""),"",WORKDAY($E794,$O794))</f>
        <v/>
      </c>
      <c r="Q794" s="80"/>
      <c r="R794" s="131"/>
      <c r="S794" s="69" t="n">
        <f aca="false">IF($Q794="入荷済み",N($L794),0)</f>
        <v>0</v>
      </c>
      <c r="T794" s="80"/>
      <c r="U794" s="80"/>
    </row>
    <row r="795" customFormat="false" ht="15" hidden="false" customHeight="false" outlineLevel="0" collapsed="false">
      <c r="B795" s="66" t="str">
        <f aca="false">IF(OR($E795="",$F795=""),"","PO-"&amp;TEXT($E795,"yyyymmdd")&amp;"-"&amp;TEXT(COUNTIFS($E$6:$E795,$E795,$C$6:$C795,$C795),"000"))</f>
        <v/>
      </c>
      <c r="C795" s="130"/>
      <c r="D795" s="66" t="str">
        <f aca="false">IFERROR(INDEX(定数マスタ!$C$6:$C$105,MATCH($C795,定数マスタ!$B$6:$B$105,0)),"")</f>
        <v/>
      </c>
      <c r="E795" s="131"/>
      <c r="F795" s="130"/>
      <c r="G795" s="66" t="str">
        <f aca="false">IFERROR(INDEX(商品マスタ!$C$6:$C$1005,MATCH($F795,商品マスタ!$B$6:$B$1005,0)),"")</f>
        <v/>
      </c>
      <c r="H795" s="66" t="str">
        <f aca="false">IFERROR(INDEX(商品マスタ!$E$6:$E$1005,MATCH($F795,商品マスタ!$B$6:$B$1005,0)),"")</f>
        <v/>
      </c>
      <c r="I795" s="69" t="str">
        <f aca="false">IFERROR(INDEX(商品マスタ!$F$6:$F$1005,MATCH($F795,商品マスタ!$B$6:$B$1005,0)),"")</f>
        <v/>
      </c>
      <c r="J795" s="69" t="str">
        <f aca="false">IF(OR($F795="",$C795&lt;&gt;'設定（最初に1回）'!$C$4),"",IFERROR(INDEX(発注計算!$Y$6:$Y$405,MATCH($F795,発注計算!$C$6:$C$405,0)),""))</f>
        <v/>
      </c>
      <c r="K795" s="70"/>
      <c r="L795" s="69" t="str">
        <f aca="false">IF($K795="","",N($K795)*N($I795))</f>
        <v/>
      </c>
      <c r="M795" s="71" t="str">
        <f aca="false">IFERROR(INDEX(商品マスタ!$G$6:$G$1005,MATCH($F795,商品マスタ!$B$6:$B$1005,0)),"")</f>
        <v/>
      </c>
      <c r="N795" s="71" t="str">
        <f aca="false">IF($K795="","",N($K795)*N($M795))</f>
        <v/>
      </c>
      <c r="O795" s="66" t="str">
        <f aca="false">IFERROR(INDEX(商品マスタ!$H$6:$H$1005,MATCH($F795,商品マスタ!$B$6:$B$1005,0)),"")</f>
        <v/>
      </c>
      <c r="P795" s="87" t="str">
        <f aca="false">IF(OR($E795="",$O795=""),"",WORKDAY($E795,$O795))</f>
        <v/>
      </c>
      <c r="Q795" s="80"/>
      <c r="R795" s="131"/>
      <c r="S795" s="69" t="n">
        <f aca="false">IF($Q795="入荷済み",N($L795),0)</f>
        <v>0</v>
      </c>
      <c r="T795" s="80"/>
      <c r="U795" s="80"/>
    </row>
    <row r="796" customFormat="false" ht="15" hidden="false" customHeight="false" outlineLevel="0" collapsed="false">
      <c r="B796" s="66" t="str">
        <f aca="false">IF(OR($E796="",$F796=""),"","PO-"&amp;TEXT($E796,"yyyymmdd")&amp;"-"&amp;TEXT(COUNTIFS($E$6:$E796,$E796,$C$6:$C796,$C796),"000"))</f>
        <v/>
      </c>
      <c r="C796" s="130"/>
      <c r="D796" s="66" t="str">
        <f aca="false">IFERROR(INDEX(定数マスタ!$C$6:$C$105,MATCH($C796,定数マスタ!$B$6:$B$105,0)),"")</f>
        <v/>
      </c>
      <c r="E796" s="131"/>
      <c r="F796" s="130"/>
      <c r="G796" s="66" t="str">
        <f aca="false">IFERROR(INDEX(商品マスタ!$C$6:$C$1005,MATCH($F796,商品マスタ!$B$6:$B$1005,0)),"")</f>
        <v/>
      </c>
      <c r="H796" s="66" t="str">
        <f aca="false">IFERROR(INDEX(商品マスタ!$E$6:$E$1005,MATCH($F796,商品マスタ!$B$6:$B$1005,0)),"")</f>
        <v/>
      </c>
      <c r="I796" s="69" t="str">
        <f aca="false">IFERROR(INDEX(商品マスタ!$F$6:$F$1005,MATCH($F796,商品マスタ!$B$6:$B$1005,0)),"")</f>
        <v/>
      </c>
      <c r="J796" s="69" t="str">
        <f aca="false">IF(OR($F796="",$C796&lt;&gt;'設定（最初に1回）'!$C$4),"",IFERROR(INDEX(発注計算!$Y$6:$Y$405,MATCH($F796,発注計算!$C$6:$C$405,0)),""))</f>
        <v/>
      </c>
      <c r="K796" s="70"/>
      <c r="L796" s="69" t="str">
        <f aca="false">IF($K796="","",N($K796)*N($I796))</f>
        <v/>
      </c>
      <c r="M796" s="71" t="str">
        <f aca="false">IFERROR(INDEX(商品マスタ!$G$6:$G$1005,MATCH($F796,商品マスタ!$B$6:$B$1005,0)),"")</f>
        <v/>
      </c>
      <c r="N796" s="71" t="str">
        <f aca="false">IF($K796="","",N($K796)*N($M796))</f>
        <v/>
      </c>
      <c r="O796" s="66" t="str">
        <f aca="false">IFERROR(INDEX(商品マスタ!$H$6:$H$1005,MATCH($F796,商品マスタ!$B$6:$B$1005,0)),"")</f>
        <v/>
      </c>
      <c r="P796" s="87" t="str">
        <f aca="false">IF(OR($E796="",$O796=""),"",WORKDAY($E796,$O796))</f>
        <v/>
      </c>
      <c r="Q796" s="80"/>
      <c r="R796" s="131"/>
      <c r="S796" s="69" t="n">
        <f aca="false">IF($Q796="入荷済み",N($L796),0)</f>
        <v>0</v>
      </c>
      <c r="T796" s="80"/>
      <c r="U796" s="80"/>
    </row>
    <row r="797" customFormat="false" ht="15" hidden="false" customHeight="false" outlineLevel="0" collapsed="false">
      <c r="B797" s="66" t="str">
        <f aca="false">IF(OR($E797="",$F797=""),"","PO-"&amp;TEXT($E797,"yyyymmdd")&amp;"-"&amp;TEXT(COUNTIFS($E$6:$E797,$E797,$C$6:$C797,$C797),"000"))</f>
        <v/>
      </c>
      <c r="C797" s="130"/>
      <c r="D797" s="66" t="str">
        <f aca="false">IFERROR(INDEX(定数マスタ!$C$6:$C$105,MATCH($C797,定数マスタ!$B$6:$B$105,0)),"")</f>
        <v/>
      </c>
      <c r="E797" s="131"/>
      <c r="F797" s="130"/>
      <c r="G797" s="66" t="str">
        <f aca="false">IFERROR(INDEX(商品マスタ!$C$6:$C$1005,MATCH($F797,商品マスタ!$B$6:$B$1005,0)),"")</f>
        <v/>
      </c>
      <c r="H797" s="66" t="str">
        <f aca="false">IFERROR(INDEX(商品マスタ!$E$6:$E$1005,MATCH($F797,商品マスタ!$B$6:$B$1005,0)),"")</f>
        <v/>
      </c>
      <c r="I797" s="69" t="str">
        <f aca="false">IFERROR(INDEX(商品マスタ!$F$6:$F$1005,MATCH($F797,商品マスタ!$B$6:$B$1005,0)),"")</f>
        <v/>
      </c>
      <c r="J797" s="69" t="str">
        <f aca="false">IF(OR($F797="",$C797&lt;&gt;'設定（最初に1回）'!$C$4),"",IFERROR(INDEX(発注計算!$Y$6:$Y$405,MATCH($F797,発注計算!$C$6:$C$405,0)),""))</f>
        <v/>
      </c>
      <c r="K797" s="70"/>
      <c r="L797" s="69" t="str">
        <f aca="false">IF($K797="","",N($K797)*N($I797))</f>
        <v/>
      </c>
      <c r="M797" s="71" t="str">
        <f aca="false">IFERROR(INDEX(商品マスタ!$G$6:$G$1005,MATCH($F797,商品マスタ!$B$6:$B$1005,0)),"")</f>
        <v/>
      </c>
      <c r="N797" s="71" t="str">
        <f aca="false">IF($K797="","",N($K797)*N($M797))</f>
        <v/>
      </c>
      <c r="O797" s="66" t="str">
        <f aca="false">IFERROR(INDEX(商品マスタ!$H$6:$H$1005,MATCH($F797,商品マスタ!$B$6:$B$1005,0)),"")</f>
        <v/>
      </c>
      <c r="P797" s="87" t="str">
        <f aca="false">IF(OR($E797="",$O797=""),"",WORKDAY($E797,$O797))</f>
        <v/>
      </c>
      <c r="Q797" s="80"/>
      <c r="R797" s="131"/>
      <c r="S797" s="69" t="n">
        <f aca="false">IF($Q797="入荷済み",N($L797),0)</f>
        <v>0</v>
      </c>
      <c r="T797" s="80"/>
      <c r="U797" s="80"/>
    </row>
    <row r="798" customFormat="false" ht="15" hidden="false" customHeight="false" outlineLevel="0" collapsed="false">
      <c r="B798" s="66" t="str">
        <f aca="false">IF(OR($E798="",$F798=""),"","PO-"&amp;TEXT($E798,"yyyymmdd")&amp;"-"&amp;TEXT(COUNTIFS($E$6:$E798,$E798,$C$6:$C798,$C798),"000"))</f>
        <v/>
      </c>
      <c r="C798" s="130"/>
      <c r="D798" s="66" t="str">
        <f aca="false">IFERROR(INDEX(定数マスタ!$C$6:$C$105,MATCH($C798,定数マスタ!$B$6:$B$105,0)),"")</f>
        <v/>
      </c>
      <c r="E798" s="131"/>
      <c r="F798" s="130"/>
      <c r="G798" s="66" t="str">
        <f aca="false">IFERROR(INDEX(商品マスタ!$C$6:$C$1005,MATCH($F798,商品マスタ!$B$6:$B$1005,0)),"")</f>
        <v/>
      </c>
      <c r="H798" s="66" t="str">
        <f aca="false">IFERROR(INDEX(商品マスタ!$E$6:$E$1005,MATCH($F798,商品マスタ!$B$6:$B$1005,0)),"")</f>
        <v/>
      </c>
      <c r="I798" s="69" t="str">
        <f aca="false">IFERROR(INDEX(商品マスタ!$F$6:$F$1005,MATCH($F798,商品マスタ!$B$6:$B$1005,0)),"")</f>
        <v/>
      </c>
      <c r="J798" s="69" t="str">
        <f aca="false">IF(OR($F798="",$C798&lt;&gt;'設定（最初に1回）'!$C$4),"",IFERROR(INDEX(発注計算!$Y$6:$Y$405,MATCH($F798,発注計算!$C$6:$C$405,0)),""))</f>
        <v/>
      </c>
      <c r="K798" s="70"/>
      <c r="L798" s="69" t="str">
        <f aca="false">IF($K798="","",N($K798)*N($I798))</f>
        <v/>
      </c>
      <c r="M798" s="71" t="str">
        <f aca="false">IFERROR(INDEX(商品マスタ!$G$6:$G$1005,MATCH($F798,商品マスタ!$B$6:$B$1005,0)),"")</f>
        <v/>
      </c>
      <c r="N798" s="71" t="str">
        <f aca="false">IF($K798="","",N($K798)*N($M798))</f>
        <v/>
      </c>
      <c r="O798" s="66" t="str">
        <f aca="false">IFERROR(INDEX(商品マスタ!$H$6:$H$1005,MATCH($F798,商品マスタ!$B$6:$B$1005,0)),"")</f>
        <v/>
      </c>
      <c r="P798" s="87" t="str">
        <f aca="false">IF(OR($E798="",$O798=""),"",WORKDAY($E798,$O798))</f>
        <v/>
      </c>
      <c r="Q798" s="80"/>
      <c r="R798" s="131"/>
      <c r="S798" s="69" t="n">
        <f aca="false">IF($Q798="入荷済み",N($L798),0)</f>
        <v>0</v>
      </c>
      <c r="T798" s="80"/>
      <c r="U798" s="80"/>
    </row>
    <row r="799" customFormat="false" ht="15" hidden="false" customHeight="false" outlineLevel="0" collapsed="false">
      <c r="B799" s="66" t="str">
        <f aca="false">IF(OR($E799="",$F799=""),"","PO-"&amp;TEXT($E799,"yyyymmdd")&amp;"-"&amp;TEXT(COUNTIFS($E$6:$E799,$E799,$C$6:$C799,$C799),"000"))</f>
        <v/>
      </c>
      <c r="C799" s="130"/>
      <c r="D799" s="66" t="str">
        <f aca="false">IFERROR(INDEX(定数マスタ!$C$6:$C$105,MATCH($C799,定数マスタ!$B$6:$B$105,0)),"")</f>
        <v/>
      </c>
      <c r="E799" s="131"/>
      <c r="F799" s="130"/>
      <c r="G799" s="66" t="str">
        <f aca="false">IFERROR(INDEX(商品マスタ!$C$6:$C$1005,MATCH($F799,商品マスタ!$B$6:$B$1005,0)),"")</f>
        <v/>
      </c>
      <c r="H799" s="66" t="str">
        <f aca="false">IFERROR(INDEX(商品マスタ!$E$6:$E$1005,MATCH($F799,商品マスタ!$B$6:$B$1005,0)),"")</f>
        <v/>
      </c>
      <c r="I799" s="69" t="str">
        <f aca="false">IFERROR(INDEX(商品マスタ!$F$6:$F$1005,MATCH($F799,商品マスタ!$B$6:$B$1005,0)),"")</f>
        <v/>
      </c>
      <c r="J799" s="69" t="str">
        <f aca="false">IF(OR($F799="",$C799&lt;&gt;'設定（最初に1回）'!$C$4),"",IFERROR(INDEX(発注計算!$Y$6:$Y$405,MATCH($F799,発注計算!$C$6:$C$405,0)),""))</f>
        <v/>
      </c>
      <c r="K799" s="70"/>
      <c r="L799" s="69" t="str">
        <f aca="false">IF($K799="","",N($K799)*N($I799))</f>
        <v/>
      </c>
      <c r="M799" s="71" t="str">
        <f aca="false">IFERROR(INDEX(商品マスタ!$G$6:$G$1005,MATCH($F799,商品マスタ!$B$6:$B$1005,0)),"")</f>
        <v/>
      </c>
      <c r="N799" s="71" t="str">
        <f aca="false">IF($K799="","",N($K799)*N($M799))</f>
        <v/>
      </c>
      <c r="O799" s="66" t="str">
        <f aca="false">IFERROR(INDEX(商品マスタ!$H$6:$H$1005,MATCH($F799,商品マスタ!$B$6:$B$1005,0)),"")</f>
        <v/>
      </c>
      <c r="P799" s="87" t="str">
        <f aca="false">IF(OR($E799="",$O799=""),"",WORKDAY($E799,$O799))</f>
        <v/>
      </c>
      <c r="Q799" s="80"/>
      <c r="R799" s="131"/>
      <c r="S799" s="69" t="n">
        <f aca="false">IF($Q799="入荷済み",N($L799),0)</f>
        <v>0</v>
      </c>
      <c r="T799" s="80"/>
      <c r="U799" s="80"/>
    </row>
    <row r="800" customFormat="false" ht="15" hidden="false" customHeight="false" outlineLevel="0" collapsed="false">
      <c r="B800" s="66" t="str">
        <f aca="false">IF(OR($E800="",$F800=""),"","PO-"&amp;TEXT($E800,"yyyymmdd")&amp;"-"&amp;TEXT(COUNTIFS($E$6:$E800,$E800,$C$6:$C800,$C800),"000"))</f>
        <v/>
      </c>
      <c r="C800" s="130"/>
      <c r="D800" s="66" t="str">
        <f aca="false">IFERROR(INDEX(定数マスタ!$C$6:$C$105,MATCH($C800,定数マスタ!$B$6:$B$105,0)),"")</f>
        <v/>
      </c>
      <c r="E800" s="131"/>
      <c r="F800" s="130"/>
      <c r="G800" s="66" t="str">
        <f aca="false">IFERROR(INDEX(商品マスタ!$C$6:$C$1005,MATCH($F800,商品マスタ!$B$6:$B$1005,0)),"")</f>
        <v/>
      </c>
      <c r="H800" s="66" t="str">
        <f aca="false">IFERROR(INDEX(商品マスタ!$E$6:$E$1005,MATCH($F800,商品マスタ!$B$6:$B$1005,0)),"")</f>
        <v/>
      </c>
      <c r="I800" s="69" t="str">
        <f aca="false">IFERROR(INDEX(商品マスタ!$F$6:$F$1005,MATCH($F800,商品マスタ!$B$6:$B$1005,0)),"")</f>
        <v/>
      </c>
      <c r="J800" s="69" t="str">
        <f aca="false">IF(OR($F800="",$C800&lt;&gt;'設定（最初に1回）'!$C$4),"",IFERROR(INDEX(発注計算!$Y$6:$Y$405,MATCH($F800,発注計算!$C$6:$C$405,0)),""))</f>
        <v/>
      </c>
      <c r="K800" s="70"/>
      <c r="L800" s="69" t="str">
        <f aca="false">IF($K800="","",N($K800)*N($I800))</f>
        <v/>
      </c>
      <c r="M800" s="71" t="str">
        <f aca="false">IFERROR(INDEX(商品マスタ!$G$6:$G$1005,MATCH($F800,商品マスタ!$B$6:$B$1005,0)),"")</f>
        <v/>
      </c>
      <c r="N800" s="71" t="str">
        <f aca="false">IF($K800="","",N($K800)*N($M800))</f>
        <v/>
      </c>
      <c r="O800" s="66" t="str">
        <f aca="false">IFERROR(INDEX(商品マスタ!$H$6:$H$1005,MATCH($F800,商品マスタ!$B$6:$B$1005,0)),"")</f>
        <v/>
      </c>
      <c r="P800" s="87" t="str">
        <f aca="false">IF(OR($E800="",$O800=""),"",WORKDAY($E800,$O800))</f>
        <v/>
      </c>
      <c r="Q800" s="80"/>
      <c r="R800" s="131"/>
      <c r="S800" s="69" t="n">
        <f aca="false">IF($Q800="入荷済み",N($L800),0)</f>
        <v>0</v>
      </c>
      <c r="T800" s="80"/>
      <c r="U800" s="80"/>
    </row>
    <row r="801" customFormat="false" ht="15" hidden="false" customHeight="false" outlineLevel="0" collapsed="false">
      <c r="B801" s="66" t="str">
        <f aca="false">IF(OR($E801="",$F801=""),"","PO-"&amp;TEXT($E801,"yyyymmdd")&amp;"-"&amp;TEXT(COUNTIFS($E$6:$E801,$E801,$C$6:$C801,$C801),"000"))</f>
        <v/>
      </c>
      <c r="C801" s="130"/>
      <c r="D801" s="66" t="str">
        <f aca="false">IFERROR(INDEX(定数マスタ!$C$6:$C$105,MATCH($C801,定数マスタ!$B$6:$B$105,0)),"")</f>
        <v/>
      </c>
      <c r="E801" s="131"/>
      <c r="F801" s="130"/>
      <c r="G801" s="66" t="str">
        <f aca="false">IFERROR(INDEX(商品マスタ!$C$6:$C$1005,MATCH($F801,商品マスタ!$B$6:$B$1005,0)),"")</f>
        <v/>
      </c>
      <c r="H801" s="66" t="str">
        <f aca="false">IFERROR(INDEX(商品マスタ!$E$6:$E$1005,MATCH($F801,商品マスタ!$B$6:$B$1005,0)),"")</f>
        <v/>
      </c>
      <c r="I801" s="69" t="str">
        <f aca="false">IFERROR(INDEX(商品マスタ!$F$6:$F$1005,MATCH($F801,商品マスタ!$B$6:$B$1005,0)),"")</f>
        <v/>
      </c>
      <c r="J801" s="69" t="str">
        <f aca="false">IF(OR($F801="",$C801&lt;&gt;'設定（最初に1回）'!$C$4),"",IFERROR(INDEX(発注計算!$Y$6:$Y$405,MATCH($F801,発注計算!$C$6:$C$405,0)),""))</f>
        <v/>
      </c>
      <c r="K801" s="70"/>
      <c r="L801" s="69" t="str">
        <f aca="false">IF($K801="","",N($K801)*N($I801))</f>
        <v/>
      </c>
      <c r="M801" s="71" t="str">
        <f aca="false">IFERROR(INDEX(商品マスタ!$G$6:$G$1005,MATCH($F801,商品マスタ!$B$6:$B$1005,0)),"")</f>
        <v/>
      </c>
      <c r="N801" s="71" t="str">
        <f aca="false">IF($K801="","",N($K801)*N($M801))</f>
        <v/>
      </c>
      <c r="O801" s="66" t="str">
        <f aca="false">IFERROR(INDEX(商品マスタ!$H$6:$H$1005,MATCH($F801,商品マスタ!$B$6:$B$1005,0)),"")</f>
        <v/>
      </c>
      <c r="P801" s="87" t="str">
        <f aca="false">IF(OR($E801="",$O801=""),"",WORKDAY($E801,$O801))</f>
        <v/>
      </c>
      <c r="Q801" s="80"/>
      <c r="R801" s="131"/>
      <c r="S801" s="69" t="n">
        <f aca="false">IF($Q801="入荷済み",N($L801),0)</f>
        <v>0</v>
      </c>
      <c r="T801" s="80"/>
      <c r="U801" s="80"/>
    </row>
    <row r="802" customFormat="false" ht="15" hidden="false" customHeight="false" outlineLevel="0" collapsed="false">
      <c r="B802" s="66" t="str">
        <f aca="false">IF(OR($E802="",$F802=""),"","PO-"&amp;TEXT($E802,"yyyymmdd")&amp;"-"&amp;TEXT(COUNTIFS($E$6:$E802,$E802,$C$6:$C802,$C802),"000"))</f>
        <v/>
      </c>
      <c r="C802" s="130"/>
      <c r="D802" s="66" t="str">
        <f aca="false">IFERROR(INDEX(定数マスタ!$C$6:$C$105,MATCH($C802,定数マスタ!$B$6:$B$105,0)),"")</f>
        <v/>
      </c>
      <c r="E802" s="131"/>
      <c r="F802" s="130"/>
      <c r="G802" s="66" t="str">
        <f aca="false">IFERROR(INDEX(商品マスタ!$C$6:$C$1005,MATCH($F802,商品マスタ!$B$6:$B$1005,0)),"")</f>
        <v/>
      </c>
      <c r="H802" s="66" t="str">
        <f aca="false">IFERROR(INDEX(商品マスタ!$E$6:$E$1005,MATCH($F802,商品マスタ!$B$6:$B$1005,0)),"")</f>
        <v/>
      </c>
      <c r="I802" s="69" t="str">
        <f aca="false">IFERROR(INDEX(商品マスタ!$F$6:$F$1005,MATCH($F802,商品マスタ!$B$6:$B$1005,0)),"")</f>
        <v/>
      </c>
      <c r="J802" s="69" t="str">
        <f aca="false">IF(OR($F802="",$C802&lt;&gt;'設定（最初に1回）'!$C$4),"",IFERROR(INDEX(発注計算!$Y$6:$Y$405,MATCH($F802,発注計算!$C$6:$C$405,0)),""))</f>
        <v/>
      </c>
      <c r="K802" s="70"/>
      <c r="L802" s="69" t="str">
        <f aca="false">IF($K802="","",N($K802)*N($I802))</f>
        <v/>
      </c>
      <c r="M802" s="71" t="str">
        <f aca="false">IFERROR(INDEX(商品マスタ!$G$6:$G$1005,MATCH($F802,商品マスタ!$B$6:$B$1005,0)),"")</f>
        <v/>
      </c>
      <c r="N802" s="71" t="str">
        <f aca="false">IF($K802="","",N($K802)*N($M802))</f>
        <v/>
      </c>
      <c r="O802" s="66" t="str">
        <f aca="false">IFERROR(INDEX(商品マスタ!$H$6:$H$1005,MATCH($F802,商品マスタ!$B$6:$B$1005,0)),"")</f>
        <v/>
      </c>
      <c r="P802" s="87" t="str">
        <f aca="false">IF(OR($E802="",$O802=""),"",WORKDAY($E802,$O802))</f>
        <v/>
      </c>
      <c r="Q802" s="80"/>
      <c r="R802" s="131"/>
      <c r="S802" s="69" t="n">
        <f aca="false">IF($Q802="入荷済み",N($L802),0)</f>
        <v>0</v>
      </c>
      <c r="T802" s="80"/>
      <c r="U802" s="80"/>
    </row>
    <row r="803" customFormat="false" ht="15" hidden="false" customHeight="false" outlineLevel="0" collapsed="false">
      <c r="B803" s="66" t="str">
        <f aca="false">IF(OR($E803="",$F803=""),"","PO-"&amp;TEXT($E803,"yyyymmdd")&amp;"-"&amp;TEXT(COUNTIFS($E$6:$E803,$E803,$C$6:$C803,$C803),"000"))</f>
        <v/>
      </c>
      <c r="C803" s="130"/>
      <c r="D803" s="66" t="str">
        <f aca="false">IFERROR(INDEX(定数マスタ!$C$6:$C$105,MATCH($C803,定数マスタ!$B$6:$B$105,0)),"")</f>
        <v/>
      </c>
      <c r="E803" s="131"/>
      <c r="F803" s="130"/>
      <c r="G803" s="66" t="str">
        <f aca="false">IFERROR(INDEX(商品マスタ!$C$6:$C$1005,MATCH($F803,商品マスタ!$B$6:$B$1005,0)),"")</f>
        <v/>
      </c>
      <c r="H803" s="66" t="str">
        <f aca="false">IFERROR(INDEX(商品マスタ!$E$6:$E$1005,MATCH($F803,商品マスタ!$B$6:$B$1005,0)),"")</f>
        <v/>
      </c>
      <c r="I803" s="69" t="str">
        <f aca="false">IFERROR(INDEX(商品マスタ!$F$6:$F$1005,MATCH($F803,商品マスタ!$B$6:$B$1005,0)),"")</f>
        <v/>
      </c>
      <c r="J803" s="69" t="str">
        <f aca="false">IF(OR($F803="",$C803&lt;&gt;'設定（最初に1回）'!$C$4),"",IFERROR(INDEX(発注計算!$Y$6:$Y$405,MATCH($F803,発注計算!$C$6:$C$405,0)),""))</f>
        <v/>
      </c>
      <c r="K803" s="70"/>
      <c r="L803" s="69" t="str">
        <f aca="false">IF($K803="","",N($K803)*N($I803))</f>
        <v/>
      </c>
      <c r="M803" s="71" t="str">
        <f aca="false">IFERROR(INDEX(商品マスタ!$G$6:$G$1005,MATCH($F803,商品マスタ!$B$6:$B$1005,0)),"")</f>
        <v/>
      </c>
      <c r="N803" s="71" t="str">
        <f aca="false">IF($K803="","",N($K803)*N($M803))</f>
        <v/>
      </c>
      <c r="O803" s="66" t="str">
        <f aca="false">IFERROR(INDEX(商品マスタ!$H$6:$H$1005,MATCH($F803,商品マスタ!$B$6:$B$1005,0)),"")</f>
        <v/>
      </c>
      <c r="P803" s="87" t="str">
        <f aca="false">IF(OR($E803="",$O803=""),"",WORKDAY($E803,$O803))</f>
        <v/>
      </c>
      <c r="Q803" s="80"/>
      <c r="R803" s="131"/>
      <c r="S803" s="69" t="n">
        <f aca="false">IF($Q803="入荷済み",N($L803),0)</f>
        <v>0</v>
      </c>
      <c r="T803" s="80"/>
      <c r="U803" s="80"/>
    </row>
    <row r="804" customFormat="false" ht="15" hidden="false" customHeight="false" outlineLevel="0" collapsed="false">
      <c r="B804" s="66" t="str">
        <f aca="false">IF(OR($E804="",$F804=""),"","PO-"&amp;TEXT($E804,"yyyymmdd")&amp;"-"&amp;TEXT(COUNTIFS($E$6:$E804,$E804,$C$6:$C804,$C804),"000"))</f>
        <v/>
      </c>
      <c r="C804" s="130"/>
      <c r="D804" s="66" t="str">
        <f aca="false">IFERROR(INDEX(定数マスタ!$C$6:$C$105,MATCH($C804,定数マスタ!$B$6:$B$105,0)),"")</f>
        <v/>
      </c>
      <c r="E804" s="131"/>
      <c r="F804" s="130"/>
      <c r="G804" s="66" t="str">
        <f aca="false">IFERROR(INDEX(商品マスタ!$C$6:$C$1005,MATCH($F804,商品マスタ!$B$6:$B$1005,0)),"")</f>
        <v/>
      </c>
      <c r="H804" s="66" t="str">
        <f aca="false">IFERROR(INDEX(商品マスタ!$E$6:$E$1005,MATCH($F804,商品マスタ!$B$6:$B$1005,0)),"")</f>
        <v/>
      </c>
      <c r="I804" s="69" t="str">
        <f aca="false">IFERROR(INDEX(商品マスタ!$F$6:$F$1005,MATCH($F804,商品マスタ!$B$6:$B$1005,0)),"")</f>
        <v/>
      </c>
      <c r="J804" s="69" t="str">
        <f aca="false">IF(OR($F804="",$C804&lt;&gt;'設定（最初に1回）'!$C$4),"",IFERROR(INDEX(発注計算!$Y$6:$Y$405,MATCH($F804,発注計算!$C$6:$C$405,0)),""))</f>
        <v/>
      </c>
      <c r="K804" s="70"/>
      <c r="L804" s="69" t="str">
        <f aca="false">IF($K804="","",N($K804)*N($I804))</f>
        <v/>
      </c>
      <c r="M804" s="71" t="str">
        <f aca="false">IFERROR(INDEX(商品マスタ!$G$6:$G$1005,MATCH($F804,商品マスタ!$B$6:$B$1005,0)),"")</f>
        <v/>
      </c>
      <c r="N804" s="71" t="str">
        <f aca="false">IF($K804="","",N($K804)*N($M804))</f>
        <v/>
      </c>
      <c r="O804" s="66" t="str">
        <f aca="false">IFERROR(INDEX(商品マスタ!$H$6:$H$1005,MATCH($F804,商品マスタ!$B$6:$B$1005,0)),"")</f>
        <v/>
      </c>
      <c r="P804" s="87" t="str">
        <f aca="false">IF(OR($E804="",$O804=""),"",WORKDAY($E804,$O804))</f>
        <v/>
      </c>
      <c r="Q804" s="80"/>
      <c r="R804" s="131"/>
      <c r="S804" s="69" t="n">
        <f aca="false">IF($Q804="入荷済み",N($L804),0)</f>
        <v>0</v>
      </c>
      <c r="T804" s="80"/>
      <c r="U804" s="80"/>
    </row>
    <row r="805" customFormat="false" ht="15" hidden="false" customHeight="false" outlineLevel="0" collapsed="false">
      <c r="B805" s="66" t="str">
        <f aca="false">IF(OR($E805="",$F805=""),"","PO-"&amp;TEXT($E805,"yyyymmdd")&amp;"-"&amp;TEXT(COUNTIFS($E$6:$E805,$E805,$C$6:$C805,$C805),"000"))</f>
        <v/>
      </c>
      <c r="C805" s="130"/>
      <c r="D805" s="66" t="str">
        <f aca="false">IFERROR(INDEX(定数マスタ!$C$6:$C$105,MATCH($C805,定数マスタ!$B$6:$B$105,0)),"")</f>
        <v/>
      </c>
      <c r="E805" s="131"/>
      <c r="F805" s="130"/>
      <c r="G805" s="66" t="str">
        <f aca="false">IFERROR(INDEX(商品マスタ!$C$6:$C$1005,MATCH($F805,商品マスタ!$B$6:$B$1005,0)),"")</f>
        <v/>
      </c>
      <c r="H805" s="66" t="str">
        <f aca="false">IFERROR(INDEX(商品マスタ!$E$6:$E$1005,MATCH($F805,商品マスタ!$B$6:$B$1005,0)),"")</f>
        <v/>
      </c>
      <c r="I805" s="69" t="str">
        <f aca="false">IFERROR(INDEX(商品マスタ!$F$6:$F$1005,MATCH($F805,商品マスタ!$B$6:$B$1005,0)),"")</f>
        <v/>
      </c>
      <c r="J805" s="69" t="str">
        <f aca="false">IF(OR($F805="",$C805&lt;&gt;'設定（最初に1回）'!$C$4),"",IFERROR(INDEX(発注計算!$Y$6:$Y$405,MATCH($F805,発注計算!$C$6:$C$405,0)),""))</f>
        <v/>
      </c>
      <c r="K805" s="70"/>
      <c r="L805" s="69" t="str">
        <f aca="false">IF($K805="","",N($K805)*N($I805))</f>
        <v/>
      </c>
      <c r="M805" s="71" t="str">
        <f aca="false">IFERROR(INDEX(商品マスタ!$G$6:$G$1005,MATCH($F805,商品マスタ!$B$6:$B$1005,0)),"")</f>
        <v/>
      </c>
      <c r="N805" s="71" t="str">
        <f aca="false">IF($K805="","",N($K805)*N($M805))</f>
        <v/>
      </c>
      <c r="O805" s="66" t="str">
        <f aca="false">IFERROR(INDEX(商品マスタ!$H$6:$H$1005,MATCH($F805,商品マスタ!$B$6:$B$1005,0)),"")</f>
        <v/>
      </c>
      <c r="P805" s="87" t="str">
        <f aca="false">IF(OR($E805="",$O805=""),"",WORKDAY($E805,$O805))</f>
        <v/>
      </c>
      <c r="Q805" s="80"/>
      <c r="R805" s="131"/>
      <c r="S805" s="69" t="n">
        <f aca="false">IF($Q805="入荷済み",N($L805),0)</f>
        <v>0</v>
      </c>
      <c r="T805" s="80"/>
      <c r="U805" s="80"/>
    </row>
    <row r="806" customFormat="false" ht="15" hidden="false" customHeight="false" outlineLevel="0" collapsed="false">
      <c r="B806" s="66" t="str">
        <f aca="false">IF(OR($E806="",$F806=""),"","PO-"&amp;TEXT($E806,"yyyymmdd")&amp;"-"&amp;TEXT(COUNTIFS($E$6:$E806,$E806,$C$6:$C806,$C806),"000"))</f>
        <v/>
      </c>
      <c r="C806" s="130"/>
      <c r="D806" s="66" t="str">
        <f aca="false">IFERROR(INDEX(定数マスタ!$C$6:$C$105,MATCH($C806,定数マスタ!$B$6:$B$105,0)),"")</f>
        <v/>
      </c>
      <c r="E806" s="131"/>
      <c r="F806" s="130"/>
      <c r="G806" s="66" t="str">
        <f aca="false">IFERROR(INDEX(商品マスタ!$C$6:$C$1005,MATCH($F806,商品マスタ!$B$6:$B$1005,0)),"")</f>
        <v/>
      </c>
      <c r="H806" s="66" t="str">
        <f aca="false">IFERROR(INDEX(商品マスタ!$E$6:$E$1005,MATCH($F806,商品マスタ!$B$6:$B$1005,0)),"")</f>
        <v/>
      </c>
      <c r="I806" s="69" t="str">
        <f aca="false">IFERROR(INDEX(商品マスタ!$F$6:$F$1005,MATCH($F806,商品マスタ!$B$6:$B$1005,0)),"")</f>
        <v/>
      </c>
      <c r="J806" s="69" t="str">
        <f aca="false">IF(OR($F806="",$C806&lt;&gt;'設定（最初に1回）'!$C$4),"",IFERROR(INDEX(発注計算!$Y$6:$Y$405,MATCH($F806,発注計算!$C$6:$C$405,0)),""))</f>
        <v/>
      </c>
      <c r="K806" s="70"/>
      <c r="L806" s="69" t="str">
        <f aca="false">IF($K806="","",N($K806)*N($I806))</f>
        <v/>
      </c>
      <c r="M806" s="71" t="str">
        <f aca="false">IFERROR(INDEX(商品マスタ!$G$6:$G$1005,MATCH($F806,商品マスタ!$B$6:$B$1005,0)),"")</f>
        <v/>
      </c>
      <c r="N806" s="71" t="str">
        <f aca="false">IF($K806="","",N($K806)*N($M806))</f>
        <v/>
      </c>
      <c r="O806" s="66" t="str">
        <f aca="false">IFERROR(INDEX(商品マスタ!$H$6:$H$1005,MATCH($F806,商品マスタ!$B$6:$B$1005,0)),"")</f>
        <v/>
      </c>
      <c r="P806" s="87" t="str">
        <f aca="false">IF(OR($E806="",$O806=""),"",WORKDAY($E806,$O806))</f>
        <v/>
      </c>
      <c r="Q806" s="80"/>
      <c r="R806" s="131"/>
      <c r="S806" s="69" t="n">
        <f aca="false">IF($Q806="入荷済み",N($L806),0)</f>
        <v>0</v>
      </c>
      <c r="T806" s="80"/>
      <c r="U806" s="80"/>
    </row>
    <row r="807" customFormat="false" ht="15" hidden="false" customHeight="false" outlineLevel="0" collapsed="false">
      <c r="B807" s="66" t="str">
        <f aca="false">IF(OR($E807="",$F807=""),"","PO-"&amp;TEXT($E807,"yyyymmdd")&amp;"-"&amp;TEXT(COUNTIFS($E$6:$E807,$E807,$C$6:$C807,$C807),"000"))</f>
        <v/>
      </c>
      <c r="C807" s="130"/>
      <c r="D807" s="66" t="str">
        <f aca="false">IFERROR(INDEX(定数マスタ!$C$6:$C$105,MATCH($C807,定数マスタ!$B$6:$B$105,0)),"")</f>
        <v/>
      </c>
      <c r="E807" s="131"/>
      <c r="F807" s="130"/>
      <c r="G807" s="66" t="str">
        <f aca="false">IFERROR(INDEX(商品マスタ!$C$6:$C$1005,MATCH($F807,商品マスタ!$B$6:$B$1005,0)),"")</f>
        <v/>
      </c>
      <c r="H807" s="66" t="str">
        <f aca="false">IFERROR(INDEX(商品マスタ!$E$6:$E$1005,MATCH($F807,商品マスタ!$B$6:$B$1005,0)),"")</f>
        <v/>
      </c>
      <c r="I807" s="69" t="str">
        <f aca="false">IFERROR(INDEX(商品マスタ!$F$6:$F$1005,MATCH($F807,商品マスタ!$B$6:$B$1005,0)),"")</f>
        <v/>
      </c>
      <c r="J807" s="69" t="str">
        <f aca="false">IF(OR($F807="",$C807&lt;&gt;'設定（最初に1回）'!$C$4),"",IFERROR(INDEX(発注計算!$Y$6:$Y$405,MATCH($F807,発注計算!$C$6:$C$405,0)),""))</f>
        <v/>
      </c>
      <c r="K807" s="70"/>
      <c r="L807" s="69" t="str">
        <f aca="false">IF($K807="","",N($K807)*N($I807))</f>
        <v/>
      </c>
      <c r="M807" s="71" t="str">
        <f aca="false">IFERROR(INDEX(商品マスタ!$G$6:$G$1005,MATCH($F807,商品マスタ!$B$6:$B$1005,0)),"")</f>
        <v/>
      </c>
      <c r="N807" s="71" t="str">
        <f aca="false">IF($K807="","",N($K807)*N($M807))</f>
        <v/>
      </c>
      <c r="O807" s="66" t="str">
        <f aca="false">IFERROR(INDEX(商品マスタ!$H$6:$H$1005,MATCH($F807,商品マスタ!$B$6:$B$1005,0)),"")</f>
        <v/>
      </c>
      <c r="P807" s="87" t="str">
        <f aca="false">IF(OR($E807="",$O807=""),"",WORKDAY($E807,$O807))</f>
        <v/>
      </c>
      <c r="Q807" s="80"/>
      <c r="R807" s="131"/>
      <c r="S807" s="69" t="n">
        <f aca="false">IF($Q807="入荷済み",N($L807),0)</f>
        <v>0</v>
      </c>
      <c r="T807" s="80"/>
      <c r="U807" s="80"/>
    </row>
    <row r="808" customFormat="false" ht="15" hidden="false" customHeight="false" outlineLevel="0" collapsed="false">
      <c r="B808" s="66" t="str">
        <f aca="false">IF(OR($E808="",$F808=""),"","PO-"&amp;TEXT($E808,"yyyymmdd")&amp;"-"&amp;TEXT(COUNTIFS($E$6:$E808,$E808,$C$6:$C808,$C808),"000"))</f>
        <v/>
      </c>
      <c r="C808" s="130"/>
      <c r="D808" s="66" t="str">
        <f aca="false">IFERROR(INDEX(定数マスタ!$C$6:$C$105,MATCH($C808,定数マスタ!$B$6:$B$105,0)),"")</f>
        <v/>
      </c>
      <c r="E808" s="131"/>
      <c r="F808" s="130"/>
      <c r="G808" s="66" t="str">
        <f aca="false">IFERROR(INDEX(商品マスタ!$C$6:$C$1005,MATCH($F808,商品マスタ!$B$6:$B$1005,0)),"")</f>
        <v/>
      </c>
      <c r="H808" s="66" t="str">
        <f aca="false">IFERROR(INDEX(商品マスタ!$E$6:$E$1005,MATCH($F808,商品マスタ!$B$6:$B$1005,0)),"")</f>
        <v/>
      </c>
      <c r="I808" s="69" t="str">
        <f aca="false">IFERROR(INDEX(商品マスタ!$F$6:$F$1005,MATCH($F808,商品マスタ!$B$6:$B$1005,0)),"")</f>
        <v/>
      </c>
      <c r="J808" s="69" t="str">
        <f aca="false">IF(OR($F808="",$C808&lt;&gt;'設定（最初に1回）'!$C$4),"",IFERROR(INDEX(発注計算!$Y$6:$Y$405,MATCH($F808,発注計算!$C$6:$C$405,0)),""))</f>
        <v/>
      </c>
      <c r="K808" s="70"/>
      <c r="L808" s="69" t="str">
        <f aca="false">IF($K808="","",N($K808)*N($I808))</f>
        <v/>
      </c>
      <c r="M808" s="71" t="str">
        <f aca="false">IFERROR(INDEX(商品マスタ!$G$6:$G$1005,MATCH($F808,商品マスタ!$B$6:$B$1005,0)),"")</f>
        <v/>
      </c>
      <c r="N808" s="71" t="str">
        <f aca="false">IF($K808="","",N($K808)*N($M808))</f>
        <v/>
      </c>
      <c r="O808" s="66" t="str">
        <f aca="false">IFERROR(INDEX(商品マスタ!$H$6:$H$1005,MATCH($F808,商品マスタ!$B$6:$B$1005,0)),"")</f>
        <v/>
      </c>
      <c r="P808" s="87" t="str">
        <f aca="false">IF(OR($E808="",$O808=""),"",WORKDAY($E808,$O808))</f>
        <v/>
      </c>
      <c r="Q808" s="80"/>
      <c r="R808" s="131"/>
      <c r="S808" s="69" t="n">
        <f aca="false">IF($Q808="入荷済み",N($L808),0)</f>
        <v>0</v>
      </c>
      <c r="T808" s="80"/>
      <c r="U808" s="80"/>
    </row>
    <row r="809" customFormat="false" ht="15" hidden="false" customHeight="false" outlineLevel="0" collapsed="false">
      <c r="B809" s="66" t="str">
        <f aca="false">IF(OR($E809="",$F809=""),"","PO-"&amp;TEXT($E809,"yyyymmdd")&amp;"-"&amp;TEXT(COUNTIFS($E$6:$E809,$E809,$C$6:$C809,$C809),"000"))</f>
        <v/>
      </c>
      <c r="C809" s="130"/>
      <c r="D809" s="66" t="str">
        <f aca="false">IFERROR(INDEX(定数マスタ!$C$6:$C$105,MATCH($C809,定数マスタ!$B$6:$B$105,0)),"")</f>
        <v/>
      </c>
      <c r="E809" s="131"/>
      <c r="F809" s="130"/>
      <c r="G809" s="66" t="str">
        <f aca="false">IFERROR(INDEX(商品マスタ!$C$6:$C$1005,MATCH($F809,商品マスタ!$B$6:$B$1005,0)),"")</f>
        <v/>
      </c>
      <c r="H809" s="66" t="str">
        <f aca="false">IFERROR(INDEX(商品マスタ!$E$6:$E$1005,MATCH($F809,商品マスタ!$B$6:$B$1005,0)),"")</f>
        <v/>
      </c>
      <c r="I809" s="69" t="str">
        <f aca="false">IFERROR(INDEX(商品マスタ!$F$6:$F$1005,MATCH($F809,商品マスタ!$B$6:$B$1005,0)),"")</f>
        <v/>
      </c>
      <c r="J809" s="69" t="str">
        <f aca="false">IF(OR($F809="",$C809&lt;&gt;'設定（最初に1回）'!$C$4),"",IFERROR(INDEX(発注計算!$Y$6:$Y$405,MATCH($F809,発注計算!$C$6:$C$405,0)),""))</f>
        <v/>
      </c>
      <c r="K809" s="70"/>
      <c r="L809" s="69" t="str">
        <f aca="false">IF($K809="","",N($K809)*N($I809))</f>
        <v/>
      </c>
      <c r="M809" s="71" t="str">
        <f aca="false">IFERROR(INDEX(商品マスタ!$G$6:$G$1005,MATCH($F809,商品マスタ!$B$6:$B$1005,0)),"")</f>
        <v/>
      </c>
      <c r="N809" s="71" t="str">
        <f aca="false">IF($K809="","",N($K809)*N($M809))</f>
        <v/>
      </c>
      <c r="O809" s="66" t="str">
        <f aca="false">IFERROR(INDEX(商品マスタ!$H$6:$H$1005,MATCH($F809,商品マスタ!$B$6:$B$1005,0)),"")</f>
        <v/>
      </c>
      <c r="P809" s="87" t="str">
        <f aca="false">IF(OR($E809="",$O809=""),"",WORKDAY($E809,$O809))</f>
        <v/>
      </c>
      <c r="Q809" s="80"/>
      <c r="R809" s="131"/>
      <c r="S809" s="69" t="n">
        <f aca="false">IF($Q809="入荷済み",N($L809),0)</f>
        <v>0</v>
      </c>
      <c r="T809" s="80"/>
      <c r="U809" s="80"/>
    </row>
    <row r="810" customFormat="false" ht="15" hidden="false" customHeight="false" outlineLevel="0" collapsed="false">
      <c r="B810" s="66" t="str">
        <f aca="false">IF(OR($E810="",$F810=""),"","PO-"&amp;TEXT($E810,"yyyymmdd")&amp;"-"&amp;TEXT(COUNTIFS($E$6:$E810,$E810,$C$6:$C810,$C810),"000"))</f>
        <v/>
      </c>
      <c r="C810" s="130"/>
      <c r="D810" s="66" t="str">
        <f aca="false">IFERROR(INDEX(定数マスタ!$C$6:$C$105,MATCH($C810,定数マスタ!$B$6:$B$105,0)),"")</f>
        <v/>
      </c>
      <c r="E810" s="131"/>
      <c r="F810" s="130"/>
      <c r="G810" s="66" t="str">
        <f aca="false">IFERROR(INDEX(商品マスタ!$C$6:$C$1005,MATCH($F810,商品マスタ!$B$6:$B$1005,0)),"")</f>
        <v/>
      </c>
      <c r="H810" s="66" t="str">
        <f aca="false">IFERROR(INDEX(商品マスタ!$E$6:$E$1005,MATCH($F810,商品マスタ!$B$6:$B$1005,0)),"")</f>
        <v/>
      </c>
      <c r="I810" s="69" t="str">
        <f aca="false">IFERROR(INDEX(商品マスタ!$F$6:$F$1005,MATCH($F810,商品マスタ!$B$6:$B$1005,0)),"")</f>
        <v/>
      </c>
      <c r="J810" s="69" t="str">
        <f aca="false">IF(OR($F810="",$C810&lt;&gt;'設定（最初に1回）'!$C$4),"",IFERROR(INDEX(発注計算!$Y$6:$Y$405,MATCH($F810,発注計算!$C$6:$C$405,0)),""))</f>
        <v/>
      </c>
      <c r="K810" s="70"/>
      <c r="L810" s="69" t="str">
        <f aca="false">IF($K810="","",N($K810)*N($I810))</f>
        <v/>
      </c>
      <c r="M810" s="71" t="str">
        <f aca="false">IFERROR(INDEX(商品マスタ!$G$6:$G$1005,MATCH($F810,商品マスタ!$B$6:$B$1005,0)),"")</f>
        <v/>
      </c>
      <c r="N810" s="71" t="str">
        <f aca="false">IF($K810="","",N($K810)*N($M810))</f>
        <v/>
      </c>
      <c r="O810" s="66" t="str">
        <f aca="false">IFERROR(INDEX(商品マスタ!$H$6:$H$1005,MATCH($F810,商品マスタ!$B$6:$B$1005,0)),"")</f>
        <v/>
      </c>
      <c r="P810" s="87" t="str">
        <f aca="false">IF(OR($E810="",$O810=""),"",WORKDAY($E810,$O810))</f>
        <v/>
      </c>
      <c r="Q810" s="80"/>
      <c r="R810" s="131"/>
      <c r="S810" s="69" t="n">
        <f aca="false">IF($Q810="入荷済み",N($L810),0)</f>
        <v>0</v>
      </c>
      <c r="T810" s="80"/>
      <c r="U810" s="80"/>
    </row>
    <row r="811" customFormat="false" ht="15" hidden="false" customHeight="false" outlineLevel="0" collapsed="false">
      <c r="B811" s="66" t="str">
        <f aca="false">IF(OR($E811="",$F811=""),"","PO-"&amp;TEXT($E811,"yyyymmdd")&amp;"-"&amp;TEXT(COUNTIFS($E$6:$E811,$E811,$C$6:$C811,$C811),"000"))</f>
        <v/>
      </c>
      <c r="C811" s="130"/>
      <c r="D811" s="66" t="str">
        <f aca="false">IFERROR(INDEX(定数マスタ!$C$6:$C$105,MATCH($C811,定数マスタ!$B$6:$B$105,0)),"")</f>
        <v/>
      </c>
      <c r="E811" s="131"/>
      <c r="F811" s="130"/>
      <c r="G811" s="66" t="str">
        <f aca="false">IFERROR(INDEX(商品マスタ!$C$6:$C$1005,MATCH($F811,商品マスタ!$B$6:$B$1005,0)),"")</f>
        <v/>
      </c>
      <c r="H811" s="66" t="str">
        <f aca="false">IFERROR(INDEX(商品マスタ!$E$6:$E$1005,MATCH($F811,商品マスタ!$B$6:$B$1005,0)),"")</f>
        <v/>
      </c>
      <c r="I811" s="69" t="str">
        <f aca="false">IFERROR(INDEX(商品マスタ!$F$6:$F$1005,MATCH($F811,商品マスタ!$B$6:$B$1005,0)),"")</f>
        <v/>
      </c>
      <c r="J811" s="69" t="str">
        <f aca="false">IF(OR($F811="",$C811&lt;&gt;'設定（最初に1回）'!$C$4),"",IFERROR(INDEX(発注計算!$Y$6:$Y$405,MATCH($F811,発注計算!$C$6:$C$405,0)),""))</f>
        <v/>
      </c>
      <c r="K811" s="70"/>
      <c r="L811" s="69" t="str">
        <f aca="false">IF($K811="","",N($K811)*N($I811))</f>
        <v/>
      </c>
      <c r="M811" s="71" t="str">
        <f aca="false">IFERROR(INDEX(商品マスタ!$G$6:$G$1005,MATCH($F811,商品マスタ!$B$6:$B$1005,0)),"")</f>
        <v/>
      </c>
      <c r="N811" s="71" t="str">
        <f aca="false">IF($K811="","",N($K811)*N($M811))</f>
        <v/>
      </c>
      <c r="O811" s="66" t="str">
        <f aca="false">IFERROR(INDEX(商品マスタ!$H$6:$H$1005,MATCH($F811,商品マスタ!$B$6:$B$1005,0)),"")</f>
        <v/>
      </c>
      <c r="P811" s="87" t="str">
        <f aca="false">IF(OR($E811="",$O811=""),"",WORKDAY($E811,$O811))</f>
        <v/>
      </c>
      <c r="Q811" s="80"/>
      <c r="R811" s="131"/>
      <c r="S811" s="69" t="n">
        <f aca="false">IF($Q811="入荷済み",N($L811),0)</f>
        <v>0</v>
      </c>
      <c r="T811" s="80"/>
      <c r="U811" s="80"/>
    </row>
    <row r="812" customFormat="false" ht="15" hidden="false" customHeight="false" outlineLevel="0" collapsed="false">
      <c r="B812" s="66" t="str">
        <f aca="false">IF(OR($E812="",$F812=""),"","PO-"&amp;TEXT($E812,"yyyymmdd")&amp;"-"&amp;TEXT(COUNTIFS($E$6:$E812,$E812,$C$6:$C812,$C812),"000"))</f>
        <v/>
      </c>
      <c r="C812" s="130"/>
      <c r="D812" s="66" t="str">
        <f aca="false">IFERROR(INDEX(定数マスタ!$C$6:$C$105,MATCH($C812,定数マスタ!$B$6:$B$105,0)),"")</f>
        <v/>
      </c>
      <c r="E812" s="131"/>
      <c r="F812" s="130"/>
      <c r="G812" s="66" t="str">
        <f aca="false">IFERROR(INDEX(商品マスタ!$C$6:$C$1005,MATCH($F812,商品マスタ!$B$6:$B$1005,0)),"")</f>
        <v/>
      </c>
      <c r="H812" s="66" t="str">
        <f aca="false">IFERROR(INDEX(商品マスタ!$E$6:$E$1005,MATCH($F812,商品マスタ!$B$6:$B$1005,0)),"")</f>
        <v/>
      </c>
      <c r="I812" s="69" t="str">
        <f aca="false">IFERROR(INDEX(商品マスタ!$F$6:$F$1005,MATCH($F812,商品マスタ!$B$6:$B$1005,0)),"")</f>
        <v/>
      </c>
      <c r="J812" s="69" t="str">
        <f aca="false">IF(OR($F812="",$C812&lt;&gt;'設定（最初に1回）'!$C$4),"",IFERROR(INDEX(発注計算!$Y$6:$Y$405,MATCH($F812,発注計算!$C$6:$C$405,0)),""))</f>
        <v/>
      </c>
      <c r="K812" s="70"/>
      <c r="L812" s="69" t="str">
        <f aca="false">IF($K812="","",N($K812)*N($I812))</f>
        <v/>
      </c>
      <c r="M812" s="71" t="str">
        <f aca="false">IFERROR(INDEX(商品マスタ!$G$6:$G$1005,MATCH($F812,商品マスタ!$B$6:$B$1005,0)),"")</f>
        <v/>
      </c>
      <c r="N812" s="71" t="str">
        <f aca="false">IF($K812="","",N($K812)*N($M812))</f>
        <v/>
      </c>
      <c r="O812" s="66" t="str">
        <f aca="false">IFERROR(INDEX(商品マスタ!$H$6:$H$1005,MATCH($F812,商品マスタ!$B$6:$B$1005,0)),"")</f>
        <v/>
      </c>
      <c r="P812" s="87" t="str">
        <f aca="false">IF(OR($E812="",$O812=""),"",WORKDAY($E812,$O812))</f>
        <v/>
      </c>
      <c r="Q812" s="80"/>
      <c r="R812" s="131"/>
      <c r="S812" s="69" t="n">
        <f aca="false">IF($Q812="入荷済み",N($L812),0)</f>
        <v>0</v>
      </c>
      <c r="T812" s="80"/>
      <c r="U812" s="80"/>
    </row>
    <row r="813" customFormat="false" ht="15" hidden="false" customHeight="false" outlineLevel="0" collapsed="false">
      <c r="B813" s="66" t="str">
        <f aca="false">IF(OR($E813="",$F813=""),"","PO-"&amp;TEXT($E813,"yyyymmdd")&amp;"-"&amp;TEXT(COUNTIFS($E$6:$E813,$E813,$C$6:$C813,$C813),"000"))</f>
        <v/>
      </c>
      <c r="C813" s="130"/>
      <c r="D813" s="66" t="str">
        <f aca="false">IFERROR(INDEX(定数マスタ!$C$6:$C$105,MATCH($C813,定数マスタ!$B$6:$B$105,0)),"")</f>
        <v/>
      </c>
      <c r="E813" s="131"/>
      <c r="F813" s="130"/>
      <c r="G813" s="66" t="str">
        <f aca="false">IFERROR(INDEX(商品マスタ!$C$6:$C$1005,MATCH($F813,商品マスタ!$B$6:$B$1005,0)),"")</f>
        <v/>
      </c>
      <c r="H813" s="66" t="str">
        <f aca="false">IFERROR(INDEX(商品マスタ!$E$6:$E$1005,MATCH($F813,商品マスタ!$B$6:$B$1005,0)),"")</f>
        <v/>
      </c>
      <c r="I813" s="69" t="str">
        <f aca="false">IFERROR(INDEX(商品マスタ!$F$6:$F$1005,MATCH($F813,商品マスタ!$B$6:$B$1005,0)),"")</f>
        <v/>
      </c>
      <c r="J813" s="69" t="str">
        <f aca="false">IF(OR($F813="",$C813&lt;&gt;'設定（最初に1回）'!$C$4),"",IFERROR(INDEX(発注計算!$Y$6:$Y$405,MATCH($F813,発注計算!$C$6:$C$405,0)),""))</f>
        <v/>
      </c>
      <c r="K813" s="70"/>
      <c r="L813" s="69" t="str">
        <f aca="false">IF($K813="","",N($K813)*N($I813))</f>
        <v/>
      </c>
      <c r="M813" s="71" t="str">
        <f aca="false">IFERROR(INDEX(商品マスタ!$G$6:$G$1005,MATCH($F813,商品マスタ!$B$6:$B$1005,0)),"")</f>
        <v/>
      </c>
      <c r="N813" s="71" t="str">
        <f aca="false">IF($K813="","",N($K813)*N($M813))</f>
        <v/>
      </c>
      <c r="O813" s="66" t="str">
        <f aca="false">IFERROR(INDEX(商品マスタ!$H$6:$H$1005,MATCH($F813,商品マスタ!$B$6:$B$1005,0)),"")</f>
        <v/>
      </c>
      <c r="P813" s="87" t="str">
        <f aca="false">IF(OR($E813="",$O813=""),"",WORKDAY($E813,$O813))</f>
        <v/>
      </c>
      <c r="Q813" s="80"/>
      <c r="R813" s="131"/>
      <c r="S813" s="69" t="n">
        <f aca="false">IF($Q813="入荷済み",N($L813),0)</f>
        <v>0</v>
      </c>
      <c r="T813" s="80"/>
      <c r="U813" s="80"/>
    </row>
    <row r="814" customFormat="false" ht="15" hidden="false" customHeight="false" outlineLevel="0" collapsed="false">
      <c r="B814" s="66" t="str">
        <f aca="false">IF(OR($E814="",$F814=""),"","PO-"&amp;TEXT($E814,"yyyymmdd")&amp;"-"&amp;TEXT(COUNTIFS($E$6:$E814,$E814,$C$6:$C814,$C814),"000"))</f>
        <v/>
      </c>
      <c r="C814" s="130"/>
      <c r="D814" s="66" t="str">
        <f aca="false">IFERROR(INDEX(定数マスタ!$C$6:$C$105,MATCH($C814,定数マスタ!$B$6:$B$105,0)),"")</f>
        <v/>
      </c>
      <c r="E814" s="131"/>
      <c r="F814" s="130"/>
      <c r="G814" s="66" t="str">
        <f aca="false">IFERROR(INDEX(商品マスタ!$C$6:$C$1005,MATCH($F814,商品マスタ!$B$6:$B$1005,0)),"")</f>
        <v/>
      </c>
      <c r="H814" s="66" t="str">
        <f aca="false">IFERROR(INDEX(商品マスタ!$E$6:$E$1005,MATCH($F814,商品マスタ!$B$6:$B$1005,0)),"")</f>
        <v/>
      </c>
      <c r="I814" s="69" t="str">
        <f aca="false">IFERROR(INDEX(商品マスタ!$F$6:$F$1005,MATCH($F814,商品マスタ!$B$6:$B$1005,0)),"")</f>
        <v/>
      </c>
      <c r="J814" s="69" t="str">
        <f aca="false">IF(OR($F814="",$C814&lt;&gt;'設定（最初に1回）'!$C$4),"",IFERROR(INDEX(発注計算!$Y$6:$Y$405,MATCH($F814,発注計算!$C$6:$C$405,0)),""))</f>
        <v/>
      </c>
      <c r="K814" s="70"/>
      <c r="L814" s="69" t="str">
        <f aca="false">IF($K814="","",N($K814)*N($I814))</f>
        <v/>
      </c>
      <c r="M814" s="71" t="str">
        <f aca="false">IFERROR(INDEX(商品マスタ!$G$6:$G$1005,MATCH($F814,商品マスタ!$B$6:$B$1005,0)),"")</f>
        <v/>
      </c>
      <c r="N814" s="71" t="str">
        <f aca="false">IF($K814="","",N($K814)*N($M814))</f>
        <v/>
      </c>
      <c r="O814" s="66" t="str">
        <f aca="false">IFERROR(INDEX(商品マスタ!$H$6:$H$1005,MATCH($F814,商品マスタ!$B$6:$B$1005,0)),"")</f>
        <v/>
      </c>
      <c r="P814" s="87" t="str">
        <f aca="false">IF(OR($E814="",$O814=""),"",WORKDAY($E814,$O814))</f>
        <v/>
      </c>
      <c r="Q814" s="80"/>
      <c r="R814" s="131"/>
      <c r="S814" s="69" t="n">
        <f aca="false">IF($Q814="入荷済み",N($L814),0)</f>
        <v>0</v>
      </c>
      <c r="T814" s="80"/>
      <c r="U814" s="80"/>
    </row>
    <row r="815" customFormat="false" ht="15" hidden="false" customHeight="false" outlineLevel="0" collapsed="false">
      <c r="B815" s="66" t="str">
        <f aca="false">IF(OR($E815="",$F815=""),"","PO-"&amp;TEXT($E815,"yyyymmdd")&amp;"-"&amp;TEXT(COUNTIFS($E$6:$E815,$E815,$C$6:$C815,$C815),"000"))</f>
        <v/>
      </c>
      <c r="C815" s="130"/>
      <c r="D815" s="66" t="str">
        <f aca="false">IFERROR(INDEX(定数マスタ!$C$6:$C$105,MATCH($C815,定数マスタ!$B$6:$B$105,0)),"")</f>
        <v/>
      </c>
      <c r="E815" s="131"/>
      <c r="F815" s="130"/>
      <c r="G815" s="66" t="str">
        <f aca="false">IFERROR(INDEX(商品マスタ!$C$6:$C$1005,MATCH($F815,商品マスタ!$B$6:$B$1005,0)),"")</f>
        <v/>
      </c>
      <c r="H815" s="66" t="str">
        <f aca="false">IFERROR(INDEX(商品マスタ!$E$6:$E$1005,MATCH($F815,商品マスタ!$B$6:$B$1005,0)),"")</f>
        <v/>
      </c>
      <c r="I815" s="69" t="str">
        <f aca="false">IFERROR(INDEX(商品マスタ!$F$6:$F$1005,MATCH($F815,商品マスタ!$B$6:$B$1005,0)),"")</f>
        <v/>
      </c>
      <c r="J815" s="69" t="str">
        <f aca="false">IF(OR($F815="",$C815&lt;&gt;'設定（最初に1回）'!$C$4),"",IFERROR(INDEX(発注計算!$Y$6:$Y$405,MATCH($F815,発注計算!$C$6:$C$405,0)),""))</f>
        <v/>
      </c>
      <c r="K815" s="70"/>
      <c r="L815" s="69" t="str">
        <f aca="false">IF($K815="","",N($K815)*N($I815))</f>
        <v/>
      </c>
      <c r="M815" s="71" t="str">
        <f aca="false">IFERROR(INDEX(商品マスタ!$G$6:$G$1005,MATCH($F815,商品マスタ!$B$6:$B$1005,0)),"")</f>
        <v/>
      </c>
      <c r="N815" s="71" t="str">
        <f aca="false">IF($K815="","",N($K815)*N($M815))</f>
        <v/>
      </c>
      <c r="O815" s="66" t="str">
        <f aca="false">IFERROR(INDEX(商品マスタ!$H$6:$H$1005,MATCH($F815,商品マスタ!$B$6:$B$1005,0)),"")</f>
        <v/>
      </c>
      <c r="P815" s="87" t="str">
        <f aca="false">IF(OR($E815="",$O815=""),"",WORKDAY($E815,$O815))</f>
        <v/>
      </c>
      <c r="Q815" s="80"/>
      <c r="R815" s="131"/>
      <c r="S815" s="69" t="n">
        <f aca="false">IF($Q815="入荷済み",N($L815),0)</f>
        <v>0</v>
      </c>
      <c r="T815" s="80"/>
      <c r="U815" s="80"/>
    </row>
    <row r="816" customFormat="false" ht="15" hidden="false" customHeight="false" outlineLevel="0" collapsed="false">
      <c r="B816" s="66" t="str">
        <f aca="false">IF(OR($E816="",$F816=""),"","PO-"&amp;TEXT($E816,"yyyymmdd")&amp;"-"&amp;TEXT(COUNTIFS($E$6:$E816,$E816,$C$6:$C816,$C816),"000"))</f>
        <v/>
      </c>
      <c r="C816" s="130"/>
      <c r="D816" s="66" t="str">
        <f aca="false">IFERROR(INDEX(定数マスタ!$C$6:$C$105,MATCH($C816,定数マスタ!$B$6:$B$105,0)),"")</f>
        <v/>
      </c>
      <c r="E816" s="131"/>
      <c r="F816" s="130"/>
      <c r="G816" s="66" t="str">
        <f aca="false">IFERROR(INDEX(商品マスタ!$C$6:$C$1005,MATCH($F816,商品マスタ!$B$6:$B$1005,0)),"")</f>
        <v/>
      </c>
      <c r="H816" s="66" t="str">
        <f aca="false">IFERROR(INDEX(商品マスタ!$E$6:$E$1005,MATCH($F816,商品マスタ!$B$6:$B$1005,0)),"")</f>
        <v/>
      </c>
      <c r="I816" s="69" t="str">
        <f aca="false">IFERROR(INDEX(商品マスタ!$F$6:$F$1005,MATCH($F816,商品マスタ!$B$6:$B$1005,0)),"")</f>
        <v/>
      </c>
      <c r="J816" s="69" t="str">
        <f aca="false">IF(OR($F816="",$C816&lt;&gt;'設定（最初に1回）'!$C$4),"",IFERROR(INDEX(発注計算!$Y$6:$Y$405,MATCH($F816,発注計算!$C$6:$C$405,0)),""))</f>
        <v/>
      </c>
      <c r="K816" s="70"/>
      <c r="L816" s="69" t="str">
        <f aca="false">IF($K816="","",N($K816)*N($I816))</f>
        <v/>
      </c>
      <c r="M816" s="71" t="str">
        <f aca="false">IFERROR(INDEX(商品マスタ!$G$6:$G$1005,MATCH($F816,商品マスタ!$B$6:$B$1005,0)),"")</f>
        <v/>
      </c>
      <c r="N816" s="71" t="str">
        <f aca="false">IF($K816="","",N($K816)*N($M816))</f>
        <v/>
      </c>
      <c r="O816" s="66" t="str">
        <f aca="false">IFERROR(INDEX(商品マスタ!$H$6:$H$1005,MATCH($F816,商品マスタ!$B$6:$B$1005,0)),"")</f>
        <v/>
      </c>
      <c r="P816" s="87" t="str">
        <f aca="false">IF(OR($E816="",$O816=""),"",WORKDAY($E816,$O816))</f>
        <v/>
      </c>
      <c r="Q816" s="80"/>
      <c r="R816" s="131"/>
      <c r="S816" s="69" t="n">
        <f aca="false">IF($Q816="入荷済み",N($L816),0)</f>
        <v>0</v>
      </c>
      <c r="T816" s="80"/>
      <c r="U816" s="80"/>
    </row>
    <row r="817" customFormat="false" ht="15" hidden="false" customHeight="false" outlineLevel="0" collapsed="false">
      <c r="B817" s="66" t="str">
        <f aca="false">IF(OR($E817="",$F817=""),"","PO-"&amp;TEXT($E817,"yyyymmdd")&amp;"-"&amp;TEXT(COUNTIFS($E$6:$E817,$E817,$C$6:$C817,$C817),"000"))</f>
        <v/>
      </c>
      <c r="C817" s="130"/>
      <c r="D817" s="66" t="str">
        <f aca="false">IFERROR(INDEX(定数マスタ!$C$6:$C$105,MATCH($C817,定数マスタ!$B$6:$B$105,0)),"")</f>
        <v/>
      </c>
      <c r="E817" s="131"/>
      <c r="F817" s="130"/>
      <c r="G817" s="66" t="str">
        <f aca="false">IFERROR(INDEX(商品マスタ!$C$6:$C$1005,MATCH($F817,商品マスタ!$B$6:$B$1005,0)),"")</f>
        <v/>
      </c>
      <c r="H817" s="66" t="str">
        <f aca="false">IFERROR(INDEX(商品マスタ!$E$6:$E$1005,MATCH($F817,商品マスタ!$B$6:$B$1005,0)),"")</f>
        <v/>
      </c>
      <c r="I817" s="69" t="str">
        <f aca="false">IFERROR(INDEX(商品マスタ!$F$6:$F$1005,MATCH($F817,商品マスタ!$B$6:$B$1005,0)),"")</f>
        <v/>
      </c>
      <c r="J817" s="69" t="str">
        <f aca="false">IF(OR($F817="",$C817&lt;&gt;'設定（最初に1回）'!$C$4),"",IFERROR(INDEX(発注計算!$Y$6:$Y$405,MATCH($F817,発注計算!$C$6:$C$405,0)),""))</f>
        <v/>
      </c>
      <c r="K817" s="70"/>
      <c r="L817" s="69" t="str">
        <f aca="false">IF($K817="","",N($K817)*N($I817))</f>
        <v/>
      </c>
      <c r="M817" s="71" t="str">
        <f aca="false">IFERROR(INDEX(商品マスタ!$G$6:$G$1005,MATCH($F817,商品マスタ!$B$6:$B$1005,0)),"")</f>
        <v/>
      </c>
      <c r="N817" s="71" t="str">
        <f aca="false">IF($K817="","",N($K817)*N($M817))</f>
        <v/>
      </c>
      <c r="O817" s="66" t="str">
        <f aca="false">IFERROR(INDEX(商品マスタ!$H$6:$H$1005,MATCH($F817,商品マスタ!$B$6:$B$1005,0)),"")</f>
        <v/>
      </c>
      <c r="P817" s="87" t="str">
        <f aca="false">IF(OR($E817="",$O817=""),"",WORKDAY($E817,$O817))</f>
        <v/>
      </c>
      <c r="Q817" s="80"/>
      <c r="R817" s="131"/>
      <c r="S817" s="69" t="n">
        <f aca="false">IF($Q817="入荷済み",N($L817),0)</f>
        <v>0</v>
      </c>
      <c r="T817" s="80"/>
      <c r="U817" s="80"/>
    </row>
    <row r="818" customFormat="false" ht="15" hidden="false" customHeight="false" outlineLevel="0" collapsed="false">
      <c r="B818" s="66" t="str">
        <f aca="false">IF(OR($E818="",$F818=""),"","PO-"&amp;TEXT($E818,"yyyymmdd")&amp;"-"&amp;TEXT(COUNTIFS($E$6:$E818,$E818,$C$6:$C818,$C818),"000"))</f>
        <v/>
      </c>
      <c r="C818" s="130"/>
      <c r="D818" s="66" t="str">
        <f aca="false">IFERROR(INDEX(定数マスタ!$C$6:$C$105,MATCH($C818,定数マスタ!$B$6:$B$105,0)),"")</f>
        <v/>
      </c>
      <c r="E818" s="131"/>
      <c r="F818" s="130"/>
      <c r="G818" s="66" t="str">
        <f aca="false">IFERROR(INDEX(商品マスタ!$C$6:$C$1005,MATCH($F818,商品マスタ!$B$6:$B$1005,0)),"")</f>
        <v/>
      </c>
      <c r="H818" s="66" t="str">
        <f aca="false">IFERROR(INDEX(商品マスタ!$E$6:$E$1005,MATCH($F818,商品マスタ!$B$6:$B$1005,0)),"")</f>
        <v/>
      </c>
      <c r="I818" s="69" t="str">
        <f aca="false">IFERROR(INDEX(商品マスタ!$F$6:$F$1005,MATCH($F818,商品マスタ!$B$6:$B$1005,0)),"")</f>
        <v/>
      </c>
      <c r="J818" s="69" t="str">
        <f aca="false">IF(OR($F818="",$C818&lt;&gt;'設定（最初に1回）'!$C$4),"",IFERROR(INDEX(発注計算!$Y$6:$Y$405,MATCH($F818,発注計算!$C$6:$C$405,0)),""))</f>
        <v/>
      </c>
      <c r="K818" s="70"/>
      <c r="L818" s="69" t="str">
        <f aca="false">IF($K818="","",N($K818)*N($I818))</f>
        <v/>
      </c>
      <c r="M818" s="71" t="str">
        <f aca="false">IFERROR(INDEX(商品マスタ!$G$6:$G$1005,MATCH($F818,商品マスタ!$B$6:$B$1005,0)),"")</f>
        <v/>
      </c>
      <c r="N818" s="71" t="str">
        <f aca="false">IF($K818="","",N($K818)*N($M818))</f>
        <v/>
      </c>
      <c r="O818" s="66" t="str">
        <f aca="false">IFERROR(INDEX(商品マスタ!$H$6:$H$1005,MATCH($F818,商品マスタ!$B$6:$B$1005,0)),"")</f>
        <v/>
      </c>
      <c r="P818" s="87" t="str">
        <f aca="false">IF(OR($E818="",$O818=""),"",WORKDAY($E818,$O818))</f>
        <v/>
      </c>
      <c r="Q818" s="80"/>
      <c r="R818" s="131"/>
      <c r="S818" s="69" t="n">
        <f aca="false">IF($Q818="入荷済み",N($L818),0)</f>
        <v>0</v>
      </c>
      <c r="T818" s="80"/>
      <c r="U818" s="80"/>
    </row>
    <row r="819" customFormat="false" ht="15" hidden="false" customHeight="false" outlineLevel="0" collapsed="false">
      <c r="B819" s="66" t="str">
        <f aca="false">IF(OR($E819="",$F819=""),"","PO-"&amp;TEXT($E819,"yyyymmdd")&amp;"-"&amp;TEXT(COUNTIFS($E$6:$E819,$E819,$C$6:$C819,$C819),"000"))</f>
        <v/>
      </c>
      <c r="C819" s="130"/>
      <c r="D819" s="66" t="str">
        <f aca="false">IFERROR(INDEX(定数マスタ!$C$6:$C$105,MATCH($C819,定数マスタ!$B$6:$B$105,0)),"")</f>
        <v/>
      </c>
      <c r="E819" s="131"/>
      <c r="F819" s="130"/>
      <c r="G819" s="66" t="str">
        <f aca="false">IFERROR(INDEX(商品マスタ!$C$6:$C$1005,MATCH($F819,商品マスタ!$B$6:$B$1005,0)),"")</f>
        <v/>
      </c>
      <c r="H819" s="66" t="str">
        <f aca="false">IFERROR(INDEX(商品マスタ!$E$6:$E$1005,MATCH($F819,商品マスタ!$B$6:$B$1005,0)),"")</f>
        <v/>
      </c>
      <c r="I819" s="69" t="str">
        <f aca="false">IFERROR(INDEX(商品マスタ!$F$6:$F$1005,MATCH($F819,商品マスタ!$B$6:$B$1005,0)),"")</f>
        <v/>
      </c>
      <c r="J819" s="69" t="str">
        <f aca="false">IF(OR($F819="",$C819&lt;&gt;'設定（最初に1回）'!$C$4),"",IFERROR(INDEX(発注計算!$Y$6:$Y$405,MATCH($F819,発注計算!$C$6:$C$405,0)),""))</f>
        <v/>
      </c>
      <c r="K819" s="70"/>
      <c r="L819" s="69" t="str">
        <f aca="false">IF($K819="","",N($K819)*N($I819))</f>
        <v/>
      </c>
      <c r="M819" s="71" t="str">
        <f aca="false">IFERROR(INDEX(商品マスタ!$G$6:$G$1005,MATCH($F819,商品マスタ!$B$6:$B$1005,0)),"")</f>
        <v/>
      </c>
      <c r="N819" s="71" t="str">
        <f aca="false">IF($K819="","",N($K819)*N($M819))</f>
        <v/>
      </c>
      <c r="O819" s="66" t="str">
        <f aca="false">IFERROR(INDEX(商品マスタ!$H$6:$H$1005,MATCH($F819,商品マスタ!$B$6:$B$1005,0)),"")</f>
        <v/>
      </c>
      <c r="P819" s="87" t="str">
        <f aca="false">IF(OR($E819="",$O819=""),"",WORKDAY($E819,$O819))</f>
        <v/>
      </c>
      <c r="Q819" s="80"/>
      <c r="R819" s="131"/>
      <c r="S819" s="69" t="n">
        <f aca="false">IF($Q819="入荷済み",N($L819),0)</f>
        <v>0</v>
      </c>
      <c r="T819" s="80"/>
      <c r="U819" s="80"/>
    </row>
    <row r="820" customFormat="false" ht="15" hidden="false" customHeight="false" outlineLevel="0" collapsed="false">
      <c r="B820" s="66" t="str">
        <f aca="false">IF(OR($E820="",$F820=""),"","PO-"&amp;TEXT($E820,"yyyymmdd")&amp;"-"&amp;TEXT(COUNTIFS($E$6:$E820,$E820,$C$6:$C820,$C820),"000"))</f>
        <v/>
      </c>
      <c r="C820" s="130"/>
      <c r="D820" s="66" t="str">
        <f aca="false">IFERROR(INDEX(定数マスタ!$C$6:$C$105,MATCH($C820,定数マスタ!$B$6:$B$105,0)),"")</f>
        <v/>
      </c>
      <c r="E820" s="131"/>
      <c r="F820" s="130"/>
      <c r="G820" s="66" t="str">
        <f aca="false">IFERROR(INDEX(商品マスタ!$C$6:$C$1005,MATCH($F820,商品マスタ!$B$6:$B$1005,0)),"")</f>
        <v/>
      </c>
      <c r="H820" s="66" t="str">
        <f aca="false">IFERROR(INDEX(商品マスタ!$E$6:$E$1005,MATCH($F820,商品マスタ!$B$6:$B$1005,0)),"")</f>
        <v/>
      </c>
      <c r="I820" s="69" t="str">
        <f aca="false">IFERROR(INDEX(商品マスタ!$F$6:$F$1005,MATCH($F820,商品マスタ!$B$6:$B$1005,0)),"")</f>
        <v/>
      </c>
      <c r="J820" s="69" t="str">
        <f aca="false">IF(OR($F820="",$C820&lt;&gt;'設定（最初に1回）'!$C$4),"",IFERROR(INDEX(発注計算!$Y$6:$Y$405,MATCH($F820,発注計算!$C$6:$C$405,0)),""))</f>
        <v/>
      </c>
      <c r="K820" s="70"/>
      <c r="L820" s="69" t="str">
        <f aca="false">IF($K820="","",N($K820)*N($I820))</f>
        <v/>
      </c>
      <c r="M820" s="71" t="str">
        <f aca="false">IFERROR(INDEX(商品マスタ!$G$6:$G$1005,MATCH($F820,商品マスタ!$B$6:$B$1005,0)),"")</f>
        <v/>
      </c>
      <c r="N820" s="71" t="str">
        <f aca="false">IF($K820="","",N($K820)*N($M820))</f>
        <v/>
      </c>
      <c r="O820" s="66" t="str">
        <f aca="false">IFERROR(INDEX(商品マスタ!$H$6:$H$1005,MATCH($F820,商品マスタ!$B$6:$B$1005,0)),"")</f>
        <v/>
      </c>
      <c r="P820" s="87" t="str">
        <f aca="false">IF(OR($E820="",$O820=""),"",WORKDAY($E820,$O820))</f>
        <v/>
      </c>
      <c r="Q820" s="80"/>
      <c r="R820" s="131"/>
      <c r="S820" s="69" t="n">
        <f aca="false">IF($Q820="入荷済み",N($L820),0)</f>
        <v>0</v>
      </c>
      <c r="T820" s="80"/>
      <c r="U820" s="80"/>
    </row>
    <row r="821" customFormat="false" ht="15" hidden="false" customHeight="false" outlineLevel="0" collapsed="false">
      <c r="B821" s="66" t="str">
        <f aca="false">IF(OR($E821="",$F821=""),"","PO-"&amp;TEXT($E821,"yyyymmdd")&amp;"-"&amp;TEXT(COUNTIFS($E$6:$E821,$E821,$C$6:$C821,$C821),"000"))</f>
        <v/>
      </c>
      <c r="C821" s="130"/>
      <c r="D821" s="66" t="str">
        <f aca="false">IFERROR(INDEX(定数マスタ!$C$6:$C$105,MATCH($C821,定数マスタ!$B$6:$B$105,0)),"")</f>
        <v/>
      </c>
      <c r="E821" s="131"/>
      <c r="F821" s="130"/>
      <c r="G821" s="66" t="str">
        <f aca="false">IFERROR(INDEX(商品マスタ!$C$6:$C$1005,MATCH($F821,商品マスタ!$B$6:$B$1005,0)),"")</f>
        <v/>
      </c>
      <c r="H821" s="66" t="str">
        <f aca="false">IFERROR(INDEX(商品マスタ!$E$6:$E$1005,MATCH($F821,商品マスタ!$B$6:$B$1005,0)),"")</f>
        <v/>
      </c>
      <c r="I821" s="69" t="str">
        <f aca="false">IFERROR(INDEX(商品マスタ!$F$6:$F$1005,MATCH($F821,商品マスタ!$B$6:$B$1005,0)),"")</f>
        <v/>
      </c>
      <c r="J821" s="69" t="str">
        <f aca="false">IF(OR($F821="",$C821&lt;&gt;'設定（最初に1回）'!$C$4),"",IFERROR(INDEX(発注計算!$Y$6:$Y$405,MATCH($F821,発注計算!$C$6:$C$405,0)),""))</f>
        <v/>
      </c>
      <c r="K821" s="70"/>
      <c r="L821" s="69" t="str">
        <f aca="false">IF($K821="","",N($K821)*N($I821))</f>
        <v/>
      </c>
      <c r="M821" s="71" t="str">
        <f aca="false">IFERROR(INDEX(商品マスタ!$G$6:$G$1005,MATCH($F821,商品マスタ!$B$6:$B$1005,0)),"")</f>
        <v/>
      </c>
      <c r="N821" s="71" t="str">
        <f aca="false">IF($K821="","",N($K821)*N($M821))</f>
        <v/>
      </c>
      <c r="O821" s="66" t="str">
        <f aca="false">IFERROR(INDEX(商品マスタ!$H$6:$H$1005,MATCH($F821,商品マスタ!$B$6:$B$1005,0)),"")</f>
        <v/>
      </c>
      <c r="P821" s="87" t="str">
        <f aca="false">IF(OR($E821="",$O821=""),"",WORKDAY($E821,$O821))</f>
        <v/>
      </c>
      <c r="Q821" s="80"/>
      <c r="R821" s="131"/>
      <c r="S821" s="69" t="n">
        <f aca="false">IF($Q821="入荷済み",N($L821),0)</f>
        <v>0</v>
      </c>
      <c r="T821" s="80"/>
      <c r="U821" s="80"/>
    </row>
    <row r="822" customFormat="false" ht="15" hidden="false" customHeight="false" outlineLevel="0" collapsed="false">
      <c r="B822" s="66" t="str">
        <f aca="false">IF(OR($E822="",$F822=""),"","PO-"&amp;TEXT($E822,"yyyymmdd")&amp;"-"&amp;TEXT(COUNTIFS($E$6:$E822,$E822,$C$6:$C822,$C822),"000"))</f>
        <v/>
      </c>
      <c r="C822" s="130"/>
      <c r="D822" s="66" t="str">
        <f aca="false">IFERROR(INDEX(定数マスタ!$C$6:$C$105,MATCH($C822,定数マスタ!$B$6:$B$105,0)),"")</f>
        <v/>
      </c>
      <c r="E822" s="131"/>
      <c r="F822" s="130"/>
      <c r="G822" s="66" t="str">
        <f aca="false">IFERROR(INDEX(商品マスタ!$C$6:$C$1005,MATCH($F822,商品マスタ!$B$6:$B$1005,0)),"")</f>
        <v/>
      </c>
      <c r="H822" s="66" t="str">
        <f aca="false">IFERROR(INDEX(商品マスタ!$E$6:$E$1005,MATCH($F822,商品マスタ!$B$6:$B$1005,0)),"")</f>
        <v/>
      </c>
      <c r="I822" s="69" t="str">
        <f aca="false">IFERROR(INDEX(商品マスタ!$F$6:$F$1005,MATCH($F822,商品マスタ!$B$6:$B$1005,0)),"")</f>
        <v/>
      </c>
      <c r="J822" s="69" t="str">
        <f aca="false">IF(OR($F822="",$C822&lt;&gt;'設定（最初に1回）'!$C$4),"",IFERROR(INDEX(発注計算!$Y$6:$Y$405,MATCH($F822,発注計算!$C$6:$C$405,0)),""))</f>
        <v/>
      </c>
      <c r="K822" s="70"/>
      <c r="L822" s="69" t="str">
        <f aca="false">IF($K822="","",N($K822)*N($I822))</f>
        <v/>
      </c>
      <c r="M822" s="71" t="str">
        <f aca="false">IFERROR(INDEX(商品マスタ!$G$6:$G$1005,MATCH($F822,商品マスタ!$B$6:$B$1005,0)),"")</f>
        <v/>
      </c>
      <c r="N822" s="71" t="str">
        <f aca="false">IF($K822="","",N($K822)*N($M822))</f>
        <v/>
      </c>
      <c r="O822" s="66" t="str">
        <f aca="false">IFERROR(INDEX(商品マスタ!$H$6:$H$1005,MATCH($F822,商品マスタ!$B$6:$B$1005,0)),"")</f>
        <v/>
      </c>
      <c r="P822" s="87" t="str">
        <f aca="false">IF(OR($E822="",$O822=""),"",WORKDAY($E822,$O822))</f>
        <v/>
      </c>
      <c r="Q822" s="80"/>
      <c r="R822" s="131"/>
      <c r="S822" s="69" t="n">
        <f aca="false">IF($Q822="入荷済み",N($L822),0)</f>
        <v>0</v>
      </c>
      <c r="T822" s="80"/>
      <c r="U822" s="80"/>
    </row>
    <row r="823" customFormat="false" ht="15" hidden="false" customHeight="false" outlineLevel="0" collapsed="false">
      <c r="B823" s="66" t="str">
        <f aca="false">IF(OR($E823="",$F823=""),"","PO-"&amp;TEXT($E823,"yyyymmdd")&amp;"-"&amp;TEXT(COUNTIFS($E$6:$E823,$E823,$C$6:$C823,$C823),"000"))</f>
        <v/>
      </c>
      <c r="C823" s="130"/>
      <c r="D823" s="66" t="str">
        <f aca="false">IFERROR(INDEX(定数マスタ!$C$6:$C$105,MATCH($C823,定数マスタ!$B$6:$B$105,0)),"")</f>
        <v/>
      </c>
      <c r="E823" s="131"/>
      <c r="F823" s="130"/>
      <c r="G823" s="66" t="str">
        <f aca="false">IFERROR(INDEX(商品マスタ!$C$6:$C$1005,MATCH($F823,商品マスタ!$B$6:$B$1005,0)),"")</f>
        <v/>
      </c>
      <c r="H823" s="66" t="str">
        <f aca="false">IFERROR(INDEX(商品マスタ!$E$6:$E$1005,MATCH($F823,商品マスタ!$B$6:$B$1005,0)),"")</f>
        <v/>
      </c>
      <c r="I823" s="69" t="str">
        <f aca="false">IFERROR(INDEX(商品マスタ!$F$6:$F$1005,MATCH($F823,商品マスタ!$B$6:$B$1005,0)),"")</f>
        <v/>
      </c>
      <c r="J823" s="69" t="str">
        <f aca="false">IF(OR($F823="",$C823&lt;&gt;'設定（最初に1回）'!$C$4),"",IFERROR(INDEX(発注計算!$Y$6:$Y$405,MATCH($F823,発注計算!$C$6:$C$405,0)),""))</f>
        <v/>
      </c>
      <c r="K823" s="70"/>
      <c r="L823" s="69" t="str">
        <f aca="false">IF($K823="","",N($K823)*N($I823))</f>
        <v/>
      </c>
      <c r="M823" s="71" t="str">
        <f aca="false">IFERROR(INDEX(商品マスタ!$G$6:$G$1005,MATCH($F823,商品マスタ!$B$6:$B$1005,0)),"")</f>
        <v/>
      </c>
      <c r="N823" s="71" t="str">
        <f aca="false">IF($K823="","",N($K823)*N($M823))</f>
        <v/>
      </c>
      <c r="O823" s="66" t="str">
        <f aca="false">IFERROR(INDEX(商品マスタ!$H$6:$H$1005,MATCH($F823,商品マスタ!$B$6:$B$1005,0)),"")</f>
        <v/>
      </c>
      <c r="P823" s="87" t="str">
        <f aca="false">IF(OR($E823="",$O823=""),"",WORKDAY($E823,$O823))</f>
        <v/>
      </c>
      <c r="Q823" s="80"/>
      <c r="R823" s="131"/>
      <c r="S823" s="69" t="n">
        <f aca="false">IF($Q823="入荷済み",N($L823),0)</f>
        <v>0</v>
      </c>
      <c r="T823" s="80"/>
      <c r="U823" s="80"/>
    </row>
    <row r="824" customFormat="false" ht="15" hidden="false" customHeight="false" outlineLevel="0" collapsed="false">
      <c r="B824" s="66" t="str">
        <f aca="false">IF(OR($E824="",$F824=""),"","PO-"&amp;TEXT($E824,"yyyymmdd")&amp;"-"&amp;TEXT(COUNTIFS($E$6:$E824,$E824,$C$6:$C824,$C824),"000"))</f>
        <v/>
      </c>
      <c r="C824" s="130"/>
      <c r="D824" s="66" t="str">
        <f aca="false">IFERROR(INDEX(定数マスタ!$C$6:$C$105,MATCH($C824,定数マスタ!$B$6:$B$105,0)),"")</f>
        <v/>
      </c>
      <c r="E824" s="131"/>
      <c r="F824" s="130"/>
      <c r="G824" s="66" t="str">
        <f aca="false">IFERROR(INDEX(商品マスタ!$C$6:$C$1005,MATCH($F824,商品マスタ!$B$6:$B$1005,0)),"")</f>
        <v/>
      </c>
      <c r="H824" s="66" t="str">
        <f aca="false">IFERROR(INDEX(商品マスタ!$E$6:$E$1005,MATCH($F824,商品マスタ!$B$6:$B$1005,0)),"")</f>
        <v/>
      </c>
      <c r="I824" s="69" t="str">
        <f aca="false">IFERROR(INDEX(商品マスタ!$F$6:$F$1005,MATCH($F824,商品マスタ!$B$6:$B$1005,0)),"")</f>
        <v/>
      </c>
      <c r="J824" s="69" t="str">
        <f aca="false">IF(OR($F824="",$C824&lt;&gt;'設定（最初に1回）'!$C$4),"",IFERROR(INDEX(発注計算!$Y$6:$Y$405,MATCH($F824,発注計算!$C$6:$C$405,0)),""))</f>
        <v/>
      </c>
      <c r="K824" s="70"/>
      <c r="L824" s="69" t="str">
        <f aca="false">IF($K824="","",N($K824)*N($I824))</f>
        <v/>
      </c>
      <c r="M824" s="71" t="str">
        <f aca="false">IFERROR(INDEX(商品マスタ!$G$6:$G$1005,MATCH($F824,商品マスタ!$B$6:$B$1005,0)),"")</f>
        <v/>
      </c>
      <c r="N824" s="71" t="str">
        <f aca="false">IF($K824="","",N($K824)*N($M824))</f>
        <v/>
      </c>
      <c r="O824" s="66" t="str">
        <f aca="false">IFERROR(INDEX(商品マスタ!$H$6:$H$1005,MATCH($F824,商品マスタ!$B$6:$B$1005,0)),"")</f>
        <v/>
      </c>
      <c r="P824" s="87" t="str">
        <f aca="false">IF(OR($E824="",$O824=""),"",WORKDAY($E824,$O824))</f>
        <v/>
      </c>
      <c r="Q824" s="80"/>
      <c r="R824" s="131"/>
      <c r="S824" s="69" t="n">
        <f aca="false">IF($Q824="入荷済み",N($L824),0)</f>
        <v>0</v>
      </c>
      <c r="T824" s="80"/>
      <c r="U824" s="80"/>
    </row>
    <row r="825" customFormat="false" ht="15" hidden="false" customHeight="false" outlineLevel="0" collapsed="false">
      <c r="B825" s="66" t="str">
        <f aca="false">IF(OR($E825="",$F825=""),"","PO-"&amp;TEXT($E825,"yyyymmdd")&amp;"-"&amp;TEXT(COUNTIFS($E$6:$E825,$E825,$C$6:$C825,$C825),"000"))</f>
        <v/>
      </c>
      <c r="C825" s="130"/>
      <c r="D825" s="66" t="str">
        <f aca="false">IFERROR(INDEX(定数マスタ!$C$6:$C$105,MATCH($C825,定数マスタ!$B$6:$B$105,0)),"")</f>
        <v/>
      </c>
      <c r="E825" s="131"/>
      <c r="F825" s="130"/>
      <c r="G825" s="66" t="str">
        <f aca="false">IFERROR(INDEX(商品マスタ!$C$6:$C$1005,MATCH($F825,商品マスタ!$B$6:$B$1005,0)),"")</f>
        <v/>
      </c>
      <c r="H825" s="66" t="str">
        <f aca="false">IFERROR(INDEX(商品マスタ!$E$6:$E$1005,MATCH($F825,商品マスタ!$B$6:$B$1005,0)),"")</f>
        <v/>
      </c>
      <c r="I825" s="69" t="str">
        <f aca="false">IFERROR(INDEX(商品マスタ!$F$6:$F$1005,MATCH($F825,商品マスタ!$B$6:$B$1005,0)),"")</f>
        <v/>
      </c>
      <c r="J825" s="69" t="str">
        <f aca="false">IF(OR($F825="",$C825&lt;&gt;'設定（最初に1回）'!$C$4),"",IFERROR(INDEX(発注計算!$Y$6:$Y$405,MATCH($F825,発注計算!$C$6:$C$405,0)),""))</f>
        <v/>
      </c>
      <c r="K825" s="70"/>
      <c r="L825" s="69" t="str">
        <f aca="false">IF($K825="","",N($K825)*N($I825))</f>
        <v/>
      </c>
      <c r="M825" s="71" t="str">
        <f aca="false">IFERROR(INDEX(商品マスタ!$G$6:$G$1005,MATCH($F825,商品マスタ!$B$6:$B$1005,0)),"")</f>
        <v/>
      </c>
      <c r="N825" s="71" t="str">
        <f aca="false">IF($K825="","",N($K825)*N($M825))</f>
        <v/>
      </c>
      <c r="O825" s="66" t="str">
        <f aca="false">IFERROR(INDEX(商品マスタ!$H$6:$H$1005,MATCH($F825,商品マスタ!$B$6:$B$1005,0)),"")</f>
        <v/>
      </c>
      <c r="P825" s="87" t="str">
        <f aca="false">IF(OR($E825="",$O825=""),"",WORKDAY($E825,$O825))</f>
        <v/>
      </c>
      <c r="Q825" s="80"/>
      <c r="R825" s="131"/>
      <c r="S825" s="69" t="n">
        <f aca="false">IF($Q825="入荷済み",N($L825),0)</f>
        <v>0</v>
      </c>
      <c r="T825" s="80"/>
      <c r="U825" s="80"/>
    </row>
    <row r="826" customFormat="false" ht="15" hidden="false" customHeight="false" outlineLevel="0" collapsed="false">
      <c r="B826" s="66" t="str">
        <f aca="false">IF(OR($E826="",$F826=""),"","PO-"&amp;TEXT($E826,"yyyymmdd")&amp;"-"&amp;TEXT(COUNTIFS($E$6:$E826,$E826,$C$6:$C826,$C826),"000"))</f>
        <v/>
      </c>
      <c r="C826" s="130"/>
      <c r="D826" s="66" t="str">
        <f aca="false">IFERROR(INDEX(定数マスタ!$C$6:$C$105,MATCH($C826,定数マスタ!$B$6:$B$105,0)),"")</f>
        <v/>
      </c>
      <c r="E826" s="131"/>
      <c r="F826" s="130"/>
      <c r="G826" s="66" t="str">
        <f aca="false">IFERROR(INDEX(商品マスタ!$C$6:$C$1005,MATCH($F826,商品マスタ!$B$6:$B$1005,0)),"")</f>
        <v/>
      </c>
      <c r="H826" s="66" t="str">
        <f aca="false">IFERROR(INDEX(商品マスタ!$E$6:$E$1005,MATCH($F826,商品マスタ!$B$6:$B$1005,0)),"")</f>
        <v/>
      </c>
      <c r="I826" s="69" t="str">
        <f aca="false">IFERROR(INDEX(商品マスタ!$F$6:$F$1005,MATCH($F826,商品マスタ!$B$6:$B$1005,0)),"")</f>
        <v/>
      </c>
      <c r="J826" s="69" t="str">
        <f aca="false">IF(OR($F826="",$C826&lt;&gt;'設定（最初に1回）'!$C$4),"",IFERROR(INDEX(発注計算!$Y$6:$Y$405,MATCH($F826,発注計算!$C$6:$C$405,0)),""))</f>
        <v/>
      </c>
      <c r="K826" s="70"/>
      <c r="L826" s="69" t="str">
        <f aca="false">IF($K826="","",N($K826)*N($I826))</f>
        <v/>
      </c>
      <c r="M826" s="71" t="str">
        <f aca="false">IFERROR(INDEX(商品マスタ!$G$6:$G$1005,MATCH($F826,商品マスタ!$B$6:$B$1005,0)),"")</f>
        <v/>
      </c>
      <c r="N826" s="71" t="str">
        <f aca="false">IF($K826="","",N($K826)*N($M826))</f>
        <v/>
      </c>
      <c r="O826" s="66" t="str">
        <f aca="false">IFERROR(INDEX(商品マスタ!$H$6:$H$1005,MATCH($F826,商品マスタ!$B$6:$B$1005,0)),"")</f>
        <v/>
      </c>
      <c r="P826" s="87" t="str">
        <f aca="false">IF(OR($E826="",$O826=""),"",WORKDAY($E826,$O826))</f>
        <v/>
      </c>
      <c r="Q826" s="80"/>
      <c r="R826" s="131"/>
      <c r="S826" s="69" t="n">
        <f aca="false">IF($Q826="入荷済み",N($L826),0)</f>
        <v>0</v>
      </c>
      <c r="T826" s="80"/>
      <c r="U826" s="80"/>
    </row>
    <row r="827" customFormat="false" ht="15" hidden="false" customHeight="false" outlineLevel="0" collapsed="false">
      <c r="B827" s="66" t="str">
        <f aca="false">IF(OR($E827="",$F827=""),"","PO-"&amp;TEXT($E827,"yyyymmdd")&amp;"-"&amp;TEXT(COUNTIFS($E$6:$E827,$E827,$C$6:$C827,$C827),"000"))</f>
        <v/>
      </c>
      <c r="C827" s="130"/>
      <c r="D827" s="66" t="str">
        <f aca="false">IFERROR(INDEX(定数マスタ!$C$6:$C$105,MATCH($C827,定数マスタ!$B$6:$B$105,0)),"")</f>
        <v/>
      </c>
      <c r="E827" s="131"/>
      <c r="F827" s="130"/>
      <c r="G827" s="66" t="str">
        <f aca="false">IFERROR(INDEX(商品マスタ!$C$6:$C$1005,MATCH($F827,商品マスタ!$B$6:$B$1005,0)),"")</f>
        <v/>
      </c>
      <c r="H827" s="66" t="str">
        <f aca="false">IFERROR(INDEX(商品マスタ!$E$6:$E$1005,MATCH($F827,商品マスタ!$B$6:$B$1005,0)),"")</f>
        <v/>
      </c>
      <c r="I827" s="69" t="str">
        <f aca="false">IFERROR(INDEX(商品マスタ!$F$6:$F$1005,MATCH($F827,商品マスタ!$B$6:$B$1005,0)),"")</f>
        <v/>
      </c>
      <c r="J827" s="69" t="str">
        <f aca="false">IF(OR($F827="",$C827&lt;&gt;'設定（最初に1回）'!$C$4),"",IFERROR(INDEX(発注計算!$Y$6:$Y$405,MATCH($F827,発注計算!$C$6:$C$405,0)),""))</f>
        <v/>
      </c>
      <c r="K827" s="70"/>
      <c r="L827" s="69" t="str">
        <f aca="false">IF($K827="","",N($K827)*N($I827))</f>
        <v/>
      </c>
      <c r="M827" s="71" t="str">
        <f aca="false">IFERROR(INDEX(商品マスタ!$G$6:$G$1005,MATCH($F827,商品マスタ!$B$6:$B$1005,0)),"")</f>
        <v/>
      </c>
      <c r="N827" s="71" t="str">
        <f aca="false">IF($K827="","",N($K827)*N($M827))</f>
        <v/>
      </c>
      <c r="O827" s="66" t="str">
        <f aca="false">IFERROR(INDEX(商品マスタ!$H$6:$H$1005,MATCH($F827,商品マスタ!$B$6:$B$1005,0)),"")</f>
        <v/>
      </c>
      <c r="P827" s="87" t="str">
        <f aca="false">IF(OR($E827="",$O827=""),"",WORKDAY($E827,$O827))</f>
        <v/>
      </c>
      <c r="Q827" s="80"/>
      <c r="R827" s="131"/>
      <c r="S827" s="69" t="n">
        <f aca="false">IF($Q827="入荷済み",N($L827),0)</f>
        <v>0</v>
      </c>
      <c r="T827" s="80"/>
      <c r="U827" s="80"/>
    </row>
    <row r="828" customFormat="false" ht="15" hidden="false" customHeight="false" outlineLevel="0" collapsed="false">
      <c r="B828" s="66" t="str">
        <f aca="false">IF(OR($E828="",$F828=""),"","PO-"&amp;TEXT($E828,"yyyymmdd")&amp;"-"&amp;TEXT(COUNTIFS($E$6:$E828,$E828,$C$6:$C828,$C828),"000"))</f>
        <v/>
      </c>
      <c r="C828" s="130"/>
      <c r="D828" s="66" t="str">
        <f aca="false">IFERROR(INDEX(定数マスタ!$C$6:$C$105,MATCH($C828,定数マスタ!$B$6:$B$105,0)),"")</f>
        <v/>
      </c>
      <c r="E828" s="131"/>
      <c r="F828" s="130"/>
      <c r="G828" s="66" t="str">
        <f aca="false">IFERROR(INDEX(商品マスタ!$C$6:$C$1005,MATCH($F828,商品マスタ!$B$6:$B$1005,0)),"")</f>
        <v/>
      </c>
      <c r="H828" s="66" t="str">
        <f aca="false">IFERROR(INDEX(商品マスタ!$E$6:$E$1005,MATCH($F828,商品マスタ!$B$6:$B$1005,0)),"")</f>
        <v/>
      </c>
      <c r="I828" s="69" t="str">
        <f aca="false">IFERROR(INDEX(商品マスタ!$F$6:$F$1005,MATCH($F828,商品マスタ!$B$6:$B$1005,0)),"")</f>
        <v/>
      </c>
      <c r="J828" s="69" t="str">
        <f aca="false">IF(OR($F828="",$C828&lt;&gt;'設定（最初に1回）'!$C$4),"",IFERROR(INDEX(発注計算!$Y$6:$Y$405,MATCH($F828,発注計算!$C$6:$C$405,0)),""))</f>
        <v/>
      </c>
      <c r="K828" s="70"/>
      <c r="L828" s="69" t="str">
        <f aca="false">IF($K828="","",N($K828)*N($I828))</f>
        <v/>
      </c>
      <c r="M828" s="71" t="str">
        <f aca="false">IFERROR(INDEX(商品マスタ!$G$6:$G$1005,MATCH($F828,商品マスタ!$B$6:$B$1005,0)),"")</f>
        <v/>
      </c>
      <c r="N828" s="71" t="str">
        <f aca="false">IF($K828="","",N($K828)*N($M828))</f>
        <v/>
      </c>
      <c r="O828" s="66" t="str">
        <f aca="false">IFERROR(INDEX(商品マスタ!$H$6:$H$1005,MATCH($F828,商品マスタ!$B$6:$B$1005,0)),"")</f>
        <v/>
      </c>
      <c r="P828" s="87" t="str">
        <f aca="false">IF(OR($E828="",$O828=""),"",WORKDAY($E828,$O828))</f>
        <v/>
      </c>
      <c r="Q828" s="80"/>
      <c r="R828" s="131"/>
      <c r="S828" s="69" t="n">
        <f aca="false">IF($Q828="入荷済み",N($L828),0)</f>
        <v>0</v>
      </c>
      <c r="T828" s="80"/>
      <c r="U828" s="80"/>
    </row>
    <row r="829" customFormat="false" ht="15" hidden="false" customHeight="false" outlineLevel="0" collapsed="false">
      <c r="B829" s="66" t="str">
        <f aca="false">IF(OR($E829="",$F829=""),"","PO-"&amp;TEXT($E829,"yyyymmdd")&amp;"-"&amp;TEXT(COUNTIFS($E$6:$E829,$E829,$C$6:$C829,$C829),"000"))</f>
        <v/>
      </c>
      <c r="C829" s="130"/>
      <c r="D829" s="66" t="str">
        <f aca="false">IFERROR(INDEX(定数マスタ!$C$6:$C$105,MATCH($C829,定数マスタ!$B$6:$B$105,0)),"")</f>
        <v/>
      </c>
      <c r="E829" s="131"/>
      <c r="F829" s="130"/>
      <c r="G829" s="66" t="str">
        <f aca="false">IFERROR(INDEX(商品マスタ!$C$6:$C$1005,MATCH($F829,商品マスタ!$B$6:$B$1005,0)),"")</f>
        <v/>
      </c>
      <c r="H829" s="66" t="str">
        <f aca="false">IFERROR(INDEX(商品マスタ!$E$6:$E$1005,MATCH($F829,商品マスタ!$B$6:$B$1005,0)),"")</f>
        <v/>
      </c>
      <c r="I829" s="69" t="str">
        <f aca="false">IFERROR(INDEX(商品マスタ!$F$6:$F$1005,MATCH($F829,商品マスタ!$B$6:$B$1005,0)),"")</f>
        <v/>
      </c>
      <c r="J829" s="69" t="str">
        <f aca="false">IF(OR($F829="",$C829&lt;&gt;'設定（最初に1回）'!$C$4),"",IFERROR(INDEX(発注計算!$Y$6:$Y$405,MATCH($F829,発注計算!$C$6:$C$405,0)),""))</f>
        <v/>
      </c>
      <c r="K829" s="70"/>
      <c r="L829" s="69" t="str">
        <f aca="false">IF($K829="","",N($K829)*N($I829))</f>
        <v/>
      </c>
      <c r="M829" s="71" t="str">
        <f aca="false">IFERROR(INDEX(商品マスタ!$G$6:$G$1005,MATCH($F829,商品マスタ!$B$6:$B$1005,0)),"")</f>
        <v/>
      </c>
      <c r="N829" s="71" t="str">
        <f aca="false">IF($K829="","",N($K829)*N($M829))</f>
        <v/>
      </c>
      <c r="O829" s="66" t="str">
        <f aca="false">IFERROR(INDEX(商品マスタ!$H$6:$H$1005,MATCH($F829,商品マスタ!$B$6:$B$1005,0)),"")</f>
        <v/>
      </c>
      <c r="P829" s="87" t="str">
        <f aca="false">IF(OR($E829="",$O829=""),"",WORKDAY($E829,$O829))</f>
        <v/>
      </c>
      <c r="Q829" s="80"/>
      <c r="R829" s="131"/>
      <c r="S829" s="69" t="n">
        <f aca="false">IF($Q829="入荷済み",N($L829),0)</f>
        <v>0</v>
      </c>
      <c r="T829" s="80"/>
      <c r="U829" s="80"/>
    </row>
    <row r="830" customFormat="false" ht="15" hidden="false" customHeight="false" outlineLevel="0" collapsed="false">
      <c r="B830" s="66" t="str">
        <f aca="false">IF(OR($E830="",$F830=""),"","PO-"&amp;TEXT($E830,"yyyymmdd")&amp;"-"&amp;TEXT(COUNTIFS($E$6:$E830,$E830,$C$6:$C830,$C830),"000"))</f>
        <v/>
      </c>
      <c r="C830" s="130"/>
      <c r="D830" s="66" t="str">
        <f aca="false">IFERROR(INDEX(定数マスタ!$C$6:$C$105,MATCH($C830,定数マスタ!$B$6:$B$105,0)),"")</f>
        <v/>
      </c>
      <c r="E830" s="131"/>
      <c r="F830" s="130"/>
      <c r="G830" s="66" t="str">
        <f aca="false">IFERROR(INDEX(商品マスタ!$C$6:$C$1005,MATCH($F830,商品マスタ!$B$6:$B$1005,0)),"")</f>
        <v/>
      </c>
      <c r="H830" s="66" t="str">
        <f aca="false">IFERROR(INDEX(商品マスタ!$E$6:$E$1005,MATCH($F830,商品マスタ!$B$6:$B$1005,0)),"")</f>
        <v/>
      </c>
      <c r="I830" s="69" t="str">
        <f aca="false">IFERROR(INDEX(商品マスタ!$F$6:$F$1005,MATCH($F830,商品マスタ!$B$6:$B$1005,0)),"")</f>
        <v/>
      </c>
      <c r="J830" s="69" t="str">
        <f aca="false">IF(OR($F830="",$C830&lt;&gt;'設定（最初に1回）'!$C$4),"",IFERROR(INDEX(発注計算!$Y$6:$Y$405,MATCH($F830,発注計算!$C$6:$C$405,0)),""))</f>
        <v/>
      </c>
      <c r="K830" s="70"/>
      <c r="L830" s="69" t="str">
        <f aca="false">IF($K830="","",N($K830)*N($I830))</f>
        <v/>
      </c>
      <c r="M830" s="71" t="str">
        <f aca="false">IFERROR(INDEX(商品マスタ!$G$6:$G$1005,MATCH($F830,商品マスタ!$B$6:$B$1005,0)),"")</f>
        <v/>
      </c>
      <c r="N830" s="71" t="str">
        <f aca="false">IF($K830="","",N($K830)*N($M830))</f>
        <v/>
      </c>
      <c r="O830" s="66" t="str">
        <f aca="false">IFERROR(INDEX(商品マスタ!$H$6:$H$1005,MATCH($F830,商品マスタ!$B$6:$B$1005,0)),"")</f>
        <v/>
      </c>
      <c r="P830" s="87" t="str">
        <f aca="false">IF(OR($E830="",$O830=""),"",WORKDAY($E830,$O830))</f>
        <v/>
      </c>
      <c r="Q830" s="80"/>
      <c r="R830" s="131"/>
      <c r="S830" s="69" t="n">
        <f aca="false">IF($Q830="入荷済み",N($L830),0)</f>
        <v>0</v>
      </c>
      <c r="T830" s="80"/>
      <c r="U830" s="80"/>
    </row>
    <row r="831" customFormat="false" ht="15" hidden="false" customHeight="false" outlineLevel="0" collapsed="false">
      <c r="B831" s="66" t="str">
        <f aca="false">IF(OR($E831="",$F831=""),"","PO-"&amp;TEXT($E831,"yyyymmdd")&amp;"-"&amp;TEXT(COUNTIFS($E$6:$E831,$E831,$C$6:$C831,$C831),"000"))</f>
        <v/>
      </c>
      <c r="C831" s="130"/>
      <c r="D831" s="66" t="str">
        <f aca="false">IFERROR(INDEX(定数マスタ!$C$6:$C$105,MATCH($C831,定数マスタ!$B$6:$B$105,0)),"")</f>
        <v/>
      </c>
      <c r="E831" s="131"/>
      <c r="F831" s="130"/>
      <c r="G831" s="66" t="str">
        <f aca="false">IFERROR(INDEX(商品マスタ!$C$6:$C$1005,MATCH($F831,商品マスタ!$B$6:$B$1005,0)),"")</f>
        <v/>
      </c>
      <c r="H831" s="66" t="str">
        <f aca="false">IFERROR(INDEX(商品マスタ!$E$6:$E$1005,MATCH($F831,商品マスタ!$B$6:$B$1005,0)),"")</f>
        <v/>
      </c>
      <c r="I831" s="69" t="str">
        <f aca="false">IFERROR(INDEX(商品マスタ!$F$6:$F$1005,MATCH($F831,商品マスタ!$B$6:$B$1005,0)),"")</f>
        <v/>
      </c>
      <c r="J831" s="69" t="str">
        <f aca="false">IF(OR($F831="",$C831&lt;&gt;'設定（最初に1回）'!$C$4),"",IFERROR(INDEX(発注計算!$Y$6:$Y$405,MATCH($F831,発注計算!$C$6:$C$405,0)),""))</f>
        <v/>
      </c>
      <c r="K831" s="70"/>
      <c r="L831" s="69" t="str">
        <f aca="false">IF($K831="","",N($K831)*N($I831))</f>
        <v/>
      </c>
      <c r="M831" s="71" t="str">
        <f aca="false">IFERROR(INDEX(商品マスタ!$G$6:$G$1005,MATCH($F831,商品マスタ!$B$6:$B$1005,0)),"")</f>
        <v/>
      </c>
      <c r="N831" s="71" t="str">
        <f aca="false">IF($K831="","",N($K831)*N($M831))</f>
        <v/>
      </c>
      <c r="O831" s="66" t="str">
        <f aca="false">IFERROR(INDEX(商品マスタ!$H$6:$H$1005,MATCH($F831,商品マスタ!$B$6:$B$1005,0)),"")</f>
        <v/>
      </c>
      <c r="P831" s="87" t="str">
        <f aca="false">IF(OR($E831="",$O831=""),"",WORKDAY($E831,$O831))</f>
        <v/>
      </c>
      <c r="Q831" s="80"/>
      <c r="R831" s="131"/>
      <c r="S831" s="69" t="n">
        <f aca="false">IF($Q831="入荷済み",N($L831),0)</f>
        <v>0</v>
      </c>
      <c r="T831" s="80"/>
      <c r="U831" s="80"/>
    </row>
    <row r="832" customFormat="false" ht="15" hidden="false" customHeight="false" outlineLevel="0" collapsed="false">
      <c r="B832" s="66" t="str">
        <f aca="false">IF(OR($E832="",$F832=""),"","PO-"&amp;TEXT($E832,"yyyymmdd")&amp;"-"&amp;TEXT(COUNTIFS($E$6:$E832,$E832,$C$6:$C832,$C832),"000"))</f>
        <v/>
      </c>
      <c r="C832" s="130"/>
      <c r="D832" s="66" t="str">
        <f aca="false">IFERROR(INDEX(定数マスタ!$C$6:$C$105,MATCH($C832,定数マスタ!$B$6:$B$105,0)),"")</f>
        <v/>
      </c>
      <c r="E832" s="131"/>
      <c r="F832" s="130"/>
      <c r="G832" s="66" t="str">
        <f aca="false">IFERROR(INDEX(商品マスタ!$C$6:$C$1005,MATCH($F832,商品マスタ!$B$6:$B$1005,0)),"")</f>
        <v/>
      </c>
      <c r="H832" s="66" t="str">
        <f aca="false">IFERROR(INDEX(商品マスタ!$E$6:$E$1005,MATCH($F832,商品マスタ!$B$6:$B$1005,0)),"")</f>
        <v/>
      </c>
      <c r="I832" s="69" t="str">
        <f aca="false">IFERROR(INDEX(商品マスタ!$F$6:$F$1005,MATCH($F832,商品マスタ!$B$6:$B$1005,0)),"")</f>
        <v/>
      </c>
      <c r="J832" s="69" t="str">
        <f aca="false">IF(OR($F832="",$C832&lt;&gt;'設定（最初に1回）'!$C$4),"",IFERROR(INDEX(発注計算!$Y$6:$Y$405,MATCH($F832,発注計算!$C$6:$C$405,0)),""))</f>
        <v/>
      </c>
      <c r="K832" s="70"/>
      <c r="L832" s="69" t="str">
        <f aca="false">IF($K832="","",N($K832)*N($I832))</f>
        <v/>
      </c>
      <c r="M832" s="71" t="str">
        <f aca="false">IFERROR(INDEX(商品マスタ!$G$6:$G$1005,MATCH($F832,商品マスタ!$B$6:$B$1005,0)),"")</f>
        <v/>
      </c>
      <c r="N832" s="71" t="str">
        <f aca="false">IF($K832="","",N($K832)*N($M832))</f>
        <v/>
      </c>
      <c r="O832" s="66" t="str">
        <f aca="false">IFERROR(INDEX(商品マスタ!$H$6:$H$1005,MATCH($F832,商品マスタ!$B$6:$B$1005,0)),"")</f>
        <v/>
      </c>
      <c r="P832" s="87" t="str">
        <f aca="false">IF(OR($E832="",$O832=""),"",WORKDAY($E832,$O832))</f>
        <v/>
      </c>
      <c r="Q832" s="80"/>
      <c r="R832" s="131"/>
      <c r="S832" s="69" t="n">
        <f aca="false">IF($Q832="入荷済み",N($L832),0)</f>
        <v>0</v>
      </c>
      <c r="T832" s="80"/>
      <c r="U832" s="80"/>
    </row>
    <row r="833" customFormat="false" ht="15" hidden="false" customHeight="false" outlineLevel="0" collapsed="false">
      <c r="B833" s="66" t="str">
        <f aca="false">IF(OR($E833="",$F833=""),"","PO-"&amp;TEXT($E833,"yyyymmdd")&amp;"-"&amp;TEXT(COUNTIFS($E$6:$E833,$E833,$C$6:$C833,$C833),"000"))</f>
        <v/>
      </c>
      <c r="C833" s="130"/>
      <c r="D833" s="66" t="str">
        <f aca="false">IFERROR(INDEX(定数マスタ!$C$6:$C$105,MATCH($C833,定数マスタ!$B$6:$B$105,0)),"")</f>
        <v/>
      </c>
      <c r="E833" s="131"/>
      <c r="F833" s="130"/>
      <c r="G833" s="66" t="str">
        <f aca="false">IFERROR(INDEX(商品マスタ!$C$6:$C$1005,MATCH($F833,商品マスタ!$B$6:$B$1005,0)),"")</f>
        <v/>
      </c>
      <c r="H833" s="66" t="str">
        <f aca="false">IFERROR(INDEX(商品マスタ!$E$6:$E$1005,MATCH($F833,商品マスタ!$B$6:$B$1005,0)),"")</f>
        <v/>
      </c>
      <c r="I833" s="69" t="str">
        <f aca="false">IFERROR(INDEX(商品マスタ!$F$6:$F$1005,MATCH($F833,商品マスタ!$B$6:$B$1005,0)),"")</f>
        <v/>
      </c>
      <c r="J833" s="69" t="str">
        <f aca="false">IF(OR($F833="",$C833&lt;&gt;'設定（最初に1回）'!$C$4),"",IFERROR(INDEX(発注計算!$Y$6:$Y$405,MATCH($F833,発注計算!$C$6:$C$405,0)),""))</f>
        <v/>
      </c>
      <c r="K833" s="70"/>
      <c r="L833" s="69" t="str">
        <f aca="false">IF($K833="","",N($K833)*N($I833))</f>
        <v/>
      </c>
      <c r="M833" s="71" t="str">
        <f aca="false">IFERROR(INDEX(商品マスタ!$G$6:$G$1005,MATCH($F833,商品マスタ!$B$6:$B$1005,0)),"")</f>
        <v/>
      </c>
      <c r="N833" s="71" t="str">
        <f aca="false">IF($K833="","",N($K833)*N($M833))</f>
        <v/>
      </c>
      <c r="O833" s="66" t="str">
        <f aca="false">IFERROR(INDEX(商品マスタ!$H$6:$H$1005,MATCH($F833,商品マスタ!$B$6:$B$1005,0)),"")</f>
        <v/>
      </c>
      <c r="P833" s="87" t="str">
        <f aca="false">IF(OR($E833="",$O833=""),"",WORKDAY($E833,$O833))</f>
        <v/>
      </c>
      <c r="Q833" s="80"/>
      <c r="R833" s="131"/>
      <c r="S833" s="69" t="n">
        <f aca="false">IF($Q833="入荷済み",N($L833),0)</f>
        <v>0</v>
      </c>
      <c r="T833" s="80"/>
      <c r="U833" s="80"/>
    </row>
    <row r="834" customFormat="false" ht="15" hidden="false" customHeight="false" outlineLevel="0" collapsed="false">
      <c r="B834" s="66" t="str">
        <f aca="false">IF(OR($E834="",$F834=""),"","PO-"&amp;TEXT($E834,"yyyymmdd")&amp;"-"&amp;TEXT(COUNTIFS($E$6:$E834,$E834,$C$6:$C834,$C834),"000"))</f>
        <v/>
      </c>
      <c r="C834" s="130"/>
      <c r="D834" s="66" t="str">
        <f aca="false">IFERROR(INDEX(定数マスタ!$C$6:$C$105,MATCH($C834,定数マスタ!$B$6:$B$105,0)),"")</f>
        <v/>
      </c>
      <c r="E834" s="131"/>
      <c r="F834" s="130"/>
      <c r="G834" s="66" t="str">
        <f aca="false">IFERROR(INDEX(商品マスタ!$C$6:$C$1005,MATCH($F834,商品マスタ!$B$6:$B$1005,0)),"")</f>
        <v/>
      </c>
      <c r="H834" s="66" t="str">
        <f aca="false">IFERROR(INDEX(商品マスタ!$E$6:$E$1005,MATCH($F834,商品マスタ!$B$6:$B$1005,0)),"")</f>
        <v/>
      </c>
      <c r="I834" s="69" t="str">
        <f aca="false">IFERROR(INDEX(商品マスタ!$F$6:$F$1005,MATCH($F834,商品マスタ!$B$6:$B$1005,0)),"")</f>
        <v/>
      </c>
      <c r="J834" s="69" t="str">
        <f aca="false">IF(OR($F834="",$C834&lt;&gt;'設定（最初に1回）'!$C$4),"",IFERROR(INDEX(発注計算!$Y$6:$Y$405,MATCH($F834,発注計算!$C$6:$C$405,0)),""))</f>
        <v/>
      </c>
      <c r="K834" s="70"/>
      <c r="L834" s="69" t="str">
        <f aca="false">IF($K834="","",N($K834)*N($I834))</f>
        <v/>
      </c>
      <c r="M834" s="71" t="str">
        <f aca="false">IFERROR(INDEX(商品マスタ!$G$6:$G$1005,MATCH($F834,商品マスタ!$B$6:$B$1005,0)),"")</f>
        <v/>
      </c>
      <c r="N834" s="71" t="str">
        <f aca="false">IF($K834="","",N($K834)*N($M834))</f>
        <v/>
      </c>
      <c r="O834" s="66" t="str">
        <f aca="false">IFERROR(INDEX(商品マスタ!$H$6:$H$1005,MATCH($F834,商品マスタ!$B$6:$B$1005,0)),"")</f>
        <v/>
      </c>
      <c r="P834" s="87" t="str">
        <f aca="false">IF(OR($E834="",$O834=""),"",WORKDAY($E834,$O834))</f>
        <v/>
      </c>
      <c r="Q834" s="80"/>
      <c r="R834" s="131"/>
      <c r="S834" s="69" t="n">
        <f aca="false">IF($Q834="入荷済み",N($L834),0)</f>
        <v>0</v>
      </c>
      <c r="T834" s="80"/>
      <c r="U834" s="80"/>
    </row>
    <row r="835" customFormat="false" ht="15" hidden="false" customHeight="false" outlineLevel="0" collapsed="false">
      <c r="B835" s="66" t="str">
        <f aca="false">IF(OR($E835="",$F835=""),"","PO-"&amp;TEXT($E835,"yyyymmdd")&amp;"-"&amp;TEXT(COUNTIFS($E$6:$E835,$E835,$C$6:$C835,$C835),"000"))</f>
        <v/>
      </c>
      <c r="C835" s="130"/>
      <c r="D835" s="66" t="str">
        <f aca="false">IFERROR(INDEX(定数マスタ!$C$6:$C$105,MATCH($C835,定数マスタ!$B$6:$B$105,0)),"")</f>
        <v/>
      </c>
      <c r="E835" s="131"/>
      <c r="F835" s="130"/>
      <c r="G835" s="66" t="str">
        <f aca="false">IFERROR(INDEX(商品マスタ!$C$6:$C$1005,MATCH($F835,商品マスタ!$B$6:$B$1005,0)),"")</f>
        <v/>
      </c>
      <c r="H835" s="66" t="str">
        <f aca="false">IFERROR(INDEX(商品マスタ!$E$6:$E$1005,MATCH($F835,商品マスタ!$B$6:$B$1005,0)),"")</f>
        <v/>
      </c>
      <c r="I835" s="69" t="str">
        <f aca="false">IFERROR(INDEX(商品マスタ!$F$6:$F$1005,MATCH($F835,商品マスタ!$B$6:$B$1005,0)),"")</f>
        <v/>
      </c>
      <c r="J835" s="69" t="str">
        <f aca="false">IF(OR($F835="",$C835&lt;&gt;'設定（最初に1回）'!$C$4),"",IFERROR(INDEX(発注計算!$Y$6:$Y$405,MATCH($F835,発注計算!$C$6:$C$405,0)),""))</f>
        <v/>
      </c>
      <c r="K835" s="70"/>
      <c r="L835" s="69" t="str">
        <f aca="false">IF($K835="","",N($K835)*N($I835))</f>
        <v/>
      </c>
      <c r="M835" s="71" t="str">
        <f aca="false">IFERROR(INDEX(商品マスタ!$G$6:$G$1005,MATCH($F835,商品マスタ!$B$6:$B$1005,0)),"")</f>
        <v/>
      </c>
      <c r="N835" s="71" t="str">
        <f aca="false">IF($K835="","",N($K835)*N($M835))</f>
        <v/>
      </c>
      <c r="O835" s="66" t="str">
        <f aca="false">IFERROR(INDEX(商品マスタ!$H$6:$H$1005,MATCH($F835,商品マスタ!$B$6:$B$1005,0)),"")</f>
        <v/>
      </c>
      <c r="P835" s="87" t="str">
        <f aca="false">IF(OR($E835="",$O835=""),"",WORKDAY($E835,$O835))</f>
        <v/>
      </c>
      <c r="Q835" s="80"/>
      <c r="R835" s="131"/>
      <c r="S835" s="69" t="n">
        <f aca="false">IF($Q835="入荷済み",N($L835),0)</f>
        <v>0</v>
      </c>
      <c r="T835" s="80"/>
      <c r="U835" s="80"/>
    </row>
    <row r="836" customFormat="false" ht="15" hidden="false" customHeight="false" outlineLevel="0" collapsed="false">
      <c r="B836" s="66" t="str">
        <f aca="false">IF(OR($E836="",$F836=""),"","PO-"&amp;TEXT($E836,"yyyymmdd")&amp;"-"&amp;TEXT(COUNTIFS($E$6:$E836,$E836,$C$6:$C836,$C836),"000"))</f>
        <v/>
      </c>
      <c r="C836" s="130"/>
      <c r="D836" s="66" t="str">
        <f aca="false">IFERROR(INDEX(定数マスタ!$C$6:$C$105,MATCH($C836,定数マスタ!$B$6:$B$105,0)),"")</f>
        <v/>
      </c>
      <c r="E836" s="131"/>
      <c r="F836" s="130"/>
      <c r="G836" s="66" t="str">
        <f aca="false">IFERROR(INDEX(商品マスタ!$C$6:$C$1005,MATCH($F836,商品マスタ!$B$6:$B$1005,0)),"")</f>
        <v/>
      </c>
      <c r="H836" s="66" t="str">
        <f aca="false">IFERROR(INDEX(商品マスタ!$E$6:$E$1005,MATCH($F836,商品マスタ!$B$6:$B$1005,0)),"")</f>
        <v/>
      </c>
      <c r="I836" s="69" t="str">
        <f aca="false">IFERROR(INDEX(商品マスタ!$F$6:$F$1005,MATCH($F836,商品マスタ!$B$6:$B$1005,0)),"")</f>
        <v/>
      </c>
      <c r="J836" s="69" t="str">
        <f aca="false">IF(OR($F836="",$C836&lt;&gt;'設定（最初に1回）'!$C$4),"",IFERROR(INDEX(発注計算!$Y$6:$Y$405,MATCH($F836,発注計算!$C$6:$C$405,0)),""))</f>
        <v/>
      </c>
      <c r="K836" s="70"/>
      <c r="L836" s="69" t="str">
        <f aca="false">IF($K836="","",N($K836)*N($I836))</f>
        <v/>
      </c>
      <c r="M836" s="71" t="str">
        <f aca="false">IFERROR(INDEX(商品マスタ!$G$6:$G$1005,MATCH($F836,商品マスタ!$B$6:$B$1005,0)),"")</f>
        <v/>
      </c>
      <c r="N836" s="71" t="str">
        <f aca="false">IF($K836="","",N($K836)*N($M836))</f>
        <v/>
      </c>
      <c r="O836" s="66" t="str">
        <f aca="false">IFERROR(INDEX(商品マスタ!$H$6:$H$1005,MATCH($F836,商品マスタ!$B$6:$B$1005,0)),"")</f>
        <v/>
      </c>
      <c r="P836" s="87" t="str">
        <f aca="false">IF(OR($E836="",$O836=""),"",WORKDAY($E836,$O836))</f>
        <v/>
      </c>
      <c r="Q836" s="80"/>
      <c r="R836" s="131"/>
      <c r="S836" s="69" t="n">
        <f aca="false">IF($Q836="入荷済み",N($L836),0)</f>
        <v>0</v>
      </c>
      <c r="T836" s="80"/>
      <c r="U836" s="80"/>
    </row>
    <row r="837" customFormat="false" ht="15" hidden="false" customHeight="false" outlineLevel="0" collapsed="false">
      <c r="B837" s="66" t="str">
        <f aca="false">IF(OR($E837="",$F837=""),"","PO-"&amp;TEXT($E837,"yyyymmdd")&amp;"-"&amp;TEXT(COUNTIFS($E$6:$E837,$E837,$C$6:$C837,$C837),"000"))</f>
        <v/>
      </c>
      <c r="C837" s="130"/>
      <c r="D837" s="66" t="str">
        <f aca="false">IFERROR(INDEX(定数マスタ!$C$6:$C$105,MATCH($C837,定数マスタ!$B$6:$B$105,0)),"")</f>
        <v/>
      </c>
      <c r="E837" s="131"/>
      <c r="F837" s="130"/>
      <c r="G837" s="66" t="str">
        <f aca="false">IFERROR(INDEX(商品マスタ!$C$6:$C$1005,MATCH($F837,商品マスタ!$B$6:$B$1005,0)),"")</f>
        <v/>
      </c>
      <c r="H837" s="66" t="str">
        <f aca="false">IFERROR(INDEX(商品マスタ!$E$6:$E$1005,MATCH($F837,商品マスタ!$B$6:$B$1005,0)),"")</f>
        <v/>
      </c>
      <c r="I837" s="69" t="str">
        <f aca="false">IFERROR(INDEX(商品マスタ!$F$6:$F$1005,MATCH($F837,商品マスタ!$B$6:$B$1005,0)),"")</f>
        <v/>
      </c>
      <c r="J837" s="69" t="str">
        <f aca="false">IF(OR($F837="",$C837&lt;&gt;'設定（最初に1回）'!$C$4),"",IFERROR(INDEX(発注計算!$Y$6:$Y$405,MATCH($F837,発注計算!$C$6:$C$405,0)),""))</f>
        <v/>
      </c>
      <c r="K837" s="70"/>
      <c r="L837" s="69" t="str">
        <f aca="false">IF($K837="","",N($K837)*N($I837))</f>
        <v/>
      </c>
      <c r="M837" s="71" t="str">
        <f aca="false">IFERROR(INDEX(商品マスタ!$G$6:$G$1005,MATCH($F837,商品マスタ!$B$6:$B$1005,0)),"")</f>
        <v/>
      </c>
      <c r="N837" s="71" t="str">
        <f aca="false">IF($K837="","",N($K837)*N($M837))</f>
        <v/>
      </c>
      <c r="O837" s="66" t="str">
        <f aca="false">IFERROR(INDEX(商品マスタ!$H$6:$H$1005,MATCH($F837,商品マスタ!$B$6:$B$1005,0)),"")</f>
        <v/>
      </c>
      <c r="P837" s="87" t="str">
        <f aca="false">IF(OR($E837="",$O837=""),"",WORKDAY($E837,$O837))</f>
        <v/>
      </c>
      <c r="Q837" s="80"/>
      <c r="R837" s="131"/>
      <c r="S837" s="69" t="n">
        <f aca="false">IF($Q837="入荷済み",N($L837),0)</f>
        <v>0</v>
      </c>
      <c r="T837" s="80"/>
      <c r="U837" s="80"/>
    </row>
    <row r="838" customFormat="false" ht="15" hidden="false" customHeight="false" outlineLevel="0" collapsed="false">
      <c r="B838" s="66" t="str">
        <f aca="false">IF(OR($E838="",$F838=""),"","PO-"&amp;TEXT($E838,"yyyymmdd")&amp;"-"&amp;TEXT(COUNTIFS($E$6:$E838,$E838,$C$6:$C838,$C838),"000"))</f>
        <v/>
      </c>
      <c r="C838" s="130"/>
      <c r="D838" s="66" t="str">
        <f aca="false">IFERROR(INDEX(定数マスタ!$C$6:$C$105,MATCH($C838,定数マスタ!$B$6:$B$105,0)),"")</f>
        <v/>
      </c>
      <c r="E838" s="131"/>
      <c r="F838" s="130"/>
      <c r="G838" s="66" t="str">
        <f aca="false">IFERROR(INDEX(商品マスタ!$C$6:$C$1005,MATCH($F838,商品マスタ!$B$6:$B$1005,0)),"")</f>
        <v/>
      </c>
      <c r="H838" s="66" t="str">
        <f aca="false">IFERROR(INDEX(商品マスタ!$E$6:$E$1005,MATCH($F838,商品マスタ!$B$6:$B$1005,0)),"")</f>
        <v/>
      </c>
      <c r="I838" s="69" t="str">
        <f aca="false">IFERROR(INDEX(商品マスタ!$F$6:$F$1005,MATCH($F838,商品マスタ!$B$6:$B$1005,0)),"")</f>
        <v/>
      </c>
      <c r="J838" s="69" t="str">
        <f aca="false">IF(OR($F838="",$C838&lt;&gt;'設定（最初に1回）'!$C$4),"",IFERROR(INDEX(発注計算!$Y$6:$Y$405,MATCH($F838,発注計算!$C$6:$C$405,0)),""))</f>
        <v/>
      </c>
      <c r="K838" s="70"/>
      <c r="L838" s="69" t="str">
        <f aca="false">IF($K838="","",N($K838)*N($I838))</f>
        <v/>
      </c>
      <c r="M838" s="71" t="str">
        <f aca="false">IFERROR(INDEX(商品マスタ!$G$6:$G$1005,MATCH($F838,商品マスタ!$B$6:$B$1005,0)),"")</f>
        <v/>
      </c>
      <c r="N838" s="71" t="str">
        <f aca="false">IF($K838="","",N($K838)*N($M838))</f>
        <v/>
      </c>
      <c r="O838" s="66" t="str">
        <f aca="false">IFERROR(INDEX(商品マスタ!$H$6:$H$1005,MATCH($F838,商品マスタ!$B$6:$B$1005,0)),"")</f>
        <v/>
      </c>
      <c r="P838" s="87" t="str">
        <f aca="false">IF(OR($E838="",$O838=""),"",WORKDAY($E838,$O838))</f>
        <v/>
      </c>
      <c r="Q838" s="80"/>
      <c r="R838" s="131"/>
      <c r="S838" s="69" t="n">
        <f aca="false">IF($Q838="入荷済み",N($L838),0)</f>
        <v>0</v>
      </c>
      <c r="T838" s="80"/>
      <c r="U838" s="80"/>
    </row>
    <row r="839" customFormat="false" ht="15" hidden="false" customHeight="false" outlineLevel="0" collapsed="false">
      <c r="B839" s="66" t="str">
        <f aca="false">IF(OR($E839="",$F839=""),"","PO-"&amp;TEXT($E839,"yyyymmdd")&amp;"-"&amp;TEXT(COUNTIFS($E$6:$E839,$E839,$C$6:$C839,$C839),"000"))</f>
        <v/>
      </c>
      <c r="C839" s="130"/>
      <c r="D839" s="66" t="str">
        <f aca="false">IFERROR(INDEX(定数マスタ!$C$6:$C$105,MATCH($C839,定数マスタ!$B$6:$B$105,0)),"")</f>
        <v/>
      </c>
      <c r="E839" s="131"/>
      <c r="F839" s="130"/>
      <c r="G839" s="66" t="str">
        <f aca="false">IFERROR(INDEX(商品マスタ!$C$6:$C$1005,MATCH($F839,商品マスタ!$B$6:$B$1005,0)),"")</f>
        <v/>
      </c>
      <c r="H839" s="66" t="str">
        <f aca="false">IFERROR(INDEX(商品マスタ!$E$6:$E$1005,MATCH($F839,商品マスタ!$B$6:$B$1005,0)),"")</f>
        <v/>
      </c>
      <c r="I839" s="69" t="str">
        <f aca="false">IFERROR(INDEX(商品マスタ!$F$6:$F$1005,MATCH($F839,商品マスタ!$B$6:$B$1005,0)),"")</f>
        <v/>
      </c>
      <c r="J839" s="69" t="str">
        <f aca="false">IF(OR($F839="",$C839&lt;&gt;'設定（最初に1回）'!$C$4),"",IFERROR(INDEX(発注計算!$Y$6:$Y$405,MATCH($F839,発注計算!$C$6:$C$405,0)),""))</f>
        <v/>
      </c>
      <c r="K839" s="70"/>
      <c r="L839" s="69" t="str">
        <f aca="false">IF($K839="","",N($K839)*N($I839))</f>
        <v/>
      </c>
      <c r="M839" s="71" t="str">
        <f aca="false">IFERROR(INDEX(商品マスタ!$G$6:$G$1005,MATCH($F839,商品マスタ!$B$6:$B$1005,0)),"")</f>
        <v/>
      </c>
      <c r="N839" s="71" t="str">
        <f aca="false">IF($K839="","",N($K839)*N($M839))</f>
        <v/>
      </c>
      <c r="O839" s="66" t="str">
        <f aca="false">IFERROR(INDEX(商品マスタ!$H$6:$H$1005,MATCH($F839,商品マスタ!$B$6:$B$1005,0)),"")</f>
        <v/>
      </c>
      <c r="P839" s="87" t="str">
        <f aca="false">IF(OR($E839="",$O839=""),"",WORKDAY($E839,$O839))</f>
        <v/>
      </c>
      <c r="Q839" s="80"/>
      <c r="R839" s="131"/>
      <c r="S839" s="69" t="n">
        <f aca="false">IF($Q839="入荷済み",N($L839),0)</f>
        <v>0</v>
      </c>
      <c r="T839" s="80"/>
      <c r="U839" s="80"/>
    </row>
    <row r="840" customFormat="false" ht="15" hidden="false" customHeight="false" outlineLevel="0" collapsed="false">
      <c r="B840" s="66" t="str">
        <f aca="false">IF(OR($E840="",$F840=""),"","PO-"&amp;TEXT($E840,"yyyymmdd")&amp;"-"&amp;TEXT(COUNTIFS($E$6:$E840,$E840,$C$6:$C840,$C840),"000"))</f>
        <v/>
      </c>
      <c r="C840" s="130"/>
      <c r="D840" s="66" t="str">
        <f aca="false">IFERROR(INDEX(定数マスタ!$C$6:$C$105,MATCH($C840,定数マスタ!$B$6:$B$105,0)),"")</f>
        <v/>
      </c>
      <c r="E840" s="131"/>
      <c r="F840" s="130"/>
      <c r="G840" s="66" t="str">
        <f aca="false">IFERROR(INDEX(商品マスタ!$C$6:$C$1005,MATCH($F840,商品マスタ!$B$6:$B$1005,0)),"")</f>
        <v/>
      </c>
      <c r="H840" s="66" t="str">
        <f aca="false">IFERROR(INDEX(商品マスタ!$E$6:$E$1005,MATCH($F840,商品マスタ!$B$6:$B$1005,0)),"")</f>
        <v/>
      </c>
      <c r="I840" s="69" t="str">
        <f aca="false">IFERROR(INDEX(商品マスタ!$F$6:$F$1005,MATCH($F840,商品マスタ!$B$6:$B$1005,0)),"")</f>
        <v/>
      </c>
      <c r="J840" s="69" t="str">
        <f aca="false">IF(OR($F840="",$C840&lt;&gt;'設定（最初に1回）'!$C$4),"",IFERROR(INDEX(発注計算!$Y$6:$Y$405,MATCH($F840,発注計算!$C$6:$C$405,0)),""))</f>
        <v/>
      </c>
      <c r="K840" s="70"/>
      <c r="L840" s="69" t="str">
        <f aca="false">IF($K840="","",N($K840)*N($I840))</f>
        <v/>
      </c>
      <c r="M840" s="71" t="str">
        <f aca="false">IFERROR(INDEX(商品マスタ!$G$6:$G$1005,MATCH($F840,商品マスタ!$B$6:$B$1005,0)),"")</f>
        <v/>
      </c>
      <c r="N840" s="71" t="str">
        <f aca="false">IF($K840="","",N($K840)*N($M840))</f>
        <v/>
      </c>
      <c r="O840" s="66" t="str">
        <f aca="false">IFERROR(INDEX(商品マスタ!$H$6:$H$1005,MATCH($F840,商品マスタ!$B$6:$B$1005,0)),"")</f>
        <v/>
      </c>
      <c r="P840" s="87" t="str">
        <f aca="false">IF(OR($E840="",$O840=""),"",WORKDAY($E840,$O840))</f>
        <v/>
      </c>
      <c r="Q840" s="80"/>
      <c r="R840" s="131"/>
      <c r="S840" s="69" t="n">
        <f aca="false">IF($Q840="入荷済み",N($L840),0)</f>
        <v>0</v>
      </c>
      <c r="T840" s="80"/>
      <c r="U840" s="80"/>
    </row>
    <row r="841" customFormat="false" ht="15" hidden="false" customHeight="false" outlineLevel="0" collapsed="false">
      <c r="B841" s="66" t="str">
        <f aca="false">IF(OR($E841="",$F841=""),"","PO-"&amp;TEXT($E841,"yyyymmdd")&amp;"-"&amp;TEXT(COUNTIFS($E$6:$E841,$E841,$C$6:$C841,$C841),"000"))</f>
        <v/>
      </c>
      <c r="C841" s="130"/>
      <c r="D841" s="66" t="str">
        <f aca="false">IFERROR(INDEX(定数マスタ!$C$6:$C$105,MATCH($C841,定数マスタ!$B$6:$B$105,0)),"")</f>
        <v/>
      </c>
      <c r="E841" s="131"/>
      <c r="F841" s="130"/>
      <c r="G841" s="66" t="str">
        <f aca="false">IFERROR(INDEX(商品マスタ!$C$6:$C$1005,MATCH($F841,商品マスタ!$B$6:$B$1005,0)),"")</f>
        <v/>
      </c>
      <c r="H841" s="66" t="str">
        <f aca="false">IFERROR(INDEX(商品マスタ!$E$6:$E$1005,MATCH($F841,商品マスタ!$B$6:$B$1005,0)),"")</f>
        <v/>
      </c>
      <c r="I841" s="69" t="str">
        <f aca="false">IFERROR(INDEX(商品マスタ!$F$6:$F$1005,MATCH($F841,商品マスタ!$B$6:$B$1005,0)),"")</f>
        <v/>
      </c>
      <c r="J841" s="69" t="str">
        <f aca="false">IF(OR($F841="",$C841&lt;&gt;'設定（最初に1回）'!$C$4),"",IFERROR(INDEX(発注計算!$Y$6:$Y$405,MATCH($F841,発注計算!$C$6:$C$405,0)),""))</f>
        <v/>
      </c>
      <c r="K841" s="70"/>
      <c r="L841" s="69" t="str">
        <f aca="false">IF($K841="","",N($K841)*N($I841))</f>
        <v/>
      </c>
      <c r="M841" s="71" t="str">
        <f aca="false">IFERROR(INDEX(商品マスタ!$G$6:$G$1005,MATCH($F841,商品マスタ!$B$6:$B$1005,0)),"")</f>
        <v/>
      </c>
      <c r="N841" s="71" t="str">
        <f aca="false">IF($K841="","",N($K841)*N($M841))</f>
        <v/>
      </c>
      <c r="O841" s="66" t="str">
        <f aca="false">IFERROR(INDEX(商品マスタ!$H$6:$H$1005,MATCH($F841,商品マスタ!$B$6:$B$1005,0)),"")</f>
        <v/>
      </c>
      <c r="P841" s="87" t="str">
        <f aca="false">IF(OR($E841="",$O841=""),"",WORKDAY($E841,$O841))</f>
        <v/>
      </c>
      <c r="Q841" s="80"/>
      <c r="R841" s="131"/>
      <c r="S841" s="69" t="n">
        <f aca="false">IF($Q841="入荷済み",N($L841),0)</f>
        <v>0</v>
      </c>
      <c r="T841" s="80"/>
      <c r="U841" s="80"/>
    </row>
    <row r="842" customFormat="false" ht="15" hidden="false" customHeight="false" outlineLevel="0" collapsed="false">
      <c r="B842" s="66" t="str">
        <f aca="false">IF(OR($E842="",$F842=""),"","PO-"&amp;TEXT($E842,"yyyymmdd")&amp;"-"&amp;TEXT(COUNTIFS($E$6:$E842,$E842,$C$6:$C842,$C842),"000"))</f>
        <v/>
      </c>
      <c r="C842" s="130"/>
      <c r="D842" s="66" t="str">
        <f aca="false">IFERROR(INDEX(定数マスタ!$C$6:$C$105,MATCH($C842,定数マスタ!$B$6:$B$105,0)),"")</f>
        <v/>
      </c>
      <c r="E842" s="131"/>
      <c r="F842" s="130"/>
      <c r="G842" s="66" t="str">
        <f aca="false">IFERROR(INDEX(商品マスタ!$C$6:$C$1005,MATCH($F842,商品マスタ!$B$6:$B$1005,0)),"")</f>
        <v/>
      </c>
      <c r="H842" s="66" t="str">
        <f aca="false">IFERROR(INDEX(商品マスタ!$E$6:$E$1005,MATCH($F842,商品マスタ!$B$6:$B$1005,0)),"")</f>
        <v/>
      </c>
      <c r="I842" s="69" t="str">
        <f aca="false">IFERROR(INDEX(商品マスタ!$F$6:$F$1005,MATCH($F842,商品マスタ!$B$6:$B$1005,0)),"")</f>
        <v/>
      </c>
      <c r="J842" s="69" t="str">
        <f aca="false">IF(OR($F842="",$C842&lt;&gt;'設定（最初に1回）'!$C$4),"",IFERROR(INDEX(発注計算!$Y$6:$Y$405,MATCH($F842,発注計算!$C$6:$C$405,0)),""))</f>
        <v/>
      </c>
      <c r="K842" s="70"/>
      <c r="L842" s="69" t="str">
        <f aca="false">IF($K842="","",N($K842)*N($I842))</f>
        <v/>
      </c>
      <c r="M842" s="71" t="str">
        <f aca="false">IFERROR(INDEX(商品マスタ!$G$6:$G$1005,MATCH($F842,商品マスタ!$B$6:$B$1005,0)),"")</f>
        <v/>
      </c>
      <c r="N842" s="71" t="str">
        <f aca="false">IF($K842="","",N($K842)*N($M842))</f>
        <v/>
      </c>
      <c r="O842" s="66" t="str">
        <f aca="false">IFERROR(INDEX(商品マスタ!$H$6:$H$1005,MATCH($F842,商品マスタ!$B$6:$B$1005,0)),"")</f>
        <v/>
      </c>
      <c r="P842" s="87" t="str">
        <f aca="false">IF(OR($E842="",$O842=""),"",WORKDAY($E842,$O842))</f>
        <v/>
      </c>
      <c r="Q842" s="80"/>
      <c r="R842" s="131"/>
      <c r="S842" s="69" t="n">
        <f aca="false">IF($Q842="入荷済み",N($L842),0)</f>
        <v>0</v>
      </c>
      <c r="T842" s="80"/>
      <c r="U842" s="80"/>
    </row>
    <row r="843" customFormat="false" ht="15" hidden="false" customHeight="false" outlineLevel="0" collapsed="false">
      <c r="B843" s="66" t="str">
        <f aca="false">IF(OR($E843="",$F843=""),"","PO-"&amp;TEXT($E843,"yyyymmdd")&amp;"-"&amp;TEXT(COUNTIFS($E$6:$E843,$E843,$C$6:$C843,$C843),"000"))</f>
        <v/>
      </c>
      <c r="C843" s="130"/>
      <c r="D843" s="66" t="str">
        <f aca="false">IFERROR(INDEX(定数マスタ!$C$6:$C$105,MATCH($C843,定数マスタ!$B$6:$B$105,0)),"")</f>
        <v/>
      </c>
      <c r="E843" s="131"/>
      <c r="F843" s="130"/>
      <c r="G843" s="66" t="str">
        <f aca="false">IFERROR(INDEX(商品マスタ!$C$6:$C$1005,MATCH($F843,商品マスタ!$B$6:$B$1005,0)),"")</f>
        <v/>
      </c>
      <c r="H843" s="66" t="str">
        <f aca="false">IFERROR(INDEX(商品マスタ!$E$6:$E$1005,MATCH($F843,商品マスタ!$B$6:$B$1005,0)),"")</f>
        <v/>
      </c>
      <c r="I843" s="69" t="str">
        <f aca="false">IFERROR(INDEX(商品マスタ!$F$6:$F$1005,MATCH($F843,商品マスタ!$B$6:$B$1005,0)),"")</f>
        <v/>
      </c>
      <c r="J843" s="69" t="str">
        <f aca="false">IF(OR($F843="",$C843&lt;&gt;'設定（最初に1回）'!$C$4),"",IFERROR(INDEX(発注計算!$Y$6:$Y$405,MATCH($F843,発注計算!$C$6:$C$405,0)),""))</f>
        <v/>
      </c>
      <c r="K843" s="70"/>
      <c r="L843" s="69" t="str">
        <f aca="false">IF($K843="","",N($K843)*N($I843))</f>
        <v/>
      </c>
      <c r="M843" s="71" t="str">
        <f aca="false">IFERROR(INDEX(商品マスタ!$G$6:$G$1005,MATCH($F843,商品マスタ!$B$6:$B$1005,0)),"")</f>
        <v/>
      </c>
      <c r="N843" s="71" t="str">
        <f aca="false">IF($K843="","",N($K843)*N($M843))</f>
        <v/>
      </c>
      <c r="O843" s="66" t="str">
        <f aca="false">IFERROR(INDEX(商品マスタ!$H$6:$H$1005,MATCH($F843,商品マスタ!$B$6:$B$1005,0)),"")</f>
        <v/>
      </c>
      <c r="P843" s="87" t="str">
        <f aca="false">IF(OR($E843="",$O843=""),"",WORKDAY($E843,$O843))</f>
        <v/>
      </c>
      <c r="Q843" s="80"/>
      <c r="R843" s="131"/>
      <c r="S843" s="69" t="n">
        <f aca="false">IF($Q843="入荷済み",N($L843),0)</f>
        <v>0</v>
      </c>
      <c r="T843" s="80"/>
      <c r="U843" s="80"/>
    </row>
    <row r="844" customFormat="false" ht="15" hidden="false" customHeight="false" outlineLevel="0" collapsed="false">
      <c r="B844" s="66" t="str">
        <f aca="false">IF(OR($E844="",$F844=""),"","PO-"&amp;TEXT($E844,"yyyymmdd")&amp;"-"&amp;TEXT(COUNTIFS($E$6:$E844,$E844,$C$6:$C844,$C844),"000"))</f>
        <v/>
      </c>
      <c r="C844" s="130"/>
      <c r="D844" s="66" t="str">
        <f aca="false">IFERROR(INDEX(定数マスタ!$C$6:$C$105,MATCH($C844,定数マスタ!$B$6:$B$105,0)),"")</f>
        <v/>
      </c>
      <c r="E844" s="131"/>
      <c r="F844" s="130"/>
      <c r="G844" s="66" t="str">
        <f aca="false">IFERROR(INDEX(商品マスタ!$C$6:$C$1005,MATCH($F844,商品マスタ!$B$6:$B$1005,0)),"")</f>
        <v/>
      </c>
      <c r="H844" s="66" t="str">
        <f aca="false">IFERROR(INDEX(商品マスタ!$E$6:$E$1005,MATCH($F844,商品マスタ!$B$6:$B$1005,0)),"")</f>
        <v/>
      </c>
      <c r="I844" s="69" t="str">
        <f aca="false">IFERROR(INDEX(商品マスタ!$F$6:$F$1005,MATCH($F844,商品マスタ!$B$6:$B$1005,0)),"")</f>
        <v/>
      </c>
      <c r="J844" s="69" t="str">
        <f aca="false">IF(OR($F844="",$C844&lt;&gt;'設定（最初に1回）'!$C$4),"",IFERROR(INDEX(発注計算!$Y$6:$Y$405,MATCH($F844,発注計算!$C$6:$C$405,0)),""))</f>
        <v/>
      </c>
      <c r="K844" s="70"/>
      <c r="L844" s="69" t="str">
        <f aca="false">IF($K844="","",N($K844)*N($I844))</f>
        <v/>
      </c>
      <c r="M844" s="71" t="str">
        <f aca="false">IFERROR(INDEX(商品マスタ!$G$6:$G$1005,MATCH($F844,商品マスタ!$B$6:$B$1005,0)),"")</f>
        <v/>
      </c>
      <c r="N844" s="71" t="str">
        <f aca="false">IF($K844="","",N($K844)*N($M844))</f>
        <v/>
      </c>
      <c r="O844" s="66" t="str">
        <f aca="false">IFERROR(INDEX(商品マスタ!$H$6:$H$1005,MATCH($F844,商品マスタ!$B$6:$B$1005,0)),"")</f>
        <v/>
      </c>
      <c r="P844" s="87" t="str">
        <f aca="false">IF(OR($E844="",$O844=""),"",WORKDAY($E844,$O844))</f>
        <v/>
      </c>
      <c r="Q844" s="80"/>
      <c r="R844" s="131"/>
      <c r="S844" s="69" t="n">
        <f aca="false">IF($Q844="入荷済み",N($L844),0)</f>
        <v>0</v>
      </c>
      <c r="T844" s="80"/>
      <c r="U844" s="80"/>
    </row>
    <row r="845" customFormat="false" ht="15" hidden="false" customHeight="false" outlineLevel="0" collapsed="false">
      <c r="B845" s="66" t="str">
        <f aca="false">IF(OR($E845="",$F845=""),"","PO-"&amp;TEXT($E845,"yyyymmdd")&amp;"-"&amp;TEXT(COUNTIFS($E$6:$E845,$E845,$C$6:$C845,$C845),"000"))</f>
        <v/>
      </c>
      <c r="C845" s="130"/>
      <c r="D845" s="66" t="str">
        <f aca="false">IFERROR(INDEX(定数マスタ!$C$6:$C$105,MATCH($C845,定数マスタ!$B$6:$B$105,0)),"")</f>
        <v/>
      </c>
      <c r="E845" s="131"/>
      <c r="F845" s="130"/>
      <c r="G845" s="66" t="str">
        <f aca="false">IFERROR(INDEX(商品マスタ!$C$6:$C$1005,MATCH($F845,商品マスタ!$B$6:$B$1005,0)),"")</f>
        <v/>
      </c>
      <c r="H845" s="66" t="str">
        <f aca="false">IFERROR(INDEX(商品マスタ!$E$6:$E$1005,MATCH($F845,商品マスタ!$B$6:$B$1005,0)),"")</f>
        <v/>
      </c>
      <c r="I845" s="69" t="str">
        <f aca="false">IFERROR(INDEX(商品マスタ!$F$6:$F$1005,MATCH($F845,商品マスタ!$B$6:$B$1005,0)),"")</f>
        <v/>
      </c>
      <c r="J845" s="69" t="str">
        <f aca="false">IF(OR($F845="",$C845&lt;&gt;'設定（最初に1回）'!$C$4),"",IFERROR(INDEX(発注計算!$Y$6:$Y$405,MATCH($F845,発注計算!$C$6:$C$405,0)),""))</f>
        <v/>
      </c>
      <c r="K845" s="70"/>
      <c r="L845" s="69" t="str">
        <f aca="false">IF($K845="","",N($K845)*N($I845))</f>
        <v/>
      </c>
      <c r="M845" s="71" t="str">
        <f aca="false">IFERROR(INDEX(商品マスタ!$G$6:$G$1005,MATCH($F845,商品マスタ!$B$6:$B$1005,0)),"")</f>
        <v/>
      </c>
      <c r="N845" s="71" t="str">
        <f aca="false">IF($K845="","",N($K845)*N($M845))</f>
        <v/>
      </c>
      <c r="O845" s="66" t="str">
        <f aca="false">IFERROR(INDEX(商品マスタ!$H$6:$H$1005,MATCH($F845,商品マスタ!$B$6:$B$1005,0)),"")</f>
        <v/>
      </c>
      <c r="P845" s="87" t="str">
        <f aca="false">IF(OR($E845="",$O845=""),"",WORKDAY($E845,$O845))</f>
        <v/>
      </c>
      <c r="Q845" s="80"/>
      <c r="R845" s="131"/>
      <c r="S845" s="69" t="n">
        <f aca="false">IF($Q845="入荷済み",N($L845),0)</f>
        <v>0</v>
      </c>
      <c r="T845" s="80"/>
      <c r="U845" s="80"/>
    </row>
    <row r="846" customFormat="false" ht="15" hidden="false" customHeight="false" outlineLevel="0" collapsed="false">
      <c r="B846" s="66" t="str">
        <f aca="false">IF(OR($E846="",$F846=""),"","PO-"&amp;TEXT($E846,"yyyymmdd")&amp;"-"&amp;TEXT(COUNTIFS($E$6:$E846,$E846,$C$6:$C846,$C846),"000"))</f>
        <v/>
      </c>
      <c r="C846" s="130"/>
      <c r="D846" s="66" t="str">
        <f aca="false">IFERROR(INDEX(定数マスタ!$C$6:$C$105,MATCH($C846,定数マスタ!$B$6:$B$105,0)),"")</f>
        <v/>
      </c>
      <c r="E846" s="131"/>
      <c r="F846" s="130"/>
      <c r="G846" s="66" t="str">
        <f aca="false">IFERROR(INDEX(商品マスタ!$C$6:$C$1005,MATCH($F846,商品マスタ!$B$6:$B$1005,0)),"")</f>
        <v/>
      </c>
      <c r="H846" s="66" t="str">
        <f aca="false">IFERROR(INDEX(商品マスタ!$E$6:$E$1005,MATCH($F846,商品マスタ!$B$6:$B$1005,0)),"")</f>
        <v/>
      </c>
      <c r="I846" s="69" t="str">
        <f aca="false">IFERROR(INDEX(商品マスタ!$F$6:$F$1005,MATCH($F846,商品マスタ!$B$6:$B$1005,0)),"")</f>
        <v/>
      </c>
      <c r="J846" s="69" t="str">
        <f aca="false">IF(OR($F846="",$C846&lt;&gt;'設定（最初に1回）'!$C$4),"",IFERROR(INDEX(発注計算!$Y$6:$Y$405,MATCH($F846,発注計算!$C$6:$C$405,0)),""))</f>
        <v/>
      </c>
      <c r="K846" s="70"/>
      <c r="L846" s="69" t="str">
        <f aca="false">IF($K846="","",N($K846)*N($I846))</f>
        <v/>
      </c>
      <c r="M846" s="71" t="str">
        <f aca="false">IFERROR(INDEX(商品マスタ!$G$6:$G$1005,MATCH($F846,商品マスタ!$B$6:$B$1005,0)),"")</f>
        <v/>
      </c>
      <c r="N846" s="71" t="str">
        <f aca="false">IF($K846="","",N($K846)*N($M846))</f>
        <v/>
      </c>
      <c r="O846" s="66" t="str">
        <f aca="false">IFERROR(INDEX(商品マスタ!$H$6:$H$1005,MATCH($F846,商品マスタ!$B$6:$B$1005,0)),"")</f>
        <v/>
      </c>
      <c r="P846" s="87" t="str">
        <f aca="false">IF(OR($E846="",$O846=""),"",WORKDAY($E846,$O846))</f>
        <v/>
      </c>
      <c r="Q846" s="80"/>
      <c r="R846" s="131"/>
      <c r="S846" s="69" t="n">
        <f aca="false">IF($Q846="入荷済み",N($L846),0)</f>
        <v>0</v>
      </c>
      <c r="T846" s="80"/>
      <c r="U846" s="80"/>
    </row>
    <row r="847" customFormat="false" ht="15" hidden="false" customHeight="false" outlineLevel="0" collapsed="false">
      <c r="B847" s="66" t="str">
        <f aca="false">IF(OR($E847="",$F847=""),"","PO-"&amp;TEXT($E847,"yyyymmdd")&amp;"-"&amp;TEXT(COUNTIFS($E$6:$E847,$E847,$C$6:$C847,$C847),"000"))</f>
        <v/>
      </c>
      <c r="C847" s="130"/>
      <c r="D847" s="66" t="str">
        <f aca="false">IFERROR(INDEX(定数マスタ!$C$6:$C$105,MATCH($C847,定数マスタ!$B$6:$B$105,0)),"")</f>
        <v/>
      </c>
      <c r="E847" s="131"/>
      <c r="F847" s="130"/>
      <c r="G847" s="66" t="str">
        <f aca="false">IFERROR(INDEX(商品マスタ!$C$6:$C$1005,MATCH($F847,商品マスタ!$B$6:$B$1005,0)),"")</f>
        <v/>
      </c>
      <c r="H847" s="66" t="str">
        <f aca="false">IFERROR(INDEX(商品マスタ!$E$6:$E$1005,MATCH($F847,商品マスタ!$B$6:$B$1005,0)),"")</f>
        <v/>
      </c>
      <c r="I847" s="69" t="str">
        <f aca="false">IFERROR(INDEX(商品マスタ!$F$6:$F$1005,MATCH($F847,商品マスタ!$B$6:$B$1005,0)),"")</f>
        <v/>
      </c>
      <c r="J847" s="69" t="str">
        <f aca="false">IF(OR($F847="",$C847&lt;&gt;'設定（最初に1回）'!$C$4),"",IFERROR(INDEX(発注計算!$Y$6:$Y$405,MATCH($F847,発注計算!$C$6:$C$405,0)),""))</f>
        <v/>
      </c>
      <c r="K847" s="70"/>
      <c r="L847" s="69" t="str">
        <f aca="false">IF($K847="","",N($K847)*N($I847))</f>
        <v/>
      </c>
      <c r="M847" s="71" t="str">
        <f aca="false">IFERROR(INDEX(商品マスタ!$G$6:$G$1005,MATCH($F847,商品マスタ!$B$6:$B$1005,0)),"")</f>
        <v/>
      </c>
      <c r="N847" s="71" t="str">
        <f aca="false">IF($K847="","",N($K847)*N($M847))</f>
        <v/>
      </c>
      <c r="O847" s="66" t="str">
        <f aca="false">IFERROR(INDEX(商品マスタ!$H$6:$H$1005,MATCH($F847,商品マスタ!$B$6:$B$1005,0)),"")</f>
        <v/>
      </c>
      <c r="P847" s="87" t="str">
        <f aca="false">IF(OR($E847="",$O847=""),"",WORKDAY($E847,$O847))</f>
        <v/>
      </c>
      <c r="Q847" s="80"/>
      <c r="R847" s="131"/>
      <c r="S847" s="69" t="n">
        <f aca="false">IF($Q847="入荷済み",N($L847),0)</f>
        <v>0</v>
      </c>
      <c r="T847" s="80"/>
      <c r="U847" s="80"/>
    </row>
    <row r="848" customFormat="false" ht="15" hidden="false" customHeight="false" outlineLevel="0" collapsed="false">
      <c r="B848" s="66" t="str">
        <f aca="false">IF(OR($E848="",$F848=""),"","PO-"&amp;TEXT($E848,"yyyymmdd")&amp;"-"&amp;TEXT(COUNTIFS($E$6:$E848,$E848,$C$6:$C848,$C848),"000"))</f>
        <v/>
      </c>
      <c r="C848" s="130"/>
      <c r="D848" s="66" t="str">
        <f aca="false">IFERROR(INDEX(定数マスタ!$C$6:$C$105,MATCH($C848,定数マスタ!$B$6:$B$105,0)),"")</f>
        <v/>
      </c>
      <c r="E848" s="131"/>
      <c r="F848" s="130"/>
      <c r="G848" s="66" t="str">
        <f aca="false">IFERROR(INDEX(商品マスタ!$C$6:$C$1005,MATCH($F848,商品マスタ!$B$6:$B$1005,0)),"")</f>
        <v/>
      </c>
      <c r="H848" s="66" t="str">
        <f aca="false">IFERROR(INDEX(商品マスタ!$E$6:$E$1005,MATCH($F848,商品マスタ!$B$6:$B$1005,0)),"")</f>
        <v/>
      </c>
      <c r="I848" s="69" t="str">
        <f aca="false">IFERROR(INDEX(商品マスタ!$F$6:$F$1005,MATCH($F848,商品マスタ!$B$6:$B$1005,0)),"")</f>
        <v/>
      </c>
      <c r="J848" s="69" t="str">
        <f aca="false">IF(OR($F848="",$C848&lt;&gt;'設定（最初に1回）'!$C$4),"",IFERROR(INDEX(発注計算!$Y$6:$Y$405,MATCH($F848,発注計算!$C$6:$C$405,0)),""))</f>
        <v/>
      </c>
      <c r="K848" s="70"/>
      <c r="L848" s="69" t="str">
        <f aca="false">IF($K848="","",N($K848)*N($I848))</f>
        <v/>
      </c>
      <c r="M848" s="71" t="str">
        <f aca="false">IFERROR(INDEX(商品マスタ!$G$6:$G$1005,MATCH($F848,商品マスタ!$B$6:$B$1005,0)),"")</f>
        <v/>
      </c>
      <c r="N848" s="71" t="str">
        <f aca="false">IF($K848="","",N($K848)*N($M848))</f>
        <v/>
      </c>
      <c r="O848" s="66" t="str">
        <f aca="false">IFERROR(INDEX(商品マスタ!$H$6:$H$1005,MATCH($F848,商品マスタ!$B$6:$B$1005,0)),"")</f>
        <v/>
      </c>
      <c r="P848" s="87" t="str">
        <f aca="false">IF(OR($E848="",$O848=""),"",WORKDAY($E848,$O848))</f>
        <v/>
      </c>
      <c r="Q848" s="80"/>
      <c r="R848" s="131"/>
      <c r="S848" s="69" t="n">
        <f aca="false">IF($Q848="入荷済み",N($L848),0)</f>
        <v>0</v>
      </c>
      <c r="T848" s="80"/>
      <c r="U848" s="80"/>
    </row>
    <row r="849" customFormat="false" ht="15" hidden="false" customHeight="false" outlineLevel="0" collapsed="false">
      <c r="B849" s="66" t="str">
        <f aca="false">IF(OR($E849="",$F849=""),"","PO-"&amp;TEXT($E849,"yyyymmdd")&amp;"-"&amp;TEXT(COUNTIFS($E$6:$E849,$E849,$C$6:$C849,$C849),"000"))</f>
        <v/>
      </c>
      <c r="C849" s="130"/>
      <c r="D849" s="66" t="str">
        <f aca="false">IFERROR(INDEX(定数マスタ!$C$6:$C$105,MATCH($C849,定数マスタ!$B$6:$B$105,0)),"")</f>
        <v/>
      </c>
      <c r="E849" s="131"/>
      <c r="F849" s="130"/>
      <c r="G849" s="66" t="str">
        <f aca="false">IFERROR(INDEX(商品マスタ!$C$6:$C$1005,MATCH($F849,商品マスタ!$B$6:$B$1005,0)),"")</f>
        <v/>
      </c>
      <c r="H849" s="66" t="str">
        <f aca="false">IFERROR(INDEX(商品マスタ!$E$6:$E$1005,MATCH($F849,商品マスタ!$B$6:$B$1005,0)),"")</f>
        <v/>
      </c>
      <c r="I849" s="69" t="str">
        <f aca="false">IFERROR(INDEX(商品マスタ!$F$6:$F$1005,MATCH($F849,商品マスタ!$B$6:$B$1005,0)),"")</f>
        <v/>
      </c>
      <c r="J849" s="69" t="str">
        <f aca="false">IF(OR($F849="",$C849&lt;&gt;'設定（最初に1回）'!$C$4),"",IFERROR(INDEX(発注計算!$Y$6:$Y$405,MATCH($F849,発注計算!$C$6:$C$405,0)),""))</f>
        <v/>
      </c>
      <c r="K849" s="70"/>
      <c r="L849" s="69" t="str">
        <f aca="false">IF($K849="","",N($K849)*N($I849))</f>
        <v/>
      </c>
      <c r="M849" s="71" t="str">
        <f aca="false">IFERROR(INDEX(商品マスタ!$G$6:$G$1005,MATCH($F849,商品マスタ!$B$6:$B$1005,0)),"")</f>
        <v/>
      </c>
      <c r="N849" s="71" t="str">
        <f aca="false">IF($K849="","",N($K849)*N($M849))</f>
        <v/>
      </c>
      <c r="O849" s="66" t="str">
        <f aca="false">IFERROR(INDEX(商品マスタ!$H$6:$H$1005,MATCH($F849,商品マスタ!$B$6:$B$1005,0)),"")</f>
        <v/>
      </c>
      <c r="P849" s="87" t="str">
        <f aca="false">IF(OR($E849="",$O849=""),"",WORKDAY($E849,$O849))</f>
        <v/>
      </c>
      <c r="Q849" s="80"/>
      <c r="R849" s="131"/>
      <c r="S849" s="69" t="n">
        <f aca="false">IF($Q849="入荷済み",N($L849),0)</f>
        <v>0</v>
      </c>
      <c r="T849" s="80"/>
      <c r="U849" s="80"/>
    </row>
    <row r="850" customFormat="false" ht="15" hidden="false" customHeight="false" outlineLevel="0" collapsed="false">
      <c r="B850" s="66" t="str">
        <f aca="false">IF(OR($E850="",$F850=""),"","PO-"&amp;TEXT($E850,"yyyymmdd")&amp;"-"&amp;TEXT(COUNTIFS($E$6:$E850,$E850,$C$6:$C850,$C850),"000"))</f>
        <v/>
      </c>
      <c r="C850" s="130"/>
      <c r="D850" s="66" t="str">
        <f aca="false">IFERROR(INDEX(定数マスタ!$C$6:$C$105,MATCH($C850,定数マスタ!$B$6:$B$105,0)),"")</f>
        <v/>
      </c>
      <c r="E850" s="131"/>
      <c r="F850" s="130"/>
      <c r="G850" s="66" t="str">
        <f aca="false">IFERROR(INDEX(商品マスタ!$C$6:$C$1005,MATCH($F850,商品マスタ!$B$6:$B$1005,0)),"")</f>
        <v/>
      </c>
      <c r="H850" s="66" t="str">
        <f aca="false">IFERROR(INDEX(商品マスタ!$E$6:$E$1005,MATCH($F850,商品マスタ!$B$6:$B$1005,0)),"")</f>
        <v/>
      </c>
      <c r="I850" s="69" t="str">
        <f aca="false">IFERROR(INDEX(商品マスタ!$F$6:$F$1005,MATCH($F850,商品マスタ!$B$6:$B$1005,0)),"")</f>
        <v/>
      </c>
      <c r="J850" s="69" t="str">
        <f aca="false">IF(OR($F850="",$C850&lt;&gt;'設定（最初に1回）'!$C$4),"",IFERROR(INDEX(発注計算!$Y$6:$Y$405,MATCH($F850,発注計算!$C$6:$C$405,0)),""))</f>
        <v/>
      </c>
      <c r="K850" s="70"/>
      <c r="L850" s="69" t="str">
        <f aca="false">IF($K850="","",N($K850)*N($I850))</f>
        <v/>
      </c>
      <c r="M850" s="71" t="str">
        <f aca="false">IFERROR(INDEX(商品マスタ!$G$6:$G$1005,MATCH($F850,商品マスタ!$B$6:$B$1005,0)),"")</f>
        <v/>
      </c>
      <c r="N850" s="71" t="str">
        <f aca="false">IF($K850="","",N($K850)*N($M850))</f>
        <v/>
      </c>
      <c r="O850" s="66" t="str">
        <f aca="false">IFERROR(INDEX(商品マスタ!$H$6:$H$1005,MATCH($F850,商品マスタ!$B$6:$B$1005,0)),"")</f>
        <v/>
      </c>
      <c r="P850" s="87" t="str">
        <f aca="false">IF(OR($E850="",$O850=""),"",WORKDAY($E850,$O850))</f>
        <v/>
      </c>
      <c r="Q850" s="80"/>
      <c r="R850" s="131"/>
      <c r="S850" s="69" t="n">
        <f aca="false">IF($Q850="入荷済み",N($L850),0)</f>
        <v>0</v>
      </c>
      <c r="T850" s="80"/>
      <c r="U850" s="80"/>
    </row>
    <row r="851" customFormat="false" ht="15" hidden="false" customHeight="false" outlineLevel="0" collapsed="false">
      <c r="B851" s="66" t="str">
        <f aca="false">IF(OR($E851="",$F851=""),"","PO-"&amp;TEXT($E851,"yyyymmdd")&amp;"-"&amp;TEXT(COUNTIFS($E$6:$E851,$E851,$C$6:$C851,$C851),"000"))</f>
        <v/>
      </c>
      <c r="C851" s="130"/>
      <c r="D851" s="66" t="str">
        <f aca="false">IFERROR(INDEX(定数マスタ!$C$6:$C$105,MATCH($C851,定数マスタ!$B$6:$B$105,0)),"")</f>
        <v/>
      </c>
      <c r="E851" s="131"/>
      <c r="F851" s="130"/>
      <c r="G851" s="66" t="str">
        <f aca="false">IFERROR(INDEX(商品マスタ!$C$6:$C$1005,MATCH($F851,商品マスタ!$B$6:$B$1005,0)),"")</f>
        <v/>
      </c>
      <c r="H851" s="66" t="str">
        <f aca="false">IFERROR(INDEX(商品マスタ!$E$6:$E$1005,MATCH($F851,商品マスタ!$B$6:$B$1005,0)),"")</f>
        <v/>
      </c>
      <c r="I851" s="69" t="str">
        <f aca="false">IFERROR(INDEX(商品マスタ!$F$6:$F$1005,MATCH($F851,商品マスタ!$B$6:$B$1005,0)),"")</f>
        <v/>
      </c>
      <c r="J851" s="69" t="str">
        <f aca="false">IF(OR($F851="",$C851&lt;&gt;'設定（最初に1回）'!$C$4),"",IFERROR(INDEX(発注計算!$Y$6:$Y$405,MATCH($F851,発注計算!$C$6:$C$405,0)),""))</f>
        <v/>
      </c>
      <c r="K851" s="70"/>
      <c r="L851" s="69" t="str">
        <f aca="false">IF($K851="","",N($K851)*N($I851))</f>
        <v/>
      </c>
      <c r="M851" s="71" t="str">
        <f aca="false">IFERROR(INDEX(商品マスタ!$G$6:$G$1005,MATCH($F851,商品マスタ!$B$6:$B$1005,0)),"")</f>
        <v/>
      </c>
      <c r="N851" s="71" t="str">
        <f aca="false">IF($K851="","",N($K851)*N($M851))</f>
        <v/>
      </c>
      <c r="O851" s="66" t="str">
        <f aca="false">IFERROR(INDEX(商品マスタ!$H$6:$H$1005,MATCH($F851,商品マスタ!$B$6:$B$1005,0)),"")</f>
        <v/>
      </c>
      <c r="P851" s="87" t="str">
        <f aca="false">IF(OR($E851="",$O851=""),"",WORKDAY($E851,$O851))</f>
        <v/>
      </c>
      <c r="Q851" s="80"/>
      <c r="R851" s="131"/>
      <c r="S851" s="69" t="n">
        <f aca="false">IF($Q851="入荷済み",N($L851),0)</f>
        <v>0</v>
      </c>
      <c r="T851" s="80"/>
      <c r="U851" s="80"/>
    </row>
    <row r="852" customFormat="false" ht="15" hidden="false" customHeight="false" outlineLevel="0" collapsed="false">
      <c r="B852" s="66" t="str">
        <f aca="false">IF(OR($E852="",$F852=""),"","PO-"&amp;TEXT($E852,"yyyymmdd")&amp;"-"&amp;TEXT(COUNTIFS($E$6:$E852,$E852,$C$6:$C852,$C852),"000"))</f>
        <v/>
      </c>
      <c r="C852" s="130"/>
      <c r="D852" s="66" t="str">
        <f aca="false">IFERROR(INDEX(定数マスタ!$C$6:$C$105,MATCH($C852,定数マスタ!$B$6:$B$105,0)),"")</f>
        <v/>
      </c>
      <c r="E852" s="131"/>
      <c r="F852" s="130"/>
      <c r="G852" s="66" t="str">
        <f aca="false">IFERROR(INDEX(商品マスタ!$C$6:$C$1005,MATCH($F852,商品マスタ!$B$6:$B$1005,0)),"")</f>
        <v/>
      </c>
      <c r="H852" s="66" t="str">
        <f aca="false">IFERROR(INDEX(商品マスタ!$E$6:$E$1005,MATCH($F852,商品マスタ!$B$6:$B$1005,0)),"")</f>
        <v/>
      </c>
      <c r="I852" s="69" t="str">
        <f aca="false">IFERROR(INDEX(商品マスタ!$F$6:$F$1005,MATCH($F852,商品マスタ!$B$6:$B$1005,0)),"")</f>
        <v/>
      </c>
      <c r="J852" s="69" t="str">
        <f aca="false">IF(OR($F852="",$C852&lt;&gt;'設定（最初に1回）'!$C$4),"",IFERROR(INDEX(発注計算!$Y$6:$Y$405,MATCH($F852,発注計算!$C$6:$C$405,0)),""))</f>
        <v/>
      </c>
      <c r="K852" s="70"/>
      <c r="L852" s="69" t="str">
        <f aca="false">IF($K852="","",N($K852)*N($I852))</f>
        <v/>
      </c>
      <c r="M852" s="71" t="str">
        <f aca="false">IFERROR(INDEX(商品マスタ!$G$6:$G$1005,MATCH($F852,商品マスタ!$B$6:$B$1005,0)),"")</f>
        <v/>
      </c>
      <c r="N852" s="71" t="str">
        <f aca="false">IF($K852="","",N($K852)*N($M852))</f>
        <v/>
      </c>
      <c r="O852" s="66" t="str">
        <f aca="false">IFERROR(INDEX(商品マスタ!$H$6:$H$1005,MATCH($F852,商品マスタ!$B$6:$B$1005,0)),"")</f>
        <v/>
      </c>
      <c r="P852" s="87" t="str">
        <f aca="false">IF(OR($E852="",$O852=""),"",WORKDAY($E852,$O852))</f>
        <v/>
      </c>
      <c r="Q852" s="80"/>
      <c r="R852" s="131"/>
      <c r="S852" s="69" t="n">
        <f aca="false">IF($Q852="入荷済み",N($L852),0)</f>
        <v>0</v>
      </c>
      <c r="T852" s="80"/>
      <c r="U852" s="80"/>
    </row>
    <row r="853" customFormat="false" ht="15" hidden="false" customHeight="false" outlineLevel="0" collapsed="false">
      <c r="B853" s="66" t="str">
        <f aca="false">IF(OR($E853="",$F853=""),"","PO-"&amp;TEXT($E853,"yyyymmdd")&amp;"-"&amp;TEXT(COUNTIFS($E$6:$E853,$E853,$C$6:$C853,$C853),"000"))</f>
        <v/>
      </c>
      <c r="C853" s="130"/>
      <c r="D853" s="66" t="str">
        <f aca="false">IFERROR(INDEX(定数マスタ!$C$6:$C$105,MATCH($C853,定数マスタ!$B$6:$B$105,0)),"")</f>
        <v/>
      </c>
      <c r="E853" s="131"/>
      <c r="F853" s="130"/>
      <c r="G853" s="66" t="str">
        <f aca="false">IFERROR(INDEX(商品マスタ!$C$6:$C$1005,MATCH($F853,商品マスタ!$B$6:$B$1005,0)),"")</f>
        <v/>
      </c>
      <c r="H853" s="66" t="str">
        <f aca="false">IFERROR(INDEX(商品マスタ!$E$6:$E$1005,MATCH($F853,商品マスタ!$B$6:$B$1005,0)),"")</f>
        <v/>
      </c>
      <c r="I853" s="69" t="str">
        <f aca="false">IFERROR(INDEX(商品マスタ!$F$6:$F$1005,MATCH($F853,商品マスタ!$B$6:$B$1005,0)),"")</f>
        <v/>
      </c>
      <c r="J853" s="69" t="str">
        <f aca="false">IF(OR($F853="",$C853&lt;&gt;'設定（最初に1回）'!$C$4),"",IFERROR(INDEX(発注計算!$Y$6:$Y$405,MATCH($F853,発注計算!$C$6:$C$405,0)),""))</f>
        <v/>
      </c>
      <c r="K853" s="70"/>
      <c r="L853" s="69" t="str">
        <f aca="false">IF($K853="","",N($K853)*N($I853))</f>
        <v/>
      </c>
      <c r="M853" s="71" t="str">
        <f aca="false">IFERROR(INDEX(商品マスタ!$G$6:$G$1005,MATCH($F853,商品マスタ!$B$6:$B$1005,0)),"")</f>
        <v/>
      </c>
      <c r="N853" s="71" t="str">
        <f aca="false">IF($K853="","",N($K853)*N($M853))</f>
        <v/>
      </c>
      <c r="O853" s="66" t="str">
        <f aca="false">IFERROR(INDEX(商品マスタ!$H$6:$H$1005,MATCH($F853,商品マスタ!$B$6:$B$1005,0)),"")</f>
        <v/>
      </c>
      <c r="P853" s="87" t="str">
        <f aca="false">IF(OR($E853="",$O853=""),"",WORKDAY($E853,$O853))</f>
        <v/>
      </c>
      <c r="Q853" s="80"/>
      <c r="R853" s="131"/>
      <c r="S853" s="69" t="n">
        <f aca="false">IF($Q853="入荷済み",N($L853),0)</f>
        <v>0</v>
      </c>
      <c r="T853" s="80"/>
      <c r="U853" s="80"/>
    </row>
    <row r="854" customFormat="false" ht="15" hidden="false" customHeight="false" outlineLevel="0" collapsed="false">
      <c r="B854" s="66" t="str">
        <f aca="false">IF(OR($E854="",$F854=""),"","PO-"&amp;TEXT($E854,"yyyymmdd")&amp;"-"&amp;TEXT(COUNTIFS($E$6:$E854,$E854,$C$6:$C854,$C854),"000"))</f>
        <v/>
      </c>
      <c r="C854" s="130"/>
      <c r="D854" s="66" t="str">
        <f aca="false">IFERROR(INDEX(定数マスタ!$C$6:$C$105,MATCH($C854,定数マスタ!$B$6:$B$105,0)),"")</f>
        <v/>
      </c>
      <c r="E854" s="131"/>
      <c r="F854" s="130"/>
      <c r="G854" s="66" t="str">
        <f aca="false">IFERROR(INDEX(商品マスタ!$C$6:$C$1005,MATCH($F854,商品マスタ!$B$6:$B$1005,0)),"")</f>
        <v/>
      </c>
      <c r="H854" s="66" t="str">
        <f aca="false">IFERROR(INDEX(商品マスタ!$E$6:$E$1005,MATCH($F854,商品マスタ!$B$6:$B$1005,0)),"")</f>
        <v/>
      </c>
      <c r="I854" s="69" t="str">
        <f aca="false">IFERROR(INDEX(商品マスタ!$F$6:$F$1005,MATCH($F854,商品マスタ!$B$6:$B$1005,0)),"")</f>
        <v/>
      </c>
      <c r="J854" s="69" t="str">
        <f aca="false">IF(OR($F854="",$C854&lt;&gt;'設定（最初に1回）'!$C$4),"",IFERROR(INDEX(発注計算!$Y$6:$Y$405,MATCH($F854,発注計算!$C$6:$C$405,0)),""))</f>
        <v/>
      </c>
      <c r="K854" s="70"/>
      <c r="L854" s="69" t="str">
        <f aca="false">IF($K854="","",N($K854)*N($I854))</f>
        <v/>
      </c>
      <c r="M854" s="71" t="str">
        <f aca="false">IFERROR(INDEX(商品マスタ!$G$6:$G$1005,MATCH($F854,商品マスタ!$B$6:$B$1005,0)),"")</f>
        <v/>
      </c>
      <c r="N854" s="71" t="str">
        <f aca="false">IF($K854="","",N($K854)*N($M854))</f>
        <v/>
      </c>
      <c r="O854" s="66" t="str">
        <f aca="false">IFERROR(INDEX(商品マスタ!$H$6:$H$1005,MATCH($F854,商品マスタ!$B$6:$B$1005,0)),"")</f>
        <v/>
      </c>
      <c r="P854" s="87" t="str">
        <f aca="false">IF(OR($E854="",$O854=""),"",WORKDAY($E854,$O854))</f>
        <v/>
      </c>
      <c r="Q854" s="80"/>
      <c r="R854" s="131"/>
      <c r="S854" s="69" t="n">
        <f aca="false">IF($Q854="入荷済み",N($L854),0)</f>
        <v>0</v>
      </c>
      <c r="T854" s="80"/>
      <c r="U854" s="80"/>
    </row>
    <row r="855" customFormat="false" ht="15" hidden="false" customHeight="false" outlineLevel="0" collapsed="false">
      <c r="B855" s="66" t="str">
        <f aca="false">IF(OR($E855="",$F855=""),"","PO-"&amp;TEXT($E855,"yyyymmdd")&amp;"-"&amp;TEXT(COUNTIFS($E$6:$E855,$E855,$C$6:$C855,$C855),"000"))</f>
        <v/>
      </c>
      <c r="C855" s="130"/>
      <c r="D855" s="66" t="str">
        <f aca="false">IFERROR(INDEX(定数マスタ!$C$6:$C$105,MATCH($C855,定数マスタ!$B$6:$B$105,0)),"")</f>
        <v/>
      </c>
      <c r="E855" s="131"/>
      <c r="F855" s="130"/>
      <c r="G855" s="66" t="str">
        <f aca="false">IFERROR(INDEX(商品マスタ!$C$6:$C$1005,MATCH($F855,商品マスタ!$B$6:$B$1005,0)),"")</f>
        <v/>
      </c>
      <c r="H855" s="66" t="str">
        <f aca="false">IFERROR(INDEX(商品マスタ!$E$6:$E$1005,MATCH($F855,商品マスタ!$B$6:$B$1005,0)),"")</f>
        <v/>
      </c>
      <c r="I855" s="69" t="str">
        <f aca="false">IFERROR(INDEX(商品マスタ!$F$6:$F$1005,MATCH($F855,商品マスタ!$B$6:$B$1005,0)),"")</f>
        <v/>
      </c>
      <c r="J855" s="69" t="str">
        <f aca="false">IF(OR($F855="",$C855&lt;&gt;'設定（最初に1回）'!$C$4),"",IFERROR(INDEX(発注計算!$Y$6:$Y$405,MATCH($F855,発注計算!$C$6:$C$405,0)),""))</f>
        <v/>
      </c>
      <c r="K855" s="70"/>
      <c r="L855" s="69" t="str">
        <f aca="false">IF($K855="","",N($K855)*N($I855))</f>
        <v/>
      </c>
      <c r="M855" s="71" t="str">
        <f aca="false">IFERROR(INDEX(商品マスタ!$G$6:$G$1005,MATCH($F855,商品マスタ!$B$6:$B$1005,0)),"")</f>
        <v/>
      </c>
      <c r="N855" s="71" t="str">
        <f aca="false">IF($K855="","",N($K855)*N($M855))</f>
        <v/>
      </c>
      <c r="O855" s="66" t="str">
        <f aca="false">IFERROR(INDEX(商品マスタ!$H$6:$H$1005,MATCH($F855,商品マスタ!$B$6:$B$1005,0)),"")</f>
        <v/>
      </c>
      <c r="P855" s="87" t="str">
        <f aca="false">IF(OR($E855="",$O855=""),"",WORKDAY($E855,$O855))</f>
        <v/>
      </c>
      <c r="Q855" s="80"/>
      <c r="R855" s="131"/>
      <c r="S855" s="69" t="n">
        <f aca="false">IF($Q855="入荷済み",N($L855),0)</f>
        <v>0</v>
      </c>
      <c r="T855" s="80"/>
      <c r="U855" s="80"/>
    </row>
    <row r="856" customFormat="false" ht="15" hidden="false" customHeight="false" outlineLevel="0" collapsed="false">
      <c r="B856" s="66" t="str">
        <f aca="false">IF(OR($E856="",$F856=""),"","PO-"&amp;TEXT($E856,"yyyymmdd")&amp;"-"&amp;TEXT(COUNTIFS($E$6:$E856,$E856,$C$6:$C856,$C856),"000"))</f>
        <v/>
      </c>
      <c r="C856" s="130"/>
      <c r="D856" s="66" t="str">
        <f aca="false">IFERROR(INDEX(定数マスタ!$C$6:$C$105,MATCH($C856,定数マスタ!$B$6:$B$105,0)),"")</f>
        <v/>
      </c>
      <c r="E856" s="131"/>
      <c r="F856" s="130"/>
      <c r="G856" s="66" t="str">
        <f aca="false">IFERROR(INDEX(商品マスタ!$C$6:$C$1005,MATCH($F856,商品マスタ!$B$6:$B$1005,0)),"")</f>
        <v/>
      </c>
      <c r="H856" s="66" t="str">
        <f aca="false">IFERROR(INDEX(商品マスタ!$E$6:$E$1005,MATCH($F856,商品マスタ!$B$6:$B$1005,0)),"")</f>
        <v/>
      </c>
      <c r="I856" s="69" t="str">
        <f aca="false">IFERROR(INDEX(商品マスタ!$F$6:$F$1005,MATCH($F856,商品マスタ!$B$6:$B$1005,0)),"")</f>
        <v/>
      </c>
      <c r="J856" s="69" t="str">
        <f aca="false">IF(OR($F856="",$C856&lt;&gt;'設定（最初に1回）'!$C$4),"",IFERROR(INDEX(発注計算!$Y$6:$Y$405,MATCH($F856,発注計算!$C$6:$C$405,0)),""))</f>
        <v/>
      </c>
      <c r="K856" s="70"/>
      <c r="L856" s="69" t="str">
        <f aca="false">IF($K856="","",N($K856)*N($I856))</f>
        <v/>
      </c>
      <c r="M856" s="71" t="str">
        <f aca="false">IFERROR(INDEX(商品マスタ!$G$6:$G$1005,MATCH($F856,商品マスタ!$B$6:$B$1005,0)),"")</f>
        <v/>
      </c>
      <c r="N856" s="71" t="str">
        <f aca="false">IF($K856="","",N($K856)*N($M856))</f>
        <v/>
      </c>
      <c r="O856" s="66" t="str">
        <f aca="false">IFERROR(INDEX(商品マスタ!$H$6:$H$1005,MATCH($F856,商品マスタ!$B$6:$B$1005,0)),"")</f>
        <v/>
      </c>
      <c r="P856" s="87" t="str">
        <f aca="false">IF(OR($E856="",$O856=""),"",WORKDAY($E856,$O856))</f>
        <v/>
      </c>
      <c r="Q856" s="80"/>
      <c r="R856" s="131"/>
      <c r="S856" s="69" t="n">
        <f aca="false">IF($Q856="入荷済み",N($L856),0)</f>
        <v>0</v>
      </c>
      <c r="T856" s="80"/>
      <c r="U856" s="80"/>
    </row>
    <row r="857" customFormat="false" ht="15" hidden="false" customHeight="false" outlineLevel="0" collapsed="false">
      <c r="B857" s="66" t="str">
        <f aca="false">IF(OR($E857="",$F857=""),"","PO-"&amp;TEXT($E857,"yyyymmdd")&amp;"-"&amp;TEXT(COUNTIFS($E$6:$E857,$E857,$C$6:$C857,$C857),"000"))</f>
        <v/>
      </c>
      <c r="C857" s="130"/>
      <c r="D857" s="66" t="str">
        <f aca="false">IFERROR(INDEX(定数マスタ!$C$6:$C$105,MATCH($C857,定数マスタ!$B$6:$B$105,0)),"")</f>
        <v/>
      </c>
      <c r="E857" s="131"/>
      <c r="F857" s="130"/>
      <c r="G857" s="66" t="str">
        <f aca="false">IFERROR(INDEX(商品マスタ!$C$6:$C$1005,MATCH($F857,商品マスタ!$B$6:$B$1005,0)),"")</f>
        <v/>
      </c>
      <c r="H857" s="66" t="str">
        <f aca="false">IFERROR(INDEX(商品マスタ!$E$6:$E$1005,MATCH($F857,商品マスタ!$B$6:$B$1005,0)),"")</f>
        <v/>
      </c>
      <c r="I857" s="69" t="str">
        <f aca="false">IFERROR(INDEX(商品マスタ!$F$6:$F$1005,MATCH($F857,商品マスタ!$B$6:$B$1005,0)),"")</f>
        <v/>
      </c>
      <c r="J857" s="69" t="str">
        <f aca="false">IF(OR($F857="",$C857&lt;&gt;'設定（最初に1回）'!$C$4),"",IFERROR(INDEX(発注計算!$Y$6:$Y$405,MATCH($F857,発注計算!$C$6:$C$405,0)),""))</f>
        <v/>
      </c>
      <c r="K857" s="70"/>
      <c r="L857" s="69" t="str">
        <f aca="false">IF($K857="","",N($K857)*N($I857))</f>
        <v/>
      </c>
      <c r="M857" s="71" t="str">
        <f aca="false">IFERROR(INDEX(商品マスタ!$G$6:$G$1005,MATCH($F857,商品マスタ!$B$6:$B$1005,0)),"")</f>
        <v/>
      </c>
      <c r="N857" s="71" t="str">
        <f aca="false">IF($K857="","",N($K857)*N($M857))</f>
        <v/>
      </c>
      <c r="O857" s="66" t="str">
        <f aca="false">IFERROR(INDEX(商品マスタ!$H$6:$H$1005,MATCH($F857,商品マスタ!$B$6:$B$1005,0)),"")</f>
        <v/>
      </c>
      <c r="P857" s="87" t="str">
        <f aca="false">IF(OR($E857="",$O857=""),"",WORKDAY($E857,$O857))</f>
        <v/>
      </c>
      <c r="Q857" s="80"/>
      <c r="R857" s="131"/>
      <c r="S857" s="69" t="n">
        <f aca="false">IF($Q857="入荷済み",N($L857),0)</f>
        <v>0</v>
      </c>
      <c r="T857" s="80"/>
      <c r="U857" s="80"/>
    </row>
    <row r="858" customFormat="false" ht="15" hidden="false" customHeight="false" outlineLevel="0" collapsed="false">
      <c r="B858" s="66" t="str">
        <f aca="false">IF(OR($E858="",$F858=""),"","PO-"&amp;TEXT($E858,"yyyymmdd")&amp;"-"&amp;TEXT(COUNTIFS($E$6:$E858,$E858,$C$6:$C858,$C858),"000"))</f>
        <v/>
      </c>
      <c r="C858" s="130"/>
      <c r="D858" s="66" t="str">
        <f aca="false">IFERROR(INDEX(定数マスタ!$C$6:$C$105,MATCH($C858,定数マスタ!$B$6:$B$105,0)),"")</f>
        <v/>
      </c>
      <c r="E858" s="131"/>
      <c r="F858" s="130"/>
      <c r="G858" s="66" t="str">
        <f aca="false">IFERROR(INDEX(商品マスタ!$C$6:$C$1005,MATCH($F858,商品マスタ!$B$6:$B$1005,0)),"")</f>
        <v/>
      </c>
      <c r="H858" s="66" t="str">
        <f aca="false">IFERROR(INDEX(商品マスタ!$E$6:$E$1005,MATCH($F858,商品マスタ!$B$6:$B$1005,0)),"")</f>
        <v/>
      </c>
      <c r="I858" s="69" t="str">
        <f aca="false">IFERROR(INDEX(商品マスタ!$F$6:$F$1005,MATCH($F858,商品マスタ!$B$6:$B$1005,0)),"")</f>
        <v/>
      </c>
      <c r="J858" s="69" t="str">
        <f aca="false">IF(OR($F858="",$C858&lt;&gt;'設定（最初に1回）'!$C$4),"",IFERROR(INDEX(発注計算!$Y$6:$Y$405,MATCH($F858,発注計算!$C$6:$C$405,0)),""))</f>
        <v/>
      </c>
      <c r="K858" s="70"/>
      <c r="L858" s="69" t="str">
        <f aca="false">IF($K858="","",N($K858)*N($I858))</f>
        <v/>
      </c>
      <c r="M858" s="71" t="str">
        <f aca="false">IFERROR(INDEX(商品マスタ!$G$6:$G$1005,MATCH($F858,商品マスタ!$B$6:$B$1005,0)),"")</f>
        <v/>
      </c>
      <c r="N858" s="71" t="str">
        <f aca="false">IF($K858="","",N($K858)*N($M858))</f>
        <v/>
      </c>
      <c r="O858" s="66" t="str">
        <f aca="false">IFERROR(INDEX(商品マスタ!$H$6:$H$1005,MATCH($F858,商品マスタ!$B$6:$B$1005,0)),"")</f>
        <v/>
      </c>
      <c r="P858" s="87" t="str">
        <f aca="false">IF(OR($E858="",$O858=""),"",WORKDAY($E858,$O858))</f>
        <v/>
      </c>
      <c r="Q858" s="80"/>
      <c r="R858" s="131"/>
      <c r="S858" s="69" t="n">
        <f aca="false">IF($Q858="入荷済み",N($L858),0)</f>
        <v>0</v>
      </c>
      <c r="T858" s="80"/>
      <c r="U858" s="80"/>
    </row>
    <row r="859" customFormat="false" ht="15" hidden="false" customHeight="false" outlineLevel="0" collapsed="false">
      <c r="B859" s="66" t="str">
        <f aca="false">IF(OR($E859="",$F859=""),"","PO-"&amp;TEXT($E859,"yyyymmdd")&amp;"-"&amp;TEXT(COUNTIFS($E$6:$E859,$E859,$C$6:$C859,$C859),"000"))</f>
        <v/>
      </c>
      <c r="C859" s="130"/>
      <c r="D859" s="66" t="str">
        <f aca="false">IFERROR(INDEX(定数マスタ!$C$6:$C$105,MATCH($C859,定数マスタ!$B$6:$B$105,0)),"")</f>
        <v/>
      </c>
      <c r="E859" s="131"/>
      <c r="F859" s="130"/>
      <c r="G859" s="66" t="str">
        <f aca="false">IFERROR(INDEX(商品マスタ!$C$6:$C$1005,MATCH($F859,商品マスタ!$B$6:$B$1005,0)),"")</f>
        <v/>
      </c>
      <c r="H859" s="66" t="str">
        <f aca="false">IFERROR(INDEX(商品マスタ!$E$6:$E$1005,MATCH($F859,商品マスタ!$B$6:$B$1005,0)),"")</f>
        <v/>
      </c>
      <c r="I859" s="69" t="str">
        <f aca="false">IFERROR(INDEX(商品マスタ!$F$6:$F$1005,MATCH($F859,商品マスタ!$B$6:$B$1005,0)),"")</f>
        <v/>
      </c>
      <c r="J859" s="69" t="str">
        <f aca="false">IF(OR($F859="",$C859&lt;&gt;'設定（最初に1回）'!$C$4),"",IFERROR(INDEX(発注計算!$Y$6:$Y$405,MATCH($F859,発注計算!$C$6:$C$405,0)),""))</f>
        <v/>
      </c>
      <c r="K859" s="70"/>
      <c r="L859" s="69" t="str">
        <f aca="false">IF($K859="","",N($K859)*N($I859))</f>
        <v/>
      </c>
      <c r="M859" s="71" t="str">
        <f aca="false">IFERROR(INDEX(商品マスタ!$G$6:$G$1005,MATCH($F859,商品マスタ!$B$6:$B$1005,0)),"")</f>
        <v/>
      </c>
      <c r="N859" s="71" t="str">
        <f aca="false">IF($K859="","",N($K859)*N($M859))</f>
        <v/>
      </c>
      <c r="O859" s="66" t="str">
        <f aca="false">IFERROR(INDEX(商品マスタ!$H$6:$H$1005,MATCH($F859,商品マスタ!$B$6:$B$1005,0)),"")</f>
        <v/>
      </c>
      <c r="P859" s="87" t="str">
        <f aca="false">IF(OR($E859="",$O859=""),"",WORKDAY($E859,$O859))</f>
        <v/>
      </c>
      <c r="Q859" s="80"/>
      <c r="R859" s="131"/>
      <c r="S859" s="69" t="n">
        <f aca="false">IF($Q859="入荷済み",N($L859),0)</f>
        <v>0</v>
      </c>
      <c r="T859" s="80"/>
      <c r="U859" s="80"/>
    </row>
    <row r="860" customFormat="false" ht="15" hidden="false" customHeight="false" outlineLevel="0" collapsed="false">
      <c r="B860" s="66" t="str">
        <f aca="false">IF(OR($E860="",$F860=""),"","PO-"&amp;TEXT($E860,"yyyymmdd")&amp;"-"&amp;TEXT(COUNTIFS($E$6:$E860,$E860,$C$6:$C860,$C860),"000"))</f>
        <v/>
      </c>
      <c r="C860" s="130"/>
      <c r="D860" s="66" t="str">
        <f aca="false">IFERROR(INDEX(定数マスタ!$C$6:$C$105,MATCH($C860,定数マスタ!$B$6:$B$105,0)),"")</f>
        <v/>
      </c>
      <c r="E860" s="131"/>
      <c r="F860" s="130"/>
      <c r="G860" s="66" t="str">
        <f aca="false">IFERROR(INDEX(商品マスタ!$C$6:$C$1005,MATCH($F860,商品マスタ!$B$6:$B$1005,0)),"")</f>
        <v/>
      </c>
      <c r="H860" s="66" t="str">
        <f aca="false">IFERROR(INDEX(商品マスタ!$E$6:$E$1005,MATCH($F860,商品マスタ!$B$6:$B$1005,0)),"")</f>
        <v/>
      </c>
      <c r="I860" s="69" t="str">
        <f aca="false">IFERROR(INDEX(商品マスタ!$F$6:$F$1005,MATCH($F860,商品マスタ!$B$6:$B$1005,0)),"")</f>
        <v/>
      </c>
      <c r="J860" s="69" t="str">
        <f aca="false">IF(OR($F860="",$C860&lt;&gt;'設定（最初に1回）'!$C$4),"",IFERROR(INDEX(発注計算!$Y$6:$Y$405,MATCH($F860,発注計算!$C$6:$C$405,0)),""))</f>
        <v/>
      </c>
      <c r="K860" s="70"/>
      <c r="L860" s="69" t="str">
        <f aca="false">IF($K860="","",N($K860)*N($I860))</f>
        <v/>
      </c>
      <c r="M860" s="71" t="str">
        <f aca="false">IFERROR(INDEX(商品マスタ!$G$6:$G$1005,MATCH($F860,商品マスタ!$B$6:$B$1005,0)),"")</f>
        <v/>
      </c>
      <c r="N860" s="71" t="str">
        <f aca="false">IF($K860="","",N($K860)*N($M860))</f>
        <v/>
      </c>
      <c r="O860" s="66" t="str">
        <f aca="false">IFERROR(INDEX(商品マスタ!$H$6:$H$1005,MATCH($F860,商品マスタ!$B$6:$B$1005,0)),"")</f>
        <v/>
      </c>
      <c r="P860" s="87" t="str">
        <f aca="false">IF(OR($E860="",$O860=""),"",WORKDAY($E860,$O860))</f>
        <v/>
      </c>
      <c r="Q860" s="80"/>
      <c r="R860" s="131"/>
      <c r="S860" s="69" t="n">
        <f aca="false">IF($Q860="入荷済み",N($L860),0)</f>
        <v>0</v>
      </c>
      <c r="T860" s="80"/>
      <c r="U860" s="80"/>
    </row>
    <row r="861" customFormat="false" ht="15" hidden="false" customHeight="false" outlineLevel="0" collapsed="false">
      <c r="B861" s="66" t="str">
        <f aca="false">IF(OR($E861="",$F861=""),"","PO-"&amp;TEXT($E861,"yyyymmdd")&amp;"-"&amp;TEXT(COUNTIFS($E$6:$E861,$E861,$C$6:$C861,$C861),"000"))</f>
        <v/>
      </c>
      <c r="C861" s="130"/>
      <c r="D861" s="66" t="str">
        <f aca="false">IFERROR(INDEX(定数マスタ!$C$6:$C$105,MATCH($C861,定数マスタ!$B$6:$B$105,0)),"")</f>
        <v/>
      </c>
      <c r="E861" s="131"/>
      <c r="F861" s="130"/>
      <c r="G861" s="66" t="str">
        <f aca="false">IFERROR(INDEX(商品マスタ!$C$6:$C$1005,MATCH($F861,商品マスタ!$B$6:$B$1005,0)),"")</f>
        <v/>
      </c>
      <c r="H861" s="66" t="str">
        <f aca="false">IFERROR(INDEX(商品マスタ!$E$6:$E$1005,MATCH($F861,商品マスタ!$B$6:$B$1005,0)),"")</f>
        <v/>
      </c>
      <c r="I861" s="69" t="str">
        <f aca="false">IFERROR(INDEX(商品マスタ!$F$6:$F$1005,MATCH($F861,商品マスタ!$B$6:$B$1005,0)),"")</f>
        <v/>
      </c>
      <c r="J861" s="69" t="str">
        <f aca="false">IF(OR($F861="",$C861&lt;&gt;'設定（最初に1回）'!$C$4),"",IFERROR(INDEX(発注計算!$Y$6:$Y$405,MATCH($F861,発注計算!$C$6:$C$405,0)),""))</f>
        <v/>
      </c>
      <c r="K861" s="70"/>
      <c r="L861" s="69" t="str">
        <f aca="false">IF($K861="","",N($K861)*N($I861))</f>
        <v/>
      </c>
      <c r="M861" s="71" t="str">
        <f aca="false">IFERROR(INDEX(商品マスタ!$G$6:$G$1005,MATCH($F861,商品マスタ!$B$6:$B$1005,0)),"")</f>
        <v/>
      </c>
      <c r="N861" s="71" t="str">
        <f aca="false">IF($K861="","",N($K861)*N($M861))</f>
        <v/>
      </c>
      <c r="O861" s="66" t="str">
        <f aca="false">IFERROR(INDEX(商品マスタ!$H$6:$H$1005,MATCH($F861,商品マスタ!$B$6:$B$1005,0)),"")</f>
        <v/>
      </c>
      <c r="P861" s="87" t="str">
        <f aca="false">IF(OR($E861="",$O861=""),"",WORKDAY($E861,$O861))</f>
        <v/>
      </c>
      <c r="Q861" s="80"/>
      <c r="R861" s="131"/>
      <c r="S861" s="69" t="n">
        <f aca="false">IF($Q861="入荷済み",N($L861),0)</f>
        <v>0</v>
      </c>
      <c r="T861" s="80"/>
      <c r="U861" s="80"/>
    </row>
    <row r="862" customFormat="false" ht="15" hidden="false" customHeight="false" outlineLevel="0" collapsed="false">
      <c r="B862" s="66" t="str">
        <f aca="false">IF(OR($E862="",$F862=""),"","PO-"&amp;TEXT($E862,"yyyymmdd")&amp;"-"&amp;TEXT(COUNTIFS($E$6:$E862,$E862,$C$6:$C862,$C862),"000"))</f>
        <v/>
      </c>
      <c r="C862" s="130"/>
      <c r="D862" s="66" t="str">
        <f aca="false">IFERROR(INDEX(定数マスタ!$C$6:$C$105,MATCH($C862,定数マスタ!$B$6:$B$105,0)),"")</f>
        <v/>
      </c>
      <c r="E862" s="131"/>
      <c r="F862" s="130"/>
      <c r="G862" s="66" t="str">
        <f aca="false">IFERROR(INDEX(商品マスタ!$C$6:$C$1005,MATCH($F862,商品マスタ!$B$6:$B$1005,0)),"")</f>
        <v/>
      </c>
      <c r="H862" s="66" t="str">
        <f aca="false">IFERROR(INDEX(商品マスタ!$E$6:$E$1005,MATCH($F862,商品マスタ!$B$6:$B$1005,0)),"")</f>
        <v/>
      </c>
      <c r="I862" s="69" t="str">
        <f aca="false">IFERROR(INDEX(商品マスタ!$F$6:$F$1005,MATCH($F862,商品マスタ!$B$6:$B$1005,0)),"")</f>
        <v/>
      </c>
      <c r="J862" s="69" t="str">
        <f aca="false">IF(OR($F862="",$C862&lt;&gt;'設定（最初に1回）'!$C$4),"",IFERROR(INDEX(発注計算!$Y$6:$Y$405,MATCH($F862,発注計算!$C$6:$C$405,0)),""))</f>
        <v/>
      </c>
      <c r="K862" s="70"/>
      <c r="L862" s="69" t="str">
        <f aca="false">IF($K862="","",N($K862)*N($I862))</f>
        <v/>
      </c>
      <c r="M862" s="71" t="str">
        <f aca="false">IFERROR(INDEX(商品マスタ!$G$6:$G$1005,MATCH($F862,商品マスタ!$B$6:$B$1005,0)),"")</f>
        <v/>
      </c>
      <c r="N862" s="71" t="str">
        <f aca="false">IF($K862="","",N($K862)*N($M862))</f>
        <v/>
      </c>
      <c r="O862" s="66" t="str">
        <f aca="false">IFERROR(INDEX(商品マスタ!$H$6:$H$1005,MATCH($F862,商品マスタ!$B$6:$B$1005,0)),"")</f>
        <v/>
      </c>
      <c r="P862" s="87" t="str">
        <f aca="false">IF(OR($E862="",$O862=""),"",WORKDAY($E862,$O862))</f>
        <v/>
      </c>
      <c r="Q862" s="80"/>
      <c r="R862" s="131"/>
      <c r="S862" s="69" t="n">
        <f aca="false">IF($Q862="入荷済み",N($L862),0)</f>
        <v>0</v>
      </c>
      <c r="T862" s="80"/>
      <c r="U862" s="80"/>
    </row>
    <row r="863" customFormat="false" ht="15" hidden="false" customHeight="false" outlineLevel="0" collapsed="false">
      <c r="B863" s="66" t="str">
        <f aca="false">IF(OR($E863="",$F863=""),"","PO-"&amp;TEXT($E863,"yyyymmdd")&amp;"-"&amp;TEXT(COUNTIFS($E$6:$E863,$E863,$C$6:$C863,$C863),"000"))</f>
        <v/>
      </c>
      <c r="C863" s="130"/>
      <c r="D863" s="66" t="str">
        <f aca="false">IFERROR(INDEX(定数マスタ!$C$6:$C$105,MATCH($C863,定数マスタ!$B$6:$B$105,0)),"")</f>
        <v/>
      </c>
      <c r="E863" s="131"/>
      <c r="F863" s="130"/>
      <c r="G863" s="66" t="str">
        <f aca="false">IFERROR(INDEX(商品マスタ!$C$6:$C$1005,MATCH($F863,商品マスタ!$B$6:$B$1005,0)),"")</f>
        <v/>
      </c>
      <c r="H863" s="66" t="str">
        <f aca="false">IFERROR(INDEX(商品マスタ!$E$6:$E$1005,MATCH($F863,商品マスタ!$B$6:$B$1005,0)),"")</f>
        <v/>
      </c>
      <c r="I863" s="69" t="str">
        <f aca="false">IFERROR(INDEX(商品マスタ!$F$6:$F$1005,MATCH($F863,商品マスタ!$B$6:$B$1005,0)),"")</f>
        <v/>
      </c>
      <c r="J863" s="69" t="str">
        <f aca="false">IF(OR($F863="",$C863&lt;&gt;'設定（最初に1回）'!$C$4),"",IFERROR(INDEX(発注計算!$Y$6:$Y$405,MATCH($F863,発注計算!$C$6:$C$405,0)),""))</f>
        <v/>
      </c>
      <c r="K863" s="70"/>
      <c r="L863" s="69" t="str">
        <f aca="false">IF($K863="","",N($K863)*N($I863))</f>
        <v/>
      </c>
      <c r="M863" s="71" t="str">
        <f aca="false">IFERROR(INDEX(商品マスタ!$G$6:$G$1005,MATCH($F863,商品マスタ!$B$6:$B$1005,0)),"")</f>
        <v/>
      </c>
      <c r="N863" s="71" t="str">
        <f aca="false">IF($K863="","",N($K863)*N($M863))</f>
        <v/>
      </c>
      <c r="O863" s="66" t="str">
        <f aca="false">IFERROR(INDEX(商品マスタ!$H$6:$H$1005,MATCH($F863,商品マスタ!$B$6:$B$1005,0)),"")</f>
        <v/>
      </c>
      <c r="P863" s="87" t="str">
        <f aca="false">IF(OR($E863="",$O863=""),"",WORKDAY($E863,$O863))</f>
        <v/>
      </c>
      <c r="Q863" s="80"/>
      <c r="R863" s="131"/>
      <c r="S863" s="69" t="n">
        <f aca="false">IF($Q863="入荷済み",N($L863),0)</f>
        <v>0</v>
      </c>
      <c r="T863" s="80"/>
      <c r="U863" s="80"/>
    </row>
    <row r="864" customFormat="false" ht="15" hidden="false" customHeight="false" outlineLevel="0" collapsed="false">
      <c r="B864" s="66" t="str">
        <f aca="false">IF(OR($E864="",$F864=""),"","PO-"&amp;TEXT($E864,"yyyymmdd")&amp;"-"&amp;TEXT(COUNTIFS($E$6:$E864,$E864,$C$6:$C864,$C864),"000"))</f>
        <v/>
      </c>
      <c r="C864" s="130"/>
      <c r="D864" s="66" t="str">
        <f aca="false">IFERROR(INDEX(定数マスタ!$C$6:$C$105,MATCH($C864,定数マスタ!$B$6:$B$105,0)),"")</f>
        <v/>
      </c>
      <c r="E864" s="131"/>
      <c r="F864" s="130"/>
      <c r="G864" s="66" t="str">
        <f aca="false">IFERROR(INDEX(商品マスタ!$C$6:$C$1005,MATCH($F864,商品マスタ!$B$6:$B$1005,0)),"")</f>
        <v/>
      </c>
      <c r="H864" s="66" t="str">
        <f aca="false">IFERROR(INDEX(商品マスタ!$E$6:$E$1005,MATCH($F864,商品マスタ!$B$6:$B$1005,0)),"")</f>
        <v/>
      </c>
      <c r="I864" s="69" t="str">
        <f aca="false">IFERROR(INDEX(商品マスタ!$F$6:$F$1005,MATCH($F864,商品マスタ!$B$6:$B$1005,0)),"")</f>
        <v/>
      </c>
      <c r="J864" s="69" t="str">
        <f aca="false">IF(OR($F864="",$C864&lt;&gt;'設定（最初に1回）'!$C$4),"",IFERROR(INDEX(発注計算!$Y$6:$Y$405,MATCH($F864,発注計算!$C$6:$C$405,0)),""))</f>
        <v/>
      </c>
      <c r="K864" s="70"/>
      <c r="L864" s="69" t="str">
        <f aca="false">IF($K864="","",N($K864)*N($I864))</f>
        <v/>
      </c>
      <c r="M864" s="71" t="str">
        <f aca="false">IFERROR(INDEX(商品マスタ!$G$6:$G$1005,MATCH($F864,商品マスタ!$B$6:$B$1005,0)),"")</f>
        <v/>
      </c>
      <c r="N864" s="71" t="str">
        <f aca="false">IF($K864="","",N($K864)*N($M864))</f>
        <v/>
      </c>
      <c r="O864" s="66" t="str">
        <f aca="false">IFERROR(INDEX(商品マスタ!$H$6:$H$1005,MATCH($F864,商品マスタ!$B$6:$B$1005,0)),"")</f>
        <v/>
      </c>
      <c r="P864" s="87" t="str">
        <f aca="false">IF(OR($E864="",$O864=""),"",WORKDAY($E864,$O864))</f>
        <v/>
      </c>
      <c r="Q864" s="80"/>
      <c r="R864" s="131"/>
      <c r="S864" s="69" t="n">
        <f aca="false">IF($Q864="入荷済み",N($L864),0)</f>
        <v>0</v>
      </c>
      <c r="T864" s="80"/>
      <c r="U864" s="80"/>
    </row>
    <row r="865" customFormat="false" ht="15" hidden="false" customHeight="false" outlineLevel="0" collapsed="false">
      <c r="B865" s="66" t="str">
        <f aca="false">IF(OR($E865="",$F865=""),"","PO-"&amp;TEXT($E865,"yyyymmdd")&amp;"-"&amp;TEXT(COUNTIFS($E$6:$E865,$E865,$C$6:$C865,$C865),"000"))</f>
        <v/>
      </c>
      <c r="C865" s="130"/>
      <c r="D865" s="66" t="str">
        <f aca="false">IFERROR(INDEX(定数マスタ!$C$6:$C$105,MATCH($C865,定数マスタ!$B$6:$B$105,0)),"")</f>
        <v/>
      </c>
      <c r="E865" s="131"/>
      <c r="F865" s="130"/>
      <c r="G865" s="66" t="str">
        <f aca="false">IFERROR(INDEX(商品マスタ!$C$6:$C$1005,MATCH($F865,商品マスタ!$B$6:$B$1005,0)),"")</f>
        <v/>
      </c>
      <c r="H865" s="66" t="str">
        <f aca="false">IFERROR(INDEX(商品マスタ!$E$6:$E$1005,MATCH($F865,商品マスタ!$B$6:$B$1005,0)),"")</f>
        <v/>
      </c>
      <c r="I865" s="69" t="str">
        <f aca="false">IFERROR(INDEX(商品マスタ!$F$6:$F$1005,MATCH($F865,商品マスタ!$B$6:$B$1005,0)),"")</f>
        <v/>
      </c>
      <c r="J865" s="69" t="str">
        <f aca="false">IF(OR($F865="",$C865&lt;&gt;'設定（最初に1回）'!$C$4),"",IFERROR(INDEX(発注計算!$Y$6:$Y$405,MATCH($F865,発注計算!$C$6:$C$405,0)),""))</f>
        <v/>
      </c>
      <c r="K865" s="70"/>
      <c r="L865" s="69" t="str">
        <f aca="false">IF($K865="","",N($K865)*N($I865))</f>
        <v/>
      </c>
      <c r="M865" s="71" t="str">
        <f aca="false">IFERROR(INDEX(商品マスタ!$G$6:$G$1005,MATCH($F865,商品マスタ!$B$6:$B$1005,0)),"")</f>
        <v/>
      </c>
      <c r="N865" s="71" t="str">
        <f aca="false">IF($K865="","",N($K865)*N($M865))</f>
        <v/>
      </c>
      <c r="O865" s="66" t="str">
        <f aca="false">IFERROR(INDEX(商品マスタ!$H$6:$H$1005,MATCH($F865,商品マスタ!$B$6:$B$1005,0)),"")</f>
        <v/>
      </c>
      <c r="P865" s="87" t="str">
        <f aca="false">IF(OR($E865="",$O865=""),"",WORKDAY($E865,$O865))</f>
        <v/>
      </c>
      <c r="Q865" s="80"/>
      <c r="R865" s="131"/>
      <c r="S865" s="69" t="n">
        <f aca="false">IF($Q865="入荷済み",N($L865),0)</f>
        <v>0</v>
      </c>
      <c r="T865" s="80"/>
      <c r="U865" s="80"/>
    </row>
    <row r="866" customFormat="false" ht="15" hidden="false" customHeight="false" outlineLevel="0" collapsed="false">
      <c r="B866" s="66" t="str">
        <f aca="false">IF(OR($E866="",$F866=""),"","PO-"&amp;TEXT($E866,"yyyymmdd")&amp;"-"&amp;TEXT(COUNTIFS($E$6:$E866,$E866,$C$6:$C866,$C866),"000"))</f>
        <v/>
      </c>
      <c r="C866" s="130"/>
      <c r="D866" s="66" t="str">
        <f aca="false">IFERROR(INDEX(定数マスタ!$C$6:$C$105,MATCH($C866,定数マスタ!$B$6:$B$105,0)),"")</f>
        <v/>
      </c>
      <c r="E866" s="131"/>
      <c r="F866" s="130"/>
      <c r="G866" s="66" t="str">
        <f aca="false">IFERROR(INDEX(商品マスタ!$C$6:$C$1005,MATCH($F866,商品マスタ!$B$6:$B$1005,0)),"")</f>
        <v/>
      </c>
      <c r="H866" s="66" t="str">
        <f aca="false">IFERROR(INDEX(商品マスタ!$E$6:$E$1005,MATCH($F866,商品マスタ!$B$6:$B$1005,0)),"")</f>
        <v/>
      </c>
      <c r="I866" s="69" t="str">
        <f aca="false">IFERROR(INDEX(商品マスタ!$F$6:$F$1005,MATCH($F866,商品マスタ!$B$6:$B$1005,0)),"")</f>
        <v/>
      </c>
      <c r="J866" s="69" t="str">
        <f aca="false">IF(OR($F866="",$C866&lt;&gt;'設定（最初に1回）'!$C$4),"",IFERROR(INDEX(発注計算!$Y$6:$Y$405,MATCH($F866,発注計算!$C$6:$C$405,0)),""))</f>
        <v/>
      </c>
      <c r="K866" s="70"/>
      <c r="L866" s="69" t="str">
        <f aca="false">IF($K866="","",N($K866)*N($I866))</f>
        <v/>
      </c>
      <c r="M866" s="71" t="str">
        <f aca="false">IFERROR(INDEX(商品マスタ!$G$6:$G$1005,MATCH($F866,商品マスタ!$B$6:$B$1005,0)),"")</f>
        <v/>
      </c>
      <c r="N866" s="71" t="str">
        <f aca="false">IF($K866="","",N($K866)*N($M866))</f>
        <v/>
      </c>
      <c r="O866" s="66" t="str">
        <f aca="false">IFERROR(INDEX(商品マスタ!$H$6:$H$1005,MATCH($F866,商品マスタ!$B$6:$B$1005,0)),"")</f>
        <v/>
      </c>
      <c r="P866" s="87" t="str">
        <f aca="false">IF(OR($E866="",$O866=""),"",WORKDAY($E866,$O866))</f>
        <v/>
      </c>
      <c r="Q866" s="80"/>
      <c r="R866" s="131"/>
      <c r="S866" s="69" t="n">
        <f aca="false">IF($Q866="入荷済み",N($L866),0)</f>
        <v>0</v>
      </c>
      <c r="T866" s="80"/>
      <c r="U866" s="80"/>
    </row>
    <row r="867" customFormat="false" ht="15" hidden="false" customHeight="false" outlineLevel="0" collapsed="false">
      <c r="B867" s="66" t="str">
        <f aca="false">IF(OR($E867="",$F867=""),"","PO-"&amp;TEXT($E867,"yyyymmdd")&amp;"-"&amp;TEXT(COUNTIFS($E$6:$E867,$E867,$C$6:$C867,$C867),"000"))</f>
        <v/>
      </c>
      <c r="C867" s="130"/>
      <c r="D867" s="66" t="str">
        <f aca="false">IFERROR(INDEX(定数マスタ!$C$6:$C$105,MATCH($C867,定数マスタ!$B$6:$B$105,0)),"")</f>
        <v/>
      </c>
      <c r="E867" s="131"/>
      <c r="F867" s="130"/>
      <c r="G867" s="66" t="str">
        <f aca="false">IFERROR(INDEX(商品マスタ!$C$6:$C$1005,MATCH($F867,商品マスタ!$B$6:$B$1005,0)),"")</f>
        <v/>
      </c>
      <c r="H867" s="66" t="str">
        <f aca="false">IFERROR(INDEX(商品マスタ!$E$6:$E$1005,MATCH($F867,商品マスタ!$B$6:$B$1005,0)),"")</f>
        <v/>
      </c>
      <c r="I867" s="69" t="str">
        <f aca="false">IFERROR(INDEX(商品マスタ!$F$6:$F$1005,MATCH($F867,商品マスタ!$B$6:$B$1005,0)),"")</f>
        <v/>
      </c>
      <c r="J867" s="69" t="str">
        <f aca="false">IF(OR($F867="",$C867&lt;&gt;'設定（最初に1回）'!$C$4),"",IFERROR(INDEX(発注計算!$Y$6:$Y$405,MATCH($F867,発注計算!$C$6:$C$405,0)),""))</f>
        <v/>
      </c>
      <c r="K867" s="70"/>
      <c r="L867" s="69" t="str">
        <f aca="false">IF($K867="","",N($K867)*N($I867))</f>
        <v/>
      </c>
      <c r="M867" s="71" t="str">
        <f aca="false">IFERROR(INDEX(商品マスタ!$G$6:$G$1005,MATCH($F867,商品マスタ!$B$6:$B$1005,0)),"")</f>
        <v/>
      </c>
      <c r="N867" s="71" t="str">
        <f aca="false">IF($K867="","",N($K867)*N($M867))</f>
        <v/>
      </c>
      <c r="O867" s="66" t="str">
        <f aca="false">IFERROR(INDEX(商品マスタ!$H$6:$H$1005,MATCH($F867,商品マスタ!$B$6:$B$1005,0)),"")</f>
        <v/>
      </c>
      <c r="P867" s="87" t="str">
        <f aca="false">IF(OR($E867="",$O867=""),"",WORKDAY($E867,$O867))</f>
        <v/>
      </c>
      <c r="Q867" s="80"/>
      <c r="R867" s="131"/>
      <c r="S867" s="69" t="n">
        <f aca="false">IF($Q867="入荷済み",N($L867),0)</f>
        <v>0</v>
      </c>
      <c r="T867" s="80"/>
      <c r="U867" s="80"/>
    </row>
    <row r="868" customFormat="false" ht="15" hidden="false" customHeight="false" outlineLevel="0" collapsed="false">
      <c r="B868" s="66" t="str">
        <f aca="false">IF(OR($E868="",$F868=""),"","PO-"&amp;TEXT($E868,"yyyymmdd")&amp;"-"&amp;TEXT(COUNTIFS($E$6:$E868,$E868,$C$6:$C868,$C868),"000"))</f>
        <v/>
      </c>
      <c r="C868" s="130"/>
      <c r="D868" s="66" t="str">
        <f aca="false">IFERROR(INDEX(定数マスタ!$C$6:$C$105,MATCH($C868,定数マスタ!$B$6:$B$105,0)),"")</f>
        <v/>
      </c>
      <c r="E868" s="131"/>
      <c r="F868" s="130"/>
      <c r="G868" s="66" t="str">
        <f aca="false">IFERROR(INDEX(商品マスタ!$C$6:$C$1005,MATCH($F868,商品マスタ!$B$6:$B$1005,0)),"")</f>
        <v/>
      </c>
      <c r="H868" s="66" t="str">
        <f aca="false">IFERROR(INDEX(商品マスタ!$E$6:$E$1005,MATCH($F868,商品マスタ!$B$6:$B$1005,0)),"")</f>
        <v/>
      </c>
      <c r="I868" s="69" t="str">
        <f aca="false">IFERROR(INDEX(商品マスタ!$F$6:$F$1005,MATCH($F868,商品マスタ!$B$6:$B$1005,0)),"")</f>
        <v/>
      </c>
      <c r="J868" s="69" t="str">
        <f aca="false">IF(OR($F868="",$C868&lt;&gt;'設定（最初に1回）'!$C$4),"",IFERROR(INDEX(発注計算!$Y$6:$Y$405,MATCH($F868,発注計算!$C$6:$C$405,0)),""))</f>
        <v/>
      </c>
      <c r="K868" s="70"/>
      <c r="L868" s="69" t="str">
        <f aca="false">IF($K868="","",N($K868)*N($I868))</f>
        <v/>
      </c>
      <c r="M868" s="71" t="str">
        <f aca="false">IFERROR(INDEX(商品マスタ!$G$6:$G$1005,MATCH($F868,商品マスタ!$B$6:$B$1005,0)),"")</f>
        <v/>
      </c>
      <c r="N868" s="71" t="str">
        <f aca="false">IF($K868="","",N($K868)*N($M868))</f>
        <v/>
      </c>
      <c r="O868" s="66" t="str">
        <f aca="false">IFERROR(INDEX(商品マスタ!$H$6:$H$1005,MATCH($F868,商品マスタ!$B$6:$B$1005,0)),"")</f>
        <v/>
      </c>
      <c r="P868" s="87" t="str">
        <f aca="false">IF(OR($E868="",$O868=""),"",WORKDAY($E868,$O868))</f>
        <v/>
      </c>
      <c r="Q868" s="80"/>
      <c r="R868" s="131"/>
      <c r="S868" s="69" t="n">
        <f aca="false">IF($Q868="入荷済み",N($L868),0)</f>
        <v>0</v>
      </c>
      <c r="T868" s="80"/>
      <c r="U868" s="80"/>
    </row>
    <row r="869" customFormat="false" ht="15" hidden="false" customHeight="false" outlineLevel="0" collapsed="false">
      <c r="B869" s="66" t="str">
        <f aca="false">IF(OR($E869="",$F869=""),"","PO-"&amp;TEXT($E869,"yyyymmdd")&amp;"-"&amp;TEXT(COUNTIFS($E$6:$E869,$E869,$C$6:$C869,$C869),"000"))</f>
        <v/>
      </c>
      <c r="C869" s="130"/>
      <c r="D869" s="66" t="str">
        <f aca="false">IFERROR(INDEX(定数マスタ!$C$6:$C$105,MATCH($C869,定数マスタ!$B$6:$B$105,0)),"")</f>
        <v/>
      </c>
      <c r="E869" s="131"/>
      <c r="F869" s="130"/>
      <c r="G869" s="66" t="str">
        <f aca="false">IFERROR(INDEX(商品マスタ!$C$6:$C$1005,MATCH($F869,商品マスタ!$B$6:$B$1005,0)),"")</f>
        <v/>
      </c>
      <c r="H869" s="66" t="str">
        <f aca="false">IFERROR(INDEX(商品マスタ!$E$6:$E$1005,MATCH($F869,商品マスタ!$B$6:$B$1005,0)),"")</f>
        <v/>
      </c>
      <c r="I869" s="69" t="str">
        <f aca="false">IFERROR(INDEX(商品マスタ!$F$6:$F$1005,MATCH($F869,商品マスタ!$B$6:$B$1005,0)),"")</f>
        <v/>
      </c>
      <c r="J869" s="69" t="str">
        <f aca="false">IF(OR($F869="",$C869&lt;&gt;'設定（最初に1回）'!$C$4),"",IFERROR(INDEX(発注計算!$Y$6:$Y$405,MATCH($F869,発注計算!$C$6:$C$405,0)),""))</f>
        <v/>
      </c>
      <c r="K869" s="70"/>
      <c r="L869" s="69" t="str">
        <f aca="false">IF($K869="","",N($K869)*N($I869))</f>
        <v/>
      </c>
      <c r="M869" s="71" t="str">
        <f aca="false">IFERROR(INDEX(商品マスタ!$G$6:$G$1005,MATCH($F869,商品マスタ!$B$6:$B$1005,0)),"")</f>
        <v/>
      </c>
      <c r="N869" s="71" t="str">
        <f aca="false">IF($K869="","",N($K869)*N($M869))</f>
        <v/>
      </c>
      <c r="O869" s="66" t="str">
        <f aca="false">IFERROR(INDEX(商品マスタ!$H$6:$H$1005,MATCH($F869,商品マスタ!$B$6:$B$1005,0)),"")</f>
        <v/>
      </c>
      <c r="P869" s="87" t="str">
        <f aca="false">IF(OR($E869="",$O869=""),"",WORKDAY($E869,$O869))</f>
        <v/>
      </c>
      <c r="Q869" s="80"/>
      <c r="R869" s="131"/>
      <c r="S869" s="69" t="n">
        <f aca="false">IF($Q869="入荷済み",N($L869),0)</f>
        <v>0</v>
      </c>
      <c r="T869" s="80"/>
      <c r="U869" s="80"/>
    </row>
    <row r="870" customFormat="false" ht="15" hidden="false" customHeight="false" outlineLevel="0" collapsed="false">
      <c r="B870" s="66" t="str">
        <f aca="false">IF(OR($E870="",$F870=""),"","PO-"&amp;TEXT($E870,"yyyymmdd")&amp;"-"&amp;TEXT(COUNTIFS($E$6:$E870,$E870,$C$6:$C870,$C870),"000"))</f>
        <v/>
      </c>
      <c r="C870" s="130"/>
      <c r="D870" s="66" t="str">
        <f aca="false">IFERROR(INDEX(定数マスタ!$C$6:$C$105,MATCH($C870,定数マスタ!$B$6:$B$105,0)),"")</f>
        <v/>
      </c>
      <c r="E870" s="131"/>
      <c r="F870" s="130"/>
      <c r="G870" s="66" t="str">
        <f aca="false">IFERROR(INDEX(商品マスタ!$C$6:$C$1005,MATCH($F870,商品マスタ!$B$6:$B$1005,0)),"")</f>
        <v/>
      </c>
      <c r="H870" s="66" t="str">
        <f aca="false">IFERROR(INDEX(商品マスタ!$E$6:$E$1005,MATCH($F870,商品マスタ!$B$6:$B$1005,0)),"")</f>
        <v/>
      </c>
      <c r="I870" s="69" t="str">
        <f aca="false">IFERROR(INDEX(商品マスタ!$F$6:$F$1005,MATCH($F870,商品マスタ!$B$6:$B$1005,0)),"")</f>
        <v/>
      </c>
      <c r="J870" s="69" t="str">
        <f aca="false">IF(OR($F870="",$C870&lt;&gt;'設定（最初に1回）'!$C$4),"",IFERROR(INDEX(発注計算!$Y$6:$Y$405,MATCH($F870,発注計算!$C$6:$C$405,0)),""))</f>
        <v/>
      </c>
      <c r="K870" s="70"/>
      <c r="L870" s="69" t="str">
        <f aca="false">IF($K870="","",N($K870)*N($I870))</f>
        <v/>
      </c>
      <c r="M870" s="71" t="str">
        <f aca="false">IFERROR(INDEX(商品マスタ!$G$6:$G$1005,MATCH($F870,商品マスタ!$B$6:$B$1005,0)),"")</f>
        <v/>
      </c>
      <c r="N870" s="71" t="str">
        <f aca="false">IF($K870="","",N($K870)*N($M870))</f>
        <v/>
      </c>
      <c r="O870" s="66" t="str">
        <f aca="false">IFERROR(INDEX(商品マスタ!$H$6:$H$1005,MATCH($F870,商品マスタ!$B$6:$B$1005,0)),"")</f>
        <v/>
      </c>
      <c r="P870" s="87" t="str">
        <f aca="false">IF(OR($E870="",$O870=""),"",WORKDAY($E870,$O870))</f>
        <v/>
      </c>
      <c r="Q870" s="80"/>
      <c r="R870" s="131"/>
      <c r="S870" s="69" t="n">
        <f aca="false">IF($Q870="入荷済み",N($L870),0)</f>
        <v>0</v>
      </c>
      <c r="T870" s="80"/>
      <c r="U870" s="80"/>
    </row>
    <row r="871" customFormat="false" ht="15" hidden="false" customHeight="false" outlineLevel="0" collapsed="false">
      <c r="B871" s="66" t="str">
        <f aca="false">IF(OR($E871="",$F871=""),"","PO-"&amp;TEXT($E871,"yyyymmdd")&amp;"-"&amp;TEXT(COUNTIFS($E$6:$E871,$E871,$C$6:$C871,$C871),"000"))</f>
        <v/>
      </c>
      <c r="C871" s="130"/>
      <c r="D871" s="66" t="str">
        <f aca="false">IFERROR(INDEX(定数マスタ!$C$6:$C$105,MATCH($C871,定数マスタ!$B$6:$B$105,0)),"")</f>
        <v/>
      </c>
      <c r="E871" s="131"/>
      <c r="F871" s="130"/>
      <c r="G871" s="66" t="str">
        <f aca="false">IFERROR(INDEX(商品マスタ!$C$6:$C$1005,MATCH($F871,商品マスタ!$B$6:$B$1005,0)),"")</f>
        <v/>
      </c>
      <c r="H871" s="66" t="str">
        <f aca="false">IFERROR(INDEX(商品マスタ!$E$6:$E$1005,MATCH($F871,商品マスタ!$B$6:$B$1005,0)),"")</f>
        <v/>
      </c>
      <c r="I871" s="69" t="str">
        <f aca="false">IFERROR(INDEX(商品マスタ!$F$6:$F$1005,MATCH($F871,商品マスタ!$B$6:$B$1005,0)),"")</f>
        <v/>
      </c>
      <c r="J871" s="69" t="str">
        <f aca="false">IF(OR($F871="",$C871&lt;&gt;'設定（最初に1回）'!$C$4),"",IFERROR(INDEX(発注計算!$Y$6:$Y$405,MATCH($F871,発注計算!$C$6:$C$405,0)),""))</f>
        <v/>
      </c>
      <c r="K871" s="70"/>
      <c r="L871" s="69" t="str">
        <f aca="false">IF($K871="","",N($K871)*N($I871))</f>
        <v/>
      </c>
      <c r="M871" s="71" t="str">
        <f aca="false">IFERROR(INDEX(商品マスタ!$G$6:$G$1005,MATCH($F871,商品マスタ!$B$6:$B$1005,0)),"")</f>
        <v/>
      </c>
      <c r="N871" s="71" t="str">
        <f aca="false">IF($K871="","",N($K871)*N($M871))</f>
        <v/>
      </c>
      <c r="O871" s="66" t="str">
        <f aca="false">IFERROR(INDEX(商品マスタ!$H$6:$H$1005,MATCH($F871,商品マスタ!$B$6:$B$1005,0)),"")</f>
        <v/>
      </c>
      <c r="P871" s="87" t="str">
        <f aca="false">IF(OR($E871="",$O871=""),"",WORKDAY($E871,$O871))</f>
        <v/>
      </c>
      <c r="Q871" s="80"/>
      <c r="R871" s="131"/>
      <c r="S871" s="69" t="n">
        <f aca="false">IF($Q871="入荷済み",N($L871),0)</f>
        <v>0</v>
      </c>
      <c r="T871" s="80"/>
      <c r="U871" s="80"/>
    </row>
    <row r="872" customFormat="false" ht="15" hidden="false" customHeight="false" outlineLevel="0" collapsed="false">
      <c r="B872" s="66" t="str">
        <f aca="false">IF(OR($E872="",$F872=""),"","PO-"&amp;TEXT($E872,"yyyymmdd")&amp;"-"&amp;TEXT(COUNTIFS($E$6:$E872,$E872,$C$6:$C872,$C872),"000"))</f>
        <v/>
      </c>
      <c r="C872" s="130"/>
      <c r="D872" s="66" t="str">
        <f aca="false">IFERROR(INDEX(定数マスタ!$C$6:$C$105,MATCH($C872,定数マスタ!$B$6:$B$105,0)),"")</f>
        <v/>
      </c>
      <c r="E872" s="131"/>
      <c r="F872" s="130"/>
      <c r="G872" s="66" t="str">
        <f aca="false">IFERROR(INDEX(商品マスタ!$C$6:$C$1005,MATCH($F872,商品マスタ!$B$6:$B$1005,0)),"")</f>
        <v/>
      </c>
      <c r="H872" s="66" t="str">
        <f aca="false">IFERROR(INDEX(商品マスタ!$E$6:$E$1005,MATCH($F872,商品マスタ!$B$6:$B$1005,0)),"")</f>
        <v/>
      </c>
      <c r="I872" s="69" t="str">
        <f aca="false">IFERROR(INDEX(商品マスタ!$F$6:$F$1005,MATCH($F872,商品マスタ!$B$6:$B$1005,0)),"")</f>
        <v/>
      </c>
      <c r="J872" s="69" t="str">
        <f aca="false">IF(OR($F872="",$C872&lt;&gt;'設定（最初に1回）'!$C$4),"",IFERROR(INDEX(発注計算!$Y$6:$Y$405,MATCH($F872,発注計算!$C$6:$C$405,0)),""))</f>
        <v/>
      </c>
      <c r="K872" s="70"/>
      <c r="L872" s="69" t="str">
        <f aca="false">IF($K872="","",N($K872)*N($I872))</f>
        <v/>
      </c>
      <c r="M872" s="71" t="str">
        <f aca="false">IFERROR(INDEX(商品マスタ!$G$6:$G$1005,MATCH($F872,商品マスタ!$B$6:$B$1005,0)),"")</f>
        <v/>
      </c>
      <c r="N872" s="71" t="str">
        <f aca="false">IF($K872="","",N($K872)*N($M872))</f>
        <v/>
      </c>
      <c r="O872" s="66" t="str">
        <f aca="false">IFERROR(INDEX(商品マスタ!$H$6:$H$1005,MATCH($F872,商品マスタ!$B$6:$B$1005,0)),"")</f>
        <v/>
      </c>
      <c r="P872" s="87" t="str">
        <f aca="false">IF(OR($E872="",$O872=""),"",WORKDAY($E872,$O872))</f>
        <v/>
      </c>
      <c r="Q872" s="80"/>
      <c r="R872" s="131"/>
      <c r="S872" s="69" t="n">
        <f aca="false">IF($Q872="入荷済み",N($L872),0)</f>
        <v>0</v>
      </c>
      <c r="T872" s="80"/>
      <c r="U872" s="80"/>
    </row>
    <row r="873" customFormat="false" ht="15" hidden="false" customHeight="false" outlineLevel="0" collapsed="false">
      <c r="B873" s="66" t="str">
        <f aca="false">IF(OR($E873="",$F873=""),"","PO-"&amp;TEXT($E873,"yyyymmdd")&amp;"-"&amp;TEXT(COUNTIFS($E$6:$E873,$E873,$C$6:$C873,$C873),"000"))</f>
        <v/>
      </c>
      <c r="C873" s="130"/>
      <c r="D873" s="66" t="str">
        <f aca="false">IFERROR(INDEX(定数マスタ!$C$6:$C$105,MATCH($C873,定数マスタ!$B$6:$B$105,0)),"")</f>
        <v/>
      </c>
      <c r="E873" s="131"/>
      <c r="F873" s="130"/>
      <c r="G873" s="66" t="str">
        <f aca="false">IFERROR(INDEX(商品マスタ!$C$6:$C$1005,MATCH($F873,商品マスタ!$B$6:$B$1005,0)),"")</f>
        <v/>
      </c>
      <c r="H873" s="66" t="str">
        <f aca="false">IFERROR(INDEX(商品マスタ!$E$6:$E$1005,MATCH($F873,商品マスタ!$B$6:$B$1005,0)),"")</f>
        <v/>
      </c>
      <c r="I873" s="69" t="str">
        <f aca="false">IFERROR(INDEX(商品マスタ!$F$6:$F$1005,MATCH($F873,商品マスタ!$B$6:$B$1005,0)),"")</f>
        <v/>
      </c>
      <c r="J873" s="69" t="str">
        <f aca="false">IF(OR($F873="",$C873&lt;&gt;'設定（最初に1回）'!$C$4),"",IFERROR(INDEX(発注計算!$Y$6:$Y$405,MATCH($F873,発注計算!$C$6:$C$405,0)),""))</f>
        <v/>
      </c>
      <c r="K873" s="70"/>
      <c r="L873" s="69" t="str">
        <f aca="false">IF($K873="","",N($K873)*N($I873))</f>
        <v/>
      </c>
      <c r="M873" s="71" t="str">
        <f aca="false">IFERROR(INDEX(商品マスタ!$G$6:$G$1005,MATCH($F873,商品マスタ!$B$6:$B$1005,0)),"")</f>
        <v/>
      </c>
      <c r="N873" s="71" t="str">
        <f aca="false">IF($K873="","",N($K873)*N($M873))</f>
        <v/>
      </c>
      <c r="O873" s="66" t="str">
        <f aca="false">IFERROR(INDEX(商品マスタ!$H$6:$H$1005,MATCH($F873,商品マスタ!$B$6:$B$1005,0)),"")</f>
        <v/>
      </c>
      <c r="P873" s="87" t="str">
        <f aca="false">IF(OR($E873="",$O873=""),"",WORKDAY($E873,$O873))</f>
        <v/>
      </c>
      <c r="Q873" s="80"/>
      <c r="R873" s="131"/>
      <c r="S873" s="69" t="n">
        <f aca="false">IF($Q873="入荷済み",N($L873),0)</f>
        <v>0</v>
      </c>
      <c r="T873" s="80"/>
      <c r="U873" s="80"/>
    </row>
    <row r="874" customFormat="false" ht="15" hidden="false" customHeight="false" outlineLevel="0" collapsed="false">
      <c r="B874" s="66" t="str">
        <f aca="false">IF(OR($E874="",$F874=""),"","PO-"&amp;TEXT($E874,"yyyymmdd")&amp;"-"&amp;TEXT(COUNTIFS($E$6:$E874,$E874,$C$6:$C874,$C874),"000"))</f>
        <v/>
      </c>
      <c r="C874" s="130"/>
      <c r="D874" s="66" t="str">
        <f aca="false">IFERROR(INDEX(定数マスタ!$C$6:$C$105,MATCH($C874,定数マスタ!$B$6:$B$105,0)),"")</f>
        <v/>
      </c>
      <c r="E874" s="131"/>
      <c r="F874" s="130"/>
      <c r="G874" s="66" t="str">
        <f aca="false">IFERROR(INDEX(商品マスタ!$C$6:$C$1005,MATCH($F874,商品マスタ!$B$6:$B$1005,0)),"")</f>
        <v/>
      </c>
      <c r="H874" s="66" t="str">
        <f aca="false">IFERROR(INDEX(商品マスタ!$E$6:$E$1005,MATCH($F874,商品マスタ!$B$6:$B$1005,0)),"")</f>
        <v/>
      </c>
      <c r="I874" s="69" t="str">
        <f aca="false">IFERROR(INDEX(商品マスタ!$F$6:$F$1005,MATCH($F874,商品マスタ!$B$6:$B$1005,0)),"")</f>
        <v/>
      </c>
      <c r="J874" s="69" t="str">
        <f aca="false">IF(OR($F874="",$C874&lt;&gt;'設定（最初に1回）'!$C$4),"",IFERROR(INDEX(発注計算!$Y$6:$Y$405,MATCH($F874,発注計算!$C$6:$C$405,0)),""))</f>
        <v/>
      </c>
      <c r="K874" s="70"/>
      <c r="L874" s="69" t="str">
        <f aca="false">IF($K874="","",N($K874)*N($I874))</f>
        <v/>
      </c>
      <c r="M874" s="71" t="str">
        <f aca="false">IFERROR(INDEX(商品マスタ!$G$6:$G$1005,MATCH($F874,商品マスタ!$B$6:$B$1005,0)),"")</f>
        <v/>
      </c>
      <c r="N874" s="71" t="str">
        <f aca="false">IF($K874="","",N($K874)*N($M874))</f>
        <v/>
      </c>
      <c r="O874" s="66" t="str">
        <f aca="false">IFERROR(INDEX(商品マスタ!$H$6:$H$1005,MATCH($F874,商品マスタ!$B$6:$B$1005,0)),"")</f>
        <v/>
      </c>
      <c r="P874" s="87" t="str">
        <f aca="false">IF(OR($E874="",$O874=""),"",WORKDAY($E874,$O874))</f>
        <v/>
      </c>
      <c r="Q874" s="80"/>
      <c r="R874" s="131"/>
      <c r="S874" s="69" t="n">
        <f aca="false">IF($Q874="入荷済み",N($L874),0)</f>
        <v>0</v>
      </c>
      <c r="T874" s="80"/>
      <c r="U874" s="80"/>
    </row>
    <row r="875" customFormat="false" ht="15" hidden="false" customHeight="false" outlineLevel="0" collapsed="false">
      <c r="B875" s="66" t="str">
        <f aca="false">IF(OR($E875="",$F875=""),"","PO-"&amp;TEXT($E875,"yyyymmdd")&amp;"-"&amp;TEXT(COUNTIFS($E$6:$E875,$E875,$C$6:$C875,$C875),"000"))</f>
        <v/>
      </c>
      <c r="C875" s="130"/>
      <c r="D875" s="66" t="str">
        <f aca="false">IFERROR(INDEX(定数マスタ!$C$6:$C$105,MATCH($C875,定数マスタ!$B$6:$B$105,0)),"")</f>
        <v/>
      </c>
      <c r="E875" s="131"/>
      <c r="F875" s="130"/>
      <c r="G875" s="66" t="str">
        <f aca="false">IFERROR(INDEX(商品マスタ!$C$6:$C$1005,MATCH($F875,商品マスタ!$B$6:$B$1005,0)),"")</f>
        <v/>
      </c>
      <c r="H875" s="66" t="str">
        <f aca="false">IFERROR(INDEX(商品マスタ!$E$6:$E$1005,MATCH($F875,商品マスタ!$B$6:$B$1005,0)),"")</f>
        <v/>
      </c>
      <c r="I875" s="69" t="str">
        <f aca="false">IFERROR(INDEX(商品マスタ!$F$6:$F$1005,MATCH($F875,商品マスタ!$B$6:$B$1005,0)),"")</f>
        <v/>
      </c>
      <c r="J875" s="69" t="str">
        <f aca="false">IF(OR($F875="",$C875&lt;&gt;'設定（最初に1回）'!$C$4),"",IFERROR(INDEX(発注計算!$Y$6:$Y$405,MATCH($F875,発注計算!$C$6:$C$405,0)),""))</f>
        <v/>
      </c>
      <c r="K875" s="70"/>
      <c r="L875" s="69" t="str">
        <f aca="false">IF($K875="","",N($K875)*N($I875))</f>
        <v/>
      </c>
      <c r="M875" s="71" t="str">
        <f aca="false">IFERROR(INDEX(商品マスタ!$G$6:$G$1005,MATCH($F875,商品マスタ!$B$6:$B$1005,0)),"")</f>
        <v/>
      </c>
      <c r="N875" s="71" t="str">
        <f aca="false">IF($K875="","",N($K875)*N($M875))</f>
        <v/>
      </c>
      <c r="O875" s="66" t="str">
        <f aca="false">IFERROR(INDEX(商品マスタ!$H$6:$H$1005,MATCH($F875,商品マスタ!$B$6:$B$1005,0)),"")</f>
        <v/>
      </c>
      <c r="P875" s="87" t="str">
        <f aca="false">IF(OR($E875="",$O875=""),"",WORKDAY($E875,$O875))</f>
        <v/>
      </c>
      <c r="Q875" s="80"/>
      <c r="R875" s="131"/>
      <c r="S875" s="69" t="n">
        <f aca="false">IF($Q875="入荷済み",N($L875),0)</f>
        <v>0</v>
      </c>
      <c r="T875" s="80"/>
      <c r="U875" s="80"/>
    </row>
    <row r="876" customFormat="false" ht="15" hidden="false" customHeight="false" outlineLevel="0" collapsed="false">
      <c r="B876" s="66" t="str">
        <f aca="false">IF(OR($E876="",$F876=""),"","PO-"&amp;TEXT($E876,"yyyymmdd")&amp;"-"&amp;TEXT(COUNTIFS($E$6:$E876,$E876,$C$6:$C876,$C876),"000"))</f>
        <v/>
      </c>
      <c r="C876" s="130"/>
      <c r="D876" s="66" t="str">
        <f aca="false">IFERROR(INDEX(定数マスタ!$C$6:$C$105,MATCH($C876,定数マスタ!$B$6:$B$105,0)),"")</f>
        <v/>
      </c>
      <c r="E876" s="131"/>
      <c r="F876" s="130"/>
      <c r="G876" s="66" t="str">
        <f aca="false">IFERROR(INDEX(商品マスタ!$C$6:$C$1005,MATCH($F876,商品マスタ!$B$6:$B$1005,0)),"")</f>
        <v/>
      </c>
      <c r="H876" s="66" t="str">
        <f aca="false">IFERROR(INDEX(商品マスタ!$E$6:$E$1005,MATCH($F876,商品マスタ!$B$6:$B$1005,0)),"")</f>
        <v/>
      </c>
      <c r="I876" s="69" t="str">
        <f aca="false">IFERROR(INDEX(商品マスタ!$F$6:$F$1005,MATCH($F876,商品マスタ!$B$6:$B$1005,0)),"")</f>
        <v/>
      </c>
      <c r="J876" s="69" t="str">
        <f aca="false">IF(OR($F876="",$C876&lt;&gt;'設定（最初に1回）'!$C$4),"",IFERROR(INDEX(発注計算!$Y$6:$Y$405,MATCH($F876,発注計算!$C$6:$C$405,0)),""))</f>
        <v/>
      </c>
      <c r="K876" s="70"/>
      <c r="L876" s="69" t="str">
        <f aca="false">IF($K876="","",N($K876)*N($I876))</f>
        <v/>
      </c>
      <c r="M876" s="71" t="str">
        <f aca="false">IFERROR(INDEX(商品マスタ!$G$6:$G$1005,MATCH($F876,商品マスタ!$B$6:$B$1005,0)),"")</f>
        <v/>
      </c>
      <c r="N876" s="71" t="str">
        <f aca="false">IF($K876="","",N($K876)*N($M876))</f>
        <v/>
      </c>
      <c r="O876" s="66" t="str">
        <f aca="false">IFERROR(INDEX(商品マスタ!$H$6:$H$1005,MATCH($F876,商品マスタ!$B$6:$B$1005,0)),"")</f>
        <v/>
      </c>
      <c r="P876" s="87" t="str">
        <f aca="false">IF(OR($E876="",$O876=""),"",WORKDAY($E876,$O876))</f>
        <v/>
      </c>
      <c r="Q876" s="80"/>
      <c r="R876" s="131"/>
      <c r="S876" s="69" t="n">
        <f aca="false">IF($Q876="入荷済み",N($L876),0)</f>
        <v>0</v>
      </c>
      <c r="T876" s="80"/>
      <c r="U876" s="80"/>
    </row>
    <row r="877" customFormat="false" ht="15" hidden="false" customHeight="false" outlineLevel="0" collapsed="false">
      <c r="B877" s="66" t="str">
        <f aca="false">IF(OR($E877="",$F877=""),"","PO-"&amp;TEXT($E877,"yyyymmdd")&amp;"-"&amp;TEXT(COUNTIFS($E$6:$E877,$E877,$C$6:$C877,$C877),"000"))</f>
        <v/>
      </c>
      <c r="C877" s="130"/>
      <c r="D877" s="66" t="str">
        <f aca="false">IFERROR(INDEX(定数マスタ!$C$6:$C$105,MATCH($C877,定数マスタ!$B$6:$B$105,0)),"")</f>
        <v/>
      </c>
      <c r="E877" s="131"/>
      <c r="F877" s="130"/>
      <c r="G877" s="66" t="str">
        <f aca="false">IFERROR(INDEX(商品マスタ!$C$6:$C$1005,MATCH($F877,商品マスタ!$B$6:$B$1005,0)),"")</f>
        <v/>
      </c>
      <c r="H877" s="66" t="str">
        <f aca="false">IFERROR(INDEX(商品マスタ!$E$6:$E$1005,MATCH($F877,商品マスタ!$B$6:$B$1005,0)),"")</f>
        <v/>
      </c>
      <c r="I877" s="69" t="str">
        <f aca="false">IFERROR(INDEX(商品マスタ!$F$6:$F$1005,MATCH($F877,商品マスタ!$B$6:$B$1005,0)),"")</f>
        <v/>
      </c>
      <c r="J877" s="69" t="str">
        <f aca="false">IF(OR($F877="",$C877&lt;&gt;'設定（最初に1回）'!$C$4),"",IFERROR(INDEX(発注計算!$Y$6:$Y$405,MATCH($F877,発注計算!$C$6:$C$405,0)),""))</f>
        <v/>
      </c>
      <c r="K877" s="70"/>
      <c r="L877" s="69" t="str">
        <f aca="false">IF($K877="","",N($K877)*N($I877))</f>
        <v/>
      </c>
      <c r="M877" s="71" t="str">
        <f aca="false">IFERROR(INDEX(商品マスタ!$G$6:$G$1005,MATCH($F877,商品マスタ!$B$6:$B$1005,0)),"")</f>
        <v/>
      </c>
      <c r="N877" s="71" t="str">
        <f aca="false">IF($K877="","",N($K877)*N($M877))</f>
        <v/>
      </c>
      <c r="O877" s="66" t="str">
        <f aca="false">IFERROR(INDEX(商品マスタ!$H$6:$H$1005,MATCH($F877,商品マスタ!$B$6:$B$1005,0)),"")</f>
        <v/>
      </c>
      <c r="P877" s="87" t="str">
        <f aca="false">IF(OR($E877="",$O877=""),"",WORKDAY($E877,$O877))</f>
        <v/>
      </c>
      <c r="Q877" s="80"/>
      <c r="R877" s="131"/>
      <c r="S877" s="69" t="n">
        <f aca="false">IF($Q877="入荷済み",N($L877),0)</f>
        <v>0</v>
      </c>
      <c r="T877" s="80"/>
      <c r="U877" s="80"/>
    </row>
    <row r="878" customFormat="false" ht="15" hidden="false" customHeight="false" outlineLevel="0" collapsed="false">
      <c r="B878" s="66" t="str">
        <f aca="false">IF(OR($E878="",$F878=""),"","PO-"&amp;TEXT($E878,"yyyymmdd")&amp;"-"&amp;TEXT(COUNTIFS($E$6:$E878,$E878,$C$6:$C878,$C878),"000"))</f>
        <v/>
      </c>
      <c r="C878" s="130"/>
      <c r="D878" s="66" t="str">
        <f aca="false">IFERROR(INDEX(定数マスタ!$C$6:$C$105,MATCH($C878,定数マスタ!$B$6:$B$105,0)),"")</f>
        <v/>
      </c>
      <c r="E878" s="131"/>
      <c r="F878" s="130"/>
      <c r="G878" s="66" t="str">
        <f aca="false">IFERROR(INDEX(商品マスタ!$C$6:$C$1005,MATCH($F878,商品マスタ!$B$6:$B$1005,0)),"")</f>
        <v/>
      </c>
      <c r="H878" s="66" t="str">
        <f aca="false">IFERROR(INDEX(商品マスタ!$E$6:$E$1005,MATCH($F878,商品マスタ!$B$6:$B$1005,0)),"")</f>
        <v/>
      </c>
      <c r="I878" s="69" t="str">
        <f aca="false">IFERROR(INDEX(商品マスタ!$F$6:$F$1005,MATCH($F878,商品マスタ!$B$6:$B$1005,0)),"")</f>
        <v/>
      </c>
      <c r="J878" s="69" t="str">
        <f aca="false">IF(OR($F878="",$C878&lt;&gt;'設定（最初に1回）'!$C$4),"",IFERROR(INDEX(発注計算!$Y$6:$Y$405,MATCH($F878,発注計算!$C$6:$C$405,0)),""))</f>
        <v/>
      </c>
      <c r="K878" s="70"/>
      <c r="L878" s="69" t="str">
        <f aca="false">IF($K878="","",N($K878)*N($I878))</f>
        <v/>
      </c>
      <c r="M878" s="71" t="str">
        <f aca="false">IFERROR(INDEX(商品マスタ!$G$6:$G$1005,MATCH($F878,商品マスタ!$B$6:$B$1005,0)),"")</f>
        <v/>
      </c>
      <c r="N878" s="71" t="str">
        <f aca="false">IF($K878="","",N($K878)*N($M878))</f>
        <v/>
      </c>
      <c r="O878" s="66" t="str">
        <f aca="false">IFERROR(INDEX(商品マスタ!$H$6:$H$1005,MATCH($F878,商品マスタ!$B$6:$B$1005,0)),"")</f>
        <v/>
      </c>
      <c r="P878" s="87" t="str">
        <f aca="false">IF(OR($E878="",$O878=""),"",WORKDAY($E878,$O878))</f>
        <v/>
      </c>
      <c r="Q878" s="80"/>
      <c r="R878" s="131"/>
      <c r="S878" s="69" t="n">
        <f aca="false">IF($Q878="入荷済み",N($L878),0)</f>
        <v>0</v>
      </c>
      <c r="T878" s="80"/>
      <c r="U878" s="80"/>
    </row>
    <row r="879" customFormat="false" ht="15" hidden="false" customHeight="false" outlineLevel="0" collapsed="false">
      <c r="B879" s="66" t="str">
        <f aca="false">IF(OR($E879="",$F879=""),"","PO-"&amp;TEXT($E879,"yyyymmdd")&amp;"-"&amp;TEXT(COUNTIFS($E$6:$E879,$E879,$C$6:$C879,$C879),"000"))</f>
        <v/>
      </c>
      <c r="C879" s="130"/>
      <c r="D879" s="66" t="str">
        <f aca="false">IFERROR(INDEX(定数マスタ!$C$6:$C$105,MATCH($C879,定数マスタ!$B$6:$B$105,0)),"")</f>
        <v/>
      </c>
      <c r="E879" s="131"/>
      <c r="F879" s="130"/>
      <c r="G879" s="66" t="str">
        <f aca="false">IFERROR(INDEX(商品マスタ!$C$6:$C$1005,MATCH($F879,商品マスタ!$B$6:$B$1005,0)),"")</f>
        <v/>
      </c>
      <c r="H879" s="66" t="str">
        <f aca="false">IFERROR(INDEX(商品マスタ!$E$6:$E$1005,MATCH($F879,商品マスタ!$B$6:$B$1005,0)),"")</f>
        <v/>
      </c>
      <c r="I879" s="69" t="str">
        <f aca="false">IFERROR(INDEX(商品マスタ!$F$6:$F$1005,MATCH($F879,商品マスタ!$B$6:$B$1005,0)),"")</f>
        <v/>
      </c>
      <c r="J879" s="69" t="str">
        <f aca="false">IF(OR($F879="",$C879&lt;&gt;'設定（最初に1回）'!$C$4),"",IFERROR(INDEX(発注計算!$Y$6:$Y$405,MATCH($F879,発注計算!$C$6:$C$405,0)),""))</f>
        <v/>
      </c>
      <c r="K879" s="70"/>
      <c r="L879" s="69" t="str">
        <f aca="false">IF($K879="","",N($K879)*N($I879))</f>
        <v/>
      </c>
      <c r="M879" s="71" t="str">
        <f aca="false">IFERROR(INDEX(商品マスタ!$G$6:$G$1005,MATCH($F879,商品マスタ!$B$6:$B$1005,0)),"")</f>
        <v/>
      </c>
      <c r="N879" s="71" t="str">
        <f aca="false">IF($K879="","",N($K879)*N($M879))</f>
        <v/>
      </c>
      <c r="O879" s="66" t="str">
        <f aca="false">IFERROR(INDEX(商品マスタ!$H$6:$H$1005,MATCH($F879,商品マスタ!$B$6:$B$1005,0)),"")</f>
        <v/>
      </c>
      <c r="P879" s="87" t="str">
        <f aca="false">IF(OR($E879="",$O879=""),"",WORKDAY($E879,$O879))</f>
        <v/>
      </c>
      <c r="Q879" s="80"/>
      <c r="R879" s="131"/>
      <c r="S879" s="69" t="n">
        <f aca="false">IF($Q879="入荷済み",N($L879),0)</f>
        <v>0</v>
      </c>
      <c r="T879" s="80"/>
      <c r="U879" s="80"/>
    </row>
    <row r="880" customFormat="false" ht="15" hidden="false" customHeight="false" outlineLevel="0" collapsed="false">
      <c r="B880" s="66" t="str">
        <f aca="false">IF(OR($E880="",$F880=""),"","PO-"&amp;TEXT($E880,"yyyymmdd")&amp;"-"&amp;TEXT(COUNTIFS($E$6:$E880,$E880,$C$6:$C880,$C880),"000"))</f>
        <v/>
      </c>
      <c r="C880" s="130"/>
      <c r="D880" s="66" t="str">
        <f aca="false">IFERROR(INDEX(定数マスタ!$C$6:$C$105,MATCH($C880,定数マスタ!$B$6:$B$105,0)),"")</f>
        <v/>
      </c>
      <c r="E880" s="131"/>
      <c r="F880" s="130"/>
      <c r="G880" s="66" t="str">
        <f aca="false">IFERROR(INDEX(商品マスタ!$C$6:$C$1005,MATCH($F880,商品マスタ!$B$6:$B$1005,0)),"")</f>
        <v/>
      </c>
      <c r="H880" s="66" t="str">
        <f aca="false">IFERROR(INDEX(商品マスタ!$E$6:$E$1005,MATCH($F880,商品マスタ!$B$6:$B$1005,0)),"")</f>
        <v/>
      </c>
      <c r="I880" s="69" t="str">
        <f aca="false">IFERROR(INDEX(商品マスタ!$F$6:$F$1005,MATCH($F880,商品マスタ!$B$6:$B$1005,0)),"")</f>
        <v/>
      </c>
      <c r="J880" s="69" t="str">
        <f aca="false">IF(OR($F880="",$C880&lt;&gt;'設定（最初に1回）'!$C$4),"",IFERROR(INDEX(発注計算!$Y$6:$Y$405,MATCH($F880,発注計算!$C$6:$C$405,0)),""))</f>
        <v/>
      </c>
      <c r="K880" s="70"/>
      <c r="L880" s="69" t="str">
        <f aca="false">IF($K880="","",N($K880)*N($I880))</f>
        <v/>
      </c>
      <c r="M880" s="71" t="str">
        <f aca="false">IFERROR(INDEX(商品マスタ!$G$6:$G$1005,MATCH($F880,商品マスタ!$B$6:$B$1005,0)),"")</f>
        <v/>
      </c>
      <c r="N880" s="71" t="str">
        <f aca="false">IF($K880="","",N($K880)*N($M880))</f>
        <v/>
      </c>
      <c r="O880" s="66" t="str">
        <f aca="false">IFERROR(INDEX(商品マスタ!$H$6:$H$1005,MATCH($F880,商品マスタ!$B$6:$B$1005,0)),"")</f>
        <v/>
      </c>
      <c r="P880" s="87" t="str">
        <f aca="false">IF(OR($E880="",$O880=""),"",WORKDAY($E880,$O880))</f>
        <v/>
      </c>
      <c r="Q880" s="80"/>
      <c r="R880" s="131"/>
      <c r="S880" s="69" t="n">
        <f aca="false">IF($Q880="入荷済み",N($L880),0)</f>
        <v>0</v>
      </c>
      <c r="T880" s="80"/>
      <c r="U880" s="80"/>
    </row>
    <row r="881" customFormat="false" ht="15" hidden="false" customHeight="false" outlineLevel="0" collapsed="false">
      <c r="B881" s="66" t="str">
        <f aca="false">IF(OR($E881="",$F881=""),"","PO-"&amp;TEXT($E881,"yyyymmdd")&amp;"-"&amp;TEXT(COUNTIFS($E$6:$E881,$E881,$C$6:$C881,$C881),"000"))</f>
        <v/>
      </c>
      <c r="C881" s="130"/>
      <c r="D881" s="66" t="str">
        <f aca="false">IFERROR(INDEX(定数マスタ!$C$6:$C$105,MATCH($C881,定数マスタ!$B$6:$B$105,0)),"")</f>
        <v/>
      </c>
      <c r="E881" s="131"/>
      <c r="F881" s="130"/>
      <c r="G881" s="66" t="str">
        <f aca="false">IFERROR(INDEX(商品マスタ!$C$6:$C$1005,MATCH($F881,商品マスタ!$B$6:$B$1005,0)),"")</f>
        <v/>
      </c>
      <c r="H881" s="66" t="str">
        <f aca="false">IFERROR(INDEX(商品マスタ!$E$6:$E$1005,MATCH($F881,商品マスタ!$B$6:$B$1005,0)),"")</f>
        <v/>
      </c>
      <c r="I881" s="69" t="str">
        <f aca="false">IFERROR(INDEX(商品マスタ!$F$6:$F$1005,MATCH($F881,商品マスタ!$B$6:$B$1005,0)),"")</f>
        <v/>
      </c>
      <c r="J881" s="69" t="str">
        <f aca="false">IF(OR($F881="",$C881&lt;&gt;'設定（最初に1回）'!$C$4),"",IFERROR(INDEX(発注計算!$Y$6:$Y$405,MATCH($F881,発注計算!$C$6:$C$405,0)),""))</f>
        <v/>
      </c>
      <c r="K881" s="70"/>
      <c r="L881" s="69" t="str">
        <f aca="false">IF($K881="","",N($K881)*N($I881))</f>
        <v/>
      </c>
      <c r="M881" s="71" t="str">
        <f aca="false">IFERROR(INDEX(商品マスタ!$G$6:$G$1005,MATCH($F881,商品マスタ!$B$6:$B$1005,0)),"")</f>
        <v/>
      </c>
      <c r="N881" s="71" t="str">
        <f aca="false">IF($K881="","",N($K881)*N($M881))</f>
        <v/>
      </c>
      <c r="O881" s="66" t="str">
        <f aca="false">IFERROR(INDEX(商品マスタ!$H$6:$H$1005,MATCH($F881,商品マスタ!$B$6:$B$1005,0)),"")</f>
        <v/>
      </c>
      <c r="P881" s="87" t="str">
        <f aca="false">IF(OR($E881="",$O881=""),"",WORKDAY($E881,$O881))</f>
        <v/>
      </c>
      <c r="Q881" s="80"/>
      <c r="R881" s="131"/>
      <c r="S881" s="69" t="n">
        <f aca="false">IF($Q881="入荷済み",N($L881),0)</f>
        <v>0</v>
      </c>
      <c r="T881" s="80"/>
      <c r="U881" s="80"/>
    </row>
    <row r="882" customFormat="false" ht="15" hidden="false" customHeight="false" outlineLevel="0" collapsed="false">
      <c r="B882" s="66" t="str">
        <f aca="false">IF(OR($E882="",$F882=""),"","PO-"&amp;TEXT($E882,"yyyymmdd")&amp;"-"&amp;TEXT(COUNTIFS($E$6:$E882,$E882,$C$6:$C882,$C882),"000"))</f>
        <v/>
      </c>
      <c r="C882" s="130"/>
      <c r="D882" s="66" t="str">
        <f aca="false">IFERROR(INDEX(定数マスタ!$C$6:$C$105,MATCH($C882,定数マスタ!$B$6:$B$105,0)),"")</f>
        <v/>
      </c>
      <c r="E882" s="131"/>
      <c r="F882" s="130"/>
      <c r="G882" s="66" t="str">
        <f aca="false">IFERROR(INDEX(商品マスタ!$C$6:$C$1005,MATCH($F882,商品マスタ!$B$6:$B$1005,0)),"")</f>
        <v/>
      </c>
      <c r="H882" s="66" t="str">
        <f aca="false">IFERROR(INDEX(商品マスタ!$E$6:$E$1005,MATCH($F882,商品マスタ!$B$6:$B$1005,0)),"")</f>
        <v/>
      </c>
      <c r="I882" s="69" t="str">
        <f aca="false">IFERROR(INDEX(商品マスタ!$F$6:$F$1005,MATCH($F882,商品マスタ!$B$6:$B$1005,0)),"")</f>
        <v/>
      </c>
      <c r="J882" s="69" t="str">
        <f aca="false">IF(OR($F882="",$C882&lt;&gt;'設定（最初に1回）'!$C$4),"",IFERROR(INDEX(発注計算!$Y$6:$Y$405,MATCH($F882,発注計算!$C$6:$C$405,0)),""))</f>
        <v/>
      </c>
      <c r="K882" s="70"/>
      <c r="L882" s="69" t="str">
        <f aca="false">IF($K882="","",N($K882)*N($I882))</f>
        <v/>
      </c>
      <c r="M882" s="71" t="str">
        <f aca="false">IFERROR(INDEX(商品マスタ!$G$6:$G$1005,MATCH($F882,商品マスタ!$B$6:$B$1005,0)),"")</f>
        <v/>
      </c>
      <c r="N882" s="71" t="str">
        <f aca="false">IF($K882="","",N($K882)*N($M882))</f>
        <v/>
      </c>
      <c r="O882" s="66" t="str">
        <f aca="false">IFERROR(INDEX(商品マスタ!$H$6:$H$1005,MATCH($F882,商品マスタ!$B$6:$B$1005,0)),"")</f>
        <v/>
      </c>
      <c r="P882" s="87" t="str">
        <f aca="false">IF(OR($E882="",$O882=""),"",WORKDAY($E882,$O882))</f>
        <v/>
      </c>
      <c r="Q882" s="80"/>
      <c r="R882" s="131"/>
      <c r="S882" s="69" t="n">
        <f aca="false">IF($Q882="入荷済み",N($L882),0)</f>
        <v>0</v>
      </c>
      <c r="T882" s="80"/>
      <c r="U882" s="80"/>
    </row>
    <row r="883" customFormat="false" ht="15" hidden="false" customHeight="false" outlineLevel="0" collapsed="false">
      <c r="B883" s="66" t="str">
        <f aca="false">IF(OR($E883="",$F883=""),"","PO-"&amp;TEXT($E883,"yyyymmdd")&amp;"-"&amp;TEXT(COUNTIFS($E$6:$E883,$E883,$C$6:$C883,$C883),"000"))</f>
        <v/>
      </c>
      <c r="C883" s="130"/>
      <c r="D883" s="66" t="str">
        <f aca="false">IFERROR(INDEX(定数マスタ!$C$6:$C$105,MATCH($C883,定数マスタ!$B$6:$B$105,0)),"")</f>
        <v/>
      </c>
      <c r="E883" s="131"/>
      <c r="F883" s="130"/>
      <c r="G883" s="66" t="str">
        <f aca="false">IFERROR(INDEX(商品マスタ!$C$6:$C$1005,MATCH($F883,商品マスタ!$B$6:$B$1005,0)),"")</f>
        <v/>
      </c>
      <c r="H883" s="66" t="str">
        <f aca="false">IFERROR(INDEX(商品マスタ!$E$6:$E$1005,MATCH($F883,商品マスタ!$B$6:$B$1005,0)),"")</f>
        <v/>
      </c>
      <c r="I883" s="69" t="str">
        <f aca="false">IFERROR(INDEX(商品マスタ!$F$6:$F$1005,MATCH($F883,商品マスタ!$B$6:$B$1005,0)),"")</f>
        <v/>
      </c>
      <c r="J883" s="69" t="str">
        <f aca="false">IF(OR($F883="",$C883&lt;&gt;'設定（最初に1回）'!$C$4),"",IFERROR(INDEX(発注計算!$Y$6:$Y$405,MATCH($F883,発注計算!$C$6:$C$405,0)),""))</f>
        <v/>
      </c>
      <c r="K883" s="70"/>
      <c r="L883" s="69" t="str">
        <f aca="false">IF($K883="","",N($K883)*N($I883))</f>
        <v/>
      </c>
      <c r="M883" s="71" t="str">
        <f aca="false">IFERROR(INDEX(商品マスタ!$G$6:$G$1005,MATCH($F883,商品マスタ!$B$6:$B$1005,0)),"")</f>
        <v/>
      </c>
      <c r="N883" s="71" t="str">
        <f aca="false">IF($K883="","",N($K883)*N($M883))</f>
        <v/>
      </c>
      <c r="O883" s="66" t="str">
        <f aca="false">IFERROR(INDEX(商品マスタ!$H$6:$H$1005,MATCH($F883,商品マスタ!$B$6:$B$1005,0)),"")</f>
        <v/>
      </c>
      <c r="P883" s="87" t="str">
        <f aca="false">IF(OR($E883="",$O883=""),"",WORKDAY($E883,$O883))</f>
        <v/>
      </c>
      <c r="Q883" s="80"/>
      <c r="R883" s="131"/>
      <c r="S883" s="69" t="n">
        <f aca="false">IF($Q883="入荷済み",N($L883),0)</f>
        <v>0</v>
      </c>
      <c r="T883" s="80"/>
      <c r="U883" s="80"/>
    </row>
    <row r="884" customFormat="false" ht="15" hidden="false" customHeight="false" outlineLevel="0" collapsed="false">
      <c r="B884" s="66" t="str">
        <f aca="false">IF(OR($E884="",$F884=""),"","PO-"&amp;TEXT($E884,"yyyymmdd")&amp;"-"&amp;TEXT(COUNTIFS($E$6:$E884,$E884,$C$6:$C884,$C884),"000"))</f>
        <v/>
      </c>
      <c r="C884" s="130"/>
      <c r="D884" s="66" t="str">
        <f aca="false">IFERROR(INDEX(定数マスタ!$C$6:$C$105,MATCH($C884,定数マスタ!$B$6:$B$105,0)),"")</f>
        <v/>
      </c>
      <c r="E884" s="131"/>
      <c r="F884" s="130"/>
      <c r="G884" s="66" t="str">
        <f aca="false">IFERROR(INDEX(商品マスタ!$C$6:$C$1005,MATCH($F884,商品マスタ!$B$6:$B$1005,0)),"")</f>
        <v/>
      </c>
      <c r="H884" s="66" t="str">
        <f aca="false">IFERROR(INDEX(商品マスタ!$E$6:$E$1005,MATCH($F884,商品マスタ!$B$6:$B$1005,0)),"")</f>
        <v/>
      </c>
      <c r="I884" s="69" t="str">
        <f aca="false">IFERROR(INDEX(商品マスタ!$F$6:$F$1005,MATCH($F884,商品マスタ!$B$6:$B$1005,0)),"")</f>
        <v/>
      </c>
      <c r="J884" s="69" t="str">
        <f aca="false">IF(OR($F884="",$C884&lt;&gt;'設定（最初に1回）'!$C$4),"",IFERROR(INDEX(発注計算!$Y$6:$Y$405,MATCH($F884,発注計算!$C$6:$C$405,0)),""))</f>
        <v/>
      </c>
      <c r="K884" s="70"/>
      <c r="L884" s="69" t="str">
        <f aca="false">IF($K884="","",N($K884)*N($I884))</f>
        <v/>
      </c>
      <c r="M884" s="71" t="str">
        <f aca="false">IFERROR(INDEX(商品マスタ!$G$6:$G$1005,MATCH($F884,商品マスタ!$B$6:$B$1005,0)),"")</f>
        <v/>
      </c>
      <c r="N884" s="71" t="str">
        <f aca="false">IF($K884="","",N($K884)*N($M884))</f>
        <v/>
      </c>
      <c r="O884" s="66" t="str">
        <f aca="false">IFERROR(INDEX(商品マスタ!$H$6:$H$1005,MATCH($F884,商品マスタ!$B$6:$B$1005,0)),"")</f>
        <v/>
      </c>
      <c r="P884" s="87" t="str">
        <f aca="false">IF(OR($E884="",$O884=""),"",WORKDAY($E884,$O884))</f>
        <v/>
      </c>
      <c r="Q884" s="80"/>
      <c r="R884" s="131"/>
      <c r="S884" s="69" t="n">
        <f aca="false">IF($Q884="入荷済み",N($L884),0)</f>
        <v>0</v>
      </c>
      <c r="T884" s="80"/>
      <c r="U884" s="80"/>
    </row>
    <row r="885" customFormat="false" ht="15" hidden="false" customHeight="false" outlineLevel="0" collapsed="false">
      <c r="B885" s="66" t="str">
        <f aca="false">IF(OR($E885="",$F885=""),"","PO-"&amp;TEXT($E885,"yyyymmdd")&amp;"-"&amp;TEXT(COUNTIFS($E$6:$E885,$E885,$C$6:$C885,$C885),"000"))</f>
        <v/>
      </c>
      <c r="C885" s="130"/>
      <c r="D885" s="66" t="str">
        <f aca="false">IFERROR(INDEX(定数マスタ!$C$6:$C$105,MATCH($C885,定数マスタ!$B$6:$B$105,0)),"")</f>
        <v/>
      </c>
      <c r="E885" s="131"/>
      <c r="F885" s="130"/>
      <c r="G885" s="66" t="str">
        <f aca="false">IFERROR(INDEX(商品マスタ!$C$6:$C$1005,MATCH($F885,商品マスタ!$B$6:$B$1005,0)),"")</f>
        <v/>
      </c>
      <c r="H885" s="66" t="str">
        <f aca="false">IFERROR(INDEX(商品マスタ!$E$6:$E$1005,MATCH($F885,商品マスタ!$B$6:$B$1005,0)),"")</f>
        <v/>
      </c>
      <c r="I885" s="69" t="str">
        <f aca="false">IFERROR(INDEX(商品マスタ!$F$6:$F$1005,MATCH($F885,商品マスタ!$B$6:$B$1005,0)),"")</f>
        <v/>
      </c>
      <c r="J885" s="69" t="str">
        <f aca="false">IF(OR($F885="",$C885&lt;&gt;'設定（最初に1回）'!$C$4),"",IFERROR(INDEX(発注計算!$Y$6:$Y$405,MATCH($F885,発注計算!$C$6:$C$405,0)),""))</f>
        <v/>
      </c>
      <c r="K885" s="70"/>
      <c r="L885" s="69" t="str">
        <f aca="false">IF($K885="","",N($K885)*N($I885))</f>
        <v/>
      </c>
      <c r="M885" s="71" t="str">
        <f aca="false">IFERROR(INDEX(商品マスタ!$G$6:$G$1005,MATCH($F885,商品マスタ!$B$6:$B$1005,0)),"")</f>
        <v/>
      </c>
      <c r="N885" s="71" t="str">
        <f aca="false">IF($K885="","",N($K885)*N($M885))</f>
        <v/>
      </c>
      <c r="O885" s="66" t="str">
        <f aca="false">IFERROR(INDEX(商品マスタ!$H$6:$H$1005,MATCH($F885,商品マスタ!$B$6:$B$1005,0)),"")</f>
        <v/>
      </c>
      <c r="P885" s="87" t="str">
        <f aca="false">IF(OR($E885="",$O885=""),"",WORKDAY($E885,$O885))</f>
        <v/>
      </c>
      <c r="Q885" s="80"/>
      <c r="R885" s="131"/>
      <c r="S885" s="69" t="n">
        <f aca="false">IF($Q885="入荷済み",N($L885),0)</f>
        <v>0</v>
      </c>
      <c r="T885" s="80"/>
      <c r="U885" s="80"/>
    </row>
    <row r="886" customFormat="false" ht="15" hidden="false" customHeight="false" outlineLevel="0" collapsed="false">
      <c r="B886" s="66" t="str">
        <f aca="false">IF(OR($E886="",$F886=""),"","PO-"&amp;TEXT($E886,"yyyymmdd")&amp;"-"&amp;TEXT(COUNTIFS($E$6:$E886,$E886,$C$6:$C886,$C886),"000"))</f>
        <v/>
      </c>
      <c r="C886" s="130"/>
      <c r="D886" s="66" t="str">
        <f aca="false">IFERROR(INDEX(定数マスタ!$C$6:$C$105,MATCH($C886,定数マスタ!$B$6:$B$105,0)),"")</f>
        <v/>
      </c>
      <c r="E886" s="131"/>
      <c r="F886" s="130"/>
      <c r="G886" s="66" t="str">
        <f aca="false">IFERROR(INDEX(商品マスタ!$C$6:$C$1005,MATCH($F886,商品マスタ!$B$6:$B$1005,0)),"")</f>
        <v/>
      </c>
      <c r="H886" s="66" t="str">
        <f aca="false">IFERROR(INDEX(商品マスタ!$E$6:$E$1005,MATCH($F886,商品マスタ!$B$6:$B$1005,0)),"")</f>
        <v/>
      </c>
      <c r="I886" s="69" t="str">
        <f aca="false">IFERROR(INDEX(商品マスタ!$F$6:$F$1005,MATCH($F886,商品マスタ!$B$6:$B$1005,0)),"")</f>
        <v/>
      </c>
      <c r="J886" s="69" t="str">
        <f aca="false">IF(OR($F886="",$C886&lt;&gt;'設定（最初に1回）'!$C$4),"",IFERROR(INDEX(発注計算!$Y$6:$Y$405,MATCH($F886,発注計算!$C$6:$C$405,0)),""))</f>
        <v/>
      </c>
      <c r="K886" s="70"/>
      <c r="L886" s="69" t="str">
        <f aca="false">IF($K886="","",N($K886)*N($I886))</f>
        <v/>
      </c>
      <c r="M886" s="71" t="str">
        <f aca="false">IFERROR(INDEX(商品マスタ!$G$6:$G$1005,MATCH($F886,商品マスタ!$B$6:$B$1005,0)),"")</f>
        <v/>
      </c>
      <c r="N886" s="71" t="str">
        <f aca="false">IF($K886="","",N($K886)*N($M886))</f>
        <v/>
      </c>
      <c r="O886" s="66" t="str">
        <f aca="false">IFERROR(INDEX(商品マスタ!$H$6:$H$1005,MATCH($F886,商品マスタ!$B$6:$B$1005,0)),"")</f>
        <v/>
      </c>
      <c r="P886" s="87" t="str">
        <f aca="false">IF(OR($E886="",$O886=""),"",WORKDAY($E886,$O886))</f>
        <v/>
      </c>
      <c r="Q886" s="80"/>
      <c r="R886" s="131"/>
      <c r="S886" s="69" t="n">
        <f aca="false">IF($Q886="入荷済み",N($L886),0)</f>
        <v>0</v>
      </c>
      <c r="T886" s="80"/>
      <c r="U886" s="80"/>
    </row>
    <row r="887" customFormat="false" ht="15" hidden="false" customHeight="false" outlineLevel="0" collapsed="false">
      <c r="B887" s="66" t="str">
        <f aca="false">IF(OR($E887="",$F887=""),"","PO-"&amp;TEXT($E887,"yyyymmdd")&amp;"-"&amp;TEXT(COUNTIFS($E$6:$E887,$E887,$C$6:$C887,$C887),"000"))</f>
        <v/>
      </c>
      <c r="C887" s="130"/>
      <c r="D887" s="66" t="str">
        <f aca="false">IFERROR(INDEX(定数マスタ!$C$6:$C$105,MATCH($C887,定数マスタ!$B$6:$B$105,0)),"")</f>
        <v/>
      </c>
      <c r="E887" s="131"/>
      <c r="F887" s="130"/>
      <c r="G887" s="66" t="str">
        <f aca="false">IFERROR(INDEX(商品マスタ!$C$6:$C$1005,MATCH($F887,商品マスタ!$B$6:$B$1005,0)),"")</f>
        <v/>
      </c>
      <c r="H887" s="66" t="str">
        <f aca="false">IFERROR(INDEX(商品マスタ!$E$6:$E$1005,MATCH($F887,商品マスタ!$B$6:$B$1005,0)),"")</f>
        <v/>
      </c>
      <c r="I887" s="69" t="str">
        <f aca="false">IFERROR(INDEX(商品マスタ!$F$6:$F$1005,MATCH($F887,商品マスタ!$B$6:$B$1005,0)),"")</f>
        <v/>
      </c>
      <c r="J887" s="69" t="str">
        <f aca="false">IF(OR($F887="",$C887&lt;&gt;'設定（最初に1回）'!$C$4),"",IFERROR(INDEX(発注計算!$Y$6:$Y$405,MATCH($F887,発注計算!$C$6:$C$405,0)),""))</f>
        <v/>
      </c>
      <c r="K887" s="70"/>
      <c r="L887" s="69" t="str">
        <f aca="false">IF($K887="","",N($K887)*N($I887))</f>
        <v/>
      </c>
      <c r="M887" s="71" t="str">
        <f aca="false">IFERROR(INDEX(商品マスタ!$G$6:$G$1005,MATCH($F887,商品マスタ!$B$6:$B$1005,0)),"")</f>
        <v/>
      </c>
      <c r="N887" s="71" t="str">
        <f aca="false">IF($K887="","",N($K887)*N($M887))</f>
        <v/>
      </c>
      <c r="O887" s="66" t="str">
        <f aca="false">IFERROR(INDEX(商品マスタ!$H$6:$H$1005,MATCH($F887,商品マスタ!$B$6:$B$1005,0)),"")</f>
        <v/>
      </c>
      <c r="P887" s="87" t="str">
        <f aca="false">IF(OR($E887="",$O887=""),"",WORKDAY($E887,$O887))</f>
        <v/>
      </c>
      <c r="Q887" s="80"/>
      <c r="R887" s="131"/>
      <c r="S887" s="69" t="n">
        <f aca="false">IF($Q887="入荷済み",N($L887),0)</f>
        <v>0</v>
      </c>
      <c r="T887" s="80"/>
      <c r="U887" s="80"/>
    </row>
    <row r="888" customFormat="false" ht="15" hidden="false" customHeight="false" outlineLevel="0" collapsed="false">
      <c r="B888" s="66" t="str">
        <f aca="false">IF(OR($E888="",$F888=""),"","PO-"&amp;TEXT($E888,"yyyymmdd")&amp;"-"&amp;TEXT(COUNTIFS($E$6:$E888,$E888,$C$6:$C888,$C888),"000"))</f>
        <v/>
      </c>
      <c r="C888" s="130"/>
      <c r="D888" s="66" t="str">
        <f aca="false">IFERROR(INDEX(定数マスタ!$C$6:$C$105,MATCH($C888,定数マスタ!$B$6:$B$105,0)),"")</f>
        <v/>
      </c>
      <c r="E888" s="131"/>
      <c r="F888" s="130"/>
      <c r="G888" s="66" t="str">
        <f aca="false">IFERROR(INDEX(商品マスタ!$C$6:$C$1005,MATCH($F888,商品マスタ!$B$6:$B$1005,0)),"")</f>
        <v/>
      </c>
      <c r="H888" s="66" t="str">
        <f aca="false">IFERROR(INDEX(商品マスタ!$E$6:$E$1005,MATCH($F888,商品マスタ!$B$6:$B$1005,0)),"")</f>
        <v/>
      </c>
      <c r="I888" s="69" t="str">
        <f aca="false">IFERROR(INDEX(商品マスタ!$F$6:$F$1005,MATCH($F888,商品マスタ!$B$6:$B$1005,0)),"")</f>
        <v/>
      </c>
      <c r="J888" s="69" t="str">
        <f aca="false">IF(OR($F888="",$C888&lt;&gt;'設定（最初に1回）'!$C$4),"",IFERROR(INDEX(発注計算!$Y$6:$Y$405,MATCH($F888,発注計算!$C$6:$C$405,0)),""))</f>
        <v/>
      </c>
      <c r="K888" s="70"/>
      <c r="L888" s="69" t="str">
        <f aca="false">IF($K888="","",N($K888)*N($I888))</f>
        <v/>
      </c>
      <c r="M888" s="71" t="str">
        <f aca="false">IFERROR(INDEX(商品マスタ!$G$6:$G$1005,MATCH($F888,商品マスタ!$B$6:$B$1005,0)),"")</f>
        <v/>
      </c>
      <c r="N888" s="71" t="str">
        <f aca="false">IF($K888="","",N($K888)*N($M888))</f>
        <v/>
      </c>
      <c r="O888" s="66" t="str">
        <f aca="false">IFERROR(INDEX(商品マスタ!$H$6:$H$1005,MATCH($F888,商品マスタ!$B$6:$B$1005,0)),"")</f>
        <v/>
      </c>
      <c r="P888" s="87" t="str">
        <f aca="false">IF(OR($E888="",$O888=""),"",WORKDAY($E888,$O888))</f>
        <v/>
      </c>
      <c r="Q888" s="80"/>
      <c r="R888" s="131"/>
      <c r="S888" s="69" t="n">
        <f aca="false">IF($Q888="入荷済み",N($L888),0)</f>
        <v>0</v>
      </c>
      <c r="T888" s="80"/>
      <c r="U888" s="80"/>
    </row>
    <row r="889" customFormat="false" ht="15" hidden="false" customHeight="false" outlineLevel="0" collapsed="false">
      <c r="B889" s="66" t="str">
        <f aca="false">IF(OR($E889="",$F889=""),"","PO-"&amp;TEXT($E889,"yyyymmdd")&amp;"-"&amp;TEXT(COUNTIFS($E$6:$E889,$E889,$C$6:$C889,$C889),"000"))</f>
        <v/>
      </c>
      <c r="C889" s="130"/>
      <c r="D889" s="66" t="str">
        <f aca="false">IFERROR(INDEX(定数マスタ!$C$6:$C$105,MATCH($C889,定数マスタ!$B$6:$B$105,0)),"")</f>
        <v/>
      </c>
      <c r="E889" s="131"/>
      <c r="F889" s="130"/>
      <c r="G889" s="66" t="str">
        <f aca="false">IFERROR(INDEX(商品マスタ!$C$6:$C$1005,MATCH($F889,商品マスタ!$B$6:$B$1005,0)),"")</f>
        <v/>
      </c>
      <c r="H889" s="66" t="str">
        <f aca="false">IFERROR(INDEX(商品マスタ!$E$6:$E$1005,MATCH($F889,商品マスタ!$B$6:$B$1005,0)),"")</f>
        <v/>
      </c>
      <c r="I889" s="69" t="str">
        <f aca="false">IFERROR(INDEX(商品マスタ!$F$6:$F$1005,MATCH($F889,商品マスタ!$B$6:$B$1005,0)),"")</f>
        <v/>
      </c>
      <c r="J889" s="69" t="str">
        <f aca="false">IF(OR($F889="",$C889&lt;&gt;'設定（最初に1回）'!$C$4),"",IFERROR(INDEX(発注計算!$Y$6:$Y$405,MATCH($F889,発注計算!$C$6:$C$405,0)),""))</f>
        <v/>
      </c>
      <c r="K889" s="70"/>
      <c r="L889" s="69" t="str">
        <f aca="false">IF($K889="","",N($K889)*N($I889))</f>
        <v/>
      </c>
      <c r="M889" s="71" t="str">
        <f aca="false">IFERROR(INDEX(商品マスタ!$G$6:$G$1005,MATCH($F889,商品マスタ!$B$6:$B$1005,0)),"")</f>
        <v/>
      </c>
      <c r="N889" s="71" t="str">
        <f aca="false">IF($K889="","",N($K889)*N($M889))</f>
        <v/>
      </c>
      <c r="O889" s="66" t="str">
        <f aca="false">IFERROR(INDEX(商品マスタ!$H$6:$H$1005,MATCH($F889,商品マスタ!$B$6:$B$1005,0)),"")</f>
        <v/>
      </c>
      <c r="P889" s="87" t="str">
        <f aca="false">IF(OR($E889="",$O889=""),"",WORKDAY($E889,$O889))</f>
        <v/>
      </c>
      <c r="Q889" s="80"/>
      <c r="R889" s="131"/>
      <c r="S889" s="69" t="n">
        <f aca="false">IF($Q889="入荷済み",N($L889),0)</f>
        <v>0</v>
      </c>
      <c r="T889" s="80"/>
      <c r="U889" s="80"/>
    </row>
    <row r="890" customFormat="false" ht="15" hidden="false" customHeight="false" outlineLevel="0" collapsed="false">
      <c r="B890" s="66" t="str">
        <f aca="false">IF(OR($E890="",$F890=""),"","PO-"&amp;TEXT($E890,"yyyymmdd")&amp;"-"&amp;TEXT(COUNTIFS($E$6:$E890,$E890,$C$6:$C890,$C890),"000"))</f>
        <v/>
      </c>
      <c r="C890" s="130"/>
      <c r="D890" s="66" t="str">
        <f aca="false">IFERROR(INDEX(定数マスタ!$C$6:$C$105,MATCH($C890,定数マスタ!$B$6:$B$105,0)),"")</f>
        <v/>
      </c>
      <c r="E890" s="131"/>
      <c r="F890" s="130"/>
      <c r="G890" s="66" t="str">
        <f aca="false">IFERROR(INDEX(商品マスタ!$C$6:$C$1005,MATCH($F890,商品マスタ!$B$6:$B$1005,0)),"")</f>
        <v/>
      </c>
      <c r="H890" s="66" t="str">
        <f aca="false">IFERROR(INDEX(商品マスタ!$E$6:$E$1005,MATCH($F890,商品マスタ!$B$6:$B$1005,0)),"")</f>
        <v/>
      </c>
      <c r="I890" s="69" t="str">
        <f aca="false">IFERROR(INDEX(商品マスタ!$F$6:$F$1005,MATCH($F890,商品マスタ!$B$6:$B$1005,0)),"")</f>
        <v/>
      </c>
      <c r="J890" s="69" t="str">
        <f aca="false">IF(OR($F890="",$C890&lt;&gt;'設定（最初に1回）'!$C$4),"",IFERROR(INDEX(発注計算!$Y$6:$Y$405,MATCH($F890,発注計算!$C$6:$C$405,0)),""))</f>
        <v/>
      </c>
      <c r="K890" s="70"/>
      <c r="L890" s="69" t="str">
        <f aca="false">IF($K890="","",N($K890)*N($I890))</f>
        <v/>
      </c>
      <c r="M890" s="71" t="str">
        <f aca="false">IFERROR(INDEX(商品マスタ!$G$6:$G$1005,MATCH($F890,商品マスタ!$B$6:$B$1005,0)),"")</f>
        <v/>
      </c>
      <c r="N890" s="71" t="str">
        <f aca="false">IF($K890="","",N($K890)*N($M890))</f>
        <v/>
      </c>
      <c r="O890" s="66" t="str">
        <f aca="false">IFERROR(INDEX(商品マスタ!$H$6:$H$1005,MATCH($F890,商品マスタ!$B$6:$B$1005,0)),"")</f>
        <v/>
      </c>
      <c r="P890" s="87" t="str">
        <f aca="false">IF(OR($E890="",$O890=""),"",WORKDAY($E890,$O890))</f>
        <v/>
      </c>
      <c r="Q890" s="80"/>
      <c r="R890" s="131"/>
      <c r="S890" s="69" t="n">
        <f aca="false">IF($Q890="入荷済み",N($L890),0)</f>
        <v>0</v>
      </c>
      <c r="T890" s="80"/>
      <c r="U890" s="80"/>
    </row>
    <row r="891" customFormat="false" ht="15" hidden="false" customHeight="false" outlineLevel="0" collapsed="false">
      <c r="B891" s="66" t="str">
        <f aca="false">IF(OR($E891="",$F891=""),"","PO-"&amp;TEXT($E891,"yyyymmdd")&amp;"-"&amp;TEXT(COUNTIFS($E$6:$E891,$E891,$C$6:$C891,$C891),"000"))</f>
        <v/>
      </c>
      <c r="C891" s="130"/>
      <c r="D891" s="66" t="str">
        <f aca="false">IFERROR(INDEX(定数マスタ!$C$6:$C$105,MATCH($C891,定数マスタ!$B$6:$B$105,0)),"")</f>
        <v/>
      </c>
      <c r="E891" s="131"/>
      <c r="F891" s="130"/>
      <c r="G891" s="66" t="str">
        <f aca="false">IFERROR(INDEX(商品マスタ!$C$6:$C$1005,MATCH($F891,商品マスタ!$B$6:$B$1005,0)),"")</f>
        <v/>
      </c>
      <c r="H891" s="66" t="str">
        <f aca="false">IFERROR(INDEX(商品マスタ!$E$6:$E$1005,MATCH($F891,商品マスタ!$B$6:$B$1005,0)),"")</f>
        <v/>
      </c>
      <c r="I891" s="69" t="str">
        <f aca="false">IFERROR(INDEX(商品マスタ!$F$6:$F$1005,MATCH($F891,商品マスタ!$B$6:$B$1005,0)),"")</f>
        <v/>
      </c>
      <c r="J891" s="69" t="str">
        <f aca="false">IF(OR($F891="",$C891&lt;&gt;'設定（最初に1回）'!$C$4),"",IFERROR(INDEX(発注計算!$Y$6:$Y$405,MATCH($F891,発注計算!$C$6:$C$405,0)),""))</f>
        <v/>
      </c>
      <c r="K891" s="70"/>
      <c r="L891" s="69" t="str">
        <f aca="false">IF($K891="","",N($K891)*N($I891))</f>
        <v/>
      </c>
      <c r="M891" s="71" t="str">
        <f aca="false">IFERROR(INDEX(商品マスタ!$G$6:$G$1005,MATCH($F891,商品マスタ!$B$6:$B$1005,0)),"")</f>
        <v/>
      </c>
      <c r="N891" s="71" t="str">
        <f aca="false">IF($K891="","",N($K891)*N($M891))</f>
        <v/>
      </c>
      <c r="O891" s="66" t="str">
        <f aca="false">IFERROR(INDEX(商品マスタ!$H$6:$H$1005,MATCH($F891,商品マスタ!$B$6:$B$1005,0)),"")</f>
        <v/>
      </c>
      <c r="P891" s="87" t="str">
        <f aca="false">IF(OR($E891="",$O891=""),"",WORKDAY($E891,$O891))</f>
        <v/>
      </c>
      <c r="Q891" s="80"/>
      <c r="R891" s="131"/>
      <c r="S891" s="69" t="n">
        <f aca="false">IF($Q891="入荷済み",N($L891),0)</f>
        <v>0</v>
      </c>
      <c r="T891" s="80"/>
      <c r="U891" s="80"/>
    </row>
    <row r="892" customFormat="false" ht="15" hidden="false" customHeight="false" outlineLevel="0" collapsed="false">
      <c r="B892" s="66" t="str">
        <f aca="false">IF(OR($E892="",$F892=""),"","PO-"&amp;TEXT($E892,"yyyymmdd")&amp;"-"&amp;TEXT(COUNTIFS($E$6:$E892,$E892,$C$6:$C892,$C892),"000"))</f>
        <v/>
      </c>
      <c r="C892" s="130"/>
      <c r="D892" s="66" t="str">
        <f aca="false">IFERROR(INDEX(定数マスタ!$C$6:$C$105,MATCH($C892,定数マスタ!$B$6:$B$105,0)),"")</f>
        <v/>
      </c>
      <c r="E892" s="131"/>
      <c r="F892" s="130"/>
      <c r="G892" s="66" t="str">
        <f aca="false">IFERROR(INDEX(商品マスタ!$C$6:$C$1005,MATCH($F892,商品マスタ!$B$6:$B$1005,0)),"")</f>
        <v/>
      </c>
      <c r="H892" s="66" t="str">
        <f aca="false">IFERROR(INDEX(商品マスタ!$E$6:$E$1005,MATCH($F892,商品マスタ!$B$6:$B$1005,0)),"")</f>
        <v/>
      </c>
      <c r="I892" s="69" t="str">
        <f aca="false">IFERROR(INDEX(商品マスタ!$F$6:$F$1005,MATCH($F892,商品マスタ!$B$6:$B$1005,0)),"")</f>
        <v/>
      </c>
      <c r="J892" s="69" t="str">
        <f aca="false">IF(OR($F892="",$C892&lt;&gt;'設定（最初に1回）'!$C$4),"",IFERROR(INDEX(発注計算!$Y$6:$Y$405,MATCH($F892,発注計算!$C$6:$C$405,0)),""))</f>
        <v/>
      </c>
      <c r="K892" s="70"/>
      <c r="L892" s="69" t="str">
        <f aca="false">IF($K892="","",N($K892)*N($I892))</f>
        <v/>
      </c>
      <c r="M892" s="71" t="str">
        <f aca="false">IFERROR(INDEX(商品マスタ!$G$6:$G$1005,MATCH($F892,商品マスタ!$B$6:$B$1005,0)),"")</f>
        <v/>
      </c>
      <c r="N892" s="71" t="str">
        <f aca="false">IF($K892="","",N($K892)*N($M892))</f>
        <v/>
      </c>
      <c r="O892" s="66" t="str">
        <f aca="false">IFERROR(INDEX(商品マスタ!$H$6:$H$1005,MATCH($F892,商品マスタ!$B$6:$B$1005,0)),"")</f>
        <v/>
      </c>
      <c r="P892" s="87" t="str">
        <f aca="false">IF(OR($E892="",$O892=""),"",WORKDAY($E892,$O892))</f>
        <v/>
      </c>
      <c r="Q892" s="80"/>
      <c r="R892" s="131"/>
      <c r="S892" s="69" t="n">
        <f aca="false">IF($Q892="入荷済み",N($L892),0)</f>
        <v>0</v>
      </c>
      <c r="T892" s="80"/>
      <c r="U892" s="80"/>
    </row>
    <row r="893" customFormat="false" ht="15" hidden="false" customHeight="false" outlineLevel="0" collapsed="false">
      <c r="B893" s="66" t="str">
        <f aca="false">IF(OR($E893="",$F893=""),"","PO-"&amp;TEXT($E893,"yyyymmdd")&amp;"-"&amp;TEXT(COUNTIFS($E$6:$E893,$E893,$C$6:$C893,$C893),"000"))</f>
        <v/>
      </c>
      <c r="C893" s="130"/>
      <c r="D893" s="66" t="str">
        <f aca="false">IFERROR(INDEX(定数マスタ!$C$6:$C$105,MATCH($C893,定数マスタ!$B$6:$B$105,0)),"")</f>
        <v/>
      </c>
      <c r="E893" s="131"/>
      <c r="F893" s="130"/>
      <c r="G893" s="66" t="str">
        <f aca="false">IFERROR(INDEX(商品マスタ!$C$6:$C$1005,MATCH($F893,商品マスタ!$B$6:$B$1005,0)),"")</f>
        <v/>
      </c>
      <c r="H893" s="66" t="str">
        <f aca="false">IFERROR(INDEX(商品マスタ!$E$6:$E$1005,MATCH($F893,商品マスタ!$B$6:$B$1005,0)),"")</f>
        <v/>
      </c>
      <c r="I893" s="69" t="str">
        <f aca="false">IFERROR(INDEX(商品マスタ!$F$6:$F$1005,MATCH($F893,商品マスタ!$B$6:$B$1005,0)),"")</f>
        <v/>
      </c>
      <c r="J893" s="69" t="str">
        <f aca="false">IF(OR($F893="",$C893&lt;&gt;'設定（最初に1回）'!$C$4),"",IFERROR(INDEX(発注計算!$Y$6:$Y$405,MATCH($F893,発注計算!$C$6:$C$405,0)),""))</f>
        <v/>
      </c>
      <c r="K893" s="70"/>
      <c r="L893" s="69" t="str">
        <f aca="false">IF($K893="","",N($K893)*N($I893))</f>
        <v/>
      </c>
      <c r="M893" s="71" t="str">
        <f aca="false">IFERROR(INDEX(商品マスタ!$G$6:$G$1005,MATCH($F893,商品マスタ!$B$6:$B$1005,0)),"")</f>
        <v/>
      </c>
      <c r="N893" s="71" t="str">
        <f aca="false">IF($K893="","",N($K893)*N($M893))</f>
        <v/>
      </c>
      <c r="O893" s="66" t="str">
        <f aca="false">IFERROR(INDEX(商品マスタ!$H$6:$H$1005,MATCH($F893,商品マスタ!$B$6:$B$1005,0)),"")</f>
        <v/>
      </c>
      <c r="P893" s="87" t="str">
        <f aca="false">IF(OR($E893="",$O893=""),"",WORKDAY($E893,$O893))</f>
        <v/>
      </c>
      <c r="Q893" s="80"/>
      <c r="R893" s="131"/>
      <c r="S893" s="69" t="n">
        <f aca="false">IF($Q893="入荷済み",N($L893),0)</f>
        <v>0</v>
      </c>
      <c r="T893" s="80"/>
      <c r="U893" s="80"/>
    </row>
    <row r="894" customFormat="false" ht="15" hidden="false" customHeight="false" outlineLevel="0" collapsed="false">
      <c r="B894" s="66" t="str">
        <f aca="false">IF(OR($E894="",$F894=""),"","PO-"&amp;TEXT($E894,"yyyymmdd")&amp;"-"&amp;TEXT(COUNTIFS($E$6:$E894,$E894,$C$6:$C894,$C894),"000"))</f>
        <v/>
      </c>
      <c r="C894" s="130"/>
      <c r="D894" s="66" t="str">
        <f aca="false">IFERROR(INDEX(定数マスタ!$C$6:$C$105,MATCH($C894,定数マスタ!$B$6:$B$105,0)),"")</f>
        <v/>
      </c>
      <c r="E894" s="131"/>
      <c r="F894" s="130"/>
      <c r="G894" s="66" t="str">
        <f aca="false">IFERROR(INDEX(商品マスタ!$C$6:$C$1005,MATCH($F894,商品マスタ!$B$6:$B$1005,0)),"")</f>
        <v/>
      </c>
      <c r="H894" s="66" t="str">
        <f aca="false">IFERROR(INDEX(商品マスタ!$E$6:$E$1005,MATCH($F894,商品マスタ!$B$6:$B$1005,0)),"")</f>
        <v/>
      </c>
      <c r="I894" s="69" t="str">
        <f aca="false">IFERROR(INDEX(商品マスタ!$F$6:$F$1005,MATCH($F894,商品マスタ!$B$6:$B$1005,0)),"")</f>
        <v/>
      </c>
      <c r="J894" s="69" t="str">
        <f aca="false">IF(OR($F894="",$C894&lt;&gt;'設定（最初に1回）'!$C$4),"",IFERROR(INDEX(発注計算!$Y$6:$Y$405,MATCH($F894,発注計算!$C$6:$C$405,0)),""))</f>
        <v/>
      </c>
      <c r="K894" s="70"/>
      <c r="L894" s="69" t="str">
        <f aca="false">IF($K894="","",N($K894)*N($I894))</f>
        <v/>
      </c>
      <c r="M894" s="71" t="str">
        <f aca="false">IFERROR(INDEX(商品マスタ!$G$6:$G$1005,MATCH($F894,商品マスタ!$B$6:$B$1005,0)),"")</f>
        <v/>
      </c>
      <c r="N894" s="71" t="str">
        <f aca="false">IF($K894="","",N($K894)*N($M894))</f>
        <v/>
      </c>
      <c r="O894" s="66" t="str">
        <f aca="false">IFERROR(INDEX(商品マスタ!$H$6:$H$1005,MATCH($F894,商品マスタ!$B$6:$B$1005,0)),"")</f>
        <v/>
      </c>
      <c r="P894" s="87" t="str">
        <f aca="false">IF(OR($E894="",$O894=""),"",WORKDAY($E894,$O894))</f>
        <v/>
      </c>
      <c r="Q894" s="80"/>
      <c r="R894" s="131"/>
      <c r="S894" s="69" t="n">
        <f aca="false">IF($Q894="入荷済み",N($L894),0)</f>
        <v>0</v>
      </c>
      <c r="T894" s="80"/>
      <c r="U894" s="80"/>
    </row>
    <row r="895" customFormat="false" ht="15" hidden="false" customHeight="false" outlineLevel="0" collapsed="false">
      <c r="B895" s="66" t="str">
        <f aca="false">IF(OR($E895="",$F895=""),"","PO-"&amp;TEXT($E895,"yyyymmdd")&amp;"-"&amp;TEXT(COUNTIFS($E$6:$E895,$E895,$C$6:$C895,$C895),"000"))</f>
        <v/>
      </c>
      <c r="C895" s="130"/>
      <c r="D895" s="66" t="str">
        <f aca="false">IFERROR(INDEX(定数マスタ!$C$6:$C$105,MATCH($C895,定数マスタ!$B$6:$B$105,0)),"")</f>
        <v/>
      </c>
      <c r="E895" s="131"/>
      <c r="F895" s="130"/>
      <c r="G895" s="66" t="str">
        <f aca="false">IFERROR(INDEX(商品マスタ!$C$6:$C$1005,MATCH($F895,商品マスタ!$B$6:$B$1005,0)),"")</f>
        <v/>
      </c>
      <c r="H895" s="66" t="str">
        <f aca="false">IFERROR(INDEX(商品マスタ!$E$6:$E$1005,MATCH($F895,商品マスタ!$B$6:$B$1005,0)),"")</f>
        <v/>
      </c>
      <c r="I895" s="69" t="str">
        <f aca="false">IFERROR(INDEX(商品マスタ!$F$6:$F$1005,MATCH($F895,商品マスタ!$B$6:$B$1005,0)),"")</f>
        <v/>
      </c>
      <c r="J895" s="69" t="str">
        <f aca="false">IF(OR($F895="",$C895&lt;&gt;'設定（最初に1回）'!$C$4),"",IFERROR(INDEX(発注計算!$Y$6:$Y$405,MATCH($F895,発注計算!$C$6:$C$405,0)),""))</f>
        <v/>
      </c>
      <c r="K895" s="70"/>
      <c r="L895" s="69" t="str">
        <f aca="false">IF($K895="","",N($K895)*N($I895))</f>
        <v/>
      </c>
      <c r="M895" s="71" t="str">
        <f aca="false">IFERROR(INDEX(商品マスタ!$G$6:$G$1005,MATCH($F895,商品マスタ!$B$6:$B$1005,0)),"")</f>
        <v/>
      </c>
      <c r="N895" s="71" t="str">
        <f aca="false">IF($K895="","",N($K895)*N($M895))</f>
        <v/>
      </c>
      <c r="O895" s="66" t="str">
        <f aca="false">IFERROR(INDEX(商品マスタ!$H$6:$H$1005,MATCH($F895,商品マスタ!$B$6:$B$1005,0)),"")</f>
        <v/>
      </c>
      <c r="P895" s="87" t="str">
        <f aca="false">IF(OR($E895="",$O895=""),"",WORKDAY($E895,$O895))</f>
        <v/>
      </c>
      <c r="Q895" s="80"/>
      <c r="R895" s="131"/>
      <c r="S895" s="69" t="n">
        <f aca="false">IF($Q895="入荷済み",N($L895),0)</f>
        <v>0</v>
      </c>
      <c r="T895" s="80"/>
      <c r="U895" s="80"/>
    </row>
    <row r="896" customFormat="false" ht="15" hidden="false" customHeight="false" outlineLevel="0" collapsed="false">
      <c r="B896" s="66" t="str">
        <f aca="false">IF(OR($E896="",$F896=""),"","PO-"&amp;TEXT($E896,"yyyymmdd")&amp;"-"&amp;TEXT(COUNTIFS($E$6:$E896,$E896,$C$6:$C896,$C896),"000"))</f>
        <v/>
      </c>
      <c r="C896" s="130"/>
      <c r="D896" s="66" t="str">
        <f aca="false">IFERROR(INDEX(定数マスタ!$C$6:$C$105,MATCH($C896,定数マスタ!$B$6:$B$105,0)),"")</f>
        <v/>
      </c>
      <c r="E896" s="131"/>
      <c r="F896" s="130"/>
      <c r="G896" s="66" t="str">
        <f aca="false">IFERROR(INDEX(商品マスタ!$C$6:$C$1005,MATCH($F896,商品マスタ!$B$6:$B$1005,0)),"")</f>
        <v/>
      </c>
      <c r="H896" s="66" t="str">
        <f aca="false">IFERROR(INDEX(商品マスタ!$E$6:$E$1005,MATCH($F896,商品マスタ!$B$6:$B$1005,0)),"")</f>
        <v/>
      </c>
      <c r="I896" s="69" t="str">
        <f aca="false">IFERROR(INDEX(商品マスタ!$F$6:$F$1005,MATCH($F896,商品マスタ!$B$6:$B$1005,0)),"")</f>
        <v/>
      </c>
      <c r="J896" s="69" t="str">
        <f aca="false">IF(OR($F896="",$C896&lt;&gt;'設定（最初に1回）'!$C$4),"",IFERROR(INDEX(発注計算!$Y$6:$Y$405,MATCH($F896,発注計算!$C$6:$C$405,0)),""))</f>
        <v/>
      </c>
      <c r="K896" s="70"/>
      <c r="L896" s="69" t="str">
        <f aca="false">IF($K896="","",N($K896)*N($I896))</f>
        <v/>
      </c>
      <c r="M896" s="71" t="str">
        <f aca="false">IFERROR(INDEX(商品マスタ!$G$6:$G$1005,MATCH($F896,商品マスタ!$B$6:$B$1005,0)),"")</f>
        <v/>
      </c>
      <c r="N896" s="71" t="str">
        <f aca="false">IF($K896="","",N($K896)*N($M896))</f>
        <v/>
      </c>
      <c r="O896" s="66" t="str">
        <f aca="false">IFERROR(INDEX(商品マスタ!$H$6:$H$1005,MATCH($F896,商品マスタ!$B$6:$B$1005,0)),"")</f>
        <v/>
      </c>
      <c r="P896" s="87" t="str">
        <f aca="false">IF(OR($E896="",$O896=""),"",WORKDAY($E896,$O896))</f>
        <v/>
      </c>
      <c r="Q896" s="80"/>
      <c r="R896" s="131"/>
      <c r="S896" s="69" t="n">
        <f aca="false">IF($Q896="入荷済み",N($L896),0)</f>
        <v>0</v>
      </c>
      <c r="T896" s="80"/>
      <c r="U896" s="80"/>
    </row>
    <row r="897" customFormat="false" ht="15" hidden="false" customHeight="false" outlineLevel="0" collapsed="false">
      <c r="B897" s="66" t="str">
        <f aca="false">IF(OR($E897="",$F897=""),"","PO-"&amp;TEXT($E897,"yyyymmdd")&amp;"-"&amp;TEXT(COUNTIFS($E$6:$E897,$E897,$C$6:$C897,$C897),"000"))</f>
        <v/>
      </c>
      <c r="C897" s="130"/>
      <c r="D897" s="66" t="str">
        <f aca="false">IFERROR(INDEX(定数マスタ!$C$6:$C$105,MATCH($C897,定数マスタ!$B$6:$B$105,0)),"")</f>
        <v/>
      </c>
      <c r="E897" s="131"/>
      <c r="F897" s="130"/>
      <c r="G897" s="66" t="str">
        <f aca="false">IFERROR(INDEX(商品マスタ!$C$6:$C$1005,MATCH($F897,商品マスタ!$B$6:$B$1005,0)),"")</f>
        <v/>
      </c>
      <c r="H897" s="66" t="str">
        <f aca="false">IFERROR(INDEX(商品マスタ!$E$6:$E$1005,MATCH($F897,商品マスタ!$B$6:$B$1005,0)),"")</f>
        <v/>
      </c>
      <c r="I897" s="69" t="str">
        <f aca="false">IFERROR(INDEX(商品マスタ!$F$6:$F$1005,MATCH($F897,商品マスタ!$B$6:$B$1005,0)),"")</f>
        <v/>
      </c>
      <c r="J897" s="69" t="str">
        <f aca="false">IF(OR($F897="",$C897&lt;&gt;'設定（最初に1回）'!$C$4),"",IFERROR(INDEX(発注計算!$Y$6:$Y$405,MATCH($F897,発注計算!$C$6:$C$405,0)),""))</f>
        <v/>
      </c>
      <c r="K897" s="70"/>
      <c r="L897" s="69" t="str">
        <f aca="false">IF($K897="","",N($K897)*N($I897))</f>
        <v/>
      </c>
      <c r="M897" s="71" t="str">
        <f aca="false">IFERROR(INDEX(商品マスタ!$G$6:$G$1005,MATCH($F897,商品マスタ!$B$6:$B$1005,0)),"")</f>
        <v/>
      </c>
      <c r="N897" s="71" t="str">
        <f aca="false">IF($K897="","",N($K897)*N($M897))</f>
        <v/>
      </c>
      <c r="O897" s="66" t="str">
        <f aca="false">IFERROR(INDEX(商品マスタ!$H$6:$H$1005,MATCH($F897,商品マスタ!$B$6:$B$1005,0)),"")</f>
        <v/>
      </c>
      <c r="P897" s="87" t="str">
        <f aca="false">IF(OR($E897="",$O897=""),"",WORKDAY($E897,$O897))</f>
        <v/>
      </c>
      <c r="Q897" s="80"/>
      <c r="R897" s="131"/>
      <c r="S897" s="69" t="n">
        <f aca="false">IF($Q897="入荷済み",N($L897),0)</f>
        <v>0</v>
      </c>
      <c r="T897" s="80"/>
      <c r="U897" s="80"/>
    </row>
    <row r="898" customFormat="false" ht="15" hidden="false" customHeight="false" outlineLevel="0" collapsed="false">
      <c r="B898" s="66" t="str">
        <f aca="false">IF(OR($E898="",$F898=""),"","PO-"&amp;TEXT($E898,"yyyymmdd")&amp;"-"&amp;TEXT(COUNTIFS($E$6:$E898,$E898,$C$6:$C898,$C898),"000"))</f>
        <v/>
      </c>
      <c r="C898" s="130"/>
      <c r="D898" s="66" t="str">
        <f aca="false">IFERROR(INDEX(定数マスタ!$C$6:$C$105,MATCH($C898,定数マスタ!$B$6:$B$105,0)),"")</f>
        <v/>
      </c>
      <c r="E898" s="131"/>
      <c r="F898" s="130"/>
      <c r="G898" s="66" t="str">
        <f aca="false">IFERROR(INDEX(商品マスタ!$C$6:$C$1005,MATCH($F898,商品マスタ!$B$6:$B$1005,0)),"")</f>
        <v/>
      </c>
      <c r="H898" s="66" t="str">
        <f aca="false">IFERROR(INDEX(商品マスタ!$E$6:$E$1005,MATCH($F898,商品マスタ!$B$6:$B$1005,0)),"")</f>
        <v/>
      </c>
      <c r="I898" s="69" t="str">
        <f aca="false">IFERROR(INDEX(商品マスタ!$F$6:$F$1005,MATCH($F898,商品マスタ!$B$6:$B$1005,0)),"")</f>
        <v/>
      </c>
      <c r="J898" s="69" t="str">
        <f aca="false">IF(OR($F898="",$C898&lt;&gt;'設定（最初に1回）'!$C$4),"",IFERROR(INDEX(発注計算!$Y$6:$Y$405,MATCH($F898,発注計算!$C$6:$C$405,0)),""))</f>
        <v/>
      </c>
      <c r="K898" s="70"/>
      <c r="L898" s="69" t="str">
        <f aca="false">IF($K898="","",N($K898)*N($I898))</f>
        <v/>
      </c>
      <c r="M898" s="71" t="str">
        <f aca="false">IFERROR(INDEX(商品マスタ!$G$6:$G$1005,MATCH($F898,商品マスタ!$B$6:$B$1005,0)),"")</f>
        <v/>
      </c>
      <c r="N898" s="71" t="str">
        <f aca="false">IF($K898="","",N($K898)*N($M898))</f>
        <v/>
      </c>
      <c r="O898" s="66" t="str">
        <f aca="false">IFERROR(INDEX(商品マスタ!$H$6:$H$1005,MATCH($F898,商品マスタ!$B$6:$B$1005,0)),"")</f>
        <v/>
      </c>
      <c r="P898" s="87" t="str">
        <f aca="false">IF(OR($E898="",$O898=""),"",WORKDAY($E898,$O898))</f>
        <v/>
      </c>
      <c r="Q898" s="80"/>
      <c r="R898" s="131"/>
      <c r="S898" s="69" t="n">
        <f aca="false">IF($Q898="入荷済み",N($L898),0)</f>
        <v>0</v>
      </c>
      <c r="T898" s="80"/>
      <c r="U898" s="80"/>
    </row>
    <row r="899" customFormat="false" ht="15" hidden="false" customHeight="false" outlineLevel="0" collapsed="false">
      <c r="B899" s="66" t="str">
        <f aca="false">IF(OR($E899="",$F899=""),"","PO-"&amp;TEXT($E899,"yyyymmdd")&amp;"-"&amp;TEXT(COUNTIFS($E$6:$E899,$E899,$C$6:$C899,$C899),"000"))</f>
        <v/>
      </c>
      <c r="C899" s="130"/>
      <c r="D899" s="66" t="str">
        <f aca="false">IFERROR(INDEX(定数マスタ!$C$6:$C$105,MATCH($C899,定数マスタ!$B$6:$B$105,0)),"")</f>
        <v/>
      </c>
      <c r="E899" s="131"/>
      <c r="F899" s="130"/>
      <c r="G899" s="66" t="str">
        <f aca="false">IFERROR(INDEX(商品マスタ!$C$6:$C$1005,MATCH($F899,商品マスタ!$B$6:$B$1005,0)),"")</f>
        <v/>
      </c>
      <c r="H899" s="66" t="str">
        <f aca="false">IFERROR(INDEX(商品マスタ!$E$6:$E$1005,MATCH($F899,商品マスタ!$B$6:$B$1005,0)),"")</f>
        <v/>
      </c>
      <c r="I899" s="69" t="str">
        <f aca="false">IFERROR(INDEX(商品マスタ!$F$6:$F$1005,MATCH($F899,商品マスタ!$B$6:$B$1005,0)),"")</f>
        <v/>
      </c>
      <c r="J899" s="69" t="str">
        <f aca="false">IF(OR($F899="",$C899&lt;&gt;'設定（最初に1回）'!$C$4),"",IFERROR(INDEX(発注計算!$Y$6:$Y$405,MATCH($F899,発注計算!$C$6:$C$405,0)),""))</f>
        <v/>
      </c>
      <c r="K899" s="70"/>
      <c r="L899" s="69" t="str">
        <f aca="false">IF($K899="","",N($K899)*N($I899))</f>
        <v/>
      </c>
      <c r="M899" s="71" t="str">
        <f aca="false">IFERROR(INDEX(商品マスタ!$G$6:$G$1005,MATCH($F899,商品マスタ!$B$6:$B$1005,0)),"")</f>
        <v/>
      </c>
      <c r="N899" s="71" t="str">
        <f aca="false">IF($K899="","",N($K899)*N($M899))</f>
        <v/>
      </c>
      <c r="O899" s="66" t="str">
        <f aca="false">IFERROR(INDEX(商品マスタ!$H$6:$H$1005,MATCH($F899,商品マスタ!$B$6:$B$1005,0)),"")</f>
        <v/>
      </c>
      <c r="P899" s="87" t="str">
        <f aca="false">IF(OR($E899="",$O899=""),"",WORKDAY($E899,$O899))</f>
        <v/>
      </c>
      <c r="Q899" s="80"/>
      <c r="R899" s="131"/>
      <c r="S899" s="69" t="n">
        <f aca="false">IF($Q899="入荷済み",N($L899),0)</f>
        <v>0</v>
      </c>
      <c r="T899" s="80"/>
      <c r="U899" s="80"/>
    </row>
    <row r="900" customFormat="false" ht="15" hidden="false" customHeight="false" outlineLevel="0" collapsed="false">
      <c r="B900" s="66" t="str">
        <f aca="false">IF(OR($E900="",$F900=""),"","PO-"&amp;TEXT($E900,"yyyymmdd")&amp;"-"&amp;TEXT(COUNTIFS($E$6:$E900,$E900,$C$6:$C900,$C900),"000"))</f>
        <v/>
      </c>
      <c r="C900" s="130"/>
      <c r="D900" s="66" t="str">
        <f aca="false">IFERROR(INDEX(定数マスタ!$C$6:$C$105,MATCH($C900,定数マスタ!$B$6:$B$105,0)),"")</f>
        <v/>
      </c>
      <c r="E900" s="131"/>
      <c r="F900" s="130"/>
      <c r="G900" s="66" t="str">
        <f aca="false">IFERROR(INDEX(商品マスタ!$C$6:$C$1005,MATCH($F900,商品マスタ!$B$6:$B$1005,0)),"")</f>
        <v/>
      </c>
      <c r="H900" s="66" t="str">
        <f aca="false">IFERROR(INDEX(商品マスタ!$E$6:$E$1005,MATCH($F900,商品マスタ!$B$6:$B$1005,0)),"")</f>
        <v/>
      </c>
      <c r="I900" s="69" t="str">
        <f aca="false">IFERROR(INDEX(商品マスタ!$F$6:$F$1005,MATCH($F900,商品マスタ!$B$6:$B$1005,0)),"")</f>
        <v/>
      </c>
      <c r="J900" s="69" t="str">
        <f aca="false">IF(OR($F900="",$C900&lt;&gt;'設定（最初に1回）'!$C$4),"",IFERROR(INDEX(発注計算!$Y$6:$Y$405,MATCH($F900,発注計算!$C$6:$C$405,0)),""))</f>
        <v/>
      </c>
      <c r="K900" s="70"/>
      <c r="L900" s="69" t="str">
        <f aca="false">IF($K900="","",N($K900)*N($I900))</f>
        <v/>
      </c>
      <c r="M900" s="71" t="str">
        <f aca="false">IFERROR(INDEX(商品マスタ!$G$6:$G$1005,MATCH($F900,商品マスタ!$B$6:$B$1005,0)),"")</f>
        <v/>
      </c>
      <c r="N900" s="71" t="str">
        <f aca="false">IF($K900="","",N($K900)*N($M900))</f>
        <v/>
      </c>
      <c r="O900" s="66" t="str">
        <f aca="false">IFERROR(INDEX(商品マスタ!$H$6:$H$1005,MATCH($F900,商品マスタ!$B$6:$B$1005,0)),"")</f>
        <v/>
      </c>
      <c r="P900" s="87" t="str">
        <f aca="false">IF(OR($E900="",$O900=""),"",WORKDAY($E900,$O900))</f>
        <v/>
      </c>
      <c r="Q900" s="80"/>
      <c r="R900" s="131"/>
      <c r="S900" s="69" t="n">
        <f aca="false">IF($Q900="入荷済み",N($L900),0)</f>
        <v>0</v>
      </c>
      <c r="T900" s="80"/>
      <c r="U900" s="80"/>
    </row>
    <row r="901" customFormat="false" ht="15" hidden="false" customHeight="false" outlineLevel="0" collapsed="false">
      <c r="B901" s="66" t="str">
        <f aca="false">IF(OR($E901="",$F901=""),"","PO-"&amp;TEXT($E901,"yyyymmdd")&amp;"-"&amp;TEXT(COUNTIFS($E$6:$E901,$E901,$C$6:$C901,$C901),"000"))</f>
        <v/>
      </c>
      <c r="C901" s="130"/>
      <c r="D901" s="66" t="str">
        <f aca="false">IFERROR(INDEX(定数マスタ!$C$6:$C$105,MATCH($C901,定数マスタ!$B$6:$B$105,0)),"")</f>
        <v/>
      </c>
      <c r="E901" s="131"/>
      <c r="F901" s="130"/>
      <c r="G901" s="66" t="str">
        <f aca="false">IFERROR(INDEX(商品マスタ!$C$6:$C$1005,MATCH($F901,商品マスタ!$B$6:$B$1005,0)),"")</f>
        <v/>
      </c>
      <c r="H901" s="66" t="str">
        <f aca="false">IFERROR(INDEX(商品マスタ!$E$6:$E$1005,MATCH($F901,商品マスタ!$B$6:$B$1005,0)),"")</f>
        <v/>
      </c>
      <c r="I901" s="69" t="str">
        <f aca="false">IFERROR(INDEX(商品マスタ!$F$6:$F$1005,MATCH($F901,商品マスタ!$B$6:$B$1005,0)),"")</f>
        <v/>
      </c>
      <c r="J901" s="69" t="str">
        <f aca="false">IF(OR($F901="",$C901&lt;&gt;'設定（最初に1回）'!$C$4),"",IFERROR(INDEX(発注計算!$Y$6:$Y$405,MATCH($F901,発注計算!$C$6:$C$405,0)),""))</f>
        <v/>
      </c>
      <c r="K901" s="70"/>
      <c r="L901" s="69" t="str">
        <f aca="false">IF($K901="","",N($K901)*N($I901))</f>
        <v/>
      </c>
      <c r="M901" s="71" t="str">
        <f aca="false">IFERROR(INDEX(商品マスタ!$G$6:$G$1005,MATCH($F901,商品マスタ!$B$6:$B$1005,0)),"")</f>
        <v/>
      </c>
      <c r="N901" s="71" t="str">
        <f aca="false">IF($K901="","",N($K901)*N($M901))</f>
        <v/>
      </c>
      <c r="O901" s="66" t="str">
        <f aca="false">IFERROR(INDEX(商品マスタ!$H$6:$H$1005,MATCH($F901,商品マスタ!$B$6:$B$1005,0)),"")</f>
        <v/>
      </c>
      <c r="P901" s="87" t="str">
        <f aca="false">IF(OR($E901="",$O901=""),"",WORKDAY($E901,$O901))</f>
        <v/>
      </c>
      <c r="Q901" s="80"/>
      <c r="R901" s="131"/>
      <c r="S901" s="69" t="n">
        <f aca="false">IF($Q901="入荷済み",N($L901),0)</f>
        <v>0</v>
      </c>
      <c r="T901" s="80"/>
      <c r="U901" s="80"/>
    </row>
    <row r="902" customFormat="false" ht="15" hidden="false" customHeight="false" outlineLevel="0" collapsed="false">
      <c r="B902" s="66" t="str">
        <f aca="false">IF(OR($E902="",$F902=""),"","PO-"&amp;TEXT($E902,"yyyymmdd")&amp;"-"&amp;TEXT(COUNTIFS($E$6:$E902,$E902,$C$6:$C902,$C902),"000"))</f>
        <v/>
      </c>
      <c r="C902" s="130"/>
      <c r="D902" s="66" t="str">
        <f aca="false">IFERROR(INDEX(定数マスタ!$C$6:$C$105,MATCH($C902,定数マスタ!$B$6:$B$105,0)),"")</f>
        <v/>
      </c>
      <c r="E902" s="131"/>
      <c r="F902" s="130"/>
      <c r="G902" s="66" t="str">
        <f aca="false">IFERROR(INDEX(商品マスタ!$C$6:$C$1005,MATCH($F902,商品マスタ!$B$6:$B$1005,0)),"")</f>
        <v/>
      </c>
      <c r="H902" s="66" t="str">
        <f aca="false">IFERROR(INDEX(商品マスタ!$E$6:$E$1005,MATCH($F902,商品マスタ!$B$6:$B$1005,0)),"")</f>
        <v/>
      </c>
      <c r="I902" s="69" t="str">
        <f aca="false">IFERROR(INDEX(商品マスタ!$F$6:$F$1005,MATCH($F902,商品マスタ!$B$6:$B$1005,0)),"")</f>
        <v/>
      </c>
      <c r="J902" s="69" t="str">
        <f aca="false">IF(OR($F902="",$C902&lt;&gt;'設定（最初に1回）'!$C$4),"",IFERROR(INDEX(発注計算!$Y$6:$Y$405,MATCH($F902,発注計算!$C$6:$C$405,0)),""))</f>
        <v/>
      </c>
      <c r="K902" s="70"/>
      <c r="L902" s="69" t="str">
        <f aca="false">IF($K902="","",N($K902)*N($I902))</f>
        <v/>
      </c>
      <c r="M902" s="71" t="str">
        <f aca="false">IFERROR(INDEX(商品マスタ!$G$6:$G$1005,MATCH($F902,商品マスタ!$B$6:$B$1005,0)),"")</f>
        <v/>
      </c>
      <c r="N902" s="71" t="str">
        <f aca="false">IF($K902="","",N($K902)*N($M902))</f>
        <v/>
      </c>
      <c r="O902" s="66" t="str">
        <f aca="false">IFERROR(INDEX(商品マスタ!$H$6:$H$1005,MATCH($F902,商品マスタ!$B$6:$B$1005,0)),"")</f>
        <v/>
      </c>
      <c r="P902" s="87" t="str">
        <f aca="false">IF(OR($E902="",$O902=""),"",WORKDAY($E902,$O902))</f>
        <v/>
      </c>
      <c r="Q902" s="80"/>
      <c r="R902" s="131"/>
      <c r="S902" s="69" t="n">
        <f aca="false">IF($Q902="入荷済み",N($L902),0)</f>
        <v>0</v>
      </c>
      <c r="T902" s="80"/>
      <c r="U902" s="80"/>
    </row>
    <row r="903" customFormat="false" ht="15" hidden="false" customHeight="false" outlineLevel="0" collapsed="false">
      <c r="B903" s="66" t="str">
        <f aca="false">IF(OR($E903="",$F903=""),"","PO-"&amp;TEXT($E903,"yyyymmdd")&amp;"-"&amp;TEXT(COUNTIFS($E$6:$E903,$E903,$C$6:$C903,$C903),"000"))</f>
        <v/>
      </c>
      <c r="C903" s="130"/>
      <c r="D903" s="66" t="str">
        <f aca="false">IFERROR(INDEX(定数マスタ!$C$6:$C$105,MATCH($C903,定数マスタ!$B$6:$B$105,0)),"")</f>
        <v/>
      </c>
      <c r="E903" s="131"/>
      <c r="F903" s="130"/>
      <c r="G903" s="66" t="str">
        <f aca="false">IFERROR(INDEX(商品マスタ!$C$6:$C$1005,MATCH($F903,商品マスタ!$B$6:$B$1005,0)),"")</f>
        <v/>
      </c>
      <c r="H903" s="66" t="str">
        <f aca="false">IFERROR(INDEX(商品マスタ!$E$6:$E$1005,MATCH($F903,商品マスタ!$B$6:$B$1005,0)),"")</f>
        <v/>
      </c>
      <c r="I903" s="69" t="str">
        <f aca="false">IFERROR(INDEX(商品マスタ!$F$6:$F$1005,MATCH($F903,商品マスタ!$B$6:$B$1005,0)),"")</f>
        <v/>
      </c>
      <c r="J903" s="69" t="str">
        <f aca="false">IF(OR($F903="",$C903&lt;&gt;'設定（最初に1回）'!$C$4),"",IFERROR(INDEX(発注計算!$Y$6:$Y$405,MATCH($F903,発注計算!$C$6:$C$405,0)),""))</f>
        <v/>
      </c>
      <c r="K903" s="70"/>
      <c r="L903" s="69" t="str">
        <f aca="false">IF($K903="","",N($K903)*N($I903))</f>
        <v/>
      </c>
      <c r="M903" s="71" t="str">
        <f aca="false">IFERROR(INDEX(商品マスタ!$G$6:$G$1005,MATCH($F903,商品マスタ!$B$6:$B$1005,0)),"")</f>
        <v/>
      </c>
      <c r="N903" s="71" t="str">
        <f aca="false">IF($K903="","",N($K903)*N($M903))</f>
        <v/>
      </c>
      <c r="O903" s="66" t="str">
        <f aca="false">IFERROR(INDEX(商品マスタ!$H$6:$H$1005,MATCH($F903,商品マスタ!$B$6:$B$1005,0)),"")</f>
        <v/>
      </c>
      <c r="P903" s="87" t="str">
        <f aca="false">IF(OR($E903="",$O903=""),"",WORKDAY($E903,$O903))</f>
        <v/>
      </c>
      <c r="Q903" s="80"/>
      <c r="R903" s="131"/>
      <c r="S903" s="69" t="n">
        <f aca="false">IF($Q903="入荷済み",N($L903),0)</f>
        <v>0</v>
      </c>
      <c r="T903" s="80"/>
      <c r="U903" s="80"/>
    </row>
    <row r="904" customFormat="false" ht="15" hidden="false" customHeight="false" outlineLevel="0" collapsed="false">
      <c r="B904" s="66" t="str">
        <f aca="false">IF(OR($E904="",$F904=""),"","PO-"&amp;TEXT($E904,"yyyymmdd")&amp;"-"&amp;TEXT(COUNTIFS($E$6:$E904,$E904,$C$6:$C904,$C904),"000"))</f>
        <v/>
      </c>
      <c r="C904" s="130"/>
      <c r="D904" s="66" t="str">
        <f aca="false">IFERROR(INDEX(定数マスタ!$C$6:$C$105,MATCH($C904,定数マスタ!$B$6:$B$105,0)),"")</f>
        <v/>
      </c>
      <c r="E904" s="131"/>
      <c r="F904" s="130"/>
      <c r="G904" s="66" t="str">
        <f aca="false">IFERROR(INDEX(商品マスタ!$C$6:$C$1005,MATCH($F904,商品マスタ!$B$6:$B$1005,0)),"")</f>
        <v/>
      </c>
      <c r="H904" s="66" t="str">
        <f aca="false">IFERROR(INDEX(商品マスタ!$E$6:$E$1005,MATCH($F904,商品マスタ!$B$6:$B$1005,0)),"")</f>
        <v/>
      </c>
      <c r="I904" s="69" t="str">
        <f aca="false">IFERROR(INDEX(商品マスタ!$F$6:$F$1005,MATCH($F904,商品マスタ!$B$6:$B$1005,0)),"")</f>
        <v/>
      </c>
      <c r="J904" s="69" t="str">
        <f aca="false">IF(OR($F904="",$C904&lt;&gt;'設定（最初に1回）'!$C$4),"",IFERROR(INDEX(発注計算!$Y$6:$Y$405,MATCH($F904,発注計算!$C$6:$C$405,0)),""))</f>
        <v/>
      </c>
      <c r="K904" s="70"/>
      <c r="L904" s="69" t="str">
        <f aca="false">IF($K904="","",N($K904)*N($I904))</f>
        <v/>
      </c>
      <c r="M904" s="71" t="str">
        <f aca="false">IFERROR(INDEX(商品マスタ!$G$6:$G$1005,MATCH($F904,商品マスタ!$B$6:$B$1005,0)),"")</f>
        <v/>
      </c>
      <c r="N904" s="71" t="str">
        <f aca="false">IF($K904="","",N($K904)*N($M904))</f>
        <v/>
      </c>
      <c r="O904" s="66" t="str">
        <f aca="false">IFERROR(INDEX(商品マスタ!$H$6:$H$1005,MATCH($F904,商品マスタ!$B$6:$B$1005,0)),"")</f>
        <v/>
      </c>
      <c r="P904" s="87" t="str">
        <f aca="false">IF(OR($E904="",$O904=""),"",WORKDAY($E904,$O904))</f>
        <v/>
      </c>
      <c r="Q904" s="80"/>
      <c r="R904" s="131"/>
      <c r="S904" s="69" t="n">
        <f aca="false">IF($Q904="入荷済み",N($L904),0)</f>
        <v>0</v>
      </c>
      <c r="T904" s="80"/>
      <c r="U904" s="80"/>
    </row>
    <row r="905" customFormat="false" ht="15" hidden="false" customHeight="false" outlineLevel="0" collapsed="false">
      <c r="B905" s="66" t="str">
        <f aca="false">IF(OR($E905="",$F905=""),"","PO-"&amp;TEXT($E905,"yyyymmdd")&amp;"-"&amp;TEXT(COUNTIFS($E$6:$E905,$E905,$C$6:$C905,$C905),"000"))</f>
        <v/>
      </c>
      <c r="C905" s="130"/>
      <c r="D905" s="66" t="str">
        <f aca="false">IFERROR(INDEX(定数マスタ!$C$6:$C$105,MATCH($C905,定数マスタ!$B$6:$B$105,0)),"")</f>
        <v/>
      </c>
      <c r="E905" s="131"/>
      <c r="F905" s="130"/>
      <c r="G905" s="66" t="str">
        <f aca="false">IFERROR(INDEX(商品マスタ!$C$6:$C$1005,MATCH($F905,商品マスタ!$B$6:$B$1005,0)),"")</f>
        <v/>
      </c>
      <c r="H905" s="66" t="str">
        <f aca="false">IFERROR(INDEX(商品マスタ!$E$6:$E$1005,MATCH($F905,商品マスタ!$B$6:$B$1005,0)),"")</f>
        <v/>
      </c>
      <c r="I905" s="69" t="str">
        <f aca="false">IFERROR(INDEX(商品マスタ!$F$6:$F$1005,MATCH($F905,商品マスタ!$B$6:$B$1005,0)),"")</f>
        <v/>
      </c>
      <c r="J905" s="69" t="str">
        <f aca="false">IF(OR($F905="",$C905&lt;&gt;'設定（最初に1回）'!$C$4),"",IFERROR(INDEX(発注計算!$Y$6:$Y$405,MATCH($F905,発注計算!$C$6:$C$405,0)),""))</f>
        <v/>
      </c>
      <c r="K905" s="70"/>
      <c r="L905" s="69" t="str">
        <f aca="false">IF($K905="","",N($K905)*N($I905))</f>
        <v/>
      </c>
      <c r="M905" s="71" t="str">
        <f aca="false">IFERROR(INDEX(商品マスタ!$G$6:$G$1005,MATCH($F905,商品マスタ!$B$6:$B$1005,0)),"")</f>
        <v/>
      </c>
      <c r="N905" s="71" t="str">
        <f aca="false">IF($K905="","",N($K905)*N($M905))</f>
        <v/>
      </c>
      <c r="O905" s="66" t="str">
        <f aca="false">IFERROR(INDEX(商品マスタ!$H$6:$H$1005,MATCH($F905,商品マスタ!$B$6:$B$1005,0)),"")</f>
        <v/>
      </c>
      <c r="P905" s="87" t="str">
        <f aca="false">IF(OR($E905="",$O905=""),"",WORKDAY($E905,$O905))</f>
        <v/>
      </c>
      <c r="Q905" s="80"/>
      <c r="R905" s="131"/>
      <c r="S905" s="69" t="n">
        <f aca="false">IF($Q905="入荷済み",N($L905),0)</f>
        <v>0</v>
      </c>
      <c r="T905" s="80"/>
      <c r="U905" s="80"/>
    </row>
    <row r="906" customFormat="false" ht="15" hidden="false" customHeight="false" outlineLevel="0" collapsed="false">
      <c r="B906" s="66" t="str">
        <f aca="false">IF(OR($E906="",$F906=""),"","PO-"&amp;TEXT($E906,"yyyymmdd")&amp;"-"&amp;TEXT(COUNTIFS($E$6:$E906,$E906,$C$6:$C906,$C906),"000"))</f>
        <v/>
      </c>
      <c r="C906" s="130"/>
      <c r="D906" s="66" t="str">
        <f aca="false">IFERROR(INDEX(定数マスタ!$C$6:$C$105,MATCH($C906,定数マスタ!$B$6:$B$105,0)),"")</f>
        <v/>
      </c>
      <c r="E906" s="131"/>
      <c r="F906" s="130"/>
      <c r="G906" s="66" t="str">
        <f aca="false">IFERROR(INDEX(商品マスタ!$C$6:$C$1005,MATCH($F906,商品マスタ!$B$6:$B$1005,0)),"")</f>
        <v/>
      </c>
      <c r="H906" s="66" t="str">
        <f aca="false">IFERROR(INDEX(商品マスタ!$E$6:$E$1005,MATCH($F906,商品マスタ!$B$6:$B$1005,0)),"")</f>
        <v/>
      </c>
      <c r="I906" s="69" t="str">
        <f aca="false">IFERROR(INDEX(商品マスタ!$F$6:$F$1005,MATCH($F906,商品マスタ!$B$6:$B$1005,0)),"")</f>
        <v/>
      </c>
      <c r="J906" s="69" t="str">
        <f aca="false">IF(OR($F906="",$C906&lt;&gt;'設定（最初に1回）'!$C$4),"",IFERROR(INDEX(発注計算!$Y$6:$Y$405,MATCH($F906,発注計算!$C$6:$C$405,0)),""))</f>
        <v/>
      </c>
      <c r="K906" s="70"/>
      <c r="L906" s="69" t="str">
        <f aca="false">IF($K906="","",N($K906)*N($I906))</f>
        <v/>
      </c>
      <c r="M906" s="71" t="str">
        <f aca="false">IFERROR(INDEX(商品マスタ!$G$6:$G$1005,MATCH($F906,商品マスタ!$B$6:$B$1005,0)),"")</f>
        <v/>
      </c>
      <c r="N906" s="71" t="str">
        <f aca="false">IF($K906="","",N($K906)*N($M906))</f>
        <v/>
      </c>
      <c r="O906" s="66" t="str">
        <f aca="false">IFERROR(INDEX(商品マスタ!$H$6:$H$1005,MATCH($F906,商品マスタ!$B$6:$B$1005,0)),"")</f>
        <v/>
      </c>
      <c r="P906" s="87" t="str">
        <f aca="false">IF(OR($E906="",$O906=""),"",WORKDAY($E906,$O906))</f>
        <v/>
      </c>
      <c r="Q906" s="80"/>
      <c r="R906" s="131"/>
      <c r="S906" s="69" t="n">
        <f aca="false">IF($Q906="入荷済み",N($L906),0)</f>
        <v>0</v>
      </c>
      <c r="T906" s="80"/>
      <c r="U906" s="80"/>
    </row>
    <row r="907" customFormat="false" ht="15" hidden="false" customHeight="false" outlineLevel="0" collapsed="false">
      <c r="B907" s="66" t="str">
        <f aca="false">IF(OR($E907="",$F907=""),"","PO-"&amp;TEXT($E907,"yyyymmdd")&amp;"-"&amp;TEXT(COUNTIFS($E$6:$E907,$E907,$C$6:$C907,$C907),"000"))</f>
        <v/>
      </c>
      <c r="C907" s="130"/>
      <c r="D907" s="66" t="str">
        <f aca="false">IFERROR(INDEX(定数マスタ!$C$6:$C$105,MATCH($C907,定数マスタ!$B$6:$B$105,0)),"")</f>
        <v/>
      </c>
      <c r="E907" s="131"/>
      <c r="F907" s="130"/>
      <c r="G907" s="66" t="str">
        <f aca="false">IFERROR(INDEX(商品マスタ!$C$6:$C$1005,MATCH($F907,商品マスタ!$B$6:$B$1005,0)),"")</f>
        <v/>
      </c>
      <c r="H907" s="66" t="str">
        <f aca="false">IFERROR(INDEX(商品マスタ!$E$6:$E$1005,MATCH($F907,商品マスタ!$B$6:$B$1005,0)),"")</f>
        <v/>
      </c>
      <c r="I907" s="69" t="str">
        <f aca="false">IFERROR(INDEX(商品マスタ!$F$6:$F$1005,MATCH($F907,商品マスタ!$B$6:$B$1005,0)),"")</f>
        <v/>
      </c>
      <c r="J907" s="69" t="str">
        <f aca="false">IF(OR($F907="",$C907&lt;&gt;'設定（最初に1回）'!$C$4),"",IFERROR(INDEX(発注計算!$Y$6:$Y$405,MATCH($F907,発注計算!$C$6:$C$405,0)),""))</f>
        <v/>
      </c>
      <c r="K907" s="70"/>
      <c r="L907" s="69" t="str">
        <f aca="false">IF($K907="","",N($K907)*N($I907))</f>
        <v/>
      </c>
      <c r="M907" s="71" t="str">
        <f aca="false">IFERROR(INDEX(商品マスタ!$G$6:$G$1005,MATCH($F907,商品マスタ!$B$6:$B$1005,0)),"")</f>
        <v/>
      </c>
      <c r="N907" s="71" t="str">
        <f aca="false">IF($K907="","",N($K907)*N($M907))</f>
        <v/>
      </c>
      <c r="O907" s="66" t="str">
        <f aca="false">IFERROR(INDEX(商品マスタ!$H$6:$H$1005,MATCH($F907,商品マスタ!$B$6:$B$1005,0)),"")</f>
        <v/>
      </c>
      <c r="P907" s="87" t="str">
        <f aca="false">IF(OR($E907="",$O907=""),"",WORKDAY($E907,$O907))</f>
        <v/>
      </c>
      <c r="Q907" s="80"/>
      <c r="R907" s="131"/>
      <c r="S907" s="69" t="n">
        <f aca="false">IF($Q907="入荷済み",N($L907),0)</f>
        <v>0</v>
      </c>
      <c r="T907" s="80"/>
      <c r="U907" s="80"/>
    </row>
    <row r="908" customFormat="false" ht="15" hidden="false" customHeight="false" outlineLevel="0" collapsed="false">
      <c r="B908" s="66" t="str">
        <f aca="false">IF(OR($E908="",$F908=""),"","PO-"&amp;TEXT($E908,"yyyymmdd")&amp;"-"&amp;TEXT(COUNTIFS($E$6:$E908,$E908,$C$6:$C908,$C908),"000"))</f>
        <v/>
      </c>
      <c r="C908" s="130"/>
      <c r="D908" s="66" t="str">
        <f aca="false">IFERROR(INDEX(定数マスタ!$C$6:$C$105,MATCH($C908,定数マスタ!$B$6:$B$105,0)),"")</f>
        <v/>
      </c>
      <c r="E908" s="131"/>
      <c r="F908" s="130"/>
      <c r="G908" s="66" t="str">
        <f aca="false">IFERROR(INDEX(商品マスタ!$C$6:$C$1005,MATCH($F908,商品マスタ!$B$6:$B$1005,0)),"")</f>
        <v/>
      </c>
      <c r="H908" s="66" t="str">
        <f aca="false">IFERROR(INDEX(商品マスタ!$E$6:$E$1005,MATCH($F908,商品マスタ!$B$6:$B$1005,0)),"")</f>
        <v/>
      </c>
      <c r="I908" s="69" t="str">
        <f aca="false">IFERROR(INDEX(商品マスタ!$F$6:$F$1005,MATCH($F908,商品マスタ!$B$6:$B$1005,0)),"")</f>
        <v/>
      </c>
      <c r="J908" s="69" t="str">
        <f aca="false">IF(OR($F908="",$C908&lt;&gt;'設定（最初に1回）'!$C$4),"",IFERROR(INDEX(発注計算!$Y$6:$Y$405,MATCH($F908,発注計算!$C$6:$C$405,0)),""))</f>
        <v/>
      </c>
      <c r="K908" s="70"/>
      <c r="L908" s="69" t="str">
        <f aca="false">IF($K908="","",N($K908)*N($I908))</f>
        <v/>
      </c>
      <c r="M908" s="71" t="str">
        <f aca="false">IFERROR(INDEX(商品マスタ!$G$6:$G$1005,MATCH($F908,商品マスタ!$B$6:$B$1005,0)),"")</f>
        <v/>
      </c>
      <c r="N908" s="71" t="str">
        <f aca="false">IF($K908="","",N($K908)*N($M908))</f>
        <v/>
      </c>
      <c r="O908" s="66" t="str">
        <f aca="false">IFERROR(INDEX(商品マスタ!$H$6:$H$1005,MATCH($F908,商品マスタ!$B$6:$B$1005,0)),"")</f>
        <v/>
      </c>
      <c r="P908" s="87" t="str">
        <f aca="false">IF(OR($E908="",$O908=""),"",WORKDAY($E908,$O908))</f>
        <v/>
      </c>
      <c r="Q908" s="80"/>
      <c r="R908" s="131"/>
      <c r="S908" s="69" t="n">
        <f aca="false">IF($Q908="入荷済み",N($L908),0)</f>
        <v>0</v>
      </c>
      <c r="T908" s="80"/>
      <c r="U908" s="80"/>
    </row>
    <row r="909" customFormat="false" ht="15" hidden="false" customHeight="false" outlineLevel="0" collapsed="false">
      <c r="B909" s="66" t="str">
        <f aca="false">IF(OR($E909="",$F909=""),"","PO-"&amp;TEXT($E909,"yyyymmdd")&amp;"-"&amp;TEXT(COUNTIFS($E$6:$E909,$E909,$C$6:$C909,$C909),"000"))</f>
        <v/>
      </c>
      <c r="C909" s="130"/>
      <c r="D909" s="66" t="str">
        <f aca="false">IFERROR(INDEX(定数マスタ!$C$6:$C$105,MATCH($C909,定数マスタ!$B$6:$B$105,0)),"")</f>
        <v/>
      </c>
      <c r="E909" s="131"/>
      <c r="F909" s="130"/>
      <c r="G909" s="66" t="str">
        <f aca="false">IFERROR(INDEX(商品マスタ!$C$6:$C$1005,MATCH($F909,商品マスタ!$B$6:$B$1005,0)),"")</f>
        <v/>
      </c>
      <c r="H909" s="66" t="str">
        <f aca="false">IFERROR(INDEX(商品マスタ!$E$6:$E$1005,MATCH($F909,商品マスタ!$B$6:$B$1005,0)),"")</f>
        <v/>
      </c>
      <c r="I909" s="69" t="str">
        <f aca="false">IFERROR(INDEX(商品マスタ!$F$6:$F$1005,MATCH($F909,商品マスタ!$B$6:$B$1005,0)),"")</f>
        <v/>
      </c>
      <c r="J909" s="69" t="str">
        <f aca="false">IF(OR($F909="",$C909&lt;&gt;'設定（最初に1回）'!$C$4),"",IFERROR(INDEX(発注計算!$Y$6:$Y$405,MATCH($F909,発注計算!$C$6:$C$405,0)),""))</f>
        <v/>
      </c>
      <c r="K909" s="70"/>
      <c r="L909" s="69" t="str">
        <f aca="false">IF($K909="","",N($K909)*N($I909))</f>
        <v/>
      </c>
      <c r="M909" s="71" t="str">
        <f aca="false">IFERROR(INDEX(商品マスタ!$G$6:$G$1005,MATCH($F909,商品マスタ!$B$6:$B$1005,0)),"")</f>
        <v/>
      </c>
      <c r="N909" s="71" t="str">
        <f aca="false">IF($K909="","",N($K909)*N($M909))</f>
        <v/>
      </c>
      <c r="O909" s="66" t="str">
        <f aca="false">IFERROR(INDEX(商品マスタ!$H$6:$H$1005,MATCH($F909,商品マスタ!$B$6:$B$1005,0)),"")</f>
        <v/>
      </c>
      <c r="P909" s="87" t="str">
        <f aca="false">IF(OR($E909="",$O909=""),"",WORKDAY($E909,$O909))</f>
        <v/>
      </c>
      <c r="Q909" s="80"/>
      <c r="R909" s="131"/>
      <c r="S909" s="69" t="n">
        <f aca="false">IF($Q909="入荷済み",N($L909),0)</f>
        <v>0</v>
      </c>
      <c r="T909" s="80"/>
      <c r="U909" s="80"/>
    </row>
    <row r="910" customFormat="false" ht="15" hidden="false" customHeight="false" outlineLevel="0" collapsed="false">
      <c r="B910" s="66" t="str">
        <f aca="false">IF(OR($E910="",$F910=""),"","PO-"&amp;TEXT($E910,"yyyymmdd")&amp;"-"&amp;TEXT(COUNTIFS($E$6:$E910,$E910,$C$6:$C910,$C910),"000"))</f>
        <v/>
      </c>
      <c r="C910" s="130"/>
      <c r="D910" s="66" t="str">
        <f aca="false">IFERROR(INDEX(定数マスタ!$C$6:$C$105,MATCH($C910,定数マスタ!$B$6:$B$105,0)),"")</f>
        <v/>
      </c>
      <c r="E910" s="131"/>
      <c r="F910" s="130"/>
      <c r="G910" s="66" t="str">
        <f aca="false">IFERROR(INDEX(商品マスタ!$C$6:$C$1005,MATCH($F910,商品マスタ!$B$6:$B$1005,0)),"")</f>
        <v/>
      </c>
      <c r="H910" s="66" t="str">
        <f aca="false">IFERROR(INDEX(商品マスタ!$E$6:$E$1005,MATCH($F910,商品マスタ!$B$6:$B$1005,0)),"")</f>
        <v/>
      </c>
      <c r="I910" s="69" t="str">
        <f aca="false">IFERROR(INDEX(商品マスタ!$F$6:$F$1005,MATCH($F910,商品マスタ!$B$6:$B$1005,0)),"")</f>
        <v/>
      </c>
      <c r="J910" s="69" t="str">
        <f aca="false">IF(OR($F910="",$C910&lt;&gt;'設定（最初に1回）'!$C$4),"",IFERROR(INDEX(発注計算!$Y$6:$Y$405,MATCH($F910,発注計算!$C$6:$C$405,0)),""))</f>
        <v/>
      </c>
      <c r="K910" s="70"/>
      <c r="L910" s="69" t="str">
        <f aca="false">IF($K910="","",N($K910)*N($I910))</f>
        <v/>
      </c>
      <c r="M910" s="71" t="str">
        <f aca="false">IFERROR(INDEX(商品マスタ!$G$6:$G$1005,MATCH($F910,商品マスタ!$B$6:$B$1005,0)),"")</f>
        <v/>
      </c>
      <c r="N910" s="71" t="str">
        <f aca="false">IF($K910="","",N($K910)*N($M910))</f>
        <v/>
      </c>
      <c r="O910" s="66" t="str">
        <f aca="false">IFERROR(INDEX(商品マスタ!$H$6:$H$1005,MATCH($F910,商品マスタ!$B$6:$B$1005,0)),"")</f>
        <v/>
      </c>
      <c r="P910" s="87" t="str">
        <f aca="false">IF(OR($E910="",$O910=""),"",WORKDAY($E910,$O910))</f>
        <v/>
      </c>
      <c r="Q910" s="80"/>
      <c r="R910" s="131"/>
      <c r="S910" s="69" t="n">
        <f aca="false">IF($Q910="入荷済み",N($L910),0)</f>
        <v>0</v>
      </c>
      <c r="T910" s="80"/>
      <c r="U910" s="80"/>
    </row>
    <row r="911" customFormat="false" ht="15" hidden="false" customHeight="false" outlineLevel="0" collapsed="false">
      <c r="B911" s="66" t="str">
        <f aca="false">IF(OR($E911="",$F911=""),"","PO-"&amp;TEXT($E911,"yyyymmdd")&amp;"-"&amp;TEXT(COUNTIFS($E$6:$E911,$E911,$C$6:$C911,$C911),"000"))</f>
        <v/>
      </c>
      <c r="C911" s="130"/>
      <c r="D911" s="66" t="str">
        <f aca="false">IFERROR(INDEX(定数マスタ!$C$6:$C$105,MATCH($C911,定数マスタ!$B$6:$B$105,0)),"")</f>
        <v/>
      </c>
      <c r="E911" s="131"/>
      <c r="F911" s="130"/>
      <c r="G911" s="66" t="str">
        <f aca="false">IFERROR(INDEX(商品マスタ!$C$6:$C$1005,MATCH($F911,商品マスタ!$B$6:$B$1005,0)),"")</f>
        <v/>
      </c>
      <c r="H911" s="66" t="str">
        <f aca="false">IFERROR(INDEX(商品マスタ!$E$6:$E$1005,MATCH($F911,商品マスタ!$B$6:$B$1005,0)),"")</f>
        <v/>
      </c>
      <c r="I911" s="69" t="str">
        <f aca="false">IFERROR(INDEX(商品マスタ!$F$6:$F$1005,MATCH($F911,商品マスタ!$B$6:$B$1005,0)),"")</f>
        <v/>
      </c>
      <c r="J911" s="69" t="str">
        <f aca="false">IF(OR($F911="",$C911&lt;&gt;'設定（最初に1回）'!$C$4),"",IFERROR(INDEX(発注計算!$Y$6:$Y$405,MATCH($F911,発注計算!$C$6:$C$405,0)),""))</f>
        <v/>
      </c>
      <c r="K911" s="70"/>
      <c r="L911" s="69" t="str">
        <f aca="false">IF($K911="","",N($K911)*N($I911))</f>
        <v/>
      </c>
      <c r="M911" s="71" t="str">
        <f aca="false">IFERROR(INDEX(商品マスタ!$G$6:$G$1005,MATCH($F911,商品マスタ!$B$6:$B$1005,0)),"")</f>
        <v/>
      </c>
      <c r="N911" s="71" t="str">
        <f aca="false">IF($K911="","",N($K911)*N($M911))</f>
        <v/>
      </c>
      <c r="O911" s="66" t="str">
        <f aca="false">IFERROR(INDEX(商品マスタ!$H$6:$H$1005,MATCH($F911,商品マスタ!$B$6:$B$1005,0)),"")</f>
        <v/>
      </c>
      <c r="P911" s="87" t="str">
        <f aca="false">IF(OR($E911="",$O911=""),"",WORKDAY($E911,$O911))</f>
        <v/>
      </c>
      <c r="Q911" s="80"/>
      <c r="R911" s="131"/>
      <c r="S911" s="69" t="n">
        <f aca="false">IF($Q911="入荷済み",N($L911),0)</f>
        <v>0</v>
      </c>
      <c r="T911" s="80"/>
      <c r="U911" s="80"/>
    </row>
    <row r="912" customFormat="false" ht="15" hidden="false" customHeight="false" outlineLevel="0" collapsed="false">
      <c r="B912" s="66" t="str">
        <f aca="false">IF(OR($E912="",$F912=""),"","PO-"&amp;TEXT($E912,"yyyymmdd")&amp;"-"&amp;TEXT(COUNTIFS($E$6:$E912,$E912,$C$6:$C912,$C912),"000"))</f>
        <v/>
      </c>
      <c r="C912" s="130"/>
      <c r="D912" s="66" t="str">
        <f aca="false">IFERROR(INDEX(定数マスタ!$C$6:$C$105,MATCH($C912,定数マスタ!$B$6:$B$105,0)),"")</f>
        <v/>
      </c>
      <c r="E912" s="131"/>
      <c r="F912" s="130"/>
      <c r="G912" s="66" t="str">
        <f aca="false">IFERROR(INDEX(商品マスタ!$C$6:$C$1005,MATCH($F912,商品マスタ!$B$6:$B$1005,0)),"")</f>
        <v/>
      </c>
      <c r="H912" s="66" t="str">
        <f aca="false">IFERROR(INDEX(商品マスタ!$E$6:$E$1005,MATCH($F912,商品マスタ!$B$6:$B$1005,0)),"")</f>
        <v/>
      </c>
      <c r="I912" s="69" t="str">
        <f aca="false">IFERROR(INDEX(商品マスタ!$F$6:$F$1005,MATCH($F912,商品マスタ!$B$6:$B$1005,0)),"")</f>
        <v/>
      </c>
      <c r="J912" s="69" t="str">
        <f aca="false">IF(OR($F912="",$C912&lt;&gt;'設定（最初に1回）'!$C$4),"",IFERROR(INDEX(発注計算!$Y$6:$Y$405,MATCH($F912,発注計算!$C$6:$C$405,0)),""))</f>
        <v/>
      </c>
      <c r="K912" s="70"/>
      <c r="L912" s="69" t="str">
        <f aca="false">IF($K912="","",N($K912)*N($I912))</f>
        <v/>
      </c>
      <c r="M912" s="71" t="str">
        <f aca="false">IFERROR(INDEX(商品マスタ!$G$6:$G$1005,MATCH($F912,商品マスタ!$B$6:$B$1005,0)),"")</f>
        <v/>
      </c>
      <c r="N912" s="71" t="str">
        <f aca="false">IF($K912="","",N($K912)*N($M912))</f>
        <v/>
      </c>
      <c r="O912" s="66" t="str">
        <f aca="false">IFERROR(INDEX(商品マスタ!$H$6:$H$1005,MATCH($F912,商品マスタ!$B$6:$B$1005,0)),"")</f>
        <v/>
      </c>
      <c r="P912" s="87" t="str">
        <f aca="false">IF(OR($E912="",$O912=""),"",WORKDAY($E912,$O912))</f>
        <v/>
      </c>
      <c r="Q912" s="80"/>
      <c r="R912" s="131"/>
      <c r="S912" s="69" t="n">
        <f aca="false">IF($Q912="入荷済み",N($L912),0)</f>
        <v>0</v>
      </c>
      <c r="T912" s="80"/>
      <c r="U912" s="80"/>
    </row>
    <row r="913" customFormat="false" ht="15" hidden="false" customHeight="false" outlineLevel="0" collapsed="false">
      <c r="B913" s="66" t="str">
        <f aca="false">IF(OR($E913="",$F913=""),"","PO-"&amp;TEXT($E913,"yyyymmdd")&amp;"-"&amp;TEXT(COUNTIFS($E$6:$E913,$E913,$C$6:$C913,$C913),"000"))</f>
        <v/>
      </c>
      <c r="C913" s="130"/>
      <c r="D913" s="66" t="str">
        <f aca="false">IFERROR(INDEX(定数マスタ!$C$6:$C$105,MATCH($C913,定数マスタ!$B$6:$B$105,0)),"")</f>
        <v/>
      </c>
      <c r="E913" s="131"/>
      <c r="F913" s="130"/>
      <c r="G913" s="66" t="str">
        <f aca="false">IFERROR(INDEX(商品マスタ!$C$6:$C$1005,MATCH($F913,商品マスタ!$B$6:$B$1005,0)),"")</f>
        <v/>
      </c>
      <c r="H913" s="66" t="str">
        <f aca="false">IFERROR(INDEX(商品マスタ!$E$6:$E$1005,MATCH($F913,商品マスタ!$B$6:$B$1005,0)),"")</f>
        <v/>
      </c>
      <c r="I913" s="69" t="str">
        <f aca="false">IFERROR(INDEX(商品マスタ!$F$6:$F$1005,MATCH($F913,商品マスタ!$B$6:$B$1005,0)),"")</f>
        <v/>
      </c>
      <c r="J913" s="69" t="str">
        <f aca="false">IF(OR($F913="",$C913&lt;&gt;'設定（最初に1回）'!$C$4),"",IFERROR(INDEX(発注計算!$Y$6:$Y$405,MATCH($F913,発注計算!$C$6:$C$405,0)),""))</f>
        <v/>
      </c>
      <c r="K913" s="70"/>
      <c r="L913" s="69" t="str">
        <f aca="false">IF($K913="","",N($K913)*N($I913))</f>
        <v/>
      </c>
      <c r="M913" s="71" t="str">
        <f aca="false">IFERROR(INDEX(商品マスタ!$G$6:$G$1005,MATCH($F913,商品マスタ!$B$6:$B$1005,0)),"")</f>
        <v/>
      </c>
      <c r="N913" s="71" t="str">
        <f aca="false">IF($K913="","",N($K913)*N($M913))</f>
        <v/>
      </c>
      <c r="O913" s="66" t="str">
        <f aca="false">IFERROR(INDEX(商品マスタ!$H$6:$H$1005,MATCH($F913,商品マスタ!$B$6:$B$1005,0)),"")</f>
        <v/>
      </c>
      <c r="P913" s="87" t="str">
        <f aca="false">IF(OR($E913="",$O913=""),"",WORKDAY($E913,$O913))</f>
        <v/>
      </c>
      <c r="Q913" s="80"/>
      <c r="R913" s="131"/>
      <c r="S913" s="69" t="n">
        <f aca="false">IF($Q913="入荷済み",N($L913),0)</f>
        <v>0</v>
      </c>
      <c r="T913" s="80"/>
      <c r="U913" s="80"/>
    </row>
    <row r="914" customFormat="false" ht="15" hidden="false" customHeight="false" outlineLevel="0" collapsed="false">
      <c r="B914" s="66" t="str">
        <f aca="false">IF(OR($E914="",$F914=""),"","PO-"&amp;TEXT($E914,"yyyymmdd")&amp;"-"&amp;TEXT(COUNTIFS($E$6:$E914,$E914,$C$6:$C914,$C914),"000"))</f>
        <v/>
      </c>
      <c r="C914" s="130"/>
      <c r="D914" s="66" t="str">
        <f aca="false">IFERROR(INDEX(定数マスタ!$C$6:$C$105,MATCH($C914,定数マスタ!$B$6:$B$105,0)),"")</f>
        <v/>
      </c>
      <c r="E914" s="131"/>
      <c r="F914" s="130"/>
      <c r="G914" s="66" t="str">
        <f aca="false">IFERROR(INDEX(商品マスタ!$C$6:$C$1005,MATCH($F914,商品マスタ!$B$6:$B$1005,0)),"")</f>
        <v/>
      </c>
      <c r="H914" s="66" t="str">
        <f aca="false">IFERROR(INDEX(商品マスタ!$E$6:$E$1005,MATCH($F914,商品マスタ!$B$6:$B$1005,0)),"")</f>
        <v/>
      </c>
      <c r="I914" s="69" t="str">
        <f aca="false">IFERROR(INDEX(商品マスタ!$F$6:$F$1005,MATCH($F914,商品マスタ!$B$6:$B$1005,0)),"")</f>
        <v/>
      </c>
      <c r="J914" s="69" t="str">
        <f aca="false">IF(OR($F914="",$C914&lt;&gt;'設定（最初に1回）'!$C$4),"",IFERROR(INDEX(発注計算!$Y$6:$Y$405,MATCH($F914,発注計算!$C$6:$C$405,0)),""))</f>
        <v/>
      </c>
      <c r="K914" s="70"/>
      <c r="L914" s="69" t="str">
        <f aca="false">IF($K914="","",N($K914)*N($I914))</f>
        <v/>
      </c>
      <c r="M914" s="71" t="str">
        <f aca="false">IFERROR(INDEX(商品マスタ!$G$6:$G$1005,MATCH($F914,商品マスタ!$B$6:$B$1005,0)),"")</f>
        <v/>
      </c>
      <c r="N914" s="71" t="str">
        <f aca="false">IF($K914="","",N($K914)*N($M914))</f>
        <v/>
      </c>
      <c r="O914" s="66" t="str">
        <f aca="false">IFERROR(INDEX(商品マスタ!$H$6:$H$1005,MATCH($F914,商品マスタ!$B$6:$B$1005,0)),"")</f>
        <v/>
      </c>
      <c r="P914" s="87" t="str">
        <f aca="false">IF(OR($E914="",$O914=""),"",WORKDAY($E914,$O914))</f>
        <v/>
      </c>
      <c r="Q914" s="80"/>
      <c r="R914" s="131"/>
      <c r="S914" s="69" t="n">
        <f aca="false">IF($Q914="入荷済み",N($L914),0)</f>
        <v>0</v>
      </c>
      <c r="T914" s="80"/>
      <c r="U914" s="80"/>
    </row>
    <row r="915" customFormat="false" ht="15" hidden="false" customHeight="false" outlineLevel="0" collapsed="false">
      <c r="B915" s="66" t="str">
        <f aca="false">IF(OR($E915="",$F915=""),"","PO-"&amp;TEXT($E915,"yyyymmdd")&amp;"-"&amp;TEXT(COUNTIFS($E$6:$E915,$E915,$C$6:$C915,$C915),"000"))</f>
        <v/>
      </c>
      <c r="C915" s="130"/>
      <c r="D915" s="66" t="str">
        <f aca="false">IFERROR(INDEX(定数マスタ!$C$6:$C$105,MATCH($C915,定数マスタ!$B$6:$B$105,0)),"")</f>
        <v/>
      </c>
      <c r="E915" s="131"/>
      <c r="F915" s="130"/>
      <c r="G915" s="66" t="str">
        <f aca="false">IFERROR(INDEX(商品マスタ!$C$6:$C$1005,MATCH($F915,商品マスタ!$B$6:$B$1005,0)),"")</f>
        <v/>
      </c>
      <c r="H915" s="66" t="str">
        <f aca="false">IFERROR(INDEX(商品マスタ!$E$6:$E$1005,MATCH($F915,商品マスタ!$B$6:$B$1005,0)),"")</f>
        <v/>
      </c>
      <c r="I915" s="69" t="str">
        <f aca="false">IFERROR(INDEX(商品マスタ!$F$6:$F$1005,MATCH($F915,商品マスタ!$B$6:$B$1005,0)),"")</f>
        <v/>
      </c>
      <c r="J915" s="69" t="str">
        <f aca="false">IF(OR($F915="",$C915&lt;&gt;'設定（最初に1回）'!$C$4),"",IFERROR(INDEX(発注計算!$Y$6:$Y$405,MATCH($F915,発注計算!$C$6:$C$405,0)),""))</f>
        <v/>
      </c>
      <c r="K915" s="70"/>
      <c r="L915" s="69" t="str">
        <f aca="false">IF($K915="","",N($K915)*N($I915))</f>
        <v/>
      </c>
      <c r="M915" s="71" t="str">
        <f aca="false">IFERROR(INDEX(商品マスタ!$G$6:$G$1005,MATCH($F915,商品マスタ!$B$6:$B$1005,0)),"")</f>
        <v/>
      </c>
      <c r="N915" s="71" t="str">
        <f aca="false">IF($K915="","",N($K915)*N($M915))</f>
        <v/>
      </c>
      <c r="O915" s="66" t="str">
        <f aca="false">IFERROR(INDEX(商品マスタ!$H$6:$H$1005,MATCH($F915,商品マスタ!$B$6:$B$1005,0)),"")</f>
        <v/>
      </c>
      <c r="P915" s="87" t="str">
        <f aca="false">IF(OR($E915="",$O915=""),"",WORKDAY($E915,$O915))</f>
        <v/>
      </c>
      <c r="Q915" s="80"/>
      <c r="R915" s="131"/>
      <c r="S915" s="69" t="n">
        <f aca="false">IF($Q915="入荷済み",N($L915),0)</f>
        <v>0</v>
      </c>
      <c r="T915" s="80"/>
      <c r="U915" s="80"/>
    </row>
    <row r="916" customFormat="false" ht="15" hidden="false" customHeight="false" outlineLevel="0" collapsed="false">
      <c r="B916" s="66" t="str">
        <f aca="false">IF(OR($E916="",$F916=""),"","PO-"&amp;TEXT($E916,"yyyymmdd")&amp;"-"&amp;TEXT(COUNTIFS($E$6:$E916,$E916,$C$6:$C916,$C916),"000"))</f>
        <v/>
      </c>
      <c r="C916" s="130"/>
      <c r="D916" s="66" t="str">
        <f aca="false">IFERROR(INDEX(定数マスタ!$C$6:$C$105,MATCH($C916,定数マスタ!$B$6:$B$105,0)),"")</f>
        <v/>
      </c>
      <c r="E916" s="131"/>
      <c r="F916" s="130"/>
      <c r="G916" s="66" t="str">
        <f aca="false">IFERROR(INDEX(商品マスタ!$C$6:$C$1005,MATCH($F916,商品マスタ!$B$6:$B$1005,0)),"")</f>
        <v/>
      </c>
      <c r="H916" s="66" t="str">
        <f aca="false">IFERROR(INDEX(商品マスタ!$E$6:$E$1005,MATCH($F916,商品マスタ!$B$6:$B$1005,0)),"")</f>
        <v/>
      </c>
      <c r="I916" s="69" t="str">
        <f aca="false">IFERROR(INDEX(商品マスタ!$F$6:$F$1005,MATCH($F916,商品マスタ!$B$6:$B$1005,0)),"")</f>
        <v/>
      </c>
      <c r="J916" s="69" t="str">
        <f aca="false">IF(OR($F916="",$C916&lt;&gt;'設定（最初に1回）'!$C$4),"",IFERROR(INDEX(発注計算!$Y$6:$Y$405,MATCH($F916,発注計算!$C$6:$C$405,0)),""))</f>
        <v/>
      </c>
      <c r="K916" s="70"/>
      <c r="L916" s="69" t="str">
        <f aca="false">IF($K916="","",N($K916)*N($I916))</f>
        <v/>
      </c>
      <c r="M916" s="71" t="str">
        <f aca="false">IFERROR(INDEX(商品マスタ!$G$6:$G$1005,MATCH($F916,商品マスタ!$B$6:$B$1005,0)),"")</f>
        <v/>
      </c>
      <c r="N916" s="71" t="str">
        <f aca="false">IF($K916="","",N($K916)*N($M916))</f>
        <v/>
      </c>
      <c r="O916" s="66" t="str">
        <f aca="false">IFERROR(INDEX(商品マスタ!$H$6:$H$1005,MATCH($F916,商品マスタ!$B$6:$B$1005,0)),"")</f>
        <v/>
      </c>
      <c r="P916" s="87" t="str">
        <f aca="false">IF(OR($E916="",$O916=""),"",WORKDAY($E916,$O916))</f>
        <v/>
      </c>
      <c r="Q916" s="80"/>
      <c r="R916" s="131"/>
      <c r="S916" s="69" t="n">
        <f aca="false">IF($Q916="入荷済み",N($L916),0)</f>
        <v>0</v>
      </c>
      <c r="T916" s="80"/>
      <c r="U916" s="80"/>
    </row>
    <row r="917" customFormat="false" ht="15" hidden="false" customHeight="false" outlineLevel="0" collapsed="false">
      <c r="B917" s="66" t="str">
        <f aca="false">IF(OR($E917="",$F917=""),"","PO-"&amp;TEXT($E917,"yyyymmdd")&amp;"-"&amp;TEXT(COUNTIFS($E$6:$E917,$E917,$C$6:$C917,$C917),"000"))</f>
        <v/>
      </c>
      <c r="C917" s="130"/>
      <c r="D917" s="66" t="str">
        <f aca="false">IFERROR(INDEX(定数マスタ!$C$6:$C$105,MATCH($C917,定数マスタ!$B$6:$B$105,0)),"")</f>
        <v/>
      </c>
      <c r="E917" s="131"/>
      <c r="F917" s="130"/>
      <c r="G917" s="66" t="str">
        <f aca="false">IFERROR(INDEX(商品マスタ!$C$6:$C$1005,MATCH($F917,商品マスタ!$B$6:$B$1005,0)),"")</f>
        <v/>
      </c>
      <c r="H917" s="66" t="str">
        <f aca="false">IFERROR(INDEX(商品マスタ!$E$6:$E$1005,MATCH($F917,商品マスタ!$B$6:$B$1005,0)),"")</f>
        <v/>
      </c>
      <c r="I917" s="69" t="str">
        <f aca="false">IFERROR(INDEX(商品マスタ!$F$6:$F$1005,MATCH($F917,商品マスタ!$B$6:$B$1005,0)),"")</f>
        <v/>
      </c>
      <c r="J917" s="69" t="str">
        <f aca="false">IF(OR($F917="",$C917&lt;&gt;'設定（最初に1回）'!$C$4),"",IFERROR(INDEX(発注計算!$Y$6:$Y$405,MATCH($F917,発注計算!$C$6:$C$405,0)),""))</f>
        <v/>
      </c>
      <c r="K917" s="70"/>
      <c r="L917" s="69" t="str">
        <f aca="false">IF($K917="","",N($K917)*N($I917))</f>
        <v/>
      </c>
      <c r="M917" s="71" t="str">
        <f aca="false">IFERROR(INDEX(商品マスタ!$G$6:$G$1005,MATCH($F917,商品マスタ!$B$6:$B$1005,0)),"")</f>
        <v/>
      </c>
      <c r="N917" s="71" t="str">
        <f aca="false">IF($K917="","",N($K917)*N($M917))</f>
        <v/>
      </c>
      <c r="O917" s="66" t="str">
        <f aca="false">IFERROR(INDEX(商品マスタ!$H$6:$H$1005,MATCH($F917,商品マスタ!$B$6:$B$1005,0)),"")</f>
        <v/>
      </c>
      <c r="P917" s="87" t="str">
        <f aca="false">IF(OR($E917="",$O917=""),"",WORKDAY($E917,$O917))</f>
        <v/>
      </c>
      <c r="Q917" s="80"/>
      <c r="R917" s="131"/>
      <c r="S917" s="69" t="n">
        <f aca="false">IF($Q917="入荷済み",N($L917),0)</f>
        <v>0</v>
      </c>
      <c r="T917" s="80"/>
      <c r="U917" s="80"/>
    </row>
    <row r="918" customFormat="false" ht="15" hidden="false" customHeight="false" outlineLevel="0" collapsed="false">
      <c r="B918" s="66" t="str">
        <f aca="false">IF(OR($E918="",$F918=""),"","PO-"&amp;TEXT($E918,"yyyymmdd")&amp;"-"&amp;TEXT(COUNTIFS($E$6:$E918,$E918,$C$6:$C918,$C918),"000"))</f>
        <v/>
      </c>
      <c r="C918" s="130"/>
      <c r="D918" s="66" t="str">
        <f aca="false">IFERROR(INDEX(定数マスタ!$C$6:$C$105,MATCH($C918,定数マスタ!$B$6:$B$105,0)),"")</f>
        <v/>
      </c>
      <c r="E918" s="131"/>
      <c r="F918" s="130"/>
      <c r="G918" s="66" t="str">
        <f aca="false">IFERROR(INDEX(商品マスタ!$C$6:$C$1005,MATCH($F918,商品マスタ!$B$6:$B$1005,0)),"")</f>
        <v/>
      </c>
      <c r="H918" s="66" t="str">
        <f aca="false">IFERROR(INDEX(商品マスタ!$E$6:$E$1005,MATCH($F918,商品マスタ!$B$6:$B$1005,0)),"")</f>
        <v/>
      </c>
      <c r="I918" s="69" t="str">
        <f aca="false">IFERROR(INDEX(商品マスタ!$F$6:$F$1005,MATCH($F918,商品マスタ!$B$6:$B$1005,0)),"")</f>
        <v/>
      </c>
      <c r="J918" s="69" t="str">
        <f aca="false">IF(OR($F918="",$C918&lt;&gt;'設定（最初に1回）'!$C$4),"",IFERROR(INDEX(発注計算!$Y$6:$Y$405,MATCH($F918,発注計算!$C$6:$C$405,0)),""))</f>
        <v/>
      </c>
      <c r="K918" s="70"/>
      <c r="L918" s="69" t="str">
        <f aca="false">IF($K918="","",N($K918)*N($I918))</f>
        <v/>
      </c>
      <c r="M918" s="71" t="str">
        <f aca="false">IFERROR(INDEX(商品マスタ!$G$6:$G$1005,MATCH($F918,商品マスタ!$B$6:$B$1005,0)),"")</f>
        <v/>
      </c>
      <c r="N918" s="71" t="str">
        <f aca="false">IF($K918="","",N($K918)*N($M918))</f>
        <v/>
      </c>
      <c r="O918" s="66" t="str">
        <f aca="false">IFERROR(INDEX(商品マスタ!$H$6:$H$1005,MATCH($F918,商品マスタ!$B$6:$B$1005,0)),"")</f>
        <v/>
      </c>
      <c r="P918" s="87" t="str">
        <f aca="false">IF(OR($E918="",$O918=""),"",WORKDAY($E918,$O918))</f>
        <v/>
      </c>
      <c r="Q918" s="80"/>
      <c r="R918" s="131"/>
      <c r="S918" s="69" t="n">
        <f aca="false">IF($Q918="入荷済み",N($L918),0)</f>
        <v>0</v>
      </c>
      <c r="T918" s="80"/>
      <c r="U918" s="80"/>
    </row>
    <row r="919" customFormat="false" ht="15" hidden="false" customHeight="false" outlineLevel="0" collapsed="false">
      <c r="B919" s="66" t="str">
        <f aca="false">IF(OR($E919="",$F919=""),"","PO-"&amp;TEXT($E919,"yyyymmdd")&amp;"-"&amp;TEXT(COUNTIFS($E$6:$E919,$E919,$C$6:$C919,$C919),"000"))</f>
        <v/>
      </c>
      <c r="C919" s="130"/>
      <c r="D919" s="66" t="str">
        <f aca="false">IFERROR(INDEX(定数マスタ!$C$6:$C$105,MATCH($C919,定数マスタ!$B$6:$B$105,0)),"")</f>
        <v/>
      </c>
      <c r="E919" s="131"/>
      <c r="F919" s="130"/>
      <c r="G919" s="66" t="str">
        <f aca="false">IFERROR(INDEX(商品マスタ!$C$6:$C$1005,MATCH($F919,商品マスタ!$B$6:$B$1005,0)),"")</f>
        <v/>
      </c>
      <c r="H919" s="66" t="str">
        <f aca="false">IFERROR(INDEX(商品マスタ!$E$6:$E$1005,MATCH($F919,商品マスタ!$B$6:$B$1005,0)),"")</f>
        <v/>
      </c>
      <c r="I919" s="69" t="str">
        <f aca="false">IFERROR(INDEX(商品マスタ!$F$6:$F$1005,MATCH($F919,商品マスタ!$B$6:$B$1005,0)),"")</f>
        <v/>
      </c>
      <c r="J919" s="69" t="str">
        <f aca="false">IF(OR($F919="",$C919&lt;&gt;'設定（最初に1回）'!$C$4),"",IFERROR(INDEX(発注計算!$Y$6:$Y$405,MATCH($F919,発注計算!$C$6:$C$405,0)),""))</f>
        <v/>
      </c>
      <c r="K919" s="70"/>
      <c r="L919" s="69" t="str">
        <f aca="false">IF($K919="","",N($K919)*N($I919))</f>
        <v/>
      </c>
      <c r="M919" s="71" t="str">
        <f aca="false">IFERROR(INDEX(商品マスタ!$G$6:$G$1005,MATCH($F919,商品マスタ!$B$6:$B$1005,0)),"")</f>
        <v/>
      </c>
      <c r="N919" s="71" t="str">
        <f aca="false">IF($K919="","",N($K919)*N($M919))</f>
        <v/>
      </c>
      <c r="O919" s="66" t="str">
        <f aca="false">IFERROR(INDEX(商品マスタ!$H$6:$H$1005,MATCH($F919,商品マスタ!$B$6:$B$1005,0)),"")</f>
        <v/>
      </c>
      <c r="P919" s="87" t="str">
        <f aca="false">IF(OR($E919="",$O919=""),"",WORKDAY($E919,$O919))</f>
        <v/>
      </c>
      <c r="Q919" s="80"/>
      <c r="R919" s="131"/>
      <c r="S919" s="69" t="n">
        <f aca="false">IF($Q919="入荷済み",N($L919),0)</f>
        <v>0</v>
      </c>
      <c r="T919" s="80"/>
      <c r="U919" s="80"/>
    </row>
    <row r="920" customFormat="false" ht="15" hidden="false" customHeight="false" outlineLevel="0" collapsed="false">
      <c r="B920" s="66" t="str">
        <f aca="false">IF(OR($E920="",$F920=""),"","PO-"&amp;TEXT($E920,"yyyymmdd")&amp;"-"&amp;TEXT(COUNTIFS($E$6:$E920,$E920,$C$6:$C920,$C920),"000"))</f>
        <v/>
      </c>
      <c r="C920" s="130"/>
      <c r="D920" s="66" t="str">
        <f aca="false">IFERROR(INDEX(定数マスタ!$C$6:$C$105,MATCH($C920,定数マスタ!$B$6:$B$105,0)),"")</f>
        <v/>
      </c>
      <c r="E920" s="131"/>
      <c r="F920" s="130"/>
      <c r="G920" s="66" t="str">
        <f aca="false">IFERROR(INDEX(商品マスタ!$C$6:$C$1005,MATCH($F920,商品マスタ!$B$6:$B$1005,0)),"")</f>
        <v/>
      </c>
      <c r="H920" s="66" t="str">
        <f aca="false">IFERROR(INDEX(商品マスタ!$E$6:$E$1005,MATCH($F920,商品マスタ!$B$6:$B$1005,0)),"")</f>
        <v/>
      </c>
      <c r="I920" s="69" t="str">
        <f aca="false">IFERROR(INDEX(商品マスタ!$F$6:$F$1005,MATCH($F920,商品マスタ!$B$6:$B$1005,0)),"")</f>
        <v/>
      </c>
      <c r="J920" s="69" t="str">
        <f aca="false">IF(OR($F920="",$C920&lt;&gt;'設定（最初に1回）'!$C$4),"",IFERROR(INDEX(発注計算!$Y$6:$Y$405,MATCH($F920,発注計算!$C$6:$C$405,0)),""))</f>
        <v/>
      </c>
      <c r="K920" s="70"/>
      <c r="L920" s="69" t="str">
        <f aca="false">IF($K920="","",N($K920)*N($I920))</f>
        <v/>
      </c>
      <c r="M920" s="71" t="str">
        <f aca="false">IFERROR(INDEX(商品マスタ!$G$6:$G$1005,MATCH($F920,商品マスタ!$B$6:$B$1005,0)),"")</f>
        <v/>
      </c>
      <c r="N920" s="71" t="str">
        <f aca="false">IF($K920="","",N($K920)*N($M920))</f>
        <v/>
      </c>
      <c r="O920" s="66" t="str">
        <f aca="false">IFERROR(INDEX(商品マスタ!$H$6:$H$1005,MATCH($F920,商品マスタ!$B$6:$B$1005,0)),"")</f>
        <v/>
      </c>
      <c r="P920" s="87" t="str">
        <f aca="false">IF(OR($E920="",$O920=""),"",WORKDAY($E920,$O920))</f>
        <v/>
      </c>
      <c r="Q920" s="80"/>
      <c r="R920" s="131"/>
      <c r="S920" s="69" t="n">
        <f aca="false">IF($Q920="入荷済み",N($L920),0)</f>
        <v>0</v>
      </c>
      <c r="T920" s="80"/>
      <c r="U920" s="80"/>
    </row>
    <row r="921" customFormat="false" ht="15" hidden="false" customHeight="false" outlineLevel="0" collapsed="false">
      <c r="B921" s="66" t="str">
        <f aca="false">IF(OR($E921="",$F921=""),"","PO-"&amp;TEXT($E921,"yyyymmdd")&amp;"-"&amp;TEXT(COUNTIFS($E$6:$E921,$E921,$C$6:$C921,$C921),"000"))</f>
        <v/>
      </c>
      <c r="C921" s="130"/>
      <c r="D921" s="66" t="str">
        <f aca="false">IFERROR(INDEX(定数マスタ!$C$6:$C$105,MATCH($C921,定数マスタ!$B$6:$B$105,0)),"")</f>
        <v/>
      </c>
      <c r="E921" s="131"/>
      <c r="F921" s="130"/>
      <c r="G921" s="66" t="str">
        <f aca="false">IFERROR(INDEX(商品マスタ!$C$6:$C$1005,MATCH($F921,商品マスタ!$B$6:$B$1005,0)),"")</f>
        <v/>
      </c>
      <c r="H921" s="66" t="str">
        <f aca="false">IFERROR(INDEX(商品マスタ!$E$6:$E$1005,MATCH($F921,商品マスタ!$B$6:$B$1005,0)),"")</f>
        <v/>
      </c>
      <c r="I921" s="69" t="str">
        <f aca="false">IFERROR(INDEX(商品マスタ!$F$6:$F$1005,MATCH($F921,商品マスタ!$B$6:$B$1005,0)),"")</f>
        <v/>
      </c>
      <c r="J921" s="69" t="str">
        <f aca="false">IF(OR($F921="",$C921&lt;&gt;'設定（最初に1回）'!$C$4),"",IFERROR(INDEX(発注計算!$Y$6:$Y$405,MATCH($F921,発注計算!$C$6:$C$405,0)),""))</f>
        <v/>
      </c>
      <c r="K921" s="70"/>
      <c r="L921" s="69" t="str">
        <f aca="false">IF($K921="","",N($K921)*N($I921))</f>
        <v/>
      </c>
      <c r="M921" s="71" t="str">
        <f aca="false">IFERROR(INDEX(商品マスタ!$G$6:$G$1005,MATCH($F921,商品マスタ!$B$6:$B$1005,0)),"")</f>
        <v/>
      </c>
      <c r="N921" s="71" t="str">
        <f aca="false">IF($K921="","",N($K921)*N($M921))</f>
        <v/>
      </c>
      <c r="O921" s="66" t="str">
        <f aca="false">IFERROR(INDEX(商品マスタ!$H$6:$H$1005,MATCH($F921,商品マスタ!$B$6:$B$1005,0)),"")</f>
        <v/>
      </c>
      <c r="P921" s="87" t="str">
        <f aca="false">IF(OR($E921="",$O921=""),"",WORKDAY($E921,$O921))</f>
        <v/>
      </c>
      <c r="Q921" s="80"/>
      <c r="R921" s="131"/>
      <c r="S921" s="69" t="n">
        <f aca="false">IF($Q921="入荷済み",N($L921),0)</f>
        <v>0</v>
      </c>
      <c r="T921" s="80"/>
      <c r="U921" s="80"/>
    </row>
    <row r="922" customFormat="false" ht="15" hidden="false" customHeight="false" outlineLevel="0" collapsed="false">
      <c r="B922" s="66" t="str">
        <f aca="false">IF(OR($E922="",$F922=""),"","PO-"&amp;TEXT($E922,"yyyymmdd")&amp;"-"&amp;TEXT(COUNTIFS($E$6:$E922,$E922,$C$6:$C922,$C922),"000"))</f>
        <v/>
      </c>
      <c r="C922" s="130"/>
      <c r="D922" s="66" t="str">
        <f aca="false">IFERROR(INDEX(定数マスタ!$C$6:$C$105,MATCH($C922,定数マスタ!$B$6:$B$105,0)),"")</f>
        <v/>
      </c>
      <c r="E922" s="131"/>
      <c r="F922" s="130"/>
      <c r="G922" s="66" t="str">
        <f aca="false">IFERROR(INDEX(商品マスタ!$C$6:$C$1005,MATCH($F922,商品マスタ!$B$6:$B$1005,0)),"")</f>
        <v/>
      </c>
      <c r="H922" s="66" t="str">
        <f aca="false">IFERROR(INDEX(商品マスタ!$E$6:$E$1005,MATCH($F922,商品マスタ!$B$6:$B$1005,0)),"")</f>
        <v/>
      </c>
      <c r="I922" s="69" t="str">
        <f aca="false">IFERROR(INDEX(商品マスタ!$F$6:$F$1005,MATCH($F922,商品マスタ!$B$6:$B$1005,0)),"")</f>
        <v/>
      </c>
      <c r="J922" s="69" t="str">
        <f aca="false">IF(OR($F922="",$C922&lt;&gt;'設定（最初に1回）'!$C$4),"",IFERROR(INDEX(発注計算!$Y$6:$Y$405,MATCH($F922,発注計算!$C$6:$C$405,0)),""))</f>
        <v/>
      </c>
      <c r="K922" s="70"/>
      <c r="L922" s="69" t="str">
        <f aca="false">IF($K922="","",N($K922)*N($I922))</f>
        <v/>
      </c>
      <c r="M922" s="71" t="str">
        <f aca="false">IFERROR(INDEX(商品マスタ!$G$6:$G$1005,MATCH($F922,商品マスタ!$B$6:$B$1005,0)),"")</f>
        <v/>
      </c>
      <c r="N922" s="71" t="str">
        <f aca="false">IF($K922="","",N($K922)*N($M922))</f>
        <v/>
      </c>
      <c r="O922" s="66" t="str">
        <f aca="false">IFERROR(INDEX(商品マスタ!$H$6:$H$1005,MATCH($F922,商品マスタ!$B$6:$B$1005,0)),"")</f>
        <v/>
      </c>
      <c r="P922" s="87" t="str">
        <f aca="false">IF(OR($E922="",$O922=""),"",WORKDAY($E922,$O922))</f>
        <v/>
      </c>
      <c r="Q922" s="80"/>
      <c r="R922" s="131"/>
      <c r="S922" s="69" t="n">
        <f aca="false">IF($Q922="入荷済み",N($L922),0)</f>
        <v>0</v>
      </c>
      <c r="T922" s="80"/>
      <c r="U922" s="80"/>
    </row>
    <row r="923" customFormat="false" ht="15" hidden="false" customHeight="false" outlineLevel="0" collapsed="false">
      <c r="B923" s="66" t="str">
        <f aca="false">IF(OR($E923="",$F923=""),"","PO-"&amp;TEXT($E923,"yyyymmdd")&amp;"-"&amp;TEXT(COUNTIFS($E$6:$E923,$E923,$C$6:$C923,$C923),"000"))</f>
        <v/>
      </c>
      <c r="C923" s="130"/>
      <c r="D923" s="66" t="str">
        <f aca="false">IFERROR(INDEX(定数マスタ!$C$6:$C$105,MATCH($C923,定数マスタ!$B$6:$B$105,0)),"")</f>
        <v/>
      </c>
      <c r="E923" s="131"/>
      <c r="F923" s="130"/>
      <c r="G923" s="66" t="str">
        <f aca="false">IFERROR(INDEX(商品マスタ!$C$6:$C$1005,MATCH($F923,商品マスタ!$B$6:$B$1005,0)),"")</f>
        <v/>
      </c>
      <c r="H923" s="66" t="str">
        <f aca="false">IFERROR(INDEX(商品マスタ!$E$6:$E$1005,MATCH($F923,商品マスタ!$B$6:$B$1005,0)),"")</f>
        <v/>
      </c>
      <c r="I923" s="69" t="str">
        <f aca="false">IFERROR(INDEX(商品マスタ!$F$6:$F$1005,MATCH($F923,商品マスタ!$B$6:$B$1005,0)),"")</f>
        <v/>
      </c>
      <c r="J923" s="69" t="str">
        <f aca="false">IF(OR($F923="",$C923&lt;&gt;'設定（最初に1回）'!$C$4),"",IFERROR(INDEX(発注計算!$Y$6:$Y$405,MATCH($F923,発注計算!$C$6:$C$405,0)),""))</f>
        <v/>
      </c>
      <c r="K923" s="70"/>
      <c r="L923" s="69" t="str">
        <f aca="false">IF($K923="","",N($K923)*N($I923))</f>
        <v/>
      </c>
      <c r="M923" s="71" t="str">
        <f aca="false">IFERROR(INDEX(商品マスタ!$G$6:$G$1005,MATCH($F923,商品マスタ!$B$6:$B$1005,0)),"")</f>
        <v/>
      </c>
      <c r="N923" s="71" t="str">
        <f aca="false">IF($K923="","",N($K923)*N($M923))</f>
        <v/>
      </c>
      <c r="O923" s="66" t="str">
        <f aca="false">IFERROR(INDEX(商品マスタ!$H$6:$H$1005,MATCH($F923,商品マスタ!$B$6:$B$1005,0)),"")</f>
        <v/>
      </c>
      <c r="P923" s="87" t="str">
        <f aca="false">IF(OR($E923="",$O923=""),"",WORKDAY($E923,$O923))</f>
        <v/>
      </c>
      <c r="Q923" s="80"/>
      <c r="R923" s="131"/>
      <c r="S923" s="69" t="n">
        <f aca="false">IF($Q923="入荷済み",N($L923),0)</f>
        <v>0</v>
      </c>
      <c r="T923" s="80"/>
      <c r="U923" s="80"/>
    </row>
    <row r="924" customFormat="false" ht="15" hidden="false" customHeight="false" outlineLevel="0" collapsed="false">
      <c r="B924" s="66" t="str">
        <f aca="false">IF(OR($E924="",$F924=""),"","PO-"&amp;TEXT($E924,"yyyymmdd")&amp;"-"&amp;TEXT(COUNTIFS($E$6:$E924,$E924,$C$6:$C924,$C924),"000"))</f>
        <v/>
      </c>
      <c r="C924" s="130"/>
      <c r="D924" s="66" t="str">
        <f aca="false">IFERROR(INDEX(定数マスタ!$C$6:$C$105,MATCH($C924,定数マスタ!$B$6:$B$105,0)),"")</f>
        <v/>
      </c>
      <c r="E924" s="131"/>
      <c r="F924" s="130"/>
      <c r="G924" s="66" t="str">
        <f aca="false">IFERROR(INDEX(商品マスタ!$C$6:$C$1005,MATCH($F924,商品マスタ!$B$6:$B$1005,0)),"")</f>
        <v/>
      </c>
      <c r="H924" s="66" t="str">
        <f aca="false">IFERROR(INDEX(商品マスタ!$E$6:$E$1005,MATCH($F924,商品マスタ!$B$6:$B$1005,0)),"")</f>
        <v/>
      </c>
      <c r="I924" s="69" t="str">
        <f aca="false">IFERROR(INDEX(商品マスタ!$F$6:$F$1005,MATCH($F924,商品マスタ!$B$6:$B$1005,0)),"")</f>
        <v/>
      </c>
      <c r="J924" s="69" t="str">
        <f aca="false">IF(OR($F924="",$C924&lt;&gt;'設定（最初に1回）'!$C$4),"",IFERROR(INDEX(発注計算!$Y$6:$Y$405,MATCH($F924,発注計算!$C$6:$C$405,0)),""))</f>
        <v/>
      </c>
      <c r="K924" s="70"/>
      <c r="L924" s="69" t="str">
        <f aca="false">IF($K924="","",N($K924)*N($I924))</f>
        <v/>
      </c>
      <c r="M924" s="71" t="str">
        <f aca="false">IFERROR(INDEX(商品マスタ!$G$6:$G$1005,MATCH($F924,商品マスタ!$B$6:$B$1005,0)),"")</f>
        <v/>
      </c>
      <c r="N924" s="71" t="str">
        <f aca="false">IF($K924="","",N($K924)*N($M924))</f>
        <v/>
      </c>
      <c r="O924" s="66" t="str">
        <f aca="false">IFERROR(INDEX(商品マスタ!$H$6:$H$1005,MATCH($F924,商品マスタ!$B$6:$B$1005,0)),"")</f>
        <v/>
      </c>
      <c r="P924" s="87" t="str">
        <f aca="false">IF(OR($E924="",$O924=""),"",WORKDAY($E924,$O924))</f>
        <v/>
      </c>
      <c r="Q924" s="80"/>
      <c r="R924" s="131"/>
      <c r="S924" s="69" t="n">
        <f aca="false">IF($Q924="入荷済み",N($L924),0)</f>
        <v>0</v>
      </c>
      <c r="T924" s="80"/>
      <c r="U924" s="80"/>
    </row>
    <row r="925" customFormat="false" ht="15" hidden="false" customHeight="false" outlineLevel="0" collapsed="false">
      <c r="B925" s="66" t="str">
        <f aca="false">IF(OR($E925="",$F925=""),"","PO-"&amp;TEXT($E925,"yyyymmdd")&amp;"-"&amp;TEXT(COUNTIFS($E$6:$E925,$E925,$C$6:$C925,$C925),"000"))</f>
        <v/>
      </c>
      <c r="C925" s="130"/>
      <c r="D925" s="66" t="str">
        <f aca="false">IFERROR(INDEX(定数マスタ!$C$6:$C$105,MATCH($C925,定数マスタ!$B$6:$B$105,0)),"")</f>
        <v/>
      </c>
      <c r="E925" s="131"/>
      <c r="F925" s="130"/>
      <c r="G925" s="66" t="str">
        <f aca="false">IFERROR(INDEX(商品マスタ!$C$6:$C$1005,MATCH($F925,商品マスタ!$B$6:$B$1005,0)),"")</f>
        <v/>
      </c>
      <c r="H925" s="66" t="str">
        <f aca="false">IFERROR(INDEX(商品マスタ!$E$6:$E$1005,MATCH($F925,商品マスタ!$B$6:$B$1005,0)),"")</f>
        <v/>
      </c>
      <c r="I925" s="69" t="str">
        <f aca="false">IFERROR(INDEX(商品マスタ!$F$6:$F$1005,MATCH($F925,商品マスタ!$B$6:$B$1005,0)),"")</f>
        <v/>
      </c>
      <c r="J925" s="69" t="str">
        <f aca="false">IF(OR($F925="",$C925&lt;&gt;'設定（最初に1回）'!$C$4),"",IFERROR(INDEX(発注計算!$Y$6:$Y$405,MATCH($F925,発注計算!$C$6:$C$405,0)),""))</f>
        <v/>
      </c>
      <c r="K925" s="70"/>
      <c r="L925" s="69" t="str">
        <f aca="false">IF($K925="","",N($K925)*N($I925))</f>
        <v/>
      </c>
      <c r="M925" s="71" t="str">
        <f aca="false">IFERROR(INDEX(商品マスタ!$G$6:$G$1005,MATCH($F925,商品マスタ!$B$6:$B$1005,0)),"")</f>
        <v/>
      </c>
      <c r="N925" s="71" t="str">
        <f aca="false">IF($K925="","",N($K925)*N($M925))</f>
        <v/>
      </c>
      <c r="O925" s="66" t="str">
        <f aca="false">IFERROR(INDEX(商品マスタ!$H$6:$H$1005,MATCH($F925,商品マスタ!$B$6:$B$1005,0)),"")</f>
        <v/>
      </c>
      <c r="P925" s="87" t="str">
        <f aca="false">IF(OR($E925="",$O925=""),"",WORKDAY($E925,$O925))</f>
        <v/>
      </c>
      <c r="Q925" s="80"/>
      <c r="R925" s="131"/>
      <c r="S925" s="69" t="n">
        <f aca="false">IF($Q925="入荷済み",N($L925),0)</f>
        <v>0</v>
      </c>
      <c r="T925" s="80"/>
      <c r="U925" s="80"/>
    </row>
    <row r="926" customFormat="false" ht="15" hidden="false" customHeight="false" outlineLevel="0" collapsed="false">
      <c r="B926" s="66" t="str">
        <f aca="false">IF(OR($E926="",$F926=""),"","PO-"&amp;TEXT($E926,"yyyymmdd")&amp;"-"&amp;TEXT(COUNTIFS($E$6:$E926,$E926,$C$6:$C926,$C926),"000"))</f>
        <v/>
      </c>
      <c r="C926" s="130"/>
      <c r="D926" s="66" t="str">
        <f aca="false">IFERROR(INDEX(定数マスタ!$C$6:$C$105,MATCH($C926,定数マスタ!$B$6:$B$105,0)),"")</f>
        <v/>
      </c>
      <c r="E926" s="131"/>
      <c r="F926" s="130"/>
      <c r="G926" s="66" t="str">
        <f aca="false">IFERROR(INDEX(商品マスタ!$C$6:$C$1005,MATCH($F926,商品マスタ!$B$6:$B$1005,0)),"")</f>
        <v/>
      </c>
      <c r="H926" s="66" t="str">
        <f aca="false">IFERROR(INDEX(商品マスタ!$E$6:$E$1005,MATCH($F926,商品マスタ!$B$6:$B$1005,0)),"")</f>
        <v/>
      </c>
      <c r="I926" s="69" t="str">
        <f aca="false">IFERROR(INDEX(商品マスタ!$F$6:$F$1005,MATCH($F926,商品マスタ!$B$6:$B$1005,0)),"")</f>
        <v/>
      </c>
      <c r="J926" s="69" t="str">
        <f aca="false">IF(OR($F926="",$C926&lt;&gt;'設定（最初に1回）'!$C$4),"",IFERROR(INDEX(発注計算!$Y$6:$Y$405,MATCH($F926,発注計算!$C$6:$C$405,0)),""))</f>
        <v/>
      </c>
      <c r="K926" s="70"/>
      <c r="L926" s="69" t="str">
        <f aca="false">IF($K926="","",N($K926)*N($I926))</f>
        <v/>
      </c>
      <c r="M926" s="71" t="str">
        <f aca="false">IFERROR(INDEX(商品マスタ!$G$6:$G$1005,MATCH($F926,商品マスタ!$B$6:$B$1005,0)),"")</f>
        <v/>
      </c>
      <c r="N926" s="71" t="str">
        <f aca="false">IF($K926="","",N($K926)*N($M926))</f>
        <v/>
      </c>
      <c r="O926" s="66" t="str">
        <f aca="false">IFERROR(INDEX(商品マスタ!$H$6:$H$1005,MATCH($F926,商品マスタ!$B$6:$B$1005,0)),"")</f>
        <v/>
      </c>
      <c r="P926" s="87" t="str">
        <f aca="false">IF(OR($E926="",$O926=""),"",WORKDAY($E926,$O926))</f>
        <v/>
      </c>
      <c r="Q926" s="80"/>
      <c r="R926" s="131"/>
      <c r="S926" s="69" t="n">
        <f aca="false">IF($Q926="入荷済み",N($L926),0)</f>
        <v>0</v>
      </c>
      <c r="T926" s="80"/>
      <c r="U926" s="80"/>
    </row>
    <row r="927" customFormat="false" ht="15" hidden="false" customHeight="false" outlineLevel="0" collapsed="false">
      <c r="B927" s="66" t="str">
        <f aca="false">IF(OR($E927="",$F927=""),"","PO-"&amp;TEXT($E927,"yyyymmdd")&amp;"-"&amp;TEXT(COUNTIFS($E$6:$E927,$E927,$C$6:$C927,$C927),"000"))</f>
        <v/>
      </c>
      <c r="C927" s="130"/>
      <c r="D927" s="66" t="str">
        <f aca="false">IFERROR(INDEX(定数マスタ!$C$6:$C$105,MATCH($C927,定数マスタ!$B$6:$B$105,0)),"")</f>
        <v/>
      </c>
      <c r="E927" s="131"/>
      <c r="F927" s="130"/>
      <c r="G927" s="66" t="str">
        <f aca="false">IFERROR(INDEX(商品マスタ!$C$6:$C$1005,MATCH($F927,商品マスタ!$B$6:$B$1005,0)),"")</f>
        <v/>
      </c>
      <c r="H927" s="66" t="str">
        <f aca="false">IFERROR(INDEX(商品マスタ!$E$6:$E$1005,MATCH($F927,商品マスタ!$B$6:$B$1005,0)),"")</f>
        <v/>
      </c>
      <c r="I927" s="69" t="str">
        <f aca="false">IFERROR(INDEX(商品マスタ!$F$6:$F$1005,MATCH($F927,商品マスタ!$B$6:$B$1005,0)),"")</f>
        <v/>
      </c>
      <c r="J927" s="69" t="str">
        <f aca="false">IF(OR($F927="",$C927&lt;&gt;'設定（最初に1回）'!$C$4),"",IFERROR(INDEX(発注計算!$Y$6:$Y$405,MATCH($F927,発注計算!$C$6:$C$405,0)),""))</f>
        <v/>
      </c>
      <c r="K927" s="70"/>
      <c r="L927" s="69" t="str">
        <f aca="false">IF($K927="","",N($K927)*N($I927))</f>
        <v/>
      </c>
      <c r="M927" s="71" t="str">
        <f aca="false">IFERROR(INDEX(商品マスタ!$G$6:$G$1005,MATCH($F927,商品マスタ!$B$6:$B$1005,0)),"")</f>
        <v/>
      </c>
      <c r="N927" s="71" t="str">
        <f aca="false">IF($K927="","",N($K927)*N($M927))</f>
        <v/>
      </c>
      <c r="O927" s="66" t="str">
        <f aca="false">IFERROR(INDEX(商品マスタ!$H$6:$H$1005,MATCH($F927,商品マスタ!$B$6:$B$1005,0)),"")</f>
        <v/>
      </c>
      <c r="P927" s="87" t="str">
        <f aca="false">IF(OR($E927="",$O927=""),"",WORKDAY($E927,$O927))</f>
        <v/>
      </c>
      <c r="Q927" s="80"/>
      <c r="R927" s="131"/>
      <c r="S927" s="69" t="n">
        <f aca="false">IF($Q927="入荷済み",N($L927),0)</f>
        <v>0</v>
      </c>
      <c r="T927" s="80"/>
      <c r="U927" s="80"/>
    </row>
    <row r="928" customFormat="false" ht="15" hidden="false" customHeight="false" outlineLevel="0" collapsed="false">
      <c r="B928" s="66" t="str">
        <f aca="false">IF(OR($E928="",$F928=""),"","PO-"&amp;TEXT($E928,"yyyymmdd")&amp;"-"&amp;TEXT(COUNTIFS($E$6:$E928,$E928,$C$6:$C928,$C928),"000"))</f>
        <v/>
      </c>
      <c r="C928" s="130"/>
      <c r="D928" s="66" t="str">
        <f aca="false">IFERROR(INDEX(定数マスタ!$C$6:$C$105,MATCH($C928,定数マスタ!$B$6:$B$105,0)),"")</f>
        <v/>
      </c>
      <c r="E928" s="131"/>
      <c r="F928" s="130"/>
      <c r="G928" s="66" t="str">
        <f aca="false">IFERROR(INDEX(商品マスタ!$C$6:$C$1005,MATCH($F928,商品マスタ!$B$6:$B$1005,0)),"")</f>
        <v/>
      </c>
      <c r="H928" s="66" t="str">
        <f aca="false">IFERROR(INDEX(商品マスタ!$E$6:$E$1005,MATCH($F928,商品マスタ!$B$6:$B$1005,0)),"")</f>
        <v/>
      </c>
      <c r="I928" s="69" t="str">
        <f aca="false">IFERROR(INDEX(商品マスタ!$F$6:$F$1005,MATCH($F928,商品マスタ!$B$6:$B$1005,0)),"")</f>
        <v/>
      </c>
      <c r="J928" s="69" t="str">
        <f aca="false">IF(OR($F928="",$C928&lt;&gt;'設定（最初に1回）'!$C$4),"",IFERROR(INDEX(発注計算!$Y$6:$Y$405,MATCH($F928,発注計算!$C$6:$C$405,0)),""))</f>
        <v/>
      </c>
      <c r="K928" s="70"/>
      <c r="L928" s="69" t="str">
        <f aca="false">IF($K928="","",N($K928)*N($I928))</f>
        <v/>
      </c>
      <c r="M928" s="71" t="str">
        <f aca="false">IFERROR(INDEX(商品マスタ!$G$6:$G$1005,MATCH($F928,商品マスタ!$B$6:$B$1005,0)),"")</f>
        <v/>
      </c>
      <c r="N928" s="71" t="str">
        <f aca="false">IF($K928="","",N($K928)*N($M928))</f>
        <v/>
      </c>
      <c r="O928" s="66" t="str">
        <f aca="false">IFERROR(INDEX(商品マスタ!$H$6:$H$1005,MATCH($F928,商品マスタ!$B$6:$B$1005,0)),"")</f>
        <v/>
      </c>
      <c r="P928" s="87" t="str">
        <f aca="false">IF(OR($E928="",$O928=""),"",WORKDAY($E928,$O928))</f>
        <v/>
      </c>
      <c r="Q928" s="80"/>
      <c r="R928" s="131"/>
      <c r="S928" s="69" t="n">
        <f aca="false">IF($Q928="入荷済み",N($L928),0)</f>
        <v>0</v>
      </c>
      <c r="T928" s="80"/>
      <c r="U928" s="80"/>
    </row>
    <row r="929" customFormat="false" ht="15" hidden="false" customHeight="false" outlineLevel="0" collapsed="false">
      <c r="B929" s="66" t="str">
        <f aca="false">IF(OR($E929="",$F929=""),"","PO-"&amp;TEXT($E929,"yyyymmdd")&amp;"-"&amp;TEXT(COUNTIFS($E$6:$E929,$E929,$C$6:$C929,$C929),"000"))</f>
        <v/>
      </c>
      <c r="C929" s="130"/>
      <c r="D929" s="66" t="str">
        <f aca="false">IFERROR(INDEX(定数マスタ!$C$6:$C$105,MATCH($C929,定数マスタ!$B$6:$B$105,0)),"")</f>
        <v/>
      </c>
      <c r="E929" s="131"/>
      <c r="F929" s="130"/>
      <c r="G929" s="66" t="str">
        <f aca="false">IFERROR(INDEX(商品マスタ!$C$6:$C$1005,MATCH($F929,商品マスタ!$B$6:$B$1005,0)),"")</f>
        <v/>
      </c>
      <c r="H929" s="66" t="str">
        <f aca="false">IFERROR(INDEX(商品マスタ!$E$6:$E$1005,MATCH($F929,商品マスタ!$B$6:$B$1005,0)),"")</f>
        <v/>
      </c>
      <c r="I929" s="69" t="str">
        <f aca="false">IFERROR(INDEX(商品マスタ!$F$6:$F$1005,MATCH($F929,商品マスタ!$B$6:$B$1005,0)),"")</f>
        <v/>
      </c>
      <c r="J929" s="69" t="str">
        <f aca="false">IF(OR($F929="",$C929&lt;&gt;'設定（最初に1回）'!$C$4),"",IFERROR(INDEX(発注計算!$Y$6:$Y$405,MATCH($F929,発注計算!$C$6:$C$405,0)),""))</f>
        <v/>
      </c>
      <c r="K929" s="70"/>
      <c r="L929" s="69" t="str">
        <f aca="false">IF($K929="","",N($K929)*N($I929))</f>
        <v/>
      </c>
      <c r="M929" s="71" t="str">
        <f aca="false">IFERROR(INDEX(商品マスタ!$G$6:$G$1005,MATCH($F929,商品マスタ!$B$6:$B$1005,0)),"")</f>
        <v/>
      </c>
      <c r="N929" s="71" t="str">
        <f aca="false">IF($K929="","",N($K929)*N($M929))</f>
        <v/>
      </c>
      <c r="O929" s="66" t="str">
        <f aca="false">IFERROR(INDEX(商品マスタ!$H$6:$H$1005,MATCH($F929,商品マスタ!$B$6:$B$1005,0)),"")</f>
        <v/>
      </c>
      <c r="P929" s="87" t="str">
        <f aca="false">IF(OR($E929="",$O929=""),"",WORKDAY($E929,$O929))</f>
        <v/>
      </c>
      <c r="Q929" s="80"/>
      <c r="R929" s="131"/>
      <c r="S929" s="69" t="n">
        <f aca="false">IF($Q929="入荷済み",N($L929),0)</f>
        <v>0</v>
      </c>
      <c r="T929" s="80"/>
      <c r="U929" s="80"/>
    </row>
    <row r="930" customFormat="false" ht="15" hidden="false" customHeight="false" outlineLevel="0" collapsed="false">
      <c r="B930" s="66" t="str">
        <f aca="false">IF(OR($E930="",$F930=""),"","PO-"&amp;TEXT($E930,"yyyymmdd")&amp;"-"&amp;TEXT(COUNTIFS($E$6:$E930,$E930,$C$6:$C930,$C930),"000"))</f>
        <v/>
      </c>
      <c r="C930" s="130"/>
      <c r="D930" s="66" t="str">
        <f aca="false">IFERROR(INDEX(定数マスタ!$C$6:$C$105,MATCH($C930,定数マスタ!$B$6:$B$105,0)),"")</f>
        <v/>
      </c>
      <c r="E930" s="131"/>
      <c r="F930" s="130"/>
      <c r="G930" s="66" t="str">
        <f aca="false">IFERROR(INDEX(商品マスタ!$C$6:$C$1005,MATCH($F930,商品マスタ!$B$6:$B$1005,0)),"")</f>
        <v/>
      </c>
      <c r="H930" s="66" t="str">
        <f aca="false">IFERROR(INDEX(商品マスタ!$E$6:$E$1005,MATCH($F930,商品マスタ!$B$6:$B$1005,0)),"")</f>
        <v/>
      </c>
      <c r="I930" s="69" t="str">
        <f aca="false">IFERROR(INDEX(商品マスタ!$F$6:$F$1005,MATCH($F930,商品マスタ!$B$6:$B$1005,0)),"")</f>
        <v/>
      </c>
      <c r="J930" s="69" t="str">
        <f aca="false">IF(OR($F930="",$C930&lt;&gt;'設定（最初に1回）'!$C$4),"",IFERROR(INDEX(発注計算!$Y$6:$Y$405,MATCH($F930,発注計算!$C$6:$C$405,0)),""))</f>
        <v/>
      </c>
      <c r="K930" s="70"/>
      <c r="L930" s="69" t="str">
        <f aca="false">IF($K930="","",N($K930)*N($I930))</f>
        <v/>
      </c>
      <c r="M930" s="71" t="str">
        <f aca="false">IFERROR(INDEX(商品マスタ!$G$6:$G$1005,MATCH($F930,商品マスタ!$B$6:$B$1005,0)),"")</f>
        <v/>
      </c>
      <c r="N930" s="71" t="str">
        <f aca="false">IF($K930="","",N($K930)*N($M930))</f>
        <v/>
      </c>
      <c r="O930" s="66" t="str">
        <f aca="false">IFERROR(INDEX(商品マスタ!$H$6:$H$1005,MATCH($F930,商品マスタ!$B$6:$B$1005,0)),"")</f>
        <v/>
      </c>
      <c r="P930" s="87" t="str">
        <f aca="false">IF(OR($E930="",$O930=""),"",WORKDAY($E930,$O930))</f>
        <v/>
      </c>
      <c r="Q930" s="80"/>
      <c r="R930" s="131"/>
      <c r="S930" s="69" t="n">
        <f aca="false">IF($Q930="入荷済み",N($L930),0)</f>
        <v>0</v>
      </c>
      <c r="T930" s="80"/>
      <c r="U930" s="80"/>
    </row>
    <row r="931" customFormat="false" ht="15" hidden="false" customHeight="false" outlineLevel="0" collapsed="false">
      <c r="B931" s="66" t="str">
        <f aca="false">IF(OR($E931="",$F931=""),"","PO-"&amp;TEXT($E931,"yyyymmdd")&amp;"-"&amp;TEXT(COUNTIFS($E$6:$E931,$E931,$C$6:$C931,$C931),"000"))</f>
        <v/>
      </c>
      <c r="C931" s="130"/>
      <c r="D931" s="66" t="str">
        <f aca="false">IFERROR(INDEX(定数マスタ!$C$6:$C$105,MATCH($C931,定数マスタ!$B$6:$B$105,0)),"")</f>
        <v/>
      </c>
      <c r="E931" s="131"/>
      <c r="F931" s="130"/>
      <c r="G931" s="66" t="str">
        <f aca="false">IFERROR(INDEX(商品マスタ!$C$6:$C$1005,MATCH($F931,商品マスタ!$B$6:$B$1005,0)),"")</f>
        <v/>
      </c>
      <c r="H931" s="66" t="str">
        <f aca="false">IFERROR(INDEX(商品マスタ!$E$6:$E$1005,MATCH($F931,商品マスタ!$B$6:$B$1005,0)),"")</f>
        <v/>
      </c>
      <c r="I931" s="69" t="str">
        <f aca="false">IFERROR(INDEX(商品マスタ!$F$6:$F$1005,MATCH($F931,商品マスタ!$B$6:$B$1005,0)),"")</f>
        <v/>
      </c>
      <c r="J931" s="69" t="str">
        <f aca="false">IF(OR($F931="",$C931&lt;&gt;'設定（最初に1回）'!$C$4),"",IFERROR(INDEX(発注計算!$Y$6:$Y$405,MATCH($F931,発注計算!$C$6:$C$405,0)),""))</f>
        <v/>
      </c>
      <c r="K931" s="70"/>
      <c r="L931" s="69" t="str">
        <f aca="false">IF($K931="","",N($K931)*N($I931))</f>
        <v/>
      </c>
      <c r="M931" s="71" t="str">
        <f aca="false">IFERROR(INDEX(商品マスタ!$G$6:$G$1005,MATCH($F931,商品マスタ!$B$6:$B$1005,0)),"")</f>
        <v/>
      </c>
      <c r="N931" s="71" t="str">
        <f aca="false">IF($K931="","",N($K931)*N($M931))</f>
        <v/>
      </c>
      <c r="O931" s="66" t="str">
        <f aca="false">IFERROR(INDEX(商品マスタ!$H$6:$H$1005,MATCH($F931,商品マスタ!$B$6:$B$1005,0)),"")</f>
        <v/>
      </c>
      <c r="P931" s="87" t="str">
        <f aca="false">IF(OR($E931="",$O931=""),"",WORKDAY($E931,$O931))</f>
        <v/>
      </c>
      <c r="Q931" s="80"/>
      <c r="R931" s="131"/>
      <c r="S931" s="69" t="n">
        <f aca="false">IF($Q931="入荷済み",N($L931),0)</f>
        <v>0</v>
      </c>
      <c r="T931" s="80"/>
      <c r="U931" s="80"/>
    </row>
    <row r="932" customFormat="false" ht="15" hidden="false" customHeight="false" outlineLevel="0" collapsed="false">
      <c r="B932" s="66" t="str">
        <f aca="false">IF(OR($E932="",$F932=""),"","PO-"&amp;TEXT($E932,"yyyymmdd")&amp;"-"&amp;TEXT(COUNTIFS($E$6:$E932,$E932,$C$6:$C932,$C932),"000"))</f>
        <v/>
      </c>
      <c r="C932" s="130"/>
      <c r="D932" s="66" t="str">
        <f aca="false">IFERROR(INDEX(定数マスタ!$C$6:$C$105,MATCH($C932,定数マスタ!$B$6:$B$105,0)),"")</f>
        <v/>
      </c>
      <c r="E932" s="131"/>
      <c r="F932" s="130"/>
      <c r="G932" s="66" t="str">
        <f aca="false">IFERROR(INDEX(商品マスタ!$C$6:$C$1005,MATCH($F932,商品マスタ!$B$6:$B$1005,0)),"")</f>
        <v/>
      </c>
      <c r="H932" s="66" t="str">
        <f aca="false">IFERROR(INDEX(商品マスタ!$E$6:$E$1005,MATCH($F932,商品マスタ!$B$6:$B$1005,0)),"")</f>
        <v/>
      </c>
      <c r="I932" s="69" t="str">
        <f aca="false">IFERROR(INDEX(商品マスタ!$F$6:$F$1005,MATCH($F932,商品マスタ!$B$6:$B$1005,0)),"")</f>
        <v/>
      </c>
      <c r="J932" s="69" t="str">
        <f aca="false">IF(OR($F932="",$C932&lt;&gt;'設定（最初に1回）'!$C$4),"",IFERROR(INDEX(発注計算!$Y$6:$Y$405,MATCH($F932,発注計算!$C$6:$C$405,0)),""))</f>
        <v/>
      </c>
      <c r="K932" s="70"/>
      <c r="L932" s="69" t="str">
        <f aca="false">IF($K932="","",N($K932)*N($I932))</f>
        <v/>
      </c>
      <c r="M932" s="71" t="str">
        <f aca="false">IFERROR(INDEX(商品マスタ!$G$6:$G$1005,MATCH($F932,商品マスタ!$B$6:$B$1005,0)),"")</f>
        <v/>
      </c>
      <c r="N932" s="71" t="str">
        <f aca="false">IF($K932="","",N($K932)*N($M932))</f>
        <v/>
      </c>
      <c r="O932" s="66" t="str">
        <f aca="false">IFERROR(INDEX(商品マスタ!$H$6:$H$1005,MATCH($F932,商品マスタ!$B$6:$B$1005,0)),"")</f>
        <v/>
      </c>
      <c r="P932" s="87" t="str">
        <f aca="false">IF(OR($E932="",$O932=""),"",WORKDAY($E932,$O932))</f>
        <v/>
      </c>
      <c r="Q932" s="80"/>
      <c r="R932" s="131"/>
      <c r="S932" s="69" t="n">
        <f aca="false">IF($Q932="入荷済み",N($L932),0)</f>
        <v>0</v>
      </c>
      <c r="T932" s="80"/>
      <c r="U932" s="80"/>
    </row>
    <row r="933" customFormat="false" ht="15" hidden="false" customHeight="false" outlineLevel="0" collapsed="false">
      <c r="B933" s="66" t="str">
        <f aca="false">IF(OR($E933="",$F933=""),"","PO-"&amp;TEXT($E933,"yyyymmdd")&amp;"-"&amp;TEXT(COUNTIFS($E$6:$E933,$E933,$C$6:$C933,$C933),"000"))</f>
        <v/>
      </c>
      <c r="C933" s="130"/>
      <c r="D933" s="66" t="str">
        <f aca="false">IFERROR(INDEX(定数マスタ!$C$6:$C$105,MATCH($C933,定数マスタ!$B$6:$B$105,0)),"")</f>
        <v/>
      </c>
      <c r="E933" s="131"/>
      <c r="F933" s="130"/>
      <c r="G933" s="66" t="str">
        <f aca="false">IFERROR(INDEX(商品マスタ!$C$6:$C$1005,MATCH($F933,商品マスタ!$B$6:$B$1005,0)),"")</f>
        <v/>
      </c>
      <c r="H933" s="66" t="str">
        <f aca="false">IFERROR(INDEX(商品マスタ!$E$6:$E$1005,MATCH($F933,商品マスタ!$B$6:$B$1005,0)),"")</f>
        <v/>
      </c>
      <c r="I933" s="69" t="str">
        <f aca="false">IFERROR(INDEX(商品マスタ!$F$6:$F$1005,MATCH($F933,商品マスタ!$B$6:$B$1005,0)),"")</f>
        <v/>
      </c>
      <c r="J933" s="69" t="str">
        <f aca="false">IF(OR($F933="",$C933&lt;&gt;'設定（最初に1回）'!$C$4),"",IFERROR(INDEX(発注計算!$Y$6:$Y$405,MATCH($F933,発注計算!$C$6:$C$405,0)),""))</f>
        <v/>
      </c>
      <c r="K933" s="70"/>
      <c r="L933" s="69" t="str">
        <f aca="false">IF($K933="","",N($K933)*N($I933))</f>
        <v/>
      </c>
      <c r="M933" s="71" t="str">
        <f aca="false">IFERROR(INDEX(商品マスタ!$G$6:$G$1005,MATCH($F933,商品マスタ!$B$6:$B$1005,0)),"")</f>
        <v/>
      </c>
      <c r="N933" s="71" t="str">
        <f aca="false">IF($K933="","",N($K933)*N($M933))</f>
        <v/>
      </c>
      <c r="O933" s="66" t="str">
        <f aca="false">IFERROR(INDEX(商品マスタ!$H$6:$H$1005,MATCH($F933,商品マスタ!$B$6:$B$1005,0)),"")</f>
        <v/>
      </c>
      <c r="P933" s="87" t="str">
        <f aca="false">IF(OR($E933="",$O933=""),"",WORKDAY($E933,$O933))</f>
        <v/>
      </c>
      <c r="Q933" s="80"/>
      <c r="R933" s="131"/>
      <c r="S933" s="69" t="n">
        <f aca="false">IF($Q933="入荷済み",N($L933),0)</f>
        <v>0</v>
      </c>
      <c r="T933" s="80"/>
      <c r="U933" s="80"/>
    </row>
    <row r="934" customFormat="false" ht="15" hidden="false" customHeight="false" outlineLevel="0" collapsed="false">
      <c r="B934" s="66" t="str">
        <f aca="false">IF(OR($E934="",$F934=""),"","PO-"&amp;TEXT($E934,"yyyymmdd")&amp;"-"&amp;TEXT(COUNTIFS($E$6:$E934,$E934,$C$6:$C934,$C934),"000"))</f>
        <v/>
      </c>
      <c r="C934" s="130"/>
      <c r="D934" s="66" t="str">
        <f aca="false">IFERROR(INDEX(定数マスタ!$C$6:$C$105,MATCH($C934,定数マスタ!$B$6:$B$105,0)),"")</f>
        <v/>
      </c>
      <c r="E934" s="131"/>
      <c r="F934" s="130"/>
      <c r="G934" s="66" t="str">
        <f aca="false">IFERROR(INDEX(商品マスタ!$C$6:$C$1005,MATCH($F934,商品マスタ!$B$6:$B$1005,0)),"")</f>
        <v/>
      </c>
      <c r="H934" s="66" t="str">
        <f aca="false">IFERROR(INDEX(商品マスタ!$E$6:$E$1005,MATCH($F934,商品マスタ!$B$6:$B$1005,0)),"")</f>
        <v/>
      </c>
      <c r="I934" s="69" t="str">
        <f aca="false">IFERROR(INDEX(商品マスタ!$F$6:$F$1005,MATCH($F934,商品マスタ!$B$6:$B$1005,0)),"")</f>
        <v/>
      </c>
      <c r="J934" s="69" t="str">
        <f aca="false">IF(OR($F934="",$C934&lt;&gt;'設定（最初に1回）'!$C$4),"",IFERROR(INDEX(発注計算!$Y$6:$Y$405,MATCH($F934,発注計算!$C$6:$C$405,0)),""))</f>
        <v/>
      </c>
      <c r="K934" s="70"/>
      <c r="L934" s="69" t="str">
        <f aca="false">IF($K934="","",N($K934)*N($I934))</f>
        <v/>
      </c>
      <c r="M934" s="71" t="str">
        <f aca="false">IFERROR(INDEX(商品マスタ!$G$6:$G$1005,MATCH($F934,商品マスタ!$B$6:$B$1005,0)),"")</f>
        <v/>
      </c>
      <c r="N934" s="71" t="str">
        <f aca="false">IF($K934="","",N($K934)*N($M934))</f>
        <v/>
      </c>
      <c r="O934" s="66" t="str">
        <f aca="false">IFERROR(INDEX(商品マスタ!$H$6:$H$1005,MATCH($F934,商品マスタ!$B$6:$B$1005,0)),"")</f>
        <v/>
      </c>
      <c r="P934" s="87" t="str">
        <f aca="false">IF(OR($E934="",$O934=""),"",WORKDAY($E934,$O934))</f>
        <v/>
      </c>
      <c r="Q934" s="80"/>
      <c r="R934" s="131"/>
      <c r="S934" s="69" t="n">
        <f aca="false">IF($Q934="入荷済み",N($L934),0)</f>
        <v>0</v>
      </c>
      <c r="T934" s="80"/>
      <c r="U934" s="80"/>
    </row>
    <row r="935" customFormat="false" ht="15" hidden="false" customHeight="false" outlineLevel="0" collapsed="false">
      <c r="B935" s="66" t="str">
        <f aca="false">IF(OR($E935="",$F935=""),"","PO-"&amp;TEXT($E935,"yyyymmdd")&amp;"-"&amp;TEXT(COUNTIFS($E$6:$E935,$E935,$C$6:$C935,$C935),"000"))</f>
        <v/>
      </c>
      <c r="C935" s="130"/>
      <c r="D935" s="66" t="str">
        <f aca="false">IFERROR(INDEX(定数マスタ!$C$6:$C$105,MATCH($C935,定数マスタ!$B$6:$B$105,0)),"")</f>
        <v/>
      </c>
      <c r="E935" s="131"/>
      <c r="F935" s="130"/>
      <c r="G935" s="66" t="str">
        <f aca="false">IFERROR(INDEX(商品マスタ!$C$6:$C$1005,MATCH($F935,商品マスタ!$B$6:$B$1005,0)),"")</f>
        <v/>
      </c>
      <c r="H935" s="66" t="str">
        <f aca="false">IFERROR(INDEX(商品マスタ!$E$6:$E$1005,MATCH($F935,商品マスタ!$B$6:$B$1005,0)),"")</f>
        <v/>
      </c>
      <c r="I935" s="69" t="str">
        <f aca="false">IFERROR(INDEX(商品マスタ!$F$6:$F$1005,MATCH($F935,商品マスタ!$B$6:$B$1005,0)),"")</f>
        <v/>
      </c>
      <c r="J935" s="69" t="str">
        <f aca="false">IF(OR($F935="",$C935&lt;&gt;'設定（最初に1回）'!$C$4),"",IFERROR(INDEX(発注計算!$Y$6:$Y$405,MATCH($F935,発注計算!$C$6:$C$405,0)),""))</f>
        <v/>
      </c>
      <c r="K935" s="70"/>
      <c r="L935" s="69" t="str">
        <f aca="false">IF($K935="","",N($K935)*N($I935))</f>
        <v/>
      </c>
      <c r="M935" s="71" t="str">
        <f aca="false">IFERROR(INDEX(商品マスタ!$G$6:$G$1005,MATCH($F935,商品マスタ!$B$6:$B$1005,0)),"")</f>
        <v/>
      </c>
      <c r="N935" s="71" t="str">
        <f aca="false">IF($K935="","",N($K935)*N($M935))</f>
        <v/>
      </c>
      <c r="O935" s="66" t="str">
        <f aca="false">IFERROR(INDEX(商品マスタ!$H$6:$H$1005,MATCH($F935,商品マスタ!$B$6:$B$1005,0)),"")</f>
        <v/>
      </c>
      <c r="P935" s="87" t="str">
        <f aca="false">IF(OR($E935="",$O935=""),"",WORKDAY($E935,$O935))</f>
        <v/>
      </c>
      <c r="Q935" s="80"/>
      <c r="R935" s="131"/>
      <c r="S935" s="69" t="n">
        <f aca="false">IF($Q935="入荷済み",N($L935),0)</f>
        <v>0</v>
      </c>
      <c r="T935" s="80"/>
      <c r="U935" s="80"/>
    </row>
    <row r="936" customFormat="false" ht="15" hidden="false" customHeight="false" outlineLevel="0" collapsed="false">
      <c r="B936" s="66" t="str">
        <f aca="false">IF(OR($E936="",$F936=""),"","PO-"&amp;TEXT($E936,"yyyymmdd")&amp;"-"&amp;TEXT(COUNTIFS($E$6:$E936,$E936,$C$6:$C936,$C936),"000"))</f>
        <v/>
      </c>
      <c r="C936" s="130"/>
      <c r="D936" s="66" t="str">
        <f aca="false">IFERROR(INDEX(定数マスタ!$C$6:$C$105,MATCH($C936,定数マスタ!$B$6:$B$105,0)),"")</f>
        <v/>
      </c>
      <c r="E936" s="131"/>
      <c r="F936" s="130"/>
      <c r="G936" s="66" t="str">
        <f aca="false">IFERROR(INDEX(商品マスタ!$C$6:$C$1005,MATCH($F936,商品マスタ!$B$6:$B$1005,0)),"")</f>
        <v/>
      </c>
      <c r="H936" s="66" t="str">
        <f aca="false">IFERROR(INDEX(商品マスタ!$E$6:$E$1005,MATCH($F936,商品マスタ!$B$6:$B$1005,0)),"")</f>
        <v/>
      </c>
      <c r="I936" s="69" t="str">
        <f aca="false">IFERROR(INDEX(商品マスタ!$F$6:$F$1005,MATCH($F936,商品マスタ!$B$6:$B$1005,0)),"")</f>
        <v/>
      </c>
      <c r="J936" s="69" t="str">
        <f aca="false">IF(OR($F936="",$C936&lt;&gt;'設定（最初に1回）'!$C$4),"",IFERROR(INDEX(発注計算!$Y$6:$Y$405,MATCH($F936,発注計算!$C$6:$C$405,0)),""))</f>
        <v/>
      </c>
      <c r="K936" s="70"/>
      <c r="L936" s="69" t="str">
        <f aca="false">IF($K936="","",N($K936)*N($I936))</f>
        <v/>
      </c>
      <c r="M936" s="71" t="str">
        <f aca="false">IFERROR(INDEX(商品マスタ!$G$6:$G$1005,MATCH($F936,商品マスタ!$B$6:$B$1005,0)),"")</f>
        <v/>
      </c>
      <c r="N936" s="71" t="str">
        <f aca="false">IF($K936="","",N($K936)*N($M936))</f>
        <v/>
      </c>
      <c r="O936" s="66" t="str">
        <f aca="false">IFERROR(INDEX(商品マスタ!$H$6:$H$1005,MATCH($F936,商品マスタ!$B$6:$B$1005,0)),"")</f>
        <v/>
      </c>
      <c r="P936" s="87" t="str">
        <f aca="false">IF(OR($E936="",$O936=""),"",WORKDAY($E936,$O936))</f>
        <v/>
      </c>
      <c r="Q936" s="80"/>
      <c r="R936" s="131"/>
      <c r="S936" s="69" t="n">
        <f aca="false">IF($Q936="入荷済み",N($L936),0)</f>
        <v>0</v>
      </c>
      <c r="T936" s="80"/>
      <c r="U936" s="80"/>
    </row>
    <row r="937" customFormat="false" ht="15" hidden="false" customHeight="false" outlineLevel="0" collapsed="false">
      <c r="B937" s="66" t="str">
        <f aca="false">IF(OR($E937="",$F937=""),"","PO-"&amp;TEXT($E937,"yyyymmdd")&amp;"-"&amp;TEXT(COUNTIFS($E$6:$E937,$E937,$C$6:$C937,$C937),"000"))</f>
        <v/>
      </c>
      <c r="C937" s="130"/>
      <c r="D937" s="66" t="str">
        <f aca="false">IFERROR(INDEX(定数マスタ!$C$6:$C$105,MATCH($C937,定数マスタ!$B$6:$B$105,0)),"")</f>
        <v/>
      </c>
      <c r="E937" s="131"/>
      <c r="F937" s="130"/>
      <c r="G937" s="66" t="str">
        <f aca="false">IFERROR(INDEX(商品マスタ!$C$6:$C$1005,MATCH($F937,商品マスタ!$B$6:$B$1005,0)),"")</f>
        <v/>
      </c>
      <c r="H937" s="66" t="str">
        <f aca="false">IFERROR(INDEX(商品マスタ!$E$6:$E$1005,MATCH($F937,商品マスタ!$B$6:$B$1005,0)),"")</f>
        <v/>
      </c>
      <c r="I937" s="69" t="str">
        <f aca="false">IFERROR(INDEX(商品マスタ!$F$6:$F$1005,MATCH($F937,商品マスタ!$B$6:$B$1005,0)),"")</f>
        <v/>
      </c>
      <c r="J937" s="69" t="str">
        <f aca="false">IF(OR($F937="",$C937&lt;&gt;'設定（最初に1回）'!$C$4),"",IFERROR(INDEX(発注計算!$Y$6:$Y$405,MATCH($F937,発注計算!$C$6:$C$405,0)),""))</f>
        <v/>
      </c>
      <c r="K937" s="70"/>
      <c r="L937" s="69" t="str">
        <f aca="false">IF($K937="","",N($K937)*N($I937))</f>
        <v/>
      </c>
      <c r="M937" s="71" t="str">
        <f aca="false">IFERROR(INDEX(商品マスタ!$G$6:$G$1005,MATCH($F937,商品マスタ!$B$6:$B$1005,0)),"")</f>
        <v/>
      </c>
      <c r="N937" s="71" t="str">
        <f aca="false">IF($K937="","",N($K937)*N($M937))</f>
        <v/>
      </c>
      <c r="O937" s="66" t="str">
        <f aca="false">IFERROR(INDEX(商品マスタ!$H$6:$H$1005,MATCH($F937,商品マスタ!$B$6:$B$1005,0)),"")</f>
        <v/>
      </c>
      <c r="P937" s="87" t="str">
        <f aca="false">IF(OR($E937="",$O937=""),"",WORKDAY($E937,$O937))</f>
        <v/>
      </c>
      <c r="Q937" s="80"/>
      <c r="R937" s="131"/>
      <c r="S937" s="69" t="n">
        <f aca="false">IF($Q937="入荷済み",N($L937),0)</f>
        <v>0</v>
      </c>
      <c r="T937" s="80"/>
      <c r="U937" s="80"/>
    </row>
    <row r="938" customFormat="false" ht="15" hidden="false" customHeight="false" outlineLevel="0" collapsed="false">
      <c r="B938" s="66" t="str">
        <f aca="false">IF(OR($E938="",$F938=""),"","PO-"&amp;TEXT($E938,"yyyymmdd")&amp;"-"&amp;TEXT(COUNTIFS($E$6:$E938,$E938,$C$6:$C938,$C938),"000"))</f>
        <v/>
      </c>
      <c r="C938" s="130"/>
      <c r="D938" s="66" t="str">
        <f aca="false">IFERROR(INDEX(定数マスタ!$C$6:$C$105,MATCH($C938,定数マスタ!$B$6:$B$105,0)),"")</f>
        <v/>
      </c>
      <c r="E938" s="131"/>
      <c r="F938" s="130"/>
      <c r="G938" s="66" t="str">
        <f aca="false">IFERROR(INDEX(商品マスタ!$C$6:$C$1005,MATCH($F938,商品マスタ!$B$6:$B$1005,0)),"")</f>
        <v/>
      </c>
      <c r="H938" s="66" t="str">
        <f aca="false">IFERROR(INDEX(商品マスタ!$E$6:$E$1005,MATCH($F938,商品マスタ!$B$6:$B$1005,0)),"")</f>
        <v/>
      </c>
      <c r="I938" s="69" t="str">
        <f aca="false">IFERROR(INDEX(商品マスタ!$F$6:$F$1005,MATCH($F938,商品マスタ!$B$6:$B$1005,0)),"")</f>
        <v/>
      </c>
      <c r="J938" s="69" t="str">
        <f aca="false">IF(OR($F938="",$C938&lt;&gt;'設定（最初に1回）'!$C$4),"",IFERROR(INDEX(発注計算!$Y$6:$Y$405,MATCH($F938,発注計算!$C$6:$C$405,0)),""))</f>
        <v/>
      </c>
      <c r="K938" s="70"/>
      <c r="L938" s="69" t="str">
        <f aca="false">IF($K938="","",N($K938)*N($I938))</f>
        <v/>
      </c>
      <c r="M938" s="71" t="str">
        <f aca="false">IFERROR(INDEX(商品マスタ!$G$6:$G$1005,MATCH($F938,商品マスタ!$B$6:$B$1005,0)),"")</f>
        <v/>
      </c>
      <c r="N938" s="71" t="str">
        <f aca="false">IF($K938="","",N($K938)*N($M938))</f>
        <v/>
      </c>
      <c r="O938" s="66" t="str">
        <f aca="false">IFERROR(INDEX(商品マスタ!$H$6:$H$1005,MATCH($F938,商品マスタ!$B$6:$B$1005,0)),"")</f>
        <v/>
      </c>
      <c r="P938" s="87" t="str">
        <f aca="false">IF(OR($E938="",$O938=""),"",WORKDAY($E938,$O938))</f>
        <v/>
      </c>
      <c r="Q938" s="80"/>
      <c r="R938" s="131"/>
      <c r="S938" s="69" t="n">
        <f aca="false">IF($Q938="入荷済み",N($L938),0)</f>
        <v>0</v>
      </c>
      <c r="T938" s="80"/>
      <c r="U938" s="80"/>
    </row>
    <row r="939" customFormat="false" ht="15" hidden="false" customHeight="false" outlineLevel="0" collapsed="false">
      <c r="B939" s="66" t="str">
        <f aca="false">IF(OR($E939="",$F939=""),"","PO-"&amp;TEXT($E939,"yyyymmdd")&amp;"-"&amp;TEXT(COUNTIFS($E$6:$E939,$E939,$C$6:$C939,$C939),"000"))</f>
        <v/>
      </c>
      <c r="C939" s="130"/>
      <c r="D939" s="66" t="str">
        <f aca="false">IFERROR(INDEX(定数マスタ!$C$6:$C$105,MATCH($C939,定数マスタ!$B$6:$B$105,0)),"")</f>
        <v/>
      </c>
      <c r="E939" s="131"/>
      <c r="F939" s="130"/>
      <c r="G939" s="66" t="str">
        <f aca="false">IFERROR(INDEX(商品マスタ!$C$6:$C$1005,MATCH($F939,商品マスタ!$B$6:$B$1005,0)),"")</f>
        <v/>
      </c>
      <c r="H939" s="66" t="str">
        <f aca="false">IFERROR(INDEX(商品マスタ!$E$6:$E$1005,MATCH($F939,商品マスタ!$B$6:$B$1005,0)),"")</f>
        <v/>
      </c>
      <c r="I939" s="69" t="str">
        <f aca="false">IFERROR(INDEX(商品マスタ!$F$6:$F$1005,MATCH($F939,商品マスタ!$B$6:$B$1005,0)),"")</f>
        <v/>
      </c>
      <c r="J939" s="69" t="str">
        <f aca="false">IF(OR($F939="",$C939&lt;&gt;'設定（最初に1回）'!$C$4),"",IFERROR(INDEX(発注計算!$Y$6:$Y$405,MATCH($F939,発注計算!$C$6:$C$405,0)),""))</f>
        <v/>
      </c>
      <c r="K939" s="70"/>
      <c r="L939" s="69" t="str">
        <f aca="false">IF($K939="","",N($K939)*N($I939))</f>
        <v/>
      </c>
      <c r="M939" s="71" t="str">
        <f aca="false">IFERROR(INDEX(商品マスタ!$G$6:$G$1005,MATCH($F939,商品マスタ!$B$6:$B$1005,0)),"")</f>
        <v/>
      </c>
      <c r="N939" s="71" t="str">
        <f aca="false">IF($K939="","",N($K939)*N($M939))</f>
        <v/>
      </c>
      <c r="O939" s="66" t="str">
        <f aca="false">IFERROR(INDEX(商品マスタ!$H$6:$H$1005,MATCH($F939,商品マスタ!$B$6:$B$1005,0)),"")</f>
        <v/>
      </c>
      <c r="P939" s="87" t="str">
        <f aca="false">IF(OR($E939="",$O939=""),"",WORKDAY($E939,$O939))</f>
        <v/>
      </c>
      <c r="Q939" s="80"/>
      <c r="R939" s="131"/>
      <c r="S939" s="69" t="n">
        <f aca="false">IF($Q939="入荷済み",N($L939),0)</f>
        <v>0</v>
      </c>
      <c r="T939" s="80"/>
      <c r="U939" s="80"/>
    </row>
    <row r="940" customFormat="false" ht="15" hidden="false" customHeight="false" outlineLevel="0" collapsed="false">
      <c r="B940" s="66" t="str">
        <f aca="false">IF(OR($E940="",$F940=""),"","PO-"&amp;TEXT($E940,"yyyymmdd")&amp;"-"&amp;TEXT(COUNTIFS($E$6:$E940,$E940,$C$6:$C940,$C940),"000"))</f>
        <v/>
      </c>
      <c r="C940" s="130"/>
      <c r="D940" s="66" t="str">
        <f aca="false">IFERROR(INDEX(定数マスタ!$C$6:$C$105,MATCH($C940,定数マスタ!$B$6:$B$105,0)),"")</f>
        <v/>
      </c>
      <c r="E940" s="131"/>
      <c r="F940" s="130"/>
      <c r="G940" s="66" t="str">
        <f aca="false">IFERROR(INDEX(商品マスタ!$C$6:$C$1005,MATCH($F940,商品マスタ!$B$6:$B$1005,0)),"")</f>
        <v/>
      </c>
      <c r="H940" s="66" t="str">
        <f aca="false">IFERROR(INDEX(商品マスタ!$E$6:$E$1005,MATCH($F940,商品マスタ!$B$6:$B$1005,0)),"")</f>
        <v/>
      </c>
      <c r="I940" s="69" t="str">
        <f aca="false">IFERROR(INDEX(商品マスタ!$F$6:$F$1005,MATCH($F940,商品マスタ!$B$6:$B$1005,0)),"")</f>
        <v/>
      </c>
      <c r="J940" s="69" t="str">
        <f aca="false">IF(OR($F940="",$C940&lt;&gt;'設定（最初に1回）'!$C$4),"",IFERROR(INDEX(発注計算!$Y$6:$Y$405,MATCH($F940,発注計算!$C$6:$C$405,0)),""))</f>
        <v/>
      </c>
      <c r="K940" s="70"/>
      <c r="L940" s="69" t="str">
        <f aca="false">IF($K940="","",N($K940)*N($I940))</f>
        <v/>
      </c>
      <c r="M940" s="71" t="str">
        <f aca="false">IFERROR(INDEX(商品マスタ!$G$6:$G$1005,MATCH($F940,商品マスタ!$B$6:$B$1005,0)),"")</f>
        <v/>
      </c>
      <c r="N940" s="71" t="str">
        <f aca="false">IF($K940="","",N($K940)*N($M940))</f>
        <v/>
      </c>
      <c r="O940" s="66" t="str">
        <f aca="false">IFERROR(INDEX(商品マスタ!$H$6:$H$1005,MATCH($F940,商品マスタ!$B$6:$B$1005,0)),"")</f>
        <v/>
      </c>
      <c r="P940" s="87" t="str">
        <f aca="false">IF(OR($E940="",$O940=""),"",WORKDAY($E940,$O940))</f>
        <v/>
      </c>
      <c r="Q940" s="80"/>
      <c r="R940" s="131"/>
      <c r="S940" s="69" t="n">
        <f aca="false">IF($Q940="入荷済み",N($L940),0)</f>
        <v>0</v>
      </c>
      <c r="T940" s="80"/>
      <c r="U940" s="80"/>
    </row>
    <row r="941" customFormat="false" ht="15" hidden="false" customHeight="false" outlineLevel="0" collapsed="false">
      <c r="B941" s="66" t="str">
        <f aca="false">IF(OR($E941="",$F941=""),"","PO-"&amp;TEXT($E941,"yyyymmdd")&amp;"-"&amp;TEXT(COUNTIFS($E$6:$E941,$E941,$C$6:$C941,$C941),"000"))</f>
        <v/>
      </c>
      <c r="C941" s="130"/>
      <c r="D941" s="66" t="str">
        <f aca="false">IFERROR(INDEX(定数マスタ!$C$6:$C$105,MATCH($C941,定数マスタ!$B$6:$B$105,0)),"")</f>
        <v/>
      </c>
      <c r="E941" s="131"/>
      <c r="F941" s="130"/>
      <c r="G941" s="66" t="str">
        <f aca="false">IFERROR(INDEX(商品マスタ!$C$6:$C$1005,MATCH($F941,商品マスタ!$B$6:$B$1005,0)),"")</f>
        <v/>
      </c>
      <c r="H941" s="66" t="str">
        <f aca="false">IFERROR(INDEX(商品マスタ!$E$6:$E$1005,MATCH($F941,商品マスタ!$B$6:$B$1005,0)),"")</f>
        <v/>
      </c>
      <c r="I941" s="69" t="str">
        <f aca="false">IFERROR(INDEX(商品マスタ!$F$6:$F$1005,MATCH($F941,商品マスタ!$B$6:$B$1005,0)),"")</f>
        <v/>
      </c>
      <c r="J941" s="69" t="str">
        <f aca="false">IF(OR($F941="",$C941&lt;&gt;'設定（最初に1回）'!$C$4),"",IFERROR(INDEX(発注計算!$Y$6:$Y$405,MATCH($F941,発注計算!$C$6:$C$405,0)),""))</f>
        <v/>
      </c>
      <c r="K941" s="70"/>
      <c r="L941" s="69" t="str">
        <f aca="false">IF($K941="","",N($K941)*N($I941))</f>
        <v/>
      </c>
      <c r="M941" s="71" t="str">
        <f aca="false">IFERROR(INDEX(商品マスタ!$G$6:$G$1005,MATCH($F941,商品マスタ!$B$6:$B$1005,0)),"")</f>
        <v/>
      </c>
      <c r="N941" s="71" t="str">
        <f aca="false">IF($K941="","",N($K941)*N($M941))</f>
        <v/>
      </c>
      <c r="O941" s="66" t="str">
        <f aca="false">IFERROR(INDEX(商品マスタ!$H$6:$H$1005,MATCH($F941,商品マスタ!$B$6:$B$1005,0)),"")</f>
        <v/>
      </c>
      <c r="P941" s="87" t="str">
        <f aca="false">IF(OR($E941="",$O941=""),"",WORKDAY($E941,$O941))</f>
        <v/>
      </c>
      <c r="Q941" s="80"/>
      <c r="R941" s="131"/>
      <c r="S941" s="69" t="n">
        <f aca="false">IF($Q941="入荷済み",N($L941),0)</f>
        <v>0</v>
      </c>
      <c r="T941" s="80"/>
      <c r="U941" s="80"/>
    </row>
    <row r="942" customFormat="false" ht="15" hidden="false" customHeight="false" outlineLevel="0" collapsed="false">
      <c r="B942" s="66" t="str">
        <f aca="false">IF(OR($E942="",$F942=""),"","PO-"&amp;TEXT($E942,"yyyymmdd")&amp;"-"&amp;TEXT(COUNTIFS($E$6:$E942,$E942,$C$6:$C942,$C942),"000"))</f>
        <v/>
      </c>
      <c r="C942" s="130"/>
      <c r="D942" s="66" t="str">
        <f aca="false">IFERROR(INDEX(定数マスタ!$C$6:$C$105,MATCH($C942,定数マスタ!$B$6:$B$105,0)),"")</f>
        <v/>
      </c>
      <c r="E942" s="131"/>
      <c r="F942" s="130"/>
      <c r="G942" s="66" t="str">
        <f aca="false">IFERROR(INDEX(商品マスタ!$C$6:$C$1005,MATCH($F942,商品マスタ!$B$6:$B$1005,0)),"")</f>
        <v/>
      </c>
      <c r="H942" s="66" t="str">
        <f aca="false">IFERROR(INDEX(商品マスタ!$E$6:$E$1005,MATCH($F942,商品マスタ!$B$6:$B$1005,0)),"")</f>
        <v/>
      </c>
      <c r="I942" s="69" t="str">
        <f aca="false">IFERROR(INDEX(商品マスタ!$F$6:$F$1005,MATCH($F942,商品マスタ!$B$6:$B$1005,0)),"")</f>
        <v/>
      </c>
      <c r="J942" s="69" t="str">
        <f aca="false">IF(OR($F942="",$C942&lt;&gt;'設定（最初に1回）'!$C$4),"",IFERROR(INDEX(発注計算!$Y$6:$Y$405,MATCH($F942,発注計算!$C$6:$C$405,0)),""))</f>
        <v/>
      </c>
      <c r="K942" s="70"/>
      <c r="L942" s="69" t="str">
        <f aca="false">IF($K942="","",N($K942)*N($I942))</f>
        <v/>
      </c>
      <c r="M942" s="71" t="str">
        <f aca="false">IFERROR(INDEX(商品マスタ!$G$6:$G$1005,MATCH($F942,商品マスタ!$B$6:$B$1005,0)),"")</f>
        <v/>
      </c>
      <c r="N942" s="71" t="str">
        <f aca="false">IF($K942="","",N($K942)*N($M942))</f>
        <v/>
      </c>
      <c r="O942" s="66" t="str">
        <f aca="false">IFERROR(INDEX(商品マスタ!$H$6:$H$1005,MATCH($F942,商品マスタ!$B$6:$B$1005,0)),"")</f>
        <v/>
      </c>
      <c r="P942" s="87" t="str">
        <f aca="false">IF(OR($E942="",$O942=""),"",WORKDAY($E942,$O942))</f>
        <v/>
      </c>
      <c r="Q942" s="80"/>
      <c r="R942" s="131"/>
      <c r="S942" s="69" t="n">
        <f aca="false">IF($Q942="入荷済み",N($L942),0)</f>
        <v>0</v>
      </c>
      <c r="T942" s="80"/>
      <c r="U942" s="80"/>
    </row>
    <row r="943" customFormat="false" ht="15" hidden="false" customHeight="false" outlineLevel="0" collapsed="false">
      <c r="B943" s="66" t="str">
        <f aca="false">IF(OR($E943="",$F943=""),"","PO-"&amp;TEXT($E943,"yyyymmdd")&amp;"-"&amp;TEXT(COUNTIFS($E$6:$E943,$E943,$C$6:$C943,$C943),"000"))</f>
        <v/>
      </c>
      <c r="C943" s="130"/>
      <c r="D943" s="66" t="str">
        <f aca="false">IFERROR(INDEX(定数マスタ!$C$6:$C$105,MATCH($C943,定数マスタ!$B$6:$B$105,0)),"")</f>
        <v/>
      </c>
      <c r="E943" s="131"/>
      <c r="F943" s="130"/>
      <c r="G943" s="66" t="str">
        <f aca="false">IFERROR(INDEX(商品マスタ!$C$6:$C$1005,MATCH($F943,商品マスタ!$B$6:$B$1005,0)),"")</f>
        <v/>
      </c>
      <c r="H943" s="66" t="str">
        <f aca="false">IFERROR(INDEX(商品マスタ!$E$6:$E$1005,MATCH($F943,商品マスタ!$B$6:$B$1005,0)),"")</f>
        <v/>
      </c>
      <c r="I943" s="69" t="str">
        <f aca="false">IFERROR(INDEX(商品マスタ!$F$6:$F$1005,MATCH($F943,商品マスタ!$B$6:$B$1005,0)),"")</f>
        <v/>
      </c>
      <c r="J943" s="69" t="str">
        <f aca="false">IF(OR($F943="",$C943&lt;&gt;'設定（最初に1回）'!$C$4),"",IFERROR(INDEX(発注計算!$Y$6:$Y$405,MATCH($F943,発注計算!$C$6:$C$405,0)),""))</f>
        <v/>
      </c>
      <c r="K943" s="70"/>
      <c r="L943" s="69" t="str">
        <f aca="false">IF($K943="","",N($K943)*N($I943))</f>
        <v/>
      </c>
      <c r="M943" s="71" t="str">
        <f aca="false">IFERROR(INDEX(商品マスタ!$G$6:$G$1005,MATCH($F943,商品マスタ!$B$6:$B$1005,0)),"")</f>
        <v/>
      </c>
      <c r="N943" s="71" t="str">
        <f aca="false">IF($K943="","",N($K943)*N($M943))</f>
        <v/>
      </c>
      <c r="O943" s="66" t="str">
        <f aca="false">IFERROR(INDEX(商品マスタ!$H$6:$H$1005,MATCH($F943,商品マスタ!$B$6:$B$1005,0)),"")</f>
        <v/>
      </c>
      <c r="P943" s="87" t="str">
        <f aca="false">IF(OR($E943="",$O943=""),"",WORKDAY($E943,$O943))</f>
        <v/>
      </c>
      <c r="Q943" s="80"/>
      <c r="R943" s="131"/>
      <c r="S943" s="69" t="n">
        <f aca="false">IF($Q943="入荷済み",N($L943),0)</f>
        <v>0</v>
      </c>
      <c r="T943" s="80"/>
      <c r="U943" s="80"/>
    </row>
    <row r="944" customFormat="false" ht="15" hidden="false" customHeight="false" outlineLevel="0" collapsed="false">
      <c r="B944" s="66" t="str">
        <f aca="false">IF(OR($E944="",$F944=""),"","PO-"&amp;TEXT($E944,"yyyymmdd")&amp;"-"&amp;TEXT(COUNTIFS($E$6:$E944,$E944,$C$6:$C944,$C944),"000"))</f>
        <v/>
      </c>
      <c r="C944" s="130"/>
      <c r="D944" s="66" t="str">
        <f aca="false">IFERROR(INDEX(定数マスタ!$C$6:$C$105,MATCH($C944,定数マスタ!$B$6:$B$105,0)),"")</f>
        <v/>
      </c>
      <c r="E944" s="131"/>
      <c r="F944" s="130"/>
      <c r="G944" s="66" t="str">
        <f aca="false">IFERROR(INDEX(商品マスタ!$C$6:$C$1005,MATCH($F944,商品マスタ!$B$6:$B$1005,0)),"")</f>
        <v/>
      </c>
      <c r="H944" s="66" t="str">
        <f aca="false">IFERROR(INDEX(商品マスタ!$E$6:$E$1005,MATCH($F944,商品マスタ!$B$6:$B$1005,0)),"")</f>
        <v/>
      </c>
      <c r="I944" s="69" t="str">
        <f aca="false">IFERROR(INDEX(商品マスタ!$F$6:$F$1005,MATCH($F944,商品マスタ!$B$6:$B$1005,0)),"")</f>
        <v/>
      </c>
      <c r="J944" s="69" t="str">
        <f aca="false">IF(OR($F944="",$C944&lt;&gt;'設定（最初に1回）'!$C$4),"",IFERROR(INDEX(発注計算!$Y$6:$Y$405,MATCH($F944,発注計算!$C$6:$C$405,0)),""))</f>
        <v/>
      </c>
      <c r="K944" s="70"/>
      <c r="L944" s="69" t="str">
        <f aca="false">IF($K944="","",N($K944)*N($I944))</f>
        <v/>
      </c>
      <c r="M944" s="71" t="str">
        <f aca="false">IFERROR(INDEX(商品マスタ!$G$6:$G$1005,MATCH($F944,商品マスタ!$B$6:$B$1005,0)),"")</f>
        <v/>
      </c>
      <c r="N944" s="71" t="str">
        <f aca="false">IF($K944="","",N($K944)*N($M944))</f>
        <v/>
      </c>
      <c r="O944" s="66" t="str">
        <f aca="false">IFERROR(INDEX(商品マスタ!$H$6:$H$1005,MATCH($F944,商品マスタ!$B$6:$B$1005,0)),"")</f>
        <v/>
      </c>
      <c r="P944" s="87" t="str">
        <f aca="false">IF(OR($E944="",$O944=""),"",WORKDAY($E944,$O944))</f>
        <v/>
      </c>
      <c r="Q944" s="80"/>
      <c r="R944" s="131"/>
      <c r="S944" s="69" t="n">
        <f aca="false">IF($Q944="入荷済み",N($L944),0)</f>
        <v>0</v>
      </c>
      <c r="T944" s="80"/>
      <c r="U944" s="80"/>
    </row>
    <row r="945" customFormat="false" ht="15" hidden="false" customHeight="false" outlineLevel="0" collapsed="false">
      <c r="B945" s="66" t="str">
        <f aca="false">IF(OR($E945="",$F945=""),"","PO-"&amp;TEXT($E945,"yyyymmdd")&amp;"-"&amp;TEXT(COUNTIFS($E$6:$E945,$E945,$C$6:$C945,$C945),"000"))</f>
        <v/>
      </c>
      <c r="C945" s="130"/>
      <c r="D945" s="66" t="str">
        <f aca="false">IFERROR(INDEX(定数マスタ!$C$6:$C$105,MATCH($C945,定数マスタ!$B$6:$B$105,0)),"")</f>
        <v/>
      </c>
      <c r="E945" s="131"/>
      <c r="F945" s="130"/>
      <c r="G945" s="66" t="str">
        <f aca="false">IFERROR(INDEX(商品マスタ!$C$6:$C$1005,MATCH($F945,商品マスタ!$B$6:$B$1005,0)),"")</f>
        <v/>
      </c>
      <c r="H945" s="66" t="str">
        <f aca="false">IFERROR(INDEX(商品マスタ!$E$6:$E$1005,MATCH($F945,商品マスタ!$B$6:$B$1005,0)),"")</f>
        <v/>
      </c>
      <c r="I945" s="69" t="str">
        <f aca="false">IFERROR(INDEX(商品マスタ!$F$6:$F$1005,MATCH($F945,商品マスタ!$B$6:$B$1005,0)),"")</f>
        <v/>
      </c>
      <c r="J945" s="69" t="str">
        <f aca="false">IF(OR($F945="",$C945&lt;&gt;'設定（最初に1回）'!$C$4),"",IFERROR(INDEX(発注計算!$Y$6:$Y$405,MATCH($F945,発注計算!$C$6:$C$405,0)),""))</f>
        <v/>
      </c>
      <c r="K945" s="70"/>
      <c r="L945" s="69" t="str">
        <f aca="false">IF($K945="","",N($K945)*N($I945))</f>
        <v/>
      </c>
      <c r="M945" s="71" t="str">
        <f aca="false">IFERROR(INDEX(商品マスタ!$G$6:$G$1005,MATCH($F945,商品マスタ!$B$6:$B$1005,0)),"")</f>
        <v/>
      </c>
      <c r="N945" s="71" t="str">
        <f aca="false">IF($K945="","",N($K945)*N($M945))</f>
        <v/>
      </c>
      <c r="O945" s="66" t="str">
        <f aca="false">IFERROR(INDEX(商品マスタ!$H$6:$H$1005,MATCH($F945,商品マスタ!$B$6:$B$1005,0)),"")</f>
        <v/>
      </c>
      <c r="P945" s="87" t="str">
        <f aca="false">IF(OR($E945="",$O945=""),"",WORKDAY($E945,$O945))</f>
        <v/>
      </c>
      <c r="Q945" s="80"/>
      <c r="R945" s="131"/>
      <c r="S945" s="69" t="n">
        <f aca="false">IF($Q945="入荷済み",N($L945),0)</f>
        <v>0</v>
      </c>
      <c r="T945" s="80"/>
      <c r="U945" s="80"/>
    </row>
    <row r="946" customFormat="false" ht="15" hidden="false" customHeight="false" outlineLevel="0" collapsed="false">
      <c r="B946" s="66" t="str">
        <f aca="false">IF(OR($E946="",$F946=""),"","PO-"&amp;TEXT($E946,"yyyymmdd")&amp;"-"&amp;TEXT(COUNTIFS($E$6:$E946,$E946,$C$6:$C946,$C946),"000"))</f>
        <v/>
      </c>
      <c r="C946" s="130"/>
      <c r="D946" s="66" t="str">
        <f aca="false">IFERROR(INDEX(定数マスタ!$C$6:$C$105,MATCH($C946,定数マスタ!$B$6:$B$105,0)),"")</f>
        <v/>
      </c>
      <c r="E946" s="131"/>
      <c r="F946" s="130"/>
      <c r="G946" s="66" t="str">
        <f aca="false">IFERROR(INDEX(商品マスタ!$C$6:$C$1005,MATCH($F946,商品マスタ!$B$6:$B$1005,0)),"")</f>
        <v/>
      </c>
      <c r="H946" s="66" t="str">
        <f aca="false">IFERROR(INDEX(商品マスタ!$E$6:$E$1005,MATCH($F946,商品マスタ!$B$6:$B$1005,0)),"")</f>
        <v/>
      </c>
      <c r="I946" s="69" t="str">
        <f aca="false">IFERROR(INDEX(商品マスタ!$F$6:$F$1005,MATCH($F946,商品マスタ!$B$6:$B$1005,0)),"")</f>
        <v/>
      </c>
      <c r="J946" s="69" t="str">
        <f aca="false">IF(OR($F946="",$C946&lt;&gt;'設定（最初に1回）'!$C$4),"",IFERROR(INDEX(発注計算!$Y$6:$Y$405,MATCH($F946,発注計算!$C$6:$C$405,0)),""))</f>
        <v/>
      </c>
      <c r="K946" s="70"/>
      <c r="L946" s="69" t="str">
        <f aca="false">IF($K946="","",N($K946)*N($I946))</f>
        <v/>
      </c>
      <c r="M946" s="71" t="str">
        <f aca="false">IFERROR(INDEX(商品マスタ!$G$6:$G$1005,MATCH($F946,商品マスタ!$B$6:$B$1005,0)),"")</f>
        <v/>
      </c>
      <c r="N946" s="71" t="str">
        <f aca="false">IF($K946="","",N($K946)*N($M946))</f>
        <v/>
      </c>
      <c r="O946" s="66" t="str">
        <f aca="false">IFERROR(INDEX(商品マスタ!$H$6:$H$1005,MATCH($F946,商品マスタ!$B$6:$B$1005,0)),"")</f>
        <v/>
      </c>
      <c r="P946" s="87" t="str">
        <f aca="false">IF(OR($E946="",$O946=""),"",WORKDAY($E946,$O946))</f>
        <v/>
      </c>
      <c r="Q946" s="80"/>
      <c r="R946" s="131"/>
      <c r="S946" s="69" t="n">
        <f aca="false">IF($Q946="入荷済み",N($L946),0)</f>
        <v>0</v>
      </c>
      <c r="T946" s="80"/>
      <c r="U946" s="80"/>
    </row>
    <row r="947" customFormat="false" ht="15" hidden="false" customHeight="false" outlineLevel="0" collapsed="false">
      <c r="B947" s="66" t="str">
        <f aca="false">IF(OR($E947="",$F947=""),"","PO-"&amp;TEXT($E947,"yyyymmdd")&amp;"-"&amp;TEXT(COUNTIFS($E$6:$E947,$E947,$C$6:$C947,$C947),"000"))</f>
        <v/>
      </c>
      <c r="C947" s="130"/>
      <c r="D947" s="66" t="str">
        <f aca="false">IFERROR(INDEX(定数マスタ!$C$6:$C$105,MATCH($C947,定数マスタ!$B$6:$B$105,0)),"")</f>
        <v/>
      </c>
      <c r="E947" s="131"/>
      <c r="F947" s="130"/>
      <c r="G947" s="66" t="str">
        <f aca="false">IFERROR(INDEX(商品マスタ!$C$6:$C$1005,MATCH($F947,商品マスタ!$B$6:$B$1005,0)),"")</f>
        <v/>
      </c>
      <c r="H947" s="66" t="str">
        <f aca="false">IFERROR(INDEX(商品マスタ!$E$6:$E$1005,MATCH($F947,商品マスタ!$B$6:$B$1005,0)),"")</f>
        <v/>
      </c>
      <c r="I947" s="69" t="str">
        <f aca="false">IFERROR(INDEX(商品マスタ!$F$6:$F$1005,MATCH($F947,商品マスタ!$B$6:$B$1005,0)),"")</f>
        <v/>
      </c>
      <c r="J947" s="69" t="str">
        <f aca="false">IF(OR($F947="",$C947&lt;&gt;'設定（最初に1回）'!$C$4),"",IFERROR(INDEX(発注計算!$Y$6:$Y$405,MATCH($F947,発注計算!$C$6:$C$405,0)),""))</f>
        <v/>
      </c>
      <c r="K947" s="70"/>
      <c r="L947" s="69" t="str">
        <f aca="false">IF($K947="","",N($K947)*N($I947))</f>
        <v/>
      </c>
      <c r="M947" s="71" t="str">
        <f aca="false">IFERROR(INDEX(商品マスタ!$G$6:$G$1005,MATCH($F947,商品マスタ!$B$6:$B$1005,0)),"")</f>
        <v/>
      </c>
      <c r="N947" s="71" t="str">
        <f aca="false">IF($K947="","",N($K947)*N($M947))</f>
        <v/>
      </c>
      <c r="O947" s="66" t="str">
        <f aca="false">IFERROR(INDEX(商品マスタ!$H$6:$H$1005,MATCH($F947,商品マスタ!$B$6:$B$1005,0)),"")</f>
        <v/>
      </c>
      <c r="P947" s="87" t="str">
        <f aca="false">IF(OR($E947="",$O947=""),"",WORKDAY($E947,$O947))</f>
        <v/>
      </c>
      <c r="Q947" s="80"/>
      <c r="R947" s="131"/>
      <c r="S947" s="69" t="n">
        <f aca="false">IF($Q947="入荷済み",N($L947),0)</f>
        <v>0</v>
      </c>
      <c r="T947" s="80"/>
      <c r="U947" s="80"/>
    </row>
    <row r="948" customFormat="false" ht="15" hidden="false" customHeight="false" outlineLevel="0" collapsed="false">
      <c r="B948" s="66" t="str">
        <f aca="false">IF(OR($E948="",$F948=""),"","PO-"&amp;TEXT($E948,"yyyymmdd")&amp;"-"&amp;TEXT(COUNTIFS($E$6:$E948,$E948,$C$6:$C948,$C948),"000"))</f>
        <v/>
      </c>
      <c r="C948" s="130"/>
      <c r="D948" s="66" t="str">
        <f aca="false">IFERROR(INDEX(定数マスタ!$C$6:$C$105,MATCH($C948,定数マスタ!$B$6:$B$105,0)),"")</f>
        <v/>
      </c>
      <c r="E948" s="131"/>
      <c r="F948" s="130"/>
      <c r="G948" s="66" t="str">
        <f aca="false">IFERROR(INDEX(商品マスタ!$C$6:$C$1005,MATCH($F948,商品マスタ!$B$6:$B$1005,0)),"")</f>
        <v/>
      </c>
      <c r="H948" s="66" t="str">
        <f aca="false">IFERROR(INDEX(商品マスタ!$E$6:$E$1005,MATCH($F948,商品マスタ!$B$6:$B$1005,0)),"")</f>
        <v/>
      </c>
      <c r="I948" s="69" t="str">
        <f aca="false">IFERROR(INDEX(商品マスタ!$F$6:$F$1005,MATCH($F948,商品マスタ!$B$6:$B$1005,0)),"")</f>
        <v/>
      </c>
      <c r="J948" s="69" t="str">
        <f aca="false">IF(OR($F948="",$C948&lt;&gt;'設定（最初に1回）'!$C$4),"",IFERROR(INDEX(発注計算!$Y$6:$Y$405,MATCH($F948,発注計算!$C$6:$C$405,0)),""))</f>
        <v/>
      </c>
      <c r="K948" s="70"/>
      <c r="L948" s="69" t="str">
        <f aca="false">IF($K948="","",N($K948)*N($I948))</f>
        <v/>
      </c>
      <c r="M948" s="71" t="str">
        <f aca="false">IFERROR(INDEX(商品マスタ!$G$6:$G$1005,MATCH($F948,商品マスタ!$B$6:$B$1005,0)),"")</f>
        <v/>
      </c>
      <c r="N948" s="71" t="str">
        <f aca="false">IF($K948="","",N($K948)*N($M948))</f>
        <v/>
      </c>
      <c r="O948" s="66" t="str">
        <f aca="false">IFERROR(INDEX(商品マスタ!$H$6:$H$1005,MATCH($F948,商品マスタ!$B$6:$B$1005,0)),"")</f>
        <v/>
      </c>
      <c r="P948" s="87" t="str">
        <f aca="false">IF(OR($E948="",$O948=""),"",WORKDAY($E948,$O948))</f>
        <v/>
      </c>
      <c r="Q948" s="80"/>
      <c r="R948" s="131"/>
      <c r="S948" s="69" t="n">
        <f aca="false">IF($Q948="入荷済み",N($L948),0)</f>
        <v>0</v>
      </c>
      <c r="T948" s="80"/>
      <c r="U948" s="80"/>
    </row>
    <row r="949" customFormat="false" ht="15" hidden="false" customHeight="false" outlineLevel="0" collapsed="false">
      <c r="B949" s="66" t="str">
        <f aca="false">IF(OR($E949="",$F949=""),"","PO-"&amp;TEXT($E949,"yyyymmdd")&amp;"-"&amp;TEXT(COUNTIFS($E$6:$E949,$E949,$C$6:$C949,$C949),"000"))</f>
        <v/>
      </c>
      <c r="C949" s="130"/>
      <c r="D949" s="66" t="str">
        <f aca="false">IFERROR(INDEX(定数マスタ!$C$6:$C$105,MATCH($C949,定数マスタ!$B$6:$B$105,0)),"")</f>
        <v/>
      </c>
      <c r="E949" s="131"/>
      <c r="F949" s="130"/>
      <c r="G949" s="66" t="str">
        <f aca="false">IFERROR(INDEX(商品マスタ!$C$6:$C$1005,MATCH($F949,商品マスタ!$B$6:$B$1005,0)),"")</f>
        <v/>
      </c>
      <c r="H949" s="66" t="str">
        <f aca="false">IFERROR(INDEX(商品マスタ!$E$6:$E$1005,MATCH($F949,商品マスタ!$B$6:$B$1005,0)),"")</f>
        <v/>
      </c>
      <c r="I949" s="69" t="str">
        <f aca="false">IFERROR(INDEX(商品マスタ!$F$6:$F$1005,MATCH($F949,商品マスタ!$B$6:$B$1005,0)),"")</f>
        <v/>
      </c>
      <c r="J949" s="69" t="str">
        <f aca="false">IF(OR($F949="",$C949&lt;&gt;'設定（最初に1回）'!$C$4),"",IFERROR(INDEX(発注計算!$Y$6:$Y$405,MATCH($F949,発注計算!$C$6:$C$405,0)),""))</f>
        <v/>
      </c>
      <c r="K949" s="70"/>
      <c r="L949" s="69" t="str">
        <f aca="false">IF($K949="","",N($K949)*N($I949))</f>
        <v/>
      </c>
      <c r="M949" s="71" t="str">
        <f aca="false">IFERROR(INDEX(商品マスタ!$G$6:$G$1005,MATCH($F949,商品マスタ!$B$6:$B$1005,0)),"")</f>
        <v/>
      </c>
      <c r="N949" s="71" t="str">
        <f aca="false">IF($K949="","",N($K949)*N($M949))</f>
        <v/>
      </c>
      <c r="O949" s="66" t="str">
        <f aca="false">IFERROR(INDEX(商品マスタ!$H$6:$H$1005,MATCH($F949,商品マスタ!$B$6:$B$1005,0)),"")</f>
        <v/>
      </c>
      <c r="P949" s="87" t="str">
        <f aca="false">IF(OR($E949="",$O949=""),"",WORKDAY($E949,$O949))</f>
        <v/>
      </c>
      <c r="Q949" s="80"/>
      <c r="R949" s="131"/>
      <c r="S949" s="69" t="n">
        <f aca="false">IF($Q949="入荷済み",N($L949),0)</f>
        <v>0</v>
      </c>
      <c r="T949" s="80"/>
      <c r="U949" s="80"/>
    </row>
    <row r="950" customFormat="false" ht="15" hidden="false" customHeight="false" outlineLevel="0" collapsed="false">
      <c r="B950" s="66" t="str">
        <f aca="false">IF(OR($E950="",$F950=""),"","PO-"&amp;TEXT($E950,"yyyymmdd")&amp;"-"&amp;TEXT(COUNTIFS($E$6:$E950,$E950,$C$6:$C950,$C950),"000"))</f>
        <v/>
      </c>
      <c r="C950" s="130"/>
      <c r="D950" s="66" t="str">
        <f aca="false">IFERROR(INDEX(定数マスタ!$C$6:$C$105,MATCH($C950,定数マスタ!$B$6:$B$105,0)),"")</f>
        <v/>
      </c>
      <c r="E950" s="131"/>
      <c r="F950" s="130"/>
      <c r="G950" s="66" t="str">
        <f aca="false">IFERROR(INDEX(商品マスタ!$C$6:$C$1005,MATCH($F950,商品マスタ!$B$6:$B$1005,0)),"")</f>
        <v/>
      </c>
      <c r="H950" s="66" t="str">
        <f aca="false">IFERROR(INDEX(商品マスタ!$E$6:$E$1005,MATCH($F950,商品マスタ!$B$6:$B$1005,0)),"")</f>
        <v/>
      </c>
      <c r="I950" s="69" t="str">
        <f aca="false">IFERROR(INDEX(商品マスタ!$F$6:$F$1005,MATCH($F950,商品マスタ!$B$6:$B$1005,0)),"")</f>
        <v/>
      </c>
      <c r="J950" s="69" t="str">
        <f aca="false">IF(OR($F950="",$C950&lt;&gt;'設定（最初に1回）'!$C$4),"",IFERROR(INDEX(発注計算!$Y$6:$Y$405,MATCH($F950,発注計算!$C$6:$C$405,0)),""))</f>
        <v/>
      </c>
      <c r="K950" s="70"/>
      <c r="L950" s="69" t="str">
        <f aca="false">IF($K950="","",N($K950)*N($I950))</f>
        <v/>
      </c>
      <c r="M950" s="71" t="str">
        <f aca="false">IFERROR(INDEX(商品マスタ!$G$6:$G$1005,MATCH($F950,商品マスタ!$B$6:$B$1005,0)),"")</f>
        <v/>
      </c>
      <c r="N950" s="71" t="str">
        <f aca="false">IF($K950="","",N($K950)*N($M950))</f>
        <v/>
      </c>
      <c r="O950" s="66" t="str">
        <f aca="false">IFERROR(INDEX(商品マスタ!$H$6:$H$1005,MATCH($F950,商品マスタ!$B$6:$B$1005,0)),"")</f>
        <v/>
      </c>
      <c r="P950" s="87" t="str">
        <f aca="false">IF(OR($E950="",$O950=""),"",WORKDAY($E950,$O950))</f>
        <v/>
      </c>
      <c r="Q950" s="80"/>
      <c r="R950" s="131"/>
      <c r="S950" s="69" t="n">
        <f aca="false">IF($Q950="入荷済み",N($L950),0)</f>
        <v>0</v>
      </c>
      <c r="T950" s="80"/>
      <c r="U950" s="80"/>
    </row>
    <row r="951" customFormat="false" ht="15" hidden="false" customHeight="false" outlineLevel="0" collapsed="false">
      <c r="B951" s="66" t="str">
        <f aca="false">IF(OR($E951="",$F951=""),"","PO-"&amp;TEXT($E951,"yyyymmdd")&amp;"-"&amp;TEXT(COUNTIFS($E$6:$E951,$E951,$C$6:$C951,$C951),"000"))</f>
        <v/>
      </c>
      <c r="C951" s="130"/>
      <c r="D951" s="66" t="str">
        <f aca="false">IFERROR(INDEX(定数マスタ!$C$6:$C$105,MATCH($C951,定数マスタ!$B$6:$B$105,0)),"")</f>
        <v/>
      </c>
      <c r="E951" s="131"/>
      <c r="F951" s="130"/>
      <c r="G951" s="66" t="str">
        <f aca="false">IFERROR(INDEX(商品マスタ!$C$6:$C$1005,MATCH($F951,商品マスタ!$B$6:$B$1005,0)),"")</f>
        <v/>
      </c>
      <c r="H951" s="66" t="str">
        <f aca="false">IFERROR(INDEX(商品マスタ!$E$6:$E$1005,MATCH($F951,商品マスタ!$B$6:$B$1005,0)),"")</f>
        <v/>
      </c>
      <c r="I951" s="69" t="str">
        <f aca="false">IFERROR(INDEX(商品マスタ!$F$6:$F$1005,MATCH($F951,商品マスタ!$B$6:$B$1005,0)),"")</f>
        <v/>
      </c>
      <c r="J951" s="69" t="str">
        <f aca="false">IF(OR($F951="",$C951&lt;&gt;'設定（最初に1回）'!$C$4),"",IFERROR(INDEX(発注計算!$Y$6:$Y$405,MATCH($F951,発注計算!$C$6:$C$405,0)),""))</f>
        <v/>
      </c>
      <c r="K951" s="70"/>
      <c r="L951" s="69" t="str">
        <f aca="false">IF($K951="","",N($K951)*N($I951))</f>
        <v/>
      </c>
      <c r="M951" s="71" t="str">
        <f aca="false">IFERROR(INDEX(商品マスタ!$G$6:$G$1005,MATCH($F951,商品マスタ!$B$6:$B$1005,0)),"")</f>
        <v/>
      </c>
      <c r="N951" s="71" t="str">
        <f aca="false">IF($K951="","",N($K951)*N($M951))</f>
        <v/>
      </c>
      <c r="O951" s="66" t="str">
        <f aca="false">IFERROR(INDEX(商品マスタ!$H$6:$H$1005,MATCH($F951,商品マスタ!$B$6:$B$1005,0)),"")</f>
        <v/>
      </c>
      <c r="P951" s="87" t="str">
        <f aca="false">IF(OR($E951="",$O951=""),"",WORKDAY($E951,$O951))</f>
        <v/>
      </c>
      <c r="Q951" s="80"/>
      <c r="R951" s="131"/>
      <c r="S951" s="69" t="n">
        <f aca="false">IF($Q951="入荷済み",N($L951),0)</f>
        <v>0</v>
      </c>
      <c r="T951" s="80"/>
      <c r="U951" s="80"/>
    </row>
    <row r="952" customFormat="false" ht="15" hidden="false" customHeight="false" outlineLevel="0" collapsed="false">
      <c r="B952" s="66" t="str">
        <f aca="false">IF(OR($E952="",$F952=""),"","PO-"&amp;TEXT($E952,"yyyymmdd")&amp;"-"&amp;TEXT(COUNTIFS($E$6:$E952,$E952,$C$6:$C952,$C952),"000"))</f>
        <v/>
      </c>
      <c r="C952" s="130"/>
      <c r="D952" s="66" t="str">
        <f aca="false">IFERROR(INDEX(定数マスタ!$C$6:$C$105,MATCH($C952,定数マスタ!$B$6:$B$105,0)),"")</f>
        <v/>
      </c>
      <c r="E952" s="131"/>
      <c r="F952" s="130"/>
      <c r="G952" s="66" t="str">
        <f aca="false">IFERROR(INDEX(商品マスタ!$C$6:$C$1005,MATCH($F952,商品マスタ!$B$6:$B$1005,0)),"")</f>
        <v/>
      </c>
      <c r="H952" s="66" t="str">
        <f aca="false">IFERROR(INDEX(商品マスタ!$E$6:$E$1005,MATCH($F952,商品マスタ!$B$6:$B$1005,0)),"")</f>
        <v/>
      </c>
      <c r="I952" s="69" t="str">
        <f aca="false">IFERROR(INDEX(商品マスタ!$F$6:$F$1005,MATCH($F952,商品マスタ!$B$6:$B$1005,0)),"")</f>
        <v/>
      </c>
      <c r="J952" s="69" t="str">
        <f aca="false">IF(OR($F952="",$C952&lt;&gt;'設定（最初に1回）'!$C$4),"",IFERROR(INDEX(発注計算!$Y$6:$Y$405,MATCH($F952,発注計算!$C$6:$C$405,0)),""))</f>
        <v/>
      </c>
      <c r="K952" s="70"/>
      <c r="L952" s="69" t="str">
        <f aca="false">IF($K952="","",N($K952)*N($I952))</f>
        <v/>
      </c>
      <c r="M952" s="71" t="str">
        <f aca="false">IFERROR(INDEX(商品マスタ!$G$6:$G$1005,MATCH($F952,商品マスタ!$B$6:$B$1005,0)),"")</f>
        <v/>
      </c>
      <c r="N952" s="71" t="str">
        <f aca="false">IF($K952="","",N($K952)*N($M952))</f>
        <v/>
      </c>
      <c r="O952" s="66" t="str">
        <f aca="false">IFERROR(INDEX(商品マスタ!$H$6:$H$1005,MATCH($F952,商品マスタ!$B$6:$B$1005,0)),"")</f>
        <v/>
      </c>
      <c r="P952" s="87" t="str">
        <f aca="false">IF(OR($E952="",$O952=""),"",WORKDAY($E952,$O952))</f>
        <v/>
      </c>
      <c r="Q952" s="80"/>
      <c r="R952" s="131"/>
      <c r="S952" s="69" t="n">
        <f aca="false">IF($Q952="入荷済み",N($L952),0)</f>
        <v>0</v>
      </c>
      <c r="T952" s="80"/>
      <c r="U952" s="80"/>
    </row>
    <row r="953" customFormat="false" ht="15" hidden="false" customHeight="false" outlineLevel="0" collapsed="false">
      <c r="B953" s="66" t="str">
        <f aca="false">IF(OR($E953="",$F953=""),"","PO-"&amp;TEXT($E953,"yyyymmdd")&amp;"-"&amp;TEXT(COUNTIFS($E$6:$E953,$E953,$C$6:$C953,$C953),"000"))</f>
        <v/>
      </c>
      <c r="C953" s="130"/>
      <c r="D953" s="66" t="str">
        <f aca="false">IFERROR(INDEX(定数マスタ!$C$6:$C$105,MATCH($C953,定数マスタ!$B$6:$B$105,0)),"")</f>
        <v/>
      </c>
      <c r="E953" s="131"/>
      <c r="F953" s="130"/>
      <c r="G953" s="66" t="str">
        <f aca="false">IFERROR(INDEX(商品マスタ!$C$6:$C$1005,MATCH($F953,商品マスタ!$B$6:$B$1005,0)),"")</f>
        <v/>
      </c>
      <c r="H953" s="66" t="str">
        <f aca="false">IFERROR(INDEX(商品マスタ!$E$6:$E$1005,MATCH($F953,商品マスタ!$B$6:$B$1005,0)),"")</f>
        <v/>
      </c>
      <c r="I953" s="69" t="str">
        <f aca="false">IFERROR(INDEX(商品マスタ!$F$6:$F$1005,MATCH($F953,商品マスタ!$B$6:$B$1005,0)),"")</f>
        <v/>
      </c>
      <c r="J953" s="69" t="str">
        <f aca="false">IF(OR($F953="",$C953&lt;&gt;'設定（最初に1回）'!$C$4),"",IFERROR(INDEX(発注計算!$Y$6:$Y$405,MATCH($F953,発注計算!$C$6:$C$405,0)),""))</f>
        <v/>
      </c>
      <c r="K953" s="70"/>
      <c r="L953" s="69" t="str">
        <f aca="false">IF($K953="","",N($K953)*N($I953))</f>
        <v/>
      </c>
      <c r="M953" s="71" t="str">
        <f aca="false">IFERROR(INDEX(商品マスタ!$G$6:$G$1005,MATCH($F953,商品マスタ!$B$6:$B$1005,0)),"")</f>
        <v/>
      </c>
      <c r="N953" s="71" t="str">
        <f aca="false">IF($K953="","",N($K953)*N($M953))</f>
        <v/>
      </c>
      <c r="O953" s="66" t="str">
        <f aca="false">IFERROR(INDEX(商品マスタ!$H$6:$H$1005,MATCH($F953,商品マスタ!$B$6:$B$1005,0)),"")</f>
        <v/>
      </c>
      <c r="P953" s="87" t="str">
        <f aca="false">IF(OR($E953="",$O953=""),"",WORKDAY($E953,$O953))</f>
        <v/>
      </c>
      <c r="Q953" s="80"/>
      <c r="R953" s="131"/>
      <c r="S953" s="69" t="n">
        <f aca="false">IF($Q953="入荷済み",N($L953),0)</f>
        <v>0</v>
      </c>
      <c r="T953" s="80"/>
      <c r="U953" s="80"/>
    </row>
    <row r="954" customFormat="false" ht="15" hidden="false" customHeight="false" outlineLevel="0" collapsed="false">
      <c r="B954" s="66" t="str">
        <f aca="false">IF(OR($E954="",$F954=""),"","PO-"&amp;TEXT($E954,"yyyymmdd")&amp;"-"&amp;TEXT(COUNTIFS($E$6:$E954,$E954,$C$6:$C954,$C954),"000"))</f>
        <v/>
      </c>
      <c r="C954" s="130"/>
      <c r="D954" s="66" t="str">
        <f aca="false">IFERROR(INDEX(定数マスタ!$C$6:$C$105,MATCH($C954,定数マスタ!$B$6:$B$105,0)),"")</f>
        <v/>
      </c>
      <c r="E954" s="131"/>
      <c r="F954" s="130"/>
      <c r="G954" s="66" t="str">
        <f aca="false">IFERROR(INDEX(商品マスタ!$C$6:$C$1005,MATCH($F954,商品マスタ!$B$6:$B$1005,0)),"")</f>
        <v/>
      </c>
      <c r="H954" s="66" t="str">
        <f aca="false">IFERROR(INDEX(商品マスタ!$E$6:$E$1005,MATCH($F954,商品マスタ!$B$6:$B$1005,0)),"")</f>
        <v/>
      </c>
      <c r="I954" s="69" t="str">
        <f aca="false">IFERROR(INDEX(商品マスタ!$F$6:$F$1005,MATCH($F954,商品マスタ!$B$6:$B$1005,0)),"")</f>
        <v/>
      </c>
      <c r="J954" s="69" t="str">
        <f aca="false">IF(OR($F954="",$C954&lt;&gt;'設定（最初に1回）'!$C$4),"",IFERROR(INDEX(発注計算!$Y$6:$Y$405,MATCH($F954,発注計算!$C$6:$C$405,0)),""))</f>
        <v/>
      </c>
      <c r="K954" s="70"/>
      <c r="L954" s="69" t="str">
        <f aca="false">IF($K954="","",N($K954)*N($I954))</f>
        <v/>
      </c>
      <c r="M954" s="71" t="str">
        <f aca="false">IFERROR(INDEX(商品マスタ!$G$6:$G$1005,MATCH($F954,商品マスタ!$B$6:$B$1005,0)),"")</f>
        <v/>
      </c>
      <c r="N954" s="71" t="str">
        <f aca="false">IF($K954="","",N($K954)*N($M954))</f>
        <v/>
      </c>
      <c r="O954" s="66" t="str">
        <f aca="false">IFERROR(INDEX(商品マスタ!$H$6:$H$1005,MATCH($F954,商品マスタ!$B$6:$B$1005,0)),"")</f>
        <v/>
      </c>
      <c r="P954" s="87" t="str">
        <f aca="false">IF(OR($E954="",$O954=""),"",WORKDAY($E954,$O954))</f>
        <v/>
      </c>
      <c r="Q954" s="80"/>
      <c r="R954" s="131"/>
      <c r="S954" s="69" t="n">
        <f aca="false">IF($Q954="入荷済み",N($L954),0)</f>
        <v>0</v>
      </c>
      <c r="T954" s="80"/>
      <c r="U954" s="80"/>
    </row>
    <row r="955" customFormat="false" ht="15" hidden="false" customHeight="false" outlineLevel="0" collapsed="false">
      <c r="B955" s="66" t="str">
        <f aca="false">IF(OR($E955="",$F955=""),"","PO-"&amp;TEXT($E955,"yyyymmdd")&amp;"-"&amp;TEXT(COUNTIFS($E$6:$E955,$E955,$C$6:$C955,$C955),"000"))</f>
        <v/>
      </c>
      <c r="C955" s="130"/>
      <c r="D955" s="66" t="str">
        <f aca="false">IFERROR(INDEX(定数マスタ!$C$6:$C$105,MATCH($C955,定数マスタ!$B$6:$B$105,0)),"")</f>
        <v/>
      </c>
      <c r="E955" s="131"/>
      <c r="F955" s="130"/>
      <c r="G955" s="66" t="str">
        <f aca="false">IFERROR(INDEX(商品マスタ!$C$6:$C$1005,MATCH($F955,商品マスタ!$B$6:$B$1005,0)),"")</f>
        <v/>
      </c>
      <c r="H955" s="66" t="str">
        <f aca="false">IFERROR(INDEX(商品マスタ!$E$6:$E$1005,MATCH($F955,商品マスタ!$B$6:$B$1005,0)),"")</f>
        <v/>
      </c>
      <c r="I955" s="69" t="str">
        <f aca="false">IFERROR(INDEX(商品マスタ!$F$6:$F$1005,MATCH($F955,商品マスタ!$B$6:$B$1005,0)),"")</f>
        <v/>
      </c>
      <c r="J955" s="69" t="str">
        <f aca="false">IF(OR($F955="",$C955&lt;&gt;'設定（最初に1回）'!$C$4),"",IFERROR(INDEX(発注計算!$Y$6:$Y$405,MATCH($F955,発注計算!$C$6:$C$405,0)),""))</f>
        <v/>
      </c>
      <c r="K955" s="70"/>
      <c r="L955" s="69" t="str">
        <f aca="false">IF($K955="","",N($K955)*N($I955))</f>
        <v/>
      </c>
      <c r="M955" s="71" t="str">
        <f aca="false">IFERROR(INDEX(商品マスタ!$G$6:$G$1005,MATCH($F955,商品マスタ!$B$6:$B$1005,0)),"")</f>
        <v/>
      </c>
      <c r="N955" s="71" t="str">
        <f aca="false">IF($K955="","",N($K955)*N($M955))</f>
        <v/>
      </c>
      <c r="O955" s="66" t="str">
        <f aca="false">IFERROR(INDEX(商品マスタ!$H$6:$H$1005,MATCH($F955,商品マスタ!$B$6:$B$1005,0)),"")</f>
        <v/>
      </c>
      <c r="P955" s="87" t="str">
        <f aca="false">IF(OR($E955="",$O955=""),"",WORKDAY($E955,$O955))</f>
        <v/>
      </c>
      <c r="Q955" s="80"/>
      <c r="R955" s="131"/>
      <c r="S955" s="69" t="n">
        <f aca="false">IF($Q955="入荷済み",N($L955),0)</f>
        <v>0</v>
      </c>
      <c r="T955" s="80"/>
      <c r="U955" s="80"/>
    </row>
    <row r="956" customFormat="false" ht="15" hidden="false" customHeight="false" outlineLevel="0" collapsed="false">
      <c r="B956" s="66" t="str">
        <f aca="false">IF(OR($E956="",$F956=""),"","PO-"&amp;TEXT($E956,"yyyymmdd")&amp;"-"&amp;TEXT(COUNTIFS($E$6:$E956,$E956,$C$6:$C956,$C956),"000"))</f>
        <v/>
      </c>
      <c r="C956" s="130"/>
      <c r="D956" s="66" t="str">
        <f aca="false">IFERROR(INDEX(定数マスタ!$C$6:$C$105,MATCH($C956,定数マスタ!$B$6:$B$105,0)),"")</f>
        <v/>
      </c>
      <c r="E956" s="131"/>
      <c r="F956" s="130"/>
      <c r="G956" s="66" t="str">
        <f aca="false">IFERROR(INDEX(商品マスタ!$C$6:$C$1005,MATCH($F956,商品マスタ!$B$6:$B$1005,0)),"")</f>
        <v/>
      </c>
      <c r="H956" s="66" t="str">
        <f aca="false">IFERROR(INDEX(商品マスタ!$E$6:$E$1005,MATCH($F956,商品マスタ!$B$6:$B$1005,0)),"")</f>
        <v/>
      </c>
      <c r="I956" s="69" t="str">
        <f aca="false">IFERROR(INDEX(商品マスタ!$F$6:$F$1005,MATCH($F956,商品マスタ!$B$6:$B$1005,0)),"")</f>
        <v/>
      </c>
      <c r="J956" s="69" t="str">
        <f aca="false">IF(OR($F956="",$C956&lt;&gt;'設定（最初に1回）'!$C$4),"",IFERROR(INDEX(発注計算!$Y$6:$Y$405,MATCH($F956,発注計算!$C$6:$C$405,0)),""))</f>
        <v/>
      </c>
      <c r="K956" s="70"/>
      <c r="L956" s="69" t="str">
        <f aca="false">IF($K956="","",N($K956)*N($I956))</f>
        <v/>
      </c>
      <c r="M956" s="71" t="str">
        <f aca="false">IFERROR(INDEX(商品マスタ!$G$6:$G$1005,MATCH($F956,商品マスタ!$B$6:$B$1005,0)),"")</f>
        <v/>
      </c>
      <c r="N956" s="71" t="str">
        <f aca="false">IF($K956="","",N($K956)*N($M956))</f>
        <v/>
      </c>
      <c r="O956" s="66" t="str">
        <f aca="false">IFERROR(INDEX(商品マスタ!$H$6:$H$1005,MATCH($F956,商品マスタ!$B$6:$B$1005,0)),"")</f>
        <v/>
      </c>
      <c r="P956" s="87" t="str">
        <f aca="false">IF(OR($E956="",$O956=""),"",WORKDAY($E956,$O956))</f>
        <v/>
      </c>
      <c r="Q956" s="80"/>
      <c r="R956" s="131"/>
      <c r="S956" s="69" t="n">
        <f aca="false">IF($Q956="入荷済み",N($L956),0)</f>
        <v>0</v>
      </c>
      <c r="T956" s="80"/>
      <c r="U956" s="80"/>
    </row>
    <row r="957" customFormat="false" ht="15" hidden="false" customHeight="false" outlineLevel="0" collapsed="false">
      <c r="B957" s="66" t="str">
        <f aca="false">IF(OR($E957="",$F957=""),"","PO-"&amp;TEXT($E957,"yyyymmdd")&amp;"-"&amp;TEXT(COUNTIFS($E$6:$E957,$E957,$C$6:$C957,$C957),"000"))</f>
        <v/>
      </c>
      <c r="C957" s="130"/>
      <c r="D957" s="66" t="str">
        <f aca="false">IFERROR(INDEX(定数マスタ!$C$6:$C$105,MATCH($C957,定数マスタ!$B$6:$B$105,0)),"")</f>
        <v/>
      </c>
      <c r="E957" s="131"/>
      <c r="F957" s="130"/>
      <c r="G957" s="66" t="str">
        <f aca="false">IFERROR(INDEX(商品マスタ!$C$6:$C$1005,MATCH($F957,商品マスタ!$B$6:$B$1005,0)),"")</f>
        <v/>
      </c>
      <c r="H957" s="66" t="str">
        <f aca="false">IFERROR(INDEX(商品マスタ!$E$6:$E$1005,MATCH($F957,商品マスタ!$B$6:$B$1005,0)),"")</f>
        <v/>
      </c>
      <c r="I957" s="69" t="str">
        <f aca="false">IFERROR(INDEX(商品マスタ!$F$6:$F$1005,MATCH($F957,商品マスタ!$B$6:$B$1005,0)),"")</f>
        <v/>
      </c>
      <c r="J957" s="69" t="str">
        <f aca="false">IF(OR($F957="",$C957&lt;&gt;'設定（最初に1回）'!$C$4),"",IFERROR(INDEX(発注計算!$Y$6:$Y$405,MATCH($F957,発注計算!$C$6:$C$405,0)),""))</f>
        <v/>
      </c>
      <c r="K957" s="70"/>
      <c r="L957" s="69" t="str">
        <f aca="false">IF($K957="","",N($K957)*N($I957))</f>
        <v/>
      </c>
      <c r="M957" s="71" t="str">
        <f aca="false">IFERROR(INDEX(商品マスタ!$G$6:$G$1005,MATCH($F957,商品マスタ!$B$6:$B$1005,0)),"")</f>
        <v/>
      </c>
      <c r="N957" s="71" t="str">
        <f aca="false">IF($K957="","",N($K957)*N($M957))</f>
        <v/>
      </c>
      <c r="O957" s="66" t="str">
        <f aca="false">IFERROR(INDEX(商品マスタ!$H$6:$H$1005,MATCH($F957,商品マスタ!$B$6:$B$1005,0)),"")</f>
        <v/>
      </c>
      <c r="P957" s="87" t="str">
        <f aca="false">IF(OR($E957="",$O957=""),"",WORKDAY($E957,$O957))</f>
        <v/>
      </c>
      <c r="Q957" s="80"/>
      <c r="R957" s="131"/>
      <c r="S957" s="69" t="n">
        <f aca="false">IF($Q957="入荷済み",N($L957),0)</f>
        <v>0</v>
      </c>
      <c r="T957" s="80"/>
      <c r="U957" s="80"/>
    </row>
    <row r="958" customFormat="false" ht="15" hidden="false" customHeight="false" outlineLevel="0" collapsed="false">
      <c r="B958" s="66" t="str">
        <f aca="false">IF(OR($E958="",$F958=""),"","PO-"&amp;TEXT($E958,"yyyymmdd")&amp;"-"&amp;TEXT(COUNTIFS($E$6:$E958,$E958,$C$6:$C958,$C958),"000"))</f>
        <v/>
      </c>
      <c r="C958" s="130"/>
      <c r="D958" s="66" t="str">
        <f aca="false">IFERROR(INDEX(定数マスタ!$C$6:$C$105,MATCH($C958,定数マスタ!$B$6:$B$105,0)),"")</f>
        <v/>
      </c>
      <c r="E958" s="131"/>
      <c r="F958" s="130"/>
      <c r="G958" s="66" t="str">
        <f aca="false">IFERROR(INDEX(商品マスタ!$C$6:$C$1005,MATCH($F958,商品マスタ!$B$6:$B$1005,0)),"")</f>
        <v/>
      </c>
      <c r="H958" s="66" t="str">
        <f aca="false">IFERROR(INDEX(商品マスタ!$E$6:$E$1005,MATCH($F958,商品マスタ!$B$6:$B$1005,0)),"")</f>
        <v/>
      </c>
      <c r="I958" s="69" t="str">
        <f aca="false">IFERROR(INDEX(商品マスタ!$F$6:$F$1005,MATCH($F958,商品マスタ!$B$6:$B$1005,0)),"")</f>
        <v/>
      </c>
      <c r="J958" s="69" t="str">
        <f aca="false">IF(OR($F958="",$C958&lt;&gt;'設定（最初に1回）'!$C$4),"",IFERROR(INDEX(発注計算!$Y$6:$Y$405,MATCH($F958,発注計算!$C$6:$C$405,0)),""))</f>
        <v/>
      </c>
      <c r="K958" s="70"/>
      <c r="L958" s="69" t="str">
        <f aca="false">IF($K958="","",N($K958)*N($I958))</f>
        <v/>
      </c>
      <c r="M958" s="71" t="str">
        <f aca="false">IFERROR(INDEX(商品マスタ!$G$6:$G$1005,MATCH($F958,商品マスタ!$B$6:$B$1005,0)),"")</f>
        <v/>
      </c>
      <c r="N958" s="71" t="str">
        <f aca="false">IF($K958="","",N($K958)*N($M958))</f>
        <v/>
      </c>
      <c r="O958" s="66" t="str">
        <f aca="false">IFERROR(INDEX(商品マスタ!$H$6:$H$1005,MATCH($F958,商品マスタ!$B$6:$B$1005,0)),"")</f>
        <v/>
      </c>
      <c r="P958" s="87" t="str">
        <f aca="false">IF(OR($E958="",$O958=""),"",WORKDAY($E958,$O958))</f>
        <v/>
      </c>
      <c r="Q958" s="80"/>
      <c r="R958" s="131"/>
      <c r="S958" s="69" t="n">
        <f aca="false">IF($Q958="入荷済み",N($L958),0)</f>
        <v>0</v>
      </c>
      <c r="T958" s="80"/>
      <c r="U958" s="80"/>
    </row>
    <row r="959" customFormat="false" ht="15" hidden="false" customHeight="false" outlineLevel="0" collapsed="false">
      <c r="B959" s="66" t="str">
        <f aca="false">IF(OR($E959="",$F959=""),"","PO-"&amp;TEXT($E959,"yyyymmdd")&amp;"-"&amp;TEXT(COUNTIFS($E$6:$E959,$E959,$C$6:$C959,$C959),"000"))</f>
        <v/>
      </c>
      <c r="C959" s="130"/>
      <c r="D959" s="66" t="str">
        <f aca="false">IFERROR(INDEX(定数マスタ!$C$6:$C$105,MATCH($C959,定数マスタ!$B$6:$B$105,0)),"")</f>
        <v/>
      </c>
      <c r="E959" s="131"/>
      <c r="F959" s="130"/>
      <c r="G959" s="66" t="str">
        <f aca="false">IFERROR(INDEX(商品マスタ!$C$6:$C$1005,MATCH($F959,商品マスタ!$B$6:$B$1005,0)),"")</f>
        <v/>
      </c>
      <c r="H959" s="66" t="str">
        <f aca="false">IFERROR(INDEX(商品マスタ!$E$6:$E$1005,MATCH($F959,商品マスタ!$B$6:$B$1005,0)),"")</f>
        <v/>
      </c>
      <c r="I959" s="69" t="str">
        <f aca="false">IFERROR(INDEX(商品マスタ!$F$6:$F$1005,MATCH($F959,商品マスタ!$B$6:$B$1005,0)),"")</f>
        <v/>
      </c>
      <c r="J959" s="69" t="str">
        <f aca="false">IF(OR($F959="",$C959&lt;&gt;'設定（最初に1回）'!$C$4),"",IFERROR(INDEX(発注計算!$Y$6:$Y$405,MATCH($F959,発注計算!$C$6:$C$405,0)),""))</f>
        <v/>
      </c>
      <c r="K959" s="70"/>
      <c r="L959" s="69" t="str">
        <f aca="false">IF($K959="","",N($K959)*N($I959))</f>
        <v/>
      </c>
      <c r="M959" s="71" t="str">
        <f aca="false">IFERROR(INDEX(商品マスタ!$G$6:$G$1005,MATCH($F959,商品マスタ!$B$6:$B$1005,0)),"")</f>
        <v/>
      </c>
      <c r="N959" s="71" t="str">
        <f aca="false">IF($K959="","",N($K959)*N($M959))</f>
        <v/>
      </c>
      <c r="O959" s="66" t="str">
        <f aca="false">IFERROR(INDEX(商品マスタ!$H$6:$H$1005,MATCH($F959,商品マスタ!$B$6:$B$1005,0)),"")</f>
        <v/>
      </c>
      <c r="P959" s="87" t="str">
        <f aca="false">IF(OR($E959="",$O959=""),"",WORKDAY($E959,$O959))</f>
        <v/>
      </c>
      <c r="Q959" s="80"/>
      <c r="R959" s="131"/>
      <c r="S959" s="69" t="n">
        <f aca="false">IF($Q959="入荷済み",N($L959),0)</f>
        <v>0</v>
      </c>
      <c r="T959" s="80"/>
      <c r="U959" s="80"/>
    </row>
    <row r="960" customFormat="false" ht="15" hidden="false" customHeight="false" outlineLevel="0" collapsed="false">
      <c r="B960" s="66" t="str">
        <f aca="false">IF(OR($E960="",$F960=""),"","PO-"&amp;TEXT($E960,"yyyymmdd")&amp;"-"&amp;TEXT(COUNTIFS($E$6:$E960,$E960,$C$6:$C960,$C960),"000"))</f>
        <v/>
      </c>
      <c r="C960" s="130"/>
      <c r="D960" s="66" t="str">
        <f aca="false">IFERROR(INDEX(定数マスタ!$C$6:$C$105,MATCH($C960,定数マスタ!$B$6:$B$105,0)),"")</f>
        <v/>
      </c>
      <c r="E960" s="131"/>
      <c r="F960" s="130"/>
      <c r="G960" s="66" t="str">
        <f aca="false">IFERROR(INDEX(商品マスタ!$C$6:$C$1005,MATCH($F960,商品マスタ!$B$6:$B$1005,0)),"")</f>
        <v/>
      </c>
      <c r="H960" s="66" t="str">
        <f aca="false">IFERROR(INDEX(商品マスタ!$E$6:$E$1005,MATCH($F960,商品マスタ!$B$6:$B$1005,0)),"")</f>
        <v/>
      </c>
      <c r="I960" s="69" t="str">
        <f aca="false">IFERROR(INDEX(商品マスタ!$F$6:$F$1005,MATCH($F960,商品マスタ!$B$6:$B$1005,0)),"")</f>
        <v/>
      </c>
      <c r="J960" s="69" t="str">
        <f aca="false">IF(OR($F960="",$C960&lt;&gt;'設定（最初に1回）'!$C$4),"",IFERROR(INDEX(発注計算!$Y$6:$Y$405,MATCH($F960,発注計算!$C$6:$C$405,0)),""))</f>
        <v/>
      </c>
      <c r="K960" s="70"/>
      <c r="L960" s="69" t="str">
        <f aca="false">IF($K960="","",N($K960)*N($I960))</f>
        <v/>
      </c>
      <c r="M960" s="71" t="str">
        <f aca="false">IFERROR(INDEX(商品マスタ!$G$6:$G$1005,MATCH($F960,商品マスタ!$B$6:$B$1005,0)),"")</f>
        <v/>
      </c>
      <c r="N960" s="71" t="str">
        <f aca="false">IF($K960="","",N($K960)*N($M960))</f>
        <v/>
      </c>
      <c r="O960" s="66" t="str">
        <f aca="false">IFERROR(INDEX(商品マスタ!$H$6:$H$1005,MATCH($F960,商品マスタ!$B$6:$B$1005,0)),"")</f>
        <v/>
      </c>
      <c r="P960" s="87" t="str">
        <f aca="false">IF(OR($E960="",$O960=""),"",WORKDAY($E960,$O960))</f>
        <v/>
      </c>
      <c r="Q960" s="80"/>
      <c r="R960" s="131"/>
      <c r="S960" s="69" t="n">
        <f aca="false">IF($Q960="入荷済み",N($L960),0)</f>
        <v>0</v>
      </c>
      <c r="T960" s="80"/>
      <c r="U960" s="80"/>
    </row>
    <row r="961" customFormat="false" ht="15" hidden="false" customHeight="false" outlineLevel="0" collapsed="false">
      <c r="B961" s="66" t="str">
        <f aca="false">IF(OR($E961="",$F961=""),"","PO-"&amp;TEXT($E961,"yyyymmdd")&amp;"-"&amp;TEXT(COUNTIFS($E$6:$E961,$E961,$C$6:$C961,$C961),"000"))</f>
        <v/>
      </c>
      <c r="C961" s="130"/>
      <c r="D961" s="66" t="str">
        <f aca="false">IFERROR(INDEX(定数マスタ!$C$6:$C$105,MATCH($C961,定数マスタ!$B$6:$B$105,0)),"")</f>
        <v/>
      </c>
      <c r="E961" s="131"/>
      <c r="F961" s="130"/>
      <c r="G961" s="66" t="str">
        <f aca="false">IFERROR(INDEX(商品マスタ!$C$6:$C$1005,MATCH($F961,商品マスタ!$B$6:$B$1005,0)),"")</f>
        <v/>
      </c>
      <c r="H961" s="66" t="str">
        <f aca="false">IFERROR(INDEX(商品マスタ!$E$6:$E$1005,MATCH($F961,商品マスタ!$B$6:$B$1005,0)),"")</f>
        <v/>
      </c>
      <c r="I961" s="69" t="str">
        <f aca="false">IFERROR(INDEX(商品マスタ!$F$6:$F$1005,MATCH($F961,商品マスタ!$B$6:$B$1005,0)),"")</f>
        <v/>
      </c>
      <c r="J961" s="69" t="str">
        <f aca="false">IF(OR($F961="",$C961&lt;&gt;'設定（最初に1回）'!$C$4),"",IFERROR(INDEX(発注計算!$Y$6:$Y$405,MATCH($F961,発注計算!$C$6:$C$405,0)),""))</f>
        <v/>
      </c>
      <c r="K961" s="70"/>
      <c r="L961" s="69" t="str">
        <f aca="false">IF($K961="","",N($K961)*N($I961))</f>
        <v/>
      </c>
      <c r="M961" s="71" t="str">
        <f aca="false">IFERROR(INDEX(商品マスタ!$G$6:$G$1005,MATCH($F961,商品マスタ!$B$6:$B$1005,0)),"")</f>
        <v/>
      </c>
      <c r="N961" s="71" t="str">
        <f aca="false">IF($K961="","",N($K961)*N($M961))</f>
        <v/>
      </c>
      <c r="O961" s="66" t="str">
        <f aca="false">IFERROR(INDEX(商品マスタ!$H$6:$H$1005,MATCH($F961,商品マスタ!$B$6:$B$1005,0)),"")</f>
        <v/>
      </c>
      <c r="P961" s="87" t="str">
        <f aca="false">IF(OR($E961="",$O961=""),"",WORKDAY($E961,$O961))</f>
        <v/>
      </c>
      <c r="Q961" s="80"/>
      <c r="R961" s="131"/>
      <c r="S961" s="69" t="n">
        <f aca="false">IF($Q961="入荷済み",N($L961),0)</f>
        <v>0</v>
      </c>
      <c r="T961" s="80"/>
      <c r="U961" s="80"/>
    </row>
    <row r="962" customFormat="false" ht="15" hidden="false" customHeight="false" outlineLevel="0" collapsed="false">
      <c r="B962" s="66" t="str">
        <f aca="false">IF(OR($E962="",$F962=""),"","PO-"&amp;TEXT($E962,"yyyymmdd")&amp;"-"&amp;TEXT(COUNTIFS($E$6:$E962,$E962,$C$6:$C962,$C962),"000"))</f>
        <v/>
      </c>
      <c r="C962" s="130"/>
      <c r="D962" s="66" t="str">
        <f aca="false">IFERROR(INDEX(定数マスタ!$C$6:$C$105,MATCH($C962,定数マスタ!$B$6:$B$105,0)),"")</f>
        <v/>
      </c>
      <c r="E962" s="131"/>
      <c r="F962" s="130"/>
      <c r="G962" s="66" t="str">
        <f aca="false">IFERROR(INDEX(商品マスタ!$C$6:$C$1005,MATCH($F962,商品マスタ!$B$6:$B$1005,0)),"")</f>
        <v/>
      </c>
      <c r="H962" s="66" t="str">
        <f aca="false">IFERROR(INDEX(商品マスタ!$E$6:$E$1005,MATCH($F962,商品マスタ!$B$6:$B$1005,0)),"")</f>
        <v/>
      </c>
      <c r="I962" s="69" t="str">
        <f aca="false">IFERROR(INDEX(商品マスタ!$F$6:$F$1005,MATCH($F962,商品マスタ!$B$6:$B$1005,0)),"")</f>
        <v/>
      </c>
      <c r="J962" s="69" t="str">
        <f aca="false">IF(OR($F962="",$C962&lt;&gt;'設定（最初に1回）'!$C$4),"",IFERROR(INDEX(発注計算!$Y$6:$Y$405,MATCH($F962,発注計算!$C$6:$C$405,0)),""))</f>
        <v/>
      </c>
      <c r="K962" s="70"/>
      <c r="L962" s="69" t="str">
        <f aca="false">IF($K962="","",N($K962)*N($I962))</f>
        <v/>
      </c>
      <c r="M962" s="71" t="str">
        <f aca="false">IFERROR(INDEX(商品マスタ!$G$6:$G$1005,MATCH($F962,商品マスタ!$B$6:$B$1005,0)),"")</f>
        <v/>
      </c>
      <c r="N962" s="71" t="str">
        <f aca="false">IF($K962="","",N($K962)*N($M962))</f>
        <v/>
      </c>
      <c r="O962" s="66" t="str">
        <f aca="false">IFERROR(INDEX(商品マスタ!$H$6:$H$1005,MATCH($F962,商品マスタ!$B$6:$B$1005,0)),"")</f>
        <v/>
      </c>
      <c r="P962" s="87" t="str">
        <f aca="false">IF(OR($E962="",$O962=""),"",WORKDAY($E962,$O962))</f>
        <v/>
      </c>
      <c r="Q962" s="80"/>
      <c r="R962" s="131"/>
      <c r="S962" s="69" t="n">
        <f aca="false">IF($Q962="入荷済み",N($L962),0)</f>
        <v>0</v>
      </c>
      <c r="T962" s="80"/>
      <c r="U962" s="80"/>
    </row>
    <row r="963" customFormat="false" ht="15" hidden="false" customHeight="false" outlineLevel="0" collapsed="false">
      <c r="B963" s="66" t="str">
        <f aca="false">IF(OR($E963="",$F963=""),"","PO-"&amp;TEXT($E963,"yyyymmdd")&amp;"-"&amp;TEXT(COUNTIFS($E$6:$E963,$E963,$C$6:$C963,$C963),"000"))</f>
        <v/>
      </c>
      <c r="C963" s="130"/>
      <c r="D963" s="66" t="str">
        <f aca="false">IFERROR(INDEX(定数マスタ!$C$6:$C$105,MATCH($C963,定数マスタ!$B$6:$B$105,0)),"")</f>
        <v/>
      </c>
      <c r="E963" s="131"/>
      <c r="F963" s="130"/>
      <c r="G963" s="66" t="str">
        <f aca="false">IFERROR(INDEX(商品マスタ!$C$6:$C$1005,MATCH($F963,商品マスタ!$B$6:$B$1005,0)),"")</f>
        <v/>
      </c>
      <c r="H963" s="66" t="str">
        <f aca="false">IFERROR(INDEX(商品マスタ!$E$6:$E$1005,MATCH($F963,商品マスタ!$B$6:$B$1005,0)),"")</f>
        <v/>
      </c>
      <c r="I963" s="69" t="str">
        <f aca="false">IFERROR(INDEX(商品マスタ!$F$6:$F$1005,MATCH($F963,商品マスタ!$B$6:$B$1005,0)),"")</f>
        <v/>
      </c>
      <c r="J963" s="69" t="str">
        <f aca="false">IF(OR($F963="",$C963&lt;&gt;'設定（最初に1回）'!$C$4),"",IFERROR(INDEX(発注計算!$Y$6:$Y$405,MATCH($F963,発注計算!$C$6:$C$405,0)),""))</f>
        <v/>
      </c>
      <c r="K963" s="70"/>
      <c r="L963" s="69" t="str">
        <f aca="false">IF($K963="","",N($K963)*N($I963))</f>
        <v/>
      </c>
      <c r="M963" s="71" t="str">
        <f aca="false">IFERROR(INDEX(商品マスタ!$G$6:$G$1005,MATCH($F963,商品マスタ!$B$6:$B$1005,0)),"")</f>
        <v/>
      </c>
      <c r="N963" s="71" t="str">
        <f aca="false">IF($K963="","",N($K963)*N($M963))</f>
        <v/>
      </c>
      <c r="O963" s="66" t="str">
        <f aca="false">IFERROR(INDEX(商品マスタ!$H$6:$H$1005,MATCH($F963,商品マスタ!$B$6:$B$1005,0)),"")</f>
        <v/>
      </c>
      <c r="P963" s="87" t="str">
        <f aca="false">IF(OR($E963="",$O963=""),"",WORKDAY($E963,$O963))</f>
        <v/>
      </c>
      <c r="Q963" s="80"/>
      <c r="R963" s="131"/>
      <c r="S963" s="69" t="n">
        <f aca="false">IF($Q963="入荷済み",N($L963),0)</f>
        <v>0</v>
      </c>
      <c r="T963" s="80"/>
      <c r="U963" s="80"/>
    </row>
    <row r="964" customFormat="false" ht="15" hidden="false" customHeight="false" outlineLevel="0" collapsed="false">
      <c r="B964" s="66" t="str">
        <f aca="false">IF(OR($E964="",$F964=""),"","PO-"&amp;TEXT($E964,"yyyymmdd")&amp;"-"&amp;TEXT(COUNTIFS($E$6:$E964,$E964,$C$6:$C964,$C964),"000"))</f>
        <v/>
      </c>
      <c r="C964" s="130"/>
      <c r="D964" s="66" t="str">
        <f aca="false">IFERROR(INDEX(定数マスタ!$C$6:$C$105,MATCH($C964,定数マスタ!$B$6:$B$105,0)),"")</f>
        <v/>
      </c>
      <c r="E964" s="131"/>
      <c r="F964" s="130"/>
      <c r="G964" s="66" t="str">
        <f aca="false">IFERROR(INDEX(商品マスタ!$C$6:$C$1005,MATCH($F964,商品マスタ!$B$6:$B$1005,0)),"")</f>
        <v/>
      </c>
      <c r="H964" s="66" t="str">
        <f aca="false">IFERROR(INDEX(商品マスタ!$E$6:$E$1005,MATCH($F964,商品マスタ!$B$6:$B$1005,0)),"")</f>
        <v/>
      </c>
      <c r="I964" s="69" t="str">
        <f aca="false">IFERROR(INDEX(商品マスタ!$F$6:$F$1005,MATCH($F964,商品マスタ!$B$6:$B$1005,0)),"")</f>
        <v/>
      </c>
      <c r="J964" s="69" t="str">
        <f aca="false">IF(OR($F964="",$C964&lt;&gt;'設定（最初に1回）'!$C$4),"",IFERROR(INDEX(発注計算!$Y$6:$Y$405,MATCH($F964,発注計算!$C$6:$C$405,0)),""))</f>
        <v/>
      </c>
      <c r="K964" s="70"/>
      <c r="L964" s="69" t="str">
        <f aca="false">IF($K964="","",N($K964)*N($I964))</f>
        <v/>
      </c>
      <c r="M964" s="71" t="str">
        <f aca="false">IFERROR(INDEX(商品マスタ!$G$6:$G$1005,MATCH($F964,商品マスタ!$B$6:$B$1005,0)),"")</f>
        <v/>
      </c>
      <c r="N964" s="71" t="str">
        <f aca="false">IF($K964="","",N($K964)*N($M964))</f>
        <v/>
      </c>
      <c r="O964" s="66" t="str">
        <f aca="false">IFERROR(INDEX(商品マスタ!$H$6:$H$1005,MATCH($F964,商品マスタ!$B$6:$B$1005,0)),"")</f>
        <v/>
      </c>
      <c r="P964" s="87" t="str">
        <f aca="false">IF(OR($E964="",$O964=""),"",WORKDAY($E964,$O964))</f>
        <v/>
      </c>
      <c r="Q964" s="80"/>
      <c r="R964" s="131"/>
      <c r="S964" s="69" t="n">
        <f aca="false">IF($Q964="入荷済み",N($L964),0)</f>
        <v>0</v>
      </c>
      <c r="T964" s="80"/>
      <c r="U964" s="80"/>
    </row>
    <row r="965" customFormat="false" ht="15" hidden="false" customHeight="false" outlineLevel="0" collapsed="false">
      <c r="B965" s="66" t="str">
        <f aca="false">IF(OR($E965="",$F965=""),"","PO-"&amp;TEXT($E965,"yyyymmdd")&amp;"-"&amp;TEXT(COUNTIFS($E$6:$E965,$E965,$C$6:$C965,$C965),"000"))</f>
        <v/>
      </c>
      <c r="C965" s="130"/>
      <c r="D965" s="66" t="str">
        <f aca="false">IFERROR(INDEX(定数マスタ!$C$6:$C$105,MATCH($C965,定数マスタ!$B$6:$B$105,0)),"")</f>
        <v/>
      </c>
      <c r="E965" s="131"/>
      <c r="F965" s="130"/>
      <c r="G965" s="66" t="str">
        <f aca="false">IFERROR(INDEX(商品マスタ!$C$6:$C$1005,MATCH($F965,商品マスタ!$B$6:$B$1005,0)),"")</f>
        <v/>
      </c>
      <c r="H965" s="66" t="str">
        <f aca="false">IFERROR(INDEX(商品マスタ!$E$6:$E$1005,MATCH($F965,商品マスタ!$B$6:$B$1005,0)),"")</f>
        <v/>
      </c>
      <c r="I965" s="69" t="str">
        <f aca="false">IFERROR(INDEX(商品マスタ!$F$6:$F$1005,MATCH($F965,商品マスタ!$B$6:$B$1005,0)),"")</f>
        <v/>
      </c>
      <c r="J965" s="69" t="str">
        <f aca="false">IF(OR($F965="",$C965&lt;&gt;'設定（最初に1回）'!$C$4),"",IFERROR(INDEX(発注計算!$Y$6:$Y$405,MATCH($F965,発注計算!$C$6:$C$405,0)),""))</f>
        <v/>
      </c>
      <c r="K965" s="70"/>
      <c r="L965" s="69" t="str">
        <f aca="false">IF($K965="","",N($K965)*N($I965))</f>
        <v/>
      </c>
      <c r="M965" s="71" t="str">
        <f aca="false">IFERROR(INDEX(商品マスタ!$G$6:$G$1005,MATCH($F965,商品マスタ!$B$6:$B$1005,0)),"")</f>
        <v/>
      </c>
      <c r="N965" s="71" t="str">
        <f aca="false">IF($K965="","",N($K965)*N($M965))</f>
        <v/>
      </c>
      <c r="O965" s="66" t="str">
        <f aca="false">IFERROR(INDEX(商品マスタ!$H$6:$H$1005,MATCH($F965,商品マスタ!$B$6:$B$1005,0)),"")</f>
        <v/>
      </c>
      <c r="P965" s="87" t="str">
        <f aca="false">IF(OR($E965="",$O965=""),"",WORKDAY($E965,$O965))</f>
        <v/>
      </c>
      <c r="Q965" s="80"/>
      <c r="R965" s="131"/>
      <c r="S965" s="69" t="n">
        <f aca="false">IF($Q965="入荷済み",N($L965),0)</f>
        <v>0</v>
      </c>
      <c r="T965" s="80"/>
      <c r="U965" s="80"/>
    </row>
    <row r="966" customFormat="false" ht="15" hidden="false" customHeight="false" outlineLevel="0" collapsed="false">
      <c r="B966" s="66" t="str">
        <f aca="false">IF(OR($E966="",$F966=""),"","PO-"&amp;TEXT($E966,"yyyymmdd")&amp;"-"&amp;TEXT(COUNTIFS($E$6:$E966,$E966,$C$6:$C966,$C966),"000"))</f>
        <v/>
      </c>
      <c r="C966" s="130"/>
      <c r="D966" s="66" t="str">
        <f aca="false">IFERROR(INDEX(定数マスタ!$C$6:$C$105,MATCH($C966,定数マスタ!$B$6:$B$105,0)),"")</f>
        <v/>
      </c>
      <c r="E966" s="131"/>
      <c r="F966" s="130"/>
      <c r="G966" s="66" t="str">
        <f aca="false">IFERROR(INDEX(商品マスタ!$C$6:$C$1005,MATCH($F966,商品マスタ!$B$6:$B$1005,0)),"")</f>
        <v/>
      </c>
      <c r="H966" s="66" t="str">
        <f aca="false">IFERROR(INDEX(商品マスタ!$E$6:$E$1005,MATCH($F966,商品マスタ!$B$6:$B$1005,0)),"")</f>
        <v/>
      </c>
      <c r="I966" s="69" t="str">
        <f aca="false">IFERROR(INDEX(商品マスタ!$F$6:$F$1005,MATCH($F966,商品マスタ!$B$6:$B$1005,0)),"")</f>
        <v/>
      </c>
      <c r="J966" s="69" t="str">
        <f aca="false">IF(OR($F966="",$C966&lt;&gt;'設定（最初に1回）'!$C$4),"",IFERROR(INDEX(発注計算!$Y$6:$Y$405,MATCH($F966,発注計算!$C$6:$C$405,0)),""))</f>
        <v/>
      </c>
      <c r="K966" s="70"/>
      <c r="L966" s="69" t="str">
        <f aca="false">IF($K966="","",N($K966)*N($I966))</f>
        <v/>
      </c>
      <c r="M966" s="71" t="str">
        <f aca="false">IFERROR(INDEX(商品マスタ!$G$6:$G$1005,MATCH($F966,商品マスタ!$B$6:$B$1005,0)),"")</f>
        <v/>
      </c>
      <c r="N966" s="71" t="str">
        <f aca="false">IF($K966="","",N($K966)*N($M966))</f>
        <v/>
      </c>
      <c r="O966" s="66" t="str">
        <f aca="false">IFERROR(INDEX(商品マスタ!$H$6:$H$1005,MATCH($F966,商品マスタ!$B$6:$B$1005,0)),"")</f>
        <v/>
      </c>
      <c r="P966" s="87" t="str">
        <f aca="false">IF(OR($E966="",$O966=""),"",WORKDAY($E966,$O966))</f>
        <v/>
      </c>
      <c r="Q966" s="80"/>
      <c r="R966" s="131"/>
      <c r="S966" s="69" t="n">
        <f aca="false">IF($Q966="入荷済み",N($L966),0)</f>
        <v>0</v>
      </c>
      <c r="T966" s="80"/>
      <c r="U966" s="80"/>
    </row>
    <row r="967" customFormat="false" ht="15" hidden="false" customHeight="false" outlineLevel="0" collapsed="false">
      <c r="B967" s="66" t="str">
        <f aca="false">IF(OR($E967="",$F967=""),"","PO-"&amp;TEXT($E967,"yyyymmdd")&amp;"-"&amp;TEXT(COUNTIFS($E$6:$E967,$E967,$C$6:$C967,$C967),"000"))</f>
        <v/>
      </c>
      <c r="C967" s="130"/>
      <c r="D967" s="66" t="str">
        <f aca="false">IFERROR(INDEX(定数マスタ!$C$6:$C$105,MATCH($C967,定数マスタ!$B$6:$B$105,0)),"")</f>
        <v/>
      </c>
      <c r="E967" s="131"/>
      <c r="F967" s="130"/>
      <c r="G967" s="66" t="str">
        <f aca="false">IFERROR(INDEX(商品マスタ!$C$6:$C$1005,MATCH($F967,商品マスタ!$B$6:$B$1005,0)),"")</f>
        <v/>
      </c>
      <c r="H967" s="66" t="str">
        <f aca="false">IFERROR(INDEX(商品マスタ!$E$6:$E$1005,MATCH($F967,商品マスタ!$B$6:$B$1005,0)),"")</f>
        <v/>
      </c>
      <c r="I967" s="69" t="str">
        <f aca="false">IFERROR(INDEX(商品マスタ!$F$6:$F$1005,MATCH($F967,商品マスタ!$B$6:$B$1005,0)),"")</f>
        <v/>
      </c>
      <c r="J967" s="69" t="str">
        <f aca="false">IF(OR($F967="",$C967&lt;&gt;'設定（最初に1回）'!$C$4),"",IFERROR(INDEX(発注計算!$Y$6:$Y$405,MATCH($F967,発注計算!$C$6:$C$405,0)),""))</f>
        <v/>
      </c>
      <c r="K967" s="70"/>
      <c r="L967" s="69" t="str">
        <f aca="false">IF($K967="","",N($K967)*N($I967))</f>
        <v/>
      </c>
      <c r="M967" s="71" t="str">
        <f aca="false">IFERROR(INDEX(商品マスタ!$G$6:$G$1005,MATCH($F967,商品マスタ!$B$6:$B$1005,0)),"")</f>
        <v/>
      </c>
      <c r="N967" s="71" t="str">
        <f aca="false">IF($K967="","",N($K967)*N($M967))</f>
        <v/>
      </c>
      <c r="O967" s="66" t="str">
        <f aca="false">IFERROR(INDEX(商品マスタ!$H$6:$H$1005,MATCH($F967,商品マスタ!$B$6:$B$1005,0)),"")</f>
        <v/>
      </c>
      <c r="P967" s="87" t="str">
        <f aca="false">IF(OR($E967="",$O967=""),"",WORKDAY($E967,$O967))</f>
        <v/>
      </c>
      <c r="Q967" s="80"/>
      <c r="R967" s="131"/>
      <c r="S967" s="69" t="n">
        <f aca="false">IF($Q967="入荷済み",N($L967),0)</f>
        <v>0</v>
      </c>
      <c r="T967" s="80"/>
      <c r="U967" s="80"/>
    </row>
    <row r="968" customFormat="false" ht="15" hidden="false" customHeight="false" outlineLevel="0" collapsed="false">
      <c r="B968" s="66" t="str">
        <f aca="false">IF(OR($E968="",$F968=""),"","PO-"&amp;TEXT($E968,"yyyymmdd")&amp;"-"&amp;TEXT(COUNTIFS($E$6:$E968,$E968,$C$6:$C968,$C968),"000"))</f>
        <v/>
      </c>
      <c r="C968" s="130"/>
      <c r="D968" s="66" t="str">
        <f aca="false">IFERROR(INDEX(定数マスタ!$C$6:$C$105,MATCH($C968,定数マスタ!$B$6:$B$105,0)),"")</f>
        <v/>
      </c>
      <c r="E968" s="131"/>
      <c r="F968" s="130"/>
      <c r="G968" s="66" t="str">
        <f aca="false">IFERROR(INDEX(商品マスタ!$C$6:$C$1005,MATCH($F968,商品マスタ!$B$6:$B$1005,0)),"")</f>
        <v/>
      </c>
      <c r="H968" s="66" t="str">
        <f aca="false">IFERROR(INDEX(商品マスタ!$E$6:$E$1005,MATCH($F968,商品マスタ!$B$6:$B$1005,0)),"")</f>
        <v/>
      </c>
      <c r="I968" s="69" t="str">
        <f aca="false">IFERROR(INDEX(商品マスタ!$F$6:$F$1005,MATCH($F968,商品マスタ!$B$6:$B$1005,0)),"")</f>
        <v/>
      </c>
      <c r="J968" s="69" t="str">
        <f aca="false">IF(OR($F968="",$C968&lt;&gt;'設定（最初に1回）'!$C$4),"",IFERROR(INDEX(発注計算!$Y$6:$Y$405,MATCH($F968,発注計算!$C$6:$C$405,0)),""))</f>
        <v/>
      </c>
      <c r="K968" s="70"/>
      <c r="L968" s="69" t="str">
        <f aca="false">IF($K968="","",N($K968)*N($I968))</f>
        <v/>
      </c>
      <c r="M968" s="71" t="str">
        <f aca="false">IFERROR(INDEX(商品マスタ!$G$6:$G$1005,MATCH($F968,商品マスタ!$B$6:$B$1005,0)),"")</f>
        <v/>
      </c>
      <c r="N968" s="71" t="str">
        <f aca="false">IF($K968="","",N($K968)*N($M968))</f>
        <v/>
      </c>
      <c r="O968" s="66" t="str">
        <f aca="false">IFERROR(INDEX(商品マスタ!$H$6:$H$1005,MATCH($F968,商品マスタ!$B$6:$B$1005,0)),"")</f>
        <v/>
      </c>
      <c r="P968" s="87" t="str">
        <f aca="false">IF(OR($E968="",$O968=""),"",WORKDAY($E968,$O968))</f>
        <v/>
      </c>
      <c r="Q968" s="80"/>
      <c r="R968" s="131"/>
      <c r="S968" s="69" t="n">
        <f aca="false">IF($Q968="入荷済み",N($L968),0)</f>
        <v>0</v>
      </c>
      <c r="T968" s="80"/>
      <c r="U968" s="80"/>
    </row>
    <row r="969" customFormat="false" ht="15" hidden="false" customHeight="false" outlineLevel="0" collapsed="false">
      <c r="B969" s="66" t="str">
        <f aca="false">IF(OR($E969="",$F969=""),"","PO-"&amp;TEXT($E969,"yyyymmdd")&amp;"-"&amp;TEXT(COUNTIFS($E$6:$E969,$E969,$C$6:$C969,$C969),"000"))</f>
        <v/>
      </c>
      <c r="C969" s="130"/>
      <c r="D969" s="66" t="str">
        <f aca="false">IFERROR(INDEX(定数マスタ!$C$6:$C$105,MATCH($C969,定数マスタ!$B$6:$B$105,0)),"")</f>
        <v/>
      </c>
      <c r="E969" s="131"/>
      <c r="F969" s="130"/>
      <c r="G969" s="66" t="str">
        <f aca="false">IFERROR(INDEX(商品マスタ!$C$6:$C$1005,MATCH($F969,商品マスタ!$B$6:$B$1005,0)),"")</f>
        <v/>
      </c>
      <c r="H969" s="66" t="str">
        <f aca="false">IFERROR(INDEX(商品マスタ!$E$6:$E$1005,MATCH($F969,商品マスタ!$B$6:$B$1005,0)),"")</f>
        <v/>
      </c>
      <c r="I969" s="69" t="str">
        <f aca="false">IFERROR(INDEX(商品マスタ!$F$6:$F$1005,MATCH($F969,商品マスタ!$B$6:$B$1005,0)),"")</f>
        <v/>
      </c>
      <c r="J969" s="69" t="str">
        <f aca="false">IF(OR($F969="",$C969&lt;&gt;'設定（最初に1回）'!$C$4),"",IFERROR(INDEX(発注計算!$Y$6:$Y$405,MATCH($F969,発注計算!$C$6:$C$405,0)),""))</f>
        <v/>
      </c>
      <c r="K969" s="70"/>
      <c r="L969" s="69" t="str">
        <f aca="false">IF($K969="","",N($K969)*N($I969))</f>
        <v/>
      </c>
      <c r="M969" s="71" t="str">
        <f aca="false">IFERROR(INDEX(商品マスタ!$G$6:$G$1005,MATCH($F969,商品マスタ!$B$6:$B$1005,0)),"")</f>
        <v/>
      </c>
      <c r="N969" s="71" t="str">
        <f aca="false">IF($K969="","",N($K969)*N($M969))</f>
        <v/>
      </c>
      <c r="O969" s="66" t="str">
        <f aca="false">IFERROR(INDEX(商品マスタ!$H$6:$H$1005,MATCH($F969,商品マスタ!$B$6:$B$1005,0)),"")</f>
        <v/>
      </c>
      <c r="P969" s="87" t="str">
        <f aca="false">IF(OR($E969="",$O969=""),"",WORKDAY($E969,$O969))</f>
        <v/>
      </c>
      <c r="Q969" s="80"/>
      <c r="R969" s="131"/>
      <c r="S969" s="69" t="n">
        <f aca="false">IF($Q969="入荷済み",N($L969),0)</f>
        <v>0</v>
      </c>
      <c r="T969" s="80"/>
      <c r="U969" s="80"/>
    </row>
    <row r="970" customFormat="false" ht="15" hidden="false" customHeight="false" outlineLevel="0" collapsed="false">
      <c r="B970" s="66" t="str">
        <f aca="false">IF(OR($E970="",$F970=""),"","PO-"&amp;TEXT($E970,"yyyymmdd")&amp;"-"&amp;TEXT(COUNTIFS($E$6:$E970,$E970,$C$6:$C970,$C970),"000"))</f>
        <v/>
      </c>
      <c r="C970" s="130"/>
      <c r="D970" s="66" t="str">
        <f aca="false">IFERROR(INDEX(定数マスタ!$C$6:$C$105,MATCH($C970,定数マスタ!$B$6:$B$105,0)),"")</f>
        <v/>
      </c>
      <c r="E970" s="131"/>
      <c r="F970" s="130"/>
      <c r="G970" s="66" t="str">
        <f aca="false">IFERROR(INDEX(商品マスタ!$C$6:$C$1005,MATCH($F970,商品マスタ!$B$6:$B$1005,0)),"")</f>
        <v/>
      </c>
      <c r="H970" s="66" t="str">
        <f aca="false">IFERROR(INDEX(商品マスタ!$E$6:$E$1005,MATCH($F970,商品マスタ!$B$6:$B$1005,0)),"")</f>
        <v/>
      </c>
      <c r="I970" s="69" t="str">
        <f aca="false">IFERROR(INDEX(商品マスタ!$F$6:$F$1005,MATCH($F970,商品マスタ!$B$6:$B$1005,0)),"")</f>
        <v/>
      </c>
      <c r="J970" s="69" t="str">
        <f aca="false">IF(OR($F970="",$C970&lt;&gt;'設定（最初に1回）'!$C$4),"",IFERROR(INDEX(発注計算!$Y$6:$Y$405,MATCH($F970,発注計算!$C$6:$C$405,0)),""))</f>
        <v/>
      </c>
      <c r="K970" s="70"/>
      <c r="L970" s="69" t="str">
        <f aca="false">IF($K970="","",N($K970)*N($I970))</f>
        <v/>
      </c>
      <c r="M970" s="71" t="str">
        <f aca="false">IFERROR(INDEX(商品マスタ!$G$6:$G$1005,MATCH($F970,商品マスタ!$B$6:$B$1005,0)),"")</f>
        <v/>
      </c>
      <c r="N970" s="71" t="str">
        <f aca="false">IF($K970="","",N($K970)*N($M970))</f>
        <v/>
      </c>
      <c r="O970" s="66" t="str">
        <f aca="false">IFERROR(INDEX(商品マスタ!$H$6:$H$1005,MATCH($F970,商品マスタ!$B$6:$B$1005,0)),"")</f>
        <v/>
      </c>
      <c r="P970" s="87" t="str">
        <f aca="false">IF(OR($E970="",$O970=""),"",WORKDAY($E970,$O970))</f>
        <v/>
      </c>
      <c r="Q970" s="80"/>
      <c r="R970" s="131"/>
      <c r="S970" s="69" t="n">
        <f aca="false">IF($Q970="入荷済み",N($L970),0)</f>
        <v>0</v>
      </c>
      <c r="T970" s="80"/>
      <c r="U970" s="80"/>
    </row>
    <row r="971" customFormat="false" ht="15" hidden="false" customHeight="false" outlineLevel="0" collapsed="false">
      <c r="B971" s="66" t="str">
        <f aca="false">IF(OR($E971="",$F971=""),"","PO-"&amp;TEXT($E971,"yyyymmdd")&amp;"-"&amp;TEXT(COUNTIFS($E$6:$E971,$E971,$C$6:$C971,$C971),"000"))</f>
        <v/>
      </c>
      <c r="C971" s="130"/>
      <c r="D971" s="66" t="str">
        <f aca="false">IFERROR(INDEX(定数マスタ!$C$6:$C$105,MATCH($C971,定数マスタ!$B$6:$B$105,0)),"")</f>
        <v/>
      </c>
      <c r="E971" s="131"/>
      <c r="F971" s="130"/>
      <c r="G971" s="66" t="str">
        <f aca="false">IFERROR(INDEX(商品マスタ!$C$6:$C$1005,MATCH($F971,商品マスタ!$B$6:$B$1005,0)),"")</f>
        <v/>
      </c>
      <c r="H971" s="66" t="str">
        <f aca="false">IFERROR(INDEX(商品マスタ!$E$6:$E$1005,MATCH($F971,商品マスタ!$B$6:$B$1005,0)),"")</f>
        <v/>
      </c>
      <c r="I971" s="69" t="str">
        <f aca="false">IFERROR(INDEX(商品マスタ!$F$6:$F$1005,MATCH($F971,商品マスタ!$B$6:$B$1005,0)),"")</f>
        <v/>
      </c>
      <c r="J971" s="69" t="str">
        <f aca="false">IF(OR($F971="",$C971&lt;&gt;'設定（最初に1回）'!$C$4),"",IFERROR(INDEX(発注計算!$Y$6:$Y$405,MATCH($F971,発注計算!$C$6:$C$405,0)),""))</f>
        <v/>
      </c>
      <c r="K971" s="70"/>
      <c r="L971" s="69" t="str">
        <f aca="false">IF($K971="","",N($K971)*N($I971))</f>
        <v/>
      </c>
      <c r="M971" s="71" t="str">
        <f aca="false">IFERROR(INDEX(商品マスタ!$G$6:$G$1005,MATCH($F971,商品マスタ!$B$6:$B$1005,0)),"")</f>
        <v/>
      </c>
      <c r="N971" s="71" t="str">
        <f aca="false">IF($K971="","",N($K971)*N($M971))</f>
        <v/>
      </c>
      <c r="O971" s="66" t="str">
        <f aca="false">IFERROR(INDEX(商品マスタ!$H$6:$H$1005,MATCH($F971,商品マスタ!$B$6:$B$1005,0)),"")</f>
        <v/>
      </c>
      <c r="P971" s="87" t="str">
        <f aca="false">IF(OR($E971="",$O971=""),"",WORKDAY($E971,$O971))</f>
        <v/>
      </c>
      <c r="Q971" s="80"/>
      <c r="R971" s="131"/>
      <c r="S971" s="69" t="n">
        <f aca="false">IF($Q971="入荷済み",N($L971),0)</f>
        <v>0</v>
      </c>
      <c r="T971" s="80"/>
      <c r="U971" s="80"/>
    </row>
    <row r="972" customFormat="false" ht="15" hidden="false" customHeight="false" outlineLevel="0" collapsed="false">
      <c r="B972" s="66" t="str">
        <f aca="false">IF(OR($E972="",$F972=""),"","PO-"&amp;TEXT($E972,"yyyymmdd")&amp;"-"&amp;TEXT(COUNTIFS($E$6:$E972,$E972,$C$6:$C972,$C972),"000"))</f>
        <v/>
      </c>
      <c r="C972" s="130"/>
      <c r="D972" s="66" t="str">
        <f aca="false">IFERROR(INDEX(定数マスタ!$C$6:$C$105,MATCH($C972,定数マスタ!$B$6:$B$105,0)),"")</f>
        <v/>
      </c>
      <c r="E972" s="131"/>
      <c r="F972" s="130"/>
      <c r="G972" s="66" t="str">
        <f aca="false">IFERROR(INDEX(商品マスタ!$C$6:$C$1005,MATCH($F972,商品マスタ!$B$6:$B$1005,0)),"")</f>
        <v/>
      </c>
      <c r="H972" s="66" t="str">
        <f aca="false">IFERROR(INDEX(商品マスタ!$E$6:$E$1005,MATCH($F972,商品マスタ!$B$6:$B$1005,0)),"")</f>
        <v/>
      </c>
      <c r="I972" s="69" t="str">
        <f aca="false">IFERROR(INDEX(商品マスタ!$F$6:$F$1005,MATCH($F972,商品マスタ!$B$6:$B$1005,0)),"")</f>
        <v/>
      </c>
      <c r="J972" s="69" t="str">
        <f aca="false">IF(OR($F972="",$C972&lt;&gt;'設定（最初に1回）'!$C$4),"",IFERROR(INDEX(発注計算!$Y$6:$Y$405,MATCH($F972,発注計算!$C$6:$C$405,0)),""))</f>
        <v/>
      </c>
      <c r="K972" s="70"/>
      <c r="L972" s="69" t="str">
        <f aca="false">IF($K972="","",N($K972)*N($I972))</f>
        <v/>
      </c>
      <c r="M972" s="71" t="str">
        <f aca="false">IFERROR(INDEX(商品マスタ!$G$6:$G$1005,MATCH($F972,商品マスタ!$B$6:$B$1005,0)),"")</f>
        <v/>
      </c>
      <c r="N972" s="71" t="str">
        <f aca="false">IF($K972="","",N($K972)*N($M972))</f>
        <v/>
      </c>
      <c r="O972" s="66" t="str">
        <f aca="false">IFERROR(INDEX(商品マスタ!$H$6:$H$1005,MATCH($F972,商品マスタ!$B$6:$B$1005,0)),"")</f>
        <v/>
      </c>
      <c r="P972" s="87" t="str">
        <f aca="false">IF(OR($E972="",$O972=""),"",WORKDAY($E972,$O972))</f>
        <v/>
      </c>
      <c r="Q972" s="80"/>
      <c r="R972" s="131"/>
      <c r="S972" s="69" t="n">
        <f aca="false">IF($Q972="入荷済み",N($L972),0)</f>
        <v>0</v>
      </c>
      <c r="T972" s="80"/>
      <c r="U972" s="80"/>
    </row>
    <row r="973" customFormat="false" ht="15" hidden="false" customHeight="false" outlineLevel="0" collapsed="false">
      <c r="B973" s="66" t="str">
        <f aca="false">IF(OR($E973="",$F973=""),"","PO-"&amp;TEXT($E973,"yyyymmdd")&amp;"-"&amp;TEXT(COUNTIFS($E$6:$E973,$E973,$C$6:$C973,$C973),"000"))</f>
        <v/>
      </c>
      <c r="C973" s="130"/>
      <c r="D973" s="66" t="str">
        <f aca="false">IFERROR(INDEX(定数マスタ!$C$6:$C$105,MATCH($C973,定数マスタ!$B$6:$B$105,0)),"")</f>
        <v/>
      </c>
      <c r="E973" s="131"/>
      <c r="F973" s="130"/>
      <c r="G973" s="66" t="str">
        <f aca="false">IFERROR(INDEX(商品マスタ!$C$6:$C$1005,MATCH($F973,商品マスタ!$B$6:$B$1005,0)),"")</f>
        <v/>
      </c>
      <c r="H973" s="66" t="str">
        <f aca="false">IFERROR(INDEX(商品マスタ!$E$6:$E$1005,MATCH($F973,商品マスタ!$B$6:$B$1005,0)),"")</f>
        <v/>
      </c>
      <c r="I973" s="69" t="str">
        <f aca="false">IFERROR(INDEX(商品マスタ!$F$6:$F$1005,MATCH($F973,商品マスタ!$B$6:$B$1005,0)),"")</f>
        <v/>
      </c>
      <c r="J973" s="69" t="str">
        <f aca="false">IF(OR($F973="",$C973&lt;&gt;'設定（最初に1回）'!$C$4),"",IFERROR(INDEX(発注計算!$Y$6:$Y$405,MATCH($F973,発注計算!$C$6:$C$405,0)),""))</f>
        <v/>
      </c>
      <c r="K973" s="70"/>
      <c r="L973" s="69" t="str">
        <f aca="false">IF($K973="","",N($K973)*N($I973))</f>
        <v/>
      </c>
      <c r="M973" s="71" t="str">
        <f aca="false">IFERROR(INDEX(商品マスタ!$G$6:$G$1005,MATCH($F973,商品マスタ!$B$6:$B$1005,0)),"")</f>
        <v/>
      </c>
      <c r="N973" s="71" t="str">
        <f aca="false">IF($K973="","",N($K973)*N($M973))</f>
        <v/>
      </c>
      <c r="O973" s="66" t="str">
        <f aca="false">IFERROR(INDEX(商品マスタ!$H$6:$H$1005,MATCH($F973,商品マスタ!$B$6:$B$1005,0)),"")</f>
        <v/>
      </c>
      <c r="P973" s="87" t="str">
        <f aca="false">IF(OR($E973="",$O973=""),"",WORKDAY($E973,$O973))</f>
        <v/>
      </c>
      <c r="Q973" s="80"/>
      <c r="R973" s="131"/>
      <c r="S973" s="69" t="n">
        <f aca="false">IF($Q973="入荷済み",N($L973),0)</f>
        <v>0</v>
      </c>
      <c r="T973" s="80"/>
      <c r="U973" s="80"/>
    </row>
    <row r="974" customFormat="false" ht="15" hidden="false" customHeight="false" outlineLevel="0" collapsed="false">
      <c r="B974" s="66" t="str">
        <f aca="false">IF(OR($E974="",$F974=""),"","PO-"&amp;TEXT($E974,"yyyymmdd")&amp;"-"&amp;TEXT(COUNTIFS($E$6:$E974,$E974,$C$6:$C974,$C974),"000"))</f>
        <v/>
      </c>
      <c r="C974" s="130"/>
      <c r="D974" s="66" t="str">
        <f aca="false">IFERROR(INDEX(定数マスタ!$C$6:$C$105,MATCH($C974,定数マスタ!$B$6:$B$105,0)),"")</f>
        <v/>
      </c>
      <c r="E974" s="131"/>
      <c r="F974" s="130"/>
      <c r="G974" s="66" t="str">
        <f aca="false">IFERROR(INDEX(商品マスタ!$C$6:$C$1005,MATCH($F974,商品マスタ!$B$6:$B$1005,0)),"")</f>
        <v/>
      </c>
      <c r="H974" s="66" t="str">
        <f aca="false">IFERROR(INDEX(商品マスタ!$E$6:$E$1005,MATCH($F974,商品マスタ!$B$6:$B$1005,0)),"")</f>
        <v/>
      </c>
      <c r="I974" s="69" t="str">
        <f aca="false">IFERROR(INDEX(商品マスタ!$F$6:$F$1005,MATCH($F974,商品マスタ!$B$6:$B$1005,0)),"")</f>
        <v/>
      </c>
      <c r="J974" s="69" t="str">
        <f aca="false">IF(OR($F974="",$C974&lt;&gt;'設定（最初に1回）'!$C$4),"",IFERROR(INDEX(発注計算!$Y$6:$Y$405,MATCH($F974,発注計算!$C$6:$C$405,0)),""))</f>
        <v/>
      </c>
      <c r="K974" s="70"/>
      <c r="L974" s="69" t="str">
        <f aca="false">IF($K974="","",N($K974)*N($I974))</f>
        <v/>
      </c>
      <c r="M974" s="71" t="str">
        <f aca="false">IFERROR(INDEX(商品マスタ!$G$6:$G$1005,MATCH($F974,商品マスタ!$B$6:$B$1005,0)),"")</f>
        <v/>
      </c>
      <c r="N974" s="71" t="str">
        <f aca="false">IF($K974="","",N($K974)*N($M974))</f>
        <v/>
      </c>
      <c r="O974" s="66" t="str">
        <f aca="false">IFERROR(INDEX(商品マスタ!$H$6:$H$1005,MATCH($F974,商品マスタ!$B$6:$B$1005,0)),"")</f>
        <v/>
      </c>
      <c r="P974" s="87" t="str">
        <f aca="false">IF(OR($E974="",$O974=""),"",WORKDAY($E974,$O974))</f>
        <v/>
      </c>
      <c r="Q974" s="80"/>
      <c r="R974" s="131"/>
      <c r="S974" s="69" t="n">
        <f aca="false">IF($Q974="入荷済み",N($L974),0)</f>
        <v>0</v>
      </c>
      <c r="T974" s="80"/>
      <c r="U974" s="80"/>
    </row>
    <row r="975" customFormat="false" ht="15" hidden="false" customHeight="false" outlineLevel="0" collapsed="false">
      <c r="B975" s="66" t="str">
        <f aca="false">IF(OR($E975="",$F975=""),"","PO-"&amp;TEXT($E975,"yyyymmdd")&amp;"-"&amp;TEXT(COUNTIFS($E$6:$E975,$E975,$C$6:$C975,$C975),"000"))</f>
        <v/>
      </c>
      <c r="C975" s="130"/>
      <c r="D975" s="66" t="str">
        <f aca="false">IFERROR(INDEX(定数マスタ!$C$6:$C$105,MATCH($C975,定数マスタ!$B$6:$B$105,0)),"")</f>
        <v/>
      </c>
      <c r="E975" s="131"/>
      <c r="F975" s="130"/>
      <c r="G975" s="66" t="str">
        <f aca="false">IFERROR(INDEX(商品マスタ!$C$6:$C$1005,MATCH($F975,商品マスタ!$B$6:$B$1005,0)),"")</f>
        <v/>
      </c>
      <c r="H975" s="66" t="str">
        <f aca="false">IFERROR(INDEX(商品マスタ!$E$6:$E$1005,MATCH($F975,商品マスタ!$B$6:$B$1005,0)),"")</f>
        <v/>
      </c>
      <c r="I975" s="69" t="str">
        <f aca="false">IFERROR(INDEX(商品マスタ!$F$6:$F$1005,MATCH($F975,商品マスタ!$B$6:$B$1005,0)),"")</f>
        <v/>
      </c>
      <c r="J975" s="69" t="str">
        <f aca="false">IF(OR($F975="",$C975&lt;&gt;'設定（最初に1回）'!$C$4),"",IFERROR(INDEX(発注計算!$Y$6:$Y$405,MATCH($F975,発注計算!$C$6:$C$405,0)),""))</f>
        <v/>
      </c>
      <c r="K975" s="70"/>
      <c r="L975" s="69" t="str">
        <f aca="false">IF($K975="","",N($K975)*N($I975))</f>
        <v/>
      </c>
      <c r="M975" s="71" t="str">
        <f aca="false">IFERROR(INDEX(商品マスタ!$G$6:$G$1005,MATCH($F975,商品マスタ!$B$6:$B$1005,0)),"")</f>
        <v/>
      </c>
      <c r="N975" s="71" t="str">
        <f aca="false">IF($K975="","",N($K975)*N($M975))</f>
        <v/>
      </c>
      <c r="O975" s="66" t="str">
        <f aca="false">IFERROR(INDEX(商品マスタ!$H$6:$H$1005,MATCH($F975,商品マスタ!$B$6:$B$1005,0)),"")</f>
        <v/>
      </c>
      <c r="P975" s="87" t="str">
        <f aca="false">IF(OR($E975="",$O975=""),"",WORKDAY($E975,$O975))</f>
        <v/>
      </c>
      <c r="Q975" s="80"/>
      <c r="R975" s="131"/>
      <c r="S975" s="69" t="n">
        <f aca="false">IF($Q975="入荷済み",N($L975),0)</f>
        <v>0</v>
      </c>
      <c r="T975" s="80"/>
      <c r="U975" s="80"/>
    </row>
    <row r="976" customFormat="false" ht="15" hidden="false" customHeight="false" outlineLevel="0" collapsed="false">
      <c r="B976" s="66" t="str">
        <f aca="false">IF(OR($E976="",$F976=""),"","PO-"&amp;TEXT($E976,"yyyymmdd")&amp;"-"&amp;TEXT(COUNTIFS($E$6:$E976,$E976,$C$6:$C976,$C976),"000"))</f>
        <v/>
      </c>
      <c r="C976" s="130"/>
      <c r="D976" s="66" t="str">
        <f aca="false">IFERROR(INDEX(定数マスタ!$C$6:$C$105,MATCH($C976,定数マスタ!$B$6:$B$105,0)),"")</f>
        <v/>
      </c>
      <c r="E976" s="131"/>
      <c r="F976" s="130"/>
      <c r="G976" s="66" t="str">
        <f aca="false">IFERROR(INDEX(商品マスタ!$C$6:$C$1005,MATCH($F976,商品マスタ!$B$6:$B$1005,0)),"")</f>
        <v/>
      </c>
      <c r="H976" s="66" t="str">
        <f aca="false">IFERROR(INDEX(商品マスタ!$E$6:$E$1005,MATCH($F976,商品マスタ!$B$6:$B$1005,0)),"")</f>
        <v/>
      </c>
      <c r="I976" s="69" t="str">
        <f aca="false">IFERROR(INDEX(商品マスタ!$F$6:$F$1005,MATCH($F976,商品マスタ!$B$6:$B$1005,0)),"")</f>
        <v/>
      </c>
      <c r="J976" s="69" t="str">
        <f aca="false">IF(OR($F976="",$C976&lt;&gt;'設定（最初に1回）'!$C$4),"",IFERROR(INDEX(発注計算!$Y$6:$Y$405,MATCH($F976,発注計算!$C$6:$C$405,0)),""))</f>
        <v/>
      </c>
      <c r="K976" s="70"/>
      <c r="L976" s="69" t="str">
        <f aca="false">IF($K976="","",N($K976)*N($I976))</f>
        <v/>
      </c>
      <c r="M976" s="71" t="str">
        <f aca="false">IFERROR(INDEX(商品マスタ!$G$6:$G$1005,MATCH($F976,商品マスタ!$B$6:$B$1005,0)),"")</f>
        <v/>
      </c>
      <c r="N976" s="71" t="str">
        <f aca="false">IF($K976="","",N($K976)*N($M976))</f>
        <v/>
      </c>
      <c r="O976" s="66" t="str">
        <f aca="false">IFERROR(INDEX(商品マスタ!$H$6:$H$1005,MATCH($F976,商品マスタ!$B$6:$B$1005,0)),"")</f>
        <v/>
      </c>
      <c r="P976" s="87" t="str">
        <f aca="false">IF(OR($E976="",$O976=""),"",WORKDAY($E976,$O976))</f>
        <v/>
      </c>
      <c r="Q976" s="80"/>
      <c r="R976" s="131"/>
      <c r="S976" s="69" t="n">
        <f aca="false">IF($Q976="入荷済み",N($L976),0)</f>
        <v>0</v>
      </c>
      <c r="T976" s="80"/>
      <c r="U976" s="80"/>
    </row>
    <row r="977" customFormat="false" ht="15" hidden="false" customHeight="false" outlineLevel="0" collapsed="false">
      <c r="B977" s="66" t="str">
        <f aca="false">IF(OR($E977="",$F977=""),"","PO-"&amp;TEXT($E977,"yyyymmdd")&amp;"-"&amp;TEXT(COUNTIFS($E$6:$E977,$E977,$C$6:$C977,$C977),"000"))</f>
        <v/>
      </c>
      <c r="C977" s="130"/>
      <c r="D977" s="66" t="str">
        <f aca="false">IFERROR(INDEX(定数マスタ!$C$6:$C$105,MATCH($C977,定数マスタ!$B$6:$B$105,0)),"")</f>
        <v/>
      </c>
      <c r="E977" s="131"/>
      <c r="F977" s="130"/>
      <c r="G977" s="66" t="str">
        <f aca="false">IFERROR(INDEX(商品マスタ!$C$6:$C$1005,MATCH($F977,商品マスタ!$B$6:$B$1005,0)),"")</f>
        <v/>
      </c>
      <c r="H977" s="66" t="str">
        <f aca="false">IFERROR(INDEX(商品マスタ!$E$6:$E$1005,MATCH($F977,商品マスタ!$B$6:$B$1005,0)),"")</f>
        <v/>
      </c>
      <c r="I977" s="69" t="str">
        <f aca="false">IFERROR(INDEX(商品マスタ!$F$6:$F$1005,MATCH($F977,商品マスタ!$B$6:$B$1005,0)),"")</f>
        <v/>
      </c>
      <c r="J977" s="69" t="str">
        <f aca="false">IF(OR($F977="",$C977&lt;&gt;'設定（最初に1回）'!$C$4),"",IFERROR(INDEX(発注計算!$Y$6:$Y$405,MATCH($F977,発注計算!$C$6:$C$405,0)),""))</f>
        <v/>
      </c>
      <c r="K977" s="70"/>
      <c r="L977" s="69" t="str">
        <f aca="false">IF($K977="","",N($K977)*N($I977))</f>
        <v/>
      </c>
      <c r="M977" s="71" t="str">
        <f aca="false">IFERROR(INDEX(商品マスタ!$G$6:$G$1005,MATCH($F977,商品マスタ!$B$6:$B$1005,0)),"")</f>
        <v/>
      </c>
      <c r="N977" s="71" t="str">
        <f aca="false">IF($K977="","",N($K977)*N($M977))</f>
        <v/>
      </c>
      <c r="O977" s="66" t="str">
        <f aca="false">IFERROR(INDEX(商品マスタ!$H$6:$H$1005,MATCH($F977,商品マスタ!$B$6:$B$1005,0)),"")</f>
        <v/>
      </c>
      <c r="P977" s="87" t="str">
        <f aca="false">IF(OR($E977="",$O977=""),"",WORKDAY($E977,$O977))</f>
        <v/>
      </c>
      <c r="Q977" s="80"/>
      <c r="R977" s="131"/>
      <c r="S977" s="69" t="n">
        <f aca="false">IF($Q977="入荷済み",N($L977),0)</f>
        <v>0</v>
      </c>
      <c r="T977" s="80"/>
      <c r="U977" s="80"/>
    </row>
    <row r="978" customFormat="false" ht="15" hidden="false" customHeight="false" outlineLevel="0" collapsed="false">
      <c r="B978" s="66" t="str">
        <f aca="false">IF(OR($E978="",$F978=""),"","PO-"&amp;TEXT($E978,"yyyymmdd")&amp;"-"&amp;TEXT(COUNTIFS($E$6:$E978,$E978,$C$6:$C978,$C978),"000"))</f>
        <v/>
      </c>
      <c r="C978" s="130"/>
      <c r="D978" s="66" t="str">
        <f aca="false">IFERROR(INDEX(定数マスタ!$C$6:$C$105,MATCH($C978,定数マスタ!$B$6:$B$105,0)),"")</f>
        <v/>
      </c>
      <c r="E978" s="131"/>
      <c r="F978" s="130"/>
      <c r="G978" s="66" t="str">
        <f aca="false">IFERROR(INDEX(商品マスタ!$C$6:$C$1005,MATCH($F978,商品マスタ!$B$6:$B$1005,0)),"")</f>
        <v/>
      </c>
      <c r="H978" s="66" t="str">
        <f aca="false">IFERROR(INDEX(商品マスタ!$E$6:$E$1005,MATCH($F978,商品マスタ!$B$6:$B$1005,0)),"")</f>
        <v/>
      </c>
      <c r="I978" s="69" t="str">
        <f aca="false">IFERROR(INDEX(商品マスタ!$F$6:$F$1005,MATCH($F978,商品マスタ!$B$6:$B$1005,0)),"")</f>
        <v/>
      </c>
      <c r="J978" s="69" t="str">
        <f aca="false">IF(OR($F978="",$C978&lt;&gt;'設定（最初に1回）'!$C$4),"",IFERROR(INDEX(発注計算!$Y$6:$Y$405,MATCH($F978,発注計算!$C$6:$C$405,0)),""))</f>
        <v/>
      </c>
      <c r="K978" s="70"/>
      <c r="L978" s="69" t="str">
        <f aca="false">IF($K978="","",N($K978)*N($I978))</f>
        <v/>
      </c>
      <c r="M978" s="71" t="str">
        <f aca="false">IFERROR(INDEX(商品マスタ!$G$6:$G$1005,MATCH($F978,商品マスタ!$B$6:$B$1005,0)),"")</f>
        <v/>
      </c>
      <c r="N978" s="71" t="str">
        <f aca="false">IF($K978="","",N($K978)*N($M978))</f>
        <v/>
      </c>
      <c r="O978" s="66" t="str">
        <f aca="false">IFERROR(INDEX(商品マスタ!$H$6:$H$1005,MATCH($F978,商品マスタ!$B$6:$B$1005,0)),"")</f>
        <v/>
      </c>
      <c r="P978" s="87" t="str">
        <f aca="false">IF(OR($E978="",$O978=""),"",WORKDAY($E978,$O978))</f>
        <v/>
      </c>
      <c r="Q978" s="80"/>
      <c r="R978" s="131"/>
      <c r="S978" s="69" t="n">
        <f aca="false">IF($Q978="入荷済み",N($L978),0)</f>
        <v>0</v>
      </c>
      <c r="T978" s="80"/>
      <c r="U978" s="80"/>
    </row>
    <row r="979" customFormat="false" ht="15" hidden="false" customHeight="false" outlineLevel="0" collapsed="false">
      <c r="B979" s="66" t="str">
        <f aca="false">IF(OR($E979="",$F979=""),"","PO-"&amp;TEXT($E979,"yyyymmdd")&amp;"-"&amp;TEXT(COUNTIFS($E$6:$E979,$E979,$C$6:$C979,$C979),"000"))</f>
        <v/>
      </c>
      <c r="C979" s="130"/>
      <c r="D979" s="66" t="str">
        <f aca="false">IFERROR(INDEX(定数マスタ!$C$6:$C$105,MATCH($C979,定数マスタ!$B$6:$B$105,0)),"")</f>
        <v/>
      </c>
      <c r="E979" s="131"/>
      <c r="F979" s="130"/>
      <c r="G979" s="66" t="str">
        <f aca="false">IFERROR(INDEX(商品マスタ!$C$6:$C$1005,MATCH($F979,商品マスタ!$B$6:$B$1005,0)),"")</f>
        <v/>
      </c>
      <c r="H979" s="66" t="str">
        <f aca="false">IFERROR(INDEX(商品マスタ!$E$6:$E$1005,MATCH($F979,商品マスタ!$B$6:$B$1005,0)),"")</f>
        <v/>
      </c>
      <c r="I979" s="69" t="str">
        <f aca="false">IFERROR(INDEX(商品マスタ!$F$6:$F$1005,MATCH($F979,商品マスタ!$B$6:$B$1005,0)),"")</f>
        <v/>
      </c>
      <c r="J979" s="69" t="str">
        <f aca="false">IF(OR($F979="",$C979&lt;&gt;'設定（最初に1回）'!$C$4),"",IFERROR(INDEX(発注計算!$Y$6:$Y$405,MATCH($F979,発注計算!$C$6:$C$405,0)),""))</f>
        <v/>
      </c>
      <c r="K979" s="70"/>
      <c r="L979" s="69" t="str">
        <f aca="false">IF($K979="","",N($K979)*N($I979))</f>
        <v/>
      </c>
      <c r="M979" s="71" t="str">
        <f aca="false">IFERROR(INDEX(商品マスタ!$G$6:$G$1005,MATCH($F979,商品マスタ!$B$6:$B$1005,0)),"")</f>
        <v/>
      </c>
      <c r="N979" s="71" t="str">
        <f aca="false">IF($K979="","",N($K979)*N($M979))</f>
        <v/>
      </c>
      <c r="O979" s="66" t="str">
        <f aca="false">IFERROR(INDEX(商品マスタ!$H$6:$H$1005,MATCH($F979,商品マスタ!$B$6:$B$1005,0)),"")</f>
        <v/>
      </c>
      <c r="P979" s="87" t="str">
        <f aca="false">IF(OR($E979="",$O979=""),"",WORKDAY($E979,$O979))</f>
        <v/>
      </c>
      <c r="Q979" s="80"/>
      <c r="R979" s="131"/>
      <c r="S979" s="69" t="n">
        <f aca="false">IF($Q979="入荷済み",N($L979),0)</f>
        <v>0</v>
      </c>
      <c r="T979" s="80"/>
      <c r="U979" s="80"/>
    </row>
    <row r="980" customFormat="false" ht="15" hidden="false" customHeight="false" outlineLevel="0" collapsed="false">
      <c r="B980" s="66" t="str">
        <f aca="false">IF(OR($E980="",$F980=""),"","PO-"&amp;TEXT($E980,"yyyymmdd")&amp;"-"&amp;TEXT(COUNTIFS($E$6:$E980,$E980,$C$6:$C980,$C980),"000"))</f>
        <v/>
      </c>
      <c r="C980" s="130"/>
      <c r="D980" s="66" t="str">
        <f aca="false">IFERROR(INDEX(定数マスタ!$C$6:$C$105,MATCH($C980,定数マスタ!$B$6:$B$105,0)),"")</f>
        <v/>
      </c>
      <c r="E980" s="131"/>
      <c r="F980" s="130"/>
      <c r="G980" s="66" t="str">
        <f aca="false">IFERROR(INDEX(商品マスタ!$C$6:$C$1005,MATCH($F980,商品マスタ!$B$6:$B$1005,0)),"")</f>
        <v/>
      </c>
      <c r="H980" s="66" t="str">
        <f aca="false">IFERROR(INDEX(商品マスタ!$E$6:$E$1005,MATCH($F980,商品マスタ!$B$6:$B$1005,0)),"")</f>
        <v/>
      </c>
      <c r="I980" s="69" t="str">
        <f aca="false">IFERROR(INDEX(商品マスタ!$F$6:$F$1005,MATCH($F980,商品マスタ!$B$6:$B$1005,0)),"")</f>
        <v/>
      </c>
      <c r="J980" s="69" t="str">
        <f aca="false">IF(OR($F980="",$C980&lt;&gt;'設定（最初に1回）'!$C$4),"",IFERROR(INDEX(発注計算!$Y$6:$Y$405,MATCH($F980,発注計算!$C$6:$C$405,0)),""))</f>
        <v/>
      </c>
      <c r="K980" s="70"/>
      <c r="L980" s="69" t="str">
        <f aca="false">IF($K980="","",N($K980)*N($I980))</f>
        <v/>
      </c>
      <c r="M980" s="71" t="str">
        <f aca="false">IFERROR(INDEX(商品マスタ!$G$6:$G$1005,MATCH($F980,商品マスタ!$B$6:$B$1005,0)),"")</f>
        <v/>
      </c>
      <c r="N980" s="71" t="str">
        <f aca="false">IF($K980="","",N($K980)*N($M980))</f>
        <v/>
      </c>
      <c r="O980" s="66" t="str">
        <f aca="false">IFERROR(INDEX(商品マスタ!$H$6:$H$1005,MATCH($F980,商品マスタ!$B$6:$B$1005,0)),"")</f>
        <v/>
      </c>
      <c r="P980" s="87" t="str">
        <f aca="false">IF(OR($E980="",$O980=""),"",WORKDAY($E980,$O980))</f>
        <v/>
      </c>
      <c r="Q980" s="80"/>
      <c r="R980" s="131"/>
      <c r="S980" s="69" t="n">
        <f aca="false">IF($Q980="入荷済み",N($L980),0)</f>
        <v>0</v>
      </c>
      <c r="T980" s="80"/>
      <c r="U980" s="80"/>
    </row>
    <row r="981" customFormat="false" ht="15" hidden="false" customHeight="false" outlineLevel="0" collapsed="false">
      <c r="B981" s="66" t="str">
        <f aca="false">IF(OR($E981="",$F981=""),"","PO-"&amp;TEXT($E981,"yyyymmdd")&amp;"-"&amp;TEXT(COUNTIFS($E$6:$E981,$E981,$C$6:$C981,$C981),"000"))</f>
        <v/>
      </c>
      <c r="C981" s="130"/>
      <c r="D981" s="66" t="str">
        <f aca="false">IFERROR(INDEX(定数マスタ!$C$6:$C$105,MATCH($C981,定数マスタ!$B$6:$B$105,0)),"")</f>
        <v/>
      </c>
      <c r="E981" s="131"/>
      <c r="F981" s="130"/>
      <c r="G981" s="66" t="str">
        <f aca="false">IFERROR(INDEX(商品マスタ!$C$6:$C$1005,MATCH($F981,商品マスタ!$B$6:$B$1005,0)),"")</f>
        <v/>
      </c>
      <c r="H981" s="66" t="str">
        <f aca="false">IFERROR(INDEX(商品マスタ!$E$6:$E$1005,MATCH($F981,商品マスタ!$B$6:$B$1005,0)),"")</f>
        <v/>
      </c>
      <c r="I981" s="69" t="str">
        <f aca="false">IFERROR(INDEX(商品マスタ!$F$6:$F$1005,MATCH($F981,商品マスタ!$B$6:$B$1005,0)),"")</f>
        <v/>
      </c>
      <c r="J981" s="69" t="str">
        <f aca="false">IF(OR($F981="",$C981&lt;&gt;'設定（最初に1回）'!$C$4),"",IFERROR(INDEX(発注計算!$Y$6:$Y$405,MATCH($F981,発注計算!$C$6:$C$405,0)),""))</f>
        <v/>
      </c>
      <c r="K981" s="70"/>
      <c r="L981" s="69" t="str">
        <f aca="false">IF($K981="","",N($K981)*N($I981))</f>
        <v/>
      </c>
      <c r="M981" s="71" t="str">
        <f aca="false">IFERROR(INDEX(商品マスタ!$G$6:$G$1005,MATCH($F981,商品マスタ!$B$6:$B$1005,0)),"")</f>
        <v/>
      </c>
      <c r="N981" s="71" t="str">
        <f aca="false">IF($K981="","",N($K981)*N($M981))</f>
        <v/>
      </c>
      <c r="O981" s="66" t="str">
        <f aca="false">IFERROR(INDEX(商品マスタ!$H$6:$H$1005,MATCH($F981,商品マスタ!$B$6:$B$1005,0)),"")</f>
        <v/>
      </c>
      <c r="P981" s="87" t="str">
        <f aca="false">IF(OR($E981="",$O981=""),"",WORKDAY($E981,$O981))</f>
        <v/>
      </c>
      <c r="Q981" s="80"/>
      <c r="R981" s="131"/>
      <c r="S981" s="69" t="n">
        <f aca="false">IF($Q981="入荷済み",N($L981),0)</f>
        <v>0</v>
      </c>
      <c r="T981" s="80"/>
      <c r="U981" s="80"/>
    </row>
    <row r="982" customFormat="false" ht="15" hidden="false" customHeight="false" outlineLevel="0" collapsed="false">
      <c r="B982" s="66" t="str">
        <f aca="false">IF(OR($E982="",$F982=""),"","PO-"&amp;TEXT($E982,"yyyymmdd")&amp;"-"&amp;TEXT(COUNTIFS($E$6:$E982,$E982,$C$6:$C982,$C982),"000"))</f>
        <v/>
      </c>
      <c r="C982" s="130"/>
      <c r="D982" s="66" t="str">
        <f aca="false">IFERROR(INDEX(定数マスタ!$C$6:$C$105,MATCH($C982,定数マスタ!$B$6:$B$105,0)),"")</f>
        <v/>
      </c>
      <c r="E982" s="131"/>
      <c r="F982" s="130"/>
      <c r="G982" s="66" t="str">
        <f aca="false">IFERROR(INDEX(商品マスタ!$C$6:$C$1005,MATCH($F982,商品マスタ!$B$6:$B$1005,0)),"")</f>
        <v/>
      </c>
      <c r="H982" s="66" t="str">
        <f aca="false">IFERROR(INDEX(商品マスタ!$E$6:$E$1005,MATCH($F982,商品マスタ!$B$6:$B$1005,0)),"")</f>
        <v/>
      </c>
      <c r="I982" s="69" t="str">
        <f aca="false">IFERROR(INDEX(商品マスタ!$F$6:$F$1005,MATCH($F982,商品マスタ!$B$6:$B$1005,0)),"")</f>
        <v/>
      </c>
      <c r="J982" s="69" t="str">
        <f aca="false">IF(OR($F982="",$C982&lt;&gt;'設定（最初に1回）'!$C$4),"",IFERROR(INDEX(発注計算!$Y$6:$Y$405,MATCH($F982,発注計算!$C$6:$C$405,0)),""))</f>
        <v/>
      </c>
      <c r="K982" s="70"/>
      <c r="L982" s="69" t="str">
        <f aca="false">IF($K982="","",N($K982)*N($I982))</f>
        <v/>
      </c>
      <c r="M982" s="71" t="str">
        <f aca="false">IFERROR(INDEX(商品マスタ!$G$6:$G$1005,MATCH($F982,商品マスタ!$B$6:$B$1005,0)),"")</f>
        <v/>
      </c>
      <c r="N982" s="71" t="str">
        <f aca="false">IF($K982="","",N($K982)*N($M982))</f>
        <v/>
      </c>
      <c r="O982" s="66" t="str">
        <f aca="false">IFERROR(INDEX(商品マスタ!$H$6:$H$1005,MATCH($F982,商品マスタ!$B$6:$B$1005,0)),"")</f>
        <v/>
      </c>
      <c r="P982" s="87" t="str">
        <f aca="false">IF(OR($E982="",$O982=""),"",WORKDAY($E982,$O982))</f>
        <v/>
      </c>
      <c r="Q982" s="80"/>
      <c r="R982" s="131"/>
      <c r="S982" s="69" t="n">
        <f aca="false">IF($Q982="入荷済み",N($L982),0)</f>
        <v>0</v>
      </c>
      <c r="T982" s="80"/>
      <c r="U982" s="80"/>
    </row>
    <row r="983" customFormat="false" ht="15" hidden="false" customHeight="false" outlineLevel="0" collapsed="false">
      <c r="B983" s="66" t="str">
        <f aca="false">IF(OR($E983="",$F983=""),"","PO-"&amp;TEXT($E983,"yyyymmdd")&amp;"-"&amp;TEXT(COUNTIFS($E$6:$E983,$E983,$C$6:$C983,$C983),"000"))</f>
        <v/>
      </c>
      <c r="C983" s="130"/>
      <c r="D983" s="66" t="str">
        <f aca="false">IFERROR(INDEX(定数マスタ!$C$6:$C$105,MATCH($C983,定数マスタ!$B$6:$B$105,0)),"")</f>
        <v/>
      </c>
      <c r="E983" s="131"/>
      <c r="F983" s="130"/>
      <c r="G983" s="66" t="str">
        <f aca="false">IFERROR(INDEX(商品マスタ!$C$6:$C$1005,MATCH($F983,商品マスタ!$B$6:$B$1005,0)),"")</f>
        <v/>
      </c>
      <c r="H983" s="66" t="str">
        <f aca="false">IFERROR(INDEX(商品マスタ!$E$6:$E$1005,MATCH($F983,商品マスタ!$B$6:$B$1005,0)),"")</f>
        <v/>
      </c>
      <c r="I983" s="69" t="str">
        <f aca="false">IFERROR(INDEX(商品マスタ!$F$6:$F$1005,MATCH($F983,商品マスタ!$B$6:$B$1005,0)),"")</f>
        <v/>
      </c>
      <c r="J983" s="69" t="str">
        <f aca="false">IF(OR($F983="",$C983&lt;&gt;'設定（最初に1回）'!$C$4),"",IFERROR(INDEX(発注計算!$Y$6:$Y$405,MATCH($F983,発注計算!$C$6:$C$405,0)),""))</f>
        <v/>
      </c>
      <c r="K983" s="70"/>
      <c r="L983" s="69" t="str">
        <f aca="false">IF($K983="","",N($K983)*N($I983))</f>
        <v/>
      </c>
      <c r="M983" s="71" t="str">
        <f aca="false">IFERROR(INDEX(商品マスタ!$G$6:$G$1005,MATCH($F983,商品マスタ!$B$6:$B$1005,0)),"")</f>
        <v/>
      </c>
      <c r="N983" s="71" t="str">
        <f aca="false">IF($K983="","",N($K983)*N($M983))</f>
        <v/>
      </c>
      <c r="O983" s="66" t="str">
        <f aca="false">IFERROR(INDEX(商品マスタ!$H$6:$H$1005,MATCH($F983,商品マスタ!$B$6:$B$1005,0)),"")</f>
        <v/>
      </c>
      <c r="P983" s="87" t="str">
        <f aca="false">IF(OR($E983="",$O983=""),"",WORKDAY($E983,$O983))</f>
        <v/>
      </c>
      <c r="Q983" s="80"/>
      <c r="R983" s="131"/>
      <c r="S983" s="69" t="n">
        <f aca="false">IF($Q983="入荷済み",N($L983),0)</f>
        <v>0</v>
      </c>
      <c r="T983" s="80"/>
      <c r="U983" s="80"/>
    </row>
    <row r="984" customFormat="false" ht="15" hidden="false" customHeight="false" outlineLevel="0" collapsed="false">
      <c r="B984" s="66" t="str">
        <f aca="false">IF(OR($E984="",$F984=""),"","PO-"&amp;TEXT($E984,"yyyymmdd")&amp;"-"&amp;TEXT(COUNTIFS($E$6:$E984,$E984,$C$6:$C984,$C984),"000"))</f>
        <v/>
      </c>
      <c r="C984" s="130"/>
      <c r="D984" s="66" t="str">
        <f aca="false">IFERROR(INDEX(定数マスタ!$C$6:$C$105,MATCH($C984,定数マスタ!$B$6:$B$105,0)),"")</f>
        <v/>
      </c>
      <c r="E984" s="131"/>
      <c r="F984" s="130"/>
      <c r="G984" s="66" t="str">
        <f aca="false">IFERROR(INDEX(商品マスタ!$C$6:$C$1005,MATCH($F984,商品マスタ!$B$6:$B$1005,0)),"")</f>
        <v/>
      </c>
      <c r="H984" s="66" t="str">
        <f aca="false">IFERROR(INDEX(商品マスタ!$E$6:$E$1005,MATCH($F984,商品マスタ!$B$6:$B$1005,0)),"")</f>
        <v/>
      </c>
      <c r="I984" s="69" t="str">
        <f aca="false">IFERROR(INDEX(商品マスタ!$F$6:$F$1005,MATCH($F984,商品マスタ!$B$6:$B$1005,0)),"")</f>
        <v/>
      </c>
      <c r="J984" s="69" t="str">
        <f aca="false">IF(OR($F984="",$C984&lt;&gt;'設定（最初に1回）'!$C$4),"",IFERROR(INDEX(発注計算!$Y$6:$Y$405,MATCH($F984,発注計算!$C$6:$C$405,0)),""))</f>
        <v/>
      </c>
      <c r="K984" s="70"/>
      <c r="L984" s="69" t="str">
        <f aca="false">IF($K984="","",N($K984)*N($I984))</f>
        <v/>
      </c>
      <c r="M984" s="71" t="str">
        <f aca="false">IFERROR(INDEX(商品マスタ!$G$6:$G$1005,MATCH($F984,商品マスタ!$B$6:$B$1005,0)),"")</f>
        <v/>
      </c>
      <c r="N984" s="71" t="str">
        <f aca="false">IF($K984="","",N($K984)*N($M984))</f>
        <v/>
      </c>
      <c r="O984" s="66" t="str">
        <f aca="false">IFERROR(INDEX(商品マスタ!$H$6:$H$1005,MATCH($F984,商品マスタ!$B$6:$B$1005,0)),"")</f>
        <v/>
      </c>
      <c r="P984" s="87" t="str">
        <f aca="false">IF(OR($E984="",$O984=""),"",WORKDAY($E984,$O984))</f>
        <v/>
      </c>
      <c r="Q984" s="80"/>
      <c r="R984" s="131"/>
      <c r="S984" s="69" t="n">
        <f aca="false">IF($Q984="入荷済み",N($L984),0)</f>
        <v>0</v>
      </c>
      <c r="T984" s="80"/>
      <c r="U984" s="80"/>
    </row>
    <row r="985" customFormat="false" ht="15" hidden="false" customHeight="false" outlineLevel="0" collapsed="false">
      <c r="B985" s="66" t="str">
        <f aca="false">IF(OR($E985="",$F985=""),"","PO-"&amp;TEXT($E985,"yyyymmdd")&amp;"-"&amp;TEXT(COUNTIFS($E$6:$E985,$E985,$C$6:$C985,$C985),"000"))</f>
        <v/>
      </c>
      <c r="C985" s="130"/>
      <c r="D985" s="66" t="str">
        <f aca="false">IFERROR(INDEX(定数マスタ!$C$6:$C$105,MATCH($C985,定数マスタ!$B$6:$B$105,0)),"")</f>
        <v/>
      </c>
      <c r="E985" s="131"/>
      <c r="F985" s="130"/>
      <c r="G985" s="66" t="str">
        <f aca="false">IFERROR(INDEX(商品マスタ!$C$6:$C$1005,MATCH($F985,商品マスタ!$B$6:$B$1005,0)),"")</f>
        <v/>
      </c>
      <c r="H985" s="66" t="str">
        <f aca="false">IFERROR(INDEX(商品マスタ!$E$6:$E$1005,MATCH($F985,商品マスタ!$B$6:$B$1005,0)),"")</f>
        <v/>
      </c>
      <c r="I985" s="69" t="str">
        <f aca="false">IFERROR(INDEX(商品マスタ!$F$6:$F$1005,MATCH($F985,商品マスタ!$B$6:$B$1005,0)),"")</f>
        <v/>
      </c>
      <c r="J985" s="69" t="str">
        <f aca="false">IF(OR($F985="",$C985&lt;&gt;'設定（最初に1回）'!$C$4),"",IFERROR(INDEX(発注計算!$Y$6:$Y$405,MATCH($F985,発注計算!$C$6:$C$405,0)),""))</f>
        <v/>
      </c>
      <c r="K985" s="70"/>
      <c r="L985" s="69" t="str">
        <f aca="false">IF($K985="","",N($K985)*N($I985))</f>
        <v/>
      </c>
      <c r="M985" s="71" t="str">
        <f aca="false">IFERROR(INDEX(商品マスタ!$G$6:$G$1005,MATCH($F985,商品マスタ!$B$6:$B$1005,0)),"")</f>
        <v/>
      </c>
      <c r="N985" s="71" t="str">
        <f aca="false">IF($K985="","",N($K985)*N($M985))</f>
        <v/>
      </c>
      <c r="O985" s="66" t="str">
        <f aca="false">IFERROR(INDEX(商品マスタ!$H$6:$H$1005,MATCH($F985,商品マスタ!$B$6:$B$1005,0)),"")</f>
        <v/>
      </c>
      <c r="P985" s="87" t="str">
        <f aca="false">IF(OR($E985="",$O985=""),"",WORKDAY($E985,$O985))</f>
        <v/>
      </c>
      <c r="Q985" s="80"/>
      <c r="R985" s="131"/>
      <c r="S985" s="69" t="n">
        <f aca="false">IF($Q985="入荷済み",N($L985),0)</f>
        <v>0</v>
      </c>
      <c r="T985" s="80"/>
      <c r="U985" s="80"/>
    </row>
    <row r="986" customFormat="false" ht="15" hidden="false" customHeight="false" outlineLevel="0" collapsed="false">
      <c r="B986" s="66" t="str">
        <f aca="false">IF(OR($E986="",$F986=""),"","PO-"&amp;TEXT($E986,"yyyymmdd")&amp;"-"&amp;TEXT(COUNTIFS($E$6:$E986,$E986,$C$6:$C986,$C986),"000"))</f>
        <v/>
      </c>
      <c r="C986" s="130"/>
      <c r="D986" s="66" t="str">
        <f aca="false">IFERROR(INDEX(定数マスタ!$C$6:$C$105,MATCH($C986,定数マスタ!$B$6:$B$105,0)),"")</f>
        <v/>
      </c>
      <c r="E986" s="131"/>
      <c r="F986" s="130"/>
      <c r="G986" s="66" t="str">
        <f aca="false">IFERROR(INDEX(商品マスタ!$C$6:$C$1005,MATCH($F986,商品マスタ!$B$6:$B$1005,0)),"")</f>
        <v/>
      </c>
      <c r="H986" s="66" t="str">
        <f aca="false">IFERROR(INDEX(商品マスタ!$E$6:$E$1005,MATCH($F986,商品マスタ!$B$6:$B$1005,0)),"")</f>
        <v/>
      </c>
      <c r="I986" s="69" t="str">
        <f aca="false">IFERROR(INDEX(商品マスタ!$F$6:$F$1005,MATCH($F986,商品マスタ!$B$6:$B$1005,0)),"")</f>
        <v/>
      </c>
      <c r="J986" s="69" t="str">
        <f aca="false">IF(OR($F986="",$C986&lt;&gt;'設定（最初に1回）'!$C$4),"",IFERROR(INDEX(発注計算!$Y$6:$Y$405,MATCH($F986,発注計算!$C$6:$C$405,0)),""))</f>
        <v/>
      </c>
      <c r="K986" s="70"/>
      <c r="L986" s="69" t="str">
        <f aca="false">IF($K986="","",N($K986)*N($I986))</f>
        <v/>
      </c>
      <c r="M986" s="71" t="str">
        <f aca="false">IFERROR(INDEX(商品マスタ!$G$6:$G$1005,MATCH($F986,商品マスタ!$B$6:$B$1005,0)),"")</f>
        <v/>
      </c>
      <c r="N986" s="71" t="str">
        <f aca="false">IF($K986="","",N($K986)*N($M986))</f>
        <v/>
      </c>
      <c r="O986" s="66" t="str">
        <f aca="false">IFERROR(INDEX(商品マスタ!$H$6:$H$1005,MATCH($F986,商品マスタ!$B$6:$B$1005,0)),"")</f>
        <v/>
      </c>
      <c r="P986" s="87" t="str">
        <f aca="false">IF(OR($E986="",$O986=""),"",WORKDAY($E986,$O986))</f>
        <v/>
      </c>
      <c r="Q986" s="80"/>
      <c r="R986" s="131"/>
      <c r="S986" s="69" t="n">
        <f aca="false">IF($Q986="入荷済み",N($L986),0)</f>
        <v>0</v>
      </c>
      <c r="T986" s="80"/>
      <c r="U986" s="80"/>
    </row>
    <row r="987" customFormat="false" ht="15" hidden="false" customHeight="false" outlineLevel="0" collapsed="false">
      <c r="B987" s="66" t="str">
        <f aca="false">IF(OR($E987="",$F987=""),"","PO-"&amp;TEXT($E987,"yyyymmdd")&amp;"-"&amp;TEXT(COUNTIFS($E$6:$E987,$E987,$C$6:$C987,$C987),"000"))</f>
        <v/>
      </c>
      <c r="C987" s="130"/>
      <c r="D987" s="66" t="str">
        <f aca="false">IFERROR(INDEX(定数マスタ!$C$6:$C$105,MATCH($C987,定数マスタ!$B$6:$B$105,0)),"")</f>
        <v/>
      </c>
      <c r="E987" s="131"/>
      <c r="F987" s="130"/>
      <c r="G987" s="66" t="str">
        <f aca="false">IFERROR(INDEX(商品マスタ!$C$6:$C$1005,MATCH($F987,商品マスタ!$B$6:$B$1005,0)),"")</f>
        <v/>
      </c>
      <c r="H987" s="66" t="str">
        <f aca="false">IFERROR(INDEX(商品マスタ!$E$6:$E$1005,MATCH($F987,商品マスタ!$B$6:$B$1005,0)),"")</f>
        <v/>
      </c>
      <c r="I987" s="69" t="str">
        <f aca="false">IFERROR(INDEX(商品マスタ!$F$6:$F$1005,MATCH($F987,商品マスタ!$B$6:$B$1005,0)),"")</f>
        <v/>
      </c>
      <c r="J987" s="69" t="str">
        <f aca="false">IF(OR($F987="",$C987&lt;&gt;'設定（最初に1回）'!$C$4),"",IFERROR(INDEX(発注計算!$Y$6:$Y$405,MATCH($F987,発注計算!$C$6:$C$405,0)),""))</f>
        <v/>
      </c>
      <c r="K987" s="70"/>
      <c r="L987" s="69" t="str">
        <f aca="false">IF($K987="","",N($K987)*N($I987))</f>
        <v/>
      </c>
      <c r="M987" s="71" t="str">
        <f aca="false">IFERROR(INDEX(商品マスタ!$G$6:$G$1005,MATCH($F987,商品マスタ!$B$6:$B$1005,0)),"")</f>
        <v/>
      </c>
      <c r="N987" s="71" t="str">
        <f aca="false">IF($K987="","",N($K987)*N($M987))</f>
        <v/>
      </c>
      <c r="O987" s="66" t="str">
        <f aca="false">IFERROR(INDEX(商品マスタ!$H$6:$H$1005,MATCH($F987,商品マスタ!$B$6:$B$1005,0)),"")</f>
        <v/>
      </c>
      <c r="P987" s="87" t="str">
        <f aca="false">IF(OR($E987="",$O987=""),"",WORKDAY($E987,$O987))</f>
        <v/>
      </c>
      <c r="Q987" s="80"/>
      <c r="R987" s="131"/>
      <c r="S987" s="69" t="n">
        <f aca="false">IF($Q987="入荷済み",N($L987),0)</f>
        <v>0</v>
      </c>
      <c r="T987" s="80"/>
      <c r="U987" s="80"/>
    </row>
    <row r="988" customFormat="false" ht="15" hidden="false" customHeight="false" outlineLevel="0" collapsed="false">
      <c r="B988" s="66" t="str">
        <f aca="false">IF(OR($E988="",$F988=""),"","PO-"&amp;TEXT($E988,"yyyymmdd")&amp;"-"&amp;TEXT(COUNTIFS($E$6:$E988,$E988,$C$6:$C988,$C988),"000"))</f>
        <v/>
      </c>
      <c r="C988" s="130"/>
      <c r="D988" s="66" t="str">
        <f aca="false">IFERROR(INDEX(定数マスタ!$C$6:$C$105,MATCH($C988,定数マスタ!$B$6:$B$105,0)),"")</f>
        <v/>
      </c>
      <c r="E988" s="131"/>
      <c r="F988" s="130"/>
      <c r="G988" s="66" t="str">
        <f aca="false">IFERROR(INDEX(商品マスタ!$C$6:$C$1005,MATCH($F988,商品マスタ!$B$6:$B$1005,0)),"")</f>
        <v/>
      </c>
      <c r="H988" s="66" t="str">
        <f aca="false">IFERROR(INDEX(商品マスタ!$E$6:$E$1005,MATCH($F988,商品マスタ!$B$6:$B$1005,0)),"")</f>
        <v/>
      </c>
      <c r="I988" s="69" t="str">
        <f aca="false">IFERROR(INDEX(商品マスタ!$F$6:$F$1005,MATCH($F988,商品マスタ!$B$6:$B$1005,0)),"")</f>
        <v/>
      </c>
      <c r="J988" s="69" t="str">
        <f aca="false">IF(OR($F988="",$C988&lt;&gt;'設定（最初に1回）'!$C$4),"",IFERROR(INDEX(発注計算!$Y$6:$Y$405,MATCH($F988,発注計算!$C$6:$C$405,0)),""))</f>
        <v/>
      </c>
      <c r="K988" s="70"/>
      <c r="L988" s="69" t="str">
        <f aca="false">IF($K988="","",N($K988)*N($I988))</f>
        <v/>
      </c>
      <c r="M988" s="71" t="str">
        <f aca="false">IFERROR(INDEX(商品マスタ!$G$6:$G$1005,MATCH($F988,商品マスタ!$B$6:$B$1005,0)),"")</f>
        <v/>
      </c>
      <c r="N988" s="71" t="str">
        <f aca="false">IF($K988="","",N($K988)*N($M988))</f>
        <v/>
      </c>
      <c r="O988" s="66" t="str">
        <f aca="false">IFERROR(INDEX(商品マスタ!$H$6:$H$1005,MATCH($F988,商品マスタ!$B$6:$B$1005,0)),"")</f>
        <v/>
      </c>
      <c r="P988" s="87" t="str">
        <f aca="false">IF(OR($E988="",$O988=""),"",WORKDAY($E988,$O988))</f>
        <v/>
      </c>
      <c r="Q988" s="80"/>
      <c r="R988" s="131"/>
      <c r="S988" s="69" t="n">
        <f aca="false">IF($Q988="入荷済み",N($L988),0)</f>
        <v>0</v>
      </c>
      <c r="T988" s="80"/>
      <c r="U988" s="80"/>
    </row>
    <row r="989" customFormat="false" ht="15" hidden="false" customHeight="false" outlineLevel="0" collapsed="false">
      <c r="B989" s="66" t="str">
        <f aca="false">IF(OR($E989="",$F989=""),"","PO-"&amp;TEXT($E989,"yyyymmdd")&amp;"-"&amp;TEXT(COUNTIFS($E$6:$E989,$E989,$C$6:$C989,$C989),"000"))</f>
        <v/>
      </c>
      <c r="C989" s="130"/>
      <c r="D989" s="66" t="str">
        <f aca="false">IFERROR(INDEX(定数マスタ!$C$6:$C$105,MATCH($C989,定数マスタ!$B$6:$B$105,0)),"")</f>
        <v/>
      </c>
      <c r="E989" s="131"/>
      <c r="F989" s="130"/>
      <c r="G989" s="66" t="str">
        <f aca="false">IFERROR(INDEX(商品マスタ!$C$6:$C$1005,MATCH($F989,商品マスタ!$B$6:$B$1005,0)),"")</f>
        <v/>
      </c>
      <c r="H989" s="66" t="str">
        <f aca="false">IFERROR(INDEX(商品マスタ!$E$6:$E$1005,MATCH($F989,商品マスタ!$B$6:$B$1005,0)),"")</f>
        <v/>
      </c>
      <c r="I989" s="69" t="str">
        <f aca="false">IFERROR(INDEX(商品マスタ!$F$6:$F$1005,MATCH($F989,商品マスタ!$B$6:$B$1005,0)),"")</f>
        <v/>
      </c>
      <c r="J989" s="69" t="str">
        <f aca="false">IF(OR($F989="",$C989&lt;&gt;'設定（最初に1回）'!$C$4),"",IFERROR(INDEX(発注計算!$Y$6:$Y$405,MATCH($F989,発注計算!$C$6:$C$405,0)),""))</f>
        <v/>
      </c>
      <c r="K989" s="70"/>
      <c r="L989" s="69" t="str">
        <f aca="false">IF($K989="","",N($K989)*N($I989))</f>
        <v/>
      </c>
      <c r="M989" s="71" t="str">
        <f aca="false">IFERROR(INDEX(商品マスタ!$G$6:$G$1005,MATCH($F989,商品マスタ!$B$6:$B$1005,0)),"")</f>
        <v/>
      </c>
      <c r="N989" s="71" t="str">
        <f aca="false">IF($K989="","",N($K989)*N($M989))</f>
        <v/>
      </c>
      <c r="O989" s="66" t="str">
        <f aca="false">IFERROR(INDEX(商品マスタ!$H$6:$H$1005,MATCH($F989,商品マスタ!$B$6:$B$1005,0)),"")</f>
        <v/>
      </c>
      <c r="P989" s="87" t="str">
        <f aca="false">IF(OR($E989="",$O989=""),"",WORKDAY($E989,$O989))</f>
        <v/>
      </c>
      <c r="Q989" s="80"/>
      <c r="R989" s="131"/>
      <c r="S989" s="69" t="n">
        <f aca="false">IF($Q989="入荷済み",N($L989),0)</f>
        <v>0</v>
      </c>
      <c r="T989" s="80"/>
      <c r="U989" s="80"/>
    </row>
    <row r="990" customFormat="false" ht="15" hidden="false" customHeight="false" outlineLevel="0" collapsed="false">
      <c r="B990" s="66" t="str">
        <f aca="false">IF(OR($E990="",$F990=""),"","PO-"&amp;TEXT($E990,"yyyymmdd")&amp;"-"&amp;TEXT(COUNTIFS($E$6:$E990,$E990,$C$6:$C990,$C990),"000"))</f>
        <v/>
      </c>
      <c r="C990" s="130"/>
      <c r="D990" s="66" t="str">
        <f aca="false">IFERROR(INDEX(定数マスタ!$C$6:$C$105,MATCH($C990,定数マスタ!$B$6:$B$105,0)),"")</f>
        <v/>
      </c>
      <c r="E990" s="131"/>
      <c r="F990" s="130"/>
      <c r="G990" s="66" t="str">
        <f aca="false">IFERROR(INDEX(商品マスタ!$C$6:$C$1005,MATCH($F990,商品マスタ!$B$6:$B$1005,0)),"")</f>
        <v/>
      </c>
      <c r="H990" s="66" t="str">
        <f aca="false">IFERROR(INDEX(商品マスタ!$E$6:$E$1005,MATCH($F990,商品マスタ!$B$6:$B$1005,0)),"")</f>
        <v/>
      </c>
      <c r="I990" s="69" t="str">
        <f aca="false">IFERROR(INDEX(商品マスタ!$F$6:$F$1005,MATCH($F990,商品マスタ!$B$6:$B$1005,0)),"")</f>
        <v/>
      </c>
      <c r="J990" s="69" t="str">
        <f aca="false">IF(OR($F990="",$C990&lt;&gt;'設定（最初に1回）'!$C$4),"",IFERROR(INDEX(発注計算!$Y$6:$Y$405,MATCH($F990,発注計算!$C$6:$C$405,0)),""))</f>
        <v/>
      </c>
      <c r="K990" s="70"/>
      <c r="L990" s="69" t="str">
        <f aca="false">IF($K990="","",N($K990)*N($I990))</f>
        <v/>
      </c>
      <c r="M990" s="71" t="str">
        <f aca="false">IFERROR(INDEX(商品マスタ!$G$6:$G$1005,MATCH($F990,商品マスタ!$B$6:$B$1005,0)),"")</f>
        <v/>
      </c>
      <c r="N990" s="71" t="str">
        <f aca="false">IF($K990="","",N($K990)*N($M990))</f>
        <v/>
      </c>
      <c r="O990" s="66" t="str">
        <f aca="false">IFERROR(INDEX(商品マスタ!$H$6:$H$1005,MATCH($F990,商品マスタ!$B$6:$B$1005,0)),"")</f>
        <v/>
      </c>
      <c r="P990" s="87" t="str">
        <f aca="false">IF(OR($E990="",$O990=""),"",WORKDAY($E990,$O990))</f>
        <v/>
      </c>
      <c r="Q990" s="80"/>
      <c r="R990" s="131"/>
      <c r="S990" s="69" t="n">
        <f aca="false">IF($Q990="入荷済み",N($L990),0)</f>
        <v>0</v>
      </c>
      <c r="T990" s="80"/>
      <c r="U990" s="80"/>
    </row>
    <row r="991" customFormat="false" ht="15" hidden="false" customHeight="false" outlineLevel="0" collapsed="false">
      <c r="B991" s="66" t="str">
        <f aca="false">IF(OR($E991="",$F991=""),"","PO-"&amp;TEXT($E991,"yyyymmdd")&amp;"-"&amp;TEXT(COUNTIFS($E$6:$E991,$E991,$C$6:$C991,$C991),"000"))</f>
        <v/>
      </c>
      <c r="C991" s="130"/>
      <c r="D991" s="66" t="str">
        <f aca="false">IFERROR(INDEX(定数マスタ!$C$6:$C$105,MATCH($C991,定数マスタ!$B$6:$B$105,0)),"")</f>
        <v/>
      </c>
      <c r="E991" s="131"/>
      <c r="F991" s="130"/>
      <c r="G991" s="66" t="str">
        <f aca="false">IFERROR(INDEX(商品マスタ!$C$6:$C$1005,MATCH($F991,商品マスタ!$B$6:$B$1005,0)),"")</f>
        <v/>
      </c>
      <c r="H991" s="66" t="str">
        <f aca="false">IFERROR(INDEX(商品マスタ!$E$6:$E$1005,MATCH($F991,商品マスタ!$B$6:$B$1005,0)),"")</f>
        <v/>
      </c>
      <c r="I991" s="69" t="str">
        <f aca="false">IFERROR(INDEX(商品マスタ!$F$6:$F$1005,MATCH($F991,商品マスタ!$B$6:$B$1005,0)),"")</f>
        <v/>
      </c>
      <c r="J991" s="69" t="str">
        <f aca="false">IF(OR($F991="",$C991&lt;&gt;'設定（最初に1回）'!$C$4),"",IFERROR(INDEX(発注計算!$Y$6:$Y$405,MATCH($F991,発注計算!$C$6:$C$405,0)),""))</f>
        <v/>
      </c>
      <c r="K991" s="70"/>
      <c r="L991" s="69" t="str">
        <f aca="false">IF($K991="","",N($K991)*N($I991))</f>
        <v/>
      </c>
      <c r="M991" s="71" t="str">
        <f aca="false">IFERROR(INDEX(商品マスタ!$G$6:$G$1005,MATCH($F991,商品マスタ!$B$6:$B$1005,0)),"")</f>
        <v/>
      </c>
      <c r="N991" s="71" t="str">
        <f aca="false">IF($K991="","",N($K991)*N($M991))</f>
        <v/>
      </c>
      <c r="O991" s="66" t="str">
        <f aca="false">IFERROR(INDEX(商品マスタ!$H$6:$H$1005,MATCH($F991,商品マスタ!$B$6:$B$1005,0)),"")</f>
        <v/>
      </c>
      <c r="P991" s="87" t="str">
        <f aca="false">IF(OR($E991="",$O991=""),"",WORKDAY($E991,$O991))</f>
        <v/>
      </c>
      <c r="Q991" s="80"/>
      <c r="R991" s="131"/>
      <c r="S991" s="69" t="n">
        <f aca="false">IF($Q991="入荷済み",N($L991),0)</f>
        <v>0</v>
      </c>
      <c r="T991" s="80"/>
      <c r="U991" s="80"/>
    </row>
    <row r="992" customFormat="false" ht="15" hidden="false" customHeight="false" outlineLevel="0" collapsed="false">
      <c r="B992" s="66" t="str">
        <f aca="false">IF(OR($E992="",$F992=""),"","PO-"&amp;TEXT($E992,"yyyymmdd")&amp;"-"&amp;TEXT(COUNTIFS($E$6:$E992,$E992,$C$6:$C992,$C992),"000"))</f>
        <v/>
      </c>
      <c r="C992" s="130"/>
      <c r="D992" s="66" t="str">
        <f aca="false">IFERROR(INDEX(定数マスタ!$C$6:$C$105,MATCH($C992,定数マスタ!$B$6:$B$105,0)),"")</f>
        <v/>
      </c>
      <c r="E992" s="131"/>
      <c r="F992" s="130"/>
      <c r="G992" s="66" t="str">
        <f aca="false">IFERROR(INDEX(商品マスタ!$C$6:$C$1005,MATCH($F992,商品マスタ!$B$6:$B$1005,0)),"")</f>
        <v/>
      </c>
      <c r="H992" s="66" t="str">
        <f aca="false">IFERROR(INDEX(商品マスタ!$E$6:$E$1005,MATCH($F992,商品マスタ!$B$6:$B$1005,0)),"")</f>
        <v/>
      </c>
      <c r="I992" s="69" t="str">
        <f aca="false">IFERROR(INDEX(商品マスタ!$F$6:$F$1005,MATCH($F992,商品マスタ!$B$6:$B$1005,0)),"")</f>
        <v/>
      </c>
      <c r="J992" s="69" t="str">
        <f aca="false">IF(OR($F992="",$C992&lt;&gt;'設定（最初に1回）'!$C$4),"",IFERROR(INDEX(発注計算!$Y$6:$Y$405,MATCH($F992,発注計算!$C$6:$C$405,0)),""))</f>
        <v/>
      </c>
      <c r="K992" s="70"/>
      <c r="L992" s="69" t="str">
        <f aca="false">IF($K992="","",N($K992)*N($I992))</f>
        <v/>
      </c>
      <c r="M992" s="71" t="str">
        <f aca="false">IFERROR(INDEX(商品マスタ!$G$6:$G$1005,MATCH($F992,商品マスタ!$B$6:$B$1005,0)),"")</f>
        <v/>
      </c>
      <c r="N992" s="71" t="str">
        <f aca="false">IF($K992="","",N($K992)*N($M992))</f>
        <v/>
      </c>
      <c r="O992" s="66" t="str">
        <f aca="false">IFERROR(INDEX(商品マスタ!$H$6:$H$1005,MATCH($F992,商品マスタ!$B$6:$B$1005,0)),"")</f>
        <v/>
      </c>
      <c r="P992" s="87" t="str">
        <f aca="false">IF(OR($E992="",$O992=""),"",WORKDAY($E992,$O992))</f>
        <v/>
      </c>
      <c r="Q992" s="80"/>
      <c r="R992" s="131"/>
      <c r="S992" s="69" t="n">
        <f aca="false">IF($Q992="入荷済み",N($L992),0)</f>
        <v>0</v>
      </c>
      <c r="T992" s="80"/>
      <c r="U992" s="80"/>
    </row>
    <row r="993" customFormat="false" ht="15" hidden="false" customHeight="false" outlineLevel="0" collapsed="false">
      <c r="B993" s="66" t="str">
        <f aca="false">IF(OR($E993="",$F993=""),"","PO-"&amp;TEXT($E993,"yyyymmdd")&amp;"-"&amp;TEXT(COUNTIFS($E$6:$E993,$E993,$C$6:$C993,$C993),"000"))</f>
        <v/>
      </c>
      <c r="C993" s="130"/>
      <c r="D993" s="66" t="str">
        <f aca="false">IFERROR(INDEX(定数マスタ!$C$6:$C$105,MATCH($C993,定数マスタ!$B$6:$B$105,0)),"")</f>
        <v/>
      </c>
      <c r="E993" s="131"/>
      <c r="F993" s="130"/>
      <c r="G993" s="66" t="str">
        <f aca="false">IFERROR(INDEX(商品マスタ!$C$6:$C$1005,MATCH($F993,商品マスタ!$B$6:$B$1005,0)),"")</f>
        <v/>
      </c>
      <c r="H993" s="66" t="str">
        <f aca="false">IFERROR(INDEX(商品マスタ!$E$6:$E$1005,MATCH($F993,商品マスタ!$B$6:$B$1005,0)),"")</f>
        <v/>
      </c>
      <c r="I993" s="69" t="str">
        <f aca="false">IFERROR(INDEX(商品マスタ!$F$6:$F$1005,MATCH($F993,商品マスタ!$B$6:$B$1005,0)),"")</f>
        <v/>
      </c>
      <c r="J993" s="69" t="str">
        <f aca="false">IF(OR($F993="",$C993&lt;&gt;'設定（最初に1回）'!$C$4),"",IFERROR(INDEX(発注計算!$Y$6:$Y$405,MATCH($F993,発注計算!$C$6:$C$405,0)),""))</f>
        <v/>
      </c>
      <c r="K993" s="70"/>
      <c r="L993" s="69" t="str">
        <f aca="false">IF($K993="","",N($K993)*N($I993))</f>
        <v/>
      </c>
      <c r="M993" s="71" t="str">
        <f aca="false">IFERROR(INDEX(商品マスタ!$G$6:$G$1005,MATCH($F993,商品マスタ!$B$6:$B$1005,0)),"")</f>
        <v/>
      </c>
      <c r="N993" s="71" t="str">
        <f aca="false">IF($K993="","",N($K993)*N($M993))</f>
        <v/>
      </c>
      <c r="O993" s="66" t="str">
        <f aca="false">IFERROR(INDEX(商品マスタ!$H$6:$H$1005,MATCH($F993,商品マスタ!$B$6:$B$1005,0)),"")</f>
        <v/>
      </c>
      <c r="P993" s="87" t="str">
        <f aca="false">IF(OR($E993="",$O993=""),"",WORKDAY($E993,$O993))</f>
        <v/>
      </c>
      <c r="Q993" s="80"/>
      <c r="R993" s="131"/>
      <c r="S993" s="69" t="n">
        <f aca="false">IF($Q993="入荷済み",N($L993),0)</f>
        <v>0</v>
      </c>
      <c r="T993" s="80"/>
      <c r="U993" s="80"/>
    </row>
    <row r="994" customFormat="false" ht="15" hidden="false" customHeight="false" outlineLevel="0" collapsed="false">
      <c r="B994" s="66" t="str">
        <f aca="false">IF(OR($E994="",$F994=""),"","PO-"&amp;TEXT($E994,"yyyymmdd")&amp;"-"&amp;TEXT(COUNTIFS($E$6:$E994,$E994,$C$6:$C994,$C994),"000"))</f>
        <v/>
      </c>
      <c r="C994" s="130"/>
      <c r="D994" s="66" t="str">
        <f aca="false">IFERROR(INDEX(定数マスタ!$C$6:$C$105,MATCH($C994,定数マスタ!$B$6:$B$105,0)),"")</f>
        <v/>
      </c>
      <c r="E994" s="131"/>
      <c r="F994" s="130"/>
      <c r="G994" s="66" t="str">
        <f aca="false">IFERROR(INDEX(商品マスタ!$C$6:$C$1005,MATCH($F994,商品マスタ!$B$6:$B$1005,0)),"")</f>
        <v/>
      </c>
      <c r="H994" s="66" t="str">
        <f aca="false">IFERROR(INDEX(商品マスタ!$E$6:$E$1005,MATCH($F994,商品マスタ!$B$6:$B$1005,0)),"")</f>
        <v/>
      </c>
      <c r="I994" s="69" t="str">
        <f aca="false">IFERROR(INDEX(商品マスタ!$F$6:$F$1005,MATCH($F994,商品マスタ!$B$6:$B$1005,0)),"")</f>
        <v/>
      </c>
      <c r="J994" s="69" t="str">
        <f aca="false">IF(OR($F994="",$C994&lt;&gt;'設定（最初に1回）'!$C$4),"",IFERROR(INDEX(発注計算!$Y$6:$Y$405,MATCH($F994,発注計算!$C$6:$C$405,0)),""))</f>
        <v/>
      </c>
      <c r="K994" s="70"/>
      <c r="L994" s="69" t="str">
        <f aca="false">IF($K994="","",N($K994)*N($I994))</f>
        <v/>
      </c>
      <c r="M994" s="71" t="str">
        <f aca="false">IFERROR(INDEX(商品マスタ!$G$6:$G$1005,MATCH($F994,商品マスタ!$B$6:$B$1005,0)),"")</f>
        <v/>
      </c>
      <c r="N994" s="71" t="str">
        <f aca="false">IF($K994="","",N($K994)*N($M994))</f>
        <v/>
      </c>
      <c r="O994" s="66" t="str">
        <f aca="false">IFERROR(INDEX(商品マスタ!$H$6:$H$1005,MATCH($F994,商品マスタ!$B$6:$B$1005,0)),"")</f>
        <v/>
      </c>
      <c r="P994" s="87" t="str">
        <f aca="false">IF(OR($E994="",$O994=""),"",WORKDAY($E994,$O994))</f>
        <v/>
      </c>
      <c r="Q994" s="80"/>
      <c r="R994" s="131"/>
      <c r="S994" s="69" t="n">
        <f aca="false">IF($Q994="入荷済み",N($L994),0)</f>
        <v>0</v>
      </c>
      <c r="T994" s="80"/>
      <c r="U994" s="80"/>
    </row>
    <row r="995" customFormat="false" ht="15" hidden="false" customHeight="false" outlineLevel="0" collapsed="false">
      <c r="B995" s="66" t="str">
        <f aca="false">IF(OR($E995="",$F995=""),"","PO-"&amp;TEXT($E995,"yyyymmdd")&amp;"-"&amp;TEXT(COUNTIFS($E$6:$E995,$E995,$C$6:$C995,$C995),"000"))</f>
        <v/>
      </c>
      <c r="C995" s="130"/>
      <c r="D995" s="66" t="str">
        <f aca="false">IFERROR(INDEX(定数マスタ!$C$6:$C$105,MATCH($C995,定数マスタ!$B$6:$B$105,0)),"")</f>
        <v/>
      </c>
      <c r="E995" s="131"/>
      <c r="F995" s="130"/>
      <c r="G995" s="66" t="str">
        <f aca="false">IFERROR(INDEX(商品マスタ!$C$6:$C$1005,MATCH($F995,商品マスタ!$B$6:$B$1005,0)),"")</f>
        <v/>
      </c>
      <c r="H995" s="66" t="str">
        <f aca="false">IFERROR(INDEX(商品マスタ!$E$6:$E$1005,MATCH($F995,商品マスタ!$B$6:$B$1005,0)),"")</f>
        <v/>
      </c>
      <c r="I995" s="69" t="str">
        <f aca="false">IFERROR(INDEX(商品マスタ!$F$6:$F$1005,MATCH($F995,商品マスタ!$B$6:$B$1005,0)),"")</f>
        <v/>
      </c>
      <c r="J995" s="69" t="str">
        <f aca="false">IF(OR($F995="",$C995&lt;&gt;'設定（最初に1回）'!$C$4),"",IFERROR(INDEX(発注計算!$Y$6:$Y$405,MATCH($F995,発注計算!$C$6:$C$405,0)),""))</f>
        <v/>
      </c>
      <c r="K995" s="70"/>
      <c r="L995" s="69" t="str">
        <f aca="false">IF($K995="","",N($K995)*N($I995))</f>
        <v/>
      </c>
      <c r="M995" s="71" t="str">
        <f aca="false">IFERROR(INDEX(商品マスタ!$G$6:$G$1005,MATCH($F995,商品マスタ!$B$6:$B$1005,0)),"")</f>
        <v/>
      </c>
      <c r="N995" s="71" t="str">
        <f aca="false">IF($K995="","",N($K995)*N($M995))</f>
        <v/>
      </c>
      <c r="O995" s="66" t="str">
        <f aca="false">IFERROR(INDEX(商品マスタ!$H$6:$H$1005,MATCH($F995,商品マスタ!$B$6:$B$1005,0)),"")</f>
        <v/>
      </c>
      <c r="P995" s="87" t="str">
        <f aca="false">IF(OR($E995="",$O995=""),"",WORKDAY($E995,$O995))</f>
        <v/>
      </c>
      <c r="Q995" s="80"/>
      <c r="R995" s="131"/>
      <c r="S995" s="69" t="n">
        <f aca="false">IF($Q995="入荷済み",N($L995),0)</f>
        <v>0</v>
      </c>
      <c r="T995" s="80"/>
      <c r="U995" s="80"/>
    </row>
    <row r="996" customFormat="false" ht="15" hidden="false" customHeight="false" outlineLevel="0" collapsed="false">
      <c r="B996" s="66" t="str">
        <f aca="false">IF(OR($E996="",$F996=""),"","PO-"&amp;TEXT($E996,"yyyymmdd")&amp;"-"&amp;TEXT(COUNTIFS($E$6:$E996,$E996,$C$6:$C996,$C996),"000"))</f>
        <v/>
      </c>
      <c r="C996" s="130"/>
      <c r="D996" s="66" t="str">
        <f aca="false">IFERROR(INDEX(定数マスタ!$C$6:$C$105,MATCH($C996,定数マスタ!$B$6:$B$105,0)),"")</f>
        <v/>
      </c>
      <c r="E996" s="131"/>
      <c r="F996" s="130"/>
      <c r="G996" s="66" t="str">
        <f aca="false">IFERROR(INDEX(商品マスタ!$C$6:$C$1005,MATCH($F996,商品マスタ!$B$6:$B$1005,0)),"")</f>
        <v/>
      </c>
      <c r="H996" s="66" t="str">
        <f aca="false">IFERROR(INDEX(商品マスタ!$E$6:$E$1005,MATCH($F996,商品マスタ!$B$6:$B$1005,0)),"")</f>
        <v/>
      </c>
      <c r="I996" s="69" t="str">
        <f aca="false">IFERROR(INDEX(商品マスタ!$F$6:$F$1005,MATCH($F996,商品マスタ!$B$6:$B$1005,0)),"")</f>
        <v/>
      </c>
      <c r="J996" s="69" t="str">
        <f aca="false">IF(OR($F996="",$C996&lt;&gt;'設定（最初に1回）'!$C$4),"",IFERROR(INDEX(発注計算!$Y$6:$Y$405,MATCH($F996,発注計算!$C$6:$C$405,0)),""))</f>
        <v/>
      </c>
      <c r="K996" s="70"/>
      <c r="L996" s="69" t="str">
        <f aca="false">IF($K996="","",N($K996)*N($I996))</f>
        <v/>
      </c>
      <c r="M996" s="71" t="str">
        <f aca="false">IFERROR(INDEX(商品マスタ!$G$6:$G$1005,MATCH($F996,商品マスタ!$B$6:$B$1005,0)),"")</f>
        <v/>
      </c>
      <c r="N996" s="71" t="str">
        <f aca="false">IF($K996="","",N($K996)*N($M996))</f>
        <v/>
      </c>
      <c r="O996" s="66" t="str">
        <f aca="false">IFERROR(INDEX(商品マスタ!$H$6:$H$1005,MATCH($F996,商品マスタ!$B$6:$B$1005,0)),"")</f>
        <v/>
      </c>
      <c r="P996" s="87" t="str">
        <f aca="false">IF(OR($E996="",$O996=""),"",WORKDAY($E996,$O996))</f>
        <v/>
      </c>
      <c r="Q996" s="80"/>
      <c r="R996" s="131"/>
      <c r="S996" s="69" t="n">
        <f aca="false">IF($Q996="入荷済み",N($L996),0)</f>
        <v>0</v>
      </c>
      <c r="T996" s="80"/>
      <c r="U996" s="80"/>
    </row>
    <row r="997" customFormat="false" ht="15" hidden="false" customHeight="false" outlineLevel="0" collapsed="false">
      <c r="B997" s="66" t="str">
        <f aca="false">IF(OR($E997="",$F997=""),"","PO-"&amp;TEXT($E997,"yyyymmdd")&amp;"-"&amp;TEXT(COUNTIFS($E$6:$E997,$E997,$C$6:$C997,$C997),"000"))</f>
        <v/>
      </c>
      <c r="C997" s="130"/>
      <c r="D997" s="66" t="str">
        <f aca="false">IFERROR(INDEX(定数マスタ!$C$6:$C$105,MATCH($C997,定数マスタ!$B$6:$B$105,0)),"")</f>
        <v/>
      </c>
      <c r="E997" s="131"/>
      <c r="F997" s="130"/>
      <c r="G997" s="66" t="str">
        <f aca="false">IFERROR(INDEX(商品マスタ!$C$6:$C$1005,MATCH($F997,商品マスタ!$B$6:$B$1005,0)),"")</f>
        <v/>
      </c>
      <c r="H997" s="66" t="str">
        <f aca="false">IFERROR(INDEX(商品マスタ!$E$6:$E$1005,MATCH($F997,商品マスタ!$B$6:$B$1005,0)),"")</f>
        <v/>
      </c>
      <c r="I997" s="69" t="str">
        <f aca="false">IFERROR(INDEX(商品マスタ!$F$6:$F$1005,MATCH($F997,商品マスタ!$B$6:$B$1005,0)),"")</f>
        <v/>
      </c>
      <c r="J997" s="69" t="str">
        <f aca="false">IF(OR($F997="",$C997&lt;&gt;'設定（最初に1回）'!$C$4),"",IFERROR(INDEX(発注計算!$Y$6:$Y$405,MATCH($F997,発注計算!$C$6:$C$405,0)),""))</f>
        <v/>
      </c>
      <c r="K997" s="70"/>
      <c r="L997" s="69" t="str">
        <f aca="false">IF($K997="","",N($K997)*N($I997))</f>
        <v/>
      </c>
      <c r="M997" s="71" t="str">
        <f aca="false">IFERROR(INDEX(商品マスタ!$G$6:$G$1005,MATCH($F997,商品マスタ!$B$6:$B$1005,0)),"")</f>
        <v/>
      </c>
      <c r="N997" s="71" t="str">
        <f aca="false">IF($K997="","",N($K997)*N($M997))</f>
        <v/>
      </c>
      <c r="O997" s="66" t="str">
        <f aca="false">IFERROR(INDEX(商品マスタ!$H$6:$H$1005,MATCH($F997,商品マスタ!$B$6:$B$1005,0)),"")</f>
        <v/>
      </c>
      <c r="P997" s="87" t="str">
        <f aca="false">IF(OR($E997="",$O997=""),"",WORKDAY($E997,$O997))</f>
        <v/>
      </c>
      <c r="Q997" s="80"/>
      <c r="R997" s="131"/>
      <c r="S997" s="69" t="n">
        <f aca="false">IF($Q997="入荷済み",N($L997),0)</f>
        <v>0</v>
      </c>
      <c r="T997" s="80"/>
      <c r="U997" s="80"/>
    </row>
    <row r="998" customFormat="false" ht="15" hidden="false" customHeight="false" outlineLevel="0" collapsed="false">
      <c r="B998" s="66" t="str">
        <f aca="false">IF(OR($E998="",$F998=""),"","PO-"&amp;TEXT($E998,"yyyymmdd")&amp;"-"&amp;TEXT(COUNTIFS($E$6:$E998,$E998,$C$6:$C998,$C998),"000"))</f>
        <v/>
      </c>
      <c r="C998" s="130"/>
      <c r="D998" s="66" t="str">
        <f aca="false">IFERROR(INDEX(定数マスタ!$C$6:$C$105,MATCH($C998,定数マスタ!$B$6:$B$105,0)),"")</f>
        <v/>
      </c>
      <c r="E998" s="131"/>
      <c r="F998" s="130"/>
      <c r="G998" s="66" t="str">
        <f aca="false">IFERROR(INDEX(商品マスタ!$C$6:$C$1005,MATCH($F998,商品マスタ!$B$6:$B$1005,0)),"")</f>
        <v/>
      </c>
      <c r="H998" s="66" t="str">
        <f aca="false">IFERROR(INDEX(商品マスタ!$E$6:$E$1005,MATCH($F998,商品マスタ!$B$6:$B$1005,0)),"")</f>
        <v/>
      </c>
      <c r="I998" s="69" t="str">
        <f aca="false">IFERROR(INDEX(商品マスタ!$F$6:$F$1005,MATCH($F998,商品マスタ!$B$6:$B$1005,0)),"")</f>
        <v/>
      </c>
      <c r="J998" s="69" t="str">
        <f aca="false">IF(OR($F998="",$C998&lt;&gt;'設定（最初に1回）'!$C$4),"",IFERROR(INDEX(発注計算!$Y$6:$Y$405,MATCH($F998,発注計算!$C$6:$C$405,0)),""))</f>
        <v/>
      </c>
      <c r="K998" s="70"/>
      <c r="L998" s="69" t="str">
        <f aca="false">IF($K998="","",N($K998)*N($I998))</f>
        <v/>
      </c>
      <c r="M998" s="71" t="str">
        <f aca="false">IFERROR(INDEX(商品マスタ!$G$6:$G$1005,MATCH($F998,商品マスタ!$B$6:$B$1005,0)),"")</f>
        <v/>
      </c>
      <c r="N998" s="71" t="str">
        <f aca="false">IF($K998="","",N($K998)*N($M998))</f>
        <v/>
      </c>
      <c r="O998" s="66" t="str">
        <f aca="false">IFERROR(INDEX(商品マスタ!$H$6:$H$1005,MATCH($F998,商品マスタ!$B$6:$B$1005,0)),"")</f>
        <v/>
      </c>
      <c r="P998" s="87" t="str">
        <f aca="false">IF(OR($E998="",$O998=""),"",WORKDAY($E998,$O998))</f>
        <v/>
      </c>
      <c r="Q998" s="80"/>
      <c r="R998" s="131"/>
      <c r="S998" s="69" t="n">
        <f aca="false">IF($Q998="入荷済み",N($L998),0)</f>
        <v>0</v>
      </c>
      <c r="T998" s="80"/>
      <c r="U998" s="80"/>
    </row>
    <row r="999" customFormat="false" ht="15" hidden="false" customHeight="false" outlineLevel="0" collapsed="false">
      <c r="B999" s="66" t="str">
        <f aca="false">IF(OR($E999="",$F999=""),"","PO-"&amp;TEXT($E999,"yyyymmdd")&amp;"-"&amp;TEXT(COUNTIFS($E$6:$E999,$E999,$C$6:$C999,$C999),"000"))</f>
        <v/>
      </c>
      <c r="C999" s="130"/>
      <c r="D999" s="66" t="str">
        <f aca="false">IFERROR(INDEX(定数マスタ!$C$6:$C$105,MATCH($C999,定数マスタ!$B$6:$B$105,0)),"")</f>
        <v/>
      </c>
      <c r="E999" s="131"/>
      <c r="F999" s="130"/>
      <c r="G999" s="66" t="str">
        <f aca="false">IFERROR(INDEX(商品マスタ!$C$6:$C$1005,MATCH($F999,商品マスタ!$B$6:$B$1005,0)),"")</f>
        <v/>
      </c>
      <c r="H999" s="66" t="str">
        <f aca="false">IFERROR(INDEX(商品マスタ!$E$6:$E$1005,MATCH($F999,商品マスタ!$B$6:$B$1005,0)),"")</f>
        <v/>
      </c>
      <c r="I999" s="69" t="str">
        <f aca="false">IFERROR(INDEX(商品マスタ!$F$6:$F$1005,MATCH($F999,商品マスタ!$B$6:$B$1005,0)),"")</f>
        <v/>
      </c>
      <c r="J999" s="69" t="str">
        <f aca="false">IF(OR($F999="",$C999&lt;&gt;'設定（最初に1回）'!$C$4),"",IFERROR(INDEX(発注計算!$Y$6:$Y$405,MATCH($F999,発注計算!$C$6:$C$405,0)),""))</f>
        <v/>
      </c>
      <c r="K999" s="70"/>
      <c r="L999" s="69" t="str">
        <f aca="false">IF($K999="","",N($K999)*N($I999))</f>
        <v/>
      </c>
      <c r="M999" s="71" t="str">
        <f aca="false">IFERROR(INDEX(商品マスタ!$G$6:$G$1005,MATCH($F999,商品マスタ!$B$6:$B$1005,0)),"")</f>
        <v/>
      </c>
      <c r="N999" s="71" t="str">
        <f aca="false">IF($K999="","",N($K999)*N($M999))</f>
        <v/>
      </c>
      <c r="O999" s="66" t="str">
        <f aca="false">IFERROR(INDEX(商品マスタ!$H$6:$H$1005,MATCH($F999,商品マスタ!$B$6:$B$1005,0)),"")</f>
        <v/>
      </c>
      <c r="P999" s="87" t="str">
        <f aca="false">IF(OR($E999="",$O999=""),"",WORKDAY($E999,$O999))</f>
        <v/>
      </c>
      <c r="Q999" s="80"/>
      <c r="R999" s="131"/>
      <c r="S999" s="69" t="n">
        <f aca="false">IF($Q999="入荷済み",N($L999),0)</f>
        <v>0</v>
      </c>
      <c r="T999" s="80"/>
      <c r="U999" s="80"/>
    </row>
    <row r="1000" customFormat="false" ht="15" hidden="false" customHeight="false" outlineLevel="0" collapsed="false">
      <c r="B1000" s="66" t="str">
        <f aca="false">IF(OR($E1000="",$F1000=""),"","PO-"&amp;TEXT($E1000,"yyyymmdd")&amp;"-"&amp;TEXT(COUNTIFS($E$6:$E1000,$E1000,$C$6:$C1000,$C1000),"000"))</f>
        <v/>
      </c>
      <c r="C1000" s="130"/>
      <c r="D1000" s="66" t="str">
        <f aca="false">IFERROR(INDEX(定数マスタ!$C$6:$C$105,MATCH($C1000,定数マスタ!$B$6:$B$105,0)),"")</f>
        <v/>
      </c>
      <c r="E1000" s="131"/>
      <c r="F1000" s="130"/>
      <c r="G1000" s="66" t="str">
        <f aca="false">IFERROR(INDEX(商品マスタ!$C$6:$C$1005,MATCH($F1000,商品マスタ!$B$6:$B$1005,0)),"")</f>
        <v/>
      </c>
      <c r="H1000" s="66" t="str">
        <f aca="false">IFERROR(INDEX(商品マスタ!$E$6:$E$1005,MATCH($F1000,商品マスタ!$B$6:$B$1005,0)),"")</f>
        <v/>
      </c>
      <c r="I1000" s="69" t="str">
        <f aca="false">IFERROR(INDEX(商品マスタ!$F$6:$F$1005,MATCH($F1000,商品マスタ!$B$6:$B$1005,0)),"")</f>
        <v/>
      </c>
      <c r="J1000" s="69" t="str">
        <f aca="false">IF(OR($F1000="",$C1000&lt;&gt;'設定（最初に1回）'!$C$4),"",IFERROR(INDEX(発注計算!$Y$6:$Y$405,MATCH($F1000,発注計算!$C$6:$C$405,0)),""))</f>
        <v/>
      </c>
      <c r="K1000" s="70"/>
      <c r="L1000" s="69" t="str">
        <f aca="false">IF($K1000="","",N($K1000)*N($I1000))</f>
        <v/>
      </c>
      <c r="M1000" s="71" t="str">
        <f aca="false">IFERROR(INDEX(商品マスタ!$G$6:$G$1005,MATCH($F1000,商品マスタ!$B$6:$B$1005,0)),"")</f>
        <v/>
      </c>
      <c r="N1000" s="71" t="str">
        <f aca="false">IF($K1000="","",N($K1000)*N($M1000))</f>
        <v/>
      </c>
      <c r="O1000" s="66" t="str">
        <f aca="false">IFERROR(INDEX(商品マスタ!$H$6:$H$1005,MATCH($F1000,商品マスタ!$B$6:$B$1005,0)),"")</f>
        <v/>
      </c>
      <c r="P1000" s="87" t="str">
        <f aca="false">IF(OR($E1000="",$O1000=""),"",WORKDAY($E1000,$O1000))</f>
        <v/>
      </c>
      <c r="Q1000" s="80"/>
      <c r="R1000" s="131"/>
      <c r="S1000" s="69" t="n">
        <f aca="false">IF($Q1000="入荷済み",N($L1000),0)</f>
        <v>0</v>
      </c>
      <c r="T1000" s="80"/>
      <c r="U1000" s="80"/>
    </row>
    <row r="1001" customFormat="false" ht="15" hidden="false" customHeight="false" outlineLevel="0" collapsed="false">
      <c r="B1001" s="66" t="str">
        <f aca="false">IF(OR($E1001="",$F1001=""),"","PO-"&amp;TEXT($E1001,"yyyymmdd")&amp;"-"&amp;TEXT(COUNTIFS($E$6:$E1001,$E1001,$C$6:$C1001,$C1001),"000"))</f>
        <v/>
      </c>
      <c r="C1001" s="130"/>
      <c r="D1001" s="66" t="str">
        <f aca="false">IFERROR(INDEX(定数マスタ!$C$6:$C$105,MATCH($C1001,定数マスタ!$B$6:$B$105,0)),"")</f>
        <v/>
      </c>
      <c r="E1001" s="131"/>
      <c r="F1001" s="130"/>
      <c r="G1001" s="66" t="str">
        <f aca="false">IFERROR(INDEX(商品マスタ!$C$6:$C$1005,MATCH($F1001,商品マスタ!$B$6:$B$1005,0)),"")</f>
        <v/>
      </c>
      <c r="H1001" s="66" t="str">
        <f aca="false">IFERROR(INDEX(商品マスタ!$E$6:$E$1005,MATCH($F1001,商品マスタ!$B$6:$B$1005,0)),"")</f>
        <v/>
      </c>
      <c r="I1001" s="69" t="str">
        <f aca="false">IFERROR(INDEX(商品マスタ!$F$6:$F$1005,MATCH($F1001,商品マスタ!$B$6:$B$1005,0)),"")</f>
        <v/>
      </c>
      <c r="J1001" s="69" t="str">
        <f aca="false">IF(OR($F1001="",$C1001&lt;&gt;'設定（最初に1回）'!$C$4),"",IFERROR(INDEX(発注計算!$Y$6:$Y$405,MATCH($F1001,発注計算!$C$6:$C$405,0)),""))</f>
        <v/>
      </c>
      <c r="K1001" s="70"/>
      <c r="L1001" s="69" t="str">
        <f aca="false">IF($K1001="","",N($K1001)*N($I1001))</f>
        <v/>
      </c>
      <c r="M1001" s="71" t="str">
        <f aca="false">IFERROR(INDEX(商品マスタ!$G$6:$G$1005,MATCH($F1001,商品マスタ!$B$6:$B$1005,0)),"")</f>
        <v/>
      </c>
      <c r="N1001" s="71" t="str">
        <f aca="false">IF($K1001="","",N($K1001)*N($M1001))</f>
        <v/>
      </c>
      <c r="O1001" s="66" t="str">
        <f aca="false">IFERROR(INDEX(商品マスタ!$H$6:$H$1005,MATCH($F1001,商品マスタ!$B$6:$B$1005,0)),"")</f>
        <v/>
      </c>
      <c r="P1001" s="87" t="str">
        <f aca="false">IF(OR($E1001="",$O1001=""),"",WORKDAY($E1001,$O1001))</f>
        <v/>
      </c>
      <c r="Q1001" s="80"/>
      <c r="R1001" s="131"/>
      <c r="S1001" s="69" t="n">
        <f aca="false">IF($Q1001="入荷済み",N($L1001),0)</f>
        <v>0</v>
      </c>
      <c r="T1001" s="80"/>
      <c r="U1001" s="80"/>
    </row>
    <row r="1002" customFormat="false" ht="15" hidden="false" customHeight="false" outlineLevel="0" collapsed="false">
      <c r="B1002" s="66" t="str">
        <f aca="false">IF(OR($E1002="",$F1002=""),"","PO-"&amp;TEXT($E1002,"yyyymmdd")&amp;"-"&amp;TEXT(COUNTIFS($E$6:$E1002,$E1002,$C$6:$C1002,$C1002),"000"))</f>
        <v/>
      </c>
      <c r="C1002" s="130"/>
      <c r="D1002" s="66" t="str">
        <f aca="false">IFERROR(INDEX(定数マスタ!$C$6:$C$105,MATCH($C1002,定数マスタ!$B$6:$B$105,0)),"")</f>
        <v/>
      </c>
      <c r="E1002" s="131"/>
      <c r="F1002" s="130"/>
      <c r="G1002" s="66" t="str">
        <f aca="false">IFERROR(INDEX(商品マスタ!$C$6:$C$1005,MATCH($F1002,商品マスタ!$B$6:$B$1005,0)),"")</f>
        <v/>
      </c>
      <c r="H1002" s="66" t="str">
        <f aca="false">IFERROR(INDEX(商品マスタ!$E$6:$E$1005,MATCH($F1002,商品マスタ!$B$6:$B$1005,0)),"")</f>
        <v/>
      </c>
      <c r="I1002" s="69" t="str">
        <f aca="false">IFERROR(INDEX(商品マスタ!$F$6:$F$1005,MATCH($F1002,商品マスタ!$B$6:$B$1005,0)),"")</f>
        <v/>
      </c>
      <c r="J1002" s="69" t="str">
        <f aca="false">IF(OR($F1002="",$C1002&lt;&gt;'設定（最初に1回）'!$C$4),"",IFERROR(INDEX(発注計算!$Y$6:$Y$405,MATCH($F1002,発注計算!$C$6:$C$405,0)),""))</f>
        <v/>
      </c>
      <c r="K1002" s="70"/>
      <c r="L1002" s="69" t="str">
        <f aca="false">IF($K1002="","",N($K1002)*N($I1002))</f>
        <v/>
      </c>
      <c r="M1002" s="71" t="str">
        <f aca="false">IFERROR(INDEX(商品マスタ!$G$6:$G$1005,MATCH($F1002,商品マスタ!$B$6:$B$1005,0)),"")</f>
        <v/>
      </c>
      <c r="N1002" s="71" t="str">
        <f aca="false">IF($K1002="","",N($K1002)*N($M1002))</f>
        <v/>
      </c>
      <c r="O1002" s="66" t="str">
        <f aca="false">IFERROR(INDEX(商品マスタ!$H$6:$H$1005,MATCH($F1002,商品マスタ!$B$6:$B$1005,0)),"")</f>
        <v/>
      </c>
      <c r="P1002" s="87" t="str">
        <f aca="false">IF(OR($E1002="",$O1002=""),"",WORKDAY($E1002,$O1002))</f>
        <v/>
      </c>
      <c r="Q1002" s="80"/>
      <c r="R1002" s="131"/>
      <c r="S1002" s="69" t="n">
        <f aca="false">IF($Q1002="入荷済み",N($L1002),0)</f>
        <v>0</v>
      </c>
      <c r="T1002" s="80"/>
      <c r="U1002" s="80"/>
    </row>
    <row r="1003" customFormat="false" ht="15" hidden="false" customHeight="false" outlineLevel="0" collapsed="false">
      <c r="B1003" s="66" t="str">
        <f aca="false">IF(OR($E1003="",$F1003=""),"","PO-"&amp;TEXT($E1003,"yyyymmdd")&amp;"-"&amp;TEXT(COUNTIFS($E$6:$E1003,$E1003,$C$6:$C1003,$C1003),"000"))</f>
        <v/>
      </c>
      <c r="C1003" s="130"/>
      <c r="D1003" s="66" t="str">
        <f aca="false">IFERROR(INDEX(定数マスタ!$C$6:$C$105,MATCH($C1003,定数マスタ!$B$6:$B$105,0)),"")</f>
        <v/>
      </c>
      <c r="E1003" s="131"/>
      <c r="F1003" s="130"/>
      <c r="G1003" s="66" t="str">
        <f aca="false">IFERROR(INDEX(商品マスタ!$C$6:$C$1005,MATCH($F1003,商品マスタ!$B$6:$B$1005,0)),"")</f>
        <v/>
      </c>
      <c r="H1003" s="66" t="str">
        <f aca="false">IFERROR(INDEX(商品マスタ!$E$6:$E$1005,MATCH($F1003,商品マスタ!$B$6:$B$1005,0)),"")</f>
        <v/>
      </c>
      <c r="I1003" s="69" t="str">
        <f aca="false">IFERROR(INDEX(商品マスタ!$F$6:$F$1005,MATCH($F1003,商品マスタ!$B$6:$B$1005,0)),"")</f>
        <v/>
      </c>
      <c r="J1003" s="69" t="str">
        <f aca="false">IF(OR($F1003="",$C1003&lt;&gt;'設定（最初に1回）'!$C$4),"",IFERROR(INDEX(発注計算!$Y$6:$Y$405,MATCH($F1003,発注計算!$C$6:$C$405,0)),""))</f>
        <v/>
      </c>
      <c r="K1003" s="70"/>
      <c r="L1003" s="69" t="str">
        <f aca="false">IF($K1003="","",N($K1003)*N($I1003))</f>
        <v/>
      </c>
      <c r="M1003" s="71" t="str">
        <f aca="false">IFERROR(INDEX(商品マスタ!$G$6:$G$1005,MATCH($F1003,商品マスタ!$B$6:$B$1005,0)),"")</f>
        <v/>
      </c>
      <c r="N1003" s="71" t="str">
        <f aca="false">IF($K1003="","",N($K1003)*N($M1003))</f>
        <v/>
      </c>
      <c r="O1003" s="66" t="str">
        <f aca="false">IFERROR(INDEX(商品マスタ!$H$6:$H$1005,MATCH($F1003,商品マスタ!$B$6:$B$1005,0)),"")</f>
        <v/>
      </c>
      <c r="P1003" s="87" t="str">
        <f aca="false">IF(OR($E1003="",$O1003=""),"",WORKDAY($E1003,$O1003))</f>
        <v/>
      </c>
      <c r="Q1003" s="80"/>
      <c r="R1003" s="131"/>
      <c r="S1003" s="69" t="n">
        <f aca="false">IF($Q1003="入荷済み",N($L1003),0)</f>
        <v>0</v>
      </c>
      <c r="T1003" s="80"/>
      <c r="U1003" s="80"/>
    </row>
    <row r="1004" customFormat="false" ht="15" hidden="false" customHeight="false" outlineLevel="0" collapsed="false">
      <c r="B1004" s="66" t="str">
        <f aca="false">IF(OR($E1004="",$F1004=""),"","PO-"&amp;TEXT($E1004,"yyyymmdd")&amp;"-"&amp;TEXT(COUNTIFS($E$6:$E1004,$E1004,$C$6:$C1004,$C1004),"000"))</f>
        <v/>
      </c>
      <c r="C1004" s="130"/>
      <c r="D1004" s="66" t="str">
        <f aca="false">IFERROR(INDEX(定数マスタ!$C$6:$C$105,MATCH($C1004,定数マスタ!$B$6:$B$105,0)),"")</f>
        <v/>
      </c>
      <c r="E1004" s="131"/>
      <c r="F1004" s="130"/>
      <c r="G1004" s="66" t="str">
        <f aca="false">IFERROR(INDEX(商品マスタ!$C$6:$C$1005,MATCH($F1004,商品マスタ!$B$6:$B$1005,0)),"")</f>
        <v/>
      </c>
      <c r="H1004" s="66" t="str">
        <f aca="false">IFERROR(INDEX(商品マスタ!$E$6:$E$1005,MATCH($F1004,商品マスタ!$B$6:$B$1005,0)),"")</f>
        <v/>
      </c>
      <c r="I1004" s="69" t="str">
        <f aca="false">IFERROR(INDEX(商品マスタ!$F$6:$F$1005,MATCH($F1004,商品マスタ!$B$6:$B$1005,0)),"")</f>
        <v/>
      </c>
      <c r="J1004" s="69" t="str">
        <f aca="false">IF(OR($F1004="",$C1004&lt;&gt;'設定（最初に1回）'!$C$4),"",IFERROR(INDEX(発注計算!$Y$6:$Y$405,MATCH($F1004,発注計算!$C$6:$C$405,0)),""))</f>
        <v/>
      </c>
      <c r="K1004" s="70"/>
      <c r="L1004" s="69" t="str">
        <f aca="false">IF($K1004="","",N($K1004)*N($I1004))</f>
        <v/>
      </c>
      <c r="M1004" s="71" t="str">
        <f aca="false">IFERROR(INDEX(商品マスタ!$G$6:$G$1005,MATCH($F1004,商品マスタ!$B$6:$B$1005,0)),"")</f>
        <v/>
      </c>
      <c r="N1004" s="71" t="str">
        <f aca="false">IF($K1004="","",N($K1004)*N($M1004))</f>
        <v/>
      </c>
      <c r="O1004" s="66" t="str">
        <f aca="false">IFERROR(INDEX(商品マスタ!$H$6:$H$1005,MATCH($F1004,商品マスタ!$B$6:$B$1005,0)),"")</f>
        <v/>
      </c>
      <c r="P1004" s="87" t="str">
        <f aca="false">IF(OR($E1004="",$O1004=""),"",WORKDAY($E1004,$O1004))</f>
        <v/>
      </c>
      <c r="Q1004" s="80"/>
      <c r="R1004" s="131"/>
      <c r="S1004" s="69" t="n">
        <f aca="false">IF($Q1004="入荷済み",N($L1004),0)</f>
        <v>0</v>
      </c>
      <c r="T1004" s="80"/>
      <c r="U1004" s="80"/>
    </row>
    <row r="1005" customFormat="false" ht="15" hidden="false" customHeight="false" outlineLevel="0" collapsed="false">
      <c r="B1005" s="66" t="str">
        <f aca="false">IF(OR($E1005="",$F1005=""),"","PO-"&amp;TEXT($E1005,"yyyymmdd")&amp;"-"&amp;TEXT(COUNTIFS($E$6:$E1005,$E1005,$C$6:$C1005,$C1005),"000"))</f>
        <v/>
      </c>
      <c r="C1005" s="130"/>
      <c r="D1005" s="66" t="str">
        <f aca="false">IFERROR(INDEX(定数マスタ!$C$6:$C$105,MATCH($C1005,定数マスタ!$B$6:$B$105,0)),"")</f>
        <v/>
      </c>
      <c r="E1005" s="131"/>
      <c r="F1005" s="130"/>
      <c r="G1005" s="66" t="str">
        <f aca="false">IFERROR(INDEX(商品マスタ!$C$6:$C$1005,MATCH($F1005,商品マスタ!$B$6:$B$1005,0)),"")</f>
        <v/>
      </c>
      <c r="H1005" s="66" t="str">
        <f aca="false">IFERROR(INDEX(商品マスタ!$E$6:$E$1005,MATCH($F1005,商品マスタ!$B$6:$B$1005,0)),"")</f>
        <v/>
      </c>
      <c r="I1005" s="69" t="str">
        <f aca="false">IFERROR(INDEX(商品マスタ!$F$6:$F$1005,MATCH($F1005,商品マスタ!$B$6:$B$1005,0)),"")</f>
        <v/>
      </c>
      <c r="J1005" s="69" t="str">
        <f aca="false">IF(OR($F1005="",$C1005&lt;&gt;'設定（最初に1回）'!$C$4),"",IFERROR(INDEX(発注計算!$Y$6:$Y$405,MATCH($F1005,発注計算!$C$6:$C$405,0)),""))</f>
        <v/>
      </c>
      <c r="K1005" s="70"/>
      <c r="L1005" s="69" t="str">
        <f aca="false">IF($K1005="","",N($K1005)*N($I1005))</f>
        <v/>
      </c>
      <c r="M1005" s="71" t="str">
        <f aca="false">IFERROR(INDEX(商品マスタ!$G$6:$G$1005,MATCH($F1005,商品マスタ!$B$6:$B$1005,0)),"")</f>
        <v/>
      </c>
      <c r="N1005" s="71" t="str">
        <f aca="false">IF($K1005="","",N($K1005)*N($M1005))</f>
        <v/>
      </c>
      <c r="O1005" s="66" t="str">
        <f aca="false">IFERROR(INDEX(商品マスタ!$H$6:$H$1005,MATCH($F1005,商品マスタ!$B$6:$B$1005,0)),"")</f>
        <v/>
      </c>
      <c r="P1005" s="87" t="str">
        <f aca="false">IF(OR($E1005="",$O1005=""),"",WORKDAY($E1005,$O1005))</f>
        <v/>
      </c>
      <c r="Q1005" s="80"/>
      <c r="R1005" s="131"/>
      <c r="S1005" s="69" t="n">
        <f aca="false">IF($Q1005="入荷済み",N($L1005),0)</f>
        <v>0</v>
      </c>
      <c r="T1005" s="80"/>
      <c r="U1005" s="80"/>
    </row>
  </sheetData>
  <dataValidations count="2">
    <dataValidation allowBlank="true" errorStyle="stop" operator="between" showDropDown="false" showErrorMessage="false" showInputMessage="false" sqref="C6:C1005" type="list">
      <formula1>定数マスタ!$B$6:$B$105</formula1>
      <formula2>0</formula2>
    </dataValidation>
    <dataValidation allowBlank="true" errorStyle="stop" operator="between" showDropDown="false" showErrorMessage="false" showInputMessage="false" sqref="Q6:Q1005" type="list">
      <formula1>"発注済,入荷済み,取消"</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10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2" min="2" style="0" width="16"/>
    <col collapsed="false" customWidth="true" hidden="false" outlineLevel="0" max="3" min="3" style="0" width="30"/>
    <col collapsed="false" customWidth="true" hidden="false" outlineLevel="0" max="4" min="4" style="0" width="16"/>
    <col collapsed="false" customWidth="true" hidden="false" outlineLevel="0" max="5" min="5" style="0" width="22"/>
    <col collapsed="false" customWidth="true" hidden="false" outlineLevel="0" max="6" min="6" style="0" width="8"/>
    <col collapsed="false" customWidth="true" hidden="false" outlineLevel="0" max="7" min="7" style="0" width="12"/>
    <col collapsed="false" customWidth="true" hidden="false" outlineLevel="0" max="8" min="8" style="0" width="9"/>
    <col collapsed="false" customWidth="true" hidden="false" outlineLevel="0" max="9" min="9" style="0" width="11"/>
    <col collapsed="false" customWidth="true" hidden="false" outlineLevel="0" max="11" min="10" style="0" width="10"/>
    <col collapsed="false" customWidth="true" hidden="false" outlineLevel="0" max="12" min="12" style="0" width="16"/>
    <col collapsed="false" customWidth="true" hidden="false" outlineLevel="0" max="14" min="13" style="0" width="14"/>
    <col collapsed="false" customWidth="true" hidden="false" outlineLevel="0" max="15" min="15" style="0" width="24"/>
  </cols>
  <sheetData>
    <row r="2" customFormat="false" ht="18.55" hidden="false" customHeight="false" outlineLevel="0" collapsed="false">
      <c r="B2" s="1" t="s">
        <v>39</v>
      </c>
    </row>
    <row r="3" customFormat="false" ht="15" hidden="false" customHeight="false" outlineLevel="0" collapsed="false">
      <c r="B3" s="104" t="s">
        <v>635</v>
      </c>
    </row>
    <row r="4" customFormat="false" ht="15" hidden="false" customHeight="false" outlineLevel="0" collapsed="false">
      <c r="B4" s="63" t="s">
        <v>503</v>
      </c>
      <c r="C4" s="63" t="s">
        <v>503</v>
      </c>
      <c r="D4" s="63" t="s">
        <v>503</v>
      </c>
      <c r="E4" s="63" t="s">
        <v>503</v>
      </c>
      <c r="F4" s="63" t="s">
        <v>503</v>
      </c>
      <c r="G4" s="63" t="s">
        <v>503</v>
      </c>
      <c r="H4" s="63" t="s">
        <v>503</v>
      </c>
      <c r="I4" s="63" t="s">
        <v>503</v>
      </c>
      <c r="J4" s="63" t="s">
        <v>503</v>
      </c>
      <c r="K4" s="63" t="s">
        <v>503</v>
      </c>
      <c r="L4" s="63" t="s">
        <v>503</v>
      </c>
      <c r="M4" s="63" t="s">
        <v>503</v>
      </c>
      <c r="N4" s="63" t="s">
        <v>503</v>
      </c>
      <c r="O4" s="63" t="s">
        <v>503</v>
      </c>
    </row>
    <row r="5" customFormat="false" ht="15" hidden="false" customHeight="false" outlineLevel="0" collapsed="false">
      <c r="B5" s="18" t="s">
        <v>159</v>
      </c>
      <c r="C5" s="18" t="s">
        <v>160</v>
      </c>
      <c r="D5" s="18" t="s">
        <v>158</v>
      </c>
      <c r="E5" s="18" t="s">
        <v>155</v>
      </c>
      <c r="F5" s="18" t="s">
        <v>161</v>
      </c>
      <c r="G5" s="18" t="s">
        <v>167</v>
      </c>
      <c r="H5" s="32" t="s">
        <v>622</v>
      </c>
      <c r="I5" s="18" t="s">
        <v>636</v>
      </c>
      <c r="J5" s="18" t="s">
        <v>532</v>
      </c>
      <c r="K5" s="18" t="s">
        <v>637</v>
      </c>
      <c r="L5" s="18" t="s">
        <v>638</v>
      </c>
      <c r="M5" s="32" t="s">
        <v>639</v>
      </c>
      <c r="N5" s="32" t="s">
        <v>640</v>
      </c>
      <c r="O5" s="18" t="s">
        <v>627</v>
      </c>
    </row>
    <row r="6" customFormat="false" ht="15" hidden="false" customHeight="false" outlineLevel="0" collapsed="false">
      <c r="B6" s="132" t="s">
        <v>178</v>
      </c>
      <c r="C6" s="133" t="s">
        <v>179</v>
      </c>
      <c r="D6" s="133" t="s">
        <v>177</v>
      </c>
      <c r="E6" s="133" t="s">
        <v>174</v>
      </c>
      <c r="F6" s="134" t="n">
        <v>1</v>
      </c>
      <c r="G6" s="135" t="n">
        <v>11300</v>
      </c>
      <c r="H6" s="133" t="n">
        <v>2</v>
      </c>
      <c r="I6" s="133" t="n">
        <v>1</v>
      </c>
      <c r="J6" s="133" t="s">
        <v>641</v>
      </c>
      <c r="K6" s="133" t="s">
        <v>500</v>
      </c>
      <c r="L6" s="133" t="s">
        <v>642</v>
      </c>
      <c r="M6" s="136" t="n">
        <v>1.1</v>
      </c>
      <c r="N6" s="136" t="n">
        <v>0</v>
      </c>
      <c r="O6" s="133"/>
    </row>
    <row r="7" customFormat="false" ht="15" hidden="false" customHeight="false" outlineLevel="0" collapsed="false">
      <c r="B7" s="132" t="s">
        <v>181</v>
      </c>
      <c r="C7" s="133" t="s">
        <v>182</v>
      </c>
      <c r="D7" s="133" t="s">
        <v>177</v>
      </c>
      <c r="E7" s="133" t="s">
        <v>174</v>
      </c>
      <c r="F7" s="134" t="n">
        <v>24</v>
      </c>
      <c r="G7" s="135" t="n">
        <v>587</v>
      </c>
      <c r="H7" s="133" t="n">
        <v>3</v>
      </c>
      <c r="I7" s="133" t="n">
        <v>1</v>
      </c>
      <c r="J7" s="133" t="s">
        <v>641</v>
      </c>
      <c r="K7" s="133" t="s">
        <v>500</v>
      </c>
      <c r="L7" s="133" t="s">
        <v>642</v>
      </c>
      <c r="M7" s="136" t="n">
        <v>1.1</v>
      </c>
      <c r="N7" s="136" t="n">
        <v>1</v>
      </c>
      <c r="O7" s="133"/>
    </row>
    <row r="8" customFormat="false" ht="15" hidden="false" customHeight="false" outlineLevel="0" collapsed="false">
      <c r="B8" s="132" t="s">
        <v>183</v>
      </c>
      <c r="C8" s="133" t="s">
        <v>184</v>
      </c>
      <c r="D8" s="133" t="s">
        <v>177</v>
      </c>
      <c r="E8" s="133" t="s">
        <v>174</v>
      </c>
      <c r="F8" s="134" t="n">
        <v>48</v>
      </c>
      <c r="G8" s="135" t="n">
        <v>357</v>
      </c>
      <c r="H8" s="133" t="n">
        <v>3</v>
      </c>
      <c r="I8" s="133" t="n">
        <v>5</v>
      </c>
      <c r="J8" s="133" t="s">
        <v>641</v>
      </c>
      <c r="K8" s="133" t="s">
        <v>500</v>
      </c>
      <c r="L8" s="133" t="s">
        <v>642</v>
      </c>
      <c r="M8" s="136" t="n">
        <v>0.8</v>
      </c>
      <c r="N8" s="136" t="n">
        <v>0.8</v>
      </c>
      <c r="O8" s="133"/>
    </row>
    <row r="9" customFormat="false" ht="15" hidden="false" customHeight="false" outlineLevel="0" collapsed="false">
      <c r="B9" s="132" t="s">
        <v>185</v>
      </c>
      <c r="C9" s="133" t="s">
        <v>186</v>
      </c>
      <c r="D9" s="133" t="s">
        <v>177</v>
      </c>
      <c r="E9" s="133" t="s">
        <v>174</v>
      </c>
      <c r="F9" s="134" t="n">
        <v>48</v>
      </c>
      <c r="G9" s="135" t="n">
        <v>357</v>
      </c>
      <c r="H9" s="133" t="n">
        <v>3</v>
      </c>
      <c r="I9" s="133" t="n">
        <v>2</v>
      </c>
      <c r="J9" s="133" t="s">
        <v>641</v>
      </c>
      <c r="K9" s="133" t="s">
        <v>500</v>
      </c>
      <c r="L9" s="133" t="s">
        <v>642</v>
      </c>
      <c r="M9" s="136" t="n">
        <v>0.5</v>
      </c>
      <c r="N9" s="136" t="n">
        <v>0.5</v>
      </c>
      <c r="O9" s="133"/>
    </row>
    <row r="10" customFormat="false" ht="15" hidden="false" customHeight="false" outlineLevel="0" collapsed="false">
      <c r="B10" s="132" t="s">
        <v>187</v>
      </c>
      <c r="C10" s="133" t="s">
        <v>188</v>
      </c>
      <c r="D10" s="133" t="s">
        <v>177</v>
      </c>
      <c r="E10" s="133" t="s">
        <v>174</v>
      </c>
      <c r="F10" s="134" t="n">
        <v>24</v>
      </c>
      <c r="G10" s="135" t="n">
        <v>585</v>
      </c>
      <c r="H10" s="133" t="n">
        <v>4</v>
      </c>
      <c r="I10" s="133" t="n">
        <v>1</v>
      </c>
      <c r="J10" s="133" t="s">
        <v>641</v>
      </c>
      <c r="K10" s="133" t="s">
        <v>500</v>
      </c>
      <c r="L10" s="133" t="s">
        <v>642</v>
      </c>
      <c r="M10" s="136" t="n">
        <v>1</v>
      </c>
      <c r="N10" s="136" t="n">
        <v>0.9</v>
      </c>
      <c r="O10" s="133"/>
    </row>
    <row r="11" customFormat="false" ht="15" hidden="false" customHeight="false" outlineLevel="0" collapsed="false">
      <c r="B11" s="132" t="s">
        <v>189</v>
      </c>
      <c r="C11" s="133" t="s">
        <v>190</v>
      </c>
      <c r="D11" s="133" t="s">
        <v>177</v>
      </c>
      <c r="E11" s="133" t="s">
        <v>174</v>
      </c>
      <c r="F11" s="134" t="n">
        <v>30</v>
      </c>
      <c r="G11" s="135" t="n">
        <v>118</v>
      </c>
      <c r="H11" s="133" t="n">
        <v>3</v>
      </c>
      <c r="I11" s="133" t="n">
        <v>1</v>
      </c>
      <c r="J11" s="133" t="s">
        <v>641</v>
      </c>
      <c r="K11" s="133" t="s">
        <v>500</v>
      </c>
      <c r="L11" s="133" t="s">
        <v>642</v>
      </c>
      <c r="M11" s="136" t="n">
        <v>1</v>
      </c>
      <c r="N11" s="136" t="n">
        <v>0.9</v>
      </c>
      <c r="O11" s="133"/>
    </row>
    <row r="12" customFormat="false" ht="15" hidden="false" customHeight="false" outlineLevel="0" collapsed="false">
      <c r="B12" s="132" t="s">
        <v>194</v>
      </c>
      <c r="C12" s="133" t="s">
        <v>195</v>
      </c>
      <c r="D12" s="133" t="s">
        <v>193</v>
      </c>
      <c r="E12" s="133" t="s">
        <v>192</v>
      </c>
      <c r="F12" s="134" t="n">
        <v>1</v>
      </c>
      <c r="G12" s="135" t="n">
        <v>3756</v>
      </c>
      <c r="H12" s="133" t="n">
        <v>2</v>
      </c>
      <c r="I12" s="133" t="n">
        <v>1</v>
      </c>
      <c r="J12" s="133" t="s">
        <v>641</v>
      </c>
      <c r="K12" s="133" t="s">
        <v>500</v>
      </c>
      <c r="L12" s="133" t="s">
        <v>643</v>
      </c>
      <c r="M12" s="136" t="n">
        <v>7.4</v>
      </c>
      <c r="N12" s="136" t="n">
        <v>7</v>
      </c>
      <c r="O12" s="133"/>
    </row>
    <row r="13" customFormat="false" ht="15" hidden="false" customHeight="false" outlineLevel="0" collapsed="false">
      <c r="B13" s="132" t="s">
        <v>196</v>
      </c>
      <c r="C13" s="133" t="s">
        <v>197</v>
      </c>
      <c r="D13" s="133" t="s">
        <v>193</v>
      </c>
      <c r="E13" s="133" t="s">
        <v>192</v>
      </c>
      <c r="F13" s="134" t="n">
        <v>1</v>
      </c>
      <c r="G13" s="135" t="n">
        <v>4382</v>
      </c>
      <c r="H13" s="133" t="n">
        <v>5</v>
      </c>
      <c r="I13" s="133" t="n">
        <v>1</v>
      </c>
      <c r="J13" s="133" t="s">
        <v>641</v>
      </c>
      <c r="K13" s="133" t="s">
        <v>500</v>
      </c>
      <c r="L13" s="133" t="s">
        <v>643</v>
      </c>
      <c r="M13" s="136" t="n">
        <v>6.3</v>
      </c>
      <c r="N13" s="136" t="n">
        <v>6</v>
      </c>
      <c r="O13" s="133"/>
    </row>
    <row r="14" customFormat="false" ht="15" hidden="false" customHeight="false" outlineLevel="0" collapsed="false">
      <c r="B14" s="132" t="s">
        <v>198</v>
      </c>
      <c r="C14" s="133" t="s">
        <v>199</v>
      </c>
      <c r="D14" s="133" t="s">
        <v>193</v>
      </c>
      <c r="E14" s="133" t="s">
        <v>192</v>
      </c>
      <c r="F14" s="134" t="n">
        <v>1</v>
      </c>
      <c r="G14" s="135" t="n">
        <v>2890</v>
      </c>
      <c r="H14" s="133" t="n">
        <v>3</v>
      </c>
      <c r="I14" s="133" t="n">
        <v>1</v>
      </c>
      <c r="J14" s="133" t="s">
        <v>641</v>
      </c>
      <c r="K14" s="133" t="s">
        <v>500</v>
      </c>
      <c r="L14" s="133" t="s">
        <v>643</v>
      </c>
      <c r="M14" s="136" t="n">
        <v>7.3</v>
      </c>
      <c r="N14" s="136" t="n">
        <v>6.9</v>
      </c>
      <c r="O14" s="133"/>
    </row>
    <row r="15" customFormat="false" ht="15" hidden="false" customHeight="false" outlineLevel="0" collapsed="false">
      <c r="B15" s="132" t="s">
        <v>200</v>
      </c>
      <c r="C15" s="133" t="s">
        <v>201</v>
      </c>
      <c r="D15" s="133" t="s">
        <v>193</v>
      </c>
      <c r="E15" s="133" t="s">
        <v>192</v>
      </c>
      <c r="F15" s="134" t="n">
        <v>1</v>
      </c>
      <c r="G15" s="135" t="n">
        <v>3636</v>
      </c>
      <c r="H15" s="133" t="n">
        <v>3</v>
      </c>
      <c r="I15" s="133" t="n">
        <v>5</v>
      </c>
      <c r="J15" s="133" t="s">
        <v>641</v>
      </c>
      <c r="K15" s="133" t="s">
        <v>500</v>
      </c>
      <c r="L15" s="133" t="s">
        <v>643</v>
      </c>
      <c r="M15" s="136" t="n">
        <v>7.4</v>
      </c>
      <c r="N15" s="136" t="n">
        <v>7</v>
      </c>
      <c r="O15" s="133"/>
    </row>
    <row r="16" customFormat="false" ht="15" hidden="false" customHeight="false" outlineLevel="0" collapsed="false">
      <c r="B16" s="132" t="s">
        <v>202</v>
      </c>
      <c r="C16" s="133" t="s">
        <v>203</v>
      </c>
      <c r="D16" s="133" t="s">
        <v>193</v>
      </c>
      <c r="E16" s="133" t="s">
        <v>192</v>
      </c>
      <c r="F16" s="134" t="n">
        <v>1</v>
      </c>
      <c r="G16" s="135" t="n">
        <v>3756</v>
      </c>
      <c r="H16" s="133" t="n">
        <v>5</v>
      </c>
      <c r="I16" s="133" t="n">
        <v>1</v>
      </c>
      <c r="J16" s="133" t="s">
        <v>641</v>
      </c>
      <c r="K16" s="133" t="s">
        <v>500</v>
      </c>
      <c r="L16" s="133" t="s">
        <v>643</v>
      </c>
      <c r="M16" s="136" t="n">
        <v>6.1</v>
      </c>
      <c r="N16" s="136" t="n">
        <v>5.8</v>
      </c>
      <c r="O16" s="133"/>
    </row>
    <row r="17" customFormat="false" ht="15" hidden="false" customHeight="false" outlineLevel="0" collapsed="false">
      <c r="B17" s="132" t="s">
        <v>204</v>
      </c>
      <c r="C17" s="133" t="s">
        <v>205</v>
      </c>
      <c r="D17" s="133" t="s">
        <v>193</v>
      </c>
      <c r="E17" s="133" t="s">
        <v>192</v>
      </c>
      <c r="F17" s="134" t="n">
        <v>1</v>
      </c>
      <c r="G17" s="135" t="n">
        <v>7510</v>
      </c>
      <c r="H17" s="133" t="n">
        <v>7</v>
      </c>
      <c r="I17" s="133" t="n">
        <v>1</v>
      </c>
      <c r="J17" s="133" t="s">
        <v>641</v>
      </c>
      <c r="K17" s="133" t="s">
        <v>500</v>
      </c>
      <c r="L17" s="133" t="s">
        <v>643</v>
      </c>
      <c r="M17" s="136" t="n">
        <v>5.7</v>
      </c>
      <c r="N17" s="136" t="n">
        <v>0</v>
      </c>
      <c r="O17" s="133"/>
    </row>
    <row r="18" customFormat="false" ht="15" hidden="false" customHeight="false" outlineLevel="0" collapsed="false">
      <c r="B18" s="132" t="s">
        <v>206</v>
      </c>
      <c r="C18" s="133" t="s">
        <v>207</v>
      </c>
      <c r="D18" s="133" t="s">
        <v>193</v>
      </c>
      <c r="E18" s="133" t="s">
        <v>192</v>
      </c>
      <c r="F18" s="134" t="n">
        <v>1</v>
      </c>
      <c r="G18" s="135" t="n">
        <v>8136</v>
      </c>
      <c r="H18" s="133" t="n">
        <v>4</v>
      </c>
      <c r="I18" s="133" t="n">
        <v>1</v>
      </c>
      <c r="J18" s="133" t="s">
        <v>641</v>
      </c>
      <c r="K18" s="133" t="s">
        <v>500</v>
      </c>
      <c r="L18" s="133" t="s">
        <v>643</v>
      </c>
      <c r="M18" s="136" t="n">
        <v>4.8</v>
      </c>
      <c r="N18" s="136" t="n">
        <v>4.6</v>
      </c>
      <c r="O18" s="133"/>
    </row>
    <row r="19" customFormat="false" ht="15" hidden="false" customHeight="false" outlineLevel="0" collapsed="false">
      <c r="B19" s="132" t="s">
        <v>208</v>
      </c>
      <c r="C19" s="133" t="s">
        <v>209</v>
      </c>
      <c r="D19" s="133" t="s">
        <v>193</v>
      </c>
      <c r="E19" s="133" t="s">
        <v>192</v>
      </c>
      <c r="F19" s="134" t="n">
        <v>1</v>
      </c>
      <c r="G19" s="135" t="n">
        <v>8136</v>
      </c>
      <c r="H19" s="133" t="n">
        <v>2</v>
      </c>
      <c r="I19" s="133" t="n">
        <v>1</v>
      </c>
      <c r="J19" s="133" t="s">
        <v>641</v>
      </c>
      <c r="K19" s="133" t="s">
        <v>500</v>
      </c>
      <c r="L19" s="133" t="s">
        <v>643</v>
      </c>
      <c r="M19" s="136" t="n">
        <v>7.1</v>
      </c>
      <c r="N19" s="136" t="n">
        <v>6.7</v>
      </c>
      <c r="O19" s="133"/>
    </row>
    <row r="20" customFormat="false" ht="15" hidden="false" customHeight="false" outlineLevel="0" collapsed="false">
      <c r="B20" s="132" t="s">
        <v>210</v>
      </c>
      <c r="C20" s="133" t="s">
        <v>211</v>
      </c>
      <c r="D20" s="133" t="s">
        <v>193</v>
      </c>
      <c r="E20" s="133" t="s">
        <v>192</v>
      </c>
      <c r="F20" s="134" t="n">
        <v>1</v>
      </c>
      <c r="G20" s="135" t="n">
        <v>8136</v>
      </c>
      <c r="H20" s="133" t="n">
        <v>7</v>
      </c>
      <c r="I20" s="133" t="n">
        <v>2</v>
      </c>
      <c r="J20" s="133" t="s">
        <v>641</v>
      </c>
      <c r="K20" s="133" t="s">
        <v>500</v>
      </c>
      <c r="L20" s="133" t="s">
        <v>643</v>
      </c>
      <c r="M20" s="136" t="n">
        <v>3.5</v>
      </c>
      <c r="N20" s="136" t="n">
        <v>3.3</v>
      </c>
      <c r="O20" s="133"/>
    </row>
    <row r="21" customFormat="false" ht="15" hidden="false" customHeight="false" outlineLevel="0" collapsed="false">
      <c r="B21" s="132" t="s">
        <v>212</v>
      </c>
      <c r="C21" s="133" t="s">
        <v>213</v>
      </c>
      <c r="D21" s="133" t="s">
        <v>193</v>
      </c>
      <c r="E21" s="133" t="s">
        <v>192</v>
      </c>
      <c r="F21" s="134" t="n">
        <v>1</v>
      </c>
      <c r="G21" s="135" t="n">
        <v>8136</v>
      </c>
      <c r="H21" s="133" t="n">
        <v>7</v>
      </c>
      <c r="I21" s="133" t="n">
        <v>1</v>
      </c>
      <c r="J21" s="133" t="s">
        <v>641</v>
      </c>
      <c r="K21" s="133" t="s">
        <v>500</v>
      </c>
      <c r="L21" s="133" t="s">
        <v>643</v>
      </c>
      <c r="M21" s="136" t="n">
        <v>5.5</v>
      </c>
      <c r="N21" s="136" t="n">
        <v>5.2</v>
      </c>
      <c r="O21" s="133"/>
    </row>
    <row r="22" customFormat="false" ht="15" hidden="false" customHeight="false" outlineLevel="0" collapsed="false">
      <c r="B22" s="132" t="s">
        <v>214</v>
      </c>
      <c r="C22" s="133" t="s">
        <v>215</v>
      </c>
      <c r="D22" s="133" t="s">
        <v>193</v>
      </c>
      <c r="E22" s="133" t="s">
        <v>192</v>
      </c>
      <c r="F22" s="134" t="n">
        <v>1</v>
      </c>
      <c r="G22" s="135" t="n">
        <v>8638</v>
      </c>
      <c r="H22" s="133" t="n">
        <v>5</v>
      </c>
      <c r="I22" s="133" t="n">
        <v>1</v>
      </c>
      <c r="J22" s="133" t="s">
        <v>641</v>
      </c>
      <c r="K22" s="133" t="s">
        <v>500</v>
      </c>
      <c r="L22" s="133" t="s">
        <v>643</v>
      </c>
      <c r="M22" s="136" t="n">
        <v>6.3</v>
      </c>
      <c r="N22" s="136" t="n">
        <v>6</v>
      </c>
      <c r="O22" s="133"/>
    </row>
    <row r="23" customFormat="false" ht="15" hidden="false" customHeight="false" outlineLevel="0" collapsed="false">
      <c r="B23" s="132" t="s">
        <v>218</v>
      </c>
      <c r="C23" s="133" t="s">
        <v>219</v>
      </c>
      <c r="D23" s="133" t="s">
        <v>217</v>
      </c>
      <c r="E23" s="133" t="s">
        <v>192</v>
      </c>
      <c r="F23" s="134" t="n">
        <v>10</v>
      </c>
      <c r="G23" s="135" t="n">
        <v>4503.2</v>
      </c>
      <c r="H23" s="133" t="n">
        <v>7</v>
      </c>
      <c r="I23" s="133" t="n">
        <v>1</v>
      </c>
      <c r="J23" s="133" t="s">
        <v>641</v>
      </c>
      <c r="K23" s="133" t="s">
        <v>499</v>
      </c>
      <c r="L23" s="133" t="s">
        <v>642</v>
      </c>
      <c r="M23" s="136" t="n">
        <v>1.2</v>
      </c>
      <c r="N23" s="136" t="n">
        <v>1.1</v>
      </c>
      <c r="O23" s="133"/>
    </row>
    <row r="24" customFormat="false" ht="15" hidden="false" customHeight="false" outlineLevel="0" collapsed="false">
      <c r="B24" s="132" t="s">
        <v>220</v>
      </c>
      <c r="C24" s="133" t="s">
        <v>221</v>
      </c>
      <c r="D24" s="133" t="s">
        <v>217</v>
      </c>
      <c r="E24" s="133" t="s">
        <v>192</v>
      </c>
      <c r="F24" s="134" t="n">
        <v>12</v>
      </c>
      <c r="G24" s="135" t="n">
        <v>332</v>
      </c>
      <c r="H24" s="133" t="n">
        <v>5</v>
      </c>
      <c r="I24" s="133" t="n">
        <v>5</v>
      </c>
      <c r="J24" s="133" t="s">
        <v>641</v>
      </c>
      <c r="K24" s="133" t="s">
        <v>499</v>
      </c>
      <c r="L24" s="133" t="s">
        <v>642</v>
      </c>
      <c r="M24" s="136" t="n">
        <v>1.3</v>
      </c>
      <c r="N24" s="136" t="n">
        <v>1.2</v>
      </c>
      <c r="O24" s="133"/>
    </row>
    <row r="25" customFormat="false" ht="15" hidden="false" customHeight="false" outlineLevel="0" collapsed="false">
      <c r="B25" s="132" t="s">
        <v>224</v>
      </c>
      <c r="C25" s="133" t="s">
        <v>225</v>
      </c>
      <c r="D25" s="133" t="s">
        <v>223</v>
      </c>
      <c r="E25" s="133" t="s">
        <v>192</v>
      </c>
      <c r="F25" s="134" t="n">
        <v>1</v>
      </c>
      <c r="G25" s="135" t="n">
        <v>2254</v>
      </c>
      <c r="H25" s="133" t="n">
        <v>4</v>
      </c>
      <c r="I25" s="133" t="n">
        <v>1</v>
      </c>
      <c r="J25" s="133" t="s">
        <v>641</v>
      </c>
      <c r="K25" s="133" t="s">
        <v>499</v>
      </c>
      <c r="L25" s="133" t="s">
        <v>642</v>
      </c>
      <c r="M25" s="136" t="n">
        <v>1.5</v>
      </c>
      <c r="N25" s="136" t="n">
        <v>1.4</v>
      </c>
      <c r="O25" s="133"/>
    </row>
    <row r="26" customFormat="false" ht="15" hidden="false" customHeight="false" outlineLevel="0" collapsed="false">
      <c r="B26" s="132" t="s">
        <v>226</v>
      </c>
      <c r="C26" s="133" t="s">
        <v>227</v>
      </c>
      <c r="D26" s="133" t="s">
        <v>223</v>
      </c>
      <c r="E26" s="133" t="s">
        <v>192</v>
      </c>
      <c r="F26" s="134" t="n">
        <v>1</v>
      </c>
      <c r="G26" s="135" t="n">
        <v>2309</v>
      </c>
      <c r="H26" s="133" t="n">
        <v>5</v>
      </c>
      <c r="I26" s="133" t="n">
        <v>5</v>
      </c>
      <c r="J26" s="133" t="s">
        <v>641</v>
      </c>
      <c r="K26" s="133" t="s">
        <v>499</v>
      </c>
      <c r="L26" s="133" t="s">
        <v>642</v>
      </c>
      <c r="M26" s="136" t="n">
        <v>1.8</v>
      </c>
      <c r="N26" s="136" t="n">
        <v>1.7</v>
      </c>
      <c r="O26" s="133"/>
    </row>
    <row r="27" customFormat="false" ht="15" hidden="false" customHeight="false" outlineLevel="0" collapsed="false">
      <c r="B27" s="132" t="s">
        <v>228</v>
      </c>
      <c r="C27" s="133" t="s">
        <v>229</v>
      </c>
      <c r="D27" s="133" t="s">
        <v>223</v>
      </c>
      <c r="E27" s="133" t="s">
        <v>192</v>
      </c>
      <c r="F27" s="134" t="n">
        <v>1</v>
      </c>
      <c r="G27" s="135" t="n">
        <v>2705</v>
      </c>
      <c r="H27" s="133" t="n">
        <v>2</v>
      </c>
      <c r="I27" s="133" t="n">
        <v>5</v>
      </c>
      <c r="J27" s="133" t="s">
        <v>641</v>
      </c>
      <c r="K27" s="133" t="s">
        <v>499</v>
      </c>
      <c r="L27" s="133" t="s">
        <v>642</v>
      </c>
      <c r="M27" s="136" t="n">
        <v>1.2</v>
      </c>
      <c r="N27" s="136" t="n">
        <v>1.1</v>
      </c>
      <c r="O27" s="133"/>
    </row>
    <row r="28" customFormat="false" ht="15" hidden="false" customHeight="false" outlineLevel="0" collapsed="false">
      <c r="B28" s="132" t="s">
        <v>232</v>
      </c>
      <c r="C28" s="133" t="s">
        <v>233</v>
      </c>
      <c r="D28" s="133" t="s">
        <v>231</v>
      </c>
      <c r="E28" s="133" t="s">
        <v>192</v>
      </c>
      <c r="F28" s="134" t="n">
        <v>120</v>
      </c>
      <c r="G28" s="135" t="n">
        <v>142</v>
      </c>
      <c r="H28" s="133" t="n">
        <v>7</v>
      </c>
      <c r="I28" s="133" t="n">
        <v>2</v>
      </c>
      <c r="J28" s="133" t="s">
        <v>641</v>
      </c>
      <c r="K28" s="133" t="s">
        <v>500</v>
      </c>
      <c r="L28" s="133" t="s">
        <v>643</v>
      </c>
      <c r="M28" s="136" t="n">
        <v>3.2</v>
      </c>
      <c r="N28" s="136" t="n">
        <v>3</v>
      </c>
      <c r="O28" s="133"/>
    </row>
    <row r="29" customFormat="false" ht="15" hidden="false" customHeight="false" outlineLevel="0" collapsed="false">
      <c r="B29" s="132" t="s">
        <v>234</v>
      </c>
      <c r="C29" s="133" t="s">
        <v>235</v>
      </c>
      <c r="D29" s="133" t="s">
        <v>231</v>
      </c>
      <c r="E29" s="133" t="s">
        <v>192</v>
      </c>
      <c r="F29" s="134" t="n">
        <v>120</v>
      </c>
      <c r="G29" s="135" t="n">
        <v>107</v>
      </c>
      <c r="H29" s="133" t="n">
        <v>7</v>
      </c>
      <c r="I29" s="133" t="n">
        <v>1</v>
      </c>
      <c r="J29" s="133" t="s">
        <v>641</v>
      </c>
      <c r="K29" s="133" t="s">
        <v>500</v>
      </c>
      <c r="L29" s="133" t="s">
        <v>643</v>
      </c>
      <c r="M29" s="136" t="n">
        <v>1.9</v>
      </c>
      <c r="N29" s="136" t="n">
        <v>1.8</v>
      </c>
      <c r="O29" s="133"/>
    </row>
    <row r="30" customFormat="false" ht="15" hidden="false" customHeight="false" outlineLevel="0" collapsed="false">
      <c r="B30" s="132" t="s">
        <v>236</v>
      </c>
      <c r="C30" s="133" t="s">
        <v>237</v>
      </c>
      <c r="D30" s="133" t="s">
        <v>231</v>
      </c>
      <c r="E30" s="133" t="s">
        <v>192</v>
      </c>
      <c r="F30" s="134" t="n">
        <v>90</v>
      </c>
      <c r="G30" s="135" t="n">
        <v>166</v>
      </c>
      <c r="H30" s="133" t="n">
        <v>3</v>
      </c>
      <c r="I30" s="133" t="n">
        <v>5</v>
      </c>
      <c r="J30" s="133" t="s">
        <v>641</v>
      </c>
      <c r="K30" s="133" t="s">
        <v>500</v>
      </c>
      <c r="L30" s="133" t="s">
        <v>643</v>
      </c>
      <c r="M30" s="136" t="n">
        <v>3.4</v>
      </c>
      <c r="N30" s="136" t="n">
        <v>3.2</v>
      </c>
      <c r="O30" s="133"/>
    </row>
    <row r="31" customFormat="false" ht="15" hidden="false" customHeight="false" outlineLevel="0" collapsed="false">
      <c r="B31" s="132" t="s">
        <v>238</v>
      </c>
      <c r="C31" s="133" t="s">
        <v>239</v>
      </c>
      <c r="D31" s="133" t="s">
        <v>231</v>
      </c>
      <c r="E31" s="133" t="s">
        <v>192</v>
      </c>
      <c r="F31" s="134" t="n">
        <v>80</v>
      </c>
      <c r="G31" s="135" t="n">
        <v>203</v>
      </c>
      <c r="H31" s="133" t="n">
        <v>4</v>
      </c>
      <c r="I31" s="133" t="n">
        <v>1</v>
      </c>
      <c r="J31" s="133" t="s">
        <v>641</v>
      </c>
      <c r="K31" s="133" t="s">
        <v>500</v>
      </c>
      <c r="L31" s="133" t="s">
        <v>643</v>
      </c>
      <c r="M31" s="136" t="n">
        <v>2.4</v>
      </c>
      <c r="N31" s="136" t="n">
        <v>2.3</v>
      </c>
      <c r="O31" s="133"/>
    </row>
    <row r="32" customFormat="false" ht="15" hidden="false" customHeight="false" outlineLevel="0" collapsed="false">
      <c r="B32" s="132" t="s">
        <v>240</v>
      </c>
      <c r="C32" s="133" t="s">
        <v>241</v>
      </c>
      <c r="D32" s="133" t="s">
        <v>231</v>
      </c>
      <c r="E32" s="133" t="s">
        <v>192</v>
      </c>
      <c r="F32" s="134" t="n">
        <v>80</v>
      </c>
      <c r="G32" s="135" t="n">
        <v>203</v>
      </c>
      <c r="H32" s="133" t="n">
        <v>2</v>
      </c>
      <c r="I32" s="133" t="n">
        <v>5</v>
      </c>
      <c r="J32" s="133" t="s">
        <v>641</v>
      </c>
      <c r="K32" s="133" t="s">
        <v>500</v>
      </c>
      <c r="L32" s="133" t="s">
        <v>643</v>
      </c>
      <c r="M32" s="136" t="n">
        <v>2.5</v>
      </c>
      <c r="N32" s="136" t="n">
        <v>2.4</v>
      </c>
      <c r="O32" s="133"/>
    </row>
    <row r="33" customFormat="false" ht="15" hidden="false" customHeight="false" outlineLevel="0" collapsed="false">
      <c r="B33" s="132" t="s">
        <v>242</v>
      </c>
      <c r="C33" s="133" t="s">
        <v>243</v>
      </c>
      <c r="D33" s="133" t="s">
        <v>231</v>
      </c>
      <c r="E33" s="133" t="s">
        <v>192</v>
      </c>
      <c r="F33" s="134" t="n">
        <v>1</v>
      </c>
      <c r="G33" s="135" t="n">
        <v>26884</v>
      </c>
      <c r="H33" s="133" t="n">
        <v>3</v>
      </c>
      <c r="I33" s="133" t="n">
        <v>1</v>
      </c>
      <c r="J33" s="133" t="s">
        <v>641</v>
      </c>
      <c r="K33" s="133" t="s">
        <v>500</v>
      </c>
      <c r="L33" s="133" t="s">
        <v>643</v>
      </c>
      <c r="M33" s="136" t="n">
        <v>3</v>
      </c>
      <c r="N33" s="136" t="n">
        <v>2.8</v>
      </c>
      <c r="O33" s="133"/>
    </row>
    <row r="34" customFormat="false" ht="15" hidden="false" customHeight="false" outlineLevel="0" collapsed="false">
      <c r="B34" s="132" t="s">
        <v>244</v>
      </c>
      <c r="C34" s="133" t="s">
        <v>245</v>
      </c>
      <c r="D34" s="133" t="s">
        <v>231</v>
      </c>
      <c r="E34" s="133" t="s">
        <v>192</v>
      </c>
      <c r="F34" s="134" t="n">
        <v>1</v>
      </c>
      <c r="G34" s="135" t="n">
        <v>26884</v>
      </c>
      <c r="H34" s="133" t="n">
        <v>7</v>
      </c>
      <c r="I34" s="133" t="n">
        <v>1</v>
      </c>
      <c r="J34" s="133" t="s">
        <v>641</v>
      </c>
      <c r="K34" s="133" t="s">
        <v>500</v>
      </c>
      <c r="L34" s="133" t="s">
        <v>643</v>
      </c>
      <c r="M34" s="136" t="n">
        <v>1.5</v>
      </c>
      <c r="N34" s="136" t="n">
        <v>1.4</v>
      </c>
      <c r="O34" s="133"/>
    </row>
    <row r="35" customFormat="false" ht="15" hidden="false" customHeight="false" outlineLevel="0" collapsed="false">
      <c r="B35" s="132" t="s">
        <v>246</v>
      </c>
      <c r="C35" s="133" t="s">
        <v>247</v>
      </c>
      <c r="D35" s="133" t="s">
        <v>231</v>
      </c>
      <c r="E35" s="133" t="s">
        <v>192</v>
      </c>
      <c r="F35" s="134" t="n">
        <v>1</v>
      </c>
      <c r="G35" s="135" t="n">
        <v>26884</v>
      </c>
      <c r="H35" s="133" t="n">
        <v>3</v>
      </c>
      <c r="I35" s="133" t="n">
        <v>1</v>
      </c>
      <c r="J35" s="133" t="s">
        <v>641</v>
      </c>
      <c r="K35" s="133" t="s">
        <v>500</v>
      </c>
      <c r="L35" s="133" t="s">
        <v>643</v>
      </c>
      <c r="M35" s="136" t="n">
        <v>3.6</v>
      </c>
      <c r="N35" s="136" t="n">
        <v>3.4</v>
      </c>
      <c r="O35" s="133"/>
    </row>
    <row r="36" customFormat="false" ht="15" hidden="false" customHeight="false" outlineLevel="0" collapsed="false">
      <c r="B36" s="132" t="s">
        <v>248</v>
      </c>
      <c r="C36" s="133" t="s">
        <v>249</v>
      </c>
      <c r="D36" s="133" t="s">
        <v>231</v>
      </c>
      <c r="E36" s="133" t="s">
        <v>192</v>
      </c>
      <c r="F36" s="134" t="n">
        <v>1</v>
      </c>
      <c r="G36" s="135" t="n">
        <v>1386</v>
      </c>
      <c r="H36" s="133" t="n">
        <v>2</v>
      </c>
      <c r="I36" s="133" t="n">
        <v>1</v>
      </c>
      <c r="J36" s="133" t="s">
        <v>641</v>
      </c>
      <c r="K36" s="133" t="s">
        <v>500</v>
      </c>
      <c r="L36" s="133" t="s">
        <v>643</v>
      </c>
      <c r="M36" s="136" t="n">
        <v>3</v>
      </c>
      <c r="N36" s="136" t="n">
        <v>2.8</v>
      </c>
      <c r="O36" s="133"/>
    </row>
    <row r="37" customFormat="false" ht="15" hidden="false" customHeight="false" outlineLevel="0" collapsed="false">
      <c r="B37" s="132" t="s">
        <v>250</v>
      </c>
      <c r="C37" s="133" t="s">
        <v>251</v>
      </c>
      <c r="D37" s="133" t="s">
        <v>231</v>
      </c>
      <c r="E37" s="133" t="s">
        <v>192</v>
      </c>
      <c r="F37" s="134" t="n">
        <v>24</v>
      </c>
      <c r="G37" s="135" t="n">
        <v>87</v>
      </c>
      <c r="H37" s="133" t="n">
        <v>3</v>
      </c>
      <c r="I37" s="133" t="n">
        <v>5</v>
      </c>
      <c r="J37" s="133" t="s">
        <v>641</v>
      </c>
      <c r="K37" s="133" t="s">
        <v>500</v>
      </c>
      <c r="L37" s="133" t="s">
        <v>643</v>
      </c>
      <c r="M37" s="136" t="n">
        <v>2.5</v>
      </c>
      <c r="N37" s="136" t="n">
        <v>2.4</v>
      </c>
      <c r="O37" s="133"/>
    </row>
    <row r="38" customFormat="false" ht="15" hidden="false" customHeight="false" outlineLevel="0" collapsed="false">
      <c r="B38" s="132" t="s">
        <v>254</v>
      </c>
      <c r="C38" s="133" t="s">
        <v>255</v>
      </c>
      <c r="D38" s="133" t="s">
        <v>253</v>
      </c>
      <c r="E38" s="133" t="s">
        <v>192</v>
      </c>
      <c r="F38" s="134" t="n">
        <v>1</v>
      </c>
      <c r="G38" s="135" t="n">
        <v>12046</v>
      </c>
      <c r="H38" s="133" t="n">
        <v>3</v>
      </c>
      <c r="I38" s="133" t="n">
        <v>1</v>
      </c>
      <c r="J38" s="133" t="s">
        <v>641</v>
      </c>
      <c r="K38" s="133" t="s">
        <v>499</v>
      </c>
      <c r="L38" s="133" t="s">
        <v>642</v>
      </c>
      <c r="M38" s="136" t="n">
        <v>5.4</v>
      </c>
      <c r="N38" s="136" t="n">
        <v>0</v>
      </c>
      <c r="O38" s="133"/>
    </row>
    <row r="39" customFormat="false" ht="15" hidden="false" customHeight="false" outlineLevel="0" collapsed="false">
      <c r="B39" s="132" t="s">
        <v>256</v>
      </c>
      <c r="C39" s="133" t="s">
        <v>257</v>
      </c>
      <c r="D39" s="133" t="s">
        <v>253</v>
      </c>
      <c r="E39" s="133" t="s">
        <v>192</v>
      </c>
      <c r="F39" s="134" t="n">
        <v>1</v>
      </c>
      <c r="G39" s="135" t="n">
        <v>5841</v>
      </c>
      <c r="H39" s="133" t="n">
        <v>3</v>
      </c>
      <c r="I39" s="133" t="n">
        <v>1</v>
      </c>
      <c r="J39" s="133" t="s">
        <v>641</v>
      </c>
      <c r="K39" s="133" t="s">
        <v>499</v>
      </c>
      <c r="L39" s="133" t="s">
        <v>642</v>
      </c>
      <c r="M39" s="136" t="n">
        <v>8.1</v>
      </c>
      <c r="N39" s="136" t="n">
        <v>7.7</v>
      </c>
      <c r="O39" s="133"/>
    </row>
    <row r="40" customFormat="false" ht="15" hidden="false" customHeight="false" outlineLevel="0" collapsed="false">
      <c r="B40" s="132" t="s">
        <v>258</v>
      </c>
      <c r="C40" s="133" t="s">
        <v>259</v>
      </c>
      <c r="D40" s="133" t="s">
        <v>253</v>
      </c>
      <c r="E40" s="133" t="s">
        <v>192</v>
      </c>
      <c r="F40" s="134" t="n">
        <v>6</v>
      </c>
      <c r="G40" s="135" t="n">
        <v>786</v>
      </c>
      <c r="H40" s="133" t="n">
        <v>7</v>
      </c>
      <c r="I40" s="133" t="n">
        <v>1</v>
      </c>
      <c r="J40" s="133" t="s">
        <v>641</v>
      </c>
      <c r="K40" s="133" t="s">
        <v>499</v>
      </c>
      <c r="L40" s="133" t="s">
        <v>642</v>
      </c>
      <c r="M40" s="136" t="n">
        <v>8.4</v>
      </c>
      <c r="N40" s="136" t="n">
        <v>0</v>
      </c>
      <c r="O40" s="133"/>
    </row>
    <row r="41" customFormat="false" ht="15" hidden="false" customHeight="false" outlineLevel="0" collapsed="false">
      <c r="B41" s="132" t="s">
        <v>260</v>
      </c>
      <c r="C41" s="133" t="s">
        <v>261</v>
      </c>
      <c r="D41" s="133" t="s">
        <v>253</v>
      </c>
      <c r="E41" s="133" t="s">
        <v>192</v>
      </c>
      <c r="F41" s="134" t="n">
        <v>1</v>
      </c>
      <c r="G41" s="135" t="n">
        <v>1024</v>
      </c>
      <c r="H41" s="133" t="n">
        <v>3</v>
      </c>
      <c r="I41" s="133" t="n">
        <v>1</v>
      </c>
      <c r="J41" s="133" t="s">
        <v>641</v>
      </c>
      <c r="K41" s="133" t="s">
        <v>499</v>
      </c>
      <c r="L41" s="133" t="s">
        <v>642</v>
      </c>
      <c r="M41" s="136" t="n">
        <v>4.3</v>
      </c>
      <c r="N41" s="136" t="n">
        <v>4.1</v>
      </c>
      <c r="O41" s="133"/>
    </row>
    <row r="42" customFormat="false" ht="15" hidden="false" customHeight="false" outlineLevel="0" collapsed="false">
      <c r="B42" s="132" t="s">
        <v>262</v>
      </c>
      <c r="C42" s="133" t="s">
        <v>263</v>
      </c>
      <c r="D42" s="133" t="s">
        <v>253</v>
      </c>
      <c r="E42" s="133" t="s">
        <v>192</v>
      </c>
      <c r="F42" s="134" t="n">
        <v>1</v>
      </c>
      <c r="G42" s="135" t="n">
        <v>1074</v>
      </c>
      <c r="H42" s="133" t="n">
        <v>2</v>
      </c>
      <c r="I42" s="133" t="n">
        <v>1</v>
      </c>
      <c r="J42" s="133" t="s">
        <v>641</v>
      </c>
      <c r="K42" s="133" t="s">
        <v>499</v>
      </c>
      <c r="L42" s="133" t="s">
        <v>642</v>
      </c>
      <c r="M42" s="136" t="n">
        <v>5.8</v>
      </c>
      <c r="N42" s="136" t="n">
        <v>5.5</v>
      </c>
      <c r="O42" s="133"/>
    </row>
    <row r="43" customFormat="false" ht="15" hidden="false" customHeight="false" outlineLevel="0" collapsed="false">
      <c r="B43" s="132" t="s">
        <v>264</v>
      </c>
      <c r="C43" s="133" t="s">
        <v>265</v>
      </c>
      <c r="D43" s="133" t="s">
        <v>253</v>
      </c>
      <c r="E43" s="133" t="s">
        <v>192</v>
      </c>
      <c r="F43" s="134" t="n">
        <v>1</v>
      </c>
      <c r="G43" s="135" t="n">
        <v>1396</v>
      </c>
      <c r="H43" s="133" t="n">
        <v>2</v>
      </c>
      <c r="I43" s="133" t="n">
        <v>1</v>
      </c>
      <c r="J43" s="133" t="s">
        <v>641</v>
      </c>
      <c r="K43" s="133" t="s">
        <v>499</v>
      </c>
      <c r="L43" s="133" t="s">
        <v>642</v>
      </c>
      <c r="M43" s="136" t="n">
        <v>5.1</v>
      </c>
      <c r="N43" s="136" t="n">
        <v>4.8</v>
      </c>
      <c r="O43" s="133"/>
    </row>
    <row r="44" customFormat="false" ht="15" hidden="false" customHeight="false" outlineLevel="0" collapsed="false">
      <c r="B44" s="132" t="s">
        <v>266</v>
      </c>
      <c r="C44" s="133" t="s">
        <v>267</v>
      </c>
      <c r="D44" s="133" t="s">
        <v>253</v>
      </c>
      <c r="E44" s="133" t="s">
        <v>192</v>
      </c>
      <c r="F44" s="134" t="n">
        <v>48</v>
      </c>
      <c r="G44" s="135" t="n">
        <v>114</v>
      </c>
      <c r="H44" s="133" t="n">
        <v>5</v>
      </c>
      <c r="I44" s="133" t="n">
        <v>2</v>
      </c>
      <c r="J44" s="133" t="s">
        <v>641</v>
      </c>
      <c r="K44" s="133" t="s">
        <v>499</v>
      </c>
      <c r="L44" s="133" t="s">
        <v>642</v>
      </c>
      <c r="M44" s="136" t="n">
        <v>9.5</v>
      </c>
      <c r="N44" s="136" t="n">
        <v>9</v>
      </c>
      <c r="O44" s="133"/>
    </row>
    <row r="45" customFormat="false" ht="15" hidden="false" customHeight="false" outlineLevel="0" collapsed="false">
      <c r="B45" s="132" t="s">
        <v>268</v>
      </c>
      <c r="C45" s="133" t="s">
        <v>269</v>
      </c>
      <c r="D45" s="133" t="s">
        <v>253</v>
      </c>
      <c r="E45" s="133" t="s">
        <v>192</v>
      </c>
      <c r="F45" s="134" t="n">
        <v>1</v>
      </c>
      <c r="G45" s="135" t="n">
        <v>4420</v>
      </c>
      <c r="H45" s="133" t="n">
        <v>2</v>
      </c>
      <c r="I45" s="133" t="n">
        <v>1</v>
      </c>
      <c r="J45" s="133" t="s">
        <v>641</v>
      </c>
      <c r="K45" s="133" t="s">
        <v>499</v>
      </c>
      <c r="L45" s="133" t="s">
        <v>642</v>
      </c>
      <c r="M45" s="136" t="n">
        <v>5.9</v>
      </c>
      <c r="N45" s="136" t="n">
        <v>5.6</v>
      </c>
      <c r="O45" s="133"/>
    </row>
    <row r="46" customFormat="false" ht="15" hidden="false" customHeight="false" outlineLevel="0" collapsed="false">
      <c r="B46" s="132" t="s">
        <v>270</v>
      </c>
      <c r="C46" s="133" t="s">
        <v>271</v>
      </c>
      <c r="D46" s="133" t="s">
        <v>253</v>
      </c>
      <c r="E46" s="133" t="s">
        <v>192</v>
      </c>
      <c r="F46" s="134" t="n">
        <v>1</v>
      </c>
      <c r="G46" s="135" t="n">
        <v>1099</v>
      </c>
      <c r="H46" s="133" t="n">
        <v>7</v>
      </c>
      <c r="I46" s="133" t="n">
        <v>1</v>
      </c>
      <c r="J46" s="133" t="s">
        <v>641</v>
      </c>
      <c r="K46" s="133" t="s">
        <v>499</v>
      </c>
      <c r="L46" s="133" t="s">
        <v>642</v>
      </c>
      <c r="M46" s="136" t="n">
        <v>6.2</v>
      </c>
      <c r="N46" s="136" t="n">
        <v>5.9</v>
      </c>
      <c r="O46" s="133"/>
    </row>
    <row r="47" customFormat="false" ht="15" hidden="false" customHeight="false" outlineLevel="0" collapsed="false">
      <c r="B47" s="132" t="s">
        <v>272</v>
      </c>
      <c r="C47" s="133" t="s">
        <v>273</v>
      </c>
      <c r="D47" s="133" t="s">
        <v>253</v>
      </c>
      <c r="E47" s="133" t="s">
        <v>192</v>
      </c>
      <c r="F47" s="134" t="n">
        <v>1</v>
      </c>
      <c r="G47" s="135" t="n">
        <v>955</v>
      </c>
      <c r="H47" s="133" t="n">
        <v>5</v>
      </c>
      <c r="I47" s="133" t="n">
        <v>5</v>
      </c>
      <c r="J47" s="133" t="s">
        <v>641</v>
      </c>
      <c r="K47" s="133" t="s">
        <v>499</v>
      </c>
      <c r="L47" s="133" t="s">
        <v>642</v>
      </c>
      <c r="M47" s="136" t="n">
        <v>7.7</v>
      </c>
      <c r="N47" s="136" t="n">
        <v>7.3</v>
      </c>
      <c r="O47" s="133"/>
    </row>
    <row r="48" customFormat="false" ht="15" hidden="false" customHeight="false" outlineLevel="0" collapsed="false">
      <c r="B48" s="132" t="s">
        <v>274</v>
      </c>
      <c r="C48" s="133" t="s">
        <v>275</v>
      </c>
      <c r="D48" s="133" t="s">
        <v>253</v>
      </c>
      <c r="E48" s="133" t="s">
        <v>192</v>
      </c>
      <c r="F48" s="134" t="n">
        <v>1</v>
      </c>
      <c r="G48" s="135" t="n">
        <v>6887</v>
      </c>
      <c r="H48" s="133" t="n">
        <v>2</v>
      </c>
      <c r="I48" s="133" t="n">
        <v>1</v>
      </c>
      <c r="J48" s="133" t="s">
        <v>641</v>
      </c>
      <c r="K48" s="133" t="s">
        <v>499</v>
      </c>
      <c r="L48" s="133" t="s">
        <v>642</v>
      </c>
      <c r="M48" s="136" t="n">
        <v>9.7</v>
      </c>
      <c r="N48" s="136" t="n">
        <v>9.2</v>
      </c>
      <c r="O48" s="133"/>
    </row>
    <row r="49" customFormat="false" ht="15" hidden="false" customHeight="false" outlineLevel="0" collapsed="false">
      <c r="B49" s="132" t="s">
        <v>276</v>
      </c>
      <c r="C49" s="133" t="s">
        <v>277</v>
      </c>
      <c r="D49" s="133" t="s">
        <v>253</v>
      </c>
      <c r="E49" s="133" t="s">
        <v>192</v>
      </c>
      <c r="F49" s="134" t="n">
        <v>1</v>
      </c>
      <c r="G49" s="135" t="n">
        <v>1180</v>
      </c>
      <c r="H49" s="133" t="n">
        <v>2</v>
      </c>
      <c r="I49" s="133" t="n">
        <v>1</v>
      </c>
      <c r="J49" s="133" t="s">
        <v>641</v>
      </c>
      <c r="K49" s="133" t="s">
        <v>499</v>
      </c>
      <c r="L49" s="133" t="s">
        <v>642</v>
      </c>
      <c r="M49" s="136" t="n">
        <v>8.9</v>
      </c>
      <c r="N49" s="136" t="n">
        <v>8.5</v>
      </c>
      <c r="O49" s="133"/>
    </row>
    <row r="50" customFormat="false" ht="15" hidden="false" customHeight="false" outlineLevel="0" collapsed="false">
      <c r="B50" s="132" t="s">
        <v>278</v>
      </c>
      <c r="C50" s="133" t="s">
        <v>279</v>
      </c>
      <c r="D50" s="133" t="s">
        <v>253</v>
      </c>
      <c r="E50" s="133" t="s">
        <v>192</v>
      </c>
      <c r="F50" s="134" t="n">
        <v>1</v>
      </c>
      <c r="G50" s="135" t="n">
        <v>1294</v>
      </c>
      <c r="H50" s="133" t="n">
        <v>7</v>
      </c>
      <c r="I50" s="133" t="n">
        <v>1</v>
      </c>
      <c r="J50" s="133" t="s">
        <v>641</v>
      </c>
      <c r="K50" s="133" t="s">
        <v>499</v>
      </c>
      <c r="L50" s="133" t="s">
        <v>642</v>
      </c>
      <c r="M50" s="136" t="n">
        <v>4.8</v>
      </c>
      <c r="N50" s="136" t="n">
        <v>4.6</v>
      </c>
      <c r="O50" s="133"/>
    </row>
    <row r="51" customFormat="false" ht="15" hidden="false" customHeight="false" outlineLevel="0" collapsed="false">
      <c r="B51" s="132" t="s">
        <v>282</v>
      </c>
      <c r="C51" s="133" t="s">
        <v>283</v>
      </c>
      <c r="D51" s="133" t="s">
        <v>281</v>
      </c>
      <c r="E51" s="133" t="s">
        <v>192</v>
      </c>
      <c r="F51" s="134" t="n">
        <v>96</v>
      </c>
      <c r="G51" s="135" t="n">
        <v>176</v>
      </c>
      <c r="H51" s="133" t="n">
        <v>3</v>
      </c>
      <c r="I51" s="133" t="n">
        <v>5</v>
      </c>
      <c r="J51" s="133" t="s">
        <v>641</v>
      </c>
      <c r="K51" s="133" t="s">
        <v>501</v>
      </c>
      <c r="L51" s="133" t="s">
        <v>644</v>
      </c>
      <c r="M51" s="136" t="n">
        <v>0.9</v>
      </c>
      <c r="N51" s="136" t="n">
        <v>0.9</v>
      </c>
      <c r="O51" s="133"/>
    </row>
    <row r="52" customFormat="false" ht="15" hidden="false" customHeight="false" outlineLevel="0" collapsed="false">
      <c r="B52" s="132" t="s">
        <v>284</v>
      </c>
      <c r="C52" s="133" t="s">
        <v>285</v>
      </c>
      <c r="D52" s="133" t="s">
        <v>281</v>
      </c>
      <c r="E52" s="133" t="s">
        <v>192</v>
      </c>
      <c r="F52" s="134" t="n">
        <v>96</v>
      </c>
      <c r="G52" s="135" t="n">
        <v>242</v>
      </c>
      <c r="H52" s="133" t="n">
        <v>7</v>
      </c>
      <c r="I52" s="133" t="n">
        <v>5</v>
      </c>
      <c r="J52" s="133" t="s">
        <v>641</v>
      </c>
      <c r="K52" s="133" t="s">
        <v>501</v>
      </c>
      <c r="L52" s="133" t="s">
        <v>644</v>
      </c>
      <c r="M52" s="136" t="n">
        <v>1.9</v>
      </c>
      <c r="N52" s="136" t="n">
        <v>1.8</v>
      </c>
      <c r="O52" s="133"/>
    </row>
    <row r="53" customFormat="false" ht="15" hidden="false" customHeight="false" outlineLevel="0" collapsed="false">
      <c r="B53" s="132" t="s">
        <v>286</v>
      </c>
      <c r="C53" s="133" t="s">
        <v>287</v>
      </c>
      <c r="D53" s="133" t="s">
        <v>281</v>
      </c>
      <c r="E53" s="133" t="s">
        <v>192</v>
      </c>
      <c r="F53" s="134" t="n">
        <v>96</v>
      </c>
      <c r="G53" s="135" t="n">
        <v>239</v>
      </c>
      <c r="H53" s="133" t="n">
        <v>3</v>
      </c>
      <c r="I53" s="133" t="n">
        <v>1</v>
      </c>
      <c r="J53" s="133" t="s">
        <v>641</v>
      </c>
      <c r="K53" s="133" t="s">
        <v>501</v>
      </c>
      <c r="L53" s="133" t="s">
        <v>644</v>
      </c>
      <c r="M53" s="136" t="n">
        <v>1.5</v>
      </c>
      <c r="N53" s="136" t="n">
        <v>1.4</v>
      </c>
      <c r="O53" s="133"/>
    </row>
    <row r="54" customFormat="false" ht="15" hidden="false" customHeight="false" outlineLevel="0" collapsed="false">
      <c r="B54" s="132" t="s">
        <v>288</v>
      </c>
      <c r="C54" s="133" t="s">
        <v>289</v>
      </c>
      <c r="D54" s="133" t="s">
        <v>281</v>
      </c>
      <c r="E54" s="133" t="s">
        <v>192</v>
      </c>
      <c r="F54" s="134" t="n">
        <v>96</v>
      </c>
      <c r="G54" s="135" t="n">
        <v>244</v>
      </c>
      <c r="H54" s="133" t="n">
        <v>3</v>
      </c>
      <c r="I54" s="133" t="n">
        <v>1</v>
      </c>
      <c r="J54" s="133" t="s">
        <v>641</v>
      </c>
      <c r="K54" s="133" t="s">
        <v>501</v>
      </c>
      <c r="L54" s="133" t="s">
        <v>644</v>
      </c>
      <c r="M54" s="136" t="n">
        <v>1.6</v>
      </c>
      <c r="N54" s="136" t="n">
        <v>1.5</v>
      </c>
      <c r="O54" s="133"/>
    </row>
    <row r="55" customFormat="false" ht="15" hidden="false" customHeight="false" outlineLevel="0" collapsed="false">
      <c r="B55" s="132" t="s">
        <v>292</v>
      </c>
      <c r="C55" s="133" t="s">
        <v>293</v>
      </c>
      <c r="D55" s="133" t="s">
        <v>291</v>
      </c>
      <c r="E55" s="133" t="s">
        <v>192</v>
      </c>
      <c r="F55" s="134" t="n">
        <v>1</v>
      </c>
      <c r="G55" s="135" t="n">
        <v>1755</v>
      </c>
      <c r="H55" s="133" t="n">
        <v>5</v>
      </c>
      <c r="I55" s="133" t="n">
        <v>2</v>
      </c>
      <c r="J55" s="133" t="s">
        <v>641</v>
      </c>
      <c r="K55" s="133" t="s">
        <v>501</v>
      </c>
      <c r="L55" s="133" t="s">
        <v>644</v>
      </c>
      <c r="M55" s="136" t="n">
        <v>0.9</v>
      </c>
      <c r="N55" s="136" t="n">
        <v>0.9</v>
      </c>
      <c r="O55" s="133"/>
    </row>
    <row r="56" customFormat="false" ht="15" hidden="false" customHeight="false" outlineLevel="0" collapsed="false">
      <c r="B56" s="132" t="s">
        <v>294</v>
      </c>
      <c r="C56" s="133" t="s">
        <v>295</v>
      </c>
      <c r="D56" s="133" t="s">
        <v>291</v>
      </c>
      <c r="E56" s="133" t="s">
        <v>192</v>
      </c>
      <c r="F56" s="134" t="n">
        <v>40</v>
      </c>
      <c r="G56" s="135" t="n">
        <v>96.25</v>
      </c>
      <c r="H56" s="133" t="n">
        <v>7</v>
      </c>
      <c r="I56" s="133" t="n">
        <v>1</v>
      </c>
      <c r="J56" s="133" t="s">
        <v>641</v>
      </c>
      <c r="K56" s="133" t="s">
        <v>501</v>
      </c>
      <c r="L56" s="133" t="s">
        <v>644</v>
      </c>
      <c r="M56" s="136" t="n">
        <v>1</v>
      </c>
      <c r="N56" s="136" t="n">
        <v>0.9</v>
      </c>
      <c r="O56" s="133"/>
    </row>
    <row r="57" customFormat="false" ht="15" hidden="false" customHeight="false" outlineLevel="0" collapsed="false">
      <c r="B57" s="132" t="s">
        <v>296</v>
      </c>
      <c r="C57" s="133" t="s">
        <v>297</v>
      </c>
      <c r="D57" s="133" t="s">
        <v>291</v>
      </c>
      <c r="E57" s="133" t="s">
        <v>192</v>
      </c>
      <c r="F57" s="134" t="n">
        <v>96</v>
      </c>
      <c r="G57" s="135" t="n">
        <v>164</v>
      </c>
      <c r="H57" s="133" t="n">
        <v>4</v>
      </c>
      <c r="I57" s="133" t="n">
        <v>1</v>
      </c>
      <c r="J57" s="133" t="s">
        <v>641</v>
      </c>
      <c r="K57" s="133" t="s">
        <v>501</v>
      </c>
      <c r="L57" s="133" t="s">
        <v>644</v>
      </c>
      <c r="M57" s="136" t="n">
        <v>1.5</v>
      </c>
      <c r="N57" s="136" t="n">
        <v>1.4</v>
      </c>
      <c r="O57" s="133"/>
    </row>
    <row r="58" customFormat="false" ht="15" hidden="false" customHeight="false" outlineLevel="0" collapsed="false">
      <c r="B58" s="132" t="s">
        <v>300</v>
      </c>
      <c r="C58" s="133" t="s">
        <v>301</v>
      </c>
      <c r="D58" s="133" t="s">
        <v>299</v>
      </c>
      <c r="E58" s="133" t="s">
        <v>192</v>
      </c>
      <c r="F58" s="134" t="n">
        <v>100</v>
      </c>
      <c r="G58" s="135" t="n">
        <v>109</v>
      </c>
      <c r="H58" s="133" t="n">
        <v>3</v>
      </c>
      <c r="I58" s="133" t="n">
        <v>1</v>
      </c>
      <c r="J58" s="133" t="s">
        <v>641</v>
      </c>
      <c r="K58" s="133" t="s">
        <v>501</v>
      </c>
      <c r="L58" s="133" t="s">
        <v>644</v>
      </c>
      <c r="M58" s="136" t="n">
        <v>1.5</v>
      </c>
      <c r="N58" s="136" t="n">
        <v>1.4</v>
      </c>
      <c r="O58" s="133"/>
    </row>
    <row r="59" customFormat="false" ht="15" hidden="false" customHeight="false" outlineLevel="0" collapsed="false">
      <c r="B59" s="132" t="s">
        <v>302</v>
      </c>
      <c r="C59" s="133" t="s">
        <v>303</v>
      </c>
      <c r="D59" s="133" t="s">
        <v>299</v>
      </c>
      <c r="E59" s="133" t="s">
        <v>192</v>
      </c>
      <c r="F59" s="134" t="n">
        <v>100</v>
      </c>
      <c r="G59" s="135" t="n">
        <v>107</v>
      </c>
      <c r="H59" s="133" t="n">
        <v>3</v>
      </c>
      <c r="I59" s="133" t="n">
        <v>1</v>
      </c>
      <c r="J59" s="133" t="s">
        <v>641</v>
      </c>
      <c r="K59" s="133" t="s">
        <v>501</v>
      </c>
      <c r="L59" s="133" t="s">
        <v>644</v>
      </c>
      <c r="M59" s="136" t="n">
        <v>1.5</v>
      </c>
      <c r="N59" s="136" t="n">
        <v>1.4</v>
      </c>
      <c r="O59" s="133"/>
    </row>
    <row r="60" customFormat="false" ht="15" hidden="false" customHeight="false" outlineLevel="0" collapsed="false">
      <c r="B60" s="132" t="s">
        <v>304</v>
      </c>
      <c r="C60" s="133" t="s">
        <v>305</v>
      </c>
      <c r="D60" s="133" t="s">
        <v>299</v>
      </c>
      <c r="E60" s="133" t="s">
        <v>192</v>
      </c>
      <c r="F60" s="134" t="n">
        <v>1</v>
      </c>
      <c r="G60" s="135" t="n">
        <v>1181</v>
      </c>
      <c r="H60" s="133" t="n">
        <v>3</v>
      </c>
      <c r="I60" s="133" t="n">
        <v>1</v>
      </c>
      <c r="J60" s="133" t="s">
        <v>641</v>
      </c>
      <c r="K60" s="133" t="s">
        <v>501</v>
      </c>
      <c r="L60" s="133" t="s">
        <v>644</v>
      </c>
      <c r="M60" s="136" t="n">
        <v>1</v>
      </c>
      <c r="N60" s="136" t="n">
        <v>0.9</v>
      </c>
      <c r="O60" s="133"/>
    </row>
    <row r="61" customFormat="false" ht="15" hidden="false" customHeight="false" outlineLevel="0" collapsed="false">
      <c r="B61" s="132" t="s">
        <v>306</v>
      </c>
      <c r="C61" s="133" t="s">
        <v>307</v>
      </c>
      <c r="D61" s="133" t="s">
        <v>299</v>
      </c>
      <c r="E61" s="133" t="s">
        <v>192</v>
      </c>
      <c r="F61" s="134" t="n">
        <v>1</v>
      </c>
      <c r="G61" s="135" t="n">
        <v>1181</v>
      </c>
      <c r="H61" s="133" t="n">
        <v>5</v>
      </c>
      <c r="I61" s="133" t="n">
        <v>1</v>
      </c>
      <c r="J61" s="133" t="s">
        <v>641</v>
      </c>
      <c r="K61" s="133" t="s">
        <v>501</v>
      </c>
      <c r="L61" s="133" t="s">
        <v>644</v>
      </c>
      <c r="M61" s="136" t="n">
        <v>1.2</v>
      </c>
      <c r="N61" s="136" t="n">
        <v>1.1</v>
      </c>
      <c r="O61" s="133"/>
    </row>
    <row r="62" customFormat="false" ht="15" hidden="false" customHeight="false" outlineLevel="0" collapsed="false">
      <c r="B62" s="132" t="s">
        <v>308</v>
      </c>
      <c r="C62" s="133" t="s">
        <v>309</v>
      </c>
      <c r="D62" s="133" t="s">
        <v>299</v>
      </c>
      <c r="E62" s="133" t="s">
        <v>192</v>
      </c>
      <c r="F62" s="134" t="n">
        <v>1</v>
      </c>
      <c r="G62" s="135" t="n">
        <v>1181</v>
      </c>
      <c r="H62" s="133" t="n">
        <v>7</v>
      </c>
      <c r="I62" s="133" t="n">
        <v>5</v>
      </c>
      <c r="J62" s="133" t="s">
        <v>641</v>
      </c>
      <c r="K62" s="133" t="s">
        <v>501</v>
      </c>
      <c r="L62" s="133" t="s">
        <v>644</v>
      </c>
      <c r="M62" s="136" t="n">
        <v>1.5</v>
      </c>
      <c r="N62" s="136" t="n">
        <v>1.4</v>
      </c>
      <c r="O62" s="133"/>
    </row>
    <row r="63" customFormat="false" ht="15" hidden="false" customHeight="false" outlineLevel="0" collapsed="false">
      <c r="B63" s="132" t="s">
        <v>310</v>
      </c>
      <c r="C63" s="133" t="s">
        <v>311</v>
      </c>
      <c r="D63" s="133" t="s">
        <v>299</v>
      </c>
      <c r="E63" s="133" t="s">
        <v>192</v>
      </c>
      <c r="F63" s="134" t="n">
        <v>1</v>
      </c>
      <c r="G63" s="135" t="n">
        <v>1181</v>
      </c>
      <c r="H63" s="133" t="n">
        <v>7</v>
      </c>
      <c r="I63" s="133" t="n">
        <v>1</v>
      </c>
      <c r="J63" s="133" t="s">
        <v>641</v>
      </c>
      <c r="K63" s="133" t="s">
        <v>501</v>
      </c>
      <c r="L63" s="133" t="s">
        <v>644</v>
      </c>
      <c r="M63" s="136" t="n">
        <v>2.2</v>
      </c>
      <c r="N63" s="136" t="n">
        <v>2.1</v>
      </c>
      <c r="O63" s="133"/>
    </row>
    <row r="64" customFormat="false" ht="15" hidden="false" customHeight="false" outlineLevel="0" collapsed="false">
      <c r="B64" s="132" t="s">
        <v>312</v>
      </c>
      <c r="C64" s="133" t="s">
        <v>313</v>
      </c>
      <c r="D64" s="133" t="s">
        <v>299</v>
      </c>
      <c r="E64" s="133" t="s">
        <v>192</v>
      </c>
      <c r="F64" s="134" t="n">
        <v>1</v>
      </c>
      <c r="G64" s="135" t="n">
        <v>1181</v>
      </c>
      <c r="H64" s="133" t="n">
        <v>7</v>
      </c>
      <c r="I64" s="133" t="n">
        <v>5</v>
      </c>
      <c r="J64" s="133" t="s">
        <v>641</v>
      </c>
      <c r="K64" s="133" t="s">
        <v>501</v>
      </c>
      <c r="L64" s="133" t="s">
        <v>644</v>
      </c>
      <c r="M64" s="136" t="n">
        <v>1.7</v>
      </c>
      <c r="N64" s="136" t="n">
        <v>1.6</v>
      </c>
      <c r="O64" s="133"/>
    </row>
    <row r="65" customFormat="false" ht="15" hidden="false" customHeight="false" outlineLevel="0" collapsed="false">
      <c r="B65" s="132" t="s">
        <v>314</v>
      </c>
      <c r="C65" s="133" t="s">
        <v>315</v>
      </c>
      <c r="D65" s="133" t="s">
        <v>299</v>
      </c>
      <c r="E65" s="133" t="s">
        <v>192</v>
      </c>
      <c r="F65" s="134" t="n">
        <v>1</v>
      </c>
      <c r="G65" s="135" t="n">
        <v>1181</v>
      </c>
      <c r="H65" s="133" t="n">
        <v>3</v>
      </c>
      <c r="I65" s="133" t="n">
        <v>1</v>
      </c>
      <c r="J65" s="133" t="s">
        <v>641</v>
      </c>
      <c r="K65" s="133" t="s">
        <v>501</v>
      </c>
      <c r="L65" s="133" t="s">
        <v>644</v>
      </c>
      <c r="M65" s="136" t="n">
        <v>1.3</v>
      </c>
      <c r="N65" s="136" t="n">
        <v>1.2</v>
      </c>
      <c r="O65" s="133"/>
    </row>
    <row r="66" customFormat="false" ht="15" hidden="false" customHeight="false" outlineLevel="0" collapsed="false">
      <c r="B66" s="132" t="s">
        <v>316</v>
      </c>
      <c r="C66" s="133" t="s">
        <v>317</v>
      </c>
      <c r="D66" s="133" t="s">
        <v>299</v>
      </c>
      <c r="E66" s="133" t="s">
        <v>192</v>
      </c>
      <c r="F66" s="134" t="n">
        <v>1</v>
      </c>
      <c r="G66" s="135" t="n">
        <v>1181</v>
      </c>
      <c r="H66" s="133" t="n">
        <v>5</v>
      </c>
      <c r="I66" s="133" t="n">
        <v>1</v>
      </c>
      <c r="J66" s="133" t="s">
        <v>641</v>
      </c>
      <c r="K66" s="133" t="s">
        <v>501</v>
      </c>
      <c r="L66" s="133" t="s">
        <v>644</v>
      </c>
      <c r="M66" s="136" t="n">
        <v>2.2</v>
      </c>
      <c r="N66" s="136" t="n">
        <v>2.1</v>
      </c>
      <c r="O66" s="133"/>
    </row>
    <row r="67" customFormat="false" ht="15" hidden="false" customHeight="false" outlineLevel="0" collapsed="false">
      <c r="B67" s="132" t="s">
        <v>318</v>
      </c>
      <c r="C67" s="133" t="s">
        <v>319</v>
      </c>
      <c r="D67" s="133" t="s">
        <v>299</v>
      </c>
      <c r="E67" s="133" t="s">
        <v>192</v>
      </c>
      <c r="F67" s="134" t="n">
        <v>1</v>
      </c>
      <c r="G67" s="135" t="n">
        <v>730</v>
      </c>
      <c r="H67" s="133" t="n">
        <v>7</v>
      </c>
      <c r="I67" s="133" t="n">
        <v>1</v>
      </c>
      <c r="J67" s="133" t="s">
        <v>641</v>
      </c>
      <c r="K67" s="133" t="s">
        <v>501</v>
      </c>
      <c r="L67" s="133" t="s">
        <v>644</v>
      </c>
      <c r="M67" s="136" t="n">
        <v>2.1</v>
      </c>
      <c r="N67" s="136" t="n">
        <v>2</v>
      </c>
      <c r="O67" s="133"/>
    </row>
    <row r="68" customFormat="false" ht="15" hidden="false" customHeight="false" outlineLevel="0" collapsed="false">
      <c r="B68" s="132" t="s">
        <v>320</v>
      </c>
      <c r="C68" s="133" t="s">
        <v>321</v>
      </c>
      <c r="D68" s="133" t="s">
        <v>299</v>
      </c>
      <c r="E68" s="133" t="s">
        <v>192</v>
      </c>
      <c r="F68" s="134" t="n">
        <v>1</v>
      </c>
      <c r="G68" s="135" t="n">
        <v>804</v>
      </c>
      <c r="H68" s="133" t="n">
        <v>2</v>
      </c>
      <c r="I68" s="133" t="n">
        <v>1</v>
      </c>
      <c r="J68" s="133" t="s">
        <v>641</v>
      </c>
      <c r="K68" s="133" t="s">
        <v>501</v>
      </c>
      <c r="L68" s="133" t="s">
        <v>644</v>
      </c>
      <c r="M68" s="136" t="n">
        <v>1.8</v>
      </c>
      <c r="N68" s="136" t="n">
        <v>1.7</v>
      </c>
      <c r="O68" s="133"/>
    </row>
    <row r="69" customFormat="false" ht="15" hidden="false" customHeight="false" outlineLevel="0" collapsed="false">
      <c r="B69" s="132" t="s">
        <v>322</v>
      </c>
      <c r="C69" s="133" t="s">
        <v>323</v>
      </c>
      <c r="D69" s="133" t="s">
        <v>299</v>
      </c>
      <c r="E69" s="133" t="s">
        <v>192</v>
      </c>
      <c r="F69" s="134" t="n">
        <v>1</v>
      </c>
      <c r="G69" s="135" t="n">
        <v>1181</v>
      </c>
      <c r="H69" s="133" t="n">
        <v>3</v>
      </c>
      <c r="I69" s="133" t="n">
        <v>1</v>
      </c>
      <c r="J69" s="133" t="s">
        <v>641</v>
      </c>
      <c r="K69" s="133" t="s">
        <v>501</v>
      </c>
      <c r="L69" s="133" t="s">
        <v>644</v>
      </c>
      <c r="M69" s="136" t="n">
        <v>2.2</v>
      </c>
      <c r="N69" s="136" t="n">
        <v>2.1</v>
      </c>
      <c r="O69" s="133"/>
    </row>
    <row r="70" customFormat="false" ht="15" hidden="false" customHeight="false" outlineLevel="0" collapsed="false">
      <c r="B70" s="132" t="s">
        <v>326</v>
      </c>
      <c r="C70" s="133" t="s">
        <v>327</v>
      </c>
      <c r="D70" s="133" t="s">
        <v>325</v>
      </c>
      <c r="E70" s="133" t="s">
        <v>192</v>
      </c>
      <c r="F70" s="134" t="n">
        <v>120</v>
      </c>
      <c r="G70" s="135" t="n">
        <v>174</v>
      </c>
      <c r="H70" s="133" t="n">
        <v>5</v>
      </c>
      <c r="I70" s="133" t="n">
        <v>1</v>
      </c>
      <c r="J70" s="133" t="s">
        <v>641</v>
      </c>
      <c r="K70" s="133" t="s">
        <v>499</v>
      </c>
      <c r="L70" s="133" t="s">
        <v>642</v>
      </c>
      <c r="M70" s="136" t="n">
        <v>0.8</v>
      </c>
      <c r="N70" s="136" t="n">
        <v>0.8</v>
      </c>
      <c r="O70" s="133"/>
    </row>
    <row r="71" customFormat="false" ht="15" hidden="false" customHeight="false" outlineLevel="0" collapsed="false">
      <c r="B71" s="132" t="s">
        <v>328</v>
      </c>
      <c r="C71" s="133" t="s">
        <v>329</v>
      </c>
      <c r="D71" s="133" t="s">
        <v>325</v>
      </c>
      <c r="E71" s="133" t="s">
        <v>192</v>
      </c>
      <c r="F71" s="134" t="n">
        <v>120</v>
      </c>
      <c r="G71" s="135" t="n">
        <v>162</v>
      </c>
      <c r="H71" s="133" t="n">
        <v>3</v>
      </c>
      <c r="I71" s="133" t="n">
        <v>5</v>
      </c>
      <c r="J71" s="133" t="s">
        <v>641</v>
      </c>
      <c r="K71" s="133" t="s">
        <v>499</v>
      </c>
      <c r="L71" s="133" t="s">
        <v>642</v>
      </c>
      <c r="M71" s="136" t="n">
        <v>0.6</v>
      </c>
      <c r="N71" s="136" t="n">
        <v>0.6</v>
      </c>
      <c r="O71" s="133"/>
    </row>
    <row r="72" customFormat="false" ht="15" hidden="false" customHeight="false" outlineLevel="0" collapsed="false">
      <c r="B72" s="132" t="s">
        <v>332</v>
      </c>
      <c r="C72" s="133" t="s">
        <v>333</v>
      </c>
      <c r="D72" s="133" t="s">
        <v>331</v>
      </c>
      <c r="E72" s="133" t="s">
        <v>192</v>
      </c>
      <c r="F72" s="134" t="n">
        <v>1</v>
      </c>
      <c r="G72" s="135" t="n">
        <v>458</v>
      </c>
      <c r="H72" s="133" t="n">
        <v>7</v>
      </c>
      <c r="I72" s="133" t="n">
        <v>5</v>
      </c>
      <c r="J72" s="133" t="s">
        <v>641</v>
      </c>
      <c r="K72" s="133" t="s">
        <v>499</v>
      </c>
      <c r="L72" s="133" t="s">
        <v>642</v>
      </c>
      <c r="M72" s="136" t="n">
        <v>2.7</v>
      </c>
      <c r="N72" s="136" t="n">
        <v>2.6</v>
      </c>
      <c r="O72" s="133"/>
    </row>
    <row r="73" customFormat="false" ht="15" hidden="false" customHeight="false" outlineLevel="0" collapsed="false">
      <c r="B73" s="132" t="s">
        <v>334</v>
      </c>
      <c r="C73" s="133" t="s">
        <v>335</v>
      </c>
      <c r="D73" s="133" t="s">
        <v>331</v>
      </c>
      <c r="E73" s="133" t="s">
        <v>192</v>
      </c>
      <c r="F73" s="134" t="n">
        <v>1</v>
      </c>
      <c r="G73" s="135" t="n">
        <v>452</v>
      </c>
      <c r="H73" s="133" t="n">
        <v>3</v>
      </c>
      <c r="I73" s="133" t="n">
        <v>2</v>
      </c>
      <c r="J73" s="133" t="s">
        <v>641</v>
      </c>
      <c r="K73" s="133" t="s">
        <v>499</v>
      </c>
      <c r="L73" s="133" t="s">
        <v>642</v>
      </c>
      <c r="M73" s="136" t="n">
        <v>1.5</v>
      </c>
      <c r="N73" s="136" t="n">
        <v>1.4</v>
      </c>
      <c r="O73" s="133"/>
    </row>
    <row r="74" customFormat="false" ht="15" hidden="false" customHeight="false" outlineLevel="0" collapsed="false">
      <c r="B74" s="132" t="s">
        <v>336</v>
      </c>
      <c r="C74" s="133" t="s">
        <v>337</v>
      </c>
      <c r="D74" s="133" t="s">
        <v>331</v>
      </c>
      <c r="E74" s="133" t="s">
        <v>192</v>
      </c>
      <c r="F74" s="134" t="n">
        <v>1</v>
      </c>
      <c r="G74" s="135" t="n">
        <v>371</v>
      </c>
      <c r="H74" s="133" t="n">
        <v>2</v>
      </c>
      <c r="I74" s="133" t="n">
        <v>5</v>
      </c>
      <c r="J74" s="133" t="s">
        <v>641</v>
      </c>
      <c r="K74" s="133" t="s">
        <v>499</v>
      </c>
      <c r="L74" s="133" t="s">
        <v>642</v>
      </c>
      <c r="M74" s="136" t="n">
        <v>2.2</v>
      </c>
      <c r="N74" s="136" t="n">
        <v>2.1</v>
      </c>
      <c r="O74" s="133"/>
    </row>
    <row r="75" customFormat="false" ht="15" hidden="false" customHeight="false" outlineLevel="0" collapsed="false">
      <c r="B75" s="132" t="s">
        <v>338</v>
      </c>
      <c r="C75" s="133" t="s">
        <v>339</v>
      </c>
      <c r="D75" s="133" t="s">
        <v>331</v>
      </c>
      <c r="E75" s="133" t="s">
        <v>192</v>
      </c>
      <c r="F75" s="134" t="n">
        <v>1</v>
      </c>
      <c r="G75" s="135" t="n">
        <v>822</v>
      </c>
      <c r="H75" s="133" t="n">
        <v>3</v>
      </c>
      <c r="I75" s="133" t="n">
        <v>1</v>
      </c>
      <c r="J75" s="133" t="s">
        <v>641</v>
      </c>
      <c r="K75" s="133" t="s">
        <v>499</v>
      </c>
      <c r="L75" s="133" t="s">
        <v>642</v>
      </c>
      <c r="M75" s="136" t="n">
        <v>2.1</v>
      </c>
      <c r="N75" s="136" t="n">
        <v>2</v>
      </c>
      <c r="O75" s="133"/>
    </row>
    <row r="76" customFormat="false" ht="15" hidden="false" customHeight="false" outlineLevel="0" collapsed="false">
      <c r="B76" s="132" t="s">
        <v>342</v>
      </c>
      <c r="C76" s="133" t="s">
        <v>343</v>
      </c>
      <c r="D76" s="133" t="s">
        <v>341</v>
      </c>
      <c r="E76" s="133" t="s">
        <v>192</v>
      </c>
      <c r="F76" s="134" t="n">
        <v>50</v>
      </c>
      <c r="G76" s="135" t="n">
        <v>274</v>
      </c>
      <c r="H76" s="133" t="n">
        <v>3</v>
      </c>
      <c r="I76" s="133" t="n">
        <v>1</v>
      </c>
      <c r="J76" s="133" t="s">
        <v>641</v>
      </c>
      <c r="K76" s="133" t="s">
        <v>499</v>
      </c>
      <c r="L76" s="133" t="s">
        <v>642</v>
      </c>
      <c r="M76" s="136" t="n">
        <v>0.9</v>
      </c>
      <c r="N76" s="136" t="n">
        <v>1.6</v>
      </c>
      <c r="O76" s="133"/>
    </row>
    <row r="77" customFormat="false" ht="15" hidden="false" customHeight="false" outlineLevel="0" collapsed="false">
      <c r="B77" s="132" t="s">
        <v>344</v>
      </c>
      <c r="C77" s="133" t="s">
        <v>345</v>
      </c>
      <c r="D77" s="133" t="s">
        <v>341</v>
      </c>
      <c r="E77" s="133" t="s">
        <v>192</v>
      </c>
      <c r="F77" s="134" t="n">
        <v>50</v>
      </c>
      <c r="G77" s="135" t="n">
        <v>393</v>
      </c>
      <c r="H77" s="133" t="n">
        <v>3</v>
      </c>
      <c r="I77" s="133" t="n">
        <v>2</v>
      </c>
      <c r="J77" s="133" t="s">
        <v>641</v>
      </c>
      <c r="K77" s="133" t="s">
        <v>499</v>
      </c>
      <c r="L77" s="133" t="s">
        <v>642</v>
      </c>
      <c r="M77" s="136" t="n">
        <v>1.3</v>
      </c>
      <c r="N77" s="136" t="n">
        <v>1.2</v>
      </c>
      <c r="O77" s="133"/>
    </row>
    <row r="78" customFormat="false" ht="15" hidden="false" customHeight="false" outlineLevel="0" collapsed="false">
      <c r="B78" s="132" t="s">
        <v>348</v>
      </c>
      <c r="C78" s="133" t="s">
        <v>349</v>
      </c>
      <c r="D78" s="133" t="s">
        <v>347</v>
      </c>
      <c r="E78" s="133" t="s">
        <v>192</v>
      </c>
      <c r="F78" s="134" t="n">
        <v>1000</v>
      </c>
      <c r="G78" s="135" t="n">
        <v>9</v>
      </c>
      <c r="H78" s="133" t="n">
        <v>2</v>
      </c>
      <c r="I78" s="133" t="n">
        <v>1</v>
      </c>
      <c r="J78" s="133" t="s">
        <v>641</v>
      </c>
      <c r="K78" s="133" t="s">
        <v>499</v>
      </c>
      <c r="L78" s="133" t="s">
        <v>645</v>
      </c>
      <c r="M78" s="136" t="n">
        <v>6.3</v>
      </c>
      <c r="N78" s="136" t="n">
        <v>11.3</v>
      </c>
      <c r="O78" s="133"/>
    </row>
    <row r="79" customFormat="false" ht="15" hidden="false" customHeight="false" outlineLevel="0" collapsed="false">
      <c r="B79" s="132" t="s">
        <v>350</v>
      </c>
      <c r="C79" s="133" t="s">
        <v>351</v>
      </c>
      <c r="D79" s="133" t="s">
        <v>347</v>
      </c>
      <c r="E79" s="133" t="s">
        <v>192</v>
      </c>
      <c r="F79" s="134" t="n">
        <v>2000</v>
      </c>
      <c r="G79" s="135" t="n">
        <v>5.6</v>
      </c>
      <c r="H79" s="133" t="n">
        <v>2</v>
      </c>
      <c r="I79" s="133" t="n">
        <v>5</v>
      </c>
      <c r="J79" s="133" t="s">
        <v>641</v>
      </c>
      <c r="K79" s="133" t="s">
        <v>499</v>
      </c>
      <c r="L79" s="133" t="s">
        <v>645</v>
      </c>
      <c r="M79" s="136" t="n">
        <v>9.5</v>
      </c>
      <c r="N79" s="136" t="n">
        <v>9</v>
      </c>
      <c r="O79" s="133"/>
    </row>
    <row r="80" customFormat="false" ht="15" hidden="false" customHeight="false" outlineLevel="0" collapsed="false">
      <c r="B80" s="132" t="s">
        <v>352</v>
      </c>
      <c r="C80" s="133" t="s">
        <v>353</v>
      </c>
      <c r="D80" s="133" t="s">
        <v>347</v>
      </c>
      <c r="E80" s="133" t="s">
        <v>192</v>
      </c>
      <c r="F80" s="134" t="n">
        <v>1500</v>
      </c>
      <c r="G80" s="135" t="n">
        <v>9</v>
      </c>
      <c r="H80" s="133" t="n">
        <v>4</v>
      </c>
      <c r="I80" s="133" t="n">
        <v>2</v>
      </c>
      <c r="J80" s="133" t="s">
        <v>641</v>
      </c>
      <c r="K80" s="133" t="s">
        <v>499</v>
      </c>
      <c r="L80" s="133" t="s">
        <v>645</v>
      </c>
      <c r="M80" s="136" t="n">
        <v>9.4</v>
      </c>
      <c r="N80" s="136" t="n">
        <v>16.9</v>
      </c>
      <c r="O80" s="133"/>
    </row>
    <row r="81" customFormat="false" ht="15" hidden="false" customHeight="false" outlineLevel="0" collapsed="false">
      <c r="B81" s="132" t="s">
        <v>354</v>
      </c>
      <c r="C81" s="133" t="s">
        <v>355</v>
      </c>
      <c r="D81" s="133" t="s">
        <v>347</v>
      </c>
      <c r="E81" s="133" t="s">
        <v>192</v>
      </c>
      <c r="F81" s="134" t="n">
        <v>3000</v>
      </c>
      <c r="G81" s="135" t="n">
        <v>3.26</v>
      </c>
      <c r="H81" s="133" t="n">
        <v>5</v>
      </c>
      <c r="I81" s="133" t="n">
        <v>2</v>
      </c>
      <c r="J81" s="133" t="s">
        <v>641</v>
      </c>
      <c r="K81" s="133" t="s">
        <v>499</v>
      </c>
      <c r="L81" s="133" t="s">
        <v>645</v>
      </c>
      <c r="M81" s="136" t="n">
        <v>8</v>
      </c>
      <c r="N81" s="136" t="n">
        <v>7.6</v>
      </c>
      <c r="O81" s="133"/>
    </row>
    <row r="82" customFormat="false" ht="15" hidden="false" customHeight="false" outlineLevel="0" collapsed="false">
      <c r="B82" s="132" t="s">
        <v>356</v>
      </c>
      <c r="C82" s="133" t="s">
        <v>357</v>
      </c>
      <c r="D82" s="133" t="s">
        <v>347</v>
      </c>
      <c r="E82" s="133" t="s">
        <v>192</v>
      </c>
      <c r="F82" s="134" t="n">
        <v>10000</v>
      </c>
      <c r="G82" s="135" t="n">
        <v>1.05</v>
      </c>
      <c r="H82" s="133" t="n">
        <v>3</v>
      </c>
      <c r="I82" s="133" t="n">
        <v>5</v>
      </c>
      <c r="J82" s="133" t="s">
        <v>641</v>
      </c>
      <c r="K82" s="133" t="s">
        <v>499</v>
      </c>
      <c r="L82" s="133" t="s">
        <v>645</v>
      </c>
      <c r="M82" s="136" t="n">
        <v>5.9</v>
      </c>
      <c r="N82" s="136" t="n">
        <v>5.6</v>
      </c>
      <c r="O82" s="133"/>
    </row>
    <row r="83" customFormat="false" ht="15" hidden="false" customHeight="false" outlineLevel="0" collapsed="false">
      <c r="B83" s="132" t="s">
        <v>358</v>
      </c>
      <c r="C83" s="133" t="s">
        <v>359</v>
      </c>
      <c r="D83" s="133" t="s">
        <v>347</v>
      </c>
      <c r="E83" s="133" t="s">
        <v>192</v>
      </c>
      <c r="F83" s="134" t="n">
        <v>10000</v>
      </c>
      <c r="G83" s="135" t="n">
        <v>1.05</v>
      </c>
      <c r="H83" s="133" t="n">
        <v>7</v>
      </c>
      <c r="I83" s="133" t="n">
        <v>1</v>
      </c>
      <c r="J83" s="133" t="s">
        <v>641</v>
      </c>
      <c r="K83" s="133" t="s">
        <v>499</v>
      </c>
      <c r="L83" s="133" t="s">
        <v>645</v>
      </c>
      <c r="M83" s="136" t="n">
        <v>7</v>
      </c>
      <c r="N83" s="136" t="n">
        <v>6.6</v>
      </c>
      <c r="O83" s="133"/>
    </row>
    <row r="84" customFormat="false" ht="15" hidden="false" customHeight="false" outlineLevel="0" collapsed="false">
      <c r="B84" s="132" t="s">
        <v>360</v>
      </c>
      <c r="C84" s="133" t="s">
        <v>361</v>
      </c>
      <c r="D84" s="133" t="s">
        <v>347</v>
      </c>
      <c r="E84" s="133" t="s">
        <v>192</v>
      </c>
      <c r="F84" s="134" t="n">
        <v>200</v>
      </c>
      <c r="G84" s="135" t="n">
        <v>5.03</v>
      </c>
      <c r="H84" s="133" t="n">
        <v>4</v>
      </c>
      <c r="I84" s="133" t="n">
        <v>1</v>
      </c>
      <c r="J84" s="133" t="s">
        <v>641</v>
      </c>
      <c r="K84" s="133" t="s">
        <v>499</v>
      </c>
      <c r="L84" s="133" t="s">
        <v>645</v>
      </c>
      <c r="M84" s="136" t="n">
        <v>9.1</v>
      </c>
      <c r="N84" s="136" t="n">
        <v>8.6</v>
      </c>
      <c r="O84" s="133"/>
    </row>
    <row r="85" customFormat="false" ht="15" hidden="false" customHeight="false" outlineLevel="0" collapsed="false">
      <c r="B85" s="132" t="s">
        <v>362</v>
      </c>
      <c r="C85" s="133" t="s">
        <v>363</v>
      </c>
      <c r="D85" s="133" t="s">
        <v>347</v>
      </c>
      <c r="E85" s="133" t="s">
        <v>192</v>
      </c>
      <c r="F85" s="134" t="n">
        <v>1000</v>
      </c>
      <c r="G85" s="135" t="n">
        <v>4.56</v>
      </c>
      <c r="H85" s="133" t="n">
        <v>4</v>
      </c>
      <c r="I85" s="133" t="n">
        <v>2</v>
      </c>
      <c r="J85" s="133" t="s">
        <v>641</v>
      </c>
      <c r="K85" s="133" t="s">
        <v>499</v>
      </c>
      <c r="L85" s="133" t="s">
        <v>645</v>
      </c>
      <c r="M85" s="136" t="n">
        <v>9.3</v>
      </c>
      <c r="N85" s="136" t="n">
        <v>0</v>
      </c>
      <c r="O85" s="133"/>
    </row>
    <row r="86" customFormat="false" ht="15" hidden="false" customHeight="false" outlineLevel="0" collapsed="false">
      <c r="B86" s="132" t="s">
        <v>364</v>
      </c>
      <c r="C86" s="133" t="s">
        <v>365</v>
      </c>
      <c r="D86" s="133" t="s">
        <v>347</v>
      </c>
      <c r="E86" s="133" t="s">
        <v>192</v>
      </c>
      <c r="F86" s="134" t="n">
        <v>600</v>
      </c>
      <c r="G86" s="135" t="n">
        <v>8.93</v>
      </c>
      <c r="H86" s="133" t="n">
        <v>2</v>
      </c>
      <c r="I86" s="133" t="n">
        <v>1</v>
      </c>
      <c r="J86" s="133" t="s">
        <v>641</v>
      </c>
      <c r="K86" s="133" t="s">
        <v>499</v>
      </c>
      <c r="L86" s="133" t="s">
        <v>645</v>
      </c>
      <c r="M86" s="136" t="n">
        <v>5.4</v>
      </c>
      <c r="N86" s="136" t="n">
        <v>0</v>
      </c>
      <c r="O86" s="133"/>
    </row>
    <row r="87" customFormat="false" ht="15" hidden="false" customHeight="false" outlineLevel="0" collapsed="false">
      <c r="B87" s="132" t="s">
        <v>366</v>
      </c>
      <c r="C87" s="133" t="s">
        <v>367</v>
      </c>
      <c r="D87" s="133" t="s">
        <v>347</v>
      </c>
      <c r="E87" s="133" t="s">
        <v>192</v>
      </c>
      <c r="F87" s="134" t="n">
        <v>300</v>
      </c>
      <c r="G87" s="135" t="n">
        <v>15.66</v>
      </c>
      <c r="H87" s="133" t="n">
        <v>5</v>
      </c>
      <c r="I87" s="133" t="n">
        <v>1</v>
      </c>
      <c r="J87" s="133" t="s">
        <v>641</v>
      </c>
      <c r="K87" s="133" t="s">
        <v>499</v>
      </c>
      <c r="L87" s="133" t="s">
        <v>645</v>
      </c>
      <c r="M87" s="136" t="n">
        <v>6.9</v>
      </c>
      <c r="N87" s="136" t="n">
        <v>0</v>
      </c>
      <c r="O87" s="133"/>
    </row>
    <row r="88" customFormat="false" ht="15" hidden="false" customHeight="false" outlineLevel="0" collapsed="false">
      <c r="B88" s="132" t="s">
        <v>368</v>
      </c>
      <c r="C88" s="133" t="s">
        <v>369</v>
      </c>
      <c r="D88" s="133" t="s">
        <v>347</v>
      </c>
      <c r="E88" s="133" t="s">
        <v>192</v>
      </c>
      <c r="F88" s="134" t="n">
        <v>300</v>
      </c>
      <c r="G88" s="135" t="n">
        <v>18.55</v>
      </c>
      <c r="H88" s="133" t="n">
        <v>7</v>
      </c>
      <c r="I88" s="133" t="n">
        <v>1</v>
      </c>
      <c r="J88" s="133" t="s">
        <v>641</v>
      </c>
      <c r="K88" s="133" t="s">
        <v>499</v>
      </c>
      <c r="L88" s="133" t="s">
        <v>645</v>
      </c>
      <c r="M88" s="136" t="n">
        <v>11.6</v>
      </c>
      <c r="N88" s="136" t="n">
        <v>0</v>
      </c>
      <c r="O88" s="133"/>
    </row>
    <row r="89" customFormat="false" ht="15" hidden="false" customHeight="false" outlineLevel="0" collapsed="false">
      <c r="B89" s="132" t="s">
        <v>370</v>
      </c>
      <c r="C89" s="133" t="s">
        <v>371</v>
      </c>
      <c r="D89" s="133" t="s">
        <v>347</v>
      </c>
      <c r="E89" s="133" t="s">
        <v>192</v>
      </c>
      <c r="F89" s="134" t="n">
        <v>240</v>
      </c>
      <c r="G89" s="135" t="n">
        <v>57.35</v>
      </c>
      <c r="H89" s="133" t="n">
        <v>5</v>
      </c>
      <c r="I89" s="133" t="n">
        <v>2</v>
      </c>
      <c r="J89" s="133" t="s">
        <v>641</v>
      </c>
      <c r="K89" s="133" t="s">
        <v>499</v>
      </c>
      <c r="L89" s="133" t="s">
        <v>645</v>
      </c>
      <c r="M89" s="136" t="n">
        <v>7.7</v>
      </c>
      <c r="N89" s="136" t="n">
        <v>13.9</v>
      </c>
      <c r="O89" s="133"/>
    </row>
    <row r="90" customFormat="false" ht="15" hidden="false" customHeight="false" outlineLevel="0" collapsed="false">
      <c r="B90" s="132" t="s">
        <v>372</v>
      </c>
      <c r="C90" s="133" t="s">
        <v>373</v>
      </c>
      <c r="D90" s="133" t="s">
        <v>347</v>
      </c>
      <c r="E90" s="133" t="s">
        <v>192</v>
      </c>
      <c r="F90" s="134" t="n">
        <v>100</v>
      </c>
      <c r="G90" s="135" t="n">
        <v>6.67</v>
      </c>
      <c r="H90" s="133" t="n">
        <v>2</v>
      </c>
      <c r="I90" s="133" t="n">
        <v>1</v>
      </c>
      <c r="J90" s="133" t="s">
        <v>641</v>
      </c>
      <c r="K90" s="133" t="s">
        <v>499</v>
      </c>
      <c r="L90" s="133" t="s">
        <v>645</v>
      </c>
      <c r="M90" s="136" t="n">
        <v>8.2</v>
      </c>
      <c r="N90" s="136" t="n">
        <v>14.8</v>
      </c>
      <c r="O90" s="133"/>
    </row>
    <row r="91" customFormat="false" ht="15" hidden="false" customHeight="false" outlineLevel="0" collapsed="false">
      <c r="B91" s="132" t="s">
        <v>374</v>
      </c>
      <c r="C91" s="133" t="s">
        <v>375</v>
      </c>
      <c r="D91" s="133" t="s">
        <v>347</v>
      </c>
      <c r="E91" s="133" t="s">
        <v>192</v>
      </c>
      <c r="F91" s="134" t="n">
        <v>1500</v>
      </c>
      <c r="G91" s="135" t="n">
        <v>5.71</v>
      </c>
      <c r="H91" s="133" t="n">
        <v>3</v>
      </c>
      <c r="I91" s="133" t="n">
        <v>1</v>
      </c>
      <c r="J91" s="133" t="s">
        <v>641</v>
      </c>
      <c r="K91" s="133" t="s">
        <v>499</v>
      </c>
      <c r="L91" s="133" t="s">
        <v>645</v>
      </c>
      <c r="M91" s="136" t="n">
        <v>9.1</v>
      </c>
      <c r="N91" s="136" t="n">
        <v>0</v>
      </c>
      <c r="O91" s="133"/>
    </row>
    <row r="92" customFormat="false" ht="15" hidden="false" customHeight="false" outlineLevel="0" collapsed="false">
      <c r="B92" s="132" t="s">
        <v>376</v>
      </c>
      <c r="C92" s="133" t="s">
        <v>377</v>
      </c>
      <c r="D92" s="133" t="s">
        <v>347</v>
      </c>
      <c r="E92" s="133" t="s">
        <v>192</v>
      </c>
      <c r="F92" s="134" t="n">
        <v>2000</v>
      </c>
      <c r="G92" s="135" t="n">
        <v>8.26</v>
      </c>
      <c r="H92" s="133" t="n">
        <v>7</v>
      </c>
      <c r="I92" s="133" t="n">
        <v>2</v>
      </c>
      <c r="J92" s="133" t="s">
        <v>641</v>
      </c>
      <c r="K92" s="133" t="s">
        <v>499</v>
      </c>
      <c r="L92" s="133" t="s">
        <v>645</v>
      </c>
      <c r="M92" s="136" t="n">
        <v>7.5</v>
      </c>
      <c r="N92" s="136" t="n">
        <v>0</v>
      </c>
      <c r="O92" s="133"/>
    </row>
    <row r="93" customFormat="false" ht="15" hidden="false" customHeight="false" outlineLevel="0" collapsed="false">
      <c r="B93" s="132" t="s">
        <v>378</v>
      </c>
      <c r="C93" s="133" t="s">
        <v>379</v>
      </c>
      <c r="D93" s="133" t="s">
        <v>347</v>
      </c>
      <c r="E93" s="133" t="s">
        <v>192</v>
      </c>
      <c r="F93" s="134" t="n">
        <v>300</v>
      </c>
      <c r="G93" s="135" t="n">
        <v>23.2</v>
      </c>
      <c r="H93" s="133" t="n">
        <v>2</v>
      </c>
      <c r="I93" s="133" t="n">
        <v>1</v>
      </c>
      <c r="J93" s="133" t="s">
        <v>641</v>
      </c>
      <c r="K93" s="133" t="s">
        <v>499</v>
      </c>
      <c r="L93" s="133" t="s">
        <v>645</v>
      </c>
      <c r="M93" s="136" t="n">
        <v>6.3</v>
      </c>
      <c r="N93" s="136" t="n">
        <v>11.3</v>
      </c>
      <c r="O93" s="133"/>
    </row>
    <row r="94" customFormat="false" ht="15" hidden="false" customHeight="false" outlineLevel="0" collapsed="false">
      <c r="B94" s="132" t="s">
        <v>380</v>
      </c>
      <c r="C94" s="133" t="s">
        <v>381</v>
      </c>
      <c r="D94" s="133" t="s">
        <v>347</v>
      </c>
      <c r="E94" s="133" t="s">
        <v>192</v>
      </c>
      <c r="F94" s="134" t="n">
        <v>2000</v>
      </c>
      <c r="G94" s="135" t="n">
        <v>4.41</v>
      </c>
      <c r="H94" s="133" t="n">
        <v>2</v>
      </c>
      <c r="I94" s="133" t="n">
        <v>1</v>
      </c>
      <c r="J94" s="133" t="s">
        <v>641</v>
      </c>
      <c r="K94" s="133" t="s">
        <v>499</v>
      </c>
      <c r="L94" s="133" t="s">
        <v>645</v>
      </c>
      <c r="M94" s="136" t="n">
        <v>12.5</v>
      </c>
      <c r="N94" s="136" t="n">
        <v>0</v>
      </c>
      <c r="O94" s="133"/>
    </row>
    <row r="95" customFormat="false" ht="15" hidden="false" customHeight="false" outlineLevel="0" collapsed="false">
      <c r="B95" s="132" t="s">
        <v>382</v>
      </c>
      <c r="C95" s="133" t="s">
        <v>383</v>
      </c>
      <c r="D95" s="133" t="s">
        <v>347</v>
      </c>
      <c r="E95" s="133" t="s">
        <v>192</v>
      </c>
      <c r="F95" s="134" t="n">
        <v>1000</v>
      </c>
      <c r="G95" s="135" t="n">
        <v>19.69</v>
      </c>
      <c r="H95" s="133" t="n">
        <v>3</v>
      </c>
      <c r="I95" s="133" t="n">
        <v>1</v>
      </c>
      <c r="J95" s="133" t="s">
        <v>641</v>
      </c>
      <c r="K95" s="133" t="s">
        <v>499</v>
      </c>
      <c r="L95" s="133" t="s">
        <v>645</v>
      </c>
      <c r="M95" s="136" t="n">
        <v>9.8</v>
      </c>
      <c r="N95" s="136" t="n">
        <v>17.6</v>
      </c>
      <c r="O95" s="133"/>
    </row>
    <row r="96" customFormat="false" ht="15" hidden="false" customHeight="false" outlineLevel="0" collapsed="false">
      <c r="B96" s="132" t="s">
        <v>384</v>
      </c>
      <c r="C96" s="133" t="s">
        <v>385</v>
      </c>
      <c r="D96" s="133" t="s">
        <v>347</v>
      </c>
      <c r="E96" s="133" t="s">
        <v>192</v>
      </c>
      <c r="F96" s="134" t="n">
        <v>1000</v>
      </c>
      <c r="G96" s="135" t="n">
        <v>10.58</v>
      </c>
      <c r="H96" s="133" t="n">
        <v>3</v>
      </c>
      <c r="I96" s="133" t="n">
        <v>1</v>
      </c>
      <c r="J96" s="133" t="s">
        <v>641</v>
      </c>
      <c r="K96" s="133" t="s">
        <v>499</v>
      </c>
      <c r="L96" s="133" t="s">
        <v>645</v>
      </c>
      <c r="M96" s="136" t="n">
        <v>11.9</v>
      </c>
      <c r="N96" s="136" t="n">
        <v>11.3</v>
      </c>
      <c r="O96" s="133"/>
    </row>
    <row r="97" customFormat="false" ht="15" hidden="false" customHeight="false" outlineLevel="0" collapsed="false">
      <c r="B97" s="132" t="s">
        <v>386</v>
      </c>
      <c r="C97" s="133" t="s">
        <v>387</v>
      </c>
      <c r="D97" s="133" t="s">
        <v>347</v>
      </c>
      <c r="E97" s="133" t="s">
        <v>192</v>
      </c>
      <c r="F97" s="134" t="n">
        <v>5000</v>
      </c>
      <c r="G97" s="135" t="n">
        <v>5.39</v>
      </c>
      <c r="H97" s="133" t="n">
        <v>3</v>
      </c>
      <c r="I97" s="133" t="n">
        <v>2</v>
      </c>
      <c r="J97" s="133" t="s">
        <v>641</v>
      </c>
      <c r="K97" s="133" t="s">
        <v>499</v>
      </c>
      <c r="L97" s="133" t="s">
        <v>645</v>
      </c>
      <c r="M97" s="136" t="n">
        <v>12.5</v>
      </c>
      <c r="N97" s="136" t="n">
        <v>11.9</v>
      </c>
      <c r="O97" s="133"/>
    </row>
    <row r="98" customFormat="false" ht="15" hidden="false" customHeight="false" outlineLevel="0" collapsed="false">
      <c r="B98" s="132" t="s">
        <v>388</v>
      </c>
      <c r="C98" s="133" t="s">
        <v>389</v>
      </c>
      <c r="D98" s="133" t="s">
        <v>347</v>
      </c>
      <c r="E98" s="133" t="s">
        <v>192</v>
      </c>
      <c r="F98" s="134" t="n">
        <v>400</v>
      </c>
      <c r="G98" s="135" t="n">
        <v>52.02</v>
      </c>
      <c r="H98" s="133" t="n">
        <v>3</v>
      </c>
      <c r="I98" s="133" t="n">
        <v>5</v>
      </c>
      <c r="J98" s="133" t="s">
        <v>641</v>
      </c>
      <c r="K98" s="133" t="s">
        <v>499</v>
      </c>
      <c r="L98" s="133" t="s">
        <v>645</v>
      </c>
      <c r="M98" s="136" t="n">
        <v>13.4</v>
      </c>
      <c r="N98" s="136" t="n">
        <v>12.7</v>
      </c>
      <c r="O98" s="133"/>
    </row>
    <row r="99" customFormat="false" ht="15" hidden="false" customHeight="false" outlineLevel="0" collapsed="false">
      <c r="B99" s="132" t="s">
        <v>390</v>
      </c>
      <c r="C99" s="133" t="s">
        <v>391</v>
      </c>
      <c r="D99" s="133" t="s">
        <v>347</v>
      </c>
      <c r="E99" s="133" t="s">
        <v>192</v>
      </c>
      <c r="F99" s="134" t="n">
        <v>300</v>
      </c>
      <c r="G99" s="135" t="n">
        <v>82.02</v>
      </c>
      <c r="H99" s="133" t="n">
        <v>2</v>
      </c>
      <c r="I99" s="133" t="n">
        <v>1</v>
      </c>
      <c r="J99" s="133" t="s">
        <v>641</v>
      </c>
      <c r="K99" s="133" t="s">
        <v>499</v>
      </c>
      <c r="L99" s="133" t="s">
        <v>645</v>
      </c>
      <c r="M99" s="136" t="n">
        <v>9.8</v>
      </c>
      <c r="N99" s="136" t="n">
        <v>9.3</v>
      </c>
      <c r="O99" s="133"/>
    </row>
    <row r="100" customFormat="false" ht="15" hidden="false" customHeight="false" outlineLevel="0" collapsed="false">
      <c r="B100" s="132" t="s">
        <v>392</v>
      </c>
      <c r="C100" s="133" t="s">
        <v>393</v>
      </c>
      <c r="D100" s="133" t="s">
        <v>347</v>
      </c>
      <c r="E100" s="133" t="s">
        <v>192</v>
      </c>
      <c r="F100" s="134" t="n">
        <v>50</v>
      </c>
      <c r="G100" s="135" t="n">
        <v>14.5</v>
      </c>
      <c r="H100" s="133" t="n">
        <v>3</v>
      </c>
      <c r="I100" s="133" t="n">
        <v>1</v>
      </c>
      <c r="J100" s="133" t="s">
        <v>641</v>
      </c>
      <c r="K100" s="133" t="s">
        <v>499</v>
      </c>
      <c r="L100" s="133" t="s">
        <v>645</v>
      </c>
      <c r="M100" s="136" t="n">
        <v>9.3</v>
      </c>
      <c r="N100" s="136" t="n">
        <v>8.8</v>
      </c>
      <c r="O100" s="133"/>
    </row>
    <row r="101" customFormat="false" ht="15" hidden="false" customHeight="false" outlineLevel="0" collapsed="false">
      <c r="B101" s="132" t="s">
        <v>394</v>
      </c>
      <c r="C101" s="133" t="s">
        <v>395</v>
      </c>
      <c r="D101" s="133" t="s">
        <v>347</v>
      </c>
      <c r="E101" s="133" t="s">
        <v>192</v>
      </c>
      <c r="F101" s="134" t="n">
        <v>1000</v>
      </c>
      <c r="G101" s="135" t="n">
        <v>24.49</v>
      </c>
      <c r="H101" s="133" t="n">
        <v>7</v>
      </c>
      <c r="I101" s="133" t="n">
        <v>1</v>
      </c>
      <c r="J101" s="133" t="s">
        <v>641</v>
      </c>
      <c r="K101" s="133" t="s">
        <v>499</v>
      </c>
      <c r="L101" s="133" t="s">
        <v>645</v>
      </c>
      <c r="M101" s="136" t="n">
        <v>7.7</v>
      </c>
      <c r="N101" s="136" t="n">
        <v>7.3</v>
      </c>
      <c r="O101" s="133"/>
    </row>
    <row r="102" customFormat="false" ht="15" hidden="false" customHeight="false" outlineLevel="0" collapsed="false">
      <c r="B102" s="132" t="s">
        <v>396</v>
      </c>
      <c r="C102" s="133" t="s">
        <v>397</v>
      </c>
      <c r="D102" s="133" t="s">
        <v>347</v>
      </c>
      <c r="E102" s="133" t="s">
        <v>192</v>
      </c>
      <c r="F102" s="134" t="n">
        <v>1000</v>
      </c>
      <c r="G102" s="135" t="n">
        <v>18</v>
      </c>
      <c r="H102" s="133" t="n">
        <v>4</v>
      </c>
      <c r="I102" s="133" t="n">
        <v>2</v>
      </c>
      <c r="J102" s="133" t="s">
        <v>641</v>
      </c>
      <c r="K102" s="133" t="s">
        <v>499</v>
      </c>
      <c r="L102" s="133" t="s">
        <v>645</v>
      </c>
      <c r="M102" s="136" t="n">
        <v>12</v>
      </c>
      <c r="N102" s="136" t="n">
        <v>21.6</v>
      </c>
      <c r="O102" s="133"/>
    </row>
    <row r="103" customFormat="false" ht="15" hidden="false" customHeight="false" outlineLevel="0" collapsed="false">
      <c r="B103" s="132" t="s">
        <v>398</v>
      </c>
      <c r="C103" s="133" t="s">
        <v>399</v>
      </c>
      <c r="D103" s="133" t="s">
        <v>347</v>
      </c>
      <c r="E103" s="133" t="s">
        <v>192</v>
      </c>
      <c r="F103" s="134" t="n">
        <v>1200</v>
      </c>
      <c r="G103" s="135" t="n">
        <v>5.63</v>
      </c>
      <c r="H103" s="133" t="n">
        <v>5</v>
      </c>
      <c r="I103" s="133" t="n">
        <v>5</v>
      </c>
      <c r="J103" s="133" t="s">
        <v>641</v>
      </c>
      <c r="K103" s="133" t="s">
        <v>499</v>
      </c>
      <c r="L103" s="133" t="s">
        <v>645</v>
      </c>
      <c r="M103" s="136" t="n">
        <v>9.4</v>
      </c>
      <c r="N103" s="136" t="n">
        <v>8.9</v>
      </c>
      <c r="O103" s="133"/>
    </row>
    <row r="104" customFormat="false" ht="15" hidden="false" customHeight="false" outlineLevel="0" collapsed="false">
      <c r="B104" s="132" t="s">
        <v>400</v>
      </c>
      <c r="C104" s="133" t="s">
        <v>401</v>
      </c>
      <c r="D104" s="133" t="s">
        <v>347</v>
      </c>
      <c r="E104" s="133" t="s">
        <v>192</v>
      </c>
      <c r="F104" s="134" t="n">
        <v>900</v>
      </c>
      <c r="G104" s="135" t="n">
        <v>5.07</v>
      </c>
      <c r="H104" s="133" t="n">
        <v>7</v>
      </c>
      <c r="I104" s="133" t="n">
        <v>2</v>
      </c>
      <c r="J104" s="133" t="s">
        <v>641</v>
      </c>
      <c r="K104" s="133" t="s">
        <v>499</v>
      </c>
      <c r="L104" s="133" t="s">
        <v>645</v>
      </c>
      <c r="M104" s="136" t="n">
        <v>11.8</v>
      </c>
      <c r="N104" s="136" t="n">
        <v>11.2</v>
      </c>
      <c r="O104" s="133"/>
    </row>
    <row r="105" customFormat="false" ht="15" hidden="false" customHeight="false" outlineLevel="0" collapsed="false">
      <c r="B105" s="132" t="s">
        <v>402</v>
      </c>
      <c r="C105" s="133" t="s">
        <v>403</v>
      </c>
      <c r="D105" s="133" t="s">
        <v>347</v>
      </c>
      <c r="E105" s="133" t="s">
        <v>192</v>
      </c>
      <c r="F105" s="134" t="n">
        <v>300</v>
      </c>
      <c r="G105" s="135" t="n">
        <v>17.95</v>
      </c>
      <c r="H105" s="133" t="n">
        <v>3</v>
      </c>
      <c r="I105" s="133" t="n">
        <v>1</v>
      </c>
      <c r="J105" s="133" t="s">
        <v>641</v>
      </c>
      <c r="K105" s="133" t="s">
        <v>499</v>
      </c>
      <c r="L105" s="133" t="s">
        <v>645</v>
      </c>
      <c r="M105" s="136" t="n">
        <v>11</v>
      </c>
      <c r="N105" s="136" t="n">
        <v>19.8</v>
      </c>
      <c r="O105" s="133"/>
    </row>
    <row r="106" customFormat="false" ht="15" hidden="false" customHeight="false" outlineLevel="0" collapsed="false">
      <c r="B106" s="132" t="s">
        <v>404</v>
      </c>
      <c r="C106" s="133" t="s">
        <v>405</v>
      </c>
      <c r="D106" s="133" t="s">
        <v>347</v>
      </c>
      <c r="E106" s="133" t="s">
        <v>192</v>
      </c>
      <c r="F106" s="134" t="n">
        <v>200</v>
      </c>
      <c r="G106" s="135" t="n">
        <v>5.03</v>
      </c>
      <c r="H106" s="133" t="n">
        <v>7</v>
      </c>
      <c r="I106" s="133" t="n">
        <v>1</v>
      </c>
      <c r="J106" s="133" t="s">
        <v>641</v>
      </c>
      <c r="K106" s="133" t="s">
        <v>499</v>
      </c>
      <c r="L106" s="133" t="s">
        <v>645</v>
      </c>
      <c r="M106" s="136" t="n">
        <v>6.9</v>
      </c>
      <c r="N106" s="136" t="n">
        <v>6.6</v>
      </c>
      <c r="O106" s="133"/>
    </row>
    <row r="107" customFormat="false" ht="15" hidden="false" customHeight="false" outlineLevel="0" collapsed="false">
      <c r="B107" s="132" t="s">
        <v>406</v>
      </c>
      <c r="C107" s="133" t="s">
        <v>407</v>
      </c>
      <c r="D107" s="133" t="s">
        <v>347</v>
      </c>
      <c r="E107" s="133" t="s">
        <v>192</v>
      </c>
      <c r="F107" s="134" t="n">
        <v>1000</v>
      </c>
      <c r="G107" s="135" t="n">
        <v>15.3</v>
      </c>
      <c r="H107" s="133" t="n">
        <v>4</v>
      </c>
      <c r="I107" s="133" t="n">
        <v>5</v>
      </c>
      <c r="J107" s="133" t="s">
        <v>641</v>
      </c>
      <c r="K107" s="133" t="s">
        <v>499</v>
      </c>
      <c r="L107" s="133" t="s">
        <v>645</v>
      </c>
      <c r="M107" s="136" t="n">
        <v>12.7</v>
      </c>
      <c r="N107" s="136" t="n">
        <v>22.9</v>
      </c>
      <c r="O107" s="133"/>
    </row>
    <row r="108" customFormat="false" ht="15" hidden="false" customHeight="false" outlineLevel="0" collapsed="false">
      <c r="B108" s="132" t="s">
        <v>408</v>
      </c>
      <c r="C108" s="133" t="s">
        <v>409</v>
      </c>
      <c r="D108" s="133" t="s">
        <v>347</v>
      </c>
      <c r="E108" s="133" t="s">
        <v>192</v>
      </c>
      <c r="F108" s="134" t="n">
        <v>3000</v>
      </c>
      <c r="G108" s="135" t="n">
        <v>2.05</v>
      </c>
      <c r="H108" s="133" t="n">
        <v>7</v>
      </c>
      <c r="I108" s="133" t="n">
        <v>1</v>
      </c>
      <c r="J108" s="133" t="s">
        <v>641</v>
      </c>
      <c r="K108" s="133" t="s">
        <v>499</v>
      </c>
      <c r="L108" s="133" t="s">
        <v>645</v>
      </c>
      <c r="M108" s="136" t="n">
        <v>9.2</v>
      </c>
      <c r="N108" s="136" t="n">
        <v>8.7</v>
      </c>
      <c r="O108" s="133"/>
    </row>
    <row r="109" customFormat="false" ht="15" hidden="false" customHeight="false" outlineLevel="0" collapsed="false">
      <c r="B109" s="132" t="s">
        <v>410</v>
      </c>
      <c r="C109" s="133" t="s">
        <v>411</v>
      </c>
      <c r="D109" s="133" t="s">
        <v>347</v>
      </c>
      <c r="E109" s="133" t="s">
        <v>192</v>
      </c>
      <c r="F109" s="134" t="n">
        <v>2000</v>
      </c>
      <c r="G109" s="135" t="n">
        <v>3.18</v>
      </c>
      <c r="H109" s="133" t="n">
        <v>2</v>
      </c>
      <c r="I109" s="133" t="n">
        <v>5</v>
      </c>
      <c r="J109" s="133" t="s">
        <v>641</v>
      </c>
      <c r="K109" s="133" t="s">
        <v>499</v>
      </c>
      <c r="L109" s="133" t="s">
        <v>645</v>
      </c>
      <c r="M109" s="136" t="n">
        <v>8.7</v>
      </c>
      <c r="N109" s="136" t="n">
        <v>8.3</v>
      </c>
      <c r="O109" s="133"/>
    </row>
    <row r="110" customFormat="false" ht="15" hidden="false" customHeight="false" outlineLevel="0" collapsed="false">
      <c r="B110" s="132" t="s">
        <v>412</v>
      </c>
      <c r="C110" s="133" t="s">
        <v>413</v>
      </c>
      <c r="D110" s="133" t="s">
        <v>347</v>
      </c>
      <c r="E110" s="133" t="s">
        <v>192</v>
      </c>
      <c r="F110" s="134" t="n">
        <v>2500</v>
      </c>
      <c r="G110" s="135" t="n">
        <v>4.06</v>
      </c>
      <c r="H110" s="133" t="n">
        <v>4</v>
      </c>
      <c r="I110" s="133" t="n">
        <v>2</v>
      </c>
      <c r="J110" s="133" t="s">
        <v>641</v>
      </c>
      <c r="K110" s="133" t="s">
        <v>499</v>
      </c>
      <c r="L110" s="133" t="s">
        <v>645</v>
      </c>
      <c r="M110" s="136" t="n">
        <v>8.3</v>
      </c>
      <c r="N110" s="136" t="n">
        <v>7.9</v>
      </c>
      <c r="O110" s="133"/>
    </row>
    <row r="111" customFormat="false" ht="15" hidden="false" customHeight="false" outlineLevel="0" collapsed="false">
      <c r="B111" s="132" t="s">
        <v>414</v>
      </c>
      <c r="C111" s="133" t="s">
        <v>415</v>
      </c>
      <c r="D111" s="133" t="s">
        <v>347</v>
      </c>
      <c r="E111" s="133" t="s">
        <v>192</v>
      </c>
      <c r="F111" s="134" t="n">
        <v>900</v>
      </c>
      <c r="G111" s="135" t="n">
        <v>4.84</v>
      </c>
      <c r="H111" s="133" t="n">
        <v>7</v>
      </c>
      <c r="I111" s="133" t="n">
        <v>2</v>
      </c>
      <c r="J111" s="133" t="s">
        <v>641</v>
      </c>
      <c r="K111" s="133" t="s">
        <v>499</v>
      </c>
      <c r="L111" s="133" t="s">
        <v>645</v>
      </c>
      <c r="M111" s="136" t="n">
        <v>6.3</v>
      </c>
      <c r="N111" s="136" t="n">
        <v>0</v>
      </c>
      <c r="O111" s="133"/>
    </row>
    <row r="112" customFormat="false" ht="15" hidden="false" customHeight="false" outlineLevel="0" collapsed="false">
      <c r="B112" s="132" t="s">
        <v>416</v>
      </c>
      <c r="C112" s="133" t="s">
        <v>417</v>
      </c>
      <c r="D112" s="133" t="s">
        <v>347</v>
      </c>
      <c r="E112" s="133" t="s">
        <v>192</v>
      </c>
      <c r="F112" s="134" t="n">
        <v>1000</v>
      </c>
      <c r="G112" s="135" t="n">
        <v>11.53</v>
      </c>
      <c r="H112" s="133" t="n">
        <v>7</v>
      </c>
      <c r="I112" s="133" t="n">
        <v>1</v>
      </c>
      <c r="J112" s="133" t="s">
        <v>641</v>
      </c>
      <c r="K112" s="133" t="s">
        <v>499</v>
      </c>
      <c r="L112" s="133" t="s">
        <v>645</v>
      </c>
      <c r="M112" s="136" t="n">
        <v>7.7</v>
      </c>
      <c r="N112" s="136" t="n">
        <v>13.9</v>
      </c>
      <c r="O112" s="133"/>
    </row>
    <row r="113" customFormat="false" ht="15" hidden="false" customHeight="false" outlineLevel="0" collapsed="false">
      <c r="B113" s="132" t="s">
        <v>418</v>
      </c>
      <c r="C113" s="133" t="s">
        <v>419</v>
      </c>
      <c r="D113" s="133" t="s">
        <v>347</v>
      </c>
      <c r="E113" s="133" t="s">
        <v>192</v>
      </c>
      <c r="F113" s="134" t="n">
        <v>1000</v>
      </c>
      <c r="G113" s="135" t="n">
        <v>8.73</v>
      </c>
      <c r="H113" s="133" t="n">
        <v>2</v>
      </c>
      <c r="I113" s="133" t="n">
        <v>5</v>
      </c>
      <c r="J113" s="133" t="s">
        <v>641</v>
      </c>
      <c r="K113" s="133" t="s">
        <v>499</v>
      </c>
      <c r="L113" s="133" t="s">
        <v>645</v>
      </c>
      <c r="M113" s="136" t="n">
        <v>13.1</v>
      </c>
      <c r="N113" s="136" t="n">
        <v>23.6</v>
      </c>
      <c r="O113" s="133"/>
    </row>
    <row r="114" customFormat="false" ht="15" hidden="false" customHeight="false" outlineLevel="0" collapsed="false">
      <c r="B114" s="132" t="s">
        <v>420</v>
      </c>
      <c r="C114" s="133" t="s">
        <v>421</v>
      </c>
      <c r="D114" s="133" t="s">
        <v>347</v>
      </c>
      <c r="E114" s="133" t="s">
        <v>192</v>
      </c>
      <c r="F114" s="134" t="n">
        <v>10000</v>
      </c>
      <c r="G114" s="135" t="n">
        <v>1.17</v>
      </c>
      <c r="H114" s="133" t="n">
        <v>5</v>
      </c>
      <c r="I114" s="133" t="n">
        <v>2</v>
      </c>
      <c r="J114" s="133" t="s">
        <v>641</v>
      </c>
      <c r="K114" s="133" t="s">
        <v>499</v>
      </c>
      <c r="L114" s="133" t="s">
        <v>645</v>
      </c>
      <c r="M114" s="136" t="n">
        <v>5.9</v>
      </c>
      <c r="N114" s="136" t="n">
        <v>5.6</v>
      </c>
      <c r="O114" s="133"/>
    </row>
    <row r="115" customFormat="false" ht="15" hidden="false" customHeight="false" outlineLevel="0" collapsed="false">
      <c r="B115" s="132" t="s">
        <v>422</v>
      </c>
      <c r="C115" s="133" t="s">
        <v>423</v>
      </c>
      <c r="D115" s="133" t="s">
        <v>347</v>
      </c>
      <c r="E115" s="133" t="s">
        <v>192</v>
      </c>
      <c r="F115" s="134" t="n">
        <v>1000</v>
      </c>
      <c r="G115" s="135" t="n">
        <v>5.36</v>
      </c>
      <c r="H115" s="133" t="n">
        <v>3</v>
      </c>
      <c r="I115" s="133" t="n">
        <v>5</v>
      </c>
      <c r="J115" s="133" t="s">
        <v>641</v>
      </c>
      <c r="K115" s="133" t="s">
        <v>499</v>
      </c>
      <c r="L115" s="133" t="s">
        <v>645</v>
      </c>
      <c r="M115" s="136" t="n">
        <v>12.7</v>
      </c>
      <c r="N115" s="136" t="n">
        <v>0</v>
      </c>
      <c r="O115" s="133"/>
    </row>
    <row r="116" customFormat="false" ht="15" hidden="false" customHeight="false" outlineLevel="0" collapsed="false">
      <c r="B116" s="132" t="s">
        <v>424</v>
      </c>
      <c r="C116" s="133" t="s">
        <v>425</v>
      </c>
      <c r="D116" s="133" t="s">
        <v>347</v>
      </c>
      <c r="E116" s="133" t="s">
        <v>192</v>
      </c>
      <c r="F116" s="134" t="n">
        <v>1000</v>
      </c>
      <c r="G116" s="135" t="n">
        <v>7.06</v>
      </c>
      <c r="H116" s="133" t="n">
        <v>7</v>
      </c>
      <c r="I116" s="133" t="n">
        <v>1</v>
      </c>
      <c r="J116" s="133" t="s">
        <v>641</v>
      </c>
      <c r="K116" s="133" t="s">
        <v>499</v>
      </c>
      <c r="L116" s="133" t="s">
        <v>645</v>
      </c>
      <c r="M116" s="136" t="n">
        <v>5.7</v>
      </c>
      <c r="N116" s="136" t="n">
        <v>0</v>
      </c>
      <c r="O116" s="133"/>
    </row>
    <row r="117" customFormat="false" ht="15" hidden="false" customHeight="false" outlineLevel="0" collapsed="false">
      <c r="B117" s="132" t="s">
        <v>426</v>
      </c>
      <c r="C117" s="133" t="s">
        <v>427</v>
      </c>
      <c r="D117" s="133" t="s">
        <v>347</v>
      </c>
      <c r="E117" s="133" t="s">
        <v>192</v>
      </c>
      <c r="F117" s="134" t="n">
        <v>1250</v>
      </c>
      <c r="G117" s="135" t="n">
        <v>8.22</v>
      </c>
      <c r="H117" s="133" t="n">
        <v>5</v>
      </c>
      <c r="I117" s="133" t="n">
        <v>1</v>
      </c>
      <c r="J117" s="133" t="s">
        <v>641</v>
      </c>
      <c r="K117" s="133" t="s">
        <v>499</v>
      </c>
      <c r="L117" s="133" t="s">
        <v>645</v>
      </c>
      <c r="M117" s="136" t="n">
        <v>12.9</v>
      </c>
      <c r="N117" s="136" t="n">
        <v>23.2</v>
      </c>
      <c r="O117" s="133"/>
    </row>
    <row r="118" customFormat="false" ht="15" hidden="false" customHeight="false" outlineLevel="0" collapsed="false">
      <c r="B118" s="132" t="s">
        <v>428</v>
      </c>
      <c r="C118" s="133" t="s">
        <v>429</v>
      </c>
      <c r="D118" s="133" t="s">
        <v>347</v>
      </c>
      <c r="E118" s="133" t="s">
        <v>192</v>
      </c>
      <c r="F118" s="134" t="n">
        <v>300</v>
      </c>
      <c r="G118" s="135" t="n">
        <v>17.84</v>
      </c>
      <c r="H118" s="133" t="n">
        <v>3</v>
      </c>
      <c r="I118" s="133" t="n">
        <v>1</v>
      </c>
      <c r="J118" s="133" t="s">
        <v>641</v>
      </c>
      <c r="K118" s="133" t="s">
        <v>499</v>
      </c>
      <c r="L118" s="133" t="s">
        <v>645</v>
      </c>
      <c r="M118" s="136" t="n">
        <v>10.9</v>
      </c>
      <c r="N118" s="136" t="n">
        <v>10.4</v>
      </c>
      <c r="O118" s="133"/>
    </row>
    <row r="119" customFormat="false" ht="15" hidden="false" customHeight="false" outlineLevel="0" collapsed="false">
      <c r="B119" s="132" t="s">
        <v>430</v>
      </c>
      <c r="C119" s="133" t="s">
        <v>431</v>
      </c>
      <c r="D119" s="133" t="s">
        <v>347</v>
      </c>
      <c r="E119" s="133" t="s">
        <v>192</v>
      </c>
      <c r="F119" s="134" t="n">
        <v>1200</v>
      </c>
      <c r="G119" s="135" t="n">
        <v>5.05</v>
      </c>
      <c r="H119" s="133" t="n">
        <v>4</v>
      </c>
      <c r="I119" s="133" t="n">
        <v>1</v>
      </c>
      <c r="J119" s="133" t="s">
        <v>641</v>
      </c>
      <c r="K119" s="133" t="s">
        <v>499</v>
      </c>
      <c r="L119" s="133" t="s">
        <v>645</v>
      </c>
      <c r="M119" s="136" t="n">
        <v>9.1</v>
      </c>
      <c r="N119" s="136" t="n">
        <v>8.6</v>
      </c>
      <c r="O119" s="133"/>
    </row>
    <row r="120" customFormat="false" ht="15" hidden="false" customHeight="false" outlineLevel="0" collapsed="false">
      <c r="B120" s="132" t="s">
        <v>432</v>
      </c>
      <c r="C120" s="133" t="s">
        <v>433</v>
      </c>
      <c r="D120" s="133" t="s">
        <v>347</v>
      </c>
      <c r="E120" s="133" t="s">
        <v>192</v>
      </c>
      <c r="F120" s="134" t="n">
        <v>1000</v>
      </c>
      <c r="G120" s="135" t="n">
        <v>7.6</v>
      </c>
      <c r="H120" s="133" t="n">
        <v>7</v>
      </c>
      <c r="I120" s="133" t="n">
        <v>2</v>
      </c>
      <c r="J120" s="133" t="s">
        <v>641</v>
      </c>
      <c r="K120" s="133" t="s">
        <v>499</v>
      </c>
      <c r="L120" s="133" t="s">
        <v>645</v>
      </c>
      <c r="M120" s="136" t="n">
        <v>6.3</v>
      </c>
      <c r="N120" s="136" t="n">
        <v>0</v>
      </c>
      <c r="O120" s="133"/>
    </row>
    <row r="121" customFormat="false" ht="15" hidden="false" customHeight="false" outlineLevel="0" collapsed="false">
      <c r="B121" s="132" t="s">
        <v>434</v>
      </c>
      <c r="C121" s="133" t="s">
        <v>435</v>
      </c>
      <c r="D121" s="133" t="s">
        <v>347</v>
      </c>
      <c r="E121" s="133" t="s">
        <v>192</v>
      </c>
      <c r="F121" s="134" t="n">
        <v>450</v>
      </c>
      <c r="G121" s="135" t="n">
        <v>15.46</v>
      </c>
      <c r="H121" s="133" t="n">
        <v>3</v>
      </c>
      <c r="I121" s="133" t="n">
        <v>1</v>
      </c>
      <c r="J121" s="133" t="s">
        <v>641</v>
      </c>
      <c r="K121" s="133" t="s">
        <v>499</v>
      </c>
      <c r="L121" s="133" t="s">
        <v>645</v>
      </c>
      <c r="M121" s="136" t="n">
        <v>5.6</v>
      </c>
      <c r="N121" s="136" t="n">
        <v>5.3</v>
      </c>
      <c r="O121" s="133"/>
    </row>
    <row r="122" customFormat="false" ht="15" hidden="false" customHeight="false" outlineLevel="0" collapsed="false">
      <c r="B122" s="132" t="s">
        <v>436</v>
      </c>
      <c r="C122" s="133" t="s">
        <v>437</v>
      </c>
      <c r="D122" s="133" t="s">
        <v>347</v>
      </c>
      <c r="E122" s="133" t="s">
        <v>192</v>
      </c>
      <c r="F122" s="134" t="n">
        <v>400</v>
      </c>
      <c r="G122" s="135" t="n">
        <v>13.41</v>
      </c>
      <c r="H122" s="133" t="n">
        <v>2</v>
      </c>
      <c r="I122" s="133" t="n">
        <v>1</v>
      </c>
      <c r="J122" s="133" t="s">
        <v>641</v>
      </c>
      <c r="K122" s="133" t="s">
        <v>499</v>
      </c>
      <c r="L122" s="133" t="s">
        <v>645</v>
      </c>
      <c r="M122" s="136" t="n">
        <v>11.9</v>
      </c>
      <c r="N122" s="136" t="n">
        <v>11.3</v>
      </c>
      <c r="O122" s="133"/>
    </row>
    <row r="123" customFormat="false" ht="15" hidden="false" customHeight="false" outlineLevel="0" collapsed="false">
      <c r="B123" s="132" t="s">
        <v>438</v>
      </c>
      <c r="C123" s="133" t="s">
        <v>439</v>
      </c>
      <c r="D123" s="133" t="s">
        <v>347</v>
      </c>
      <c r="E123" s="133" t="s">
        <v>192</v>
      </c>
      <c r="F123" s="134" t="n">
        <v>600</v>
      </c>
      <c r="G123" s="135" t="n">
        <v>11.68</v>
      </c>
      <c r="H123" s="133" t="n">
        <v>2</v>
      </c>
      <c r="I123" s="133" t="n">
        <v>2</v>
      </c>
      <c r="J123" s="133" t="s">
        <v>641</v>
      </c>
      <c r="K123" s="133" t="s">
        <v>499</v>
      </c>
      <c r="L123" s="133" t="s">
        <v>645</v>
      </c>
      <c r="M123" s="136" t="n">
        <v>9.9</v>
      </c>
      <c r="N123" s="136" t="n">
        <v>0</v>
      </c>
      <c r="O123" s="133"/>
    </row>
    <row r="124" customFormat="false" ht="15" hidden="false" customHeight="false" outlineLevel="0" collapsed="false">
      <c r="B124" s="132" t="s">
        <v>440</v>
      </c>
      <c r="C124" s="133" t="s">
        <v>441</v>
      </c>
      <c r="D124" s="133" t="s">
        <v>347</v>
      </c>
      <c r="E124" s="133" t="s">
        <v>192</v>
      </c>
      <c r="F124" s="134" t="n">
        <v>500</v>
      </c>
      <c r="G124" s="135" t="n">
        <v>15.6</v>
      </c>
      <c r="H124" s="133" t="n">
        <v>3</v>
      </c>
      <c r="I124" s="133" t="n">
        <v>5</v>
      </c>
      <c r="J124" s="133" t="s">
        <v>641</v>
      </c>
      <c r="K124" s="133" t="s">
        <v>499</v>
      </c>
      <c r="L124" s="133" t="s">
        <v>645</v>
      </c>
      <c r="M124" s="136" t="n">
        <v>9.2</v>
      </c>
      <c r="N124" s="136" t="n">
        <v>0</v>
      </c>
      <c r="O124" s="133"/>
    </row>
    <row r="125" customFormat="false" ht="15" hidden="false" customHeight="false" outlineLevel="0" collapsed="false">
      <c r="B125" s="132" t="s">
        <v>442</v>
      </c>
      <c r="C125" s="133" t="s">
        <v>443</v>
      </c>
      <c r="D125" s="133" t="s">
        <v>347</v>
      </c>
      <c r="E125" s="133" t="s">
        <v>192</v>
      </c>
      <c r="F125" s="134" t="n">
        <v>500</v>
      </c>
      <c r="G125" s="135" t="n">
        <v>4.48</v>
      </c>
      <c r="H125" s="133" t="n">
        <v>3</v>
      </c>
      <c r="I125" s="133" t="n">
        <v>1</v>
      </c>
      <c r="J125" s="133" t="s">
        <v>641</v>
      </c>
      <c r="K125" s="133" t="s">
        <v>499</v>
      </c>
      <c r="L125" s="133" t="s">
        <v>645</v>
      </c>
      <c r="M125" s="136" t="n">
        <v>8.1</v>
      </c>
      <c r="N125" s="136" t="n">
        <v>7.7</v>
      </c>
      <c r="O125" s="133"/>
    </row>
    <row r="126" customFormat="false" ht="15" hidden="false" customHeight="false" outlineLevel="0" collapsed="false">
      <c r="B126" s="132" t="s">
        <v>444</v>
      </c>
      <c r="C126" s="133" t="s">
        <v>445</v>
      </c>
      <c r="D126" s="133" t="s">
        <v>347</v>
      </c>
      <c r="E126" s="133" t="s">
        <v>192</v>
      </c>
      <c r="F126" s="134" t="n">
        <v>100</v>
      </c>
      <c r="G126" s="135" t="n">
        <v>2.44</v>
      </c>
      <c r="H126" s="133" t="n">
        <v>2</v>
      </c>
      <c r="I126" s="133" t="n">
        <v>1</v>
      </c>
      <c r="J126" s="133" t="s">
        <v>641</v>
      </c>
      <c r="K126" s="133" t="s">
        <v>499</v>
      </c>
      <c r="L126" s="133" t="s">
        <v>645</v>
      </c>
      <c r="M126" s="136" t="n">
        <v>5.8</v>
      </c>
      <c r="N126" s="136" t="n">
        <v>5.5</v>
      </c>
      <c r="O126" s="133"/>
    </row>
    <row r="127" customFormat="false" ht="15" hidden="false" customHeight="false" outlineLevel="0" collapsed="false">
      <c r="B127" s="132" t="s">
        <v>448</v>
      </c>
      <c r="C127" s="133" t="s">
        <v>449</v>
      </c>
      <c r="D127" s="133" t="s">
        <v>341</v>
      </c>
      <c r="E127" s="133" t="s">
        <v>447</v>
      </c>
      <c r="F127" s="134" t="n">
        <v>20</v>
      </c>
      <c r="G127" s="135" t="n">
        <v>591</v>
      </c>
      <c r="H127" s="133" t="n">
        <v>5</v>
      </c>
      <c r="I127" s="133" t="n">
        <v>2</v>
      </c>
      <c r="J127" s="133" t="s">
        <v>641</v>
      </c>
      <c r="K127" s="133" t="s">
        <v>499</v>
      </c>
      <c r="L127" s="133" t="s">
        <v>642</v>
      </c>
      <c r="M127" s="136" t="n">
        <v>0.6</v>
      </c>
      <c r="N127" s="136" t="n">
        <v>0.6</v>
      </c>
      <c r="O127" s="133"/>
    </row>
    <row r="128" customFormat="false" ht="15" hidden="false" customHeight="false" outlineLevel="0" collapsed="false">
      <c r="B128" s="132" t="s">
        <v>452</v>
      </c>
      <c r="C128" s="133" t="s">
        <v>453</v>
      </c>
      <c r="D128" s="133" t="s">
        <v>341</v>
      </c>
      <c r="E128" s="133" t="s">
        <v>451</v>
      </c>
      <c r="F128" s="134" t="n">
        <v>50</v>
      </c>
      <c r="G128" s="135" t="n">
        <v>750</v>
      </c>
      <c r="H128" s="133" t="n">
        <v>5</v>
      </c>
      <c r="I128" s="133" t="n">
        <v>5</v>
      </c>
      <c r="J128" s="133" t="s">
        <v>641</v>
      </c>
      <c r="K128" s="133" t="s">
        <v>499</v>
      </c>
      <c r="L128" s="133" t="s">
        <v>642</v>
      </c>
      <c r="M128" s="136" t="n">
        <v>0.5</v>
      </c>
      <c r="N128" s="136" t="n">
        <v>0.9</v>
      </c>
      <c r="O128" s="133"/>
    </row>
    <row r="129" customFormat="false" ht="15" hidden="false" customHeight="false" outlineLevel="0" collapsed="false">
      <c r="B129" s="132" t="s">
        <v>456</v>
      </c>
      <c r="C129" s="133" t="s">
        <v>457</v>
      </c>
      <c r="D129" s="133" t="s">
        <v>341</v>
      </c>
      <c r="E129" s="133" t="s">
        <v>455</v>
      </c>
      <c r="F129" s="134" t="n">
        <v>18</v>
      </c>
      <c r="G129" s="135" t="n">
        <v>1050</v>
      </c>
      <c r="H129" s="133" t="n">
        <v>7</v>
      </c>
      <c r="I129" s="133" t="n">
        <v>5</v>
      </c>
      <c r="J129" s="133" t="s">
        <v>641</v>
      </c>
      <c r="K129" s="133" t="s">
        <v>499</v>
      </c>
      <c r="L129" s="133" t="s">
        <v>642</v>
      </c>
      <c r="M129" s="136" t="n">
        <v>1.3</v>
      </c>
      <c r="N129" s="136" t="n">
        <v>1.2</v>
      </c>
      <c r="O129" s="133"/>
    </row>
    <row r="130" customFormat="false" ht="15" hidden="false" customHeight="false" outlineLevel="0" collapsed="false">
      <c r="B130" s="132" t="s">
        <v>460</v>
      </c>
      <c r="C130" s="133" t="s">
        <v>461</v>
      </c>
      <c r="D130" s="133" t="s">
        <v>341</v>
      </c>
      <c r="E130" s="133" t="s">
        <v>459</v>
      </c>
      <c r="F130" s="134" t="n">
        <v>18</v>
      </c>
      <c r="G130" s="135" t="n">
        <v>1800</v>
      </c>
      <c r="H130" s="133" t="n">
        <v>3</v>
      </c>
      <c r="I130" s="133" t="n">
        <v>1</v>
      </c>
      <c r="J130" s="133" t="s">
        <v>641</v>
      </c>
      <c r="K130" s="133" t="s">
        <v>499</v>
      </c>
      <c r="L130" s="133" t="s">
        <v>642</v>
      </c>
      <c r="M130" s="136" t="n">
        <v>1.2</v>
      </c>
      <c r="N130" s="136" t="n">
        <v>1.1</v>
      </c>
      <c r="O130" s="133"/>
    </row>
    <row r="131" customFormat="false" ht="15" hidden="false" customHeight="false" outlineLevel="0" collapsed="false">
      <c r="B131" s="132" t="s">
        <v>464</v>
      </c>
      <c r="C131" s="133" t="s">
        <v>465</v>
      </c>
      <c r="D131" s="133" t="s">
        <v>341</v>
      </c>
      <c r="E131" s="133" t="s">
        <v>463</v>
      </c>
      <c r="F131" s="134" t="n">
        <v>21</v>
      </c>
      <c r="G131" s="135" t="n">
        <v>680</v>
      </c>
      <c r="H131" s="133" t="n">
        <v>4</v>
      </c>
      <c r="I131" s="133" t="n">
        <v>1</v>
      </c>
      <c r="J131" s="133" t="s">
        <v>641</v>
      </c>
      <c r="K131" s="133" t="s">
        <v>499</v>
      </c>
      <c r="L131" s="133" t="s">
        <v>642</v>
      </c>
      <c r="M131" s="136" t="n">
        <v>0.7</v>
      </c>
      <c r="N131" s="136" t="n">
        <v>0.7</v>
      </c>
      <c r="O131" s="133"/>
    </row>
    <row r="132" customFormat="false" ht="15" hidden="false" customHeight="false" outlineLevel="0" collapsed="false">
      <c r="B132" s="132" t="s">
        <v>468</v>
      </c>
      <c r="C132" s="133" t="s">
        <v>469</v>
      </c>
      <c r="D132" s="133" t="s">
        <v>341</v>
      </c>
      <c r="E132" s="133" t="s">
        <v>467</v>
      </c>
      <c r="F132" s="134" t="n">
        <v>20</v>
      </c>
      <c r="G132" s="135" t="n">
        <v>650</v>
      </c>
      <c r="H132" s="133" t="n">
        <v>5</v>
      </c>
      <c r="I132" s="133" t="n">
        <v>1</v>
      </c>
      <c r="J132" s="133" t="s">
        <v>641</v>
      </c>
      <c r="K132" s="133" t="s">
        <v>499</v>
      </c>
      <c r="L132" s="133" t="s">
        <v>642</v>
      </c>
      <c r="M132" s="136" t="n">
        <v>0.6</v>
      </c>
      <c r="N132" s="136" t="n">
        <v>0.6</v>
      </c>
      <c r="O132" s="133"/>
    </row>
    <row r="133" customFormat="false" ht="15" hidden="false" customHeight="false" outlineLevel="0" collapsed="false">
      <c r="B133" s="132" t="s">
        <v>470</v>
      </c>
      <c r="C133" s="133" t="s">
        <v>471</v>
      </c>
      <c r="D133" s="133" t="s">
        <v>341</v>
      </c>
      <c r="E133" s="133" t="s">
        <v>467</v>
      </c>
      <c r="F133" s="134" t="n">
        <v>30</v>
      </c>
      <c r="G133" s="135" t="n">
        <v>750</v>
      </c>
      <c r="H133" s="133" t="n">
        <v>3</v>
      </c>
      <c r="I133" s="133" t="n">
        <v>1</v>
      </c>
      <c r="J133" s="133" t="s">
        <v>641</v>
      </c>
      <c r="K133" s="133" t="s">
        <v>499</v>
      </c>
      <c r="L133" s="133" t="s">
        <v>642</v>
      </c>
      <c r="M133" s="136" t="n">
        <v>0.6</v>
      </c>
      <c r="N133" s="136" t="n">
        <v>1.1</v>
      </c>
      <c r="O133" s="133"/>
    </row>
    <row r="134" customFormat="false" ht="15" hidden="false" customHeight="false" outlineLevel="0" collapsed="false">
      <c r="B134" s="132" t="s">
        <v>472</v>
      </c>
      <c r="C134" s="133" t="s">
        <v>473</v>
      </c>
      <c r="D134" s="133" t="s">
        <v>341</v>
      </c>
      <c r="E134" s="133" t="s">
        <v>467</v>
      </c>
      <c r="F134" s="134" t="n">
        <v>10</v>
      </c>
      <c r="G134" s="135" t="n">
        <v>750</v>
      </c>
      <c r="H134" s="133" t="n">
        <v>3</v>
      </c>
      <c r="I134" s="133" t="n">
        <v>1</v>
      </c>
      <c r="J134" s="133" t="s">
        <v>641</v>
      </c>
      <c r="K134" s="133" t="s">
        <v>499</v>
      </c>
      <c r="L134" s="133" t="s">
        <v>642</v>
      </c>
      <c r="M134" s="136" t="n">
        <v>0.8</v>
      </c>
      <c r="N134" s="136" t="n">
        <v>1.4</v>
      </c>
      <c r="O134" s="133"/>
    </row>
    <row r="135" customFormat="false" ht="15" hidden="false" customHeight="false" outlineLevel="0" collapsed="false">
      <c r="B135" s="132" t="s">
        <v>474</v>
      </c>
      <c r="C135" s="133" t="s">
        <v>475</v>
      </c>
      <c r="D135" s="133" t="s">
        <v>341</v>
      </c>
      <c r="E135" s="133" t="s">
        <v>467</v>
      </c>
      <c r="F135" s="134" t="n">
        <v>20</v>
      </c>
      <c r="G135" s="135" t="n">
        <v>750</v>
      </c>
      <c r="H135" s="133" t="n">
        <v>3</v>
      </c>
      <c r="I135" s="133" t="n">
        <v>5</v>
      </c>
      <c r="J135" s="133" t="s">
        <v>641</v>
      </c>
      <c r="K135" s="133" t="s">
        <v>499</v>
      </c>
      <c r="L135" s="133" t="s">
        <v>642</v>
      </c>
      <c r="M135" s="136" t="n">
        <v>1.3</v>
      </c>
      <c r="N135" s="136" t="n">
        <v>2.3</v>
      </c>
      <c r="O135" s="133"/>
    </row>
    <row r="136" customFormat="false" ht="15" hidden="false" customHeight="false" outlineLevel="0" collapsed="false">
      <c r="B136" s="132" t="s">
        <v>476</v>
      </c>
      <c r="C136" s="133" t="s">
        <v>477</v>
      </c>
      <c r="D136" s="133" t="s">
        <v>341</v>
      </c>
      <c r="E136" s="133" t="s">
        <v>467</v>
      </c>
      <c r="F136" s="134" t="n">
        <v>18</v>
      </c>
      <c r="G136" s="135" t="n">
        <v>2900</v>
      </c>
      <c r="H136" s="133" t="n">
        <v>5</v>
      </c>
      <c r="I136" s="133" t="n">
        <v>1</v>
      </c>
      <c r="J136" s="133" t="s">
        <v>641</v>
      </c>
      <c r="K136" s="133" t="s">
        <v>499</v>
      </c>
      <c r="L136" s="133" t="s">
        <v>642</v>
      </c>
      <c r="M136" s="136" t="n">
        <v>1</v>
      </c>
      <c r="N136" s="136" t="n">
        <v>0.9</v>
      </c>
      <c r="O136" s="133"/>
    </row>
    <row r="137" customFormat="false" ht="15" hidden="false" customHeight="false" outlineLevel="0" collapsed="false">
      <c r="B137" s="132" t="s">
        <v>480</v>
      </c>
      <c r="C137" s="133" t="s">
        <v>481</v>
      </c>
      <c r="D137" s="133" t="s">
        <v>177</v>
      </c>
      <c r="E137" s="133" t="s">
        <v>479</v>
      </c>
      <c r="F137" s="134" t="n">
        <v>1</v>
      </c>
      <c r="G137" s="135" t="n">
        <v>219.44</v>
      </c>
      <c r="H137" s="133" t="n">
        <v>5</v>
      </c>
      <c r="I137" s="133" t="n">
        <v>5</v>
      </c>
      <c r="J137" s="133" t="s">
        <v>641</v>
      </c>
      <c r="K137" s="133" t="s">
        <v>500</v>
      </c>
      <c r="L137" s="133" t="s">
        <v>642</v>
      </c>
      <c r="M137" s="136" t="n">
        <v>0.5</v>
      </c>
      <c r="N137" s="136" t="n">
        <v>0.5</v>
      </c>
      <c r="O137" s="133"/>
    </row>
    <row r="138" customFormat="false" ht="15" hidden="false" customHeight="false" outlineLevel="0" collapsed="false">
      <c r="B138" s="132"/>
      <c r="C138" s="133"/>
      <c r="D138" s="133"/>
      <c r="E138" s="133"/>
      <c r="F138" s="134"/>
      <c r="G138" s="135"/>
      <c r="H138" s="133"/>
      <c r="I138" s="133"/>
      <c r="J138" s="133"/>
      <c r="K138" s="133"/>
      <c r="L138" s="133"/>
      <c r="M138" s="136"/>
      <c r="N138" s="136"/>
      <c r="O138" s="133"/>
    </row>
    <row r="139" customFormat="false" ht="15" hidden="false" customHeight="false" outlineLevel="0" collapsed="false">
      <c r="B139" s="132"/>
      <c r="C139" s="133"/>
      <c r="D139" s="133"/>
      <c r="E139" s="133"/>
      <c r="F139" s="134"/>
      <c r="G139" s="135"/>
      <c r="H139" s="133"/>
      <c r="I139" s="133"/>
      <c r="J139" s="133"/>
      <c r="K139" s="133"/>
      <c r="L139" s="133"/>
      <c r="M139" s="136"/>
      <c r="N139" s="136"/>
      <c r="O139" s="133"/>
    </row>
    <row r="140" customFormat="false" ht="15" hidden="false" customHeight="false" outlineLevel="0" collapsed="false">
      <c r="B140" s="132"/>
      <c r="C140" s="133"/>
      <c r="D140" s="133"/>
      <c r="E140" s="133"/>
      <c r="F140" s="134"/>
      <c r="G140" s="135"/>
      <c r="H140" s="133"/>
      <c r="I140" s="133"/>
      <c r="J140" s="133"/>
      <c r="K140" s="133"/>
      <c r="L140" s="133"/>
      <c r="M140" s="136"/>
      <c r="N140" s="136"/>
      <c r="O140" s="133"/>
    </row>
    <row r="141" customFormat="false" ht="15" hidden="false" customHeight="false" outlineLevel="0" collapsed="false">
      <c r="B141" s="132"/>
      <c r="C141" s="133"/>
      <c r="D141" s="133"/>
      <c r="E141" s="133"/>
      <c r="F141" s="134"/>
      <c r="G141" s="135"/>
      <c r="H141" s="133"/>
      <c r="I141" s="133"/>
      <c r="J141" s="133"/>
      <c r="K141" s="133"/>
      <c r="L141" s="133"/>
      <c r="M141" s="136"/>
      <c r="N141" s="136"/>
      <c r="O141" s="133"/>
    </row>
    <row r="142" customFormat="false" ht="15" hidden="false" customHeight="false" outlineLevel="0" collapsed="false">
      <c r="B142" s="132"/>
      <c r="C142" s="133"/>
      <c r="D142" s="133"/>
      <c r="E142" s="133"/>
      <c r="F142" s="134"/>
      <c r="G142" s="135"/>
      <c r="H142" s="133"/>
      <c r="I142" s="133"/>
      <c r="J142" s="133"/>
      <c r="K142" s="133"/>
      <c r="L142" s="133"/>
      <c r="M142" s="136"/>
      <c r="N142" s="136"/>
      <c r="O142" s="133"/>
    </row>
    <row r="143" customFormat="false" ht="15" hidden="false" customHeight="false" outlineLevel="0" collapsed="false">
      <c r="B143" s="132"/>
      <c r="C143" s="133"/>
      <c r="D143" s="133"/>
      <c r="E143" s="133"/>
      <c r="F143" s="134"/>
      <c r="G143" s="135"/>
      <c r="H143" s="133"/>
      <c r="I143" s="133"/>
      <c r="J143" s="133"/>
      <c r="K143" s="133"/>
      <c r="L143" s="133"/>
      <c r="M143" s="136"/>
      <c r="N143" s="136"/>
      <c r="O143" s="133"/>
    </row>
    <row r="144" customFormat="false" ht="15" hidden="false" customHeight="false" outlineLevel="0" collapsed="false">
      <c r="B144" s="132"/>
      <c r="C144" s="133"/>
      <c r="D144" s="133"/>
      <c r="E144" s="133"/>
      <c r="F144" s="134"/>
      <c r="G144" s="135"/>
      <c r="H144" s="133"/>
      <c r="I144" s="133"/>
      <c r="J144" s="133"/>
      <c r="K144" s="133"/>
      <c r="L144" s="133"/>
      <c r="M144" s="136"/>
      <c r="N144" s="136"/>
      <c r="O144" s="133"/>
    </row>
    <row r="145" customFormat="false" ht="15" hidden="false" customHeight="false" outlineLevel="0" collapsed="false">
      <c r="B145" s="132"/>
      <c r="C145" s="133"/>
      <c r="D145" s="133"/>
      <c r="E145" s="133"/>
      <c r="F145" s="134"/>
      <c r="G145" s="135"/>
      <c r="H145" s="133"/>
      <c r="I145" s="133"/>
      <c r="J145" s="133"/>
      <c r="K145" s="133"/>
      <c r="L145" s="133"/>
      <c r="M145" s="136"/>
      <c r="N145" s="136"/>
      <c r="O145" s="133"/>
    </row>
    <row r="146" customFormat="false" ht="15" hidden="false" customHeight="false" outlineLevel="0" collapsed="false">
      <c r="B146" s="132"/>
      <c r="C146" s="133"/>
      <c r="D146" s="133"/>
      <c r="E146" s="133"/>
      <c r="F146" s="134"/>
      <c r="G146" s="135"/>
      <c r="H146" s="133"/>
      <c r="I146" s="133"/>
      <c r="J146" s="133"/>
      <c r="K146" s="133"/>
      <c r="L146" s="133"/>
      <c r="M146" s="136"/>
      <c r="N146" s="136"/>
      <c r="O146" s="133"/>
    </row>
    <row r="147" customFormat="false" ht="15" hidden="false" customHeight="false" outlineLevel="0" collapsed="false">
      <c r="B147" s="132"/>
      <c r="C147" s="133"/>
      <c r="D147" s="133"/>
      <c r="E147" s="133"/>
      <c r="F147" s="134"/>
      <c r="G147" s="135"/>
      <c r="H147" s="133"/>
      <c r="I147" s="133"/>
      <c r="J147" s="133"/>
      <c r="K147" s="133"/>
      <c r="L147" s="133"/>
      <c r="M147" s="136"/>
      <c r="N147" s="136"/>
      <c r="O147" s="133"/>
    </row>
    <row r="148" customFormat="false" ht="15" hidden="false" customHeight="false" outlineLevel="0" collapsed="false">
      <c r="B148" s="132"/>
      <c r="C148" s="133"/>
      <c r="D148" s="133"/>
      <c r="E148" s="133"/>
      <c r="F148" s="134"/>
      <c r="G148" s="135"/>
      <c r="H148" s="133"/>
      <c r="I148" s="133"/>
      <c r="J148" s="133"/>
      <c r="K148" s="133"/>
      <c r="L148" s="133"/>
      <c r="M148" s="136"/>
      <c r="N148" s="136"/>
      <c r="O148" s="133"/>
    </row>
    <row r="149" customFormat="false" ht="15" hidden="false" customHeight="false" outlineLevel="0" collapsed="false">
      <c r="B149" s="132"/>
      <c r="C149" s="133"/>
      <c r="D149" s="133"/>
      <c r="E149" s="133"/>
      <c r="F149" s="134"/>
      <c r="G149" s="135"/>
      <c r="H149" s="133"/>
      <c r="I149" s="133"/>
      <c r="J149" s="133"/>
      <c r="K149" s="133"/>
      <c r="L149" s="133"/>
      <c r="M149" s="136"/>
      <c r="N149" s="136"/>
      <c r="O149" s="133"/>
    </row>
    <row r="150" customFormat="false" ht="15" hidden="false" customHeight="false" outlineLevel="0" collapsed="false">
      <c r="B150" s="132"/>
      <c r="C150" s="133"/>
      <c r="D150" s="133"/>
      <c r="E150" s="133"/>
      <c r="F150" s="134"/>
      <c r="G150" s="135"/>
      <c r="H150" s="133"/>
      <c r="I150" s="133"/>
      <c r="J150" s="133"/>
      <c r="K150" s="133"/>
      <c r="L150" s="133"/>
      <c r="M150" s="136"/>
      <c r="N150" s="136"/>
      <c r="O150" s="133"/>
    </row>
    <row r="151" customFormat="false" ht="15" hidden="false" customHeight="false" outlineLevel="0" collapsed="false">
      <c r="B151" s="132"/>
      <c r="C151" s="133"/>
      <c r="D151" s="133"/>
      <c r="E151" s="133"/>
      <c r="F151" s="134"/>
      <c r="G151" s="135"/>
      <c r="H151" s="133"/>
      <c r="I151" s="133"/>
      <c r="J151" s="133"/>
      <c r="K151" s="133"/>
      <c r="L151" s="133"/>
      <c r="M151" s="136"/>
      <c r="N151" s="136"/>
      <c r="O151" s="133"/>
    </row>
    <row r="152" customFormat="false" ht="15" hidden="false" customHeight="false" outlineLevel="0" collapsed="false">
      <c r="B152" s="132"/>
      <c r="C152" s="133"/>
      <c r="D152" s="133"/>
      <c r="E152" s="133"/>
      <c r="F152" s="134"/>
      <c r="G152" s="135"/>
      <c r="H152" s="133"/>
      <c r="I152" s="133"/>
      <c r="J152" s="133"/>
      <c r="K152" s="133"/>
      <c r="L152" s="133"/>
      <c r="M152" s="136"/>
      <c r="N152" s="136"/>
      <c r="O152" s="133"/>
    </row>
    <row r="153" customFormat="false" ht="15" hidden="false" customHeight="false" outlineLevel="0" collapsed="false">
      <c r="B153" s="132"/>
      <c r="C153" s="133"/>
      <c r="D153" s="133"/>
      <c r="E153" s="133"/>
      <c r="F153" s="134"/>
      <c r="G153" s="135"/>
      <c r="H153" s="133"/>
      <c r="I153" s="133"/>
      <c r="J153" s="133"/>
      <c r="K153" s="133"/>
      <c r="L153" s="133"/>
      <c r="M153" s="136"/>
      <c r="N153" s="136"/>
      <c r="O153" s="133"/>
    </row>
    <row r="154" customFormat="false" ht="15" hidden="false" customHeight="false" outlineLevel="0" collapsed="false">
      <c r="B154" s="132"/>
      <c r="C154" s="133"/>
      <c r="D154" s="133"/>
      <c r="E154" s="133"/>
      <c r="F154" s="134"/>
      <c r="G154" s="135"/>
      <c r="H154" s="133"/>
      <c r="I154" s="133"/>
      <c r="J154" s="133"/>
      <c r="K154" s="133"/>
      <c r="L154" s="133"/>
      <c r="M154" s="136"/>
      <c r="N154" s="136"/>
      <c r="O154" s="133"/>
    </row>
    <row r="155" customFormat="false" ht="15" hidden="false" customHeight="false" outlineLevel="0" collapsed="false">
      <c r="B155" s="132"/>
      <c r="C155" s="133"/>
      <c r="D155" s="133"/>
      <c r="E155" s="133"/>
      <c r="F155" s="134"/>
      <c r="G155" s="135"/>
      <c r="H155" s="133"/>
      <c r="I155" s="133"/>
      <c r="J155" s="133"/>
      <c r="K155" s="133"/>
      <c r="L155" s="133"/>
      <c r="M155" s="136"/>
      <c r="N155" s="136"/>
      <c r="O155" s="133"/>
    </row>
    <row r="156" customFormat="false" ht="15" hidden="false" customHeight="false" outlineLevel="0" collapsed="false">
      <c r="B156" s="132"/>
      <c r="C156" s="133"/>
      <c r="D156" s="133"/>
      <c r="E156" s="133"/>
      <c r="F156" s="134"/>
      <c r="G156" s="135"/>
      <c r="H156" s="133"/>
      <c r="I156" s="133"/>
      <c r="J156" s="133"/>
      <c r="K156" s="133"/>
      <c r="L156" s="133"/>
      <c r="M156" s="136"/>
      <c r="N156" s="136"/>
      <c r="O156" s="133"/>
    </row>
    <row r="157" customFormat="false" ht="15" hidden="false" customHeight="false" outlineLevel="0" collapsed="false">
      <c r="B157" s="132"/>
      <c r="C157" s="133"/>
      <c r="D157" s="133"/>
      <c r="E157" s="133"/>
      <c r="F157" s="134"/>
      <c r="G157" s="135"/>
      <c r="H157" s="133"/>
      <c r="I157" s="133"/>
      <c r="J157" s="133"/>
      <c r="K157" s="133"/>
      <c r="L157" s="133"/>
      <c r="M157" s="136"/>
      <c r="N157" s="136"/>
      <c r="O157" s="133"/>
    </row>
    <row r="158" customFormat="false" ht="15" hidden="false" customHeight="false" outlineLevel="0" collapsed="false">
      <c r="B158" s="132"/>
      <c r="C158" s="133"/>
      <c r="D158" s="133"/>
      <c r="E158" s="133"/>
      <c r="F158" s="134"/>
      <c r="G158" s="135"/>
      <c r="H158" s="133"/>
      <c r="I158" s="133"/>
      <c r="J158" s="133"/>
      <c r="K158" s="133"/>
      <c r="L158" s="133"/>
      <c r="M158" s="136"/>
      <c r="N158" s="136"/>
      <c r="O158" s="133"/>
    </row>
    <row r="159" customFormat="false" ht="15" hidden="false" customHeight="false" outlineLevel="0" collapsed="false">
      <c r="B159" s="132"/>
      <c r="C159" s="133"/>
      <c r="D159" s="133"/>
      <c r="E159" s="133"/>
      <c r="F159" s="134"/>
      <c r="G159" s="135"/>
      <c r="H159" s="133"/>
      <c r="I159" s="133"/>
      <c r="J159" s="133"/>
      <c r="K159" s="133"/>
      <c r="L159" s="133"/>
      <c r="M159" s="136"/>
      <c r="N159" s="136"/>
      <c r="O159" s="133"/>
    </row>
    <row r="160" customFormat="false" ht="15" hidden="false" customHeight="false" outlineLevel="0" collapsed="false">
      <c r="B160" s="132"/>
      <c r="C160" s="133"/>
      <c r="D160" s="133"/>
      <c r="E160" s="133"/>
      <c r="F160" s="134"/>
      <c r="G160" s="135"/>
      <c r="H160" s="133"/>
      <c r="I160" s="133"/>
      <c r="J160" s="133"/>
      <c r="K160" s="133"/>
      <c r="L160" s="133"/>
      <c r="M160" s="136"/>
      <c r="N160" s="136"/>
      <c r="O160" s="133"/>
    </row>
    <row r="161" customFormat="false" ht="15" hidden="false" customHeight="false" outlineLevel="0" collapsed="false">
      <c r="B161" s="132"/>
      <c r="C161" s="133"/>
      <c r="D161" s="133"/>
      <c r="E161" s="133"/>
      <c r="F161" s="134"/>
      <c r="G161" s="135"/>
      <c r="H161" s="133"/>
      <c r="I161" s="133"/>
      <c r="J161" s="133"/>
      <c r="K161" s="133"/>
      <c r="L161" s="133"/>
      <c r="M161" s="136"/>
      <c r="N161" s="136"/>
      <c r="O161" s="133"/>
    </row>
    <row r="162" customFormat="false" ht="15" hidden="false" customHeight="false" outlineLevel="0" collapsed="false">
      <c r="B162" s="132"/>
      <c r="C162" s="133"/>
      <c r="D162" s="133"/>
      <c r="E162" s="133"/>
      <c r="F162" s="134"/>
      <c r="G162" s="135"/>
      <c r="H162" s="133"/>
      <c r="I162" s="133"/>
      <c r="J162" s="133"/>
      <c r="K162" s="133"/>
      <c r="L162" s="133"/>
      <c r="M162" s="136"/>
      <c r="N162" s="136"/>
      <c r="O162" s="133"/>
    </row>
    <row r="163" customFormat="false" ht="15" hidden="false" customHeight="false" outlineLevel="0" collapsed="false">
      <c r="B163" s="132"/>
      <c r="C163" s="133"/>
      <c r="D163" s="133"/>
      <c r="E163" s="133"/>
      <c r="F163" s="134"/>
      <c r="G163" s="135"/>
      <c r="H163" s="133"/>
      <c r="I163" s="133"/>
      <c r="J163" s="133"/>
      <c r="K163" s="133"/>
      <c r="L163" s="133"/>
      <c r="M163" s="136"/>
      <c r="N163" s="136"/>
      <c r="O163" s="133"/>
    </row>
    <row r="164" customFormat="false" ht="15" hidden="false" customHeight="false" outlineLevel="0" collapsed="false">
      <c r="B164" s="132"/>
      <c r="C164" s="133"/>
      <c r="D164" s="133"/>
      <c r="E164" s="133"/>
      <c r="F164" s="134"/>
      <c r="G164" s="135"/>
      <c r="H164" s="133"/>
      <c r="I164" s="133"/>
      <c r="J164" s="133"/>
      <c r="K164" s="133"/>
      <c r="L164" s="133"/>
      <c r="M164" s="136"/>
      <c r="N164" s="136"/>
      <c r="O164" s="133"/>
    </row>
    <row r="165" customFormat="false" ht="15" hidden="false" customHeight="false" outlineLevel="0" collapsed="false">
      <c r="B165" s="132"/>
      <c r="C165" s="133"/>
      <c r="D165" s="133"/>
      <c r="E165" s="133"/>
      <c r="F165" s="134"/>
      <c r="G165" s="135"/>
      <c r="H165" s="133"/>
      <c r="I165" s="133"/>
      <c r="J165" s="133"/>
      <c r="K165" s="133"/>
      <c r="L165" s="133"/>
      <c r="M165" s="136"/>
      <c r="N165" s="136"/>
      <c r="O165" s="133"/>
    </row>
    <row r="166" customFormat="false" ht="15" hidden="false" customHeight="false" outlineLevel="0" collapsed="false">
      <c r="B166" s="132"/>
      <c r="C166" s="133"/>
      <c r="D166" s="133"/>
      <c r="E166" s="133"/>
      <c r="F166" s="134"/>
      <c r="G166" s="135"/>
      <c r="H166" s="133"/>
      <c r="I166" s="133"/>
      <c r="J166" s="133"/>
      <c r="K166" s="133"/>
      <c r="L166" s="133"/>
      <c r="M166" s="136"/>
      <c r="N166" s="136"/>
      <c r="O166" s="133"/>
    </row>
    <row r="167" customFormat="false" ht="15" hidden="false" customHeight="false" outlineLevel="0" collapsed="false">
      <c r="B167" s="132"/>
      <c r="C167" s="133"/>
      <c r="D167" s="133"/>
      <c r="E167" s="133"/>
      <c r="F167" s="134"/>
      <c r="G167" s="135"/>
      <c r="H167" s="133"/>
      <c r="I167" s="133"/>
      <c r="J167" s="133"/>
      <c r="K167" s="133"/>
      <c r="L167" s="133"/>
      <c r="M167" s="136"/>
      <c r="N167" s="136"/>
      <c r="O167" s="133"/>
    </row>
    <row r="168" customFormat="false" ht="15" hidden="false" customHeight="false" outlineLevel="0" collapsed="false">
      <c r="B168" s="132"/>
      <c r="C168" s="133"/>
      <c r="D168" s="133"/>
      <c r="E168" s="133"/>
      <c r="F168" s="134"/>
      <c r="G168" s="135"/>
      <c r="H168" s="133"/>
      <c r="I168" s="133"/>
      <c r="J168" s="133"/>
      <c r="K168" s="133"/>
      <c r="L168" s="133"/>
      <c r="M168" s="136"/>
      <c r="N168" s="136"/>
      <c r="O168" s="133"/>
    </row>
    <row r="169" customFormat="false" ht="15" hidden="false" customHeight="false" outlineLevel="0" collapsed="false">
      <c r="B169" s="132"/>
      <c r="C169" s="133"/>
      <c r="D169" s="133"/>
      <c r="E169" s="133"/>
      <c r="F169" s="134"/>
      <c r="G169" s="135"/>
      <c r="H169" s="133"/>
      <c r="I169" s="133"/>
      <c r="J169" s="133"/>
      <c r="K169" s="133"/>
      <c r="L169" s="133"/>
      <c r="M169" s="136"/>
      <c r="N169" s="136"/>
      <c r="O169" s="133"/>
    </row>
    <row r="170" customFormat="false" ht="15" hidden="false" customHeight="false" outlineLevel="0" collapsed="false">
      <c r="B170" s="132"/>
      <c r="C170" s="133"/>
      <c r="D170" s="133"/>
      <c r="E170" s="133"/>
      <c r="F170" s="134"/>
      <c r="G170" s="135"/>
      <c r="H170" s="133"/>
      <c r="I170" s="133"/>
      <c r="J170" s="133"/>
      <c r="K170" s="133"/>
      <c r="L170" s="133"/>
      <c r="M170" s="136"/>
      <c r="N170" s="136"/>
      <c r="O170" s="133"/>
    </row>
    <row r="171" customFormat="false" ht="15" hidden="false" customHeight="false" outlineLevel="0" collapsed="false">
      <c r="B171" s="132"/>
      <c r="C171" s="133"/>
      <c r="D171" s="133"/>
      <c r="E171" s="133"/>
      <c r="F171" s="134"/>
      <c r="G171" s="135"/>
      <c r="H171" s="133"/>
      <c r="I171" s="133"/>
      <c r="J171" s="133"/>
      <c r="K171" s="133"/>
      <c r="L171" s="133"/>
      <c r="M171" s="136"/>
      <c r="N171" s="136"/>
      <c r="O171" s="133"/>
    </row>
    <row r="172" customFormat="false" ht="15" hidden="false" customHeight="false" outlineLevel="0" collapsed="false">
      <c r="B172" s="132"/>
      <c r="C172" s="133"/>
      <c r="D172" s="133"/>
      <c r="E172" s="133"/>
      <c r="F172" s="134"/>
      <c r="G172" s="135"/>
      <c r="H172" s="133"/>
      <c r="I172" s="133"/>
      <c r="J172" s="133"/>
      <c r="K172" s="133"/>
      <c r="L172" s="133"/>
      <c r="M172" s="136"/>
      <c r="N172" s="136"/>
      <c r="O172" s="133"/>
    </row>
    <row r="173" customFormat="false" ht="15" hidden="false" customHeight="false" outlineLevel="0" collapsed="false">
      <c r="B173" s="132"/>
      <c r="C173" s="133"/>
      <c r="D173" s="133"/>
      <c r="E173" s="133"/>
      <c r="F173" s="134"/>
      <c r="G173" s="135"/>
      <c r="H173" s="133"/>
      <c r="I173" s="133"/>
      <c r="J173" s="133"/>
      <c r="K173" s="133"/>
      <c r="L173" s="133"/>
      <c r="M173" s="136"/>
      <c r="N173" s="136"/>
      <c r="O173" s="133"/>
    </row>
    <row r="174" customFormat="false" ht="15" hidden="false" customHeight="false" outlineLevel="0" collapsed="false">
      <c r="B174" s="132"/>
      <c r="C174" s="133"/>
      <c r="D174" s="133"/>
      <c r="E174" s="133"/>
      <c r="F174" s="134"/>
      <c r="G174" s="135"/>
      <c r="H174" s="133"/>
      <c r="I174" s="133"/>
      <c r="J174" s="133"/>
      <c r="K174" s="133"/>
      <c r="L174" s="133"/>
      <c r="M174" s="136"/>
      <c r="N174" s="136"/>
      <c r="O174" s="133"/>
    </row>
    <row r="175" customFormat="false" ht="15" hidden="false" customHeight="false" outlineLevel="0" collapsed="false">
      <c r="B175" s="132"/>
      <c r="C175" s="133"/>
      <c r="D175" s="133"/>
      <c r="E175" s="133"/>
      <c r="F175" s="134"/>
      <c r="G175" s="135"/>
      <c r="H175" s="133"/>
      <c r="I175" s="133"/>
      <c r="J175" s="133"/>
      <c r="K175" s="133"/>
      <c r="L175" s="133"/>
      <c r="M175" s="136"/>
      <c r="N175" s="136"/>
      <c r="O175" s="133"/>
    </row>
    <row r="176" customFormat="false" ht="15" hidden="false" customHeight="false" outlineLevel="0" collapsed="false">
      <c r="B176" s="132"/>
      <c r="C176" s="133"/>
      <c r="D176" s="133"/>
      <c r="E176" s="133"/>
      <c r="F176" s="134"/>
      <c r="G176" s="135"/>
      <c r="H176" s="133"/>
      <c r="I176" s="133"/>
      <c r="J176" s="133"/>
      <c r="K176" s="133"/>
      <c r="L176" s="133"/>
      <c r="M176" s="136"/>
      <c r="N176" s="136"/>
      <c r="O176" s="133"/>
    </row>
    <row r="177" customFormat="false" ht="15" hidden="false" customHeight="false" outlineLevel="0" collapsed="false">
      <c r="B177" s="132"/>
      <c r="C177" s="133"/>
      <c r="D177" s="133"/>
      <c r="E177" s="133"/>
      <c r="F177" s="134"/>
      <c r="G177" s="135"/>
      <c r="H177" s="133"/>
      <c r="I177" s="133"/>
      <c r="J177" s="133"/>
      <c r="K177" s="133"/>
      <c r="L177" s="133"/>
      <c r="M177" s="136"/>
      <c r="N177" s="136"/>
      <c r="O177" s="133"/>
    </row>
    <row r="178" customFormat="false" ht="15" hidden="false" customHeight="false" outlineLevel="0" collapsed="false">
      <c r="B178" s="132"/>
      <c r="C178" s="133"/>
      <c r="D178" s="133"/>
      <c r="E178" s="133"/>
      <c r="F178" s="134"/>
      <c r="G178" s="135"/>
      <c r="H178" s="133"/>
      <c r="I178" s="133"/>
      <c r="J178" s="133"/>
      <c r="K178" s="133"/>
      <c r="L178" s="133"/>
      <c r="M178" s="136"/>
      <c r="N178" s="136"/>
      <c r="O178" s="133"/>
    </row>
    <row r="179" customFormat="false" ht="15" hidden="false" customHeight="false" outlineLevel="0" collapsed="false">
      <c r="B179" s="132"/>
      <c r="C179" s="133"/>
      <c r="D179" s="133"/>
      <c r="E179" s="133"/>
      <c r="F179" s="134"/>
      <c r="G179" s="135"/>
      <c r="H179" s="133"/>
      <c r="I179" s="133"/>
      <c r="J179" s="133"/>
      <c r="K179" s="133"/>
      <c r="L179" s="133"/>
      <c r="M179" s="136"/>
      <c r="N179" s="136"/>
      <c r="O179" s="133"/>
    </row>
    <row r="180" customFormat="false" ht="15" hidden="false" customHeight="false" outlineLevel="0" collapsed="false">
      <c r="B180" s="132"/>
      <c r="C180" s="133"/>
      <c r="D180" s="133"/>
      <c r="E180" s="133"/>
      <c r="F180" s="134"/>
      <c r="G180" s="135"/>
      <c r="H180" s="133"/>
      <c r="I180" s="133"/>
      <c r="J180" s="133"/>
      <c r="K180" s="133"/>
      <c r="L180" s="133"/>
      <c r="M180" s="136"/>
      <c r="N180" s="136"/>
      <c r="O180" s="133"/>
    </row>
    <row r="181" customFormat="false" ht="15" hidden="false" customHeight="false" outlineLevel="0" collapsed="false">
      <c r="B181" s="132"/>
      <c r="C181" s="133"/>
      <c r="D181" s="133"/>
      <c r="E181" s="133"/>
      <c r="F181" s="134"/>
      <c r="G181" s="135"/>
      <c r="H181" s="133"/>
      <c r="I181" s="133"/>
      <c r="J181" s="133"/>
      <c r="K181" s="133"/>
      <c r="L181" s="133"/>
      <c r="M181" s="136"/>
      <c r="N181" s="136"/>
      <c r="O181" s="133"/>
    </row>
    <row r="182" customFormat="false" ht="15" hidden="false" customHeight="false" outlineLevel="0" collapsed="false">
      <c r="B182" s="132"/>
      <c r="C182" s="133"/>
      <c r="D182" s="133"/>
      <c r="E182" s="133"/>
      <c r="F182" s="134"/>
      <c r="G182" s="135"/>
      <c r="H182" s="133"/>
      <c r="I182" s="133"/>
      <c r="J182" s="133"/>
      <c r="K182" s="133"/>
      <c r="L182" s="133"/>
      <c r="M182" s="136"/>
      <c r="N182" s="136"/>
      <c r="O182" s="133"/>
    </row>
    <row r="183" customFormat="false" ht="15" hidden="false" customHeight="false" outlineLevel="0" collapsed="false">
      <c r="B183" s="132"/>
      <c r="C183" s="133"/>
      <c r="D183" s="133"/>
      <c r="E183" s="133"/>
      <c r="F183" s="134"/>
      <c r="G183" s="135"/>
      <c r="H183" s="133"/>
      <c r="I183" s="133"/>
      <c r="J183" s="133"/>
      <c r="K183" s="133"/>
      <c r="L183" s="133"/>
      <c r="M183" s="136"/>
      <c r="N183" s="136"/>
      <c r="O183" s="133"/>
    </row>
    <row r="184" customFormat="false" ht="15" hidden="false" customHeight="false" outlineLevel="0" collapsed="false">
      <c r="B184" s="132"/>
      <c r="C184" s="133"/>
      <c r="D184" s="133"/>
      <c r="E184" s="133"/>
      <c r="F184" s="134"/>
      <c r="G184" s="135"/>
      <c r="H184" s="133"/>
      <c r="I184" s="133"/>
      <c r="J184" s="133"/>
      <c r="K184" s="133"/>
      <c r="L184" s="133"/>
      <c r="M184" s="136"/>
      <c r="N184" s="136"/>
      <c r="O184" s="133"/>
    </row>
    <row r="185" customFormat="false" ht="15" hidden="false" customHeight="false" outlineLevel="0" collapsed="false">
      <c r="B185" s="132"/>
      <c r="C185" s="133"/>
      <c r="D185" s="133"/>
      <c r="E185" s="133"/>
      <c r="F185" s="134"/>
      <c r="G185" s="135"/>
      <c r="H185" s="133"/>
      <c r="I185" s="133"/>
      <c r="J185" s="133"/>
      <c r="K185" s="133"/>
      <c r="L185" s="133"/>
      <c r="M185" s="136"/>
      <c r="N185" s="136"/>
      <c r="O185" s="133"/>
    </row>
    <row r="186" customFormat="false" ht="15" hidden="false" customHeight="false" outlineLevel="0" collapsed="false">
      <c r="B186" s="132"/>
      <c r="C186" s="133"/>
      <c r="D186" s="133"/>
      <c r="E186" s="133"/>
      <c r="F186" s="134"/>
      <c r="G186" s="135"/>
      <c r="H186" s="133"/>
      <c r="I186" s="133"/>
      <c r="J186" s="133"/>
      <c r="K186" s="133"/>
      <c r="L186" s="133"/>
      <c r="M186" s="136"/>
      <c r="N186" s="136"/>
      <c r="O186" s="133"/>
    </row>
    <row r="187" customFormat="false" ht="15" hidden="false" customHeight="false" outlineLevel="0" collapsed="false">
      <c r="B187" s="132"/>
      <c r="C187" s="133"/>
      <c r="D187" s="133"/>
      <c r="E187" s="133"/>
      <c r="F187" s="134"/>
      <c r="G187" s="135"/>
      <c r="H187" s="133"/>
      <c r="I187" s="133"/>
      <c r="J187" s="133"/>
      <c r="K187" s="133"/>
      <c r="L187" s="133"/>
      <c r="M187" s="136"/>
      <c r="N187" s="136"/>
      <c r="O187" s="133"/>
    </row>
    <row r="188" customFormat="false" ht="15" hidden="false" customHeight="false" outlineLevel="0" collapsed="false">
      <c r="B188" s="132"/>
      <c r="C188" s="133"/>
      <c r="D188" s="133"/>
      <c r="E188" s="133"/>
      <c r="F188" s="134"/>
      <c r="G188" s="135"/>
      <c r="H188" s="133"/>
      <c r="I188" s="133"/>
      <c r="J188" s="133"/>
      <c r="K188" s="133"/>
      <c r="L188" s="133"/>
      <c r="M188" s="136"/>
      <c r="N188" s="136"/>
      <c r="O188" s="133"/>
    </row>
    <row r="189" customFormat="false" ht="15" hidden="false" customHeight="false" outlineLevel="0" collapsed="false">
      <c r="B189" s="132"/>
      <c r="C189" s="133"/>
      <c r="D189" s="133"/>
      <c r="E189" s="133"/>
      <c r="F189" s="134"/>
      <c r="G189" s="135"/>
      <c r="H189" s="133"/>
      <c r="I189" s="133"/>
      <c r="J189" s="133"/>
      <c r="K189" s="133"/>
      <c r="L189" s="133"/>
      <c r="M189" s="136"/>
      <c r="N189" s="136"/>
      <c r="O189" s="133"/>
    </row>
    <row r="190" customFormat="false" ht="15" hidden="false" customHeight="false" outlineLevel="0" collapsed="false">
      <c r="B190" s="132"/>
      <c r="C190" s="133"/>
      <c r="D190" s="133"/>
      <c r="E190" s="133"/>
      <c r="F190" s="134"/>
      <c r="G190" s="135"/>
      <c r="H190" s="133"/>
      <c r="I190" s="133"/>
      <c r="J190" s="133"/>
      <c r="K190" s="133"/>
      <c r="L190" s="133"/>
      <c r="M190" s="136"/>
      <c r="N190" s="136"/>
      <c r="O190" s="133"/>
    </row>
    <row r="191" customFormat="false" ht="15" hidden="false" customHeight="false" outlineLevel="0" collapsed="false">
      <c r="B191" s="132"/>
      <c r="C191" s="133"/>
      <c r="D191" s="133"/>
      <c r="E191" s="133"/>
      <c r="F191" s="134"/>
      <c r="G191" s="135"/>
      <c r="H191" s="133"/>
      <c r="I191" s="133"/>
      <c r="J191" s="133"/>
      <c r="K191" s="133"/>
      <c r="L191" s="133"/>
      <c r="M191" s="136"/>
      <c r="N191" s="136"/>
      <c r="O191" s="133"/>
    </row>
    <row r="192" customFormat="false" ht="15" hidden="false" customHeight="false" outlineLevel="0" collapsed="false">
      <c r="B192" s="132"/>
      <c r="C192" s="133"/>
      <c r="D192" s="133"/>
      <c r="E192" s="133"/>
      <c r="F192" s="134"/>
      <c r="G192" s="135"/>
      <c r="H192" s="133"/>
      <c r="I192" s="133"/>
      <c r="J192" s="133"/>
      <c r="K192" s="133"/>
      <c r="L192" s="133"/>
      <c r="M192" s="136"/>
      <c r="N192" s="136"/>
      <c r="O192" s="133"/>
    </row>
    <row r="193" customFormat="false" ht="15" hidden="false" customHeight="false" outlineLevel="0" collapsed="false">
      <c r="B193" s="132"/>
      <c r="C193" s="133"/>
      <c r="D193" s="133"/>
      <c r="E193" s="133"/>
      <c r="F193" s="134"/>
      <c r="G193" s="135"/>
      <c r="H193" s="133"/>
      <c r="I193" s="133"/>
      <c r="J193" s="133"/>
      <c r="K193" s="133"/>
      <c r="L193" s="133"/>
      <c r="M193" s="136"/>
      <c r="N193" s="136"/>
      <c r="O193" s="133"/>
    </row>
    <row r="194" customFormat="false" ht="15" hidden="false" customHeight="false" outlineLevel="0" collapsed="false">
      <c r="B194" s="132"/>
      <c r="C194" s="133"/>
      <c r="D194" s="133"/>
      <c r="E194" s="133"/>
      <c r="F194" s="134"/>
      <c r="G194" s="135"/>
      <c r="H194" s="133"/>
      <c r="I194" s="133"/>
      <c r="J194" s="133"/>
      <c r="K194" s="133"/>
      <c r="L194" s="133"/>
      <c r="M194" s="136"/>
      <c r="N194" s="136"/>
      <c r="O194" s="133"/>
    </row>
    <row r="195" customFormat="false" ht="15" hidden="false" customHeight="false" outlineLevel="0" collapsed="false">
      <c r="B195" s="132"/>
      <c r="C195" s="133"/>
      <c r="D195" s="133"/>
      <c r="E195" s="133"/>
      <c r="F195" s="134"/>
      <c r="G195" s="135"/>
      <c r="H195" s="133"/>
      <c r="I195" s="133"/>
      <c r="J195" s="133"/>
      <c r="K195" s="133"/>
      <c r="L195" s="133"/>
      <c r="M195" s="136"/>
      <c r="N195" s="136"/>
      <c r="O195" s="133"/>
    </row>
    <row r="196" customFormat="false" ht="15" hidden="false" customHeight="false" outlineLevel="0" collapsed="false">
      <c r="B196" s="132"/>
      <c r="C196" s="133"/>
      <c r="D196" s="133"/>
      <c r="E196" s="133"/>
      <c r="F196" s="134"/>
      <c r="G196" s="135"/>
      <c r="H196" s="133"/>
      <c r="I196" s="133"/>
      <c r="J196" s="133"/>
      <c r="K196" s="133"/>
      <c r="L196" s="133"/>
      <c r="M196" s="136"/>
      <c r="N196" s="136"/>
      <c r="O196" s="133"/>
    </row>
    <row r="197" customFormat="false" ht="15" hidden="false" customHeight="false" outlineLevel="0" collapsed="false">
      <c r="B197" s="132"/>
      <c r="C197" s="133"/>
      <c r="D197" s="133"/>
      <c r="E197" s="133"/>
      <c r="F197" s="134"/>
      <c r="G197" s="135"/>
      <c r="H197" s="133"/>
      <c r="I197" s="133"/>
      <c r="J197" s="133"/>
      <c r="K197" s="133"/>
      <c r="L197" s="133"/>
      <c r="M197" s="136"/>
      <c r="N197" s="136"/>
      <c r="O197" s="133"/>
    </row>
    <row r="198" customFormat="false" ht="15" hidden="false" customHeight="false" outlineLevel="0" collapsed="false">
      <c r="B198" s="132"/>
      <c r="C198" s="133"/>
      <c r="D198" s="133"/>
      <c r="E198" s="133"/>
      <c r="F198" s="134"/>
      <c r="G198" s="135"/>
      <c r="H198" s="133"/>
      <c r="I198" s="133"/>
      <c r="J198" s="133"/>
      <c r="K198" s="133"/>
      <c r="L198" s="133"/>
      <c r="M198" s="136"/>
      <c r="N198" s="136"/>
      <c r="O198" s="133"/>
    </row>
    <row r="199" customFormat="false" ht="15" hidden="false" customHeight="false" outlineLevel="0" collapsed="false">
      <c r="B199" s="132"/>
      <c r="C199" s="133"/>
      <c r="D199" s="133"/>
      <c r="E199" s="133"/>
      <c r="F199" s="134"/>
      <c r="G199" s="135"/>
      <c r="H199" s="133"/>
      <c r="I199" s="133"/>
      <c r="J199" s="133"/>
      <c r="K199" s="133"/>
      <c r="L199" s="133"/>
      <c r="M199" s="136"/>
      <c r="N199" s="136"/>
      <c r="O199" s="133"/>
    </row>
    <row r="200" customFormat="false" ht="15" hidden="false" customHeight="false" outlineLevel="0" collapsed="false">
      <c r="B200" s="132"/>
      <c r="C200" s="133"/>
      <c r="D200" s="133"/>
      <c r="E200" s="133"/>
      <c r="F200" s="134"/>
      <c r="G200" s="135"/>
      <c r="H200" s="133"/>
      <c r="I200" s="133"/>
      <c r="J200" s="133"/>
      <c r="K200" s="133"/>
      <c r="L200" s="133"/>
      <c r="M200" s="136"/>
      <c r="N200" s="136"/>
      <c r="O200" s="133"/>
    </row>
    <row r="201" customFormat="false" ht="15" hidden="false" customHeight="false" outlineLevel="0" collapsed="false">
      <c r="B201" s="132"/>
      <c r="C201" s="133"/>
      <c r="D201" s="133"/>
      <c r="E201" s="133"/>
      <c r="F201" s="134"/>
      <c r="G201" s="135"/>
      <c r="H201" s="133"/>
      <c r="I201" s="133"/>
      <c r="J201" s="133"/>
      <c r="K201" s="133"/>
      <c r="L201" s="133"/>
      <c r="M201" s="136"/>
      <c r="N201" s="136"/>
      <c r="O201" s="133"/>
    </row>
    <row r="202" customFormat="false" ht="15" hidden="false" customHeight="false" outlineLevel="0" collapsed="false">
      <c r="B202" s="132"/>
      <c r="C202" s="133"/>
      <c r="D202" s="133"/>
      <c r="E202" s="133"/>
      <c r="F202" s="134"/>
      <c r="G202" s="135"/>
      <c r="H202" s="133"/>
      <c r="I202" s="133"/>
      <c r="J202" s="133"/>
      <c r="K202" s="133"/>
      <c r="L202" s="133"/>
      <c r="M202" s="136"/>
      <c r="N202" s="136"/>
      <c r="O202" s="133"/>
    </row>
    <row r="203" customFormat="false" ht="15" hidden="false" customHeight="false" outlineLevel="0" collapsed="false">
      <c r="B203" s="132"/>
      <c r="C203" s="133"/>
      <c r="D203" s="133"/>
      <c r="E203" s="133"/>
      <c r="F203" s="134"/>
      <c r="G203" s="135"/>
      <c r="H203" s="133"/>
      <c r="I203" s="133"/>
      <c r="J203" s="133"/>
      <c r="K203" s="133"/>
      <c r="L203" s="133"/>
      <c r="M203" s="136"/>
      <c r="N203" s="136"/>
      <c r="O203" s="133"/>
    </row>
    <row r="204" customFormat="false" ht="15" hidden="false" customHeight="false" outlineLevel="0" collapsed="false">
      <c r="B204" s="132"/>
      <c r="C204" s="133"/>
      <c r="D204" s="133"/>
      <c r="E204" s="133"/>
      <c r="F204" s="134"/>
      <c r="G204" s="135"/>
      <c r="H204" s="133"/>
      <c r="I204" s="133"/>
      <c r="J204" s="133"/>
      <c r="K204" s="133"/>
      <c r="L204" s="133"/>
      <c r="M204" s="136"/>
      <c r="N204" s="136"/>
      <c r="O204" s="133"/>
    </row>
    <row r="205" customFormat="false" ht="15" hidden="false" customHeight="false" outlineLevel="0" collapsed="false">
      <c r="B205" s="132"/>
      <c r="C205" s="133"/>
      <c r="D205" s="133"/>
      <c r="E205" s="133"/>
      <c r="F205" s="134"/>
      <c r="G205" s="135"/>
      <c r="H205" s="133"/>
      <c r="I205" s="133"/>
      <c r="J205" s="133"/>
      <c r="K205" s="133"/>
      <c r="L205" s="133"/>
      <c r="M205" s="136"/>
      <c r="N205" s="136"/>
      <c r="O205" s="133"/>
    </row>
    <row r="206" customFormat="false" ht="15" hidden="false" customHeight="false" outlineLevel="0" collapsed="false">
      <c r="B206" s="132"/>
      <c r="C206" s="133"/>
      <c r="D206" s="133"/>
      <c r="E206" s="133"/>
      <c r="F206" s="134"/>
      <c r="G206" s="135"/>
      <c r="H206" s="133"/>
      <c r="I206" s="133"/>
      <c r="J206" s="133"/>
      <c r="K206" s="133"/>
      <c r="L206" s="133"/>
      <c r="M206" s="136"/>
      <c r="N206" s="136"/>
      <c r="O206" s="133"/>
    </row>
    <row r="207" customFormat="false" ht="15" hidden="false" customHeight="false" outlineLevel="0" collapsed="false">
      <c r="B207" s="132"/>
      <c r="C207" s="133"/>
      <c r="D207" s="133"/>
      <c r="E207" s="133"/>
      <c r="F207" s="134"/>
      <c r="G207" s="135"/>
      <c r="H207" s="133"/>
      <c r="I207" s="133"/>
      <c r="J207" s="133"/>
      <c r="K207" s="133"/>
      <c r="L207" s="133"/>
      <c r="M207" s="136"/>
      <c r="N207" s="136"/>
      <c r="O207" s="133"/>
    </row>
    <row r="208" customFormat="false" ht="15" hidden="false" customHeight="false" outlineLevel="0" collapsed="false">
      <c r="B208" s="132"/>
      <c r="C208" s="133"/>
      <c r="D208" s="133"/>
      <c r="E208" s="133"/>
      <c r="F208" s="134"/>
      <c r="G208" s="135"/>
      <c r="H208" s="133"/>
      <c r="I208" s="133"/>
      <c r="J208" s="133"/>
      <c r="K208" s="133"/>
      <c r="L208" s="133"/>
      <c r="M208" s="136"/>
      <c r="N208" s="136"/>
      <c r="O208" s="133"/>
    </row>
    <row r="209" customFormat="false" ht="15" hidden="false" customHeight="false" outlineLevel="0" collapsed="false">
      <c r="B209" s="132"/>
      <c r="C209" s="133"/>
      <c r="D209" s="133"/>
      <c r="E209" s="133"/>
      <c r="F209" s="134"/>
      <c r="G209" s="135"/>
      <c r="H209" s="133"/>
      <c r="I209" s="133"/>
      <c r="J209" s="133"/>
      <c r="K209" s="133"/>
      <c r="L209" s="133"/>
      <c r="M209" s="136"/>
      <c r="N209" s="136"/>
      <c r="O209" s="133"/>
    </row>
    <row r="210" customFormat="false" ht="15" hidden="false" customHeight="false" outlineLevel="0" collapsed="false">
      <c r="B210" s="132"/>
      <c r="C210" s="133"/>
      <c r="D210" s="133"/>
      <c r="E210" s="133"/>
      <c r="F210" s="134"/>
      <c r="G210" s="135"/>
      <c r="H210" s="133"/>
      <c r="I210" s="133"/>
      <c r="J210" s="133"/>
      <c r="K210" s="133"/>
      <c r="L210" s="133"/>
      <c r="M210" s="136"/>
      <c r="N210" s="136"/>
      <c r="O210" s="133"/>
    </row>
    <row r="211" customFormat="false" ht="15" hidden="false" customHeight="false" outlineLevel="0" collapsed="false">
      <c r="B211" s="132"/>
      <c r="C211" s="133"/>
      <c r="D211" s="133"/>
      <c r="E211" s="133"/>
      <c r="F211" s="134"/>
      <c r="G211" s="135"/>
      <c r="H211" s="133"/>
      <c r="I211" s="133"/>
      <c r="J211" s="133"/>
      <c r="K211" s="133"/>
      <c r="L211" s="133"/>
      <c r="M211" s="136"/>
      <c r="N211" s="136"/>
      <c r="O211" s="133"/>
    </row>
    <row r="212" customFormat="false" ht="15" hidden="false" customHeight="false" outlineLevel="0" collapsed="false">
      <c r="B212" s="132"/>
      <c r="C212" s="133"/>
      <c r="D212" s="133"/>
      <c r="E212" s="133"/>
      <c r="F212" s="134"/>
      <c r="G212" s="135"/>
      <c r="H212" s="133"/>
      <c r="I212" s="133"/>
      <c r="J212" s="133"/>
      <c r="K212" s="133"/>
      <c r="L212" s="133"/>
      <c r="M212" s="136"/>
      <c r="N212" s="136"/>
      <c r="O212" s="133"/>
    </row>
    <row r="213" customFormat="false" ht="15" hidden="false" customHeight="false" outlineLevel="0" collapsed="false">
      <c r="B213" s="132"/>
      <c r="C213" s="133"/>
      <c r="D213" s="133"/>
      <c r="E213" s="133"/>
      <c r="F213" s="134"/>
      <c r="G213" s="135"/>
      <c r="H213" s="133"/>
      <c r="I213" s="133"/>
      <c r="J213" s="133"/>
      <c r="K213" s="133"/>
      <c r="L213" s="133"/>
      <c r="M213" s="136"/>
      <c r="N213" s="136"/>
      <c r="O213" s="133"/>
    </row>
    <row r="214" customFormat="false" ht="15" hidden="false" customHeight="false" outlineLevel="0" collapsed="false">
      <c r="B214" s="132"/>
      <c r="C214" s="133"/>
      <c r="D214" s="133"/>
      <c r="E214" s="133"/>
      <c r="F214" s="134"/>
      <c r="G214" s="135"/>
      <c r="H214" s="133"/>
      <c r="I214" s="133"/>
      <c r="J214" s="133"/>
      <c r="K214" s="133"/>
      <c r="L214" s="133"/>
      <c r="M214" s="136"/>
      <c r="N214" s="136"/>
      <c r="O214" s="133"/>
    </row>
    <row r="215" customFormat="false" ht="15" hidden="false" customHeight="false" outlineLevel="0" collapsed="false">
      <c r="B215" s="132"/>
      <c r="C215" s="133"/>
      <c r="D215" s="133"/>
      <c r="E215" s="133"/>
      <c r="F215" s="134"/>
      <c r="G215" s="135"/>
      <c r="H215" s="133"/>
      <c r="I215" s="133"/>
      <c r="J215" s="133"/>
      <c r="K215" s="133"/>
      <c r="L215" s="133"/>
      <c r="M215" s="136"/>
      <c r="N215" s="136"/>
      <c r="O215" s="133"/>
    </row>
    <row r="216" customFormat="false" ht="15" hidden="false" customHeight="false" outlineLevel="0" collapsed="false">
      <c r="B216" s="132"/>
      <c r="C216" s="133"/>
      <c r="D216" s="133"/>
      <c r="E216" s="133"/>
      <c r="F216" s="134"/>
      <c r="G216" s="135"/>
      <c r="H216" s="133"/>
      <c r="I216" s="133"/>
      <c r="J216" s="133"/>
      <c r="K216" s="133"/>
      <c r="L216" s="133"/>
      <c r="M216" s="136"/>
      <c r="N216" s="136"/>
      <c r="O216" s="133"/>
    </row>
    <row r="217" customFormat="false" ht="15" hidden="false" customHeight="false" outlineLevel="0" collapsed="false">
      <c r="B217" s="132"/>
      <c r="C217" s="133"/>
      <c r="D217" s="133"/>
      <c r="E217" s="133"/>
      <c r="F217" s="134"/>
      <c r="G217" s="135"/>
      <c r="H217" s="133"/>
      <c r="I217" s="133"/>
      <c r="J217" s="133"/>
      <c r="K217" s="133"/>
      <c r="L217" s="133"/>
      <c r="M217" s="136"/>
      <c r="N217" s="136"/>
      <c r="O217" s="133"/>
    </row>
    <row r="218" customFormat="false" ht="15" hidden="false" customHeight="false" outlineLevel="0" collapsed="false">
      <c r="B218" s="132"/>
      <c r="C218" s="133"/>
      <c r="D218" s="133"/>
      <c r="E218" s="133"/>
      <c r="F218" s="134"/>
      <c r="G218" s="135"/>
      <c r="H218" s="133"/>
      <c r="I218" s="133"/>
      <c r="J218" s="133"/>
      <c r="K218" s="133"/>
      <c r="L218" s="133"/>
      <c r="M218" s="136"/>
      <c r="N218" s="136"/>
      <c r="O218" s="133"/>
    </row>
    <row r="219" customFormat="false" ht="15" hidden="false" customHeight="false" outlineLevel="0" collapsed="false">
      <c r="B219" s="132"/>
      <c r="C219" s="133"/>
      <c r="D219" s="133"/>
      <c r="E219" s="133"/>
      <c r="F219" s="134"/>
      <c r="G219" s="135"/>
      <c r="H219" s="133"/>
      <c r="I219" s="133"/>
      <c r="J219" s="133"/>
      <c r="K219" s="133"/>
      <c r="L219" s="133"/>
      <c r="M219" s="136"/>
      <c r="N219" s="136"/>
      <c r="O219" s="133"/>
    </row>
    <row r="220" customFormat="false" ht="15" hidden="false" customHeight="false" outlineLevel="0" collapsed="false">
      <c r="B220" s="132"/>
      <c r="C220" s="133"/>
      <c r="D220" s="133"/>
      <c r="E220" s="133"/>
      <c r="F220" s="134"/>
      <c r="G220" s="135"/>
      <c r="H220" s="133"/>
      <c r="I220" s="133"/>
      <c r="J220" s="133"/>
      <c r="K220" s="133"/>
      <c r="L220" s="133"/>
      <c r="M220" s="136"/>
      <c r="N220" s="136"/>
      <c r="O220" s="133"/>
    </row>
    <row r="221" customFormat="false" ht="15" hidden="false" customHeight="false" outlineLevel="0" collapsed="false">
      <c r="B221" s="132"/>
      <c r="C221" s="133"/>
      <c r="D221" s="133"/>
      <c r="E221" s="133"/>
      <c r="F221" s="134"/>
      <c r="G221" s="135"/>
      <c r="H221" s="133"/>
      <c r="I221" s="133"/>
      <c r="J221" s="133"/>
      <c r="K221" s="133"/>
      <c r="L221" s="133"/>
      <c r="M221" s="136"/>
      <c r="N221" s="136"/>
      <c r="O221" s="133"/>
    </row>
    <row r="222" customFormat="false" ht="15" hidden="false" customHeight="false" outlineLevel="0" collapsed="false">
      <c r="B222" s="132"/>
      <c r="C222" s="133"/>
      <c r="D222" s="133"/>
      <c r="E222" s="133"/>
      <c r="F222" s="134"/>
      <c r="G222" s="135"/>
      <c r="H222" s="133"/>
      <c r="I222" s="133"/>
      <c r="J222" s="133"/>
      <c r="K222" s="133"/>
      <c r="L222" s="133"/>
      <c r="M222" s="136"/>
      <c r="N222" s="136"/>
      <c r="O222" s="133"/>
    </row>
    <row r="223" customFormat="false" ht="15" hidden="false" customHeight="false" outlineLevel="0" collapsed="false">
      <c r="B223" s="132"/>
      <c r="C223" s="133"/>
      <c r="D223" s="133"/>
      <c r="E223" s="133"/>
      <c r="F223" s="134"/>
      <c r="G223" s="135"/>
      <c r="H223" s="133"/>
      <c r="I223" s="133"/>
      <c r="J223" s="133"/>
      <c r="K223" s="133"/>
      <c r="L223" s="133"/>
      <c r="M223" s="136"/>
      <c r="N223" s="136"/>
      <c r="O223" s="133"/>
    </row>
    <row r="224" customFormat="false" ht="15" hidden="false" customHeight="false" outlineLevel="0" collapsed="false">
      <c r="B224" s="132"/>
      <c r="C224" s="133"/>
      <c r="D224" s="133"/>
      <c r="E224" s="133"/>
      <c r="F224" s="134"/>
      <c r="G224" s="135"/>
      <c r="H224" s="133"/>
      <c r="I224" s="133"/>
      <c r="J224" s="133"/>
      <c r="K224" s="133"/>
      <c r="L224" s="133"/>
      <c r="M224" s="136"/>
      <c r="N224" s="136"/>
      <c r="O224" s="133"/>
    </row>
    <row r="225" customFormat="false" ht="15" hidden="false" customHeight="false" outlineLevel="0" collapsed="false">
      <c r="B225" s="132"/>
      <c r="C225" s="133"/>
      <c r="D225" s="133"/>
      <c r="E225" s="133"/>
      <c r="F225" s="134"/>
      <c r="G225" s="135"/>
      <c r="H225" s="133"/>
      <c r="I225" s="133"/>
      <c r="J225" s="133"/>
      <c r="K225" s="133"/>
      <c r="L225" s="133"/>
      <c r="M225" s="136"/>
      <c r="N225" s="136"/>
      <c r="O225" s="133"/>
    </row>
    <row r="226" customFormat="false" ht="15" hidden="false" customHeight="false" outlineLevel="0" collapsed="false">
      <c r="B226" s="132"/>
      <c r="C226" s="133"/>
      <c r="D226" s="133"/>
      <c r="E226" s="133"/>
      <c r="F226" s="134"/>
      <c r="G226" s="135"/>
      <c r="H226" s="133"/>
      <c r="I226" s="133"/>
      <c r="J226" s="133"/>
      <c r="K226" s="133"/>
      <c r="L226" s="133"/>
      <c r="M226" s="136"/>
      <c r="N226" s="136"/>
      <c r="O226" s="133"/>
    </row>
    <row r="227" customFormat="false" ht="15" hidden="false" customHeight="false" outlineLevel="0" collapsed="false">
      <c r="B227" s="132"/>
      <c r="C227" s="133"/>
      <c r="D227" s="133"/>
      <c r="E227" s="133"/>
      <c r="F227" s="134"/>
      <c r="G227" s="135"/>
      <c r="H227" s="133"/>
      <c r="I227" s="133"/>
      <c r="J227" s="133"/>
      <c r="K227" s="133"/>
      <c r="L227" s="133"/>
      <c r="M227" s="136"/>
      <c r="N227" s="136"/>
      <c r="O227" s="133"/>
    </row>
    <row r="228" customFormat="false" ht="15" hidden="false" customHeight="false" outlineLevel="0" collapsed="false">
      <c r="B228" s="132"/>
      <c r="C228" s="133"/>
      <c r="D228" s="133"/>
      <c r="E228" s="133"/>
      <c r="F228" s="134"/>
      <c r="G228" s="135"/>
      <c r="H228" s="133"/>
      <c r="I228" s="133"/>
      <c r="J228" s="133"/>
      <c r="K228" s="133"/>
      <c r="L228" s="133"/>
      <c r="M228" s="136"/>
      <c r="N228" s="136"/>
      <c r="O228" s="133"/>
    </row>
    <row r="229" customFormat="false" ht="15" hidden="false" customHeight="false" outlineLevel="0" collapsed="false">
      <c r="B229" s="132"/>
      <c r="C229" s="133"/>
      <c r="D229" s="133"/>
      <c r="E229" s="133"/>
      <c r="F229" s="134"/>
      <c r="G229" s="135"/>
      <c r="H229" s="133"/>
      <c r="I229" s="133"/>
      <c r="J229" s="133"/>
      <c r="K229" s="133"/>
      <c r="L229" s="133"/>
      <c r="M229" s="136"/>
      <c r="N229" s="136"/>
      <c r="O229" s="133"/>
    </row>
    <row r="230" customFormat="false" ht="15" hidden="false" customHeight="false" outlineLevel="0" collapsed="false">
      <c r="B230" s="132"/>
      <c r="C230" s="133"/>
      <c r="D230" s="133"/>
      <c r="E230" s="133"/>
      <c r="F230" s="134"/>
      <c r="G230" s="135"/>
      <c r="H230" s="133"/>
      <c r="I230" s="133"/>
      <c r="J230" s="133"/>
      <c r="K230" s="133"/>
      <c r="L230" s="133"/>
      <c r="M230" s="136"/>
      <c r="N230" s="136"/>
      <c r="O230" s="133"/>
    </row>
    <row r="231" customFormat="false" ht="15" hidden="false" customHeight="false" outlineLevel="0" collapsed="false">
      <c r="B231" s="132"/>
      <c r="C231" s="133"/>
      <c r="D231" s="133"/>
      <c r="E231" s="133"/>
      <c r="F231" s="134"/>
      <c r="G231" s="135"/>
      <c r="H231" s="133"/>
      <c r="I231" s="133"/>
      <c r="J231" s="133"/>
      <c r="K231" s="133"/>
      <c r="L231" s="133"/>
      <c r="M231" s="136"/>
      <c r="N231" s="136"/>
      <c r="O231" s="133"/>
    </row>
    <row r="232" customFormat="false" ht="15" hidden="false" customHeight="false" outlineLevel="0" collapsed="false">
      <c r="B232" s="132"/>
      <c r="C232" s="133"/>
      <c r="D232" s="133"/>
      <c r="E232" s="133"/>
      <c r="F232" s="134"/>
      <c r="G232" s="135"/>
      <c r="H232" s="133"/>
      <c r="I232" s="133"/>
      <c r="J232" s="133"/>
      <c r="K232" s="133"/>
      <c r="L232" s="133"/>
      <c r="M232" s="136"/>
      <c r="N232" s="136"/>
      <c r="O232" s="133"/>
    </row>
    <row r="233" customFormat="false" ht="15" hidden="false" customHeight="false" outlineLevel="0" collapsed="false">
      <c r="B233" s="132"/>
      <c r="C233" s="133"/>
      <c r="D233" s="133"/>
      <c r="E233" s="133"/>
      <c r="F233" s="134"/>
      <c r="G233" s="135"/>
      <c r="H233" s="133"/>
      <c r="I233" s="133"/>
      <c r="J233" s="133"/>
      <c r="K233" s="133"/>
      <c r="L233" s="133"/>
      <c r="M233" s="136"/>
      <c r="N233" s="136"/>
      <c r="O233" s="133"/>
    </row>
    <row r="234" customFormat="false" ht="15" hidden="false" customHeight="false" outlineLevel="0" collapsed="false">
      <c r="B234" s="132"/>
      <c r="C234" s="133"/>
      <c r="D234" s="133"/>
      <c r="E234" s="133"/>
      <c r="F234" s="134"/>
      <c r="G234" s="135"/>
      <c r="H234" s="133"/>
      <c r="I234" s="133"/>
      <c r="J234" s="133"/>
      <c r="K234" s="133"/>
      <c r="L234" s="133"/>
      <c r="M234" s="136"/>
      <c r="N234" s="136"/>
      <c r="O234" s="133"/>
    </row>
    <row r="235" customFormat="false" ht="15" hidden="false" customHeight="false" outlineLevel="0" collapsed="false">
      <c r="B235" s="132"/>
      <c r="C235" s="133"/>
      <c r="D235" s="133"/>
      <c r="E235" s="133"/>
      <c r="F235" s="134"/>
      <c r="G235" s="135"/>
      <c r="H235" s="133"/>
      <c r="I235" s="133"/>
      <c r="J235" s="133"/>
      <c r="K235" s="133"/>
      <c r="L235" s="133"/>
      <c r="M235" s="136"/>
      <c r="N235" s="136"/>
      <c r="O235" s="133"/>
    </row>
    <row r="236" customFormat="false" ht="15" hidden="false" customHeight="false" outlineLevel="0" collapsed="false">
      <c r="B236" s="132"/>
      <c r="C236" s="133"/>
      <c r="D236" s="133"/>
      <c r="E236" s="133"/>
      <c r="F236" s="134"/>
      <c r="G236" s="135"/>
      <c r="H236" s="133"/>
      <c r="I236" s="133"/>
      <c r="J236" s="133"/>
      <c r="K236" s="133"/>
      <c r="L236" s="133"/>
      <c r="M236" s="136"/>
      <c r="N236" s="136"/>
      <c r="O236" s="133"/>
    </row>
    <row r="237" customFormat="false" ht="15" hidden="false" customHeight="false" outlineLevel="0" collapsed="false">
      <c r="B237" s="132"/>
      <c r="C237" s="133"/>
      <c r="D237" s="133"/>
      <c r="E237" s="133"/>
      <c r="F237" s="134"/>
      <c r="G237" s="135"/>
      <c r="H237" s="133"/>
      <c r="I237" s="133"/>
      <c r="J237" s="133"/>
      <c r="K237" s="133"/>
      <c r="L237" s="133"/>
      <c r="M237" s="136"/>
      <c r="N237" s="136"/>
      <c r="O237" s="133"/>
    </row>
    <row r="238" customFormat="false" ht="15" hidden="false" customHeight="false" outlineLevel="0" collapsed="false">
      <c r="B238" s="132"/>
      <c r="C238" s="133"/>
      <c r="D238" s="133"/>
      <c r="E238" s="133"/>
      <c r="F238" s="134"/>
      <c r="G238" s="135"/>
      <c r="H238" s="133"/>
      <c r="I238" s="133"/>
      <c r="J238" s="133"/>
      <c r="K238" s="133"/>
      <c r="L238" s="133"/>
      <c r="M238" s="136"/>
      <c r="N238" s="136"/>
      <c r="O238" s="133"/>
    </row>
    <row r="239" customFormat="false" ht="15" hidden="false" customHeight="false" outlineLevel="0" collapsed="false">
      <c r="B239" s="132"/>
      <c r="C239" s="133"/>
      <c r="D239" s="133"/>
      <c r="E239" s="133"/>
      <c r="F239" s="134"/>
      <c r="G239" s="135"/>
      <c r="H239" s="133"/>
      <c r="I239" s="133"/>
      <c r="J239" s="133"/>
      <c r="K239" s="133"/>
      <c r="L239" s="133"/>
      <c r="M239" s="136"/>
      <c r="N239" s="136"/>
      <c r="O239" s="133"/>
    </row>
    <row r="240" customFormat="false" ht="15" hidden="false" customHeight="false" outlineLevel="0" collapsed="false">
      <c r="B240" s="132"/>
      <c r="C240" s="133"/>
      <c r="D240" s="133"/>
      <c r="E240" s="133"/>
      <c r="F240" s="134"/>
      <c r="G240" s="135"/>
      <c r="H240" s="133"/>
      <c r="I240" s="133"/>
      <c r="J240" s="133"/>
      <c r="K240" s="133"/>
      <c r="L240" s="133"/>
      <c r="M240" s="136"/>
      <c r="N240" s="136"/>
      <c r="O240" s="133"/>
    </row>
    <row r="241" customFormat="false" ht="15" hidden="false" customHeight="false" outlineLevel="0" collapsed="false">
      <c r="B241" s="132"/>
      <c r="C241" s="133"/>
      <c r="D241" s="133"/>
      <c r="E241" s="133"/>
      <c r="F241" s="134"/>
      <c r="G241" s="135"/>
      <c r="H241" s="133"/>
      <c r="I241" s="133"/>
      <c r="J241" s="133"/>
      <c r="K241" s="133"/>
      <c r="L241" s="133"/>
      <c r="M241" s="136"/>
      <c r="N241" s="136"/>
      <c r="O241" s="133"/>
    </row>
    <row r="242" customFormat="false" ht="15" hidden="false" customHeight="false" outlineLevel="0" collapsed="false">
      <c r="B242" s="132"/>
      <c r="C242" s="133"/>
      <c r="D242" s="133"/>
      <c r="E242" s="133"/>
      <c r="F242" s="134"/>
      <c r="G242" s="135"/>
      <c r="H242" s="133"/>
      <c r="I242" s="133"/>
      <c r="J242" s="133"/>
      <c r="K242" s="133"/>
      <c r="L242" s="133"/>
      <c r="M242" s="136"/>
      <c r="N242" s="136"/>
      <c r="O242" s="133"/>
    </row>
    <row r="243" customFormat="false" ht="15" hidden="false" customHeight="false" outlineLevel="0" collapsed="false">
      <c r="B243" s="132"/>
      <c r="C243" s="133"/>
      <c r="D243" s="133"/>
      <c r="E243" s="133"/>
      <c r="F243" s="134"/>
      <c r="G243" s="135"/>
      <c r="H243" s="133"/>
      <c r="I243" s="133"/>
      <c r="J243" s="133"/>
      <c r="K243" s="133"/>
      <c r="L243" s="133"/>
      <c r="M243" s="136"/>
      <c r="N243" s="136"/>
      <c r="O243" s="133"/>
    </row>
    <row r="244" customFormat="false" ht="15" hidden="false" customHeight="false" outlineLevel="0" collapsed="false">
      <c r="B244" s="132"/>
      <c r="C244" s="133"/>
      <c r="D244" s="133"/>
      <c r="E244" s="133"/>
      <c r="F244" s="134"/>
      <c r="G244" s="135"/>
      <c r="H244" s="133"/>
      <c r="I244" s="133"/>
      <c r="J244" s="133"/>
      <c r="K244" s="133"/>
      <c r="L244" s="133"/>
      <c r="M244" s="136"/>
      <c r="N244" s="136"/>
      <c r="O244" s="133"/>
    </row>
    <row r="245" customFormat="false" ht="15" hidden="false" customHeight="false" outlineLevel="0" collapsed="false">
      <c r="B245" s="132"/>
      <c r="C245" s="133"/>
      <c r="D245" s="133"/>
      <c r="E245" s="133"/>
      <c r="F245" s="134"/>
      <c r="G245" s="135"/>
      <c r="H245" s="133"/>
      <c r="I245" s="133"/>
      <c r="J245" s="133"/>
      <c r="K245" s="133"/>
      <c r="L245" s="133"/>
      <c r="M245" s="136"/>
      <c r="N245" s="136"/>
      <c r="O245" s="133"/>
    </row>
    <row r="246" customFormat="false" ht="15" hidden="false" customHeight="false" outlineLevel="0" collapsed="false">
      <c r="B246" s="132"/>
      <c r="C246" s="133"/>
      <c r="D246" s="133"/>
      <c r="E246" s="133"/>
      <c r="F246" s="134"/>
      <c r="G246" s="135"/>
      <c r="H246" s="133"/>
      <c r="I246" s="133"/>
      <c r="J246" s="133"/>
      <c r="K246" s="133"/>
      <c r="L246" s="133"/>
      <c r="M246" s="136"/>
      <c r="N246" s="136"/>
      <c r="O246" s="133"/>
    </row>
    <row r="247" customFormat="false" ht="15" hidden="false" customHeight="false" outlineLevel="0" collapsed="false">
      <c r="B247" s="132"/>
      <c r="C247" s="133"/>
      <c r="D247" s="133"/>
      <c r="E247" s="133"/>
      <c r="F247" s="134"/>
      <c r="G247" s="135"/>
      <c r="H247" s="133"/>
      <c r="I247" s="133"/>
      <c r="J247" s="133"/>
      <c r="K247" s="133"/>
      <c r="L247" s="133"/>
      <c r="M247" s="136"/>
      <c r="N247" s="136"/>
      <c r="O247" s="133"/>
    </row>
    <row r="248" customFormat="false" ht="15" hidden="false" customHeight="false" outlineLevel="0" collapsed="false">
      <c r="B248" s="132"/>
      <c r="C248" s="133"/>
      <c r="D248" s="133"/>
      <c r="E248" s="133"/>
      <c r="F248" s="134"/>
      <c r="G248" s="135"/>
      <c r="H248" s="133"/>
      <c r="I248" s="133"/>
      <c r="J248" s="133"/>
      <c r="K248" s="133"/>
      <c r="L248" s="133"/>
      <c r="M248" s="136"/>
      <c r="N248" s="136"/>
      <c r="O248" s="133"/>
    </row>
    <row r="249" customFormat="false" ht="15" hidden="false" customHeight="false" outlineLevel="0" collapsed="false">
      <c r="B249" s="132"/>
      <c r="C249" s="133"/>
      <c r="D249" s="133"/>
      <c r="E249" s="133"/>
      <c r="F249" s="134"/>
      <c r="G249" s="135"/>
      <c r="H249" s="133"/>
      <c r="I249" s="133"/>
      <c r="J249" s="133"/>
      <c r="K249" s="133"/>
      <c r="L249" s="133"/>
      <c r="M249" s="136"/>
      <c r="N249" s="136"/>
      <c r="O249" s="133"/>
    </row>
    <row r="250" customFormat="false" ht="15" hidden="false" customHeight="false" outlineLevel="0" collapsed="false">
      <c r="B250" s="132"/>
      <c r="C250" s="133"/>
      <c r="D250" s="133"/>
      <c r="E250" s="133"/>
      <c r="F250" s="134"/>
      <c r="G250" s="135"/>
      <c r="H250" s="133"/>
      <c r="I250" s="133"/>
      <c r="J250" s="133"/>
      <c r="K250" s="133"/>
      <c r="L250" s="133"/>
      <c r="M250" s="136"/>
      <c r="N250" s="136"/>
      <c r="O250" s="133"/>
    </row>
    <row r="251" customFormat="false" ht="15" hidden="false" customHeight="false" outlineLevel="0" collapsed="false">
      <c r="B251" s="132"/>
      <c r="C251" s="133"/>
      <c r="D251" s="133"/>
      <c r="E251" s="133"/>
      <c r="F251" s="134"/>
      <c r="G251" s="135"/>
      <c r="H251" s="133"/>
      <c r="I251" s="133"/>
      <c r="J251" s="133"/>
      <c r="K251" s="133"/>
      <c r="L251" s="133"/>
      <c r="M251" s="136"/>
      <c r="N251" s="136"/>
      <c r="O251" s="133"/>
    </row>
    <row r="252" customFormat="false" ht="15" hidden="false" customHeight="false" outlineLevel="0" collapsed="false">
      <c r="B252" s="132"/>
      <c r="C252" s="133"/>
      <c r="D252" s="133"/>
      <c r="E252" s="133"/>
      <c r="F252" s="134"/>
      <c r="G252" s="135"/>
      <c r="H252" s="133"/>
      <c r="I252" s="133"/>
      <c r="J252" s="133"/>
      <c r="K252" s="133"/>
      <c r="L252" s="133"/>
      <c r="M252" s="136"/>
      <c r="N252" s="136"/>
      <c r="O252" s="133"/>
    </row>
    <row r="253" customFormat="false" ht="15" hidden="false" customHeight="false" outlineLevel="0" collapsed="false">
      <c r="B253" s="132"/>
      <c r="C253" s="133"/>
      <c r="D253" s="133"/>
      <c r="E253" s="133"/>
      <c r="F253" s="134"/>
      <c r="G253" s="135"/>
      <c r="H253" s="133"/>
      <c r="I253" s="133"/>
      <c r="J253" s="133"/>
      <c r="K253" s="133"/>
      <c r="L253" s="133"/>
      <c r="M253" s="136"/>
      <c r="N253" s="136"/>
      <c r="O253" s="133"/>
    </row>
    <row r="254" customFormat="false" ht="15" hidden="false" customHeight="false" outlineLevel="0" collapsed="false">
      <c r="B254" s="132"/>
      <c r="C254" s="133"/>
      <c r="D254" s="133"/>
      <c r="E254" s="133"/>
      <c r="F254" s="134"/>
      <c r="G254" s="135"/>
      <c r="H254" s="133"/>
      <c r="I254" s="133"/>
      <c r="J254" s="133"/>
      <c r="K254" s="133"/>
      <c r="L254" s="133"/>
      <c r="M254" s="136"/>
      <c r="N254" s="136"/>
      <c r="O254" s="133"/>
    </row>
    <row r="255" customFormat="false" ht="15" hidden="false" customHeight="false" outlineLevel="0" collapsed="false">
      <c r="B255" s="132"/>
      <c r="C255" s="133"/>
      <c r="D255" s="133"/>
      <c r="E255" s="133"/>
      <c r="F255" s="134"/>
      <c r="G255" s="135"/>
      <c r="H255" s="133"/>
      <c r="I255" s="133"/>
      <c r="J255" s="133"/>
      <c r="K255" s="133"/>
      <c r="L255" s="133"/>
      <c r="M255" s="136"/>
      <c r="N255" s="136"/>
      <c r="O255" s="133"/>
    </row>
    <row r="256" customFormat="false" ht="15" hidden="false" customHeight="false" outlineLevel="0" collapsed="false">
      <c r="B256" s="132"/>
      <c r="C256" s="133"/>
      <c r="D256" s="133"/>
      <c r="E256" s="133"/>
      <c r="F256" s="134"/>
      <c r="G256" s="135"/>
      <c r="H256" s="133"/>
      <c r="I256" s="133"/>
      <c r="J256" s="133"/>
      <c r="K256" s="133"/>
      <c r="L256" s="133"/>
      <c r="M256" s="136"/>
      <c r="N256" s="136"/>
      <c r="O256" s="133"/>
    </row>
    <row r="257" customFormat="false" ht="15" hidden="false" customHeight="false" outlineLevel="0" collapsed="false">
      <c r="B257" s="132"/>
      <c r="C257" s="133"/>
      <c r="D257" s="133"/>
      <c r="E257" s="133"/>
      <c r="F257" s="134"/>
      <c r="G257" s="135"/>
      <c r="H257" s="133"/>
      <c r="I257" s="133"/>
      <c r="J257" s="133"/>
      <c r="K257" s="133"/>
      <c r="L257" s="133"/>
      <c r="M257" s="136"/>
      <c r="N257" s="136"/>
      <c r="O257" s="133"/>
    </row>
    <row r="258" customFormat="false" ht="15" hidden="false" customHeight="false" outlineLevel="0" collapsed="false">
      <c r="B258" s="132"/>
      <c r="C258" s="133"/>
      <c r="D258" s="133"/>
      <c r="E258" s="133"/>
      <c r="F258" s="134"/>
      <c r="G258" s="135"/>
      <c r="H258" s="133"/>
      <c r="I258" s="133"/>
      <c r="J258" s="133"/>
      <c r="K258" s="133"/>
      <c r="L258" s="133"/>
      <c r="M258" s="136"/>
      <c r="N258" s="136"/>
      <c r="O258" s="133"/>
    </row>
    <row r="259" customFormat="false" ht="15" hidden="false" customHeight="false" outlineLevel="0" collapsed="false">
      <c r="B259" s="132"/>
      <c r="C259" s="133"/>
      <c r="D259" s="133"/>
      <c r="E259" s="133"/>
      <c r="F259" s="134"/>
      <c r="G259" s="135"/>
      <c r="H259" s="133"/>
      <c r="I259" s="133"/>
      <c r="J259" s="133"/>
      <c r="K259" s="133"/>
      <c r="L259" s="133"/>
      <c r="M259" s="136"/>
      <c r="N259" s="136"/>
      <c r="O259" s="133"/>
    </row>
    <row r="260" customFormat="false" ht="15" hidden="false" customHeight="false" outlineLevel="0" collapsed="false">
      <c r="B260" s="132"/>
      <c r="C260" s="133"/>
      <c r="D260" s="133"/>
      <c r="E260" s="133"/>
      <c r="F260" s="134"/>
      <c r="G260" s="135"/>
      <c r="H260" s="133"/>
      <c r="I260" s="133"/>
      <c r="J260" s="133"/>
      <c r="K260" s="133"/>
      <c r="L260" s="133"/>
      <c r="M260" s="136"/>
      <c r="N260" s="136"/>
      <c r="O260" s="133"/>
    </row>
    <row r="261" customFormat="false" ht="15" hidden="false" customHeight="false" outlineLevel="0" collapsed="false">
      <c r="B261" s="132"/>
      <c r="C261" s="133"/>
      <c r="D261" s="133"/>
      <c r="E261" s="133"/>
      <c r="F261" s="134"/>
      <c r="G261" s="135"/>
      <c r="H261" s="133"/>
      <c r="I261" s="133"/>
      <c r="J261" s="133"/>
      <c r="K261" s="133"/>
      <c r="L261" s="133"/>
      <c r="M261" s="136"/>
      <c r="N261" s="136"/>
      <c r="O261" s="133"/>
    </row>
    <row r="262" customFormat="false" ht="15" hidden="false" customHeight="false" outlineLevel="0" collapsed="false">
      <c r="B262" s="132"/>
      <c r="C262" s="133"/>
      <c r="D262" s="133"/>
      <c r="E262" s="133"/>
      <c r="F262" s="134"/>
      <c r="G262" s="135"/>
      <c r="H262" s="133"/>
      <c r="I262" s="133"/>
      <c r="J262" s="133"/>
      <c r="K262" s="133"/>
      <c r="L262" s="133"/>
      <c r="M262" s="136"/>
      <c r="N262" s="136"/>
      <c r="O262" s="133"/>
    </row>
    <row r="263" customFormat="false" ht="15" hidden="false" customHeight="false" outlineLevel="0" collapsed="false">
      <c r="B263" s="132"/>
      <c r="C263" s="133"/>
      <c r="D263" s="133"/>
      <c r="E263" s="133"/>
      <c r="F263" s="134"/>
      <c r="G263" s="135"/>
      <c r="H263" s="133"/>
      <c r="I263" s="133"/>
      <c r="J263" s="133"/>
      <c r="K263" s="133"/>
      <c r="L263" s="133"/>
      <c r="M263" s="136"/>
      <c r="N263" s="136"/>
      <c r="O263" s="133"/>
    </row>
    <row r="264" customFormat="false" ht="15" hidden="false" customHeight="false" outlineLevel="0" collapsed="false">
      <c r="B264" s="132"/>
      <c r="C264" s="133"/>
      <c r="D264" s="133"/>
      <c r="E264" s="133"/>
      <c r="F264" s="134"/>
      <c r="G264" s="135"/>
      <c r="H264" s="133"/>
      <c r="I264" s="133"/>
      <c r="J264" s="133"/>
      <c r="K264" s="133"/>
      <c r="L264" s="133"/>
      <c r="M264" s="136"/>
      <c r="N264" s="136"/>
      <c r="O264" s="133"/>
    </row>
    <row r="265" customFormat="false" ht="15" hidden="false" customHeight="false" outlineLevel="0" collapsed="false">
      <c r="B265" s="132"/>
      <c r="C265" s="133"/>
      <c r="D265" s="133"/>
      <c r="E265" s="133"/>
      <c r="F265" s="134"/>
      <c r="G265" s="135"/>
      <c r="H265" s="133"/>
      <c r="I265" s="133"/>
      <c r="J265" s="133"/>
      <c r="K265" s="133"/>
      <c r="L265" s="133"/>
      <c r="M265" s="136"/>
      <c r="N265" s="136"/>
      <c r="O265" s="133"/>
    </row>
    <row r="266" customFormat="false" ht="15" hidden="false" customHeight="false" outlineLevel="0" collapsed="false">
      <c r="B266" s="132"/>
      <c r="C266" s="133"/>
      <c r="D266" s="133"/>
      <c r="E266" s="133"/>
      <c r="F266" s="134"/>
      <c r="G266" s="135"/>
      <c r="H266" s="133"/>
      <c r="I266" s="133"/>
      <c r="J266" s="133"/>
      <c r="K266" s="133"/>
      <c r="L266" s="133"/>
      <c r="M266" s="136"/>
      <c r="N266" s="136"/>
      <c r="O266" s="133"/>
    </row>
    <row r="267" customFormat="false" ht="15" hidden="false" customHeight="false" outlineLevel="0" collapsed="false">
      <c r="B267" s="132"/>
      <c r="C267" s="133"/>
      <c r="D267" s="133"/>
      <c r="E267" s="133"/>
      <c r="F267" s="134"/>
      <c r="G267" s="135"/>
      <c r="H267" s="133"/>
      <c r="I267" s="133"/>
      <c r="J267" s="133"/>
      <c r="K267" s="133"/>
      <c r="L267" s="133"/>
      <c r="M267" s="136"/>
      <c r="N267" s="136"/>
      <c r="O267" s="133"/>
    </row>
    <row r="268" customFormat="false" ht="15" hidden="false" customHeight="false" outlineLevel="0" collapsed="false">
      <c r="B268" s="132"/>
      <c r="C268" s="133"/>
      <c r="D268" s="133"/>
      <c r="E268" s="133"/>
      <c r="F268" s="134"/>
      <c r="G268" s="135"/>
      <c r="H268" s="133"/>
      <c r="I268" s="133"/>
      <c r="J268" s="133"/>
      <c r="K268" s="133"/>
      <c r="L268" s="133"/>
      <c r="M268" s="136"/>
      <c r="N268" s="136"/>
      <c r="O268" s="133"/>
    </row>
    <row r="269" customFormat="false" ht="15" hidden="false" customHeight="false" outlineLevel="0" collapsed="false">
      <c r="B269" s="132"/>
      <c r="C269" s="133"/>
      <c r="D269" s="133"/>
      <c r="E269" s="133"/>
      <c r="F269" s="134"/>
      <c r="G269" s="135"/>
      <c r="H269" s="133"/>
      <c r="I269" s="133"/>
      <c r="J269" s="133"/>
      <c r="K269" s="133"/>
      <c r="L269" s="133"/>
      <c r="M269" s="136"/>
      <c r="N269" s="136"/>
      <c r="O269" s="133"/>
    </row>
    <row r="270" customFormat="false" ht="15" hidden="false" customHeight="false" outlineLevel="0" collapsed="false">
      <c r="B270" s="132"/>
      <c r="C270" s="133"/>
      <c r="D270" s="133"/>
      <c r="E270" s="133"/>
      <c r="F270" s="134"/>
      <c r="G270" s="135"/>
      <c r="H270" s="133"/>
      <c r="I270" s="133"/>
      <c r="J270" s="133"/>
      <c r="K270" s="133"/>
      <c r="L270" s="133"/>
      <c r="M270" s="136"/>
      <c r="N270" s="136"/>
      <c r="O270" s="133"/>
    </row>
    <row r="271" customFormat="false" ht="15" hidden="false" customHeight="false" outlineLevel="0" collapsed="false">
      <c r="B271" s="132"/>
      <c r="C271" s="133"/>
      <c r="D271" s="133"/>
      <c r="E271" s="133"/>
      <c r="F271" s="134"/>
      <c r="G271" s="135"/>
      <c r="H271" s="133"/>
      <c r="I271" s="133"/>
      <c r="J271" s="133"/>
      <c r="K271" s="133"/>
      <c r="L271" s="133"/>
      <c r="M271" s="136"/>
      <c r="N271" s="136"/>
      <c r="O271" s="133"/>
    </row>
    <row r="272" customFormat="false" ht="15" hidden="false" customHeight="false" outlineLevel="0" collapsed="false">
      <c r="B272" s="132"/>
      <c r="C272" s="133"/>
      <c r="D272" s="133"/>
      <c r="E272" s="133"/>
      <c r="F272" s="134"/>
      <c r="G272" s="135"/>
      <c r="H272" s="133"/>
      <c r="I272" s="133"/>
      <c r="J272" s="133"/>
      <c r="K272" s="133"/>
      <c r="L272" s="133"/>
      <c r="M272" s="136"/>
      <c r="N272" s="136"/>
      <c r="O272" s="133"/>
    </row>
    <row r="273" customFormat="false" ht="15" hidden="false" customHeight="false" outlineLevel="0" collapsed="false">
      <c r="B273" s="132"/>
      <c r="C273" s="133"/>
      <c r="D273" s="133"/>
      <c r="E273" s="133"/>
      <c r="F273" s="134"/>
      <c r="G273" s="135"/>
      <c r="H273" s="133"/>
      <c r="I273" s="133"/>
      <c r="J273" s="133"/>
      <c r="K273" s="133"/>
      <c r="L273" s="133"/>
      <c r="M273" s="136"/>
      <c r="N273" s="136"/>
      <c r="O273" s="133"/>
    </row>
    <row r="274" customFormat="false" ht="15" hidden="false" customHeight="false" outlineLevel="0" collapsed="false">
      <c r="B274" s="132"/>
      <c r="C274" s="133"/>
      <c r="D274" s="133"/>
      <c r="E274" s="133"/>
      <c r="F274" s="134"/>
      <c r="G274" s="135"/>
      <c r="H274" s="133"/>
      <c r="I274" s="133"/>
      <c r="J274" s="133"/>
      <c r="K274" s="133"/>
      <c r="L274" s="133"/>
      <c r="M274" s="136"/>
      <c r="N274" s="136"/>
      <c r="O274" s="133"/>
    </row>
    <row r="275" customFormat="false" ht="15" hidden="false" customHeight="false" outlineLevel="0" collapsed="false">
      <c r="B275" s="132"/>
      <c r="C275" s="133"/>
      <c r="D275" s="133"/>
      <c r="E275" s="133"/>
      <c r="F275" s="134"/>
      <c r="G275" s="135"/>
      <c r="H275" s="133"/>
      <c r="I275" s="133"/>
      <c r="J275" s="133"/>
      <c r="K275" s="133"/>
      <c r="L275" s="133"/>
      <c r="M275" s="136"/>
      <c r="N275" s="136"/>
      <c r="O275" s="133"/>
    </row>
    <row r="276" customFormat="false" ht="15" hidden="false" customHeight="false" outlineLevel="0" collapsed="false">
      <c r="B276" s="132"/>
      <c r="C276" s="133"/>
      <c r="D276" s="133"/>
      <c r="E276" s="133"/>
      <c r="F276" s="134"/>
      <c r="G276" s="135"/>
      <c r="H276" s="133"/>
      <c r="I276" s="133"/>
      <c r="J276" s="133"/>
      <c r="K276" s="133"/>
      <c r="L276" s="133"/>
      <c r="M276" s="136"/>
      <c r="N276" s="136"/>
      <c r="O276" s="133"/>
    </row>
    <row r="277" customFormat="false" ht="15" hidden="false" customHeight="false" outlineLevel="0" collapsed="false">
      <c r="B277" s="132"/>
      <c r="C277" s="133"/>
      <c r="D277" s="133"/>
      <c r="E277" s="133"/>
      <c r="F277" s="134"/>
      <c r="G277" s="135"/>
      <c r="H277" s="133"/>
      <c r="I277" s="133"/>
      <c r="J277" s="133"/>
      <c r="K277" s="133"/>
      <c r="L277" s="133"/>
      <c r="M277" s="136"/>
      <c r="N277" s="136"/>
      <c r="O277" s="133"/>
    </row>
    <row r="278" customFormat="false" ht="15" hidden="false" customHeight="false" outlineLevel="0" collapsed="false">
      <c r="B278" s="132"/>
      <c r="C278" s="133"/>
      <c r="D278" s="133"/>
      <c r="E278" s="133"/>
      <c r="F278" s="134"/>
      <c r="G278" s="135"/>
      <c r="H278" s="133"/>
      <c r="I278" s="133"/>
      <c r="J278" s="133"/>
      <c r="K278" s="133"/>
      <c r="L278" s="133"/>
      <c r="M278" s="136"/>
      <c r="N278" s="136"/>
      <c r="O278" s="133"/>
    </row>
    <row r="279" customFormat="false" ht="15" hidden="false" customHeight="false" outlineLevel="0" collapsed="false">
      <c r="B279" s="132"/>
      <c r="C279" s="133"/>
      <c r="D279" s="133"/>
      <c r="E279" s="133"/>
      <c r="F279" s="134"/>
      <c r="G279" s="135"/>
      <c r="H279" s="133"/>
      <c r="I279" s="133"/>
      <c r="J279" s="133"/>
      <c r="K279" s="133"/>
      <c r="L279" s="133"/>
      <c r="M279" s="136"/>
      <c r="N279" s="136"/>
      <c r="O279" s="133"/>
    </row>
    <row r="280" customFormat="false" ht="15" hidden="false" customHeight="false" outlineLevel="0" collapsed="false">
      <c r="B280" s="132"/>
      <c r="C280" s="133"/>
      <c r="D280" s="133"/>
      <c r="E280" s="133"/>
      <c r="F280" s="134"/>
      <c r="G280" s="135"/>
      <c r="H280" s="133"/>
      <c r="I280" s="133"/>
      <c r="J280" s="133"/>
      <c r="K280" s="133"/>
      <c r="L280" s="133"/>
      <c r="M280" s="136"/>
      <c r="N280" s="136"/>
      <c r="O280" s="133"/>
    </row>
    <row r="281" customFormat="false" ht="15" hidden="false" customHeight="false" outlineLevel="0" collapsed="false">
      <c r="B281" s="132"/>
      <c r="C281" s="133"/>
      <c r="D281" s="133"/>
      <c r="E281" s="133"/>
      <c r="F281" s="134"/>
      <c r="G281" s="135"/>
      <c r="H281" s="133"/>
      <c r="I281" s="133"/>
      <c r="J281" s="133"/>
      <c r="K281" s="133"/>
      <c r="L281" s="133"/>
      <c r="M281" s="136"/>
      <c r="N281" s="136"/>
      <c r="O281" s="133"/>
    </row>
    <row r="282" customFormat="false" ht="15" hidden="false" customHeight="false" outlineLevel="0" collapsed="false">
      <c r="B282" s="132"/>
      <c r="C282" s="133"/>
      <c r="D282" s="133"/>
      <c r="E282" s="133"/>
      <c r="F282" s="134"/>
      <c r="G282" s="135"/>
      <c r="H282" s="133"/>
      <c r="I282" s="133"/>
      <c r="J282" s="133"/>
      <c r="K282" s="133"/>
      <c r="L282" s="133"/>
      <c r="M282" s="136"/>
      <c r="N282" s="136"/>
      <c r="O282" s="133"/>
    </row>
    <row r="283" customFormat="false" ht="15" hidden="false" customHeight="false" outlineLevel="0" collapsed="false">
      <c r="B283" s="132"/>
      <c r="C283" s="133"/>
      <c r="D283" s="133"/>
      <c r="E283" s="133"/>
      <c r="F283" s="134"/>
      <c r="G283" s="135"/>
      <c r="H283" s="133"/>
      <c r="I283" s="133"/>
      <c r="J283" s="133"/>
      <c r="K283" s="133"/>
      <c r="L283" s="133"/>
      <c r="M283" s="136"/>
      <c r="N283" s="136"/>
      <c r="O283" s="133"/>
    </row>
    <row r="284" customFormat="false" ht="15" hidden="false" customHeight="false" outlineLevel="0" collapsed="false">
      <c r="B284" s="132"/>
      <c r="C284" s="133"/>
      <c r="D284" s="133"/>
      <c r="E284" s="133"/>
      <c r="F284" s="134"/>
      <c r="G284" s="135"/>
      <c r="H284" s="133"/>
      <c r="I284" s="133"/>
      <c r="J284" s="133"/>
      <c r="K284" s="133"/>
      <c r="L284" s="133"/>
      <c r="M284" s="136"/>
      <c r="N284" s="136"/>
      <c r="O284" s="133"/>
    </row>
    <row r="285" customFormat="false" ht="15" hidden="false" customHeight="false" outlineLevel="0" collapsed="false">
      <c r="B285" s="132"/>
      <c r="C285" s="133"/>
      <c r="D285" s="133"/>
      <c r="E285" s="133"/>
      <c r="F285" s="134"/>
      <c r="G285" s="135"/>
      <c r="H285" s="133"/>
      <c r="I285" s="133"/>
      <c r="J285" s="133"/>
      <c r="K285" s="133"/>
      <c r="L285" s="133"/>
      <c r="M285" s="136"/>
      <c r="N285" s="136"/>
      <c r="O285" s="133"/>
    </row>
    <row r="286" customFormat="false" ht="15" hidden="false" customHeight="false" outlineLevel="0" collapsed="false">
      <c r="B286" s="132"/>
      <c r="C286" s="133"/>
      <c r="D286" s="133"/>
      <c r="E286" s="133"/>
      <c r="F286" s="134"/>
      <c r="G286" s="135"/>
      <c r="H286" s="133"/>
      <c r="I286" s="133"/>
      <c r="J286" s="133"/>
      <c r="K286" s="133"/>
      <c r="L286" s="133"/>
      <c r="M286" s="136"/>
      <c r="N286" s="136"/>
      <c r="O286" s="133"/>
    </row>
    <row r="287" customFormat="false" ht="15" hidden="false" customHeight="false" outlineLevel="0" collapsed="false">
      <c r="B287" s="132"/>
      <c r="C287" s="133"/>
      <c r="D287" s="133"/>
      <c r="E287" s="133"/>
      <c r="F287" s="134"/>
      <c r="G287" s="135"/>
      <c r="H287" s="133"/>
      <c r="I287" s="133"/>
      <c r="J287" s="133"/>
      <c r="K287" s="133"/>
      <c r="L287" s="133"/>
      <c r="M287" s="136"/>
      <c r="N287" s="136"/>
      <c r="O287" s="133"/>
    </row>
    <row r="288" customFormat="false" ht="15" hidden="false" customHeight="false" outlineLevel="0" collapsed="false">
      <c r="B288" s="132"/>
      <c r="C288" s="133"/>
      <c r="D288" s="133"/>
      <c r="E288" s="133"/>
      <c r="F288" s="134"/>
      <c r="G288" s="135"/>
      <c r="H288" s="133"/>
      <c r="I288" s="133"/>
      <c r="J288" s="133"/>
      <c r="K288" s="133"/>
      <c r="L288" s="133"/>
      <c r="M288" s="136"/>
      <c r="N288" s="136"/>
      <c r="O288" s="133"/>
    </row>
    <row r="289" customFormat="false" ht="15" hidden="false" customHeight="false" outlineLevel="0" collapsed="false">
      <c r="B289" s="132"/>
      <c r="C289" s="133"/>
      <c r="D289" s="133"/>
      <c r="E289" s="133"/>
      <c r="F289" s="134"/>
      <c r="G289" s="135"/>
      <c r="H289" s="133"/>
      <c r="I289" s="133"/>
      <c r="J289" s="133"/>
      <c r="K289" s="133"/>
      <c r="L289" s="133"/>
      <c r="M289" s="136"/>
      <c r="N289" s="136"/>
      <c r="O289" s="133"/>
    </row>
    <row r="290" customFormat="false" ht="15" hidden="false" customHeight="false" outlineLevel="0" collapsed="false">
      <c r="B290" s="132"/>
      <c r="C290" s="133"/>
      <c r="D290" s="133"/>
      <c r="E290" s="133"/>
      <c r="F290" s="134"/>
      <c r="G290" s="135"/>
      <c r="H290" s="133"/>
      <c r="I290" s="133"/>
      <c r="J290" s="133"/>
      <c r="K290" s="133"/>
      <c r="L290" s="133"/>
      <c r="M290" s="136"/>
      <c r="N290" s="136"/>
      <c r="O290" s="133"/>
    </row>
    <row r="291" customFormat="false" ht="15" hidden="false" customHeight="false" outlineLevel="0" collapsed="false">
      <c r="B291" s="132"/>
      <c r="C291" s="133"/>
      <c r="D291" s="133"/>
      <c r="E291" s="133"/>
      <c r="F291" s="134"/>
      <c r="G291" s="135"/>
      <c r="H291" s="133"/>
      <c r="I291" s="133"/>
      <c r="J291" s="133"/>
      <c r="K291" s="133"/>
      <c r="L291" s="133"/>
      <c r="M291" s="136"/>
      <c r="N291" s="136"/>
      <c r="O291" s="133"/>
    </row>
    <row r="292" customFormat="false" ht="15" hidden="false" customHeight="false" outlineLevel="0" collapsed="false">
      <c r="B292" s="132"/>
      <c r="C292" s="133"/>
      <c r="D292" s="133"/>
      <c r="E292" s="133"/>
      <c r="F292" s="134"/>
      <c r="G292" s="135"/>
      <c r="H292" s="133"/>
      <c r="I292" s="133"/>
      <c r="J292" s="133"/>
      <c r="K292" s="133"/>
      <c r="L292" s="133"/>
      <c r="M292" s="136"/>
      <c r="N292" s="136"/>
      <c r="O292" s="133"/>
    </row>
    <row r="293" customFormat="false" ht="15" hidden="false" customHeight="false" outlineLevel="0" collapsed="false">
      <c r="B293" s="132"/>
      <c r="C293" s="133"/>
      <c r="D293" s="133"/>
      <c r="E293" s="133"/>
      <c r="F293" s="134"/>
      <c r="G293" s="135"/>
      <c r="H293" s="133"/>
      <c r="I293" s="133"/>
      <c r="J293" s="133"/>
      <c r="K293" s="133"/>
      <c r="L293" s="133"/>
      <c r="M293" s="136"/>
      <c r="N293" s="136"/>
      <c r="O293" s="133"/>
    </row>
    <row r="294" customFormat="false" ht="15" hidden="false" customHeight="false" outlineLevel="0" collapsed="false">
      <c r="B294" s="132"/>
      <c r="C294" s="133"/>
      <c r="D294" s="133"/>
      <c r="E294" s="133"/>
      <c r="F294" s="134"/>
      <c r="G294" s="135"/>
      <c r="H294" s="133"/>
      <c r="I294" s="133"/>
      <c r="J294" s="133"/>
      <c r="K294" s="133"/>
      <c r="L294" s="133"/>
      <c r="M294" s="136"/>
      <c r="N294" s="136"/>
      <c r="O294" s="133"/>
    </row>
    <row r="295" customFormat="false" ht="15" hidden="false" customHeight="false" outlineLevel="0" collapsed="false">
      <c r="B295" s="132"/>
      <c r="C295" s="133"/>
      <c r="D295" s="133"/>
      <c r="E295" s="133"/>
      <c r="F295" s="134"/>
      <c r="G295" s="135"/>
      <c r="H295" s="133"/>
      <c r="I295" s="133"/>
      <c r="J295" s="133"/>
      <c r="K295" s="133"/>
      <c r="L295" s="133"/>
      <c r="M295" s="136"/>
      <c r="N295" s="136"/>
      <c r="O295" s="133"/>
    </row>
    <row r="296" customFormat="false" ht="15" hidden="false" customHeight="false" outlineLevel="0" collapsed="false">
      <c r="B296" s="132"/>
      <c r="C296" s="133"/>
      <c r="D296" s="133"/>
      <c r="E296" s="133"/>
      <c r="F296" s="134"/>
      <c r="G296" s="135"/>
      <c r="H296" s="133"/>
      <c r="I296" s="133"/>
      <c r="J296" s="133"/>
      <c r="K296" s="133"/>
      <c r="L296" s="133"/>
      <c r="M296" s="136"/>
      <c r="N296" s="136"/>
      <c r="O296" s="133"/>
    </row>
    <row r="297" customFormat="false" ht="15" hidden="false" customHeight="false" outlineLevel="0" collapsed="false">
      <c r="B297" s="132"/>
      <c r="C297" s="133"/>
      <c r="D297" s="133"/>
      <c r="E297" s="133"/>
      <c r="F297" s="134"/>
      <c r="G297" s="135"/>
      <c r="H297" s="133"/>
      <c r="I297" s="133"/>
      <c r="J297" s="133"/>
      <c r="K297" s="133"/>
      <c r="L297" s="133"/>
      <c r="M297" s="136"/>
      <c r="N297" s="136"/>
      <c r="O297" s="133"/>
    </row>
    <row r="298" customFormat="false" ht="15" hidden="false" customHeight="false" outlineLevel="0" collapsed="false">
      <c r="B298" s="132"/>
      <c r="C298" s="133"/>
      <c r="D298" s="133"/>
      <c r="E298" s="133"/>
      <c r="F298" s="134"/>
      <c r="G298" s="135"/>
      <c r="H298" s="133"/>
      <c r="I298" s="133"/>
      <c r="J298" s="133"/>
      <c r="K298" s="133"/>
      <c r="L298" s="133"/>
      <c r="M298" s="136"/>
      <c r="N298" s="136"/>
      <c r="O298" s="133"/>
    </row>
    <row r="299" customFormat="false" ht="15" hidden="false" customHeight="false" outlineLevel="0" collapsed="false">
      <c r="B299" s="132"/>
      <c r="C299" s="133"/>
      <c r="D299" s="133"/>
      <c r="E299" s="133"/>
      <c r="F299" s="134"/>
      <c r="G299" s="135"/>
      <c r="H299" s="133"/>
      <c r="I299" s="133"/>
      <c r="J299" s="133"/>
      <c r="K299" s="133"/>
      <c r="L299" s="133"/>
      <c r="M299" s="136"/>
      <c r="N299" s="136"/>
      <c r="O299" s="133"/>
    </row>
    <row r="300" customFormat="false" ht="15" hidden="false" customHeight="false" outlineLevel="0" collapsed="false">
      <c r="B300" s="132"/>
      <c r="C300" s="133"/>
      <c r="D300" s="133"/>
      <c r="E300" s="133"/>
      <c r="F300" s="134"/>
      <c r="G300" s="135"/>
      <c r="H300" s="133"/>
      <c r="I300" s="133"/>
      <c r="J300" s="133"/>
      <c r="K300" s="133"/>
      <c r="L300" s="133"/>
      <c r="M300" s="136"/>
      <c r="N300" s="136"/>
      <c r="O300" s="133"/>
    </row>
    <row r="301" customFormat="false" ht="15" hidden="false" customHeight="false" outlineLevel="0" collapsed="false">
      <c r="B301" s="132"/>
      <c r="C301" s="133"/>
      <c r="D301" s="133"/>
      <c r="E301" s="133"/>
      <c r="F301" s="134"/>
      <c r="G301" s="135"/>
      <c r="H301" s="133"/>
      <c r="I301" s="133"/>
      <c r="J301" s="133"/>
      <c r="K301" s="133"/>
      <c r="L301" s="133"/>
      <c r="M301" s="136"/>
      <c r="N301" s="136"/>
      <c r="O301" s="133"/>
    </row>
    <row r="302" customFormat="false" ht="15" hidden="false" customHeight="false" outlineLevel="0" collapsed="false">
      <c r="B302" s="132"/>
      <c r="C302" s="133"/>
      <c r="D302" s="133"/>
      <c r="E302" s="133"/>
      <c r="F302" s="134"/>
      <c r="G302" s="135"/>
      <c r="H302" s="133"/>
      <c r="I302" s="133"/>
      <c r="J302" s="133"/>
      <c r="K302" s="133"/>
      <c r="L302" s="133"/>
      <c r="M302" s="136"/>
      <c r="N302" s="136"/>
      <c r="O302" s="133"/>
    </row>
    <row r="303" customFormat="false" ht="15" hidden="false" customHeight="false" outlineLevel="0" collapsed="false">
      <c r="B303" s="132"/>
      <c r="C303" s="133"/>
      <c r="D303" s="133"/>
      <c r="E303" s="133"/>
      <c r="F303" s="134"/>
      <c r="G303" s="135"/>
      <c r="H303" s="133"/>
      <c r="I303" s="133"/>
      <c r="J303" s="133"/>
      <c r="K303" s="133"/>
      <c r="L303" s="133"/>
      <c r="M303" s="136"/>
      <c r="N303" s="136"/>
      <c r="O303" s="133"/>
    </row>
    <row r="304" customFormat="false" ht="15" hidden="false" customHeight="false" outlineLevel="0" collapsed="false">
      <c r="B304" s="132"/>
      <c r="C304" s="133"/>
      <c r="D304" s="133"/>
      <c r="E304" s="133"/>
      <c r="F304" s="134"/>
      <c r="G304" s="135"/>
      <c r="H304" s="133"/>
      <c r="I304" s="133"/>
      <c r="J304" s="133"/>
      <c r="K304" s="133"/>
      <c r="L304" s="133"/>
      <c r="M304" s="136"/>
      <c r="N304" s="136"/>
      <c r="O304" s="133"/>
    </row>
    <row r="305" customFormat="false" ht="15" hidden="false" customHeight="false" outlineLevel="0" collapsed="false">
      <c r="B305" s="132"/>
      <c r="C305" s="133"/>
      <c r="D305" s="133"/>
      <c r="E305" s="133"/>
      <c r="F305" s="134"/>
      <c r="G305" s="135"/>
      <c r="H305" s="133"/>
      <c r="I305" s="133"/>
      <c r="J305" s="133"/>
      <c r="K305" s="133"/>
      <c r="L305" s="133"/>
      <c r="M305" s="136"/>
      <c r="N305" s="136"/>
      <c r="O305" s="133"/>
    </row>
    <row r="306" customFormat="false" ht="15" hidden="false" customHeight="false" outlineLevel="0" collapsed="false">
      <c r="B306" s="132"/>
      <c r="C306" s="133"/>
      <c r="D306" s="133"/>
      <c r="E306" s="133"/>
      <c r="F306" s="134"/>
      <c r="G306" s="135"/>
      <c r="H306" s="133"/>
      <c r="I306" s="133"/>
      <c r="J306" s="133"/>
      <c r="K306" s="133"/>
      <c r="L306" s="133"/>
      <c r="M306" s="136"/>
      <c r="N306" s="136"/>
      <c r="O306" s="133"/>
    </row>
    <row r="307" customFormat="false" ht="15" hidden="false" customHeight="false" outlineLevel="0" collapsed="false">
      <c r="B307" s="132"/>
      <c r="C307" s="133"/>
      <c r="D307" s="133"/>
      <c r="E307" s="133"/>
      <c r="F307" s="134"/>
      <c r="G307" s="135"/>
      <c r="H307" s="133"/>
      <c r="I307" s="133"/>
      <c r="J307" s="133"/>
      <c r="K307" s="133"/>
      <c r="L307" s="133"/>
      <c r="M307" s="136"/>
      <c r="N307" s="136"/>
      <c r="O307" s="133"/>
    </row>
    <row r="308" customFormat="false" ht="15" hidden="false" customHeight="false" outlineLevel="0" collapsed="false">
      <c r="B308" s="132"/>
      <c r="C308" s="133"/>
      <c r="D308" s="133"/>
      <c r="E308" s="133"/>
      <c r="F308" s="134"/>
      <c r="G308" s="135"/>
      <c r="H308" s="133"/>
      <c r="I308" s="133"/>
      <c r="J308" s="133"/>
      <c r="K308" s="133"/>
      <c r="L308" s="133"/>
      <c r="M308" s="136"/>
      <c r="N308" s="136"/>
      <c r="O308" s="133"/>
    </row>
    <row r="309" customFormat="false" ht="15" hidden="false" customHeight="false" outlineLevel="0" collapsed="false">
      <c r="B309" s="132"/>
      <c r="C309" s="133"/>
      <c r="D309" s="133"/>
      <c r="E309" s="133"/>
      <c r="F309" s="134"/>
      <c r="G309" s="135"/>
      <c r="H309" s="133"/>
      <c r="I309" s="133"/>
      <c r="J309" s="133"/>
      <c r="K309" s="133"/>
      <c r="L309" s="133"/>
      <c r="M309" s="136"/>
      <c r="N309" s="136"/>
      <c r="O309" s="133"/>
    </row>
    <row r="310" customFormat="false" ht="15" hidden="false" customHeight="false" outlineLevel="0" collapsed="false">
      <c r="B310" s="132"/>
      <c r="C310" s="133"/>
      <c r="D310" s="133"/>
      <c r="E310" s="133"/>
      <c r="F310" s="134"/>
      <c r="G310" s="135"/>
      <c r="H310" s="133"/>
      <c r="I310" s="133"/>
      <c r="J310" s="133"/>
      <c r="K310" s="133"/>
      <c r="L310" s="133"/>
      <c r="M310" s="136"/>
      <c r="N310" s="136"/>
      <c r="O310" s="133"/>
    </row>
    <row r="311" customFormat="false" ht="15" hidden="false" customHeight="false" outlineLevel="0" collapsed="false">
      <c r="B311" s="132"/>
      <c r="C311" s="133"/>
      <c r="D311" s="133"/>
      <c r="E311" s="133"/>
      <c r="F311" s="134"/>
      <c r="G311" s="135"/>
      <c r="H311" s="133"/>
      <c r="I311" s="133"/>
      <c r="J311" s="133"/>
      <c r="K311" s="133"/>
      <c r="L311" s="133"/>
      <c r="M311" s="136"/>
      <c r="N311" s="136"/>
      <c r="O311" s="133"/>
    </row>
    <row r="312" customFormat="false" ht="15" hidden="false" customHeight="false" outlineLevel="0" collapsed="false">
      <c r="B312" s="132"/>
      <c r="C312" s="133"/>
      <c r="D312" s="133"/>
      <c r="E312" s="133"/>
      <c r="F312" s="134"/>
      <c r="G312" s="135"/>
      <c r="H312" s="133"/>
      <c r="I312" s="133"/>
      <c r="J312" s="133"/>
      <c r="K312" s="133"/>
      <c r="L312" s="133"/>
      <c r="M312" s="136"/>
      <c r="N312" s="136"/>
      <c r="O312" s="133"/>
    </row>
    <row r="313" customFormat="false" ht="15" hidden="false" customHeight="false" outlineLevel="0" collapsed="false">
      <c r="B313" s="132"/>
      <c r="C313" s="133"/>
      <c r="D313" s="133"/>
      <c r="E313" s="133"/>
      <c r="F313" s="134"/>
      <c r="G313" s="135"/>
      <c r="H313" s="133"/>
      <c r="I313" s="133"/>
      <c r="J313" s="133"/>
      <c r="K313" s="133"/>
      <c r="L313" s="133"/>
      <c r="M313" s="136"/>
      <c r="N313" s="136"/>
      <c r="O313" s="133"/>
    </row>
    <row r="314" customFormat="false" ht="15" hidden="false" customHeight="false" outlineLevel="0" collapsed="false">
      <c r="B314" s="132"/>
      <c r="C314" s="133"/>
      <c r="D314" s="133"/>
      <c r="E314" s="133"/>
      <c r="F314" s="134"/>
      <c r="G314" s="135"/>
      <c r="H314" s="133"/>
      <c r="I314" s="133"/>
      <c r="J314" s="133"/>
      <c r="K314" s="133"/>
      <c r="L314" s="133"/>
      <c r="M314" s="136"/>
      <c r="N314" s="136"/>
      <c r="O314" s="133"/>
    </row>
    <row r="315" customFormat="false" ht="15" hidden="false" customHeight="false" outlineLevel="0" collapsed="false">
      <c r="B315" s="132"/>
      <c r="C315" s="133"/>
      <c r="D315" s="133"/>
      <c r="E315" s="133"/>
      <c r="F315" s="134"/>
      <c r="G315" s="135"/>
      <c r="H315" s="133"/>
      <c r="I315" s="133"/>
      <c r="J315" s="133"/>
      <c r="K315" s="133"/>
      <c r="L315" s="133"/>
      <c r="M315" s="136"/>
      <c r="N315" s="136"/>
      <c r="O315" s="133"/>
    </row>
    <row r="316" customFormat="false" ht="15" hidden="false" customHeight="false" outlineLevel="0" collapsed="false">
      <c r="B316" s="132"/>
      <c r="C316" s="133"/>
      <c r="D316" s="133"/>
      <c r="E316" s="133"/>
      <c r="F316" s="134"/>
      <c r="G316" s="135"/>
      <c r="H316" s="133"/>
      <c r="I316" s="133"/>
      <c r="J316" s="133"/>
      <c r="K316" s="133"/>
      <c r="L316" s="133"/>
      <c r="M316" s="136"/>
      <c r="N316" s="136"/>
      <c r="O316" s="133"/>
    </row>
    <row r="317" customFormat="false" ht="15" hidden="false" customHeight="false" outlineLevel="0" collapsed="false">
      <c r="B317" s="132"/>
      <c r="C317" s="133"/>
      <c r="D317" s="133"/>
      <c r="E317" s="133"/>
      <c r="F317" s="134"/>
      <c r="G317" s="135"/>
      <c r="H317" s="133"/>
      <c r="I317" s="133"/>
      <c r="J317" s="133"/>
      <c r="K317" s="133"/>
      <c r="L317" s="133"/>
      <c r="M317" s="136"/>
      <c r="N317" s="136"/>
      <c r="O317" s="133"/>
    </row>
    <row r="318" customFormat="false" ht="15" hidden="false" customHeight="false" outlineLevel="0" collapsed="false">
      <c r="B318" s="132"/>
      <c r="C318" s="133"/>
      <c r="D318" s="133"/>
      <c r="E318" s="133"/>
      <c r="F318" s="134"/>
      <c r="G318" s="135"/>
      <c r="H318" s="133"/>
      <c r="I318" s="133"/>
      <c r="J318" s="133"/>
      <c r="K318" s="133"/>
      <c r="L318" s="133"/>
      <c r="M318" s="136"/>
      <c r="N318" s="136"/>
      <c r="O318" s="133"/>
    </row>
    <row r="319" customFormat="false" ht="15" hidden="false" customHeight="false" outlineLevel="0" collapsed="false">
      <c r="B319" s="132"/>
      <c r="C319" s="133"/>
      <c r="D319" s="133"/>
      <c r="E319" s="133"/>
      <c r="F319" s="134"/>
      <c r="G319" s="135"/>
      <c r="H319" s="133"/>
      <c r="I319" s="133"/>
      <c r="J319" s="133"/>
      <c r="K319" s="133"/>
      <c r="L319" s="133"/>
      <c r="M319" s="136"/>
      <c r="N319" s="136"/>
      <c r="O319" s="133"/>
    </row>
    <row r="320" customFormat="false" ht="15" hidden="false" customHeight="false" outlineLevel="0" collapsed="false">
      <c r="B320" s="132"/>
      <c r="C320" s="133"/>
      <c r="D320" s="133"/>
      <c r="E320" s="133"/>
      <c r="F320" s="134"/>
      <c r="G320" s="135"/>
      <c r="H320" s="133"/>
      <c r="I320" s="133"/>
      <c r="J320" s="133"/>
      <c r="K320" s="133"/>
      <c r="L320" s="133"/>
      <c r="M320" s="136"/>
      <c r="N320" s="136"/>
      <c r="O320" s="133"/>
    </row>
    <row r="321" customFormat="false" ht="15" hidden="false" customHeight="false" outlineLevel="0" collapsed="false">
      <c r="B321" s="132"/>
      <c r="C321" s="133"/>
      <c r="D321" s="133"/>
      <c r="E321" s="133"/>
      <c r="F321" s="134"/>
      <c r="G321" s="135"/>
      <c r="H321" s="133"/>
      <c r="I321" s="133"/>
      <c r="J321" s="133"/>
      <c r="K321" s="133"/>
      <c r="L321" s="133"/>
      <c r="M321" s="136"/>
      <c r="N321" s="136"/>
      <c r="O321" s="133"/>
    </row>
    <row r="322" customFormat="false" ht="15" hidden="false" customHeight="false" outlineLevel="0" collapsed="false">
      <c r="B322" s="132"/>
      <c r="C322" s="133"/>
      <c r="D322" s="133"/>
      <c r="E322" s="133"/>
      <c r="F322" s="134"/>
      <c r="G322" s="135"/>
      <c r="H322" s="133"/>
      <c r="I322" s="133"/>
      <c r="J322" s="133"/>
      <c r="K322" s="133"/>
      <c r="L322" s="133"/>
      <c r="M322" s="136"/>
      <c r="N322" s="136"/>
      <c r="O322" s="133"/>
    </row>
    <row r="323" customFormat="false" ht="15" hidden="false" customHeight="false" outlineLevel="0" collapsed="false">
      <c r="B323" s="132"/>
      <c r="C323" s="133"/>
      <c r="D323" s="133"/>
      <c r="E323" s="133"/>
      <c r="F323" s="134"/>
      <c r="G323" s="135"/>
      <c r="H323" s="133"/>
      <c r="I323" s="133"/>
      <c r="J323" s="133"/>
      <c r="K323" s="133"/>
      <c r="L323" s="133"/>
      <c r="M323" s="136"/>
      <c r="N323" s="136"/>
      <c r="O323" s="133"/>
    </row>
    <row r="324" customFormat="false" ht="15" hidden="false" customHeight="false" outlineLevel="0" collapsed="false">
      <c r="B324" s="132"/>
      <c r="C324" s="133"/>
      <c r="D324" s="133"/>
      <c r="E324" s="133"/>
      <c r="F324" s="134"/>
      <c r="G324" s="135"/>
      <c r="H324" s="133"/>
      <c r="I324" s="133"/>
      <c r="J324" s="133"/>
      <c r="K324" s="133"/>
      <c r="L324" s="133"/>
      <c r="M324" s="136"/>
      <c r="N324" s="136"/>
      <c r="O324" s="133"/>
    </row>
    <row r="325" customFormat="false" ht="15" hidden="false" customHeight="false" outlineLevel="0" collapsed="false">
      <c r="B325" s="132"/>
      <c r="C325" s="133"/>
      <c r="D325" s="133"/>
      <c r="E325" s="133"/>
      <c r="F325" s="134"/>
      <c r="G325" s="135"/>
      <c r="H325" s="133"/>
      <c r="I325" s="133"/>
      <c r="J325" s="133"/>
      <c r="K325" s="133"/>
      <c r="L325" s="133"/>
      <c r="M325" s="136"/>
      <c r="N325" s="136"/>
      <c r="O325" s="133"/>
    </row>
    <row r="326" customFormat="false" ht="15" hidden="false" customHeight="false" outlineLevel="0" collapsed="false">
      <c r="B326" s="132"/>
      <c r="C326" s="133"/>
      <c r="D326" s="133"/>
      <c r="E326" s="133"/>
      <c r="F326" s="134"/>
      <c r="G326" s="135"/>
      <c r="H326" s="133"/>
      <c r="I326" s="133"/>
      <c r="J326" s="133"/>
      <c r="K326" s="133"/>
      <c r="L326" s="133"/>
      <c r="M326" s="136"/>
      <c r="N326" s="136"/>
      <c r="O326" s="133"/>
    </row>
    <row r="327" customFormat="false" ht="15" hidden="false" customHeight="false" outlineLevel="0" collapsed="false">
      <c r="B327" s="132"/>
      <c r="C327" s="133"/>
      <c r="D327" s="133"/>
      <c r="E327" s="133"/>
      <c r="F327" s="134"/>
      <c r="G327" s="135"/>
      <c r="H327" s="133"/>
      <c r="I327" s="133"/>
      <c r="J327" s="133"/>
      <c r="K327" s="133"/>
      <c r="L327" s="133"/>
      <c r="M327" s="136"/>
      <c r="N327" s="136"/>
      <c r="O327" s="133"/>
    </row>
    <row r="328" customFormat="false" ht="15" hidden="false" customHeight="false" outlineLevel="0" collapsed="false">
      <c r="B328" s="132"/>
      <c r="C328" s="133"/>
      <c r="D328" s="133"/>
      <c r="E328" s="133"/>
      <c r="F328" s="134"/>
      <c r="G328" s="135"/>
      <c r="H328" s="133"/>
      <c r="I328" s="133"/>
      <c r="J328" s="133"/>
      <c r="K328" s="133"/>
      <c r="L328" s="133"/>
      <c r="M328" s="136"/>
      <c r="N328" s="136"/>
      <c r="O328" s="133"/>
    </row>
    <row r="329" customFormat="false" ht="15" hidden="false" customHeight="false" outlineLevel="0" collapsed="false">
      <c r="B329" s="132"/>
      <c r="C329" s="133"/>
      <c r="D329" s="133"/>
      <c r="E329" s="133"/>
      <c r="F329" s="134"/>
      <c r="G329" s="135"/>
      <c r="H329" s="133"/>
      <c r="I329" s="133"/>
      <c r="J329" s="133"/>
      <c r="K329" s="133"/>
      <c r="L329" s="133"/>
      <c r="M329" s="136"/>
      <c r="N329" s="136"/>
      <c r="O329" s="133"/>
    </row>
    <row r="330" customFormat="false" ht="15" hidden="false" customHeight="false" outlineLevel="0" collapsed="false">
      <c r="B330" s="132"/>
      <c r="C330" s="133"/>
      <c r="D330" s="133"/>
      <c r="E330" s="133"/>
      <c r="F330" s="134"/>
      <c r="G330" s="135"/>
      <c r="H330" s="133"/>
      <c r="I330" s="133"/>
      <c r="J330" s="133"/>
      <c r="K330" s="133"/>
      <c r="L330" s="133"/>
      <c r="M330" s="136"/>
      <c r="N330" s="136"/>
      <c r="O330" s="133"/>
    </row>
    <row r="331" customFormat="false" ht="15" hidden="false" customHeight="false" outlineLevel="0" collapsed="false">
      <c r="B331" s="132"/>
      <c r="C331" s="133"/>
      <c r="D331" s="133"/>
      <c r="E331" s="133"/>
      <c r="F331" s="134"/>
      <c r="G331" s="135"/>
      <c r="H331" s="133"/>
      <c r="I331" s="133"/>
      <c r="J331" s="133"/>
      <c r="K331" s="133"/>
      <c r="L331" s="133"/>
      <c r="M331" s="136"/>
      <c r="N331" s="136"/>
      <c r="O331" s="133"/>
    </row>
    <row r="332" customFormat="false" ht="15" hidden="false" customHeight="false" outlineLevel="0" collapsed="false">
      <c r="B332" s="132"/>
      <c r="C332" s="133"/>
      <c r="D332" s="133"/>
      <c r="E332" s="133"/>
      <c r="F332" s="134"/>
      <c r="G332" s="135"/>
      <c r="H332" s="133"/>
      <c r="I332" s="133"/>
      <c r="J332" s="133"/>
      <c r="K332" s="133"/>
      <c r="L332" s="133"/>
      <c r="M332" s="136"/>
      <c r="N332" s="136"/>
      <c r="O332" s="133"/>
    </row>
    <row r="333" customFormat="false" ht="15" hidden="false" customHeight="false" outlineLevel="0" collapsed="false">
      <c r="B333" s="132"/>
      <c r="C333" s="133"/>
      <c r="D333" s="133"/>
      <c r="E333" s="133"/>
      <c r="F333" s="134"/>
      <c r="G333" s="135"/>
      <c r="H333" s="133"/>
      <c r="I333" s="133"/>
      <c r="J333" s="133"/>
      <c r="K333" s="133"/>
      <c r="L333" s="133"/>
      <c r="M333" s="136"/>
      <c r="N333" s="136"/>
      <c r="O333" s="133"/>
    </row>
    <row r="334" customFormat="false" ht="15" hidden="false" customHeight="false" outlineLevel="0" collapsed="false">
      <c r="B334" s="132"/>
      <c r="C334" s="133"/>
      <c r="D334" s="133"/>
      <c r="E334" s="133"/>
      <c r="F334" s="134"/>
      <c r="G334" s="135"/>
      <c r="H334" s="133"/>
      <c r="I334" s="133"/>
      <c r="J334" s="133"/>
      <c r="K334" s="133"/>
      <c r="L334" s="133"/>
      <c r="M334" s="136"/>
      <c r="N334" s="136"/>
      <c r="O334" s="133"/>
    </row>
    <row r="335" customFormat="false" ht="15" hidden="false" customHeight="false" outlineLevel="0" collapsed="false">
      <c r="B335" s="132"/>
      <c r="C335" s="133"/>
      <c r="D335" s="133"/>
      <c r="E335" s="133"/>
      <c r="F335" s="134"/>
      <c r="G335" s="135"/>
      <c r="H335" s="133"/>
      <c r="I335" s="133"/>
      <c r="J335" s="133"/>
      <c r="K335" s="133"/>
      <c r="L335" s="133"/>
      <c r="M335" s="136"/>
      <c r="N335" s="136"/>
      <c r="O335" s="133"/>
    </row>
    <row r="336" customFormat="false" ht="15" hidden="false" customHeight="false" outlineLevel="0" collapsed="false">
      <c r="B336" s="132"/>
      <c r="C336" s="133"/>
      <c r="D336" s="133"/>
      <c r="E336" s="133"/>
      <c r="F336" s="134"/>
      <c r="G336" s="135"/>
      <c r="H336" s="133"/>
      <c r="I336" s="133"/>
      <c r="J336" s="133"/>
      <c r="K336" s="133"/>
      <c r="L336" s="133"/>
      <c r="M336" s="136"/>
      <c r="N336" s="136"/>
      <c r="O336" s="133"/>
    </row>
    <row r="337" customFormat="false" ht="15" hidden="false" customHeight="false" outlineLevel="0" collapsed="false">
      <c r="B337" s="132"/>
      <c r="C337" s="133"/>
      <c r="D337" s="133"/>
      <c r="E337" s="133"/>
      <c r="F337" s="134"/>
      <c r="G337" s="135"/>
      <c r="H337" s="133"/>
      <c r="I337" s="133"/>
      <c r="J337" s="133"/>
      <c r="K337" s="133"/>
      <c r="L337" s="133"/>
      <c r="M337" s="136"/>
      <c r="N337" s="136"/>
      <c r="O337" s="133"/>
    </row>
    <row r="338" customFormat="false" ht="15" hidden="false" customHeight="false" outlineLevel="0" collapsed="false">
      <c r="B338" s="132"/>
      <c r="C338" s="133"/>
      <c r="D338" s="133"/>
      <c r="E338" s="133"/>
      <c r="F338" s="134"/>
      <c r="G338" s="135"/>
      <c r="H338" s="133"/>
      <c r="I338" s="133"/>
      <c r="J338" s="133"/>
      <c r="K338" s="133"/>
      <c r="L338" s="133"/>
      <c r="M338" s="136"/>
      <c r="N338" s="136"/>
      <c r="O338" s="133"/>
    </row>
    <row r="339" customFormat="false" ht="15" hidden="false" customHeight="false" outlineLevel="0" collapsed="false">
      <c r="B339" s="132"/>
      <c r="C339" s="133"/>
      <c r="D339" s="133"/>
      <c r="E339" s="133"/>
      <c r="F339" s="134"/>
      <c r="G339" s="135"/>
      <c r="H339" s="133"/>
      <c r="I339" s="133"/>
      <c r="J339" s="133"/>
      <c r="K339" s="133"/>
      <c r="L339" s="133"/>
      <c r="M339" s="136"/>
      <c r="N339" s="136"/>
      <c r="O339" s="133"/>
    </row>
    <row r="340" customFormat="false" ht="15" hidden="false" customHeight="false" outlineLevel="0" collapsed="false">
      <c r="B340" s="132"/>
      <c r="C340" s="133"/>
      <c r="D340" s="133"/>
      <c r="E340" s="133"/>
      <c r="F340" s="134"/>
      <c r="G340" s="135"/>
      <c r="H340" s="133"/>
      <c r="I340" s="133"/>
      <c r="J340" s="133"/>
      <c r="K340" s="133"/>
      <c r="L340" s="133"/>
      <c r="M340" s="136"/>
      <c r="N340" s="136"/>
      <c r="O340" s="133"/>
    </row>
    <row r="341" customFormat="false" ht="15" hidden="false" customHeight="false" outlineLevel="0" collapsed="false">
      <c r="B341" s="132"/>
      <c r="C341" s="133"/>
      <c r="D341" s="133"/>
      <c r="E341" s="133"/>
      <c r="F341" s="134"/>
      <c r="G341" s="135"/>
      <c r="H341" s="133"/>
      <c r="I341" s="133"/>
      <c r="J341" s="133"/>
      <c r="K341" s="133"/>
      <c r="L341" s="133"/>
      <c r="M341" s="136"/>
      <c r="N341" s="136"/>
      <c r="O341" s="133"/>
    </row>
    <row r="342" customFormat="false" ht="15" hidden="false" customHeight="false" outlineLevel="0" collapsed="false">
      <c r="B342" s="132"/>
      <c r="C342" s="133"/>
      <c r="D342" s="133"/>
      <c r="E342" s="133"/>
      <c r="F342" s="134"/>
      <c r="G342" s="135"/>
      <c r="H342" s="133"/>
      <c r="I342" s="133"/>
      <c r="J342" s="133"/>
      <c r="K342" s="133"/>
      <c r="L342" s="133"/>
      <c r="M342" s="136"/>
      <c r="N342" s="136"/>
      <c r="O342" s="133"/>
    </row>
    <row r="343" customFormat="false" ht="15" hidden="false" customHeight="false" outlineLevel="0" collapsed="false">
      <c r="B343" s="132"/>
      <c r="C343" s="133"/>
      <c r="D343" s="133"/>
      <c r="E343" s="133"/>
      <c r="F343" s="134"/>
      <c r="G343" s="135"/>
      <c r="H343" s="133"/>
      <c r="I343" s="133"/>
      <c r="J343" s="133"/>
      <c r="K343" s="133"/>
      <c r="L343" s="133"/>
      <c r="M343" s="136"/>
      <c r="N343" s="136"/>
      <c r="O343" s="133"/>
    </row>
    <row r="344" customFormat="false" ht="15" hidden="false" customHeight="false" outlineLevel="0" collapsed="false">
      <c r="B344" s="132"/>
      <c r="C344" s="133"/>
      <c r="D344" s="133"/>
      <c r="E344" s="133"/>
      <c r="F344" s="134"/>
      <c r="G344" s="135"/>
      <c r="H344" s="133"/>
      <c r="I344" s="133"/>
      <c r="J344" s="133"/>
      <c r="K344" s="133"/>
      <c r="L344" s="133"/>
      <c r="M344" s="136"/>
      <c r="N344" s="136"/>
      <c r="O344" s="133"/>
    </row>
    <row r="345" customFormat="false" ht="15" hidden="false" customHeight="false" outlineLevel="0" collapsed="false">
      <c r="B345" s="132"/>
      <c r="C345" s="133"/>
      <c r="D345" s="133"/>
      <c r="E345" s="133"/>
      <c r="F345" s="134"/>
      <c r="G345" s="135"/>
      <c r="H345" s="133"/>
      <c r="I345" s="133"/>
      <c r="J345" s="133"/>
      <c r="K345" s="133"/>
      <c r="L345" s="133"/>
      <c r="M345" s="136"/>
      <c r="N345" s="136"/>
      <c r="O345" s="133"/>
    </row>
    <row r="346" customFormat="false" ht="15" hidden="false" customHeight="false" outlineLevel="0" collapsed="false">
      <c r="B346" s="132"/>
      <c r="C346" s="133"/>
      <c r="D346" s="133"/>
      <c r="E346" s="133"/>
      <c r="F346" s="134"/>
      <c r="G346" s="135"/>
      <c r="H346" s="133"/>
      <c r="I346" s="133"/>
      <c r="J346" s="133"/>
      <c r="K346" s="133"/>
      <c r="L346" s="133"/>
      <c r="M346" s="136"/>
      <c r="N346" s="136"/>
      <c r="O346" s="133"/>
    </row>
    <row r="347" customFormat="false" ht="15" hidden="false" customHeight="false" outlineLevel="0" collapsed="false">
      <c r="B347" s="132"/>
      <c r="C347" s="133"/>
      <c r="D347" s="133"/>
      <c r="E347" s="133"/>
      <c r="F347" s="134"/>
      <c r="G347" s="135"/>
      <c r="H347" s="133"/>
      <c r="I347" s="133"/>
      <c r="J347" s="133"/>
      <c r="K347" s="133"/>
      <c r="L347" s="133"/>
      <c r="M347" s="136"/>
      <c r="N347" s="136"/>
      <c r="O347" s="133"/>
    </row>
    <row r="348" customFormat="false" ht="15" hidden="false" customHeight="false" outlineLevel="0" collapsed="false">
      <c r="B348" s="132"/>
      <c r="C348" s="133"/>
      <c r="D348" s="133"/>
      <c r="E348" s="133"/>
      <c r="F348" s="134"/>
      <c r="G348" s="135"/>
      <c r="H348" s="133"/>
      <c r="I348" s="133"/>
      <c r="J348" s="133"/>
      <c r="K348" s="133"/>
      <c r="L348" s="133"/>
      <c r="M348" s="136"/>
      <c r="N348" s="136"/>
      <c r="O348" s="133"/>
    </row>
    <row r="349" customFormat="false" ht="15" hidden="false" customHeight="false" outlineLevel="0" collapsed="false">
      <c r="B349" s="132"/>
      <c r="C349" s="133"/>
      <c r="D349" s="133"/>
      <c r="E349" s="133"/>
      <c r="F349" s="134"/>
      <c r="G349" s="135"/>
      <c r="H349" s="133"/>
      <c r="I349" s="133"/>
      <c r="J349" s="133"/>
      <c r="K349" s="133"/>
      <c r="L349" s="133"/>
      <c r="M349" s="136"/>
      <c r="N349" s="136"/>
      <c r="O349" s="133"/>
    </row>
    <row r="350" customFormat="false" ht="15" hidden="false" customHeight="false" outlineLevel="0" collapsed="false">
      <c r="B350" s="132"/>
      <c r="C350" s="133"/>
      <c r="D350" s="133"/>
      <c r="E350" s="133"/>
      <c r="F350" s="134"/>
      <c r="G350" s="135"/>
      <c r="H350" s="133"/>
      <c r="I350" s="133"/>
      <c r="J350" s="133"/>
      <c r="K350" s="133"/>
      <c r="L350" s="133"/>
      <c r="M350" s="136"/>
      <c r="N350" s="136"/>
      <c r="O350" s="133"/>
    </row>
    <row r="351" customFormat="false" ht="15" hidden="false" customHeight="false" outlineLevel="0" collapsed="false">
      <c r="B351" s="132"/>
      <c r="C351" s="133"/>
      <c r="D351" s="133"/>
      <c r="E351" s="133"/>
      <c r="F351" s="134"/>
      <c r="G351" s="135"/>
      <c r="H351" s="133"/>
      <c r="I351" s="133"/>
      <c r="J351" s="133"/>
      <c r="K351" s="133"/>
      <c r="L351" s="133"/>
      <c r="M351" s="136"/>
      <c r="N351" s="136"/>
      <c r="O351" s="133"/>
    </row>
    <row r="352" customFormat="false" ht="15" hidden="false" customHeight="false" outlineLevel="0" collapsed="false">
      <c r="B352" s="132"/>
      <c r="C352" s="133"/>
      <c r="D352" s="133"/>
      <c r="E352" s="133"/>
      <c r="F352" s="134"/>
      <c r="G352" s="135"/>
      <c r="H352" s="133"/>
      <c r="I352" s="133"/>
      <c r="J352" s="133"/>
      <c r="K352" s="133"/>
      <c r="L352" s="133"/>
      <c r="M352" s="136"/>
      <c r="N352" s="136"/>
      <c r="O352" s="133"/>
    </row>
    <row r="353" customFormat="false" ht="15" hidden="false" customHeight="false" outlineLevel="0" collapsed="false">
      <c r="B353" s="132"/>
      <c r="C353" s="133"/>
      <c r="D353" s="133"/>
      <c r="E353" s="133"/>
      <c r="F353" s="134"/>
      <c r="G353" s="135"/>
      <c r="H353" s="133"/>
      <c r="I353" s="133"/>
      <c r="J353" s="133"/>
      <c r="K353" s="133"/>
      <c r="L353" s="133"/>
      <c r="M353" s="136"/>
      <c r="N353" s="136"/>
      <c r="O353" s="133"/>
    </row>
    <row r="354" customFormat="false" ht="15" hidden="false" customHeight="false" outlineLevel="0" collapsed="false">
      <c r="B354" s="132"/>
      <c r="C354" s="133"/>
      <c r="D354" s="133"/>
      <c r="E354" s="133"/>
      <c r="F354" s="134"/>
      <c r="G354" s="135"/>
      <c r="H354" s="133"/>
      <c r="I354" s="133"/>
      <c r="J354" s="133"/>
      <c r="K354" s="133"/>
      <c r="L354" s="133"/>
      <c r="M354" s="136"/>
      <c r="N354" s="136"/>
      <c r="O354" s="133"/>
    </row>
    <row r="355" customFormat="false" ht="15" hidden="false" customHeight="false" outlineLevel="0" collapsed="false">
      <c r="B355" s="132"/>
      <c r="C355" s="133"/>
      <c r="D355" s="133"/>
      <c r="E355" s="133"/>
      <c r="F355" s="134"/>
      <c r="G355" s="135"/>
      <c r="H355" s="133"/>
      <c r="I355" s="133"/>
      <c r="J355" s="133"/>
      <c r="K355" s="133"/>
      <c r="L355" s="133"/>
      <c r="M355" s="136"/>
      <c r="N355" s="136"/>
      <c r="O355" s="133"/>
    </row>
    <row r="356" customFormat="false" ht="15" hidden="false" customHeight="false" outlineLevel="0" collapsed="false">
      <c r="B356" s="132"/>
      <c r="C356" s="133"/>
      <c r="D356" s="133"/>
      <c r="E356" s="133"/>
      <c r="F356" s="134"/>
      <c r="G356" s="135"/>
      <c r="H356" s="133"/>
      <c r="I356" s="133"/>
      <c r="J356" s="133"/>
      <c r="K356" s="133"/>
      <c r="L356" s="133"/>
      <c r="M356" s="136"/>
      <c r="N356" s="136"/>
      <c r="O356" s="133"/>
    </row>
    <row r="357" customFormat="false" ht="15" hidden="false" customHeight="false" outlineLevel="0" collapsed="false">
      <c r="B357" s="132"/>
      <c r="C357" s="133"/>
      <c r="D357" s="133"/>
      <c r="E357" s="133"/>
      <c r="F357" s="134"/>
      <c r="G357" s="135"/>
      <c r="H357" s="133"/>
      <c r="I357" s="133"/>
      <c r="J357" s="133"/>
      <c r="K357" s="133"/>
      <c r="L357" s="133"/>
      <c r="M357" s="136"/>
      <c r="N357" s="136"/>
      <c r="O357" s="133"/>
    </row>
    <row r="358" customFormat="false" ht="15" hidden="false" customHeight="false" outlineLevel="0" collapsed="false">
      <c r="B358" s="132"/>
      <c r="C358" s="133"/>
      <c r="D358" s="133"/>
      <c r="E358" s="133"/>
      <c r="F358" s="134"/>
      <c r="G358" s="135"/>
      <c r="H358" s="133"/>
      <c r="I358" s="133"/>
      <c r="J358" s="133"/>
      <c r="K358" s="133"/>
      <c r="L358" s="133"/>
      <c r="M358" s="136"/>
      <c r="N358" s="136"/>
      <c r="O358" s="133"/>
    </row>
    <row r="359" customFormat="false" ht="15" hidden="false" customHeight="false" outlineLevel="0" collapsed="false">
      <c r="B359" s="132"/>
      <c r="C359" s="133"/>
      <c r="D359" s="133"/>
      <c r="E359" s="133"/>
      <c r="F359" s="134"/>
      <c r="G359" s="135"/>
      <c r="H359" s="133"/>
      <c r="I359" s="133"/>
      <c r="J359" s="133"/>
      <c r="K359" s="133"/>
      <c r="L359" s="133"/>
      <c r="M359" s="136"/>
      <c r="N359" s="136"/>
      <c r="O359" s="133"/>
    </row>
    <row r="360" customFormat="false" ht="15" hidden="false" customHeight="false" outlineLevel="0" collapsed="false">
      <c r="B360" s="132"/>
      <c r="C360" s="133"/>
      <c r="D360" s="133"/>
      <c r="E360" s="133"/>
      <c r="F360" s="134"/>
      <c r="G360" s="135"/>
      <c r="H360" s="133"/>
      <c r="I360" s="133"/>
      <c r="J360" s="133"/>
      <c r="K360" s="133"/>
      <c r="L360" s="133"/>
      <c r="M360" s="136"/>
      <c r="N360" s="136"/>
      <c r="O360" s="133"/>
    </row>
    <row r="361" customFormat="false" ht="15" hidden="false" customHeight="false" outlineLevel="0" collapsed="false">
      <c r="B361" s="132"/>
      <c r="C361" s="133"/>
      <c r="D361" s="133"/>
      <c r="E361" s="133"/>
      <c r="F361" s="134"/>
      <c r="G361" s="135"/>
      <c r="H361" s="133"/>
      <c r="I361" s="133"/>
      <c r="J361" s="133"/>
      <c r="K361" s="133"/>
      <c r="L361" s="133"/>
      <c r="M361" s="136"/>
      <c r="N361" s="136"/>
      <c r="O361" s="133"/>
    </row>
    <row r="362" customFormat="false" ht="15" hidden="false" customHeight="false" outlineLevel="0" collapsed="false">
      <c r="B362" s="132"/>
      <c r="C362" s="133"/>
      <c r="D362" s="133"/>
      <c r="E362" s="133"/>
      <c r="F362" s="134"/>
      <c r="G362" s="135"/>
      <c r="H362" s="133"/>
      <c r="I362" s="133"/>
      <c r="J362" s="133"/>
      <c r="K362" s="133"/>
      <c r="L362" s="133"/>
      <c r="M362" s="136"/>
      <c r="N362" s="136"/>
      <c r="O362" s="133"/>
    </row>
    <row r="363" customFormat="false" ht="15" hidden="false" customHeight="false" outlineLevel="0" collapsed="false">
      <c r="B363" s="132"/>
      <c r="C363" s="133"/>
      <c r="D363" s="133"/>
      <c r="E363" s="133"/>
      <c r="F363" s="134"/>
      <c r="G363" s="135"/>
      <c r="H363" s="133"/>
      <c r="I363" s="133"/>
      <c r="J363" s="133"/>
      <c r="K363" s="133"/>
      <c r="L363" s="133"/>
      <c r="M363" s="136"/>
      <c r="N363" s="136"/>
      <c r="O363" s="133"/>
    </row>
    <row r="364" customFormat="false" ht="15" hidden="false" customHeight="false" outlineLevel="0" collapsed="false">
      <c r="B364" s="132"/>
      <c r="C364" s="133"/>
      <c r="D364" s="133"/>
      <c r="E364" s="133"/>
      <c r="F364" s="134"/>
      <c r="G364" s="135"/>
      <c r="H364" s="133"/>
      <c r="I364" s="133"/>
      <c r="J364" s="133"/>
      <c r="K364" s="133"/>
      <c r="L364" s="133"/>
      <c r="M364" s="136"/>
      <c r="N364" s="136"/>
      <c r="O364" s="133"/>
    </row>
    <row r="365" customFormat="false" ht="15" hidden="false" customHeight="false" outlineLevel="0" collapsed="false">
      <c r="B365" s="132"/>
      <c r="C365" s="133"/>
      <c r="D365" s="133"/>
      <c r="E365" s="133"/>
      <c r="F365" s="134"/>
      <c r="G365" s="135"/>
      <c r="H365" s="133"/>
      <c r="I365" s="133"/>
      <c r="J365" s="133"/>
      <c r="K365" s="133"/>
      <c r="L365" s="133"/>
      <c r="M365" s="136"/>
      <c r="N365" s="136"/>
      <c r="O365" s="133"/>
    </row>
    <row r="366" customFormat="false" ht="15" hidden="false" customHeight="false" outlineLevel="0" collapsed="false">
      <c r="B366" s="132"/>
      <c r="C366" s="133"/>
      <c r="D366" s="133"/>
      <c r="E366" s="133"/>
      <c r="F366" s="134"/>
      <c r="G366" s="135"/>
      <c r="H366" s="133"/>
      <c r="I366" s="133"/>
      <c r="J366" s="133"/>
      <c r="K366" s="133"/>
      <c r="L366" s="133"/>
      <c r="M366" s="136"/>
      <c r="N366" s="136"/>
      <c r="O366" s="133"/>
    </row>
    <row r="367" customFormat="false" ht="15" hidden="false" customHeight="false" outlineLevel="0" collapsed="false">
      <c r="B367" s="132"/>
      <c r="C367" s="133"/>
      <c r="D367" s="133"/>
      <c r="E367" s="133"/>
      <c r="F367" s="134"/>
      <c r="G367" s="135"/>
      <c r="H367" s="133"/>
      <c r="I367" s="133"/>
      <c r="J367" s="133"/>
      <c r="K367" s="133"/>
      <c r="L367" s="133"/>
      <c r="M367" s="136"/>
      <c r="N367" s="136"/>
      <c r="O367" s="133"/>
    </row>
    <row r="368" customFormat="false" ht="15" hidden="false" customHeight="false" outlineLevel="0" collapsed="false">
      <c r="B368" s="132"/>
      <c r="C368" s="133"/>
      <c r="D368" s="133"/>
      <c r="E368" s="133"/>
      <c r="F368" s="134"/>
      <c r="G368" s="135"/>
      <c r="H368" s="133"/>
      <c r="I368" s="133"/>
      <c r="J368" s="133"/>
      <c r="K368" s="133"/>
      <c r="L368" s="133"/>
      <c r="M368" s="136"/>
      <c r="N368" s="136"/>
      <c r="O368" s="133"/>
    </row>
    <row r="369" customFormat="false" ht="15" hidden="false" customHeight="false" outlineLevel="0" collapsed="false">
      <c r="B369" s="132"/>
      <c r="C369" s="133"/>
      <c r="D369" s="133"/>
      <c r="E369" s="133"/>
      <c r="F369" s="134"/>
      <c r="G369" s="135"/>
      <c r="H369" s="133"/>
      <c r="I369" s="133"/>
      <c r="J369" s="133"/>
      <c r="K369" s="133"/>
      <c r="L369" s="133"/>
      <c r="M369" s="136"/>
      <c r="N369" s="136"/>
      <c r="O369" s="133"/>
    </row>
    <row r="370" customFormat="false" ht="15" hidden="false" customHeight="false" outlineLevel="0" collapsed="false">
      <c r="B370" s="132"/>
      <c r="C370" s="133"/>
      <c r="D370" s="133"/>
      <c r="E370" s="133"/>
      <c r="F370" s="134"/>
      <c r="G370" s="135"/>
      <c r="H370" s="133"/>
      <c r="I370" s="133"/>
      <c r="J370" s="133"/>
      <c r="K370" s="133"/>
      <c r="L370" s="133"/>
      <c r="M370" s="136"/>
      <c r="N370" s="136"/>
      <c r="O370" s="133"/>
    </row>
    <row r="371" customFormat="false" ht="15" hidden="false" customHeight="false" outlineLevel="0" collapsed="false">
      <c r="B371" s="132"/>
      <c r="C371" s="133"/>
      <c r="D371" s="133"/>
      <c r="E371" s="133"/>
      <c r="F371" s="134"/>
      <c r="G371" s="135"/>
      <c r="H371" s="133"/>
      <c r="I371" s="133"/>
      <c r="J371" s="133"/>
      <c r="K371" s="133"/>
      <c r="L371" s="133"/>
      <c r="M371" s="136"/>
      <c r="N371" s="136"/>
      <c r="O371" s="133"/>
    </row>
    <row r="372" customFormat="false" ht="15" hidden="false" customHeight="false" outlineLevel="0" collapsed="false">
      <c r="B372" s="132"/>
      <c r="C372" s="133"/>
      <c r="D372" s="133"/>
      <c r="E372" s="133"/>
      <c r="F372" s="134"/>
      <c r="G372" s="135"/>
      <c r="H372" s="133"/>
      <c r="I372" s="133"/>
      <c r="J372" s="133"/>
      <c r="K372" s="133"/>
      <c r="L372" s="133"/>
      <c r="M372" s="136"/>
      <c r="N372" s="136"/>
      <c r="O372" s="133"/>
    </row>
    <row r="373" customFormat="false" ht="15" hidden="false" customHeight="false" outlineLevel="0" collapsed="false">
      <c r="B373" s="132"/>
      <c r="C373" s="133"/>
      <c r="D373" s="133"/>
      <c r="E373" s="133"/>
      <c r="F373" s="134"/>
      <c r="G373" s="135"/>
      <c r="H373" s="133"/>
      <c r="I373" s="133"/>
      <c r="J373" s="133"/>
      <c r="K373" s="133"/>
      <c r="L373" s="133"/>
      <c r="M373" s="136"/>
      <c r="N373" s="136"/>
      <c r="O373" s="133"/>
    </row>
    <row r="374" customFormat="false" ht="15" hidden="false" customHeight="false" outlineLevel="0" collapsed="false">
      <c r="B374" s="132"/>
      <c r="C374" s="133"/>
      <c r="D374" s="133"/>
      <c r="E374" s="133"/>
      <c r="F374" s="134"/>
      <c r="G374" s="135"/>
      <c r="H374" s="133"/>
      <c r="I374" s="133"/>
      <c r="J374" s="133"/>
      <c r="K374" s="133"/>
      <c r="L374" s="133"/>
      <c r="M374" s="136"/>
      <c r="N374" s="136"/>
      <c r="O374" s="133"/>
    </row>
    <row r="375" customFormat="false" ht="15" hidden="false" customHeight="false" outlineLevel="0" collapsed="false">
      <c r="B375" s="132"/>
      <c r="C375" s="133"/>
      <c r="D375" s="133"/>
      <c r="E375" s="133"/>
      <c r="F375" s="134"/>
      <c r="G375" s="135"/>
      <c r="H375" s="133"/>
      <c r="I375" s="133"/>
      <c r="J375" s="133"/>
      <c r="K375" s="133"/>
      <c r="L375" s="133"/>
      <c r="M375" s="136"/>
      <c r="N375" s="136"/>
      <c r="O375" s="133"/>
    </row>
    <row r="376" customFormat="false" ht="15" hidden="false" customHeight="false" outlineLevel="0" collapsed="false">
      <c r="B376" s="132"/>
      <c r="C376" s="133"/>
      <c r="D376" s="133"/>
      <c r="E376" s="133"/>
      <c r="F376" s="134"/>
      <c r="G376" s="135"/>
      <c r="H376" s="133"/>
      <c r="I376" s="133"/>
      <c r="J376" s="133"/>
      <c r="K376" s="133"/>
      <c r="L376" s="133"/>
      <c r="M376" s="136"/>
      <c r="N376" s="136"/>
      <c r="O376" s="133"/>
    </row>
    <row r="377" customFormat="false" ht="15" hidden="false" customHeight="false" outlineLevel="0" collapsed="false">
      <c r="B377" s="132"/>
      <c r="C377" s="133"/>
      <c r="D377" s="133"/>
      <c r="E377" s="133"/>
      <c r="F377" s="134"/>
      <c r="G377" s="135"/>
      <c r="H377" s="133"/>
      <c r="I377" s="133"/>
      <c r="J377" s="133"/>
      <c r="K377" s="133"/>
      <c r="L377" s="133"/>
      <c r="M377" s="136"/>
      <c r="N377" s="136"/>
      <c r="O377" s="133"/>
    </row>
    <row r="378" customFormat="false" ht="15" hidden="false" customHeight="false" outlineLevel="0" collapsed="false">
      <c r="B378" s="132"/>
      <c r="C378" s="133"/>
      <c r="D378" s="133"/>
      <c r="E378" s="133"/>
      <c r="F378" s="134"/>
      <c r="G378" s="135"/>
      <c r="H378" s="133"/>
      <c r="I378" s="133"/>
      <c r="J378" s="133"/>
      <c r="K378" s="133"/>
      <c r="L378" s="133"/>
      <c r="M378" s="136"/>
      <c r="N378" s="136"/>
      <c r="O378" s="133"/>
    </row>
    <row r="379" customFormat="false" ht="15" hidden="false" customHeight="false" outlineLevel="0" collapsed="false">
      <c r="B379" s="132"/>
      <c r="C379" s="133"/>
      <c r="D379" s="133"/>
      <c r="E379" s="133"/>
      <c r="F379" s="134"/>
      <c r="G379" s="135"/>
      <c r="H379" s="133"/>
      <c r="I379" s="133"/>
      <c r="J379" s="133"/>
      <c r="K379" s="133"/>
      <c r="L379" s="133"/>
      <c r="M379" s="136"/>
      <c r="N379" s="136"/>
      <c r="O379" s="133"/>
    </row>
    <row r="380" customFormat="false" ht="15" hidden="false" customHeight="false" outlineLevel="0" collapsed="false">
      <c r="B380" s="132"/>
      <c r="C380" s="133"/>
      <c r="D380" s="133"/>
      <c r="E380" s="133"/>
      <c r="F380" s="134"/>
      <c r="G380" s="135"/>
      <c r="H380" s="133"/>
      <c r="I380" s="133"/>
      <c r="J380" s="133"/>
      <c r="K380" s="133"/>
      <c r="L380" s="133"/>
      <c r="M380" s="136"/>
      <c r="N380" s="136"/>
      <c r="O380" s="133"/>
    </row>
    <row r="381" customFormat="false" ht="15" hidden="false" customHeight="false" outlineLevel="0" collapsed="false">
      <c r="B381" s="132"/>
      <c r="C381" s="133"/>
      <c r="D381" s="133"/>
      <c r="E381" s="133"/>
      <c r="F381" s="134"/>
      <c r="G381" s="135"/>
      <c r="H381" s="133"/>
      <c r="I381" s="133"/>
      <c r="J381" s="133"/>
      <c r="K381" s="133"/>
      <c r="L381" s="133"/>
      <c r="M381" s="136"/>
      <c r="N381" s="136"/>
      <c r="O381" s="133"/>
    </row>
    <row r="382" customFormat="false" ht="15" hidden="false" customHeight="false" outlineLevel="0" collapsed="false">
      <c r="B382" s="132"/>
      <c r="C382" s="133"/>
      <c r="D382" s="133"/>
      <c r="E382" s="133"/>
      <c r="F382" s="134"/>
      <c r="G382" s="135"/>
      <c r="H382" s="133"/>
      <c r="I382" s="133"/>
      <c r="J382" s="133"/>
      <c r="K382" s="133"/>
      <c r="L382" s="133"/>
      <c r="M382" s="136"/>
      <c r="N382" s="136"/>
      <c r="O382" s="133"/>
    </row>
    <row r="383" customFormat="false" ht="15" hidden="false" customHeight="false" outlineLevel="0" collapsed="false">
      <c r="B383" s="132"/>
      <c r="C383" s="133"/>
      <c r="D383" s="133"/>
      <c r="E383" s="133"/>
      <c r="F383" s="134"/>
      <c r="G383" s="135"/>
      <c r="H383" s="133"/>
      <c r="I383" s="133"/>
      <c r="J383" s="133"/>
      <c r="K383" s="133"/>
      <c r="L383" s="133"/>
      <c r="M383" s="136"/>
      <c r="N383" s="136"/>
      <c r="O383" s="133"/>
    </row>
    <row r="384" customFormat="false" ht="15" hidden="false" customHeight="false" outlineLevel="0" collapsed="false">
      <c r="B384" s="132"/>
      <c r="C384" s="133"/>
      <c r="D384" s="133"/>
      <c r="E384" s="133"/>
      <c r="F384" s="134"/>
      <c r="G384" s="135"/>
      <c r="H384" s="133"/>
      <c r="I384" s="133"/>
      <c r="J384" s="133"/>
      <c r="K384" s="133"/>
      <c r="L384" s="133"/>
      <c r="M384" s="136"/>
      <c r="N384" s="136"/>
      <c r="O384" s="133"/>
    </row>
    <row r="385" customFormat="false" ht="15" hidden="false" customHeight="false" outlineLevel="0" collapsed="false">
      <c r="B385" s="132"/>
      <c r="C385" s="133"/>
      <c r="D385" s="133"/>
      <c r="E385" s="133"/>
      <c r="F385" s="134"/>
      <c r="G385" s="135"/>
      <c r="H385" s="133"/>
      <c r="I385" s="133"/>
      <c r="J385" s="133"/>
      <c r="K385" s="133"/>
      <c r="L385" s="133"/>
      <c r="M385" s="136"/>
      <c r="N385" s="136"/>
      <c r="O385" s="133"/>
    </row>
    <row r="386" customFormat="false" ht="15" hidden="false" customHeight="false" outlineLevel="0" collapsed="false">
      <c r="B386" s="132"/>
      <c r="C386" s="133"/>
      <c r="D386" s="133"/>
      <c r="E386" s="133"/>
      <c r="F386" s="134"/>
      <c r="G386" s="135"/>
      <c r="H386" s="133"/>
      <c r="I386" s="133"/>
      <c r="J386" s="133"/>
      <c r="K386" s="133"/>
      <c r="L386" s="133"/>
      <c r="M386" s="136"/>
      <c r="N386" s="136"/>
      <c r="O386" s="133"/>
    </row>
    <row r="387" customFormat="false" ht="15" hidden="false" customHeight="false" outlineLevel="0" collapsed="false">
      <c r="B387" s="132"/>
      <c r="C387" s="133"/>
      <c r="D387" s="133"/>
      <c r="E387" s="133"/>
      <c r="F387" s="134"/>
      <c r="G387" s="135"/>
      <c r="H387" s="133"/>
      <c r="I387" s="133"/>
      <c r="J387" s="133"/>
      <c r="K387" s="133"/>
      <c r="L387" s="133"/>
      <c r="M387" s="136"/>
      <c r="N387" s="136"/>
      <c r="O387" s="133"/>
    </row>
    <row r="388" customFormat="false" ht="15" hidden="false" customHeight="false" outlineLevel="0" collapsed="false">
      <c r="B388" s="132"/>
      <c r="C388" s="133"/>
      <c r="D388" s="133"/>
      <c r="E388" s="133"/>
      <c r="F388" s="134"/>
      <c r="G388" s="135"/>
      <c r="H388" s="133"/>
      <c r="I388" s="133"/>
      <c r="J388" s="133"/>
      <c r="K388" s="133"/>
      <c r="L388" s="133"/>
      <c r="M388" s="136"/>
      <c r="N388" s="136"/>
      <c r="O388" s="133"/>
    </row>
    <row r="389" customFormat="false" ht="15" hidden="false" customHeight="false" outlineLevel="0" collapsed="false">
      <c r="B389" s="132"/>
      <c r="C389" s="133"/>
      <c r="D389" s="133"/>
      <c r="E389" s="133"/>
      <c r="F389" s="134"/>
      <c r="G389" s="135"/>
      <c r="H389" s="133"/>
      <c r="I389" s="133"/>
      <c r="J389" s="133"/>
      <c r="K389" s="133"/>
      <c r="L389" s="133"/>
      <c r="M389" s="136"/>
      <c r="N389" s="136"/>
      <c r="O389" s="133"/>
    </row>
    <row r="390" customFormat="false" ht="15" hidden="false" customHeight="false" outlineLevel="0" collapsed="false">
      <c r="B390" s="132"/>
      <c r="C390" s="133"/>
      <c r="D390" s="133"/>
      <c r="E390" s="133"/>
      <c r="F390" s="134"/>
      <c r="G390" s="135"/>
      <c r="H390" s="133"/>
      <c r="I390" s="133"/>
      <c r="J390" s="133"/>
      <c r="K390" s="133"/>
      <c r="L390" s="133"/>
      <c r="M390" s="136"/>
      <c r="N390" s="136"/>
      <c r="O390" s="133"/>
    </row>
    <row r="391" customFormat="false" ht="15" hidden="false" customHeight="false" outlineLevel="0" collapsed="false">
      <c r="B391" s="132"/>
      <c r="C391" s="133"/>
      <c r="D391" s="133"/>
      <c r="E391" s="133"/>
      <c r="F391" s="134"/>
      <c r="G391" s="135"/>
      <c r="H391" s="133"/>
      <c r="I391" s="133"/>
      <c r="J391" s="133"/>
      <c r="K391" s="133"/>
      <c r="L391" s="133"/>
      <c r="M391" s="136"/>
      <c r="N391" s="136"/>
      <c r="O391" s="133"/>
    </row>
    <row r="392" customFormat="false" ht="15" hidden="false" customHeight="false" outlineLevel="0" collapsed="false">
      <c r="B392" s="132"/>
      <c r="C392" s="133"/>
      <c r="D392" s="133"/>
      <c r="E392" s="133"/>
      <c r="F392" s="134"/>
      <c r="G392" s="135"/>
      <c r="H392" s="133"/>
      <c r="I392" s="133"/>
      <c r="J392" s="133"/>
      <c r="K392" s="133"/>
      <c r="L392" s="133"/>
      <c r="M392" s="136"/>
      <c r="N392" s="136"/>
      <c r="O392" s="133"/>
    </row>
    <row r="393" customFormat="false" ht="15" hidden="false" customHeight="false" outlineLevel="0" collapsed="false">
      <c r="B393" s="132"/>
      <c r="C393" s="133"/>
      <c r="D393" s="133"/>
      <c r="E393" s="133"/>
      <c r="F393" s="134"/>
      <c r="G393" s="135"/>
      <c r="H393" s="133"/>
      <c r="I393" s="133"/>
      <c r="J393" s="133"/>
      <c r="K393" s="133"/>
      <c r="L393" s="133"/>
      <c r="M393" s="136"/>
      <c r="N393" s="136"/>
      <c r="O393" s="133"/>
    </row>
    <row r="394" customFormat="false" ht="15" hidden="false" customHeight="false" outlineLevel="0" collapsed="false">
      <c r="B394" s="132"/>
      <c r="C394" s="133"/>
      <c r="D394" s="133"/>
      <c r="E394" s="133"/>
      <c r="F394" s="134"/>
      <c r="G394" s="135"/>
      <c r="H394" s="133"/>
      <c r="I394" s="133"/>
      <c r="J394" s="133"/>
      <c r="K394" s="133"/>
      <c r="L394" s="133"/>
      <c r="M394" s="136"/>
      <c r="N394" s="136"/>
      <c r="O394" s="133"/>
    </row>
    <row r="395" customFormat="false" ht="15" hidden="false" customHeight="false" outlineLevel="0" collapsed="false">
      <c r="B395" s="132"/>
      <c r="C395" s="133"/>
      <c r="D395" s="133"/>
      <c r="E395" s="133"/>
      <c r="F395" s="134"/>
      <c r="G395" s="135"/>
      <c r="H395" s="133"/>
      <c r="I395" s="133"/>
      <c r="J395" s="133"/>
      <c r="K395" s="133"/>
      <c r="L395" s="133"/>
      <c r="M395" s="136"/>
      <c r="N395" s="136"/>
      <c r="O395" s="133"/>
    </row>
    <row r="396" customFormat="false" ht="15" hidden="false" customHeight="false" outlineLevel="0" collapsed="false">
      <c r="B396" s="132"/>
      <c r="C396" s="133"/>
      <c r="D396" s="133"/>
      <c r="E396" s="133"/>
      <c r="F396" s="134"/>
      <c r="G396" s="135"/>
      <c r="H396" s="133"/>
      <c r="I396" s="133"/>
      <c r="J396" s="133"/>
      <c r="K396" s="133"/>
      <c r="L396" s="133"/>
      <c r="M396" s="136"/>
      <c r="N396" s="136"/>
      <c r="O396" s="133"/>
    </row>
    <row r="397" customFormat="false" ht="15" hidden="false" customHeight="false" outlineLevel="0" collapsed="false">
      <c r="B397" s="132"/>
      <c r="C397" s="133"/>
      <c r="D397" s="133"/>
      <c r="E397" s="133"/>
      <c r="F397" s="134"/>
      <c r="G397" s="135"/>
      <c r="H397" s="133"/>
      <c r="I397" s="133"/>
      <c r="J397" s="133"/>
      <c r="K397" s="133"/>
      <c r="L397" s="133"/>
      <c r="M397" s="136"/>
      <c r="N397" s="136"/>
      <c r="O397" s="133"/>
    </row>
    <row r="398" customFormat="false" ht="15" hidden="false" customHeight="false" outlineLevel="0" collapsed="false">
      <c r="B398" s="132"/>
      <c r="C398" s="133"/>
      <c r="D398" s="133"/>
      <c r="E398" s="133"/>
      <c r="F398" s="134"/>
      <c r="G398" s="135"/>
      <c r="H398" s="133"/>
      <c r="I398" s="133"/>
      <c r="J398" s="133"/>
      <c r="K398" s="133"/>
      <c r="L398" s="133"/>
      <c r="M398" s="136"/>
      <c r="N398" s="136"/>
      <c r="O398" s="133"/>
    </row>
    <row r="399" customFormat="false" ht="15" hidden="false" customHeight="false" outlineLevel="0" collapsed="false">
      <c r="B399" s="132"/>
      <c r="C399" s="133"/>
      <c r="D399" s="133"/>
      <c r="E399" s="133"/>
      <c r="F399" s="134"/>
      <c r="G399" s="135"/>
      <c r="H399" s="133"/>
      <c r="I399" s="133"/>
      <c r="J399" s="133"/>
      <c r="K399" s="133"/>
      <c r="L399" s="133"/>
      <c r="M399" s="136"/>
      <c r="N399" s="136"/>
      <c r="O399" s="133"/>
    </row>
    <row r="400" customFormat="false" ht="15" hidden="false" customHeight="false" outlineLevel="0" collapsed="false">
      <c r="B400" s="132"/>
      <c r="C400" s="133"/>
      <c r="D400" s="133"/>
      <c r="E400" s="133"/>
      <c r="F400" s="134"/>
      <c r="G400" s="135"/>
      <c r="H400" s="133"/>
      <c r="I400" s="133"/>
      <c r="J400" s="133"/>
      <c r="K400" s="133"/>
      <c r="L400" s="133"/>
      <c r="M400" s="136"/>
      <c r="N400" s="136"/>
      <c r="O400" s="133"/>
    </row>
    <row r="401" customFormat="false" ht="15" hidden="false" customHeight="false" outlineLevel="0" collapsed="false">
      <c r="B401" s="132"/>
      <c r="C401" s="133"/>
      <c r="D401" s="133"/>
      <c r="E401" s="133"/>
      <c r="F401" s="134"/>
      <c r="G401" s="135"/>
      <c r="H401" s="133"/>
      <c r="I401" s="133"/>
      <c r="J401" s="133"/>
      <c r="K401" s="133"/>
      <c r="L401" s="133"/>
      <c r="M401" s="136"/>
      <c r="N401" s="136"/>
      <c r="O401" s="133"/>
    </row>
    <row r="402" customFormat="false" ht="15" hidden="false" customHeight="false" outlineLevel="0" collapsed="false">
      <c r="B402" s="132"/>
      <c r="C402" s="133"/>
      <c r="D402" s="133"/>
      <c r="E402" s="133"/>
      <c r="F402" s="134"/>
      <c r="G402" s="135"/>
      <c r="H402" s="133"/>
      <c r="I402" s="133"/>
      <c r="J402" s="133"/>
      <c r="K402" s="133"/>
      <c r="L402" s="133"/>
      <c r="M402" s="136"/>
      <c r="N402" s="136"/>
      <c r="O402" s="133"/>
    </row>
    <row r="403" customFormat="false" ht="15" hidden="false" customHeight="false" outlineLevel="0" collapsed="false">
      <c r="B403" s="132"/>
      <c r="C403" s="133"/>
      <c r="D403" s="133"/>
      <c r="E403" s="133"/>
      <c r="F403" s="134"/>
      <c r="G403" s="135"/>
      <c r="H403" s="133"/>
      <c r="I403" s="133"/>
      <c r="J403" s="133"/>
      <c r="K403" s="133"/>
      <c r="L403" s="133"/>
      <c r="M403" s="136"/>
      <c r="N403" s="136"/>
      <c r="O403" s="133"/>
    </row>
    <row r="404" customFormat="false" ht="15" hidden="false" customHeight="false" outlineLevel="0" collapsed="false">
      <c r="B404" s="132"/>
      <c r="C404" s="133"/>
      <c r="D404" s="133"/>
      <c r="E404" s="133"/>
      <c r="F404" s="134"/>
      <c r="G404" s="135"/>
      <c r="H404" s="133"/>
      <c r="I404" s="133"/>
      <c r="J404" s="133"/>
      <c r="K404" s="133"/>
      <c r="L404" s="133"/>
      <c r="M404" s="136"/>
      <c r="N404" s="136"/>
      <c r="O404" s="133"/>
    </row>
    <row r="405" customFormat="false" ht="15" hidden="false" customHeight="false" outlineLevel="0" collapsed="false">
      <c r="B405" s="132"/>
      <c r="C405" s="133"/>
      <c r="D405" s="133"/>
      <c r="E405" s="133"/>
      <c r="F405" s="134"/>
      <c r="G405" s="135"/>
      <c r="H405" s="133"/>
      <c r="I405" s="133"/>
      <c r="J405" s="133"/>
      <c r="K405" s="133"/>
      <c r="L405" s="133"/>
      <c r="M405" s="136"/>
      <c r="N405" s="136"/>
      <c r="O405" s="133"/>
    </row>
    <row r="406" customFormat="false" ht="15" hidden="false" customHeight="false" outlineLevel="0" collapsed="false">
      <c r="B406" s="132"/>
      <c r="C406" s="133"/>
      <c r="D406" s="133"/>
      <c r="E406" s="133"/>
      <c r="F406" s="134"/>
      <c r="G406" s="135"/>
      <c r="H406" s="133"/>
      <c r="I406" s="133"/>
      <c r="J406" s="133"/>
      <c r="K406" s="133"/>
      <c r="L406" s="133"/>
      <c r="M406" s="136"/>
      <c r="N406" s="136"/>
      <c r="O406" s="133"/>
    </row>
    <row r="407" customFormat="false" ht="15" hidden="false" customHeight="false" outlineLevel="0" collapsed="false">
      <c r="B407" s="132"/>
      <c r="C407" s="133"/>
      <c r="D407" s="133"/>
      <c r="E407" s="133"/>
      <c r="F407" s="134"/>
      <c r="G407" s="135"/>
      <c r="H407" s="133"/>
      <c r="I407" s="133"/>
      <c r="J407" s="133"/>
      <c r="K407" s="133"/>
      <c r="L407" s="133"/>
      <c r="M407" s="136"/>
      <c r="N407" s="136"/>
      <c r="O407" s="133"/>
    </row>
    <row r="408" customFormat="false" ht="15" hidden="false" customHeight="false" outlineLevel="0" collapsed="false">
      <c r="B408" s="132"/>
      <c r="C408" s="133"/>
      <c r="D408" s="133"/>
      <c r="E408" s="133"/>
      <c r="F408" s="134"/>
      <c r="G408" s="135"/>
      <c r="H408" s="133"/>
      <c r="I408" s="133"/>
      <c r="J408" s="133"/>
      <c r="K408" s="133"/>
      <c r="L408" s="133"/>
      <c r="M408" s="136"/>
      <c r="N408" s="136"/>
      <c r="O408" s="133"/>
    </row>
    <row r="409" customFormat="false" ht="15" hidden="false" customHeight="false" outlineLevel="0" collapsed="false">
      <c r="B409" s="132"/>
      <c r="C409" s="133"/>
      <c r="D409" s="133"/>
      <c r="E409" s="133"/>
      <c r="F409" s="134"/>
      <c r="G409" s="135"/>
      <c r="H409" s="133"/>
      <c r="I409" s="133"/>
      <c r="J409" s="133"/>
      <c r="K409" s="133"/>
      <c r="L409" s="133"/>
      <c r="M409" s="136"/>
      <c r="N409" s="136"/>
      <c r="O409" s="133"/>
    </row>
    <row r="410" customFormat="false" ht="15" hidden="false" customHeight="false" outlineLevel="0" collapsed="false">
      <c r="B410" s="132"/>
      <c r="C410" s="133"/>
      <c r="D410" s="133"/>
      <c r="E410" s="133"/>
      <c r="F410" s="134"/>
      <c r="G410" s="135"/>
      <c r="H410" s="133"/>
      <c r="I410" s="133"/>
      <c r="J410" s="133"/>
      <c r="K410" s="133"/>
      <c r="L410" s="133"/>
      <c r="M410" s="136"/>
      <c r="N410" s="136"/>
      <c r="O410" s="133"/>
    </row>
    <row r="411" customFormat="false" ht="15" hidden="false" customHeight="false" outlineLevel="0" collapsed="false">
      <c r="B411" s="132"/>
      <c r="C411" s="133"/>
      <c r="D411" s="133"/>
      <c r="E411" s="133"/>
      <c r="F411" s="134"/>
      <c r="G411" s="135"/>
      <c r="H411" s="133"/>
      <c r="I411" s="133"/>
      <c r="J411" s="133"/>
      <c r="K411" s="133"/>
      <c r="L411" s="133"/>
      <c r="M411" s="136"/>
      <c r="N411" s="136"/>
      <c r="O411" s="133"/>
    </row>
    <row r="412" customFormat="false" ht="15" hidden="false" customHeight="false" outlineLevel="0" collapsed="false">
      <c r="B412" s="132"/>
      <c r="C412" s="133"/>
      <c r="D412" s="133"/>
      <c r="E412" s="133"/>
      <c r="F412" s="134"/>
      <c r="G412" s="135"/>
      <c r="H412" s="133"/>
      <c r="I412" s="133"/>
      <c r="J412" s="133"/>
      <c r="K412" s="133"/>
      <c r="L412" s="133"/>
      <c r="M412" s="136"/>
      <c r="N412" s="136"/>
      <c r="O412" s="133"/>
    </row>
    <row r="413" customFormat="false" ht="15" hidden="false" customHeight="false" outlineLevel="0" collapsed="false">
      <c r="B413" s="132"/>
      <c r="C413" s="133"/>
      <c r="D413" s="133"/>
      <c r="E413" s="133"/>
      <c r="F413" s="134"/>
      <c r="G413" s="135"/>
      <c r="H413" s="133"/>
      <c r="I413" s="133"/>
      <c r="J413" s="133"/>
      <c r="K413" s="133"/>
      <c r="L413" s="133"/>
      <c r="M413" s="136"/>
      <c r="N413" s="136"/>
      <c r="O413" s="133"/>
    </row>
    <row r="414" customFormat="false" ht="15" hidden="false" customHeight="false" outlineLevel="0" collapsed="false">
      <c r="B414" s="132"/>
      <c r="C414" s="133"/>
      <c r="D414" s="133"/>
      <c r="E414" s="133"/>
      <c r="F414" s="134"/>
      <c r="G414" s="135"/>
      <c r="H414" s="133"/>
      <c r="I414" s="133"/>
      <c r="J414" s="133"/>
      <c r="K414" s="133"/>
      <c r="L414" s="133"/>
      <c r="M414" s="136"/>
      <c r="N414" s="136"/>
      <c r="O414" s="133"/>
    </row>
    <row r="415" customFormat="false" ht="15" hidden="false" customHeight="false" outlineLevel="0" collapsed="false">
      <c r="B415" s="132"/>
      <c r="C415" s="133"/>
      <c r="D415" s="133"/>
      <c r="E415" s="133"/>
      <c r="F415" s="134"/>
      <c r="G415" s="135"/>
      <c r="H415" s="133"/>
      <c r="I415" s="133"/>
      <c r="J415" s="133"/>
      <c r="K415" s="133"/>
      <c r="L415" s="133"/>
      <c r="M415" s="136"/>
      <c r="N415" s="136"/>
      <c r="O415" s="133"/>
    </row>
    <row r="416" customFormat="false" ht="15" hidden="false" customHeight="false" outlineLevel="0" collapsed="false">
      <c r="B416" s="132"/>
      <c r="C416" s="133"/>
      <c r="D416" s="133"/>
      <c r="E416" s="133"/>
      <c r="F416" s="134"/>
      <c r="G416" s="135"/>
      <c r="H416" s="133"/>
      <c r="I416" s="133"/>
      <c r="J416" s="133"/>
      <c r="K416" s="133"/>
      <c r="L416" s="133"/>
      <c r="M416" s="136"/>
      <c r="N416" s="136"/>
      <c r="O416" s="133"/>
    </row>
    <row r="417" customFormat="false" ht="15" hidden="false" customHeight="false" outlineLevel="0" collapsed="false">
      <c r="B417" s="132"/>
      <c r="C417" s="133"/>
      <c r="D417" s="133"/>
      <c r="E417" s="133"/>
      <c r="F417" s="134"/>
      <c r="G417" s="135"/>
      <c r="H417" s="133"/>
      <c r="I417" s="133"/>
      <c r="J417" s="133"/>
      <c r="K417" s="133"/>
      <c r="L417" s="133"/>
      <c r="M417" s="136"/>
      <c r="N417" s="136"/>
      <c r="O417" s="133"/>
    </row>
    <row r="418" customFormat="false" ht="15" hidden="false" customHeight="false" outlineLevel="0" collapsed="false">
      <c r="B418" s="132"/>
      <c r="C418" s="133"/>
      <c r="D418" s="133"/>
      <c r="E418" s="133"/>
      <c r="F418" s="134"/>
      <c r="G418" s="135"/>
      <c r="H418" s="133"/>
      <c r="I418" s="133"/>
      <c r="J418" s="133"/>
      <c r="K418" s="133"/>
      <c r="L418" s="133"/>
      <c r="M418" s="136"/>
      <c r="N418" s="136"/>
      <c r="O418" s="133"/>
    </row>
    <row r="419" customFormat="false" ht="15" hidden="false" customHeight="false" outlineLevel="0" collapsed="false">
      <c r="B419" s="132"/>
      <c r="C419" s="133"/>
      <c r="D419" s="133"/>
      <c r="E419" s="133"/>
      <c r="F419" s="134"/>
      <c r="G419" s="135"/>
      <c r="H419" s="133"/>
      <c r="I419" s="133"/>
      <c r="J419" s="133"/>
      <c r="K419" s="133"/>
      <c r="L419" s="133"/>
      <c r="M419" s="136"/>
      <c r="N419" s="136"/>
      <c r="O419" s="133"/>
    </row>
    <row r="420" customFormat="false" ht="15" hidden="false" customHeight="false" outlineLevel="0" collapsed="false">
      <c r="B420" s="132"/>
      <c r="C420" s="133"/>
      <c r="D420" s="133"/>
      <c r="E420" s="133"/>
      <c r="F420" s="134"/>
      <c r="G420" s="135"/>
      <c r="H420" s="133"/>
      <c r="I420" s="133"/>
      <c r="J420" s="133"/>
      <c r="K420" s="133"/>
      <c r="L420" s="133"/>
      <c r="M420" s="136"/>
      <c r="N420" s="136"/>
      <c r="O420" s="133"/>
    </row>
    <row r="421" customFormat="false" ht="15" hidden="false" customHeight="false" outlineLevel="0" collapsed="false">
      <c r="B421" s="132"/>
      <c r="C421" s="133"/>
      <c r="D421" s="133"/>
      <c r="E421" s="133"/>
      <c r="F421" s="134"/>
      <c r="G421" s="135"/>
      <c r="H421" s="133"/>
      <c r="I421" s="133"/>
      <c r="J421" s="133"/>
      <c r="K421" s="133"/>
      <c r="L421" s="133"/>
      <c r="M421" s="136"/>
      <c r="N421" s="136"/>
      <c r="O421" s="133"/>
    </row>
    <row r="422" customFormat="false" ht="15" hidden="false" customHeight="false" outlineLevel="0" collapsed="false">
      <c r="B422" s="132"/>
      <c r="C422" s="133"/>
      <c r="D422" s="133"/>
      <c r="E422" s="133"/>
      <c r="F422" s="134"/>
      <c r="G422" s="135"/>
      <c r="H422" s="133"/>
      <c r="I422" s="133"/>
      <c r="J422" s="133"/>
      <c r="K422" s="133"/>
      <c r="L422" s="133"/>
      <c r="M422" s="136"/>
      <c r="N422" s="136"/>
      <c r="O422" s="133"/>
    </row>
    <row r="423" customFormat="false" ht="15" hidden="false" customHeight="false" outlineLevel="0" collapsed="false">
      <c r="B423" s="132"/>
      <c r="C423" s="133"/>
      <c r="D423" s="133"/>
      <c r="E423" s="133"/>
      <c r="F423" s="134"/>
      <c r="G423" s="135"/>
      <c r="H423" s="133"/>
      <c r="I423" s="133"/>
      <c r="J423" s="133"/>
      <c r="K423" s="133"/>
      <c r="L423" s="133"/>
      <c r="M423" s="136"/>
      <c r="N423" s="136"/>
      <c r="O423" s="133"/>
    </row>
    <row r="424" customFormat="false" ht="15" hidden="false" customHeight="false" outlineLevel="0" collapsed="false">
      <c r="B424" s="132"/>
      <c r="C424" s="133"/>
      <c r="D424" s="133"/>
      <c r="E424" s="133"/>
      <c r="F424" s="134"/>
      <c r="G424" s="135"/>
      <c r="H424" s="133"/>
      <c r="I424" s="133"/>
      <c r="J424" s="133"/>
      <c r="K424" s="133"/>
      <c r="L424" s="133"/>
      <c r="M424" s="136"/>
      <c r="N424" s="136"/>
      <c r="O424" s="133"/>
    </row>
    <row r="425" customFormat="false" ht="15" hidden="false" customHeight="false" outlineLevel="0" collapsed="false">
      <c r="B425" s="132"/>
      <c r="C425" s="133"/>
      <c r="D425" s="133"/>
      <c r="E425" s="133"/>
      <c r="F425" s="134"/>
      <c r="G425" s="135"/>
      <c r="H425" s="133"/>
      <c r="I425" s="133"/>
      <c r="J425" s="133"/>
      <c r="K425" s="133"/>
      <c r="L425" s="133"/>
      <c r="M425" s="136"/>
      <c r="N425" s="136"/>
      <c r="O425" s="133"/>
    </row>
    <row r="426" customFormat="false" ht="15" hidden="false" customHeight="false" outlineLevel="0" collapsed="false">
      <c r="B426" s="132"/>
      <c r="C426" s="133"/>
      <c r="D426" s="133"/>
      <c r="E426" s="133"/>
      <c r="F426" s="134"/>
      <c r="G426" s="135"/>
      <c r="H426" s="133"/>
      <c r="I426" s="133"/>
      <c r="J426" s="133"/>
      <c r="K426" s="133"/>
      <c r="L426" s="133"/>
      <c r="M426" s="136"/>
      <c r="N426" s="136"/>
      <c r="O426" s="133"/>
    </row>
    <row r="427" customFormat="false" ht="15" hidden="false" customHeight="false" outlineLevel="0" collapsed="false">
      <c r="B427" s="132"/>
      <c r="C427" s="133"/>
      <c r="D427" s="133"/>
      <c r="E427" s="133"/>
      <c r="F427" s="134"/>
      <c r="G427" s="135"/>
      <c r="H427" s="133"/>
      <c r="I427" s="133"/>
      <c r="J427" s="133"/>
      <c r="K427" s="133"/>
      <c r="L427" s="133"/>
      <c r="M427" s="136"/>
      <c r="N427" s="136"/>
      <c r="O427" s="133"/>
    </row>
    <row r="428" customFormat="false" ht="15" hidden="false" customHeight="false" outlineLevel="0" collapsed="false">
      <c r="B428" s="132"/>
      <c r="C428" s="133"/>
      <c r="D428" s="133"/>
      <c r="E428" s="133"/>
      <c r="F428" s="134"/>
      <c r="G428" s="135"/>
      <c r="H428" s="133"/>
      <c r="I428" s="133"/>
      <c r="J428" s="133"/>
      <c r="K428" s="133"/>
      <c r="L428" s="133"/>
      <c r="M428" s="136"/>
      <c r="N428" s="136"/>
      <c r="O428" s="133"/>
    </row>
    <row r="429" customFormat="false" ht="15" hidden="false" customHeight="false" outlineLevel="0" collapsed="false">
      <c r="B429" s="132"/>
      <c r="C429" s="133"/>
      <c r="D429" s="133"/>
      <c r="E429" s="133"/>
      <c r="F429" s="134"/>
      <c r="G429" s="135"/>
      <c r="H429" s="133"/>
      <c r="I429" s="133"/>
      <c r="J429" s="133"/>
      <c r="K429" s="133"/>
      <c r="L429" s="133"/>
      <c r="M429" s="136"/>
      <c r="N429" s="136"/>
      <c r="O429" s="133"/>
    </row>
    <row r="430" customFormat="false" ht="15" hidden="false" customHeight="false" outlineLevel="0" collapsed="false">
      <c r="B430" s="132"/>
      <c r="C430" s="133"/>
      <c r="D430" s="133"/>
      <c r="E430" s="133"/>
      <c r="F430" s="134"/>
      <c r="G430" s="135"/>
      <c r="H430" s="133"/>
      <c r="I430" s="133"/>
      <c r="J430" s="133"/>
      <c r="K430" s="133"/>
      <c r="L430" s="133"/>
      <c r="M430" s="136"/>
      <c r="N430" s="136"/>
      <c r="O430" s="133"/>
    </row>
    <row r="431" customFormat="false" ht="15" hidden="false" customHeight="false" outlineLevel="0" collapsed="false">
      <c r="B431" s="132"/>
      <c r="C431" s="133"/>
      <c r="D431" s="133"/>
      <c r="E431" s="133"/>
      <c r="F431" s="134"/>
      <c r="G431" s="135"/>
      <c r="H431" s="133"/>
      <c r="I431" s="133"/>
      <c r="J431" s="133"/>
      <c r="K431" s="133"/>
      <c r="L431" s="133"/>
      <c r="M431" s="136"/>
      <c r="N431" s="136"/>
      <c r="O431" s="133"/>
    </row>
    <row r="432" customFormat="false" ht="15" hidden="false" customHeight="false" outlineLevel="0" collapsed="false">
      <c r="B432" s="132"/>
      <c r="C432" s="133"/>
      <c r="D432" s="133"/>
      <c r="E432" s="133"/>
      <c r="F432" s="134"/>
      <c r="G432" s="135"/>
      <c r="H432" s="133"/>
      <c r="I432" s="133"/>
      <c r="J432" s="133"/>
      <c r="K432" s="133"/>
      <c r="L432" s="133"/>
      <c r="M432" s="136"/>
      <c r="N432" s="136"/>
      <c r="O432" s="133"/>
    </row>
    <row r="433" customFormat="false" ht="15" hidden="false" customHeight="false" outlineLevel="0" collapsed="false">
      <c r="B433" s="132"/>
      <c r="C433" s="133"/>
      <c r="D433" s="133"/>
      <c r="E433" s="133"/>
      <c r="F433" s="134"/>
      <c r="G433" s="135"/>
      <c r="H433" s="133"/>
      <c r="I433" s="133"/>
      <c r="J433" s="133"/>
      <c r="K433" s="133"/>
      <c r="L433" s="133"/>
      <c r="M433" s="136"/>
      <c r="N433" s="136"/>
      <c r="O433" s="133"/>
    </row>
    <row r="434" customFormat="false" ht="15" hidden="false" customHeight="false" outlineLevel="0" collapsed="false">
      <c r="B434" s="132"/>
      <c r="C434" s="133"/>
      <c r="D434" s="133"/>
      <c r="E434" s="133"/>
      <c r="F434" s="134"/>
      <c r="G434" s="135"/>
      <c r="H434" s="133"/>
      <c r="I434" s="133"/>
      <c r="J434" s="133"/>
      <c r="K434" s="133"/>
      <c r="L434" s="133"/>
      <c r="M434" s="136"/>
      <c r="N434" s="136"/>
      <c r="O434" s="133"/>
    </row>
    <row r="435" customFormat="false" ht="15" hidden="false" customHeight="false" outlineLevel="0" collapsed="false">
      <c r="B435" s="132"/>
      <c r="C435" s="133"/>
      <c r="D435" s="133"/>
      <c r="E435" s="133"/>
      <c r="F435" s="134"/>
      <c r="G435" s="135"/>
      <c r="H435" s="133"/>
      <c r="I435" s="133"/>
      <c r="J435" s="133"/>
      <c r="K435" s="133"/>
      <c r="L435" s="133"/>
      <c r="M435" s="136"/>
      <c r="N435" s="136"/>
      <c r="O435" s="133"/>
    </row>
    <row r="436" customFormat="false" ht="15" hidden="false" customHeight="false" outlineLevel="0" collapsed="false">
      <c r="B436" s="132"/>
      <c r="C436" s="133"/>
      <c r="D436" s="133"/>
      <c r="E436" s="133"/>
      <c r="F436" s="134"/>
      <c r="G436" s="135"/>
      <c r="H436" s="133"/>
      <c r="I436" s="133"/>
      <c r="J436" s="133"/>
      <c r="K436" s="133"/>
      <c r="L436" s="133"/>
      <c r="M436" s="136"/>
      <c r="N436" s="136"/>
      <c r="O436" s="133"/>
    </row>
    <row r="437" customFormat="false" ht="15" hidden="false" customHeight="false" outlineLevel="0" collapsed="false">
      <c r="B437" s="132"/>
      <c r="C437" s="133"/>
      <c r="D437" s="133"/>
      <c r="E437" s="133"/>
      <c r="F437" s="134"/>
      <c r="G437" s="135"/>
      <c r="H437" s="133"/>
      <c r="I437" s="133"/>
      <c r="J437" s="133"/>
      <c r="K437" s="133"/>
      <c r="L437" s="133"/>
      <c r="M437" s="136"/>
      <c r="N437" s="136"/>
      <c r="O437" s="133"/>
    </row>
    <row r="438" customFormat="false" ht="15" hidden="false" customHeight="false" outlineLevel="0" collapsed="false">
      <c r="B438" s="132"/>
      <c r="C438" s="133"/>
      <c r="D438" s="133"/>
      <c r="E438" s="133"/>
      <c r="F438" s="134"/>
      <c r="G438" s="135"/>
      <c r="H438" s="133"/>
      <c r="I438" s="133"/>
      <c r="J438" s="133"/>
      <c r="K438" s="133"/>
      <c r="L438" s="133"/>
      <c r="M438" s="136"/>
      <c r="N438" s="136"/>
      <c r="O438" s="133"/>
    </row>
    <row r="439" customFormat="false" ht="15" hidden="false" customHeight="false" outlineLevel="0" collapsed="false">
      <c r="B439" s="132"/>
      <c r="C439" s="133"/>
      <c r="D439" s="133"/>
      <c r="E439" s="133"/>
      <c r="F439" s="134"/>
      <c r="G439" s="135"/>
      <c r="H439" s="133"/>
      <c r="I439" s="133"/>
      <c r="J439" s="133"/>
      <c r="K439" s="133"/>
      <c r="L439" s="133"/>
      <c r="M439" s="136"/>
      <c r="N439" s="136"/>
      <c r="O439" s="133"/>
    </row>
    <row r="440" customFormat="false" ht="15" hidden="false" customHeight="false" outlineLevel="0" collapsed="false">
      <c r="B440" s="132"/>
      <c r="C440" s="133"/>
      <c r="D440" s="133"/>
      <c r="E440" s="133"/>
      <c r="F440" s="134"/>
      <c r="G440" s="135"/>
      <c r="H440" s="133"/>
      <c r="I440" s="133"/>
      <c r="J440" s="133"/>
      <c r="K440" s="133"/>
      <c r="L440" s="133"/>
      <c r="M440" s="136"/>
      <c r="N440" s="136"/>
      <c r="O440" s="133"/>
    </row>
    <row r="441" customFormat="false" ht="15" hidden="false" customHeight="false" outlineLevel="0" collapsed="false">
      <c r="B441" s="132"/>
      <c r="C441" s="133"/>
      <c r="D441" s="133"/>
      <c r="E441" s="133"/>
      <c r="F441" s="134"/>
      <c r="G441" s="135"/>
      <c r="H441" s="133"/>
      <c r="I441" s="133"/>
      <c r="J441" s="133"/>
      <c r="K441" s="133"/>
      <c r="L441" s="133"/>
      <c r="M441" s="136"/>
      <c r="N441" s="136"/>
      <c r="O441" s="133"/>
    </row>
    <row r="442" customFormat="false" ht="15" hidden="false" customHeight="false" outlineLevel="0" collapsed="false">
      <c r="B442" s="132"/>
      <c r="C442" s="133"/>
      <c r="D442" s="133"/>
      <c r="E442" s="133"/>
      <c r="F442" s="134"/>
      <c r="G442" s="135"/>
      <c r="H442" s="133"/>
      <c r="I442" s="133"/>
      <c r="J442" s="133"/>
      <c r="K442" s="133"/>
      <c r="L442" s="133"/>
      <c r="M442" s="136"/>
      <c r="N442" s="136"/>
      <c r="O442" s="133"/>
    </row>
    <row r="443" customFormat="false" ht="15" hidden="false" customHeight="false" outlineLevel="0" collapsed="false">
      <c r="B443" s="132"/>
      <c r="C443" s="133"/>
      <c r="D443" s="133"/>
      <c r="E443" s="133"/>
      <c r="F443" s="134"/>
      <c r="G443" s="135"/>
      <c r="H443" s="133"/>
      <c r="I443" s="133"/>
      <c r="J443" s="133"/>
      <c r="K443" s="133"/>
      <c r="L443" s="133"/>
      <c r="M443" s="136"/>
      <c r="N443" s="136"/>
      <c r="O443" s="133"/>
    </row>
    <row r="444" customFormat="false" ht="15" hidden="false" customHeight="false" outlineLevel="0" collapsed="false">
      <c r="B444" s="132"/>
      <c r="C444" s="133"/>
      <c r="D444" s="133"/>
      <c r="E444" s="133"/>
      <c r="F444" s="134"/>
      <c r="G444" s="135"/>
      <c r="H444" s="133"/>
      <c r="I444" s="133"/>
      <c r="J444" s="133"/>
      <c r="K444" s="133"/>
      <c r="L444" s="133"/>
      <c r="M444" s="136"/>
      <c r="N444" s="136"/>
      <c r="O444" s="133"/>
    </row>
    <row r="445" customFormat="false" ht="15" hidden="false" customHeight="false" outlineLevel="0" collapsed="false">
      <c r="B445" s="132"/>
      <c r="C445" s="133"/>
      <c r="D445" s="133"/>
      <c r="E445" s="133"/>
      <c r="F445" s="134"/>
      <c r="G445" s="135"/>
      <c r="H445" s="133"/>
      <c r="I445" s="133"/>
      <c r="J445" s="133"/>
      <c r="K445" s="133"/>
      <c r="L445" s="133"/>
      <c r="M445" s="136"/>
      <c r="N445" s="136"/>
      <c r="O445" s="133"/>
    </row>
    <row r="446" customFormat="false" ht="15" hidden="false" customHeight="false" outlineLevel="0" collapsed="false">
      <c r="B446" s="132"/>
      <c r="C446" s="133"/>
      <c r="D446" s="133"/>
      <c r="E446" s="133"/>
      <c r="F446" s="134"/>
      <c r="G446" s="135"/>
      <c r="H446" s="133"/>
      <c r="I446" s="133"/>
      <c r="J446" s="133"/>
      <c r="K446" s="133"/>
      <c r="L446" s="133"/>
      <c r="M446" s="136"/>
      <c r="N446" s="136"/>
      <c r="O446" s="133"/>
    </row>
    <row r="447" customFormat="false" ht="15" hidden="false" customHeight="false" outlineLevel="0" collapsed="false">
      <c r="B447" s="132"/>
      <c r="C447" s="133"/>
      <c r="D447" s="133"/>
      <c r="E447" s="133"/>
      <c r="F447" s="134"/>
      <c r="G447" s="135"/>
      <c r="H447" s="133"/>
      <c r="I447" s="133"/>
      <c r="J447" s="133"/>
      <c r="K447" s="133"/>
      <c r="L447" s="133"/>
      <c r="M447" s="136"/>
      <c r="N447" s="136"/>
      <c r="O447" s="133"/>
    </row>
    <row r="448" customFormat="false" ht="15" hidden="false" customHeight="false" outlineLevel="0" collapsed="false">
      <c r="B448" s="132"/>
      <c r="C448" s="133"/>
      <c r="D448" s="133"/>
      <c r="E448" s="133"/>
      <c r="F448" s="134"/>
      <c r="G448" s="135"/>
      <c r="H448" s="133"/>
      <c r="I448" s="133"/>
      <c r="J448" s="133"/>
      <c r="K448" s="133"/>
      <c r="L448" s="133"/>
      <c r="M448" s="136"/>
      <c r="N448" s="136"/>
      <c r="O448" s="133"/>
    </row>
    <row r="449" customFormat="false" ht="15" hidden="false" customHeight="false" outlineLevel="0" collapsed="false">
      <c r="B449" s="132"/>
      <c r="C449" s="133"/>
      <c r="D449" s="133"/>
      <c r="E449" s="133"/>
      <c r="F449" s="134"/>
      <c r="G449" s="135"/>
      <c r="H449" s="133"/>
      <c r="I449" s="133"/>
      <c r="J449" s="133"/>
      <c r="K449" s="133"/>
      <c r="L449" s="133"/>
      <c r="M449" s="136"/>
      <c r="N449" s="136"/>
      <c r="O449" s="133"/>
    </row>
    <row r="450" customFormat="false" ht="15" hidden="false" customHeight="false" outlineLevel="0" collapsed="false">
      <c r="B450" s="132"/>
      <c r="C450" s="133"/>
      <c r="D450" s="133"/>
      <c r="E450" s="133"/>
      <c r="F450" s="134"/>
      <c r="G450" s="135"/>
      <c r="H450" s="133"/>
      <c r="I450" s="133"/>
      <c r="J450" s="133"/>
      <c r="K450" s="133"/>
      <c r="L450" s="133"/>
      <c r="M450" s="136"/>
      <c r="N450" s="136"/>
      <c r="O450" s="133"/>
    </row>
    <row r="451" customFormat="false" ht="15" hidden="false" customHeight="false" outlineLevel="0" collapsed="false">
      <c r="B451" s="132"/>
      <c r="C451" s="133"/>
      <c r="D451" s="133"/>
      <c r="E451" s="133"/>
      <c r="F451" s="134"/>
      <c r="G451" s="135"/>
      <c r="H451" s="133"/>
      <c r="I451" s="133"/>
      <c r="J451" s="133"/>
      <c r="K451" s="133"/>
      <c r="L451" s="133"/>
      <c r="M451" s="136"/>
      <c r="N451" s="136"/>
      <c r="O451" s="133"/>
    </row>
    <row r="452" customFormat="false" ht="15" hidden="false" customHeight="false" outlineLevel="0" collapsed="false">
      <c r="B452" s="132"/>
      <c r="C452" s="133"/>
      <c r="D452" s="133"/>
      <c r="E452" s="133"/>
      <c r="F452" s="134"/>
      <c r="G452" s="135"/>
      <c r="H452" s="133"/>
      <c r="I452" s="133"/>
      <c r="J452" s="133"/>
      <c r="K452" s="133"/>
      <c r="L452" s="133"/>
      <c r="M452" s="136"/>
      <c r="N452" s="136"/>
      <c r="O452" s="133"/>
    </row>
    <row r="453" customFormat="false" ht="15" hidden="false" customHeight="false" outlineLevel="0" collapsed="false">
      <c r="B453" s="132"/>
      <c r="C453" s="133"/>
      <c r="D453" s="133"/>
      <c r="E453" s="133"/>
      <c r="F453" s="134"/>
      <c r="G453" s="135"/>
      <c r="H453" s="133"/>
      <c r="I453" s="133"/>
      <c r="J453" s="133"/>
      <c r="K453" s="133"/>
      <c r="L453" s="133"/>
      <c r="M453" s="136"/>
      <c r="N453" s="136"/>
      <c r="O453" s="133"/>
    </row>
    <row r="454" customFormat="false" ht="15" hidden="false" customHeight="false" outlineLevel="0" collapsed="false">
      <c r="B454" s="132"/>
      <c r="C454" s="133"/>
      <c r="D454" s="133"/>
      <c r="E454" s="133"/>
      <c r="F454" s="134"/>
      <c r="G454" s="135"/>
      <c r="H454" s="133"/>
      <c r="I454" s="133"/>
      <c r="J454" s="133"/>
      <c r="K454" s="133"/>
      <c r="L454" s="133"/>
      <c r="M454" s="136"/>
      <c r="N454" s="136"/>
      <c r="O454" s="133"/>
    </row>
    <row r="455" customFormat="false" ht="15" hidden="false" customHeight="false" outlineLevel="0" collapsed="false">
      <c r="B455" s="132"/>
      <c r="C455" s="133"/>
      <c r="D455" s="133"/>
      <c r="E455" s="133"/>
      <c r="F455" s="134"/>
      <c r="G455" s="135"/>
      <c r="H455" s="133"/>
      <c r="I455" s="133"/>
      <c r="J455" s="133"/>
      <c r="K455" s="133"/>
      <c r="L455" s="133"/>
      <c r="M455" s="136"/>
      <c r="N455" s="136"/>
      <c r="O455" s="133"/>
    </row>
    <row r="456" customFormat="false" ht="15" hidden="false" customHeight="false" outlineLevel="0" collapsed="false">
      <c r="B456" s="132"/>
      <c r="C456" s="133"/>
      <c r="D456" s="133"/>
      <c r="E456" s="133"/>
      <c r="F456" s="134"/>
      <c r="G456" s="135"/>
      <c r="H456" s="133"/>
      <c r="I456" s="133"/>
      <c r="J456" s="133"/>
      <c r="K456" s="133"/>
      <c r="L456" s="133"/>
      <c r="M456" s="136"/>
      <c r="N456" s="136"/>
      <c r="O456" s="133"/>
    </row>
    <row r="457" customFormat="false" ht="15" hidden="false" customHeight="false" outlineLevel="0" collapsed="false">
      <c r="B457" s="132"/>
      <c r="C457" s="133"/>
      <c r="D457" s="133"/>
      <c r="E457" s="133"/>
      <c r="F457" s="134"/>
      <c r="G457" s="135"/>
      <c r="H457" s="133"/>
      <c r="I457" s="133"/>
      <c r="J457" s="133"/>
      <c r="K457" s="133"/>
      <c r="L457" s="133"/>
      <c r="M457" s="136"/>
      <c r="N457" s="136"/>
      <c r="O457" s="133"/>
    </row>
    <row r="458" customFormat="false" ht="15" hidden="false" customHeight="false" outlineLevel="0" collapsed="false">
      <c r="B458" s="132"/>
      <c r="C458" s="133"/>
      <c r="D458" s="133"/>
      <c r="E458" s="133"/>
      <c r="F458" s="134"/>
      <c r="G458" s="135"/>
      <c r="H458" s="133"/>
      <c r="I458" s="133"/>
      <c r="J458" s="133"/>
      <c r="K458" s="133"/>
      <c r="L458" s="133"/>
      <c r="M458" s="136"/>
      <c r="N458" s="136"/>
      <c r="O458" s="133"/>
    </row>
    <row r="459" customFormat="false" ht="15" hidden="false" customHeight="false" outlineLevel="0" collapsed="false">
      <c r="B459" s="132"/>
      <c r="C459" s="133"/>
      <c r="D459" s="133"/>
      <c r="E459" s="133"/>
      <c r="F459" s="134"/>
      <c r="G459" s="135"/>
      <c r="H459" s="133"/>
      <c r="I459" s="133"/>
      <c r="J459" s="133"/>
      <c r="K459" s="133"/>
      <c r="L459" s="133"/>
      <c r="M459" s="136"/>
      <c r="N459" s="136"/>
      <c r="O459" s="133"/>
    </row>
    <row r="460" customFormat="false" ht="15" hidden="false" customHeight="false" outlineLevel="0" collapsed="false">
      <c r="B460" s="132"/>
      <c r="C460" s="133"/>
      <c r="D460" s="133"/>
      <c r="E460" s="133"/>
      <c r="F460" s="134"/>
      <c r="G460" s="135"/>
      <c r="H460" s="133"/>
      <c r="I460" s="133"/>
      <c r="J460" s="133"/>
      <c r="K460" s="133"/>
      <c r="L460" s="133"/>
      <c r="M460" s="136"/>
      <c r="N460" s="136"/>
      <c r="O460" s="133"/>
    </row>
    <row r="461" customFormat="false" ht="15" hidden="false" customHeight="false" outlineLevel="0" collapsed="false">
      <c r="B461" s="132"/>
      <c r="C461" s="133"/>
      <c r="D461" s="133"/>
      <c r="E461" s="133"/>
      <c r="F461" s="134"/>
      <c r="G461" s="135"/>
      <c r="H461" s="133"/>
      <c r="I461" s="133"/>
      <c r="J461" s="133"/>
      <c r="K461" s="133"/>
      <c r="L461" s="133"/>
      <c r="M461" s="136"/>
      <c r="N461" s="136"/>
      <c r="O461" s="133"/>
    </row>
    <row r="462" customFormat="false" ht="15" hidden="false" customHeight="false" outlineLevel="0" collapsed="false">
      <c r="B462" s="132"/>
      <c r="C462" s="133"/>
      <c r="D462" s="133"/>
      <c r="E462" s="133"/>
      <c r="F462" s="134"/>
      <c r="G462" s="135"/>
      <c r="H462" s="133"/>
      <c r="I462" s="133"/>
      <c r="J462" s="133"/>
      <c r="K462" s="133"/>
      <c r="L462" s="133"/>
      <c r="M462" s="136"/>
      <c r="N462" s="136"/>
      <c r="O462" s="133"/>
    </row>
    <row r="463" customFormat="false" ht="15" hidden="false" customHeight="false" outlineLevel="0" collapsed="false">
      <c r="B463" s="132"/>
      <c r="C463" s="133"/>
      <c r="D463" s="133"/>
      <c r="E463" s="133"/>
      <c r="F463" s="134"/>
      <c r="G463" s="135"/>
      <c r="H463" s="133"/>
      <c r="I463" s="133"/>
      <c r="J463" s="133"/>
      <c r="K463" s="133"/>
      <c r="L463" s="133"/>
      <c r="M463" s="136"/>
      <c r="N463" s="136"/>
      <c r="O463" s="133"/>
    </row>
    <row r="464" customFormat="false" ht="15" hidden="false" customHeight="false" outlineLevel="0" collapsed="false">
      <c r="B464" s="132"/>
      <c r="C464" s="133"/>
      <c r="D464" s="133"/>
      <c r="E464" s="133"/>
      <c r="F464" s="134"/>
      <c r="G464" s="135"/>
      <c r="H464" s="133"/>
      <c r="I464" s="133"/>
      <c r="J464" s="133"/>
      <c r="K464" s="133"/>
      <c r="L464" s="133"/>
      <c r="M464" s="136"/>
      <c r="N464" s="136"/>
      <c r="O464" s="133"/>
    </row>
    <row r="465" customFormat="false" ht="15" hidden="false" customHeight="false" outlineLevel="0" collapsed="false">
      <c r="B465" s="132"/>
      <c r="C465" s="133"/>
      <c r="D465" s="133"/>
      <c r="E465" s="133"/>
      <c r="F465" s="134"/>
      <c r="G465" s="135"/>
      <c r="H465" s="133"/>
      <c r="I465" s="133"/>
      <c r="J465" s="133"/>
      <c r="K465" s="133"/>
      <c r="L465" s="133"/>
      <c r="M465" s="136"/>
      <c r="N465" s="136"/>
      <c r="O465" s="133"/>
    </row>
    <row r="466" customFormat="false" ht="15" hidden="false" customHeight="false" outlineLevel="0" collapsed="false">
      <c r="B466" s="132"/>
      <c r="C466" s="133"/>
      <c r="D466" s="133"/>
      <c r="E466" s="133"/>
      <c r="F466" s="134"/>
      <c r="G466" s="135"/>
      <c r="H466" s="133"/>
      <c r="I466" s="133"/>
      <c r="J466" s="133"/>
      <c r="K466" s="133"/>
      <c r="L466" s="133"/>
      <c r="M466" s="136"/>
      <c r="N466" s="136"/>
      <c r="O466" s="133"/>
    </row>
    <row r="467" customFormat="false" ht="15" hidden="false" customHeight="false" outlineLevel="0" collapsed="false">
      <c r="B467" s="132"/>
      <c r="C467" s="133"/>
      <c r="D467" s="133"/>
      <c r="E467" s="133"/>
      <c r="F467" s="134"/>
      <c r="G467" s="135"/>
      <c r="H467" s="133"/>
      <c r="I467" s="133"/>
      <c r="J467" s="133"/>
      <c r="K467" s="133"/>
      <c r="L467" s="133"/>
      <c r="M467" s="136"/>
      <c r="N467" s="136"/>
      <c r="O467" s="133"/>
    </row>
    <row r="468" customFormat="false" ht="15" hidden="false" customHeight="false" outlineLevel="0" collapsed="false">
      <c r="B468" s="132"/>
      <c r="C468" s="133"/>
      <c r="D468" s="133"/>
      <c r="E468" s="133"/>
      <c r="F468" s="134"/>
      <c r="G468" s="135"/>
      <c r="H468" s="133"/>
      <c r="I468" s="133"/>
      <c r="J468" s="133"/>
      <c r="K468" s="133"/>
      <c r="L468" s="133"/>
      <c r="M468" s="136"/>
      <c r="N468" s="136"/>
      <c r="O468" s="133"/>
    </row>
    <row r="469" customFormat="false" ht="15" hidden="false" customHeight="false" outlineLevel="0" collapsed="false">
      <c r="B469" s="132"/>
      <c r="C469" s="133"/>
      <c r="D469" s="133"/>
      <c r="E469" s="133"/>
      <c r="F469" s="134"/>
      <c r="G469" s="135"/>
      <c r="H469" s="133"/>
      <c r="I469" s="133"/>
      <c r="J469" s="133"/>
      <c r="K469" s="133"/>
      <c r="L469" s="133"/>
      <c r="M469" s="136"/>
      <c r="N469" s="136"/>
      <c r="O469" s="133"/>
    </row>
    <row r="470" customFormat="false" ht="15" hidden="false" customHeight="false" outlineLevel="0" collapsed="false">
      <c r="B470" s="132"/>
      <c r="C470" s="133"/>
      <c r="D470" s="133"/>
      <c r="E470" s="133"/>
      <c r="F470" s="134"/>
      <c r="G470" s="135"/>
      <c r="H470" s="133"/>
      <c r="I470" s="133"/>
      <c r="J470" s="133"/>
      <c r="K470" s="133"/>
      <c r="L470" s="133"/>
      <c r="M470" s="136"/>
      <c r="N470" s="136"/>
      <c r="O470" s="133"/>
    </row>
    <row r="471" customFormat="false" ht="15" hidden="false" customHeight="false" outlineLevel="0" collapsed="false">
      <c r="B471" s="132"/>
      <c r="C471" s="133"/>
      <c r="D471" s="133"/>
      <c r="E471" s="133"/>
      <c r="F471" s="134"/>
      <c r="G471" s="135"/>
      <c r="H471" s="133"/>
      <c r="I471" s="133"/>
      <c r="J471" s="133"/>
      <c r="K471" s="133"/>
      <c r="L471" s="133"/>
      <c r="M471" s="136"/>
      <c r="N471" s="136"/>
      <c r="O471" s="133"/>
    </row>
    <row r="472" customFormat="false" ht="15" hidden="false" customHeight="false" outlineLevel="0" collapsed="false">
      <c r="B472" s="132"/>
      <c r="C472" s="133"/>
      <c r="D472" s="133"/>
      <c r="E472" s="133"/>
      <c r="F472" s="134"/>
      <c r="G472" s="135"/>
      <c r="H472" s="133"/>
      <c r="I472" s="133"/>
      <c r="J472" s="133"/>
      <c r="K472" s="133"/>
      <c r="L472" s="133"/>
      <c r="M472" s="136"/>
      <c r="N472" s="136"/>
      <c r="O472" s="133"/>
    </row>
    <row r="473" customFormat="false" ht="15" hidden="false" customHeight="false" outlineLevel="0" collapsed="false">
      <c r="B473" s="132"/>
      <c r="C473" s="133"/>
      <c r="D473" s="133"/>
      <c r="E473" s="133"/>
      <c r="F473" s="134"/>
      <c r="G473" s="135"/>
      <c r="H473" s="133"/>
      <c r="I473" s="133"/>
      <c r="J473" s="133"/>
      <c r="K473" s="133"/>
      <c r="L473" s="133"/>
      <c r="M473" s="136"/>
      <c r="N473" s="136"/>
      <c r="O473" s="133"/>
    </row>
    <row r="474" customFormat="false" ht="15" hidden="false" customHeight="false" outlineLevel="0" collapsed="false">
      <c r="B474" s="132"/>
      <c r="C474" s="133"/>
      <c r="D474" s="133"/>
      <c r="E474" s="133"/>
      <c r="F474" s="134"/>
      <c r="G474" s="135"/>
      <c r="H474" s="133"/>
      <c r="I474" s="133"/>
      <c r="J474" s="133"/>
      <c r="K474" s="133"/>
      <c r="L474" s="133"/>
      <c r="M474" s="136"/>
      <c r="N474" s="136"/>
      <c r="O474" s="133"/>
    </row>
    <row r="475" customFormat="false" ht="15" hidden="false" customHeight="false" outlineLevel="0" collapsed="false">
      <c r="B475" s="132"/>
      <c r="C475" s="133"/>
      <c r="D475" s="133"/>
      <c r="E475" s="133"/>
      <c r="F475" s="134"/>
      <c r="G475" s="135"/>
      <c r="H475" s="133"/>
      <c r="I475" s="133"/>
      <c r="J475" s="133"/>
      <c r="K475" s="133"/>
      <c r="L475" s="133"/>
      <c r="M475" s="136"/>
      <c r="N475" s="136"/>
      <c r="O475" s="133"/>
    </row>
    <row r="476" customFormat="false" ht="15" hidden="false" customHeight="false" outlineLevel="0" collapsed="false">
      <c r="B476" s="132"/>
      <c r="C476" s="133"/>
      <c r="D476" s="133"/>
      <c r="E476" s="133"/>
      <c r="F476" s="134"/>
      <c r="G476" s="135"/>
      <c r="H476" s="133"/>
      <c r="I476" s="133"/>
      <c r="J476" s="133"/>
      <c r="K476" s="133"/>
      <c r="L476" s="133"/>
      <c r="M476" s="136"/>
      <c r="N476" s="136"/>
      <c r="O476" s="133"/>
    </row>
    <row r="477" customFormat="false" ht="15" hidden="false" customHeight="false" outlineLevel="0" collapsed="false">
      <c r="B477" s="132"/>
      <c r="C477" s="133"/>
      <c r="D477" s="133"/>
      <c r="E477" s="133"/>
      <c r="F477" s="134"/>
      <c r="G477" s="135"/>
      <c r="H477" s="133"/>
      <c r="I477" s="133"/>
      <c r="J477" s="133"/>
      <c r="K477" s="133"/>
      <c r="L477" s="133"/>
      <c r="M477" s="136"/>
      <c r="N477" s="136"/>
      <c r="O477" s="133"/>
    </row>
    <row r="478" customFormat="false" ht="15" hidden="false" customHeight="false" outlineLevel="0" collapsed="false">
      <c r="B478" s="132"/>
      <c r="C478" s="133"/>
      <c r="D478" s="133"/>
      <c r="E478" s="133"/>
      <c r="F478" s="134"/>
      <c r="G478" s="135"/>
      <c r="H478" s="133"/>
      <c r="I478" s="133"/>
      <c r="J478" s="133"/>
      <c r="K478" s="133"/>
      <c r="L478" s="133"/>
      <c r="M478" s="136"/>
      <c r="N478" s="136"/>
      <c r="O478" s="133"/>
    </row>
    <row r="479" customFormat="false" ht="15" hidden="false" customHeight="false" outlineLevel="0" collapsed="false">
      <c r="B479" s="132"/>
      <c r="C479" s="133"/>
      <c r="D479" s="133"/>
      <c r="E479" s="133"/>
      <c r="F479" s="134"/>
      <c r="G479" s="135"/>
      <c r="H479" s="133"/>
      <c r="I479" s="133"/>
      <c r="J479" s="133"/>
      <c r="K479" s="133"/>
      <c r="L479" s="133"/>
      <c r="M479" s="136"/>
      <c r="N479" s="136"/>
      <c r="O479" s="133"/>
    </row>
    <row r="480" customFormat="false" ht="15" hidden="false" customHeight="false" outlineLevel="0" collapsed="false">
      <c r="B480" s="132"/>
      <c r="C480" s="133"/>
      <c r="D480" s="133"/>
      <c r="E480" s="133"/>
      <c r="F480" s="134"/>
      <c r="G480" s="135"/>
      <c r="H480" s="133"/>
      <c r="I480" s="133"/>
      <c r="J480" s="133"/>
      <c r="K480" s="133"/>
      <c r="L480" s="133"/>
      <c r="M480" s="136"/>
      <c r="N480" s="136"/>
      <c r="O480" s="133"/>
    </row>
    <row r="481" customFormat="false" ht="15" hidden="false" customHeight="false" outlineLevel="0" collapsed="false">
      <c r="B481" s="132"/>
      <c r="C481" s="133"/>
      <c r="D481" s="133"/>
      <c r="E481" s="133"/>
      <c r="F481" s="134"/>
      <c r="G481" s="135"/>
      <c r="H481" s="133"/>
      <c r="I481" s="133"/>
      <c r="J481" s="133"/>
      <c r="K481" s="133"/>
      <c r="L481" s="133"/>
      <c r="M481" s="136"/>
      <c r="N481" s="136"/>
      <c r="O481" s="133"/>
    </row>
    <row r="482" customFormat="false" ht="15" hidden="false" customHeight="false" outlineLevel="0" collapsed="false">
      <c r="B482" s="132"/>
      <c r="C482" s="133"/>
      <c r="D482" s="133"/>
      <c r="E482" s="133"/>
      <c r="F482" s="134"/>
      <c r="G482" s="135"/>
      <c r="H482" s="133"/>
      <c r="I482" s="133"/>
      <c r="J482" s="133"/>
      <c r="K482" s="133"/>
      <c r="L482" s="133"/>
      <c r="M482" s="136"/>
      <c r="N482" s="136"/>
      <c r="O482" s="133"/>
    </row>
    <row r="483" customFormat="false" ht="15" hidden="false" customHeight="false" outlineLevel="0" collapsed="false">
      <c r="B483" s="132"/>
      <c r="C483" s="133"/>
      <c r="D483" s="133"/>
      <c r="E483" s="133"/>
      <c r="F483" s="134"/>
      <c r="G483" s="135"/>
      <c r="H483" s="133"/>
      <c r="I483" s="133"/>
      <c r="J483" s="133"/>
      <c r="K483" s="133"/>
      <c r="L483" s="133"/>
      <c r="M483" s="136"/>
      <c r="N483" s="136"/>
      <c r="O483" s="133"/>
    </row>
    <row r="484" customFormat="false" ht="15" hidden="false" customHeight="false" outlineLevel="0" collapsed="false">
      <c r="B484" s="132"/>
      <c r="C484" s="133"/>
      <c r="D484" s="133"/>
      <c r="E484" s="133"/>
      <c r="F484" s="134"/>
      <c r="G484" s="135"/>
      <c r="H484" s="133"/>
      <c r="I484" s="133"/>
      <c r="J484" s="133"/>
      <c r="K484" s="133"/>
      <c r="L484" s="133"/>
      <c r="M484" s="136"/>
      <c r="N484" s="136"/>
      <c r="O484" s="133"/>
    </row>
    <row r="485" customFormat="false" ht="15" hidden="false" customHeight="false" outlineLevel="0" collapsed="false">
      <c r="B485" s="132"/>
      <c r="C485" s="133"/>
      <c r="D485" s="133"/>
      <c r="E485" s="133"/>
      <c r="F485" s="134"/>
      <c r="G485" s="135"/>
      <c r="H485" s="133"/>
      <c r="I485" s="133"/>
      <c r="J485" s="133"/>
      <c r="K485" s="133"/>
      <c r="L485" s="133"/>
      <c r="M485" s="136"/>
      <c r="N485" s="136"/>
      <c r="O485" s="133"/>
    </row>
    <row r="486" customFormat="false" ht="15" hidden="false" customHeight="false" outlineLevel="0" collapsed="false">
      <c r="B486" s="132"/>
      <c r="C486" s="133"/>
      <c r="D486" s="133"/>
      <c r="E486" s="133"/>
      <c r="F486" s="134"/>
      <c r="G486" s="135"/>
      <c r="H486" s="133"/>
      <c r="I486" s="133"/>
      <c r="J486" s="133"/>
      <c r="K486" s="133"/>
      <c r="L486" s="133"/>
      <c r="M486" s="136"/>
      <c r="N486" s="136"/>
      <c r="O486" s="133"/>
    </row>
    <row r="487" customFormat="false" ht="15" hidden="false" customHeight="false" outlineLevel="0" collapsed="false">
      <c r="B487" s="132"/>
      <c r="C487" s="133"/>
      <c r="D487" s="133"/>
      <c r="E487" s="133"/>
      <c r="F487" s="134"/>
      <c r="G487" s="135"/>
      <c r="H487" s="133"/>
      <c r="I487" s="133"/>
      <c r="J487" s="133"/>
      <c r="K487" s="133"/>
      <c r="L487" s="133"/>
      <c r="M487" s="136"/>
      <c r="N487" s="136"/>
      <c r="O487" s="133"/>
    </row>
    <row r="488" customFormat="false" ht="15" hidden="false" customHeight="false" outlineLevel="0" collapsed="false">
      <c r="B488" s="132"/>
      <c r="C488" s="133"/>
      <c r="D488" s="133"/>
      <c r="E488" s="133"/>
      <c r="F488" s="134"/>
      <c r="G488" s="135"/>
      <c r="H488" s="133"/>
      <c r="I488" s="133"/>
      <c r="J488" s="133"/>
      <c r="K488" s="133"/>
      <c r="L488" s="133"/>
      <c r="M488" s="136"/>
      <c r="N488" s="136"/>
      <c r="O488" s="133"/>
    </row>
    <row r="489" customFormat="false" ht="15" hidden="false" customHeight="false" outlineLevel="0" collapsed="false">
      <c r="B489" s="132"/>
      <c r="C489" s="133"/>
      <c r="D489" s="133"/>
      <c r="E489" s="133"/>
      <c r="F489" s="134"/>
      <c r="G489" s="135"/>
      <c r="H489" s="133"/>
      <c r="I489" s="133"/>
      <c r="J489" s="133"/>
      <c r="K489" s="133"/>
      <c r="L489" s="133"/>
      <c r="M489" s="136"/>
      <c r="N489" s="136"/>
      <c r="O489" s="133"/>
    </row>
    <row r="490" customFormat="false" ht="15" hidden="false" customHeight="false" outlineLevel="0" collapsed="false">
      <c r="B490" s="132"/>
      <c r="C490" s="133"/>
      <c r="D490" s="133"/>
      <c r="E490" s="133"/>
      <c r="F490" s="134"/>
      <c r="G490" s="135"/>
      <c r="H490" s="133"/>
      <c r="I490" s="133"/>
      <c r="J490" s="133"/>
      <c r="K490" s="133"/>
      <c r="L490" s="133"/>
      <c r="M490" s="136"/>
      <c r="N490" s="136"/>
      <c r="O490" s="133"/>
    </row>
    <row r="491" customFormat="false" ht="15" hidden="false" customHeight="false" outlineLevel="0" collapsed="false">
      <c r="B491" s="132"/>
      <c r="C491" s="133"/>
      <c r="D491" s="133"/>
      <c r="E491" s="133"/>
      <c r="F491" s="134"/>
      <c r="G491" s="135"/>
      <c r="H491" s="133"/>
      <c r="I491" s="133"/>
      <c r="J491" s="133"/>
      <c r="K491" s="133"/>
      <c r="L491" s="133"/>
      <c r="M491" s="136"/>
      <c r="N491" s="136"/>
      <c r="O491" s="133"/>
    </row>
    <row r="492" customFormat="false" ht="15" hidden="false" customHeight="false" outlineLevel="0" collapsed="false">
      <c r="B492" s="132"/>
      <c r="C492" s="133"/>
      <c r="D492" s="133"/>
      <c r="E492" s="133"/>
      <c r="F492" s="134"/>
      <c r="G492" s="135"/>
      <c r="H492" s="133"/>
      <c r="I492" s="133"/>
      <c r="J492" s="133"/>
      <c r="K492" s="133"/>
      <c r="L492" s="133"/>
      <c r="M492" s="136"/>
      <c r="N492" s="136"/>
      <c r="O492" s="133"/>
    </row>
    <row r="493" customFormat="false" ht="15" hidden="false" customHeight="false" outlineLevel="0" collapsed="false">
      <c r="B493" s="132"/>
      <c r="C493" s="133"/>
      <c r="D493" s="133"/>
      <c r="E493" s="133"/>
      <c r="F493" s="134"/>
      <c r="G493" s="135"/>
      <c r="H493" s="133"/>
      <c r="I493" s="133"/>
      <c r="J493" s="133"/>
      <c r="K493" s="133"/>
      <c r="L493" s="133"/>
      <c r="M493" s="136"/>
      <c r="N493" s="136"/>
      <c r="O493" s="133"/>
    </row>
    <row r="494" customFormat="false" ht="15" hidden="false" customHeight="false" outlineLevel="0" collapsed="false">
      <c r="B494" s="132"/>
      <c r="C494" s="133"/>
      <c r="D494" s="133"/>
      <c r="E494" s="133"/>
      <c r="F494" s="134"/>
      <c r="G494" s="135"/>
      <c r="H494" s="133"/>
      <c r="I494" s="133"/>
      <c r="J494" s="133"/>
      <c r="K494" s="133"/>
      <c r="L494" s="133"/>
      <c r="M494" s="136"/>
      <c r="N494" s="136"/>
      <c r="O494" s="133"/>
    </row>
    <row r="495" customFormat="false" ht="15" hidden="false" customHeight="false" outlineLevel="0" collapsed="false">
      <c r="B495" s="132"/>
      <c r="C495" s="133"/>
      <c r="D495" s="133"/>
      <c r="E495" s="133"/>
      <c r="F495" s="134"/>
      <c r="G495" s="135"/>
      <c r="H495" s="133"/>
      <c r="I495" s="133"/>
      <c r="J495" s="133"/>
      <c r="K495" s="133"/>
      <c r="L495" s="133"/>
      <c r="M495" s="136"/>
      <c r="N495" s="136"/>
      <c r="O495" s="133"/>
    </row>
    <row r="496" customFormat="false" ht="15" hidden="false" customHeight="false" outlineLevel="0" collapsed="false">
      <c r="B496" s="132"/>
      <c r="C496" s="133"/>
      <c r="D496" s="133"/>
      <c r="E496" s="133"/>
      <c r="F496" s="134"/>
      <c r="G496" s="135"/>
      <c r="H496" s="133"/>
      <c r="I496" s="133"/>
      <c r="J496" s="133"/>
      <c r="K496" s="133"/>
      <c r="L496" s="133"/>
      <c r="M496" s="136"/>
      <c r="N496" s="136"/>
      <c r="O496" s="133"/>
    </row>
    <row r="497" customFormat="false" ht="15" hidden="false" customHeight="false" outlineLevel="0" collapsed="false">
      <c r="B497" s="132"/>
      <c r="C497" s="133"/>
      <c r="D497" s="133"/>
      <c r="E497" s="133"/>
      <c r="F497" s="134"/>
      <c r="G497" s="135"/>
      <c r="H497" s="133"/>
      <c r="I497" s="133"/>
      <c r="J497" s="133"/>
      <c r="K497" s="133"/>
      <c r="L497" s="133"/>
      <c r="M497" s="136"/>
      <c r="N497" s="136"/>
      <c r="O497" s="133"/>
    </row>
    <row r="498" customFormat="false" ht="15" hidden="false" customHeight="false" outlineLevel="0" collapsed="false">
      <c r="B498" s="132"/>
      <c r="C498" s="133"/>
      <c r="D498" s="133"/>
      <c r="E498" s="133"/>
      <c r="F498" s="134"/>
      <c r="G498" s="135"/>
      <c r="H498" s="133"/>
      <c r="I498" s="133"/>
      <c r="J498" s="133"/>
      <c r="K498" s="133"/>
      <c r="L498" s="133"/>
      <c r="M498" s="136"/>
      <c r="N498" s="136"/>
      <c r="O498" s="133"/>
    </row>
    <row r="499" customFormat="false" ht="15" hidden="false" customHeight="false" outlineLevel="0" collapsed="false">
      <c r="B499" s="132"/>
      <c r="C499" s="133"/>
      <c r="D499" s="133"/>
      <c r="E499" s="133"/>
      <c r="F499" s="134"/>
      <c r="G499" s="135"/>
      <c r="H499" s="133"/>
      <c r="I499" s="133"/>
      <c r="J499" s="133"/>
      <c r="K499" s="133"/>
      <c r="L499" s="133"/>
      <c r="M499" s="136"/>
      <c r="N499" s="136"/>
      <c r="O499" s="133"/>
    </row>
    <row r="500" customFormat="false" ht="15" hidden="false" customHeight="false" outlineLevel="0" collapsed="false">
      <c r="B500" s="132"/>
      <c r="C500" s="133"/>
      <c r="D500" s="133"/>
      <c r="E500" s="133"/>
      <c r="F500" s="134"/>
      <c r="G500" s="135"/>
      <c r="H500" s="133"/>
      <c r="I500" s="133"/>
      <c r="J500" s="133"/>
      <c r="K500" s="133"/>
      <c r="L500" s="133"/>
      <c r="M500" s="136"/>
      <c r="N500" s="136"/>
      <c r="O500" s="133"/>
    </row>
    <row r="501" customFormat="false" ht="15" hidden="false" customHeight="false" outlineLevel="0" collapsed="false">
      <c r="B501" s="132"/>
      <c r="C501" s="133"/>
      <c r="D501" s="133"/>
      <c r="E501" s="133"/>
      <c r="F501" s="134"/>
      <c r="G501" s="135"/>
      <c r="H501" s="133"/>
      <c r="I501" s="133"/>
      <c r="J501" s="133"/>
      <c r="K501" s="133"/>
      <c r="L501" s="133"/>
      <c r="M501" s="136"/>
      <c r="N501" s="136"/>
      <c r="O501" s="133"/>
    </row>
    <row r="502" customFormat="false" ht="15" hidden="false" customHeight="false" outlineLevel="0" collapsed="false">
      <c r="B502" s="132"/>
      <c r="C502" s="133"/>
      <c r="D502" s="133"/>
      <c r="E502" s="133"/>
      <c r="F502" s="134"/>
      <c r="G502" s="135"/>
      <c r="H502" s="133"/>
      <c r="I502" s="133"/>
      <c r="J502" s="133"/>
      <c r="K502" s="133"/>
      <c r="L502" s="133"/>
      <c r="M502" s="136"/>
      <c r="N502" s="136"/>
      <c r="O502" s="133"/>
    </row>
    <row r="503" customFormat="false" ht="15" hidden="false" customHeight="false" outlineLevel="0" collapsed="false">
      <c r="B503" s="132"/>
      <c r="C503" s="133"/>
      <c r="D503" s="133"/>
      <c r="E503" s="133"/>
      <c r="F503" s="134"/>
      <c r="G503" s="135"/>
      <c r="H503" s="133"/>
      <c r="I503" s="133"/>
      <c r="J503" s="133"/>
      <c r="K503" s="133"/>
      <c r="L503" s="133"/>
      <c r="M503" s="136"/>
      <c r="N503" s="136"/>
      <c r="O503" s="133"/>
    </row>
    <row r="504" customFormat="false" ht="15" hidden="false" customHeight="false" outlineLevel="0" collapsed="false">
      <c r="B504" s="132"/>
      <c r="C504" s="133"/>
      <c r="D504" s="133"/>
      <c r="E504" s="133"/>
      <c r="F504" s="134"/>
      <c r="G504" s="135"/>
      <c r="H504" s="133"/>
      <c r="I504" s="133"/>
      <c r="J504" s="133"/>
      <c r="K504" s="133"/>
      <c r="L504" s="133"/>
      <c r="M504" s="136"/>
      <c r="N504" s="136"/>
      <c r="O504" s="133"/>
    </row>
    <row r="505" customFormat="false" ht="15" hidden="false" customHeight="false" outlineLevel="0" collapsed="false">
      <c r="B505" s="132"/>
      <c r="C505" s="133"/>
      <c r="D505" s="133"/>
      <c r="E505" s="133"/>
      <c r="F505" s="134"/>
      <c r="G505" s="135"/>
      <c r="H505" s="133"/>
      <c r="I505" s="133"/>
      <c r="J505" s="133"/>
      <c r="K505" s="133"/>
      <c r="L505" s="133"/>
      <c r="M505" s="136"/>
      <c r="N505" s="136"/>
      <c r="O505" s="133"/>
    </row>
    <row r="506" customFormat="false" ht="15" hidden="false" customHeight="false" outlineLevel="0" collapsed="false">
      <c r="B506" s="132"/>
      <c r="C506" s="133"/>
      <c r="D506" s="133"/>
      <c r="E506" s="133"/>
      <c r="F506" s="134"/>
      <c r="G506" s="135"/>
      <c r="H506" s="133"/>
      <c r="I506" s="133"/>
      <c r="J506" s="133"/>
      <c r="K506" s="133"/>
      <c r="L506" s="133"/>
      <c r="M506" s="136"/>
      <c r="N506" s="136"/>
      <c r="O506" s="133"/>
    </row>
    <row r="507" customFormat="false" ht="15" hidden="false" customHeight="false" outlineLevel="0" collapsed="false">
      <c r="B507" s="132"/>
      <c r="C507" s="133"/>
      <c r="D507" s="133"/>
      <c r="E507" s="133"/>
      <c r="F507" s="134"/>
      <c r="G507" s="135"/>
      <c r="H507" s="133"/>
      <c r="I507" s="133"/>
      <c r="J507" s="133"/>
      <c r="K507" s="133"/>
      <c r="L507" s="133"/>
      <c r="M507" s="136"/>
      <c r="N507" s="136"/>
      <c r="O507" s="133"/>
    </row>
    <row r="508" customFormat="false" ht="15" hidden="false" customHeight="false" outlineLevel="0" collapsed="false">
      <c r="B508" s="132"/>
      <c r="C508" s="133"/>
      <c r="D508" s="133"/>
      <c r="E508" s="133"/>
      <c r="F508" s="134"/>
      <c r="G508" s="135"/>
      <c r="H508" s="133"/>
      <c r="I508" s="133"/>
      <c r="J508" s="133"/>
      <c r="K508" s="133"/>
      <c r="L508" s="133"/>
      <c r="M508" s="136"/>
      <c r="N508" s="136"/>
      <c r="O508" s="133"/>
    </row>
    <row r="509" customFormat="false" ht="15" hidden="false" customHeight="false" outlineLevel="0" collapsed="false">
      <c r="B509" s="132"/>
      <c r="C509" s="133"/>
      <c r="D509" s="133"/>
      <c r="E509" s="133"/>
      <c r="F509" s="134"/>
      <c r="G509" s="135"/>
      <c r="H509" s="133"/>
      <c r="I509" s="133"/>
      <c r="J509" s="133"/>
      <c r="K509" s="133"/>
      <c r="L509" s="133"/>
      <c r="M509" s="136"/>
      <c r="N509" s="136"/>
      <c r="O509" s="133"/>
    </row>
    <row r="510" customFormat="false" ht="15" hidden="false" customHeight="false" outlineLevel="0" collapsed="false">
      <c r="B510" s="132"/>
      <c r="C510" s="133"/>
      <c r="D510" s="133"/>
      <c r="E510" s="133"/>
      <c r="F510" s="134"/>
      <c r="G510" s="135"/>
      <c r="H510" s="133"/>
      <c r="I510" s="133"/>
      <c r="J510" s="133"/>
      <c r="K510" s="133"/>
      <c r="L510" s="133"/>
      <c r="M510" s="136"/>
      <c r="N510" s="136"/>
      <c r="O510" s="133"/>
    </row>
    <row r="511" customFormat="false" ht="15" hidden="false" customHeight="false" outlineLevel="0" collapsed="false">
      <c r="B511" s="132"/>
      <c r="C511" s="133"/>
      <c r="D511" s="133"/>
      <c r="E511" s="133"/>
      <c r="F511" s="134"/>
      <c r="G511" s="135"/>
      <c r="H511" s="133"/>
      <c r="I511" s="133"/>
      <c r="J511" s="133"/>
      <c r="K511" s="133"/>
      <c r="L511" s="133"/>
      <c r="M511" s="136"/>
      <c r="N511" s="136"/>
      <c r="O511" s="133"/>
    </row>
    <row r="512" customFormat="false" ht="15" hidden="false" customHeight="false" outlineLevel="0" collapsed="false">
      <c r="B512" s="132"/>
      <c r="C512" s="133"/>
      <c r="D512" s="133"/>
      <c r="E512" s="133"/>
      <c r="F512" s="134"/>
      <c r="G512" s="135"/>
      <c r="H512" s="133"/>
      <c r="I512" s="133"/>
      <c r="J512" s="133"/>
      <c r="K512" s="133"/>
      <c r="L512" s="133"/>
      <c r="M512" s="136"/>
      <c r="N512" s="136"/>
      <c r="O512" s="133"/>
    </row>
    <row r="513" customFormat="false" ht="15" hidden="false" customHeight="false" outlineLevel="0" collapsed="false">
      <c r="B513" s="132"/>
      <c r="C513" s="133"/>
      <c r="D513" s="133"/>
      <c r="E513" s="133"/>
      <c r="F513" s="134"/>
      <c r="G513" s="135"/>
      <c r="H513" s="133"/>
      <c r="I513" s="133"/>
      <c r="J513" s="133"/>
      <c r="K513" s="133"/>
      <c r="L513" s="133"/>
      <c r="M513" s="136"/>
      <c r="N513" s="136"/>
      <c r="O513" s="133"/>
    </row>
    <row r="514" customFormat="false" ht="15" hidden="false" customHeight="false" outlineLevel="0" collapsed="false">
      <c r="B514" s="132"/>
      <c r="C514" s="133"/>
      <c r="D514" s="133"/>
      <c r="E514" s="133"/>
      <c r="F514" s="134"/>
      <c r="G514" s="135"/>
      <c r="H514" s="133"/>
      <c r="I514" s="133"/>
      <c r="J514" s="133"/>
      <c r="K514" s="133"/>
      <c r="L514" s="133"/>
      <c r="M514" s="136"/>
      <c r="N514" s="136"/>
      <c r="O514" s="133"/>
    </row>
    <row r="515" customFormat="false" ht="15" hidden="false" customHeight="false" outlineLevel="0" collapsed="false">
      <c r="B515" s="132"/>
      <c r="C515" s="133"/>
      <c r="D515" s="133"/>
      <c r="E515" s="133"/>
      <c r="F515" s="134"/>
      <c r="G515" s="135"/>
      <c r="H515" s="133"/>
      <c r="I515" s="133"/>
      <c r="J515" s="133"/>
      <c r="K515" s="133"/>
      <c r="L515" s="133"/>
      <c r="M515" s="136"/>
      <c r="N515" s="136"/>
      <c r="O515" s="133"/>
    </row>
    <row r="516" customFormat="false" ht="15" hidden="false" customHeight="false" outlineLevel="0" collapsed="false">
      <c r="B516" s="132"/>
      <c r="C516" s="133"/>
      <c r="D516" s="133"/>
      <c r="E516" s="133"/>
      <c r="F516" s="134"/>
      <c r="G516" s="135"/>
      <c r="H516" s="133"/>
      <c r="I516" s="133"/>
      <c r="J516" s="133"/>
      <c r="K516" s="133"/>
      <c r="L516" s="133"/>
      <c r="M516" s="136"/>
      <c r="N516" s="136"/>
      <c r="O516" s="133"/>
    </row>
    <row r="517" customFormat="false" ht="15" hidden="false" customHeight="false" outlineLevel="0" collapsed="false">
      <c r="B517" s="132"/>
      <c r="C517" s="133"/>
      <c r="D517" s="133"/>
      <c r="E517" s="133"/>
      <c r="F517" s="134"/>
      <c r="G517" s="135"/>
      <c r="H517" s="133"/>
      <c r="I517" s="133"/>
      <c r="J517" s="133"/>
      <c r="K517" s="133"/>
      <c r="L517" s="133"/>
      <c r="M517" s="136"/>
      <c r="N517" s="136"/>
      <c r="O517" s="133"/>
    </row>
    <row r="518" customFormat="false" ht="15" hidden="false" customHeight="false" outlineLevel="0" collapsed="false">
      <c r="B518" s="132"/>
      <c r="C518" s="133"/>
      <c r="D518" s="133"/>
      <c r="E518" s="133"/>
      <c r="F518" s="134"/>
      <c r="G518" s="135"/>
      <c r="H518" s="133"/>
      <c r="I518" s="133"/>
      <c r="J518" s="133"/>
      <c r="K518" s="133"/>
      <c r="L518" s="133"/>
      <c r="M518" s="136"/>
      <c r="N518" s="136"/>
      <c r="O518" s="133"/>
    </row>
    <row r="519" customFormat="false" ht="15" hidden="false" customHeight="false" outlineLevel="0" collapsed="false">
      <c r="B519" s="132"/>
      <c r="C519" s="133"/>
      <c r="D519" s="133"/>
      <c r="E519" s="133"/>
      <c r="F519" s="134"/>
      <c r="G519" s="135"/>
      <c r="H519" s="133"/>
      <c r="I519" s="133"/>
      <c r="J519" s="133"/>
      <c r="K519" s="133"/>
      <c r="L519" s="133"/>
      <c r="M519" s="136"/>
      <c r="N519" s="136"/>
      <c r="O519" s="133"/>
    </row>
    <row r="520" customFormat="false" ht="15" hidden="false" customHeight="false" outlineLevel="0" collapsed="false">
      <c r="B520" s="132"/>
      <c r="C520" s="133"/>
      <c r="D520" s="133"/>
      <c r="E520" s="133"/>
      <c r="F520" s="134"/>
      <c r="G520" s="135"/>
      <c r="H520" s="133"/>
      <c r="I520" s="133"/>
      <c r="J520" s="133"/>
      <c r="K520" s="133"/>
      <c r="L520" s="133"/>
      <c r="M520" s="136"/>
      <c r="N520" s="136"/>
      <c r="O520" s="133"/>
    </row>
    <row r="521" customFormat="false" ht="15" hidden="false" customHeight="false" outlineLevel="0" collapsed="false">
      <c r="B521" s="132"/>
      <c r="C521" s="133"/>
      <c r="D521" s="133"/>
      <c r="E521" s="133"/>
      <c r="F521" s="134"/>
      <c r="G521" s="135"/>
      <c r="H521" s="133"/>
      <c r="I521" s="133"/>
      <c r="J521" s="133"/>
      <c r="K521" s="133"/>
      <c r="L521" s="133"/>
      <c r="M521" s="136"/>
      <c r="N521" s="136"/>
      <c r="O521" s="133"/>
    </row>
    <row r="522" customFormat="false" ht="15" hidden="false" customHeight="false" outlineLevel="0" collapsed="false">
      <c r="B522" s="132"/>
      <c r="C522" s="133"/>
      <c r="D522" s="133"/>
      <c r="E522" s="133"/>
      <c r="F522" s="134"/>
      <c r="G522" s="135"/>
      <c r="H522" s="133"/>
      <c r="I522" s="133"/>
      <c r="J522" s="133"/>
      <c r="K522" s="133"/>
      <c r="L522" s="133"/>
      <c r="M522" s="136"/>
      <c r="N522" s="136"/>
      <c r="O522" s="133"/>
    </row>
    <row r="523" customFormat="false" ht="15" hidden="false" customHeight="false" outlineLevel="0" collapsed="false">
      <c r="B523" s="132"/>
      <c r="C523" s="133"/>
      <c r="D523" s="133"/>
      <c r="E523" s="133"/>
      <c r="F523" s="134"/>
      <c r="G523" s="135"/>
      <c r="H523" s="133"/>
      <c r="I523" s="133"/>
      <c r="J523" s="133"/>
      <c r="K523" s="133"/>
      <c r="L523" s="133"/>
      <c r="M523" s="136"/>
      <c r="N523" s="136"/>
      <c r="O523" s="133"/>
    </row>
    <row r="524" customFormat="false" ht="15" hidden="false" customHeight="false" outlineLevel="0" collapsed="false">
      <c r="B524" s="132"/>
      <c r="C524" s="133"/>
      <c r="D524" s="133"/>
      <c r="E524" s="133"/>
      <c r="F524" s="134"/>
      <c r="G524" s="135"/>
      <c r="H524" s="133"/>
      <c r="I524" s="133"/>
      <c r="J524" s="133"/>
      <c r="K524" s="133"/>
      <c r="L524" s="133"/>
      <c r="M524" s="136"/>
      <c r="N524" s="136"/>
      <c r="O524" s="133"/>
    </row>
    <row r="525" customFormat="false" ht="15" hidden="false" customHeight="false" outlineLevel="0" collapsed="false">
      <c r="B525" s="132"/>
      <c r="C525" s="133"/>
      <c r="D525" s="133"/>
      <c r="E525" s="133"/>
      <c r="F525" s="134"/>
      <c r="G525" s="135"/>
      <c r="H525" s="133"/>
      <c r="I525" s="133"/>
      <c r="J525" s="133"/>
      <c r="K525" s="133"/>
      <c r="L525" s="133"/>
      <c r="M525" s="136"/>
      <c r="N525" s="136"/>
      <c r="O525" s="133"/>
    </row>
    <row r="526" customFormat="false" ht="15" hidden="false" customHeight="false" outlineLevel="0" collapsed="false">
      <c r="B526" s="132"/>
      <c r="C526" s="133"/>
      <c r="D526" s="133"/>
      <c r="E526" s="133"/>
      <c r="F526" s="134"/>
      <c r="G526" s="135"/>
      <c r="H526" s="133"/>
      <c r="I526" s="133"/>
      <c r="J526" s="133"/>
      <c r="K526" s="133"/>
      <c r="L526" s="133"/>
      <c r="M526" s="136"/>
      <c r="N526" s="136"/>
      <c r="O526" s="133"/>
    </row>
    <row r="527" customFormat="false" ht="15" hidden="false" customHeight="false" outlineLevel="0" collapsed="false">
      <c r="B527" s="132"/>
      <c r="C527" s="133"/>
      <c r="D527" s="133"/>
      <c r="E527" s="133"/>
      <c r="F527" s="134"/>
      <c r="G527" s="135"/>
      <c r="H527" s="133"/>
      <c r="I527" s="133"/>
      <c r="J527" s="133"/>
      <c r="K527" s="133"/>
      <c r="L527" s="133"/>
      <c r="M527" s="136"/>
      <c r="N527" s="136"/>
      <c r="O527" s="133"/>
    </row>
    <row r="528" customFormat="false" ht="15" hidden="false" customHeight="false" outlineLevel="0" collapsed="false">
      <c r="B528" s="132"/>
      <c r="C528" s="133"/>
      <c r="D528" s="133"/>
      <c r="E528" s="133"/>
      <c r="F528" s="134"/>
      <c r="G528" s="135"/>
      <c r="H528" s="133"/>
      <c r="I528" s="133"/>
      <c r="J528" s="133"/>
      <c r="K528" s="133"/>
      <c r="L528" s="133"/>
      <c r="M528" s="136"/>
      <c r="N528" s="136"/>
      <c r="O528" s="133"/>
    </row>
    <row r="529" customFormat="false" ht="15" hidden="false" customHeight="false" outlineLevel="0" collapsed="false">
      <c r="B529" s="132"/>
      <c r="C529" s="133"/>
      <c r="D529" s="133"/>
      <c r="E529" s="133"/>
      <c r="F529" s="134"/>
      <c r="G529" s="135"/>
      <c r="H529" s="133"/>
      <c r="I529" s="133"/>
      <c r="J529" s="133"/>
      <c r="K529" s="133"/>
      <c r="L529" s="133"/>
      <c r="M529" s="136"/>
      <c r="N529" s="136"/>
      <c r="O529" s="133"/>
    </row>
    <row r="530" customFormat="false" ht="15" hidden="false" customHeight="false" outlineLevel="0" collapsed="false">
      <c r="B530" s="132"/>
      <c r="C530" s="133"/>
      <c r="D530" s="133"/>
      <c r="E530" s="133"/>
      <c r="F530" s="134"/>
      <c r="G530" s="135"/>
      <c r="H530" s="133"/>
      <c r="I530" s="133"/>
      <c r="J530" s="133"/>
      <c r="K530" s="133"/>
      <c r="L530" s="133"/>
      <c r="M530" s="136"/>
      <c r="N530" s="136"/>
      <c r="O530" s="133"/>
    </row>
    <row r="531" customFormat="false" ht="15" hidden="false" customHeight="false" outlineLevel="0" collapsed="false">
      <c r="B531" s="132"/>
      <c r="C531" s="133"/>
      <c r="D531" s="133"/>
      <c r="E531" s="133"/>
      <c r="F531" s="134"/>
      <c r="G531" s="135"/>
      <c r="H531" s="133"/>
      <c r="I531" s="133"/>
      <c r="J531" s="133"/>
      <c r="K531" s="133"/>
      <c r="L531" s="133"/>
      <c r="M531" s="136"/>
      <c r="N531" s="136"/>
      <c r="O531" s="133"/>
    </row>
    <row r="532" customFormat="false" ht="15" hidden="false" customHeight="false" outlineLevel="0" collapsed="false">
      <c r="B532" s="132"/>
      <c r="C532" s="133"/>
      <c r="D532" s="133"/>
      <c r="E532" s="133"/>
      <c r="F532" s="134"/>
      <c r="G532" s="135"/>
      <c r="H532" s="133"/>
      <c r="I532" s="133"/>
      <c r="J532" s="133"/>
      <c r="K532" s="133"/>
      <c r="L532" s="133"/>
      <c r="M532" s="136"/>
      <c r="N532" s="136"/>
      <c r="O532" s="133"/>
    </row>
    <row r="533" customFormat="false" ht="15" hidden="false" customHeight="false" outlineLevel="0" collapsed="false">
      <c r="B533" s="132"/>
      <c r="C533" s="133"/>
      <c r="D533" s="133"/>
      <c r="E533" s="133"/>
      <c r="F533" s="134"/>
      <c r="G533" s="135"/>
      <c r="H533" s="133"/>
      <c r="I533" s="133"/>
      <c r="J533" s="133"/>
      <c r="K533" s="133"/>
      <c r="L533" s="133"/>
      <c r="M533" s="136"/>
      <c r="N533" s="136"/>
      <c r="O533" s="133"/>
    </row>
    <row r="534" customFormat="false" ht="15" hidden="false" customHeight="false" outlineLevel="0" collapsed="false">
      <c r="B534" s="132"/>
      <c r="C534" s="133"/>
      <c r="D534" s="133"/>
      <c r="E534" s="133"/>
      <c r="F534" s="134"/>
      <c r="G534" s="135"/>
      <c r="H534" s="133"/>
      <c r="I534" s="133"/>
      <c r="J534" s="133"/>
      <c r="K534" s="133"/>
      <c r="L534" s="133"/>
      <c r="M534" s="136"/>
      <c r="N534" s="136"/>
      <c r="O534" s="133"/>
    </row>
    <row r="535" customFormat="false" ht="15" hidden="false" customHeight="false" outlineLevel="0" collapsed="false">
      <c r="B535" s="132"/>
      <c r="C535" s="133"/>
      <c r="D535" s="133"/>
      <c r="E535" s="133"/>
      <c r="F535" s="134"/>
      <c r="G535" s="135"/>
      <c r="H535" s="133"/>
      <c r="I535" s="133"/>
      <c r="J535" s="133"/>
      <c r="K535" s="133"/>
      <c r="L535" s="133"/>
      <c r="M535" s="136"/>
      <c r="N535" s="136"/>
      <c r="O535" s="133"/>
    </row>
    <row r="536" customFormat="false" ht="15" hidden="false" customHeight="false" outlineLevel="0" collapsed="false">
      <c r="B536" s="132"/>
      <c r="C536" s="133"/>
      <c r="D536" s="133"/>
      <c r="E536" s="133"/>
      <c r="F536" s="134"/>
      <c r="G536" s="135"/>
      <c r="H536" s="133"/>
      <c r="I536" s="133"/>
      <c r="J536" s="133"/>
      <c r="K536" s="133"/>
      <c r="L536" s="133"/>
      <c r="M536" s="136"/>
      <c r="N536" s="136"/>
      <c r="O536" s="133"/>
    </row>
    <row r="537" customFormat="false" ht="15" hidden="false" customHeight="false" outlineLevel="0" collapsed="false">
      <c r="B537" s="132"/>
      <c r="C537" s="133"/>
      <c r="D537" s="133"/>
      <c r="E537" s="133"/>
      <c r="F537" s="134"/>
      <c r="G537" s="135"/>
      <c r="H537" s="133"/>
      <c r="I537" s="133"/>
      <c r="J537" s="133"/>
      <c r="K537" s="133"/>
      <c r="L537" s="133"/>
      <c r="M537" s="136"/>
      <c r="N537" s="136"/>
      <c r="O537" s="133"/>
    </row>
    <row r="538" customFormat="false" ht="15" hidden="false" customHeight="false" outlineLevel="0" collapsed="false">
      <c r="B538" s="132"/>
      <c r="C538" s="133"/>
      <c r="D538" s="133"/>
      <c r="E538" s="133"/>
      <c r="F538" s="134"/>
      <c r="G538" s="135"/>
      <c r="H538" s="133"/>
      <c r="I538" s="133"/>
      <c r="J538" s="133"/>
      <c r="K538" s="133"/>
      <c r="L538" s="133"/>
      <c r="M538" s="136"/>
      <c r="N538" s="136"/>
      <c r="O538" s="133"/>
    </row>
    <row r="539" customFormat="false" ht="15" hidden="false" customHeight="false" outlineLevel="0" collapsed="false">
      <c r="B539" s="132"/>
      <c r="C539" s="133"/>
      <c r="D539" s="133"/>
      <c r="E539" s="133"/>
      <c r="F539" s="134"/>
      <c r="G539" s="135"/>
      <c r="H539" s="133"/>
      <c r="I539" s="133"/>
      <c r="J539" s="133"/>
      <c r="K539" s="133"/>
      <c r="L539" s="133"/>
      <c r="M539" s="136"/>
      <c r="N539" s="136"/>
      <c r="O539" s="133"/>
    </row>
    <row r="540" customFormat="false" ht="15" hidden="false" customHeight="false" outlineLevel="0" collapsed="false">
      <c r="B540" s="132"/>
      <c r="C540" s="133"/>
      <c r="D540" s="133"/>
      <c r="E540" s="133"/>
      <c r="F540" s="134"/>
      <c r="G540" s="135"/>
      <c r="H540" s="133"/>
      <c r="I540" s="133"/>
      <c r="J540" s="133"/>
      <c r="K540" s="133"/>
      <c r="L540" s="133"/>
      <c r="M540" s="136"/>
      <c r="N540" s="136"/>
      <c r="O540" s="133"/>
    </row>
    <row r="541" customFormat="false" ht="15" hidden="false" customHeight="false" outlineLevel="0" collapsed="false">
      <c r="B541" s="132"/>
      <c r="C541" s="133"/>
      <c r="D541" s="133"/>
      <c r="E541" s="133"/>
      <c r="F541" s="134"/>
      <c r="G541" s="135"/>
      <c r="H541" s="133"/>
      <c r="I541" s="133"/>
      <c r="J541" s="133"/>
      <c r="K541" s="133"/>
      <c r="L541" s="133"/>
      <c r="M541" s="136"/>
      <c r="N541" s="136"/>
      <c r="O541" s="133"/>
    </row>
    <row r="542" customFormat="false" ht="15" hidden="false" customHeight="false" outlineLevel="0" collapsed="false">
      <c r="B542" s="132"/>
      <c r="C542" s="133"/>
      <c r="D542" s="133"/>
      <c r="E542" s="133"/>
      <c r="F542" s="134"/>
      <c r="G542" s="135"/>
      <c r="H542" s="133"/>
      <c r="I542" s="133"/>
      <c r="J542" s="133"/>
      <c r="K542" s="133"/>
      <c r="L542" s="133"/>
      <c r="M542" s="136"/>
      <c r="N542" s="136"/>
      <c r="O542" s="133"/>
    </row>
    <row r="543" customFormat="false" ht="15" hidden="false" customHeight="false" outlineLevel="0" collapsed="false">
      <c r="B543" s="132"/>
      <c r="C543" s="133"/>
      <c r="D543" s="133"/>
      <c r="E543" s="133"/>
      <c r="F543" s="134"/>
      <c r="G543" s="135"/>
      <c r="H543" s="133"/>
      <c r="I543" s="133"/>
      <c r="J543" s="133"/>
      <c r="K543" s="133"/>
      <c r="L543" s="133"/>
      <c r="M543" s="136"/>
      <c r="N543" s="136"/>
      <c r="O543" s="133"/>
    </row>
    <row r="544" customFormat="false" ht="15" hidden="false" customHeight="false" outlineLevel="0" collapsed="false">
      <c r="B544" s="132"/>
      <c r="C544" s="133"/>
      <c r="D544" s="133"/>
      <c r="E544" s="133"/>
      <c r="F544" s="134"/>
      <c r="G544" s="135"/>
      <c r="H544" s="133"/>
      <c r="I544" s="133"/>
      <c r="J544" s="133"/>
      <c r="K544" s="133"/>
      <c r="L544" s="133"/>
      <c r="M544" s="136"/>
      <c r="N544" s="136"/>
      <c r="O544" s="133"/>
    </row>
    <row r="545" customFormat="false" ht="15" hidden="false" customHeight="false" outlineLevel="0" collapsed="false">
      <c r="B545" s="132"/>
      <c r="C545" s="133"/>
      <c r="D545" s="133"/>
      <c r="E545" s="133"/>
      <c r="F545" s="134"/>
      <c r="G545" s="135"/>
      <c r="H545" s="133"/>
      <c r="I545" s="133"/>
      <c r="J545" s="133"/>
      <c r="K545" s="133"/>
      <c r="L545" s="133"/>
      <c r="M545" s="136"/>
      <c r="N545" s="136"/>
      <c r="O545" s="133"/>
    </row>
    <row r="546" customFormat="false" ht="15" hidden="false" customHeight="false" outlineLevel="0" collapsed="false">
      <c r="B546" s="132"/>
      <c r="C546" s="133"/>
      <c r="D546" s="133"/>
      <c r="E546" s="133"/>
      <c r="F546" s="134"/>
      <c r="G546" s="135"/>
      <c r="H546" s="133"/>
      <c r="I546" s="133"/>
      <c r="J546" s="133"/>
      <c r="K546" s="133"/>
      <c r="L546" s="133"/>
      <c r="M546" s="136"/>
      <c r="N546" s="136"/>
      <c r="O546" s="133"/>
    </row>
    <row r="547" customFormat="false" ht="15" hidden="false" customHeight="false" outlineLevel="0" collapsed="false">
      <c r="B547" s="132"/>
      <c r="C547" s="133"/>
      <c r="D547" s="133"/>
      <c r="E547" s="133"/>
      <c r="F547" s="134"/>
      <c r="G547" s="135"/>
      <c r="H547" s="133"/>
      <c r="I547" s="133"/>
      <c r="J547" s="133"/>
      <c r="K547" s="133"/>
      <c r="L547" s="133"/>
      <c r="M547" s="136"/>
      <c r="N547" s="136"/>
      <c r="O547" s="133"/>
    </row>
    <row r="548" customFormat="false" ht="15" hidden="false" customHeight="false" outlineLevel="0" collapsed="false">
      <c r="B548" s="132"/>
      <c r="C548" s="133"/>
      <c r="D548" s="133"/>
      <c r="E548" s="133"/>
      <c r="F548" s="134"/>
      <c r="G548" s="135"/>
      <c r="H548" s="133"/>
      <c r="I548" s="133"/>
      <c r="J548" s="133"/>
      <c r="K548" s="133"/>
      <c r="L548" s="133"/>
      <c r="M548" s="136"/>
      <c r="N548" s="136"/>
      <c r="O548" s="133"/>
    </row>
    <row r="549" customFormat="false" ht="15" hidden="false" customHeight="false" outlineLevel="0" collapsed="false">
      <c r="B549" s="132"/>
      <c r="C549" s="133"/>
      <c r="D549" s="133"/>
      <c r="E549" s="133"/>
      <c r="F549" s="134"/>
      <c r="G549" s="135"/>
      <c r="H549" s="133"/>
      <c r="I549" s="133"/>
      <c r="J549" s="133"/>
      <c r="K549" s="133"/>
      <c r="L549" s="133"/>
      <c r="M549" s="136"/>
      <c r="N549" s="136"/>
      <c r="O549" s="133"/>
    </row>
    <row r="550" customFormat="false" ht="15" hidden="false" customHeight="false" outlineLevel="0" collapsed="false">
      <c r="B550" s="132"/>
      <c r="C550" s="133"/>
      <c r="D550" s="133"/>
      <c r="E550" s="133"/>
      <c r="F550" s="134"/>
      <c r="G550" s="135"/>
      <c r="H550" s="133"/>
      <c r="I550" s="133"/>
      <c r="J550" s="133"/>
      <c r="K550" s="133"/>
      <c r="L550" s="133"/>
      <c r="M550" s="136"/>
      <c r="N550" s="136"/>
      <c r="O550" s="133"/>
    </row>
    <row r="551" customFormat="false" ht="15" hidden="false" customHeight="false" outlineLevel="0" collapsed="false">
      <c r="B551" s="132"/>
      <c r="C551" s="133"/>
      <c r="D551" s="133"/>
      <c r="E551" s="133"/>
      <c r="F551" s="134"/>
      <c r="G551" s="135"/>
      <c r="H551" s="133"/>
      <c r="I551" s="133"/>
      <c r="J551" s="133"/>
      <c r="K551" s="133"/>
      <c r="L551" s="133"/>
      <c r="M551" s="136"/>
      <c r="N551" s="136"/>
      <c r="O551" s="133"/>
    </row>
    <row r="552" customFormat="false" ht="15" hidden="false" customHeight="false" outlineLevel="0" collapsed="false">
      <c r="B552" s="132"/>
      <c r="C552" s="133"/>
      <c r="D552" s="133"/>
      <c r="E552" s="133"/>
      <c r="F552" s="134"/>
      <c r="G552" s="135"/>
      <c r="H552" s="133"/>
      <c r="I552" s="133"/>
      <c r="J552" s="133"/>
      <c r="K552" s="133"/>
      <c r="L552" s="133"/>
      <c r="M552" s="136"/>
      <c r="N552" s="136"/>
      <c r="O552" s="133"/>
    </row>
    <row r="553" customFormat="false" ht="15" hidden="false" customHeight="false" outlineLevel="0" collapsed="false">
      <c r="B553" s="132"/>
      <c r="C553" s="133"/>
      <c r="D553" s="133"/>
      <c r="E553" s="133"/>
      <c r="F553" s="134"/>
      <c r="G553" s="135"/>
      <c r="H553" s="133"/>
      <c r="I553" s="133"/>
      <c r="J553" s="133"/>
      <c r="K553" s="133"/>
      <c r="L553" s="133"/>
      <c r="M553" s="136"/>
      <c r="N553" s="136"/>
      <c r="O553" s="133"/>
    </row>
    <row r="554" customFormat="false" ht="15" hidden="false" customHeight="false" outlineLevel="0" collapsed="false">
      <c r="B554" s="132"/>
      <c r="C554" s="133"/>
      <c r="D554" s="133"/>
      <c r="E554" s="133"/>
      <c r="F554" s="134"/>
      <c r="G554" s="135"/>
      <c r="H554" s="133"/>
      <c r="I554" s="133"/>
      <c r="J554" s="133"/>
      <c r="K554" s="133"/>
      <c r="L554" s="133"/>
      <c r="M554" s="136"/>
      <c r="N554" s="136"/>
      <c r="O554" s="133"/>
    </row>
    <row r="555" customFormat="false" ht="15" hidden="false" customHeight="false" outlineLevel="0" collapsed="false">
      <c r="B555" s="132"/>
      <c r="C555" s="133"/>
      <c r="D555" s="133"/>
      <c r="E555" s="133"/>
      <c r="F555" s="134"/>
      <c r="G555" s="135"/>
      <c r="H555" s="133"/>
      <c r="I555" s="133"/>
      <c r="J555" s="133"/>
      <c r="K555" s="133"/>
      <c r="L555" s="133"/>
      <c r="M555" s="136"/>
      <c r="N555" s="136"/>
      <c r="O555" s="133"/>
    </row>
    <row r="556" customFormat="false" ht="15" hidden="false" customHeight="false" outlineLevel="0" collapsed="false">
      <c r="B556" s="132"/>
      <c r="C556" s="133"/>
      <c r="D556" s="133"/>
      <c r="E556" s="133"/>
      <c r="F556" s="134"/>
      <c r="G556" s="135"/>
      <c r="H556" s="133"/>
      <c r="I556" s="133"/>
      <c r="J556" s="133"/>
      <c r="K556" s="133"/>
      <c r="L556" s="133"/>
      <c r="M556" s="136"/>
      <c r="N556" s="136"/>
      <c r="O556" s="133"/>
    </row>
    <row r="557" customFormat="false" ht="15" hidden="false" customHeight="false" outlineLevel="0" collapsed="false">
      <c r="B557" s="132"/>
      <c r="C557" s="133"/>
      <c r="D557" s="133"/>
      <c r="E557" s="133"/>
      <c r="F557" s="134"/>
      <c r="G557" s="135"/>
      <c r="H557" s="133"/>
      <c r="I557" s="133"/>
      <c r="J557" s="133"/>
      <c r="K557" s="133"/>
      <c r="L557" s="133"/>
      <c r="M557" s="136"/>
      <c r="N557" s="136"/>
      <c r="O557" s="133"/>
    </row>
    <row r="558" customFormat="false" ht="15" hidden="false" customHeight="false" outlineLevel="0" collapsed="false">
      <c r="B558" s="132"/>
      <c r="C558" s="133"/>
      <c r="D558" s="133"/>
      <c r="E558" s="133"/>
      <c r="F558" s="134"/>
      <c r="G558" s="135"/>
      <c r="H558" s="133"/>
      <c r="I558" s="133"/>
      <c r="J558" s="133"/>
      <c r="K558" s="133"/>
      <c r="L558" s="133"/>
      <c r="M558" s="136"/>
      <c r="N558" s="136"/>
      <c r="O558" s="133"/>
    </row>
    <row r="559" customFormat="false" ht="15" hidden="false" customHeight="false" outlineLevel="0" collapsed="false">
      <c r="B559" s="132"/>
      <c r="C559" s="133"/>
      <c r="D559" s="133"/>
      <c r="E559" s="133"/>
      <c r="F559" s="134"/>
      <c r="G559" s="135"/>
      <c r="H559" s="133"/>
      <c r="I559" s="133"/>
      <c r="J559" s="133"/>
      <c r="K559" s="133"/>
      <c r="L559" s="133"/>
      <c r="M559" s="136"/>
      <c r="N559" s="136"/>
      <c r="O559" s="133"/>
    </row>
    <row r="560" customFormat="false" ht="15" hidden="false" customHeight="false" outlineLevel="0" collapsed="false">
      <c r="B560" s="132"/>
      <c r="C560" s="133"/>
      <c r="D560" s="133"/>
      <c r="E560" s="133"/>
      <c r="F560" s="134"/>
      <c r="G560" s="135"/>
      <c r="H560" s="133"/>
      <c r="I560" s="133"/>
      <c r="J560" s="133"/>
      <c r="K560" s="133"/>
      <c r="L560" s="133"/>
      <c r="M560" s="136"/>
      <c r="N560" s="136"/>
      <c r="O560" s="133"/>
    </row>
    <row r="561" customFormat="false" ht="15" hidden="false" customHeight="false" outlineLevel="0" collapsed="false">
      <c r="B561" s="132"/>
      <c r="C561" s="133"/>
      <c r="D561" s="133"/>
      <c r="E561" s="133"/>
      <c r="F561" s="134"/>
      <c r="G561" s="135"/>
      <c r="H561" s="133"/>
      <c r="I561" s="133"/>
      <c r="J561" s="133"/>
      <c r="K561" s="133"/>
      <c r="L561" s="133"/>
      <c r="M561" s="136"/>
      <c r="N561" s="136"/>
      <c r="O561" s="133"/>
    </row>
    <row r="562" customFormat="false" ht="15" hidden="false" customHeight="false" outlineLevel="0" collapsed="false">
      <c r="B562" s="132"/>
      <c r="C562" s="133"/>
      <c r="D562" s="133"/>
      <c r="E562" s="133"/>
      <c r="F562" s="134"/>
      <c r="G562" s="135"/>
      <c r="H562" s="133"/>
      <c r="I562" s="133"/>
      <c r="J562" s="133"/>
      <c r="K562" s="133"/>
      <c r="L562" s="133"/>
      <c r="M562" s="136"/>
      <c r="N562" s="136"/>
      <c r="O562" s="133"/>
    </row>
    <row r="563" customFormat="false" ht="15" hidden="false" customHeight="false" outlineLevel="0" collapsed="false">
      <c r="B563" s="132"/>
      <c r="C563" s="133"/>
      <c r="D563" s="133"/>
      <c r="E563" s="133"/>
      <c r="F563" s="134"/>
      <c r="G563" s="135"/>
      <c r="H563" s="133"/>
      <c r="I563" s="133"/>
      <c r="J563" s="133"/>
      <c r="K563" s="133"/>
      <c r="L563" s="133"/>
      <c r="M563" s="136"/>
      <c r="N563" s="136"/>
      <c r="O563" s="133"/>
    </row>
    <row r="564" customFormat="false" ht="15" hidden="false" customHeight="false" outlineLevel="0" collapsed="false">
      <c r="B564" s="132"/>
      <c r="C564" s="133"/>
      <c r="D564" s="133"/>
      <c r="E564" s="133"/>
      <c r="F564" s="134"/>
      <c r="G564" s="135"/>
      <c r="H564" s="133"/>
      <c r="I564" s="133"/>
      <c r="J564" s="133"/>
      <c r="K564" s="133"/>
      <c r="L564" s="133"/>
      <c r="M564" s="136"/>
      <c r="N564" s="136"/>
      <c r="O564" s="133"/>
    </row>
    <row r="565" customFormat="false" ht="15" hidden="false" customHeight="false" outlineLevel="0" collapsed="false">
      <c r="B565" s="132"/>
      <c r="C565" s="133"/>
      <c r="D565" s="133"/>
      <c r="E565" s="133"/>
      <c r="F565" s="134"/>
      <c r="G565" s="135"/>
      <c r="H565" s="133"/>
      <c r="I565" s="133"/>
      <c r="J565" s="133"/>
      <c r="K565" s="133"/>
      <c r="L565" s="133"/>
      <c r="M565" s="136"/>
      <c r="N565" s="136"/>
      <c r="O565" s="133"/>
    </row>
    <row r="566" customFormat="false" ht="15" hidden="false" customHeight="false" outlineLevel="0" collapsed="false">
      <c r="B566" s="132"/>
      <c r="C566" s="133"/>
      <c r="D566" s="133"/>
      <c r="E566" s="133"/>
      <c r="F566" s="134"/>
      <c r="G566" s="135"/>
      <c r="H566" s="133"/>
      <c r="I566" s="133"/>
      <c r="J566" s="133"/>
      <c r="K566" s="133"/>
      <c r="L566" s="133"/>
      <c r="M566" s="136"/>
      <c r="N566" s="136"/>
      <c r="O566" s="133"/>
    </row>
    <row r="567" customFormat="false" ht="15" hidden="false" customHeight="false" outlineLevel="0" collapsed="false">
      <c r="B567" s="132"/>
      <c r="C567" s="133"/>
      <c r="D567" s="133"/>
      <c r="E567" s="133"/>
      <c r="F567" s="134"/>
      <c r="G567" s="135"/>
      <c r="H567" s="133"/>
      <c r="I567" s="133"/>
      <c r="J567" s="133"/>
      <c r="K567" s="133"/>
      <c r="L567" s="133"/>
      <c r="M567" s="136"/>
      <c r="N567" s="136"/>
      <c r="O567" s="133"/>
    </row>
    <row r="568" customFormat="false" ht="15" hidden="false" customHeight="false" outlineLevel="0" collapsed="false">
      <c r="B568" s="132"/>
      <c r="C568" s="133"/>
      <c r="D568" s="133"/>
      <c r="E568" s="133"/>
      <c r="F568" s="134"/>
      <c r="G568" s="135"/>
      <c r="H568" s="133"/>
      <c r="I568" s="133"/>
      <c r="J568" s="133"/>
      <c r="K568" s="133"/>
      <c r="L568" s="133"/>
      <c r="M568" s="136"/>
      <c r="N568" s="136"/>
      <c r="O568" s="133"/>
    </row>
    <row r="569" customFormat="false" ht="15" hidden="false" customHeight="false" outlineLevel="0" collapsed="false">
      <c r="B569" s="132"/>
      <c r="C569" s="133"/>
      <c r="D569" s="133"/>
      <c r="E569" s="133"/>
      <c r="F569" s="134"/>
      <c r="G569" s="135"/>
      <c r="H569" s="133"/>
      <c r="I569" s="133"/>
      <c r="J569" s="133"/>
      <c r="K569" s="133"/>
      <c r="L569" s="133"/>
      <c r="M569" s="136"/>
      <c r="N569" s="136"/>
      <c r="O569" s="133"/>
    </row>
    <row r="570" customFormat="false" ht="15" hidden="false" customHeight="false" outlineLevel="0" collapsed="false">
      <c r="B570" s="132"/>
      <c r="C570" s="133"/>
      <c r="D570" s="133"/>
      <c r="E570" s="133"/>
      <c r="F570" s="134"/>
      <c r="G570" s="135"/>
      <c r="H570" s="133"/>
      <c r="I570" s="133"/>
      <c r="J570" s="133"/>
      <c r="K570" s="133"/>
      <c r="L570" s="133"/>
      <c r="M570" s="136"/>
      <c r="N570" s="136"/>
      <c r="O570" s="133"/>
    </row>
    <row r="571" customFormat="false" ht="15" hidden="false" customHeight="false" outlineLevel="0" collapsed="false">
      <c r="B571" s="132"/>
      <c r="C571" s="133"/>
      <c r="D571" s="133"/>
      <c r="E571" s="133"/>
      <c r="F571" s="134"/>
      <c r="G571" s="135"/>
      <c r="H571" s="133"/>
      <c r="I571" s="133"/>
      <c r="J571" s="133"/>
      <c r="K571" s="133"/>
      <c r="L571" s="133"/>
      <c r="M571" s="136"/>
      <c r="N571" s="136"/>
      <c r="O571" s="133"/>
    </row>
    <row r="572" customFormat="false" ht="15" hidden="false" customHeight="false" outlineLevel="0" collapsed="false">
      <c r="B572" s="132"/>
      <c r="C572" s="133"/>
      <c r="D572" s="133"/>
      <c r="E572" s="133"/>
      <c r="F572" s="134"/>
      <c r="G572" s="135"/>
      <c r="H572" s="133"/>
      <c r="I572" s="133"/>
      <c r="J572" s="133"/>
      <c r="K572" s="133"/>
      <c r="L572" s="133"/>
      <c r="M572" s="136"/>
      <c r="N572" s="136"/>
      <c r="O572" s="133"/>
    </row>
    <row r="573" customFormat="false" ht="15" hidden="false" customHeight="false" outlineLevel="0" collapsed="false">
      <c r="B573" s="132"/>
      <c r="C573" s="133"/>
      <c r="D573" s="133"/>
      <c r="E573" s="133"/>
      <c r="F573" s="134"/>
      <c r="G573" s="135"/>
      <c r="H573" s="133"/>
      <c r="I573" s="133"/>
      <c r="J573" s="133"/>
      <c r="K573" s="133"/>
      <c r="L573" s="133"/>
      <c r="M573" s="136"/>
      <c r="N573" s="136"/>
      <c r="O573" s="133"/>
    </row>
    <row r="574" customFormat="false" ht="15" hidden="false" customHeight="false" outlineLevel="0" collapsed="false">
      <c r="B574" s="132"/>
      <c r="C574" s="133"/>
      <c r="D574" s="133"/>
      <c r="E574" s="133"/>
      <c r="F574" s="134"/>
      <c r="G574" s="135"/>
      <c r="H574" s="133"/>
      <c r="I574" s="133"/>
      <c r="J574" s="133"/>
      <c r="K574" s="133"/>
      <c r="L574" s="133"/>
      <c r="M574" s="136"/>
      <c r="N574" s="136"/>
      <c r="O574" s="133"/>
    </row>
    <row r="575" customFormat="false" ht="15" hidden="false" customHeight="false" outlineLevel="0" collapsed="false">
      <c r="B575" s="132"/>
      <c r="C575" s="133"/>
      <c r="D575" s="133"/>
      <c r="E575" s="133"/>
      <c r="F575" s="134"/>
      <c r="G575" s="135"/>
      <c r="H575" s="133"/>
      <c r="I575" s="133"/>
      <c r="J575" s="133"/>
      <c r="K575" s="133"/>
      <c r="L575" s="133"/>
      <c r="M575" s="136"/>
      <c r="N575" s="136"/>
      <c r="O575" s="133"/>
    </row>
    <row r="576" customFormat="false" ht="15" hidden="false" customHeight="false" outlineLevel="0" collapsed="false">
      <c r="B576" s="132"/>
      <c r="C576" s="133"/>
      <c r="D576" s="133"/>
      <c r="E576" s="133"/>
      <c r="F576" s="134"/>
      <c r="G576" s="135"/>
      <c r="H576" s="133"/>
      <c r="I576" s="133"/>
      <c r="J576" s="133"/>
      <c r="K576" s="133"/>
      <c r="L576" s="133"/>
      <c r="M576" s="136"/>
      <c r="N576" s="136"/>
      <c r="O576" s="133"/>
    </row>
    <row r="577" customFormat="false" ht="15" hidden="false" customHeight="false" outlineLevel="0" collapsed="false">
      <c r="B577" s="132"/>
      <c r="C577" s="133"/>
      <c r="D577" s="133"/>
      <c r="E577" s="133"/>
      <c r="F577" s="134"/>
      <c r="G577" s="135"/>
      <c r="H577" s="133"/>
      <c r="I577" s="133"/>
      <c r="J577" s="133"/>
      <c r="K577" s="133"/>
      <c r="L577" s="133"/>
      <c r="M577" s="136"/>
      <c r="N577" s="136"/>
      <c r="O577" s="133"/>
    </row>
    <row r="578" customFormat="false" ht="15" hidden="false" customHeight="false" outlineLevel="0" collapsed="false">
      <c r="B578" s="132"/>
      <c r="C578" s="133"/>
      <c r="D578" s="133"/>
      <c r="E578" s="133"/>
      <c r="F578" s="134"/>
      <c r="G578" s="135"/>
      <c r="H578" s="133"/>
      <c r="I578" s="133"/>
      <c r="J578" s="133"/>
      <c r="K578" s="133"/>
      <c r="L578" s="133"/>
      <c r="M578" s="136"/>
      <c r="N578" s="136"/>
      <c r="O578" s="133"/>
    </row>
    <row r="579" customFormat="false" ht="15" hidden="false" customHeight="false" outlineLevel="0" collapsed="false">
      <c r="B579" s="132"/>
      <c r="C579" s="133"/>
      <c r="D579" s="133"/>
      <c r="E579" s="133"/>
      <c r="F579" s="134"/>
      <c r="G579" s="135"/>
      <c r="H579" s="133"/>
      <c r="I579" s="133"/>
      <c r="J579" s="133"/>
      <c r="K579" s="133"/>
      <c r="L579" s="133"/>
      <c r="M579" s="136"/>
      <c r="N579" s="136"/>
      <c r="O579" s="133"/>
    </row>
    <row r="580" customFormat="false" ht="15" hidden="false" customHeight="false" outlineLevel="0" collapsed="false">
      <c r="B580" s="132"/>
      <c r="C580" s="133"/>
      <c r="D580" s="133"/>
      <c r="E580" s="133"/>
      <c r="F580" s="134"/>
      <c r="G580" s="135"/>
      <c r="H580" s="133"/>
      <c r="I580" s="133"/>
      <c r="J580" s="133"/>
      <c r="K580" s="133"/>
      <c r="L580" s="133"/>
      <c r="M580" s="136"/>
      <c r="N580" s="136"/>
      <c r="O580" s="133"/>
    </row>
    <row r="581" customFormat="false" ht="15" hidden="false" customHeight="false" outlineLevel="0" collapsed="false">
      <c r="B581" s="132"/>
      <c r="C581" s="133"/>
      <c r="D581" s="133"/>
      <c r="E581" s="133"/>
      <c r="F581" s="134"/>
      <c r="G581" s="135"/>
      <c r="H581" s="133"/>
      <c r="I581" s="133"/>
      <c r="J581" s="133"/>
      <c r="K581" s="133"/>
      <c r="L581" s="133"/>
      <c r="M581" s="136"/>
      <c r="N581" s="136"/>
      <c r="O581" s="133"/>
    </row>
    <row r="582" customFormat="false" ht="15" hidden="false" customHeight="false" outlineLevel="0" collapsed="false">
      <c r="B582" s="132"/>
      <c r="C582" s="133"/>
      <c r="D582" s="133"/>
      <c r="E582" s="133"/>
      <c r="F582" s="134"/>
      <c r="G582" s="135"/>
      <c r="H582" s="133"/>
      <c r="I582" s="133"/>
      <c r="J582" s="133"/>
      <c r="K582" s="133"/>
      <c r="L582" s="133"/>
      <c r="M582" s="136"/>
      <c r="N582" s="136"/>
      <c r="O582" s="133"/>
    </row>
    <row r="583" customFormat="false" ht="15" hidden="false" customHeight="false" outlineLevel="0" collapsed="false">
      <c r="B583" s="132"/>
      <c r="C583" s="133"/>
      <c r="D583" s="133"/>
      <c r="E583" s="133"/>
      <c r="F583" s="134"/>
      <c r="G583" s="135"/>
      <c r="H583" s="133"/>
      <c r="I583" s="133"/>
      <c r="J583" s="133"/>
      <c r="K583" s="133"/>
      <c r="L583" s="133"/>
      <c r="M583" s="136"/>
      <c r="N583" s="136"/>
      <c r="O583" s="133"/>
    </row>
    <row r="584" customFormat="false" ht="15" hidden="false" customHeight="false" outlineLevel="0" collapsed="false">
      <c r="B584" s="132"/>
      <c r="C584" s="133"/>
      <c r="D584" s="133"/>
      <c r="E584" s="133"/>
      <c r="F584" s="134"/>
      <c r="G584" s="135"/>
      <c r="H584" s="133"/>
      <c r="I584" s="133"/>
      <c r="J584" s="133"/>
      <c r="K584" s="133"/>
      <c r="L584" s="133"/>
      <c r="M584" s="136"/>
      <c r="N584" s="136"/>
      <c r="O584" s="133"/>
    </row>
    <row r="585" customFormat="false" ht="15" hidden="false" customHeight="false" outlineLevel="0" collapsed="false">
      <c r="B585" s="132"/>
      <c r="C585" s="133"/>
      <c r="D585" s="133"/>
      <c r="E585" s="133"/>
      <c r="F585" s="134"/>
      <c r="G585" s="135"/>
      <c r="H585" s="133"/>
      <c r="I585" s="133"/>
      <c r="J585" s="133"/>
      <c r="K585" s="133"/>
      <c r="L585" s="133"/>
      <c r="M585" s="136"/>
      <c r="N585" s="136"/>
      <c r="O585" s="133"/>
    </row>
    <row r="586" customFormat="false" ht="15" hidden="false" customHeight="false" outlineLevel="0" collapsed="false">
      <c r="B586" s="132"/>
      <c r="C586" s="133"/>
      <c r="D586" s="133"/>
      <c r="E586" s="133"/>
      <c r="F586" s="134"/>
      <c r="G586" s="135"/>
      <c r="H586" s="133"/>
      <c r="I586" s="133"/>
      <c r="J586" s="133"/>
      <c r="K586" s="133"/>
      <c r="L586" s="133"/>
      <c r="M586" s="136"/>
      <c r="N586" s="136"/>
      <c r="O586" s="133"/>
    </row>
    <row r="587" customFormat="false" ht="15" hidden="false" customHeight="false" outlineLevel="0" collapsed="false">
      <c r="B587" s="132"/>
      <c r="C587" s="133"/>
      <c r="D587" s="133"/>
      <c r="E587" s="133"/>
      <c r="F587" s="134"/>
      <c r="G587" s="135"/>
      <c r="H587" s="133"/>
      <c r="I587" s="133"/>
      <c r="J587" s="133"/>
      <c r="K587" s="133"/>
      <c r="L587" s="133"/>
      <c r="M587" s="136"/>
      <c r="N587" s="136"/>
      <c r="O587" s="133"/>
    </row>
    <row r="588" customFormat="false" ht="15" hidden="false" customHeight="false" outlineLevel="0" collapsed="false">
      <c r="B588" s="132"/>
      <c r="C588" s="133"/>
      <c r="D588" s="133"/>
      <c r="E588" s="133"/>
      <c r="F588" s="134"/>
      <c r="G588" s="135"/>
      <c r="H588" s="133"/>
      <c r="I588" s="133"/>
      <c r="J588" s="133"/>
      <c r="K588" s="133"/>
      <c r="L588" s="133"/>
      <c r="M588" s="136"/>
      <c r="N588" s="136"/>
      <c r="O588" s="133"/>
    </row>
    <row r="589" customFormat="false" ht="15" hidden="false" customHeight="false" outlineLevel="0" collapsed="false">
      <c r="B589" s="132"/>
      <c r="C589" s="133"/>
      <c r="D589" s="133"/>
      <c r="E589" s="133"/>
      <c r="F589" s="134"/>
      <c r="G589" s="135"/>
      <c r="H589" s="133"/>
      <c r="I589" s="133"/>
      <c r="J589" s="133"/>
      <c r="K589" s="133"/>
      <c r="L589" s="133"/>
      <c r="M589" s="136"/>
      <c r="N589" s="136"/>
      <c r="O589" s="133"/>
    </row>
    <row r="590" customFormat="false" ht="15" hidden="false" customHeight="false" outlineLevel="0" collapsed="false">
      <c r="B590" s="132"/>
      <c r="C590" s="133"/>
      <c r="D590" s="133"/>
      <c r="E590" s="133"/>
      <c r="F590" s="134"/>
      <c r="G590" s="135"/>
      <c r="H590" s="133"/>
      <c r="I590" s="133"/>
      <c r="J590" s="133"/>
      <c r="K590" s="133"/>
      <c r="L590" s="133"/>
      <c r="M590" s="136"/>
      <c r="N590" s="136"/>
      <c r="O590" s="133"/>
    </row>
    <row r="591" customFormat="false" ht="15" hidden="false" customHeight="false" outlineLevel="0" collapsed="false">
      <c r="B591" s="132"/>
      <c r="C591" s="133"/>
      <c r="D591" s="133"/>
      <c r="E591" s="133"/>
      <c r="F591" s="134"/>
      <c r="G591" s="135"/>
      <c r="H591" s="133"/>
      <c r="I591" s="133"/>
      <c r="J591" s="133"/>
      <c r="K591" s="133"/>
      <c r="L591" s="133"/>
      <c r="M591" s="136"/>
      <c r="N591" s="136"/>
      <c r="O591" s="133"/>
    </row>
    <row r="592" customFormat="false" ht="15" hidden="false" customHeight="false" outlineLevel="0" collapsed="false">
      <c r="B592" s="132"/>
      <c r="C592" s="133"/>
      <c r="D592" s="133"/>
      <c r="E592" s="133"/>
      <c r="F592" s="134"/>
      <c r="G592" s="135"/>
      <c r="H592" s="133"/>
      <c r="I592" s="133"/>
      <c r="J592" s="133"/>
      <c r="K592" s="133"/>
      <c r="L592" s="133"/>
      <c r="M592" s="136"/>
      <c r="N592" s="136"/>
      <c r="O592" s="133"/>
    </row>
    <row r="593" customFormat="false" ht="15" hidden="false" customHeight="false" outlineLevel="0" collapsed="false">
      <c r="B593" s="132"/>
      <c r="C593" s="133"/>
      <c r="D593" s="133"/>
      <c r="E593" s="133"/>
      <c r="F593" s="134"/>
      <c r="G593" s="135"/>
      <c r="H593" s="133"/>
      <c r="I593" s="133"/>
      <c r="J593" s="133"/>
      <c r="K593" s="133"/>
      <c r="L593" s="133"/>
      <c r="M593" s="136"/>
      <c r="N593" s="136"/>
      <c r="O593" s="133"/>
    </row>
    <row r="594" customFormat="false" ht="15" hidden="false" customHeight="false" outlineLevel="0" collapsed="false">
      <c r="B594" s="132"/>
      <c r="C594" s="133"/>
      <c r="D594" s="133"/>
      <c r="E594" s="133"/>
      <c r="F594" s="134"/>
      <c r="G594" s="135"/>
      <c r="H594" s="133"/>
      <c r="I594" s="133"/>
      <c r="J594" s="133"/>
      <c r="K594" s="133"/>
      <c r="L594" s="133"/>
      <c r="M594" s="136"/>
      <c r="N594" s="136"/>
      <c r="O594" s="133"/>
    </row>
    <row r="595" customFormat="false" ht="15" hidden="false" customHeight="false" outlineLevel="0" collapsed="false">
      <c r="B595" s="132"/>
      <c r="C595" s="133"/>
      <c r="D595" s="133"/>
      <c r="E595" s="133"/>
      <c r="F595" s="134"/>
      <c r="G595" s="135"/>
      <c r="H595" s="133"/>
      <c r="I595" s="133"/>
      <c r="J595" s="133"/>
      <c r="K595" s="133"/>
      <c r="L595" s="133"/>
      <c r="M595" s="136"/>
      <c r="N595" s="136"/>
      <c r="O595" s="133"/>
    </row>
    <row r="596" customFormat="false" ht="15" hidden="false" customHeight="false" outlineLevel="0" collapsed="false">
      <c r="B596" s="132"/>
      <c r="C596" s="133"/>
      <c r="D596" s="133"/>
      <c r="E596" s="133"/>
      <c r="F596" s="134"/>
      <c r="G596" s="135"/>
      <c r="H596" s="133"/>
      <c r="I596" s="133"/>
      <c r="J596" s="133"/>
      <c r="K596" s="133"/>
      <c r="L596" s="133"/>
      <c r="M596" s="136"/>
      <c r="N596" s="136"/>
      <c r="O596" s="133"/>
    </row>
    <row r="597" customFormat="false" ht="15" hidden="false" customHeight="false" outlineLevel="0" collapsed="false">
      <c r="B597" s="132"/>
      <c r="C597" s="133"/>
      <c r="D597" s="133"/>
      <c r="E597" s="133"/>
      <c r="F597" s="134"/>
      <c r="G597" s="135"/>
      <c r="H597" s="133"/>
      <c r="I597" s="133"/>
      <c r="J597" s="133"/>
      <c r="K597" s="133"/>
      <c r="L597" s="133"/>
      <c r="M597" s="136"/>
      <c r="N597" s="136"/>
      <c r="O597" s="133"/>
    </row>
    <row r="598" customFormat="false" ht="15" hidden="false" customHeight="false" outlineLevel="0" collapsed="false">
      <c r="B598" s="132"/>
      <c r="C598" s="133"/>
      <c r="D598" s="133"/>
      <c r="E598" s="133"/>
      <c r="F598" s="134"/>
      <c r="G598" s="135"/>
      <c r="H598" s="133"/>
      <c r="I598" s="133"/>
      <c r="J598" s="133"/>
      <c r="K598" s="133"/>
      <c r="L598" s="133"/>
      <c r="M598" s="136"/>
      <c r="N598" s="136"/>
      <c r="O598" s="133"/>
    </row>
    <row r="599" customFormat="false" ht="15" hidden="false" customHeight="false" outlineLevel="0" collapsed="false">
      <c r="B599" s="132"/>
      <c r="C599" s="133"/>
      <c r="D599" s="133"/>
      <c r="E599" s="133"/>
      <c r="F599" s="134"/>
      <c r="G599" s="135"/>
      <c r="H599" s="133"/>
      <c r="I599" s="133"/>
      <c r="J599" s="133"/>
      <c r="K599" s="133"/>
      <c r="L599" s="133"/>
      <c r="M599" s="136"/>
      <c r="N599" s="136"/>
      <c r="O599" s="133"/>
    </row>
    <row r="600" customFormat="false" ht="15" hidden="false" customHeight="false" outlineLevel="0" collapsed="false">
      <c r="B600" s="132"/>
      <c r="C600" s="133"/>
      <c r="D600" s="133"/>
      <c r="E600" s="133"/>
      <c r="F600" s="134"/>
      <c r="G600" s="135"/>
      <c r="H600" s="133"/>
      <c r="I600" s="133"/>
      <c r="J600" s="133"/>
      <c r="K600" s="133"/>
      <c r="L600" s="133"/>
      <c r="M600" s="136"/>
      <c r="N600" s="136"/>
      <c r="O600" s="133"/>
    </row>
    <row r="601" customFormat="false" ht="15" hidden="false" customHeight="false" outlineLevel="0" collapsed="false">
      <c r="B601" s="132"/>
      <c r="C601" s="133"/>
      <c r="D601" s="133"/>
      <c r="E601" s="133"/>
      <c r="F601" s="134"/>
      <c r="G601" s="135"/>
      <c r="H601" s="133"/>
      <c r="I601" s="133"/>
      <c r="J601" s="133"/>
      <c r="K601" s="133"/>
      <c r="L601" s="133"/>
      <c r="M601" s="136"/>
      <c r="N601" s="136"/>
      <c r="O601" s="133"/>
    </row>
    <row r="602" customFormat="false" ht="15" hidden="false" customHeight="false" outlineLevel="0" collapsed="false">
      <c r="B602" s="132"/>
      <c r="C602" s="133"/>
      <c r="D602" s="133"/>
      <c r="E602" s="133"/>
      <c r="F602" s="134"/>
      <c r="G602" s="135"/>
      <c r="H602" s="133"/>
      <c r="I602" s="133"/>
      <c r="J602" s="133"/>
      <c r="K602" s="133"/>
      <c r="L602" s="133"/>
      <c r="M602" s="136"/>
      <c r="N602" s="136"/>
      <c r="O602" s="133"/>
    </row>
    <row r="603" customFormat="false" ht="15" hidden="false" customHeight="false" outlineLevel="0" collapsed="false">
      <c r="B603" s="132"/>
      <c r="C603" s="133"/>
      <c r="D603" s="133"/>
      <c r="E603" s="133"/>
      <c r="F603" s="134"/>
      <c r="G603" s="135"/>
      <c r="H603" s="133"/>
      <c r="I603" s="133"/>
      <c r="J603" s="133"/>
      <c r="K603" s="133"/>
      <c r="L603" s="133"/>
      <c r="M603" s="136"/>
      <c r="N603" s="136"/>
      <c r="O603" s="133"/>
    </row>
    <row r="604" customFormat="false" ht="15" hidden="false" customHeight="false" outlineLevel="0" collapsed="false">
      <c r="B604" s="132"/>
      <c r="C604" s="133"/>
      <c r="D604" s="133"/>
      <c r="E604" s="133"/>
      <c r="F604" s="134"/>
      <c r="G604" s="135"/>
      <c r="H604" s="133"/>
      <c r="I604" s="133"/>
      <c r="J604" s="133"/>
      <c r="K604" s="133"/>
      <c r="L604" s="133"/>
      <c r="M604" s="136"/>
      <c r="N604" s="136"/>
      <c r="O604" s="133"/>
    </row>
    <row r="605" customFormat="false" ht="15" hidden="false" customHeight="false" outlineLevel="0" collapsed="false">
      <c r="B605" s="132"/>
      <c r="C605" s="133"/>
      <c r="D605" s="133"/>
      <c r="E605" s="133"/>
      <c r="F605" s="134"/>
      <c r="G605" s="135"/>
      <c r="H605" s="133"/>
      <c r="I605" s="133"/>
      <c r="J605" s="133"/>
      <c r="K605" s="133"/>
      <c r="L605" s="133"/>
      <c r="M605" s="136"/>
      <c r="N605" s="136"/>
      <c r="O605" s="133"/>
    </row>
    <row r="606" customFormat="false" ht="15" hidden="false" customHeight="false" outlineLevel="0" collapsed="false">
      <c r="B606" s="132"/>
      <c r="C606" s="133"/>
      <c r="D606" s="133"/>
      <c r="E606" s="133"/>
      <c r="F606" s="134"/>
      <c r="G606" s="135"/>
      <c r="H606" s="133"/>
      <c r="I606" s="133"/>
      <c r="J606" s="133"/>
      <c r="K606" s="133"/>
      <c r="L606" s="133"/>
      <c r="M606" s="136"/>
      <c r="N606" s="136"/>
      <c r="O606" s="133"/>
    </row>
    <row r="607" customFormat="false" ht="15" hidden="false" customHeight="false" outlineLevel="0" collapsed="false">
      <c r="B607" s="132"/>
      <c r="C607" s="133"/>
      <c r="D607" s="133"/>
      <c r="E607" s="133"/>
      <c r="F607" s="134"/>
      <c r="G607" s="135"/>
      <c r="H607" s="133"/>
      <c r="I607" s="133"/>
      <c r="J607" s="133"/>
      <c r="K607" s="133"/>
      <c r="L607" s="133"/>
      <c r="M607" s="136"/>
      <c r="N607" s="136"/>
      <c r="O607" s="133"/>
    </row>
    <row r="608" customFormat="false" ht="15" hidden="false" customHeight="false" outlineLevel="0" collapsed="false">
      <c r="B608" s="132"/>
      <c r="C608" s="133"/>
      <c r="D608" s="133"/>
      <c r="E608" s="133"/>
      <c r="F608" s="134"/>
      <c r="G608" s="135"/>
      <c r="H608" s="133"/>
      <c r="I608" s="133"/>
      <c r="J608" s="133"/>
      <c r="K608" s="133"/>
      <c r="L608" s="133"/>
      <c r="M608" s="136"/>
      <c r="N608" s="136"/>
      <c r="O608" s="133"/>
    </row>
    <row r="609" customFormat="false" ht="15" hidden="false" customHeight="false" outlineLevel="0" collapsed="false">
      <c r="B609" s="132"/>
      <c r="C609" s="133"/>
      <c r="D609" s="133"/>
      <c r="E609" s="133"/>
      <c r="F609" s="134"/>
      <c r="G609" s="135"/>
      <c r="H609" s="133"/>
      <c r="I609" s="133"/>
      <c r="J609" s="133"/>
      <c r="K609" s="133"/>
      <c r="L609" s="133"/>
      <c r="M609" s="136"/>
      <c r="N609" s="136"/>
      <c r="O609" s="133"/>
    </row>
    <row r="610" customFormat="false" ht="15" hidden="false" customHeight="false" outlineLevel="0" collapsed="false">
      <c r="B610" s="132"/>
      <c r="C610" s="133"/>
      <c r="D610" s="133"/>
      <c r="E610" s="133"/>
      <c r="F610" s="134"/>
      <c r="G610" s="135"/>
      <c r="H610" s="133"/>
      <c r="I610" s="133"/>
      <c r="J610" s="133"/>
      <c r="K610" s="133"/>
      <c r="L610" s="133"/>
      <c r="M610" s="136"/>
      <c r="N610" s="136"/>
      <c r="O610" s="133"/>
    </row>
    <row r="611" customFormat="false" ht="15" hidden="false" customHeight="false" outlineLevel="0" collapsed="false">
      <c r="B611" s="132"/>
      <c r="C611" s="133"/>
      <c r="D611" s="133"/>
      <c r="E611" s="133"/>
      <c r="F611" s="134"/>
      <c r="G611" s="135"/>
      <c r="H611" s="133"/>
      <c r="I611" s="133"/>
      <c r="J611" s="133"/>
      <c r="K611" s="133"/>
      <c r="L611" s="133"/>
      <c r="M611" s="136"/>
      <c r="N611" s="136"/>
      <c r="O611" s="133"/>
    </row>
    <row r="612" customFormat="false" ht="15" hidden="false" customHeight="false" outlineLevel="0" collapsed="false">
      <c r="B612" s="132"/>
      <c r="C612" s="133"/>
      <c r="D612" s="133"/>
      <c r="E612" s="133"/>
      <c r="F612" s="134"/>
      <c r="G612" s="135"/>
      <c r="H612" s="133"/>
      <c r="I612" s="133"/>
      <c r="J612" s="133"/>
      <c r="K612" s="133"/>
      <c r="L612" s="133"/>
      <c r="M612" s="136"/>
      <c r="N612" s="136"/>
      <c r="O612" s="133"/>
    </row>
    <row r="613" customFormat="false" ht="15" hidden="false" customHeight="false" outlineLevel="0" collapsed="false">
      <c r="B613" s="132"/>
      <c r="C613" s="133"/>
      <c r="D613" s="133"/>
      <c r="E613" s="133"/>
      <c r="F613" s="134"/>
      <c r="G613" s="135"/>
      <c r="H613" s="133"/>
      <c r="I613" s="133"/>
      <c r="J613" s="133"/>
      <c r="K613" s="133"/>
      <c r="L613" s="133"/>
      <c r="M613" s="136"/>
      <c r="N613" s="136"/>
      <c r="O613" s="133"/>
    </row>
    <row r="614" customFormat="false" ht="15" hidden="false" customHeight="false" outlineLevel="0" collapsed="false">
      <c r="B614" s="132"/>
      <c r="C614" s="133"/>
      <c r="D614" s="133"/>
      <c r="E614" s="133"/>
      <c r="F614" s="134"/>
      <c r="G614" s="135"/>
      <c r="H614" s="133"/>
      <c r="I614" s="133"/>
      <c r="J614" s="133"/>
      <c r="K614" s="133"/>
      <c r="L614" s="133"/>
      <c r="M614" s="136"/>
      <c r="N614" s="136"/>
      <c r="O614" s="133"/>
    </row>
    <row r="615" customFormat="false" ht="15" hidden="false" customHeight="false" outlineLevel="0" collapsed="false">
      <c r="B615" s="132"/>
      <c r="C615" s="133"/>
      <c r="D615" s="133"/>
      <c r="E615" s="133"/>
      <c r="F615" s="134"/>
      <c r="G615" s="135"/>
      <c r="H615" s="133"/>
      <c r="I615" s="133"/>
      <c r="J615" s="133"/>
      <c r="K615" s="133"/>
      <c r="L615" s="133"/>
      <c r="M615" s="136"/>
      <c r="N615" s="136"/>
      <c r="O615" s="133"/>
    </row>
    <row r="616" customFormat="false" ht="15" hidden="false" customHeight="false" outlineLevel="0" collapsed="false">
      <c r="B616" s="132"/>
      <c r="C616" s="133"/>
      <c r="D616" s="133"/>
      <c r="E616" s="133"/>
      <c r="F616" s="134"/>
      <c r="G616" s="135"/>
      <c r="H616" s="133"/>
      <c r="I616" s="133"/>
      <c r="J616" s="133"/>
      <c r="K616" s="133"/>
      <c r="L616" s="133"/>
      <c r="M616" s="136"/>
      <c r="N616" s="136"/>
      <c r="O616" s="133"/>
    </row>
    <row r="617" customFormat="false" ht="15" hidden="false" customHeight="false" outlineLevel="0" collapsed="false">
      <c r="B617" s="132"/>
      <c r="C617" s="133"/>
      <c r="D617" s="133"/>
      <c r="E617" s="133"/>
      <c r="F617" s="134"/>
      <c r="G617" s="135"/>
      <c r="H617" s="133"/>
      <c r="I617" s="133"/>
      <c r="J617" s="133"/>
      <c r="K617" s="133"/>
      <c r="L617" s="133"/>
      <c r="M617" s="136"/>
      <c r="N617" s="136"/>
      <c r="O617" s="133"/>
    </row>
    <row r="618" customFormat="false" ht="15" hidden="false" customHeight="false" outlineLevel="0" collapsed="false">
      <c r="B618" s="132"/>
      <c r="C618" s="133"/>
      <c r="D618" s="133"/>
      <c r="E618" s="133"/>
      <c r="F618" s="134"/>
      <c r="G618" s="135"/>
      <c r="H618" s="133"/>
      <c r="I618" s="133"/>
      <c r="J618" s="133"/>
      <c r="K618" s="133"/>
      <c r="L618" s="133"/>
      <c r="M618" s="136"/>
      <c r="N618" s="136"/>
      <c r="O618" s="133"/>
    </row>
    <row r="619" customFormat="false" ht="15" hidden="false" customHeight="false" outlineLevel="0" collapsed="false">
      <c r="B619" s="132"/>
      <c r="C619" s="133"/>
      <c r="D619" s="133"/>
      <c r="E619" s="133"/>
      <c r="F619" s="134"/>
      <c r="G619" s="135"/>
      <c r="H619" s="133"/>
      <c r="I619" s="133"/>
      <c r="J619" s="133"/>
      <c r="K619" s="133"/>
      <c r="L619" s="133"/>
      <c r="M619" s="136"/>
      <c r="N619" s="136"/>
      <c r="O619" s="133"/>
    </row>
    <row r="620" customFormat="false" ht="15" hidden="false" customHeight="false" outlineLevel="0" collapsed="false">
      <c r="B620" s="132"/>
      <c r="C620" s="133"/>
      <c r="D620" s="133"/>
      <c r="E620" s="133"/>
      <c r="F620" s="134"/>
      <c r="G620" s="135"/>
      <c r="H620" s="133"/>
      <c r="I620" s="133"/>
      <c r="J620" s="133"/>
      <c r="K620" s="133"/>
      <c r="L620" s="133"/>
      <c r="M620" s="136"/>
      <c r="N620" s="136"/>
      <c r="O620" s="133"/>
    </row>
    <row r="621" customFormat="false" ht="15" hidden="false" customHeight="false" outlineLevel="0" collapsed="false">
      <c r="B621" s="132"/>
      <c r="C621" s="133"/>
      <c r="D621" s="133"/>
      <c r="E621" s="133"/>
      <c r="F621" s="134"/>
      <c r="G621" s="135"/>
      <c r="H621" s="133"/>
      <c r="I621" s="133"/>
      <c r="J621" s="133"/>
      <c r="K621" s="133"/>
      <c r="L621" s="133"/>
      <c r="M621" s="136"/>
      <c r="N621" s="136"/>
      <c r="O621" s="133"/>
    </row>
    <row r="622" customFormat="false" ht="15" hidden="false" customHeight="false" outlineLevel="0" collapsed="false">
      <c r="B622" s="132"/>
      <c r="C622" s="133"/>
      <c r="D622" s="133"/>
      <c r="E622" s="133"/>
      <c r="F622" s="134"/>
      <c r="G622" s="135"/>
      <c r="H622" s="133"/>
      <c r="I622" s="133"/>
      <c r="J622" s="133"/>
      <c r="K622" s="133"/>
      <c r="L622" s="133"/>
      <c r="M622" s="136"/>
      <c r="N622" s="136"/>
      <c r="O622" s="133"/>
    </row>
    <row r="623" customFormat="false" ht="15" hidden="false" customHeight="false" outlineLevel="0" collapsed="false">
      <c r="B623" s="132"/>
      <c r="C623" s="133"/>
      <c r="D623" s="133"/>
      <c r="E623" s="133"/>
      <c r="F623" s="134"/>
      <c r="G623" s="135"/>
      <c r="H623" s="133"/>
      <c r="I623" s="133"/>
      <c r="J623" s="133"/>
      <c r="K623" s="133"/>
      <c r="L623" s="133"/>
      <c r="M623" s="136"/>
      <c r="N623" s="136"/>
      <c r="O623" s="133"/>
    </row>
    <row r="624" customFormat="false" ht="15" hidden="false" customHeight="false" outlineLevel="0" collapsed="false">
      <c r="B624" s="132"/>
      <c r="C624" s="133"/>
      <c r="D624" s="133"/>
      <c r="E624" s="133"/>
      <c r="F624" s="134"/>
      <c r="G624" s="135"/>
      <c r="H624" s="133"/>
      <c r="I624" s="133"/>
      <c r="J624" s="133"/>
      <c r="K624" s="133"/>
      <c r="L624" s="133"/>
      <c r="M624" s="136"/>
      <c r="N624" s="136"/>
      <c r="O624" s="133"/>
    </row>
    <row r="625" customFormat="false" ht="15" hidden="false" customHeight="false" outlineLevel="0" collapsed="false">
      <c r="B625" s="132"/>
      <c r="C625" s="133"/>
      <c r="D625" s="133"/>
      <c r="E625" s="133"/>
      <c r="F625" s="134"/>
      <c r="G625" s="135"/>
      <c r="H625" s="133"/>
      <c r="I625" s="133"/>
      <c r="J625" s="133"/>
      <c r="K625" s="133"/>
      <c r="L625" s="133"/>
      <c r="M625" s="136"/>
      <c r="N625" s="136"/>
      <c r="O625" s="133"/>
    </row>
    <row r="626" customFormat="false" ht="15" hidden="false" customHeight="false" outlineLevel="0" collapsed="false">
      <c r="B626" s="132"/>
      <c r="C626" s="133"/>
      <c r="D626" s="133"/>
      <c r="E626" s="133"/>
      <c r="F626" s="134"/>
      <c r="G626" s="135"/>
      <c r="H626" s="133"/>
      <c r="I626" s="133"/>
      <c r="J626" s="133"/>
      <c r="K626" s="133"/>
      <c r="L626" s="133"/>
      <c r="M626" s="136"/>
      <c r="N626" s="136"/>
      <c r="O626" s="133"/>
    </row>
    <row r="627" customFormat="false" ht="15" hidden="false" customHeight="false" outlineLevel="0" collapsed="false">
      <c r="B627" s="132"/>
      <c r="C627" s="133"/>
      <c r="D627" s="133"/>
      <c r="E627" s="133"/>
      <c r="F627" s="134"/>
      <c r="G627" s="135"/>
      <c r="H627" s="133"/>
      <c r="I627" s="133"/>
      <c r="J627" s="133"/>
      <c r="K627" s="133"/>
      <c r="L627" s="133"/>
      <c r="M627" s="136"/>
      <c r="N627" s="136"/>
      <c r="O627" s="133"/>
    </row>
    <row r="628" customFormat="false" ht="15" hidden="false" customHeight="false" outlineLevel="0" collapsed="false">
      <c r="B628" s="132"/>
      <c r="C628" s="133"/>
      <c r="D628" s="133"/>
      <c r="E628" s="133"/>
      <c r="F628" s="134"/>
      <c r="G628" s="135"/>
      <c r="H628" s="133"/>
      <c r="I628" s="133"/>
      <c r="J628" s="133"/>
      <c r="K628" s="133"/>
      <c r="L628" s="133"/>
      <c r="M628" s="136"/>
      <c r="N628" s="136"/>
      <c r="O628" s="133"/>
    </row>
    <row r="629" customFormat="false" ht="15" hidden="false" customHeight="false" outlineLevel="0" collapsed="false">
      <c r="B629" s="132"/>
      <c r="C629" s="133"/>
      <c r="D629" s="133"/>
      <c r="E629" s="133"/>
      <c r="F629" s="134"/>
      <c r="G629" s="135"/>
      <c r="H629" s="133"/>
      <c r="I629" s="133"/>
      <c r="J629" s="133"/>
      <c r="K629" s="133"/>
      <c r="L629" s="133"/>
      <c r="M629" s="136"/>
      <c r="N629" s="136"/>
      <c r="O629" s="133"/>
    </row>
    <row r="630" customFormat="false" ht="15" hidden="false" customHeight="false" outlineLevel="0" collapsed="false">
      <c r="B630" s="132"/>
      <c r="C630" s="133"/>
      <c r="D630" s="133"/>
      <c r="E630" s="133"/>
      <c r="F630" s="134"/>
      <c r="G630" s="135"/>
      <c r="H630" s="133"/>
      <c r="I630" s="133"/>
      <c r="J630" s="133"/>
      <c r="K630" s="133"/>
      <c r="L630" s="133"/>
      <c r="M630" s="136"/>
      <c r="N630" s="136"/>
      <c r="O630" s="133"/>
    </row>
    <row r="631" customFormat="false" ht="15" hidden="false" customHeight="false" outlineLevel="0" collapsed="false">
      <c r="B631" s="132"/>
      <c r="C631" s="133"/>
      <c r="D631" s="133"/>
      <c r="E631" s="133"/>
      <c r="F631" s="134"/>
      <c r="G631" s="135"/>
      <c r="H631" s="133"/>
      <c r="I631" s="133"/>
      <c r="J631" s="133"/>
      <c r="K631" s="133"/>
      <c r="L631" s="133"/>
      <c r="M631" s="136"/>
      <c r="N631" s="136"/>
      <c r="O631" s="133"/>
    </row>
    <row r="632" customFormat="false" ht="15" hidden="false" customHeight="false" outlineLevel="0" collapsed="false">
      <c r="B632" s="132"/>
      <c r="C632" s="133"/>
      <c r="D632" s="133"/>
      <c r="E632" s="133"/>
      <c r="F632" s="134"/>
      <c r="G632" s="135"/>
      <c r="H632" s="133"/>
      <c r="I632" s="133"/>
      <c r="J632" s="133"/>
      <c r="K632" s="133"/>
      <c r="L632" s="133"/>
      <c r="M632" s="136"/>
      <c r="N632" s="136"/>
      <c r="O632" s="133"/>
    </row>
    <row r="633" customFormat="false" ht="15" hidden="false" customHeight="false" outlineLevel="0" collapsed="false">
      <c r="B633" s="132"/>
      <c r="C633" s="133"/>
      <c r="D633" s="133"/>
      <c r="E633" s="133"/>
      <c r="F633" s="134"/>
      <c r="G633" s="135"/>
      <c r="H633" s="133"/>
      <c r="I633" s="133"/>
      <c r="J633" s="133"/>
      <c r="K633" s="133"/>
      <c r="L633" s="133"/>
      <c r="M633" s="136"/>
      <c r="N633" s="136"/>
      <c r="O633" s="133"/>
    </row>
    <row r="634" customFormat="false" ht="15" hidden="false" customHeight="false" outlineLevel="0" collapsed="false">
      <c r="B634" s="132"/>
      <c r="C634" s="133"/>
      <c r="D634" s="133"/>
      <c r="E634" s="133"/>
      <c r="F634" s="134"/>
      <c r="G634" s="135"/>
      <c r="H634" s="133"/>
      <c r="I634" s="133"/>
      <c r="J634" s="133"/>
      <c r="K634" s="133"/>
      <c r="L634" s="133"/>
      <c r="M634" s="136"/>
      <c r="N634" s="136"/>
      <c r="O634" s="133"/>
    </row>
    <row r="635" customFormat="false" ht="15" hidden="false" customHeight="false" outlineLevel="0" collapsed="false">
      <c r="B635" s="132"/>
      <c r="C635" s="133"/>
      <c r="D635" s="133"/>
      <c r="E635" s="133"/>
      <c r="F635" s="134"/>
      <c r="G635" s="135"/>
      <c r="H635" s="133"/>
      <c r="I635" s="133"/>
      <c r="J635" s="133"/>
      <c r="K635" s="133"/>
      <c r="L635" s="133"/>
      <c r="M635" s="136"/>
      <c r="N635" s="136"/>
      <c r="O635" s="133"/>
    </row>
    <row r="636" customFormat="false" ht="15" hidden="false" customHeight="false" outlineLevel="0" collapsed="false">
      <c r="B636" s="132"/>
      <c r="C636" s="133"/>
      <c r="D636" s="133"/>
      <c r="E636" s="133"/>
      <c r="F636" s="134"/>
      <c r="G636" s="135"/>
      <c r="H636" s="133"/>
      <c r="I636" s="133"/>
      <c r="J636" s="133"/>
      <c r="K636" s="133"/>
      <c r="L636" s="133"/>
      <c r="M636" s="136"/>
      <c r="N636" s="136"/>
      <c r="O636" s="133"/>
    </row>
    <row r="637" customFormat="false" ht="15" hidden="false" customHeight="false" outlineLevel="0" collapsed="false">
      <c r="B637" s="132"/>
      <c r="C637" s="133"/>
      <c r="D637" s="133"/>
      <c r="E637" s="133"/>
      <c r="F637" s="134"/>
      <c r="G637" s="135"/>
      <c r="H637" s="133"/>
      <c r="I637" s="133"/>
      <c r="J637" s="133"/>
      <c r="K637" s="133"/>
      <c r="L637" s="133"/>
      <c r="M637" s="136"/>
      <c r="N637" s="136"/>
      <c r="O637" s="133"/>
    </row>
    <row r="638" customFormat="false" ht="15" hidden="false" customHeight="false" outlineLevel="0" collapsed="false">
      <c r="B638" s="132"/>
      <c r="C638" s="133"/>
      <c r="D638" s="133"/>
      <c r="E638" s="133"/>
      <c r="F638" s="134"/>
      <c r="G638" s="135"/>
      <c r="H638" s="133"/>
      <c r="I638" s="133"/>
      <c r="J638" s="133"/>
      <c r="K638" s="133"/>
      <c r="L638" s="133"/>
      <c r="M638" s="136"/>
      <c r="N638" s="136"/>
      <c r="O638" s="133"/>
    </row>
    <row r="639" customFormat="false" ht="15" hidden="false" customHeight="false" outlineLevel="0" collapsed="false">
      <c r="B639" s="132"/>
      <c r="C639" s="133"/>
      <c r="D639" s="133"/>
      <c r="E639" s="133"/>
      <c r="F639" s="134"/>
      <c r="G639" s="135"/>
      <c r="H639" s="133"/>
      <c r="I639" s="133"/>
      <c r="J639" s="133"/>
      <c r="K639" s="133"/>
      <c r="L639" s="133"/>
      <c r="M639" s="136"/>
      <c r="N639" s="136"/>
      <c r="O639" s="133"/>
    </row>
    <row r="640" customFormat="false" ht="15" hidden="false" customHeight="false" outlineLevel="0" collapsed="false">
      <c r="B640" s="132"/>
      <c r="C640" s="133"/>
      <c r="D640" s="133"/>
      <c r="E640" s="133"/>
      <c r="F640" s="134"/>
      <c r="G640" s="135"/>
      <c r="H640" s="133"/>
      <c r="I640" s="133"/>
      <c r="J640" s="133"/>
      <c r="K640" s="133"/>
      <c r="L640" s="133"/>
      <c r="M640" s="136"/>
      <c r="N640" s="136"/>
      <c r="O640" s="133"/>
    </row>
    <row r="641" customFormat="false" ht="15" hidden="false" customHeight="false" outlineLevel="0" collapsed="false">
      <c r="B641" s="132"/>
      <c r="C641" s="133"/>
      <c r="D641" s="133"/>
      <c r="E641" s="133"/>
      <c r="F641" s="134"/>
      <c r="G641" s="135"/>
      <c r="H641" s="133"/>
      <c r="I641" s="133"/>
      <c r="J641" s="133"/>
      <c r="K641" s="133"/>
      <c r="L641" s="133"/>
      <c r="M641" s="136"/>
      <c r="N641" s="136"/>
      <c r="O641" s="133"/>
    </row>
    <row r="642" customFormat="false" ht="15" hidden="false" customHeight="false" outlineLevel="0" collapsed="false">
      <c r="B642" s="132"/>
      <c r="C642" s="133"/>
      <c r="D642" s="133"/>
      <c r="E642" s="133"/>
      <c r="F642" s="134"/>
      <c r="G642" s="135"/>
      <c r="H642" s="133"/>
      <c r="I642" s="133"/>
      <c r="J642" s="133"/>
      <c r="K642" s="133"/>
      <c r="L642" s="133"/>
      <c r="M642" s="136"/>
      <c r="N642" s="136"/>
      <c r="O642" s="133"/>
    </row>
    <row r="643" customFormat="false" ht="15" hidden="false" customHeight="false" outlineLevel="0" collapsed="false">
      <c r="B643" s="132"/>
      <c r="C643" s="133"/>
      <c r="D643" s="133"/>
      <c r="E643" s="133"/>
      <c r="F643" s="134"/>
      <c r="G643" s="135"/>
      <c r="H643" s="133"/>
      <c r="I643" s="133"/>
      <c r="J643" s="133"/>
      <c r="K643" s="133"/>
      <c r="L643" s="133"/>
      <c r="M643" s="136"/>
      <c r="N643" s="136"/>
      <c r="O643" s="133"/>
    </row>
    <row r="644" customFormat="false" ht="15" hidden="false" customHeight="false" outlineLevel="0" collapsed="false">
      <c r="B644" s="132"/>
      <c r="C644" s="133"/>
      <c r="D644" s="133"/>
      <c r="E644" s="133"/>
      <c r="F644" s="134"/>
      <c r="G644" s="135"/>
      <c r="H644" s="133"/>
      <c r="I644" s="133"/>
      <c r="J644" s="133"/>
      <c r="K644" s="133"/>
      <c r="L644" s="133"/>
      <c r="M644" s="136"/>
      <c r="N644" s="136"/>
      <c r="O644" s="133"/>
    </row>
    <row r="645" customFormat="false" ht="15" hidden="false" customHeight="false" outlineLevel="0" collapsed="false">
      <c r="B645" s="132"/>
      <c r="C645" s="133"/>
      <c r="D645" s="133"/>
      <c r="E645" s="133"/>
      <c r="F645" s="134"/>
      <c r="G645" s="135"/>
      <c r="H645" s="133"/>
      <c r="I645" s="133"/>
      <c r="J645" s="133"/>
      <c r="K645" s="133"/>
      <c r="L645" s="133"/>
      <c r="M645" s="136"/>
      <c r="N645" s="136"/>
      <c r="O645" s="133"/>
    </row>
    <row r="646" customFormat="false" ht="15" hidden="false" customHeight="false" outlineLevel="0" collapsed="false">
      <c r="B646" s="132"/>
      <c r="C646" s="133"/>
      <c r="D646" s="133"/>
      <c r="E646" s="133"/>
      <c r="F646" s="134"/>
      <c r="G646" s="135"/>
      <c r="H646" s="133"/>
      <c r="I646" s="133"/>
      <c r="J646" s="133"/>
      <c r="K646" s="133"/>
      <c r="L646" s="133"/>
      <c r="M646" s="136"/>
      <c r="N646" s="136"/>
      <c r="O646" s="133"/>
    </row>
    <row r="647" customFormat="false" ht="15" hidden="false" customHeight="false" outlineLevel="0" collapsed="false">
      <c r="B647" s="132"/>
      <c r="C647" s="133"/>
      <c r="D647" s="133"/>
      <c r="E647" s="133"/>
      <c r="F647" s="134"/>
      <c r="G647" s="135"/>
      <c r="H647" s="133"/>
      <c r="I647" s="133"/>
      <c r="J647" s="133"/>
      <c r="K647" s="133"/>
      <c r="L647" s="133"/>
      <c r="M647" s="136"/>
      <c r="N647" s="136"/>
      <c r="O647" s="133"/>
    </row>
    <row r="648" customFormat="false" ht="15" hidden="false" customHeight="false" outlineLevel="0" collapsed="false">
      <c r="B648" s="132"/>
      <c r="C648" s="133"/>
      <c r="D648" s="133"/>
      <c r="E648" s="133"/>
      <c r="F648" s="134"/>
      <c r="G648" s="135"/>
      <c r="H648" s="133"/>
      <c r="I648" s="133"/>
      <c r="J648" s="133"/>
      <c r="K648" s="133"/>
      <c r="L648" s="133"/>
      <c r="M648" s="136"/>
      <c r="N648" s="136"/>
      <c r="O648" s="133"/>
    </row>
    <row r="649" customFormat="false" ht="15" hidden="false" customHeight="false" outlineLevel="0" collapsed="false">
      <c r="B649" s="132"/>
      <c r="C649" s="133"/>
      <c r="D649" s="133"/>
      <c r="E649" s="133"/>
      <c r="F649" s="134"/>
      <c r="G649" s="135"/>
      <c r="H649" s="133"/>
      <c r="I649" s="133"/>
      <c r="J649" s="133"/>
      <c r="K649" s="133"/>
      <c r="L649" s="133"/>
      <c r="M649" s="136"/>
      <c r="N649" s="136"/>
      <c r="O649" s="133"/>
    </row>
    <row r="650" customFormat="false" ht="15" hidden="false" customHeight="false" outlineLevel="0" collapsed="false">
      <c r="B650" s="132"/>
      <c r="C650" s="133"/>
      <c r="D650" s="133"/>
      <c r="E650" s="133"/>
      <c r="F650" s="134"/>
      <c r="G650" s="135"/>
      <c r="H650" s="133"/>
      <c r="I650" s="133"/>
      <c r="J650" s="133"/>
      <c r="K650" s="133"/>
      <c r="L650" s="133"/>
      <c r="M650" s="136"/>
      <c r="N650" s="136"/>
      <c r="O650" s="133"/>
    </row>
    <row r="651" customFormat="false" ht="15" hidden="false" customHeight="false" outlineLevel="0" collapsed="false">
      <c r="B651" s="132"/>
      <c r="C651" s="133"/>
      <c r="D651" s="133"/>
      <c r="E651" s="133"/>
      <c r="F651" s="134"/>
      <c r="G651" s="135"/>
      <c r="H651" s="133"/>
      <c r="I651" s="133"/>
      <c r="J651" s="133"/>
      <c r="K651" s="133"/>
      <c r="L651" s="133"/>
      <c r="M651" s="136"/>
      <c r="N651" s="136"/>
      <c r="O651" s="133"/>
    </row>
    <row r="652" customFormat="false" ht="15" hidden="false" customHeight="false" outlineLevel="0" collapsed="false">
      <c r="B652" s="132"/>
      <c r="C652" s="133"/>
      <c r="D652" s="133"/>
      <c r="E652" s="133"/>
      <c r="F652" s="134"/>
      <c r="G652" s="135"/>
      <c r="H652" s="133"/>
      <c r="I652" s="133"/>
      <c r="J652" s="133"/>
      <c r="K652" s="133"/>
      <c r="L652" s="133"/>
      <c r="M652" s="136"/>
      <c r="N652" s="136"/>
      <c r="O652" s="133"/>
    </row>
    <row r="653" customFormat="false" ht="15" hidden="false" customHeight="false" outlineLevel="0" collapsed="false">
      <c r="B653" s="132"/>
      <c r="C653" s="133"/>
      <c r="D653" s="133"/>
      <c r="E653" s="133"/>
      <c r="F653" s="134"/>
      <c r="G653" s="135"/>
      <c r="H653" s="133"/>
      <c r="I653" s="133"/>
      <c r="J653" s="133"/>
      <c r="K653" s="133"/>
      <c r="L653" s="133"/>
      <c r="M653" s="136"/>
      <c r="N653" s="136"/>
      <c r="O653" s="133"/>
    </row>
    <row r="654" customFormat="false" ht="15" hidden="false" customHeight="false" outlineLevel="0" collapsed="false">
      <c r="B654" s="132"/>
      <c r="C654" s="133"/>
      <c r="D654" s="133"/>
      <c r="E654" s="133"/>
      <c r="F654" s="134"/>
      <c r="G654" s="135"/>
      <c r="H654" s="133"/>
      <c r="I654" s="133"/>
      <c r="J654" s="133"/>
      <c r="K654" s="133"/>
      <c r="L654" s="133"/>
      <c r="M654" s="136"/>
      <c r="N654" s="136"/>
      <c r="O654" s="133"/>
    </row>
    <row r="655" customFormat="false" ht="15" hidden="false" customHeight="false" outlineLevel="0" collapsed="false">
      <c r="B655" s="132"/>
      <c r="C655" s="133"/>
      <c r="D655" s="133"/>
      <c r="E655" s="133"/>
      <c r="F655" s="134"/>
      <c r="G655" s="135"/>
      <c r="H655" s="133"/>
      <c r="I655" s="133"/>
      <c r="J655" s="133"/>
      <c r="K655" s="133"/>
      <c r="L655" s="133"/>
      <c r="M655" s="136"/>
      <c r="N655" s="136"/>
      <c r="O655" s="133"/>
    </row>
    <row r="656" customFormat="false" ht="15" hidden="false" customHeight="false" outlineLevel="0" collapsed="false">
      <c r="B656" s="132"/>
      <c r="C656" s="133"/>
      <c r="D656" s="133"/>
      <c r="E656" s="133"/>
      <c r="F656" s="134"/>
      <c r="G656" s="135"/>
      <c r="H656" s="133"/>
      <c r="I656" s="133"/>
      <c r="J656" s="133"/>
      <c r="K656" s="133"/>
      <c r="L656" s="133"/>
      <c r="M656" s="136"/>
      <c r="N656" s="136"/>
      <c r="O656" s="133"/>
    </row>
    <row r="657" customFormat="false" ht="15" hidden="false" customHeight="false" outlineLevel="0" collapsed="false">
      <c r="B657" s="132"/>
      <c r="C657" s="133"/>
      <c r="D657" s="133"/>
      <c r="E657" s="133"/>
      <c r="F657" s="134"/>
      <c r="G657" s="135"/>
      <c r="H657" s="133"/>
      <c r="I657" s="133"/>
      <c r="J657" s="133"/>
      <c r="K657" s="133"/>
      <c r="L657" s="133"/>
      <c r="M657" s="136"/>
      <c r="N657" s="136"/>
      <c r="O657" s="133"/>
    </row>
    <row r="658" customFormat="false" ht="15" hidden="false" customHeight="false" outlineLevel="0" collapsed="false">
      <c r="B658" s="132"/>
      <c r="C658" s="133"/>
      <c r="D658" s="133"/>
      <c r="E658" s="133"/>
      <c r="F658" s="134"/>
      <c r="G658" s="135"/>
      <c r="H658" s="133"/>
      <c r="I658" s="133"/>
      <c r="J658" s="133"/>
      <c r="K658" s="133"/>
      <c r="L658" s="133"/>
      <c r="M658" s="136"/>
      <c r="N658" s="136"/>
      <c r="O658" s="133"/>
    </row>
    <row r="659" customFormat="false" ht="15" hidden="false" customHeight="false" outlineLevel="0" collapsed="false">
      <c r="B659" s="132"/>
      <c r="C659" s="133"/>
      <c r="D659" s="133"/>
      <c r="E659" s="133"/>
      <c r="F659" s="134"/>
      <c r="G659" s="135"/>
      <c r="H659" s="133"/>
      <c r="I659" s="133"/>
      <c r="J659" s="133"/>
      <c r="K659" s="133"/>
      <c r="L659" s="133"/>
      <c r="M659" s="136"/>
      <c r="N659" s="136"/>
      <c r="O659" s="133"/>
    </row>
    <row r="660" customFormat="false" ht="15" hidden="false" customHeight="false" outlineLevel="0" collapsed="false">
      <c r="B660" s="132"/>
      <c r="C660" s="133"/>
      <c r="D660" s="133"/>
      <c r="E660" s="133"/>
      <c r="F660" s="134"/>
      <c r="G660" s="135"/>
      <c r="H660" s="133"/>
      <c r="I660" s="133"/>
      <c r="J660" s="133"/>
      <c r="K660" s="133"/>
      <c r="L660" s="133"/>
      <c r="M660" s="136"/>
      <c r="N660" s="136"/>
      <c r="O660" s="133"/>
    </row>
    <row r="661" customFormat="false" ht="15" hidden="false" customHeight="false" outlineLevel="0" collapsed="false">
      <c r="B661" s="132"/>
      <c r="C661" s="133"/>
      <c r="D661" s="133"/>
      <c r="E661" s="133"/>
      <c r="F661" s="134"/>
      <c r="G661" s="135"/>
      <c r="H661" s="133"/>
      <c r="I661" s="133"/>
      <c r="J661" s="133"/>
      <c r="K661" s="133"/>
      <c r="L661" s="133"/>
      <c r="M661" s="136"/>
      <c r="N661" s="136"/>
      <c r="O661" s="133"/>
    </row>
    <row r="662" customFormat="false" ht="15" hidden="false" customHeight="false" outlineLevel="0" collapsed="false">
      <c r="B662" s="132"/>
      <c r="C662" s="133"/>
      <c r="D662" s="133"/>
      <c r="E662" s="133"/>
      <c r="F662" s="134"/>
      <c r="G662" s="135"/>
      <c r="H662" s="133"/>
      <c r="I662" s="133"/>
      <c r="J662" s="133"/>
      <c r="K662" s="133"/>
      <c r="L662" s="133"/>
      <c r="M662" s="136"/>
      <c r="N662" s="136"/>
      <c r="O662" s="133"/>
    </row>
    <row r="663" customFormat="false" ht="15" hidden="false" customHeight="false" outlineLevel="0" collapsed="false">
      <c r="B663" s="132"/>
      <c r="C663" s="133"/>
      <c r="D663" s="133"/>
      <c r="E663" s="133"/>
      <c r="F663" s="134"/>
      <c r="G663" s="135"/>
      <c r="H663" s="133"/>
      <c r="I663" s="133"/>
      <c r="J663" s="133"/>
      <c r="K663" s="133"/>
      <c r="L663" s="133"/>
      <c r="M663" s="136"/>
      <c r="N663" s="136"/>
      <c r="O663" s="133"/>
    </row>
    <row r="664" customFormat="false" ht="15" hidden="false" customHeight="false" outlineLevel="0" collapsed="false">
      <c r="B664" s="132"/>
      <c r="C664" s="133"/>
      <c r="D664" s="133"/>
      <c r="E664" s="133"/>
      <c r="F664" s="134"/>
      <c r="G664" s="135"/>
      <c r="H664" s="133"/>
      <c r="I664" s="133"/>
      <c r="J664" s="133"/>
      <c r="K664" s="133"/>
      <c r="L664" s="133"/>
      <c r="M664" s="136"/>
      <c r="N664" s="136"/>
      <c r="O664" s="133"/>
    </row>
    <row r="665" customFormat="false" ht="15" hidden="false" customHeight="false" outlineLevel="0" collapsed="false">
      <c r="B665" s="132"/>
      <c r="C665" s="133"/>
      <c r="D665" s="133"/>
      <c r="E665" s="133"/>
      <c r="F665" s="134"/>
      <c r="G665" s="135"/>
      <c r="H665" s="133"/>
      <c r="I665" s="133"/>
      <c r="J665" s="133"/>
      <c r="K665" s="133"/>
      <c r="L665" s="133"/>
      <c r="M665" s="136"/>
      <c r="N665" s="136"/>
      <c r="O665" s="133"/>
    </row>
    <row r="666" customFormat="false" ht="15" hidden="false" customHeight="false" outlineLevel="0" collapsed="false">
      <c r="B666" s="132"/>
      <c r="C666" s="133"/>
      <c r="D666" s="133"/>
      <c r="E666" s="133"/>
      <c r="F666" s="134"/>
      <c r="G666" s="135"/>
      <c r="H666" s="133"/>
      <c r="I666" s="133"/>
      <c r="J666" s="133"/>
      <c r="K666" s="133"/>
      <c r="L666" s="133"/>
      <c r="M666" s="136"/>
      <c r="N666" s="136"/>
      <c r="O666" s="133"/>
    </row>
    <row r="667" customFormat="false" ht="15" hidden="false" customHeight="false" outlineLevel="0" collapsed="false">
      <c r="B667" s="132"/>
      <c r="C667" s="133"/>
      <c r="D667" s="133"/>
      <c r="E667" s="133"/>
      <c r="F667" s="134"/>
      <c r="G667" s="135"/>
      <c r="H667" s="133"/>
      <c r="I667" s="133"/>
      <c r="J667" s="133"/>
      <c r="K667" s="133"/>
      <c r="L667" s="133"/>
      <c r="M667" s="136"/>
      <c r="N667" s="136"/>
      <c r="O667" s="133"/>
    </row>
    <row r="668" customFormat="false" ht="15" hidden="false" customHeight="false" outlineLevel="0" collapsed="false">
      <c r="B668" s="132"/>
      <c r="C668" s="133"/>
      <c r="D668" s="133"/>
      <c r="E668" s="133"/>
      <c r="F668" s="134"/>
      <c r="G668" s="135"/>
      <c r="H668" s="133"/>
      <c r="I668" s="133"/>
      <c r="J668" s="133"/>
      <c r="K668" s="133"/>
      <c r="L668" s="133"/>
      <c r="M668" s="136"/>
      <c r="N668" s="136"/>
      <c r="O668" s="133"/>
    </row>
    <row r="669" customFormat="false" ht="15" hidden="false" customHeight="false" outlineLevel="0" collapsed="false">
      <c r="B669" s="132"/>
      <c r="C669" s="133"/>
      <c r="D669" s="133"/>
      <c r="E669" s="133"/>
      <c r="F669" s="134"/>
      <c r="G669" s="135"/>
      <c r="H669" s="133"/>
      <c r="I669" s="133"/>
      <c r="J669" s="133"/>
      <c r="K669" s="133"/>
      <c r="L669" s="133"/>
      <c r="M669" s="136"/>
      <c r="N669" s="136"/>
      <c r="O669" s="133"/>
    </row>
    <row r="670" customFormat="false" ht="15" hidden="false" customHeight="false" outlineLevel="0" collapsed="false">
      <c r="B670" s="132"/>
      <c r="C670" s="133"/>
      <c r="D670" s="133"/>
      <c r="E670" s="133"/>
      <c r="F670" s="134"/>
      <c r="G670" s="135"/>
      <c r="H670" s="133"/>
      <c r="I670" s="133"/>
      <c r="J670" s="133"/>
      <c r="K670" s="133"/>
      <c r="L670" s="133"/>
      <c r="M670" s="136"/>
      <c r="N670" s="136"/>
      <c r="O670" s="133"/>
    </row>
    <row r="671" customFormat="false" ht="15" hidden="false" customHeight="false" outlineLevel="0" collapsed="false">
      <c r="B671" s="132"/>
      <c r="C671" s="133"/>
      <c r="D671" s="133"/>
      <c r="E671" s="133"/>
      <c r="F671" s="134"/>
      <c r="G671" s="135"/>
      <c r="H671" s="133"/>
      <c r="I671" s="133"/>
      <c r="J671" s="133"/>
      <c r="K671" s="133"/>
      <c r="L671" s="133"/>
      <c r="M671" s="136"/>
      <c r="N671" s="136"/>
      <c r="O671" s="133"/>
    </row>
    <row r="672" customFormat="false" ht="15" hidden="false" customHeight="false" outlineLevel="0" collapsed="false">
      <c r="B672" s="132"/>
      <c r="C672" s="133"/>
      <c r="D672" s="133"/>
      <c r="E672" s="133"/>
      <c r="F672" s="134"/>
      <c r="G672" s="135"/>
      <c r="H672" s="133"/>
      <c r="I672" s="133"/>
      <c r="J672" s="133"/>
      <c r="K672" s="133"/>
      <c r="L672" s="133"/>
      <c r="M672" s="136"/>
      <c r="N672" s="136"/>
      <c r="O672" s="133"/>
    </row>
    <row r="673" customFormat="false" ht="15" hidden="false" customHeight="false" outlineLevel="0" collapsed="false">
      <c r="B673" s="132"/>
      <c r="C673" s="133"/>
      <c r="D673" s="133"/>
      <c r="E673" s="133"/>
      <c r="F673" s="134"/>
      <c r="G673" s="135"/>
      <c r="H673" s="133"/>
      <c r="I673" s="133"/>
      <c r="J673" s="133"/>
      <c r="K673" s="133"/>
      <c r="L673" s="133"/>
      <c r="M673" s="136"/>
      <c r="N673" s="136"/>
      <c r="O673" s="133"/>
    </row>
    <row r="674" customFormat="false" ht="15" hidden="false" customHeight="false" outlineLevel="0" collapsed="false">
      <c r="B674" s="132"/>
      <c r="C674" s="133"/>
      <c r="D674" s="133"/>
      <c r="E674" s="133"/>
      <c r="F674" s="134"/>
      <c r="G674" s="135"/>
      <c r="H674" s="133"/>
      <c r="I674" s="133"/>
      <c r="J674" s="133"/>
      <c r="K674" s="133"/>
      <c r="L674" s="133"/>
      <c r="M674" s="136"/>
      <c r="N674" s="136"/>
      <c r="O674" s="133"/>
    </row>
    <row r="675" customFormat="false" ht="15" hidden="false" customHeight="false" outlineLevel="0" collapsed="false">
      <c r="B675" s="132"/>
      <c r="C675" s="133"/>
      <c r="D675" s="133"/>
      <c r="E675" s="133"/>
      <c r="F675" s="134"/>
      <c r="G675" s="135"/>
      <c r="H675" s="133"/>
      <c r="I675" s="133"/>
      <c r="J675" s="133"/>
      <c r="K675" s="133"/>
      <c r="L675" s="133"/>
      <c r="M675" s="136"/>
      <c r="N675" s="136"/>
      <c r="O675" s="133"/>
    </row>
    <row r="676" customFormat="false" ht="15" hidden="false" customHeight="false" outlineLevel="0" collapsed="false">
      <c r="B676" s="132"/>
      <c r="C676" s="133"/>
      <c r="D676" s="133"/>
      <c r="E676" s="133"/>
      <c r="F676" s="134"/>
      <c r="G676" s="135"/>
      <c r="H676" s="133"/>
      <c r="I676" s="133"/>
      <c r="J676" s="133"/>
      <c r="K676" s="133"/>
      <c r="L676" s="133"/>
      <c r="M676" s="136"/>
      <c r="N676" s="136"/>
      <c r="O676" s="133"/>
    </row>
    <row r="677" customFormat="false" ht="15" hidden="false" customHeight="false" outlineLevel="0" collapsed="false">
      <c r="B677" s="132"/>
      <c r="C677" s="133"/>
      <c r="D677" s="133"/>
      <c r="E677" s="133"/>
      <c r="F677" s="134"/>
      <c r="G677" s="135"/>
      <c r="H677" s="133"/>
      <c r="I677" s="133"/>
      <c r="J677" s="133"/>
      <c r="K677" s="133"/>
      <c r="L677" s="133"/>
      <c r="M677" s="136"/>
      <c r="N677" s="136"/>
      <c r="O677" s="133"/>
    </row>
    <row r="678" customFormat="false" ht="15" hidden="false" customHeight="false" outlineLevel="0" collapsed="false">
      <c r="B678" s="132"/>
      <c r="C678" s="133"/>
      <c r="D678" s="133"/>
      <c r="E678" s="133"/>
      <c r="F678" s="134"/>
      <c r="G678" s="135"/>
      <c r="H678" s="133"/>
      <c r="I678" s="133"/>
      <c r="J678" s="133"/>
      <c r="K678" s="133"/>
      <c r="L678" s="133"/>
      <c r="M678" s="136"/>
      <c r="N678" s="136"/>
      <c r="O678" s="133"/>
    </row>
    <row r="679" customFormat="false" ht="15" hidden="false" customHeight="false" outlineLevel="0" collapsed="false">
      <c r="B679" s="132"/>
      <c r="C679" s="133"/>
      <c r="D679" s="133"/>
      <c r="E679" s="133"/>
      <c r="F679" s="134"/>
      <c r="G679" s="135"/>
      <c r="H679" s="133"/>
      <c r="I679" s="133"/>
      <c r="J679" s="133"/>
      <c r="K679" s="133"/>
      <c r="L679" s="133"/>
      <c r="M679" s="136"/>
      <c r="N679" s="136"/>
      <c r="O679" s="133"/>
    </row>
    <row r="680" customFormat="false" ht="15" hidden="false" customHeight="false" outlineLevel="0" collapsed="false">
      <c r="B680" s="132"/>
      <c r="C680" s="133"/>
      <c r="D680" s="133"/>
      <c r="E680" s="133"/>
      <c r="F680" s="134"/>
      <c r="G680" s="135"/>
      <c r="H680" s="133"/>
      <c r="I680" s="133"/>
      <c r="J680" s="133"/>
      <c r="K680" s="133"/>
      <c r="L680" s="133"/>
      <c r="M680" s="136"/>
      <c r="N680" s="136"/>
      <c r="O680" s="133"/>
    </row>
    <row r="681" customFormat="false" ht="15" hidden="false" customHeight="false" outlineLevel="0" collapsed="false">
      <c r="B681" s="132"/>
      <c r="C681" s="133"/>
      <c r="D681" s="133"/>
      <c r="E681" s="133"/>
      <c r="F681" s="134"/>
      <c r="G681" s="135"/>
      <c r="H681" s="133"/>
      <c r="I681" s="133"/>
      <c r="J681" s="133"/>
      <c r="K681" s="133"/>
      <c r="L681" s="133"/>
      <c r="M681" s="136"/>
      <c r="N681" s="136"/>
      <c r="O681" s="133"/>
    </row>
    <row r="682" customFormat="false" ht="15" hidden="false" customHeight="false" outlineLevel="0" collapsed="false">
      <c r="B682" s="132"/>
      <c r="C682" s="133"/>
      <c r="D682" s="133"/>
      <c r="E682" s="133"/>
      <c r="F682" s="134"/>
      <c r="G682" s="135"/>
      <c r="H682" s="133"/>
      <c r="I682" s="133"/>
      <c r="J682" s="133"/>
      <c r="K682" s="133"/>
      <c r="L682" s="133"/>
      <c r="M682" s="136"/>
      <c r="N682" s="136"/>
      <c r="O682" s="133"/>
    </row>
    <row r="683" customFormat="false" ht="15" hidden="false" customHeight="false" outlineLevel="0" collapsed="false">
      <c r="B683" s="132"/>
      <c r="C683" s="133"/>
      <c r="D683" s="133"/>
      <c r="E683" s="133"/>
      <c r="F683" s="134"/>
      <c r="G683" s="135"/>
      <c r="H683" s="133"/>
      <c r="I683" s="133"/>
      <c r="J683" s="133"/>
      <c r="K683" s="133"/>
      <c r="L683" s="133"/>
      <c r="M683" s="136"/>
      <c r="N683" s="136"/>
      <c r="O683" s="133"/>
    </row>
    <row r="684" customFormat="false" ht="15" hidden="false" customHeight="false" outlineLevel="0" collapsed="false">
      <c r="B684" s="132"/>
      <c r="C684" s="133"/>
      <c r="D684" s="133"/>
      <c r="E684" s="133"/>
      <c r="F684" s="134"/>
      <c r="G684" s="135"/>
      <c r="H684" s="133"/>
      <c r="I684" s="133"/>
      <c r="J684" s="133"/>
      <c r="K684" s="133"/>
      <c r="L684" s="133"/>
      <c r="M684" s="136"/>
      <c r="N684" s="136"/>
      <c r="O684" s="133"/>
    </row>
    <row r="685" customFormat="false" ht="15" hidden="false" customHeight="false" outlineLevel="0" collapsed="false">
      <c r="B685" s="132"/>
      <c r="C685" s="133"/>
      <c r="D685" s="133"/>
      <c r="E685" s="133"/>
      <c r="F685" s="134"/>
      <c r="G685" s="135"/>
      <c r="H685" s="133"/>
      <c r="I685" s="133"/>
      <c r="J685" s="133"/>
      <c r="K685" s="133"/>
      <c r="L685" s="133"/>
      <c r="M685" s="136"/>
      <c r="N685" s="136"/>
      <c r="O685" s="133"/>
    </row>
    <row r="686" customFormat="false" ht="15" hidden="false" customHeight="false" outlineLevel="0" collapsed="false">
      <c r="B686" s="132"/>
      <c r="C686" s="133"/>
      <c r="D686" s="133"/>
      <c r="E686" s="133"/>
      <c r="F686" s="134"/>
      <c r="G686" s="135"/>
      <c r="H686" s="133"/>
      <c r="I686" s="133"/>
      <c r="J686" s="133"/>
      <c r="K686" s="133"/>
      <c r="L686" s="133"/>
      <c r="M686" s="136"/>
      <c r="N686" s="136"/>
      <c r="O686" s="133"/>
    </row>
    <row r="687" customFormat="false" ht="15" hidden="false" customHeight="false" outlineLevel="0" collapsed="false">
      <c r="B687" s="132"/>
      <c r="C687" s="133"/>
      <c r="D687" s="133"/>
      <c r="E687" s="133"/>
      <c r="F687" s="134"/>
      <c r="G687" s="135"/>
      <c r="H687" s="133"/>
      <c r="I687" s="133"/>
      <c r="J687" s="133"/>
      <c r="K687" s="133"/>
      <c r="L687" s="133"/>
      <c r="M687" s="136"/>
      <c r="N687" s="136"/>
      <c r="O687" s="133"/>
    </row>
    <row r="688" customFormat="false" ht="15" hidden="false" customHeight="false" outlineLevel="0" collapsed="false">
      <c r="B688" s="132"/>
      <c r="C688" s="133"/>
      <c r="D688" s="133"/>
      <c r="E688" s="133"/>
      <c r="F688" s="134"/>
      <c r="G688" s="135"/>
      <c r="H688" s="133"/>
      <c r="I688" s="133"/>
      <c r="J688" s="133"/>
      <c r="K688" s="133"/>
      <c r="L688" s="133"/>
      <c r="M688" s="136"/>
      <c r="N688" s="136"/>
      <c r="O688" s="133"/>
    </row>
    <row r="689" customFormat="false" ht="15" hidden="false" customHeight="false" outlineLevel="0" collapsed="false">
      <c r="B689" s="132"/>
      <c r="C689" s="133"/>
      <c r="D689" s="133"/>
      <c r="E689" s="133"/>
      <c r="F689" s="134"/>
      <c r="G689" s="135"/>
      <c r="H689" s="133"/>
      <c r="I689" s="133"/>
      <c r="J689" s="133"/>
      <c r="K689" s="133"/>
      <c r="L689" s="133"/>
      <c r="M689" s="136"/>
      <c r="N689" s="136"/>
      <c r="O689" s="133"/>
    </row>
    <row r="690" customFormat="false" ht="15" hidden="false" customHeight="false" outlineLevel="0" collapsed="false">
      <c r="B690" s="132"/>
      <c r="C690" s="133"/>
      <c r="D690" s="133"/>
      <c r="E690" s="133"/>
      <c r="F690" s="134"/>
      <c r="G690" s="135"/>
      <c r="H690" s="133"/>
      <c r="I690" s="133"/>
      <c r="J690" s="133"/>
      <c r="K690" s="133"/>
      <c r="L690" s="133"/>
      <c r="M690" s="136"/>
      <c r="N690" s="136"/>
      <c r="O690" s="133"/>
    </row>
    <row r="691" customFormat="false" ht="15" hidden="false" customHeight="false" outlineLevel="0" collapsed="false">
      <c r="B691" s="132"/>
      <c r="C691" s="133"/>
      <c r="D691" s="133"/>
      <c r="E691" s="133"/>
      <c r="F691" s="134"/>
      <c r="G691" s="135"/>
      <c r="H691" s="133"/>
      <c r="I691" s="133"/>
      <c r="J691" s="133"/>
      <c r="K691" s="133"/>
      <c r="L691" s="133"/>
      <c r="M691" s="136"/>
      <c r="N691" s="136"/>
      <c r="O691" s="133"/>
    </row>
    <row r="692" customFormat="false" ht="15" hidden="false" customHeight="false" outlineLevel="0" collapsed="false">
      <c r="B692" s="132"/>
      <c r="C692" s="133"/>
      <c r="D692" s="133"/>
      <c r="E692" s="133"/>
      <c r="F692" s="134"/>
      <c r="G692" s="135"/>
      <c r="H692" s="133"/>
      <c r="I692" s="133"/>
      <c r="J692" s="133"/>
      <c r="K692" s="133"/>
      <c r="L692" s="133"/>
      <c r="M692" s="136"/>
      <c r="N692" s="136"/>
      <c r="O692" s="133"/>
    </row>
    <row r="693" customFormat="false" ht="15" hidden="false" customHeight="false" outlineLevel="0" collapsed="false">
      <c r="B693" s="132"/>
      <c r="C693" s="133"/>
      <c r="D693" s="133"/>
      <c r="E693" s="133"/>
      <c r="F693" s="134"/>
      <c r="G693" s="135"/>
      <c r="H693" s="133"/>
      <c r="I693" s="133"/>
      <c r="J693" s="133"/>
      <c r="K693" s="133"/>
      <c r="L693" s="133"/>
      <c r="M693" s="136"/>
      <c r="N693" s="136"/>
      <c r="O693" s="133"/>
    </row>
    <row r="694" customFormat="false" ht="15" hidden="false" customHeight="false" outlineLevel="0" collapsed="false">
      <c r="B694" s="132"/>
      <c r="C694" s="133"/>
      <c r="D694" s="133"/>
      <c r="E694" s="133"/>
      <c r="F694" s="134"/>
      <c r="G694" s="135"/>
      <c r="H694" s="133"/>
      <c r="I694" s="133"/>
      <c r="J694" s="133"/>
      <c r="K694" s="133"/>
      <c r="L694" s="133"/>
      <c r="M694" s="136"/>
      <c r="N694" s="136"/>
      <c r="O694" s="133"/>
    </row>
    <row r="695" customFormat="false" ht="15" hidden="false" customHeight="false" outlineLevel="0" collapsed="false">
      <c r="B695" s="132"/>
      <c r="C695" s="133"/>
      <c r="D695" s="133"/>
      <c r="E695" s="133"/>
      <c r="F695" s="134"/>
      <c r="G695" s="135"/>
      <c r="H695" s="133"/>
      <c r="I695" s="133"/>
      <c r="J695" s="133"/>
      <c r="K695" s="133"/>
      <c r="L695" s="133"/>
      <c r="M695" s="136"/>
      <c r="N695" s="136"/>
      <c r="O695" s="133"/>
    </row>
    <row r="696" customFormat="false" ht="15" hidden="false" customHeight="false" outlineLevel="0" collapsed="false">
      <c r="B696" s="132"/>
      <c r="C696" s="133"/>
      <c r="D696" s="133"/>
      <c r="E696" s="133"/>
      <c r="F696" s="134"/>
      <c r="G696" s="135"/>
      <c r="H696" s="133"/>
      <c r="I696" s="133"/>
      <c r="J696" s="133"/>
      <c r="K696" s="133"/>
      <c r="L696" s="133"/>
      <c r="M696" s="136"/>
      <c r="N696" s="136"/>
      <c r="O696" s="133"/>
    </row>
    <row r="697" customFormat="false" ht="15" hidden="false" customHeight="false" outlineLevel="0" collapsed="false">
      <c r="B697" s="132"/>
      <c r="C697" s="133"/>
      <c r="D697" s="133"/>
      <c r="E697" s="133"/>
      <c r="F697" s="134"/>
      <c r="G697" s="135"/>
      <c r="H697" s="133"/>
      <c r="I697" s="133"/>
      <c r="J697" s="133"/>
      <c r="K697" s="133"/>
      <c r="L697" s="133"/>
      <c r="M697" s="136"/>
      <c r="N697" s="136"/>
      <c r="O697" s="133"/>
    </row>
    <row r="698" customFormat="false" ht="15" hidden="false" customHeight="false" outlineLevel="0" collapsed="false">
      <c r="B698" s="132"/>
      <c r="C698" s="133"/>
      <c r="D698" s="133"/>
      <c r="E698" s="133"/>
      <c r="F698" s="134"/>
      <c r="G698" s="135"/>
      <c r="H698" s="133"/>
      <c r="I698" s="133"/>
      <c r="J698" s="133"/>
      <c r="K698" s="133"/>
      <c r="L698" s="133"/>
      <c r="M698" s="136"/>
      <c r="N698" s="136"/>
      <c r="O698" s="133"/>
    </row>
    <row r="699" customFormat="false" ht="15" hidden="false" customHeight="false" outlineLevel="0" collapsed="false">
      <c r="B699" s="132"/>
      <c r="C699" s="133"/>
      <c r="D699" s="133"/>
      <c r="E699" s="133"/>
      <c r="F699" s="134"/>
      <c r="G699" s="135"/>
      <c r="H699" s="133"/>
      <c r="I699" s="133"/>
      <c r="J699" s="133"/>
      <c r="K699" s="133"/>
      <c r="L699" s="133"/>
      <c r="M699" s="136"/>
      <c r="N699" s="136"/>
      <c r="O699" s="133"/>
    </row>
    <row r="700" customFormat="false" ht="15" hidden="false" customHeight="false" outlineLevel="0" collapsed="false">
      <c r="B700" s="132"/>
      <c r="C700" s="133"/>
      <c r="D700" s="133"/>
      <c r="E700" s="133"/>
      <c r="F700" s="134"/>
      <c r="G700" s="135"/>
      <c r="H700" s="133"/>
      <c r="I700" s="133"/>
      <c r="J700" s="133"/>
      <c r="K700" s="133"/>
      <c r="L700" s="133"/>
      <c r="M700" s="136"/>
      <c r="N700" s="136"/>
      <c r="O700" s="133"/>
    </row>
    <row r="701" customFormat="false" ht="15" hidden="false" customHeight="false" outlineLevel="0" collapsed="false">
      <c r="B701" s="132"/>
      <c r="C701" s="133"/>
      <c r="D701" s="133"/>
      <c r="E701" s="133"/>
      <c r="F701" s="134"/>
      <c r="G701" s="135"/>
      <c r="H701" s="133"/>
      <c r="I701" s="133"/>
      <c r="J701" s="133"/>
      <c r="K701" s="133"/>
      <c r="L701" s="133"/>
      <c r="M701" s="136"/>
      <c r="N701" s="136"/>
      <c r="O701" s="133"/>
    </row>
    <row r="702" customFormat="false" ht="15" hidden="false" customHeight="false" outlineLevel="0" collapsed="false">
      <c r="B702" s="132"/>
      <c r="C702" s="133"/>
      <c r="D702" s="133"/>
      <c r="E702" s="133"/>
      <c r="F702" s="134"/>
      <c r="G702" s="135"/>
      <c r="H702" s="133"/>
      <c r="I702" s="133"/>
      <c r="J702" s="133"/>
      <c r="K702" s="133"/>
      <c r="L702" s="133"/>
      <c r="M702" s="136"/>
      <c r="N702" s="136"/>
      <c r="O702" s="133"/>
    </row>
    <row r="703" customFormat="false" ht="15" hidden="false" customHeight="false" outlineLevel="0" collapsed="false">
      <c r="B703" s="132"/>
      <c r="C703" s="133"/>
      <c r="D703" s="133"/>
      <c r="E703" s="133"/>
      <c r="F703" s="134"/>
      <c r="G703" s="135"/>
      <c r="H703" s="133"/>
      <c r="I703" s="133"/>
      <c r="J703" s="133"/>
      <c r="K703" s="133"/>
      <c r="L703" s="133"/>
      <c r="M703" s="136"/>
      <c r="N703" s="136"/>
      <c r="O703" s="133"/>
    </row>
    <row r="704" customFormat="false" ht="15" hidden="false" customHeight="false" outlineLevel="0" collapsed="false">
      <c r="B704" s="132"/>
      <c r="C704" s="133"/>
      <c r="D704" s="133"/>
      <c r="E704" s="133"/>
      <c r="F704" s="134"/>
      <c r="G704" s="135"/>
      <c r="H704" s="133"/>
      <c r="I704" s="133"/>
      <c r="J704" s="133"/>
      <c r="K704" s="133"/>
      <c r="L704" s="133"/>
      <c r="M704" s="136"/>
      <c r="N704" s="136"/>
      <c r="O704" s="133"/>
    </row>
    <row r="705" customFormat="false" ht="15" hidden="false" customHeight="false" outlineLevel="0" collapsed="false">
      <c r="B705" s="132"/>
      <c r="C705" s="133"/>
      <c r="D705" s="133"/>
      <c r="E705" s="133"/>
      <c r="F705" s="134"/>
      <c r="G705" s="135"/>
      <c r="H705" s="133"/>
      <c r="I705" s="133"/>
      <c r="J705" s="133"/>
      <c r="K705" s="133"/>
      <c r="L705" s="133"/>
      <c r="M705" s="136"/>
      <c r="N705" s="136"/>
      <c r="O705" s="133"/>
    </row>
    <row r="706" customFormat="false" ht="15" hidden="false" customHeight="false" outlineLevel="0" collapsed="false">
      <c r="B706" s="132"/>
      <c r="C706" s="133"/>
      <c r="D706" s="133"/>
      <c r="E706" s="133"/>
      <c r="F706" s="134"/>
      <c r="G706" s="135"/>
      <c r="H706" s="133"/>
      <c r="I706" s="133"/>
      <c r="J706" s="133"/>
      <c r="K706" s="133"/>
      <c r="L706" s="133"/>
      <c r="M706" s="136"/>
      <c r="N706" s="136"/>
      <c r="O706" s="133"/>
    </row>
    <row r="707" customFormat="false" ht="15" hidden="false" customHeight="false" outlineLevel="0" collapsed="false">
      <c r="B707" s="132"/>
      <c r="C707" s="133"/>
      <c r="D707" s="133"/>
      <c r="E707" s="133"/>
      <c r="F707" s="134"/>
      <c r="G707" s="135"/>
      <c r="H707" s="133"/>
      <c r="I707" s="133"/>
      <c r="J707" s="133"/>
      <c r="K707" s="133"/>
      <c r="L707" s="133"/>
      <c r="M707" s="136"/>
      <c r="N707" s="136"/>
      <c r="O707" s="133"/>
    </row>
    <row r="708" customFormat="false" ht="15" hidden="false" customHeight="false" outlineLevel="0" collapsed="false">
      <c r="B708" s="132"/>
      <c r="C708" s="133"/>
      <c r="D708" s="133"/>
      <c r="E708" s="133"/>
      <c r="F708" s="134"/>
      <c r="G708" s="135"/>
      <c r="H708" s="133"/>
      <c r="I708" s="133"/>
      <c r="J708" s="133"/>
      <c r="K708" s="133"/>
      <c r="L708" s="133"/>
      <c r="M708" s="136"/>
      <c r="N708" s="136"/>
      <c r="O708" s="133"/>
    </row>
    <row r="709" customFormat="false" ht="15" hidden="false" customHeight="false" outlineLevel="0" collapsed="false">
      <c r="B709" s="132"/>
      <c r="C709" s="133"/>
      <c r="D709" s="133"/>
      <c r="E709" s="133"/>
      <c r="F709" s="134"/>
      <c r="G709" s="135"/>
      <c r="H709" s="133"/>
      <c r="I709" s="133"/>
      <c r="J709" s="133"/>
      <c r="K709" s="133"/>
      <c r="L709" s="133"/>
      <c r="M709" s="136"/>
      <c r="N709" s="136"/>
      <c r="O709" s="133"/>
    </row>
    <row r="710" customFormat="false" ht="15" hidden="false" customHeight="false" outlineLevel="0" collapsed="false">
      <c r="B710" s="132"/>
      <c r="C710" s="133"/>
      <c r="D710" s="133"/>
      <c r="E710" s="133"/>
      <c r="F710" s="134"/>
      <c r="G710" s="135"/>
      <c r="H710" s="133"/>
      <c r="I710" s="133"/>
      <c r="J710" s="133"/>
      <c r="K710" s="133"/>
      <c r="L710" s="133"/>
      <c r="M710" s="136"/>
      <c r="N710" s="136"/>
      <c r="O710" s="133"/>
    </row>
    <row r="711" customFormat="false" ht="15" hidden="false" customHeight="false" outlineLevel="0" collapsed="false">
      <c r="B711" s="132"/>
      <c r="C711" s="133"/>
      <c r="D711" s="133"/>
      <c r="E711" s="133"/>
      <c r="F711" s="134"/>
      <c r="G711" s="135"/>
      <c r="H711" s="133"/>
      <c r="I711" s="133"/>
      <c r="J711" s="133"/>
      <c r="K711" s="133"/>
      <c r="L711" s="133"/>
      <c r="M711" s="136"/>
      <c r="N711" s="136"/>
      <c r="O711" s="133"/>
    </row>
    <row r="712" customFormat="false" ht="15" hidden="false" customHeight="false" outlineLevel="0" collapsed="false">
      <c r="B712" s="132"/>
      <c r="C712" s="133"/>
      <c r="D712" s="133"/>
      <c r="E712" s="133"/>
      <c r="F712" s="134"/>
      <c r="G712" s="135"/>
      <c r="H712" s="133"/>
      <c r="I712" s="133"/>
      <c r="J712" s="133"/>
      <c r="K712" s="133"/>
      <c r="L712" s="133"/>
      <c r="M712" s="136"/>
      <c r="N712" s="136"/>
      <c r="O712" s="133"/>
    </row>
    <row r="713" customFormat="false" ht="15" hidden="false" customHeight="false" outlineLevel="0" collapsed="false">
      <c r="B713" s="132"/>
      <c r="C713" s="133"/>
      <c r="D713" s="133"/>
      <c r="E713" s="133"/>
      <c r="F713" s="134"/>
      <c r="G713" s="135"/>
      <c r="H713" s="133"/>
      <c r="I713" s="133"/>
      <c r="J713" s="133"/>
      <c r="K713" s="133"/>
      <c r="L713" s="133"/>
      <c r="M713" s="136"/>
      <c r="N713" s="136"/>
      <c r="O713" s="133"/>
    </row>
    <row r="714" customFormat="false" ht="15" hidden="false" customHeight="false" outlineLevel="0" collapsed="false">
      <c r="B714" s="132"/>
      <c r="C714" s="133"/>
      <c r="D714" s="133"/>
      <c r="E714" s="133"/>
      <c r="F714" s="134"/>
      <c r="G714" s="135"/>
      <c r="H714" s="133"/>
      <c r="I714" s="133"/>
      <c r="J714" s="133"/>
      <c r="K714" s="133"/>
      <c r="L714" s="133"/>
      <c r="M714" s="136"/>
      <c r="N714" s="136"/>
      <c r="O714" s="133"/>
    </row>
    <row r="715" customFormat="false" ht="15" hidden="false" customHeight="false" outlineLevel="0" collapsed="false">
      <c r="B715" s="132"/>
      <c r="C715" s="133"/>
      <c r="D715" s="133"/>
      <c r="E715" s="133"/>
      <c r="F715" s="134"/>
      <c r="G715" s="135"/>
      <c r="H715" s="133"/>
      <c r="I715" s="133"/>
      <c r="J715" s="133"/>
      <c r="K715" s="133"/>
      <c r="L715" s="133"/>
      <c r="M715" s="136"/>
      <c r="N715" s="136"/>
      <c r="O715" s="133"/>
    </row>
    <row r="716" customFormat="false" ht="15" hidden="false" customHeight="false" outlineLevel="0" collapsed="false">
      <c r="B716" s="132"/>
      <c r="C716" s="133"/>
      <c r="D716" s="133"/>
      <c r="E716" s="133"/>
      <c r="F716" s="134"/>
      <c r="G716" s="135"/>
      <c r="H716" s="133"/>
      <c r="I716" s="133"/>
      <c r="J716" s="133"/>
      <c r="K716" s="133"/>
      <c r="L716" s="133"/>
      <c r="M716" s="136"/>
      <c r="N716" s="136"/>
      <c r="O716" s="133"/>
    </row>
    <row r="717" customFormat="false" ht="15" hidden="false" customHeight="false" outlineLevel="0" collapsed="false">
      <c r="B717" s="132"/>
      <c r="C717" s="133"/>
      <c r="D717" s="133"/>
      <c r="E717" s="133"/>
      <c r="F717" s="134"/>
      <c r="G717" s="135"/>
      <c r="H717" s="133"/>
      <c r="I717" s="133"/>
      <c r="J717" s="133"/>
      <c r="K717" s="133"/>
      <c r="L717" s="133"/>
      <c r="M717" s="136"/>
      <c r="N717" s="136"/>
      <c r="O717" s="133"/>
    </row>
    <row r="718" customFormat="false" ht="15" hidden="false" customHeight="false" outlineLevel="0" collapsed="false">
      <c r="B718" s="132"/>
      <c r="C718" s="133"/>
      <c r="D718" s="133"/>
      <c r="E718" s="133"/>
      <c r="F718" s="134"/>
      <c r="G718" s="135"/>
      <c r="H718" s="133"/>
      <c r="I718" s="133"/>
      <c r="J718" s="133"/>
      <c r="K718" s="133"/>
      <c r="L718" s="133"/>
      <c r="M718" s="136"/>
      <c r="N718" s="136"/>
      <c r="O718" s="133"/>
    </row>
    <row r="719" customFormat="false" ht="15" hidden="false" customHeight="false" outlineLevel="0" collapsed="false">
      <c r="B719" s="132"/>
      <c r="C719" s="133"/>
      <c r="D719" s="133"/>
      <c r="E719" s="133"/>
      <c r="F719" s="134"/>
      <c r="G719" s="135"/>
      <c r="H719" s="133"/>
      <c r="I719" s="133"/>
      <c r="J719" s="133"/>
      <c r="K719" s="133"/>
      <c r="L719" s="133"/>
      <c r="M719" s="136"/>
      <c r="N719" s="136"/>
      <c r="O719" s="133"/>
    </row>
    <row r="720" customFormat="false" ht="15" hidden="false" customHeight="false" outlineLevel="0" collapsed="false">
      <c r="B720" s="132"/>
      <c r="C720" s="133"/>
      <c r="D720" s="133"/>
      <c r="E720" s="133"/>
      <c r="F720" s="134"/>
      <c r="G720" s="135"/>
      <c r="H720" s="133"/>
      <c r="I720" s="133"/>
      <c r="J720" s="133"/>
      <c r="K720" s="133"/>
      <c r="L720" s="133"/>
      <c r="M720" s="136"/>
      <c r="N720" s="136"/>
      <c r="O720" s="133"/>
    </row>
    <row r="721" customFormat="false" ht="15" hidden="false" customHeight="false" outlineLevel="0" collapsed="false">
      <c r="B721" s="132"/>
      <c r="C721" s="133"/>
      <c r="D721" s="133"/>
      <c r="E721" s="133"/>
      <c r="F721" s="134"/>
      <c r="G721" s="135"/>
      <c r="H721" s="133"/>
      <c r="I721" s="133"/>
      <c r="J721" s="133"/>
      <c r="K721" s="133"/>
      <c r="L721" s="133"/>
      <c r="M721" s="136"/>
      <c r="N721" s="136"/>
      <c r="O721" s="133"/>
    </row>
    <row r="722" customFormat="false" ht="15" hidden="false" customHeight="false" outlineLevel="0" collapsed="false">
      <c r="B722" s="132"/>
      <c r="C722" s="133"/>
      <c r="D722" s="133"/>
      <c r="E722" s="133"/>
      <c r="F722" s="134"/>
      <c r="G722" s="135"/>
      <c r="H722" s="133"/>
      <c r="I722" s="133"/>
      <c r="J722" s="133"/>
      <c r="K722" s="133"/>
      <c r="L722" s="133"/>
      <c r="M722" s="136"/>
      <c r="N722" s="136"/>
      <c r="O722" s="133"/>
    </row>
    <row r="723" customFormat="false" ht="15" hidden="false" customHeight="false" outlineLevel="0" collapsed="false">
      <c r="B723" s="132"/>
      <c r="C723" s="133"/>
      <c r="D723" s="133"/>
      <c r="E723" s="133"/>
      <c r="F723" s="134"/>
      <c r="G723" s="135"/>
      <c r="H723" s="133"/>
      <c r="I723" s="133"/>
      <c r="J723" s="133"/>
      <c r="K723" s="133"/>
      <c r="L723" s="133"/>
      <c r="M723" s="136"/>
      <c r="N723" s="136"/>
      <c r="O723" s="133"/>
    </row>
    <row r="724" customFormat="false" ht="15" hidden="false" customHeight="false" outlineLevel="0" collapsed="false">
      <c r="B724" s="132"/>
      <c r="C724" s="133"/>
      <c r="D724" s="133"/>
      <c r="E724" s="133"/>
      <c r="F724" s="134"/>
      <c r="G724" s="135"/>
      <c r="H724" s="133"/>
      <c r="I724" s="133"/>
      <c r="J724" s="133"/>
      <c r="K724" s="133"/>
      <c r="L724" s="133"/>
      <c r="M724" s="136"/>
      <c r="N724" s="136"/>
      <c r="O724" s="133"/>
    </row>
    <row r="725" customFormat="false" ht="15" hidden="false" customHeight="false" outlineLevel="0" collapsed="false">
      <c r="B725" s="132"/>
      <c r="C725" s="133"/>
      <c r="D725" s="133"/>
      <c r="E725" s="133"/>
      <c r="F725" s="134"/>
      <c r="G725" s="135"/>
      <c r="H725" s="133"/>
      <c r="I725" s="133"/>
      <c r="J725" s="133"/>
      <c r="K725" s="133"/>
      <c r="L725" s="133"/>
      <c r="M725" s="136"/>
      <c r="N725" s="136"/>
      <c r="O725" s="133"/>
    </row>
    <row r="726" customFormat="false" ht="15" hidden="false" customHeight="false" outlineLevel="0" collapsed="false">
      <c r="B726" s="132"/>
      <c r="C726" s="133"/>
      <c r="D726" s="133"/>
      <c r="E726" s="133"/>
      <c r="F726" s="134"/>
      <c r="G726" s="135"/>
      <c r="H726" s="133"/>
      <c r="I726" s="133"/>
      <c r="J726" s="133"/>
      <c r="K726" s="133"/>
      <c r="L726" s="133"/>
      <c r="M726" s="136"/>
      <c r="N726" s="136"/>
      <c r="O726" s="133"/>
    </row>
    <row r="727" customFormat="false" ht="15" hidden="false" customHeight="false" outlineLevel="0" collapsed="false">
      <c r="B727" s="132"/>
      <c r="C727" s="133"/>
      <c r="D727" s="133"/>
      <c r="E727" s="133"/>
      <c r="F727" s="134"/>
      <c r="G727" s="135"/>
      <c r="H727" s="133"/>
      <c r="I727" s="133"/>
      <c r="J727" s="133"/>
      <c r="K727" s="133"/>
      <c r="L727" s="133"/>
      <c r="M727" s="136"/>
      <c r="N727" s="136"/>
      <c r="O727" s="133"/>
    </row>
    <row r="728" customFormat="false" ht="15" hidden="false" customHeight="false" outlineLevel="0" collapsed="false">
      <c r="B728" s="132"/>
      <c r="C728" s="133"/>
      <c r="D728" s="133"/>
      <c r="E728" s="133"/>
      <c r="F728" s="134"/>
      <c r="G728" s="135"/>
      <c r="H728" s="133"/>
      <c r="I728" s="133"/>
      <c r="J728" s="133"/>
      <c r="K728" s="133"/>
      <c r="L728" s="133"/>
      <c r="M728" s="136"/>
      <c r="N728" s="136"/>
      <c r="O728" s="133"/>
    </row>
    <row r="729" customFormat="false" ht="15" hidden="false" customHeight="false" outlineLevel="0" collapsed="false">
      <c r="B729" s="132"/>
      <c r="C729" s="133"/>
      <c r="D729" s="133"/>
      <c r="E729" s="133"/>
      <c r="F729" s="134"/>
      <c r="G729" s="135"/>
      <c r="H729" s="133"/>
      <c r="I729" s="133"/>
      <c r="J729" s="133"/>
      <c r="K729" s="133"/>
      <c r="L729" s="133"/>
      <c r="M729" s="136"/>
      <c r="N729" s="136"/>
      <c r="O729" s="133"/>
    </row>
    <row r="730" customFormat="false" ht="15" hidden="false" customHeight="false" outlineLevel="0" collapsed="false">
      <c r="B730" s="132"/>
      <c r="C730" s="133"/>
      <c r="D730" s="133"/>
      <c r="E730" s="133"/>
      <c r="F730" s="134"/>
      <c r="G730" s="135"/>
      <c r="H730" s="133"/>
      <c r="I730" s="133"/>
      <c r="J730" s="133"/>
      <c r="K730" s="133"/>
      <c r="L730" s="133"/>
      <c r="M730" s="136"/>
      <c r="N730" s="136"/>
      <c r="O730" s="133"/>
    </row>
    <row r="731" customFormat="false" ht="15" hidden="false" customHeight="false" outlineLevel="0" collapsed="false">
      <c r="B731" s="132"/>
      <c r="C731" s="133"/>
      <c r="D731" s="133"/>
      <c r="E731" s="133"/>
      <c r="F731" s="134"/>
      <c r="G731" s="135"/>
      <c r="H731" s="133"/>
      <c r="I731" s="133"/>
      <c r="J731" s="133"/>
      <c r="K731" s="133"/>
      <c r="L731" s="133"/>
      <c r="M731" s="136"/>
      <c r="N731" s="136"/>
      <c r="O731" s="133"/>
    </row>
    <row r="732" customFormat="false" ht="15" hidden="false" customHeight="false" outlineLevel="0" collapsed="false">
      <c r="B732" s="132"/>
      <c r="C732" s="133"/>
      <c r="D732" s="133"/>
      <c r="E732" s="133"/>
      <c r="F732" s="134"/>
      <c r="G732" s="135"/>
      <c r="H732" s="133"/>
      <c r="I732" s="133"/>
      <c r="J732" s="133"/>
      <c r="K732" s="133"/>
      <c r="L732" s="133"/>
      <c r="M732" s="136"/>
      <c r="N732" s="136"/>
      <c r="O732" s="133"/>
    </row>
    <row r="733" customFormat="false" ht="15" hidden="false" customHeight="false" outlineLevel="0" collapsed="false">
      <c r="B733" s="132"/>
      <c r="C733" s="133"/>
      <c r="D733" s="133"/>
      <c r="E733" s="133"/>
      <c r="F733" s="134"/>
      <c r="G733" s="135"/>
      <c r="H733" s="133"/>
      <c r="I733" s="133"/>
      <c r="J733" s="133"/>
      <c r="K733" s="133"/>
      <c r="L733" s="133"/>
      <c r="M733" s="136"/>
      <c r="N733" s="136"/>
      <c r="O733" s="133"/>
    </row>
    <row r="734" customFormat="false" ht="15" hidden="false" customHeight="false" outlineLevel="0" collapsed="false">
      <c r="B734" s="132"/>
      <c r="C734" s="133"/>
      <c r="D734" s="133"/>
      <c r="E734" s="133"/>
      <c r="F734" s="134"/>
      <c r="G734" s="135"/>
      <c r="H734" s="133"/>
      <c r="I734" s="133"/>
      <c r="J734" s="133"/>
      <c r="K734" s="133"/>
      <c r="L734" s="133"/>
      <c r="M734" s="136"/>
      <c r="N734" s="136"/>
      <c r="O734" s="133"/>
    </row>
    <row r="735" customFormat="false" ht="15" hidden="false" customHeight="false" outlineLevel="0" collapsed="false">
      <c r="B735" s="132"/>
      <c r="C735" s="133"/>
      <c r="D735" s="133"/>
      <c r="E735" s="133"/>
      <c r="F735" s="134"/>
      <c r="G735" s="135"/>
      <c r="H735" s="133"/>
      <c r="I735" s="133"/>
      <c r="J735" s="133"/>
      <c r="K735" s="133"/>
      <c r="L735" s="133"/>
      <c r="M735" s="136"/>
      <c r="N735" s="136"/>
      <c r="O735" s="133"/>
    </row>
    <row r="736" customFormat="false" ht="15" hidden="false" customHeight="false" outlineLevel="0" collapsed="false">
      <c r="B736" s="132"/>
      <c r="C736" s="133"/>
      <c r="D736" s="133"/>
      <c r="E736" s="133"/>
      <c r="F736" s="134"/>
      <c r="G736" s="135"/>
      <c r="H736" s="133"/>
      <c r="I736" s="133"/>
      <c r="J736" s="133"/>
      <c r="K736" s="133"/>
      <c r="L736" s="133"/>
      <c r="M736" s="136"/>
      <c r="N736" s="136"/>
      <c r="O736" s="133"/>
    </row>
    <row r="737" customFormat="false" ht="15" hidden="false" customHeight="false" outlineLevel="0" collapsed="false">
      <c r="B737" s="132"/>
      <c r="C737" s="133"/>
      <c r="D737" s="133"/>
      <c r="E737" s="133"/>
      <c r="F737" s="134"/>
      <c r="G737" s="135"/>
      <c r="H737" s="133"/>
      <c r="I737" s="133"/>
      <c r="J737" s="133"/>
      <c r="K737" s="133"/>
      <c r="L737" s="133"/>
      <c r="M737" s="136"/>
      <c r="N737" s="136"/>
      <c r="O737" s="133"/>
    </row>
    <row r="738" customFormat="false" ht="15" hidden="false" customHeight="false" outlineLevel="0" collapsed="false">
      <c r="B738" s="132"/>
      <c r="C738" s="133"/>
      <c r="D738" s="133"/>
      <c r="E738" s="133"/>
      <c r="F738" s="134"/>
      <c r="G738" s="135"/>
      <c r="H738" s="133"/>
      <c r="I738" s="133"/>
      <c r="J738" s="133"/>
      <c r="K738" s="133"/>
      <c r="L738" s="133"/>
      <c r="M738" s="136"/>
      <c r="N738" s="136"/>
      <c r="O738" s="133"/>
    </row>
    <row r="739" customFormat="false" ht="15" hidden="false" customHeight="false" outlineLevel="0" collapsed="false">
      <c r="B739" s="132"/>
      <c r="C739" s="133"/>
      <c r="D739" s="133"/>
      <c r="E739" s="133"/>
      <c r="F739" s="134"/>
      <c r="G739" s="135"/>
      <c r="H739" s="133"/>
      <c r="I739" s="133"/>
      <c r="J739" s="133"/>
      <c r="K739" s="133"/>
      <c r="L739" s="133"/>
      <c r="M739" s="136"/>
      <c r="N739" s="136"/>
      <c r="O739" s="133"/>
    </row>
    <row r="740" customFormat="false" ht="15" hidden="false" customHeight="false" outlineLevel="0" collapsed="false">
      <c r="B740" s="132"/>
      <c r="C740" s="133"/>
      <c r="D740" s="133"/>
      <c r="E740" s="133"/>
      <c r="F740" s="134"/>
      <c r="G740" s="135"/>
      <c r="H740" s="133"/>
      <c r="I740" s="133"/>
      <c r="J740" s="133"/>
      <c r="K740" s="133"/>
      <c r="L740" s="133"/>
      <c r="M740" s="136"/>
      <c r="N740" s="136"/>
      <c r="O740" s="133"/>
    </row>
    <row r="741" customFormat="false" ht="15" hidden="false" customHeight="false" outlineLevel="0" collapsed="false">
      <c r="B741" s="132"/>
      <c r="C741" s="133"/>
      <c r="D741" s="133"/>
      <c r="E741" s="133"/>
      <c r="F741" s="134"/>
      <c r="G741" s="135"/>
      <c r="H741" s="133"/>
      <c r="I741" s="133"/>
      <c r="J741" s="133"/>
      <c r="K741" s="133"/>
      <c r="L741" s="133"/>
      <c r="M741" s="136"/>
      <c r="N741" s="136"/>
      <c r="O741" s="133"/>
    </row>
    <row r="742" customFormat="false" ht="15" hidden="false" customHeight="false" outlineLevel="0" collapsed="false">
      <c r="B742" s="132"/>
      <c r="C742" s="133"/>
      <c r="D742" s="133"/>
      <c r="E742" s="133"/>
      <c r="F742" s="134"/>
      <c r="G742" s="135"/>
      <c r="H742" s="133"/>
      <c r="I742" s="133"/>
      <c r="J742" s="133"/>
      <c r="K742" s="133"/>
      <c r="L742" s="133"/>
      <c r="M742" s="136"/>
      <c r="N742" s="136"/>
      <c r="O742" s="133"/>
    </row>
    <row r="743" customFormat="false" ht="15" hidden="false" customHeight="false" outlineLevel="0" collapsed="false">
      <c r="B743" s="132"/>
      <c r="C743" s="133"/>
      <c r="D743" s="133"/>
      <c r="E743" s="133"/>
      <c r="F743" s="134"/>
      <c r="G743" s="135"/>
      <c r="H743" s="133"/>
      <c r="I743" s="133"/>
      <c r="J743" s="133"/>
      <c r="K743" s="133"/>
      <c r="L743" s="133"/>
      <c r="M743" s="136"/>
      <c r="N743" s="136"/>
      <c r="O743" s="133"/>
    </row>
    <row r="744" customFormat="false" ht="15" hidden="false" customHeight="false" outlineLevel="0" collapsed="false">
      <c r="B744" s="132"/>
      <c r="C744" s="133"/>
      <c r="D744" s="133"/>
      <c r="E744" s="133"/>
      <c r="F744" s="134"/>
      <c r="G744" s="135"/>
      <c r="H744" s="133"/>
      <c r="I744" s="133"/>
      <c r="J744" s="133"/>
      <c r="K744" s="133"/>
      <c r="L744" s="133"/>
      <c r="M744" s="136"/>
      <c r="N744" s="136"/>
      <c r="O744" s="133"/>
    </row>
    <row r="745" customFormat="false" ht="15" hidden="false" customHeight="false" outlineLevel="0" collapsed="false">
      <c r="B745" s="132"/>
      <c r="C745" s="133"/>
      <c r="D745" s="133"/>
      <c r="E745" s="133"/>
      <c r="F745" s="134"/>
      <c r="G745" s="135"/>
      <c r="H745" s="133"/>
      <c r="I745" s="133"/>
      <c r="J745" s="133"/>
      <c r="K745" s="133"/>
      <c r="L745" s="133"/>
      <c r="M745" s="136"/>
      <c r="N745" s="136"/>
      <c r="O745" s="133"/>
    </row>
    <row r="746" customFormat="false" ht="15" hidden="false" customHeight="false" outlineLevel="0" collapsed="false">
      <c r="B746" s="132"/>
      <c r="C746" s="133"/>
      <c r="D746" s="133"/>
      <c r="E746" s="133"/>
      <c r="F746" s="134"/>
      <c r="G746" s="135"/>
      <c r="H746" s="133"/>
      <c r="I746" s="133"/>
      <c r="J746" s="133"/>
      <c r="K746" s="133"/>
      <c r="L746" s="133"/>
      <c r="M746" s="136"/>
      <c r="N746" s="136"/>
      <c r="O746" s="133"/>
    </row>
    <row r="747" customFormat="false" ht="15" hidden="false" customHeight="false" outlineLevel="0" collapsed="false">
      <c r="B747" s="132"/>
      <c r="C747" s="133"/>
      <c r="D747" s="133"/>
      <c r="E747" s="133"/>
      <c r="F747" s="134"/>
      <c r="G747" s="135"/>
      <c r="H747" s="133"/>
      <c r="I747" s="133"/>
      <c r="J747" s="133"/>
      <c r="K747" s="133"/>
      <c r="L747" s="133"/>
      <c r="M747" s="136"/>
      <c r="N747" s="136"/>
      <c r="O747" s="133"/>
    </row>
    <row r="748" customFormat="false" ht="15" hidden="false" customHeight="false" outlineLevel="0" collapsed="false">
      <c r="B748" s="132"/>
      <c r="C748" s="133"/>
      <c r="D748" s="133"/>
      <c r="E748" s="133"/>
      <c r="F748" s="134"/>
      <c r="G748" s="135"/>
      <c r="H748" s="133"/>
      <c r="I748" s="133"/>
      <c r="J748" s="133"/>
      <c r="K748" s="133"/>
      <c r="L748" s="133"/>
      <c r="M748" s="136"/>
      <c r="N748" s="136"/>
      <c r="O748" s="133"/>
    </row>
    <row r="749" customFormat="false" ht="15" hidden="false" customHeight="false" outlineLevel="0" collapsed="false">
      <c r="B749" s="132"/>
      <c r="C749" s="133"/>
      <c r="D749" s="133"/>
      <c r="E749" s="133"/>
      <c r="F749" s="134"/>
      <c r="G749" s="135"/>
      <c r="H749" s="133"/>
      <c r="I749" s="133"/>
      <c r="J749" s="133"/>
      <c r="K749" s="133"/>
      <c r="L749" s="133"/>
      <c r="M749" s="136"/>
      <c r="N749" s="136"/>
      <c r="O749" s="133"/>
    </row>
    <row r="750" customFormat="false" ht="15" hidden="false" customHeight="false" outlineLevel="0" collapsed="false">
      <c r="B750" s="132"/>
      <c r="C750" s="133"/>
      <c r="D750" s="133"/>
      <c r="E750" s="133"/>
      <c r="F750" s="134"/>
      <c r="G750" s="135"/>
      <c r="H750" s="133"/>
      <c r="I750" s="133"/>
      <c r="J750" s="133"/>
      <c r="K750" s="133"/>
      <c r="L750" s="133"/>
      <c r="M750" s="136"/>
      <c r="N750" s="136"/>
      <c r="O750" s="133"/>
    </row>
    <row r="751" customFormat="false" ht="15" hidden="false" customHeight="false" outlineLevel="0" collapsed="false">
      <c r="B751" s="132"/>
      <c r="C751" s="133"/>
      <c r="D751" s="133"/>
      <c r="E751" s="133"/>
      <c r="F751" s="134"/>
      <c r="G751" s="135"/>
      <c r="H751" s="133"/>
      <c r="I751" s="133"/>
      <c r="J751" s="133"/>
      <c r="K751" s="133"/>
      <c r="L751" s="133"/>
      <c r="M751" s="136"/>
      <c r="N751" s="136"/>
      <c r="O751" s="133"/>
    </row>
    <row r="752" customFormat="false" ht="15" hidden="false" customHeight="false" outlineLevel="0" collapsed="false">
      <c r="B752" s="132"/>
      <c r="C752" s="133"/>
      <c r="D752" s="133"/>
      <c r="E752" s="133"/>
      <c r="F752" s="134"/>
      <c r="G752" s="135"/>
      <c r="H752" s="133"/>
      <c r="I752" s="133"/>
      <c r="J752" s="133"/>
      <c r="K752" s="133"/>
      <c r="L752" s="133"/>
      <c r="M752" s="136"/>
      <c r="N752" s="136"/>
      <c r="O752" s="133"/>
    </row>
    <row r="753" customFormat="false" ht="15" hidden="false" customHeight="false" outlineLevel="0" collapsed="false">
      <c r="B753" s="132"/>
      <c r="C753" s="133"/>
      <c r="D753" s="133"/>
      <c r="E753" s="133"/>
      <c r="F753" s="134"/>
      <c r="G753" s="135"/>
      <c r="H753" s="133"/>
      <c r="I753" s="133"/>
      <c r="J753" s="133"/>
      <c r="K753" s="133"/>
      <c r="L753" s="133"/>
      <c r="M753" s="136"/>
      <c r="N753" s="136"/>
      <c r="O753" s="133"/>
    </row>
    <row r="754" customFormat="false" ht="15" hidden="false" customHeight="false" outlineLevel="0" collapsed="false">
      <c r="B754" s="132"/>
      <c r="C754" s="133"/>
      <c r="D754" s="133"/>
      <c r="E754" s="133"/>
      <c r="F754" s="134"/>
      <c r="G754" s="135"/>
      <c r="H754" s="133"/>
      <c r="I754" s="133"/>
      <c r="J754" s="133"/>
      <c r="K754" s="133"/>
      <c r="L754" s="133"/>
      <c r="M754" s="136"/>
      <c r="N754" s="136"/>
      <c r="O754" s="133"/>
    </row>
    <row r="755" customFormat="false" ht="15" hidden="false" customHeight="false" outlineLevel="0" collapsed="false">
      <c r="B755" s="132"/>
      <c r="C755" s="133"/>
      <c r="D755" s="133"/>
      <c r="E755" s="133"/>
      <c r="F755" s="134"/>
      <c r="G755" s="135"/>
      <c r="H755" s="133"/>
      <c r="I755" s="133"/>
      <c r="J755" s="133"/>
      <c r="K755" s="133"/>
      <c r="L755" s="133"/>
      <c r="M755" s="136"/>
      <c r="N755" s="136"/>
      <c r="O755" s="133"/>
    </row>
    <row r="756" customFormat="false" ht="15" hidden="false" customHeight="false" outlineLevel="0" collapsed="false">
      <c r="B756" s="132"/>
      <c r="C756" s="133"/>
      <c r="D756" s="133"/>
      <c r="E756" s="133"/>
      <c r="F756" s="134"/>
      <c r="G756" s="135"/>
      <c r="H756" s="133"/>
      <c r="I756" s="133"/>
      <c r="J756" s="133"/>
      <c r="K756" s="133"/>
      <c r="L756" s="133"/>
      <c r="M756" s="136"/>
      <c r="N756" s="136"/>
      <c r="O756" s="133"/>
    </row>
    <row r="757" customFormat="false" ht="15" hidden="false" customHeight="false" outlineLevel="0" collapsed="false">
      <c r="B757" s="132"/>
      <c r="C757" s="133"/>
      <c r="D757" s="133"/>
      <c r="E757" s="133"/>
      <c r="F757" s="134"/>
      <c r="G757" s="135"/>
      <c r="H757" s="133"/>
      <c r="I757" s="133"/>
      <c r="J757" s="133"/>
      <c r="K757" s="133"/>
      <c r="L757" s="133"/>
      <c r="M757" s="136"/>
      <c r="N757" s="136"/>
      <c r="O757" s="133"/>
    </row>
    <row r="758" customFormat="false" ht="15" hidden="false" customHeight="false" outlineLevel="0" collapsed="false">
      <c r="B758" s="132"/>
      <c r="C758" s="133"/>
      <c r="D758" s="133"/>
      <c r="E758" s="133"/>
      <c r="F758" s="134"/>
      <c r="G758" s="135"/>
      <c r="H758" s="133"/>
      <c r="I758" s="133"/>
      <c r="J758" s="133"/>
      <c r="K758" s="133"/>
      <c r="L758" s="133"/>
      <c r="M758" s="136"/>
      <c r="N758" s="136"/>
      <c r="O758" s="133"/>
    </row>
    <row r="759" customFormat="false" ht="15" hidden="false" customHeight="false" outlineLevel="0" collapsed="false">
      <c r="B759" s="132"/>
      <c r="C759" s="133"/>
      <c r="D759" s="133"/>
      <c r="E759" s="133"/>
      <c r="F759" s="134"/>
      <c r="G759" s="135"/>
      <c r="H759" s="133"/>
      <c r="I759" s="133"/>
      <c r="J759" s="133"/>
      <c r="K759" s="133"/>
      <c r="L759" s="133"/>
      <c r="M759" s="136"/>
      <c r="N759" s="136"/>
      <c r="O759" s="133"/>
    </row>
    <row r="760" customFormat="false" ht="15" hidden="false" customHeight="false" outlineLevel="0" collapsed="false">
      <c r="B760" s="132"/>
      <c r="C760" s="133"/>
      <c r="D760" s="133"/>
      <c r="E760" s="133"/>
      <c r="F760" s="134"/>
      <c r="G760" s="135"/>
      <c r="H760" s="133"/>
      <c r="I760" s="133"/>
      <c r="J760" s="133"/>
      <c r="K760" s="133"/>
      <c r="L760" s="133"/>
      <c r="M760" s="136"/>
      <c r="N760" s="136"/>
      <c r="O760" s="133"/>
    </row>
    <row r="761" customFormat="false" ht="15" hidden="false" customHeight="false" outlineLevel="0" collapsed="false">
      <c r="B761" s="132"/>
      <c r="C761" s="133"/>
      <c r="D761" s="133"/>
      <c r="E761" s="133"/>
      <c r="F761" s="134"/>
      <c r="G761" s="135"/>
      <c r="H761" s="133"/>
      <c r="I761" s="133"/>
      <c r="J761" s="133"/>
      <c r="K761" s="133"/>
      <c r="L761" s="133"/>
      <c r="M761" s="136"/>
      <c r="N761" s="136"/>
      <c r="O761" s="133"/>
    </row>
    <row r="762" customFormat="false" ht="15" hidden="false" customHeight="false" outlineLevel="0" collapsed="false">
      <c r="B762" s="132"/>
      <c r="C762" s="133"/>
      <c r="D762" s="133"/>
      <c r="E762" s="133"/>
      <c r="F762" s="134"/>
      <c r="G762" s="135"/>
      <c r="H762" s="133"/>
      <c r="I762" s="133"/>
      <c r="J762" s="133"/>
      <c r="K762" s="133"/>
      <c r="L762" s="133"/>
      <c r="M762" s="136"/>
      <c r="N762" s="136"/>
      <c r="O762" s="133"/>
    </row>
    <row r="763" customFormat="false" ht="15" hidden="false" customHeight="false" outlineLevel="0" collapsed="false">
      <c r="B763" s="132"/>
      <c r="C763" s="133"/>
      <c r="D763" s="133"/>
      <c r="E763" s="133"/>
      <c r="F763" s="134"/>
      <c r="G763" s="135"/>
      <c r="H763" s="133"/>
      <c r="I763" s="133"/>
      <c r="J763" s="133"/>
      <c r="K763" s="133"/>
      <c r="L763" s="133"/>
      <c r="M763" s="136"/>
      <c r="N763" s="136"/>
      <c r="O763" s="133"/>
    </row>
    <row r="764" customFormat="false" ht="15" hidden="false" customHeight="false" outlineLevel="0" collapsed="false">
      <c r="B764" s="132"/>
      <c r="C764" s="133"/>
      <c r="D764" s="133"/>
      <c r="E764" s="133"/>
      <c r="F764" s="134"/>
      <c r="G764" s="135"/>
      <c r="H764" s="133"/>
      <c r="I764" s="133"/>
      <c r="J764" s="133"/>
      <c r="K764" s="133"/>
      <c r="L764" s="133"/>
      <c r="M764" s="136"/>
      <c r="N764" s="136"/>
      <c r="O764" s="133"/>
    </row>
    <row r="765" customFormat="false" ht="15" hidden="false" customHeight="false" outlineLevel="0" collapsed="false">
      <c r="B765" s="132"/>
      <c r="C765" s="133"/>
      <c r="D765" s="133"/>
      <c r="E765" s="133"/>
      <c r="F765" s="134"/>
      <c r="G765" s="135"/>
      <c r="H765" s="133"/>
      <c r="I765" s="133"/>
      <c r="J765" s="133"/>
      <c r="K765" s="133"/>
      <c r="L765" s="133"/>
      <c r="M765" s="136"/>
      <c r="N765" s="136"/>
      <c r="O765" s="133"/>
    </row>
    <row r="766" customFormat="false" ht="15" hidden="false" customHeight="false" outlineLevel="0" collapsed="false">
      <c r="B766" s="132"/>
      <c r="C766" s="133"/>
      <c r="D766" s="133"/>
      <c r="E766" s="133"/>
      <c r="F766" s="134"/>
      <c r="G766" s="135"/>
      <c r="H766" s="133"/>
      <c r="I766" s="133"/>
      <c r="J766" s="133"/>
      <c r="K766" s="133"/>
      <c r="L766" s="133"/>
      <c r="M766" s="136"/>
      <c r="N766" s="136"/>
      <c r="O766" s="133"/>
    </row>
    <row r="767" customFormat="false" ht="15" hidden="false" customHeight="false" outlineLevel="0" collapsed="false">
      <c r="B767" s="132"/>
      <c r="C767" s="133"/>
      <c r="D767" s="133"/>
      <c r="E767" s="133"/>
      <c r="F767" s="134"/>
      <c r="G767" s="135"/>
      <c r="H767" s="133"/>
      <c r="I767" s="133"/>
      <c r="J767" s="133"/>
      <c r="K767" s="133"/>
      <c r="L767" s="133"/>
      <c r="M767" s="136"/>
      <c r="N767" s="136"/>
      <c r="O767" s="133"/>
    </row>
    <row r="768" customFormat="false" ht="15" hidden="false" customHeight="false" outlineLevel="0" collapsed="false">
      <c r="B768" s="132"/>
      <c r="C768" s="133"/>
      <c r="D768" s="133"/>
      <c r="E768" s="133"/>
      <c r="F768" s="134"/>
      <c r="G768" s="135"/>
      <c r="H768" s="133"/>
      <c r="I768" s="133"/>
      <c r="J768" s="133"/>
      <c r="K768" s="133"/>
      <c r="L768" s="133"/>
      <c r="M768" s="136"/>
      <c r="N768" s="136"/>
      <c r="O768" s="133"/>
    </row>
    <row r="769" customFormat="false" ht="15" hidden="false" customHeight="false" outlineLevel="0" collapsed="false">
      <c r="B769" s="132"/>
      <c r="C769" s="133"/>
      <c r="D769" s="133"/>
      <c r="E769" s="133"/>
      <c r="F769" s="134"/>
      <c r="G769" s="135"/>
      <c r="H769" s="133"/>
      <c r="I769" s="133"/>
      <c r="J769" s="133"/>
      <c r="K769" s="133"/>
      <c r="L769" s="133"/>
      <c r="M769" s="136"/>
      <c r="N769" s="136"/>
      <c r="O769" s="133"/>
    </row>
    <row r="770" customFormat="false" ht="15" hidden="false" customHeight="false" outlineLevel="0" collapsed="false">
      <c r="B770" s="132"/>
      <c r="C770" s="133"/>
      <c r="D770" s="133"/>
      <c r="E770" s="133"/>
      <c r="F770" s="134"/>
      <c r="G770" s="135"/>
      <c r="H770" s="133"/>
      <c r="I770" s="133"/>
      <c r="J770" s="133"/>
      <c r="K770" s="133"/>
      <c r="L770" s="133"/>
      <c r="M770" s="136"/>
      <c r="N770" s="136"/>
      <c r="O770" s="133"/>
    </row>
    <row r="771" customFormat="false" ht="15" hidden="false" customHeight="false" outlineLevel="0" collapsed="false">
      <c r="B771" s="132"/>
      <c r="C771" s="133"/>
      <c r="D771" s="133"/>
      <c r="E771" s="133"/>
      <c r="F771" s="134"/>
      <c r="G771" s="135"/>
      <c r="H771" s="133"/>
      <c r="I771" s="133"/>
      <c r="J771" s="133"/>
      <c r="K771" s="133"/>
      <c r="L771" s="133"/>
      <c r="M771" s="136"/>
      <c r="N771" s="136"/>
      <c r="O771" s="133"/>
    </row>
    <row r="772" customFormat="false" ht="15" hidden="false" customHeight="false" outlineLevel="0" collapsed="false">
      <c r="B772" s="132"/>
      <c r="C772" s="133"/>
      <c r="D772" s="133"/>
      <c r="E772" s="133"/>
      <c r="F772" s="134"/>
      <c r="G772" s="135"/>
      <c r="H772" s="133"/>
      <c r="I772" s="133"/>
      <c r="J772" s="133"/>
      <c r="K772" s="133"/>
      <c r="L772" s="133"/>
      <c r="M772" s="136"/>
      <c r="N772" s="136"/>
      <c r="O772" s="133"/>
    </row>
    <row r="773" customFormat="false" ht="15" hidden="false" customHeight="false" outlineLevel="0" collapsed="false">
      <c r="B773" s="132"/>
      <c r="C773" s="133"/>
      <c r="D773" s="133"/>
      <c r="E773" s="133"/>
      <c r="F773" s="134"/>
      <c r="G773" s="135"/>
      <c r="H773" s="133"/>
      <c r="I773" s="133"/>
      <c r="J773" s="133"/>
      <c r="K773" s="133"/>
      <c r="L773" s="133"/>
      <c r="M773" s="136"/>
      <c r="N773" s="136"/>
      <c r="O773" s="133"/>
    </row>
    <row r="774" customFormat="false" ht="15" hidden="false" customHeight="false" outlineLevel="0" collapsed="false">
      <c r="B774" s="132"/>
      <c r="C774" s="133"/>
      <c r="D774" s="133"/>
      <c r="E774" s="133"/>
      <c r="F774" s="134"/>
      <c r="G774" s="135"/>
      <c r="H774" s="133"/>
      <c r="I774" s="133"/>
      <c r="J774" s="133"/>
      <c r="K774" s="133"/>
      <c r="L774" s="133"/>
      <c r="M774" s="136"/>
      <c r="N774" s="136"/>
      <c r="O774" s="133"/>
    </row>
    <row r="775" customFormat="false" ht="15" hidden="false" customHeight="false" outlineLevel="0" collapsed="false">
      <c r="B775" s="132"/>
      <c r="C775" s="133"/>
      <c r="D775" s="133"/>
      <c r="E775" s="133"/>
      <c r="F775" s="134"/>
      <c r="G775" s="135"/>
      <c r="H775" s="133"/>
      <c r="I775" s="133"/>
      <c r="J775" s="133"/>
      <c r="K775" s="133"/>
      <c r="L775" s="133"/>
      <c r="M775" s="136"/>
      <c r="N775" s="136"/>
      <c r="O775" s="133"/>
    </row>
    <row r="776" customFormat="false" ht="15" hidden="false" customHeight="false" outlineLevel="0" collapsed="false">
      <c r="B776" s="132"/>
      <c r="C776" s="133"/>
      <c r="D776" s="133"/>
      <c r="E776" s="133"/>
      <c r="F776" s="134"/>
      <c r="G776" s="135"/>
      <c r="H776" s="133"/>
      <c r="I776" s="133"/>
      <c r="J776" s="133"/>
      <c r="K776" s="133"/>
      <c r="L776" s="133"/>
      <c r="M776" s="136"/>
      <c r="N776" s="136"/>
      <c r="O776" s="133"/>
    </row>
    <row r="777" customFormat="false" ht="15" hidden="false" customHeight="false" outlineLevel="0" collapsed="false">
      <c r="B777" s="132"/>
      <c r="C777" s="133"/>
      <c r="D777" s="133"/>
      <c r="E777" s="133"/>
      <c r="F777" s="134"/>
      <c r="G777" s="135"/>
      <c r="H777" s="133"/>
      <c r="I777" s="133"/>
      <c r="J777" s="133"/>
      <c r="K777" s="133"/>
      <c r="L777" s="133"/>
      <c r="M777" s="136"/>
      <c r="N777" s="136"/>
      <c r="O777" s="133"/>
    </row>
    <row r="778" customFormat="false" ht="15" hidden="false" customHeight="false" outlineLevel="0" collapsed="false">
      <c r="B778" s="132"/>
      <c r="C778" s="133"/>
      <c r="D778" s="133"/>
      <c r="E778" s="133"/>
      <c r="F778" s="134"/>
      <c r="G778" s="135"/>
      <c r="H778" s="133"/>
      <c r="I778" s="133"/>
      <c r="J778" s="133"/>
      <c r="K778" s="133"/>
      <c r="L778" s="133"/>
      <c r="M778" s="136"/>
      <c r="N778" s="136"/>
      <c r="O778" s="133"/>
    </row>
    <row r="779" customFormat="false" ht="15" hidden="false" customHeight="false" outlineLevel="0" collapsed="false">
      <c r="B779" s="132"/>
      <c r="C779" s="133"/>
      <c r="D779" s="133"/>
      <c r="E779" s="133"/>
      <c r="F779" s="134"/>
      <c r="G779" s="135"/>
      <c r="H779" s="133"/>
      <c r="I779" s="133"/>
      <c r="J779" s="133"/>
      <c r="K779" s="133"/>
      <c r="L779" s="133"/>
      <c r="M779" s="136"/>
      <c r="N779" s="136"/>
      <c r="O779" s="133"/>
    </row>
    <row r="780" customFormat="false" ht="15" hidden="false" customHeight="false" outlineLevel="0" collapsed="false">
      <c r="B780" s="132"/>
      <c r="C780" s="133"/>
      <c r="D780" s="133"/>
      <c r="E780" s="133"/>
      <c r="F780" s="134"/>
      <c r="G780" s="135"/>
      <c r="H780" s="133"/>
      <c r="I780" s="133"/>
      <c r="J780" s="133"/>
      <c r="K780" s="133"/>
      <c r="L780" s="133"/>
      <c r="M780" s="136"/>
      <c r="N780" s="136"/>
      <c r="O780" s="133"/>
    </row>
    <row r="781" customFormat="false" ht="15" hidden="false" customHeight="false" outlineLevel="0" collapsed="false">
      <c r="B781" s="132"/>
      <c r="C781" s="133"/>
      <c r="D781" s="133"/>
      <c r="E781" s="133"/>
      <c r="F781" s="134"/>
      <c r="G781" s="135"/>
      <c r="H781" s="133"/>
      <c r="I781" s="133"/>
      <c r="J781" s="133"/>
      <c r="K781" s="133"/>
      <c r="L781" s="133"/>
      <c r="M781" s="136"/>
      <c r="N781" s="136"/>
      <c r="O781" s="133"/>
    </row>
    <row r="782" customFormat="false" ht="15" hidden="false" customHeight="false" outlineLevel="0" collapsed="false">
      <c r="B782" s="132"/>
      <c r="C782" s="133"/>
      <c r="D782" s="133"/>
      <c r="E782" s="133"/>
      <c r="F782" s="134"/>
      <c r="G782" s="135"/>
      <c r="H782" s="133"/>
      <c r="I782" s="133"/>
      <c r="J782" s="133"/>
      <c r="K782" s="133"/>
      <c r="L782" s="133"/>
      <c r="M782" s="136"/>
      <c r="N782" s="136"/>
      <c r="O782" s="133"/>
    </row>
    <row r="783" customFormat="false" ht="15" hidden="false" customHeight="false" outlineLevel="0" collapsed="false">
      <c r="B783" s="132"/>
      <c r="C783" s="133"/>
      <c r="D783" s="133"/>
      <c r="E783" s="133"/>
      <c r="F783" s="134"/>
      <c r="G783" s="135"/>
      <c r="H783" s="133"/>
      <c r="I783" s="133"/>
      <c r="J783" s="133"/>
      <c r="K783" s="133"/>
      <c r="L783" s="133"/>
      <c r="M783" s="136"/>
      <c r="N783" s="136"/>
      <c r="O783" s="133"/>
    </row>
    <row r="784" customFormat="false" ht="15" hidden="false" customHeight="false" outlineLevel="0" collapsed="false">
      <c r="B784" s="132"/>
      <c r="C784" s="133"/>
      <c r="D784" s="133"/>
      <c r="E784" s="133"/>
      <c r="F784" s="134"/>
      <c r="G784" s="135"/>
      <c r="H784" s="133"/>
      <c r="I784" s="133"/>
      <c r="J784" s="133"/>
      <c r="K784" s="133"/>
      <c r="L784" s="133"/>
      <c r="M784" s="136"/>
      <c r="N784" s="136"/>
      <c r="O784" s="133"/>
    </row>
    <row r="785" customFormat="false" ht="15" hidden="false" customHeight="false" outlineLevel="0" collapsed="false">
      <c r="B785" s="132"/>
      <c r="C785" s="133"/>
      <c r="D785" s="133"/>
      <c r="E785" s="133"/>
      <c r="F785" s="134"/>
      <c r="G785" s="135"/>
      <c r="H785" s="133"/>
      <c r="I785" s="133"/>
      <c r="J785" s="133"/>
      <c r="K785" s="133"/>
      <c r="L785" s="133"/>
      <c r="M785" s="136"/>
      <c r="N785" s="136"/>
      <c r="O785" s="133"/>
    </row>
    <row r="786" customFormat="false" ht="15" hidden="false" customHeight="false" outlineLevel="0" collapsed="false">
      <c r="B786" s="132"/>
      <c r="C786" s="133"/>
      <c r="D786" s="133"/>
      <c r="E786" s="133"/>
      <c r="F786" s="134"/>
      <c r="G786" s="135"/>
      <c r="H786" s="133"/>
      <c r="I786" s="133"/>
      <c r="J786" s="133"/>
      <c r="K786" s="133"/>
      <c r="L786" s="133"/>
      <c r="M786" s="136"/>
      <c r="N786" s="136"/>
      <c r="O786" s="133"/>
    </row>
    <row r="787" customFormat="false" ht="15" hidden="false" customHeight="false" outlineLevel="0" collapsed="false">
      <c r="B787" s="132"/>
      <c r="C787" s="133"/>
      <c r="D787" s="133"/>
      <c r="E787" s="133"/>
      <c r="F787" s="134"/>
      <c r="G787" s="135"/>
      <c r="H787" s="133"/>
      <c r="I787" s="133"/>
      <c r="J787" s="133"/>
      <c r="K787" s="133"/>
      <c r="L787" s="133"/>
      <c r="M787" s="136"/>
      <c r="N787" s="136"/>
      <c r="O787" s="133"/>
    </row>
    <row r="788" customFormat="false" ht="15" hidden="false" customHeight="false" outlineLevel="0" collapsed="false">
      <c r="B788" s="132"/>
      <c r="C788" s="133"/>
      <c r="D788" s="133"/>
      <c r="E788" s="133"/>
      <c r="F788" s="134"/>
      <c r="G788" s="135"/>
      <c r="H788" s="133"/>
      <c r="I788" s="133"/>
      <c r="J788" s="133"/>
      <c r="K788" s="133"/>
      <c r="L788" s="133"/>
      <c r="M788" s="136"/>
      <c r="N788" s="136"/>
      <c r="O788" s="133"/>
    </row>
    <row r="789" customFormat="false" ht="15" hidden="false" customHeight="false" outlineLevel="0" collapsed="false">
      <c r="B789" s="132"/>
      <c r="C789" s="133"/>
      <c r="D789" s="133"/>
      <c r="E789" s="133"/>
      <c r="F789" s="134"/>
      <c r="G789" s="135"/>
      <c r="H789" s="133"/>
      <c r="I789" s="133"/>
      <c r="J789" s="133"/>
      <c r="K789" s="133"/>
      <c r="L789" s="133"/>
      <c r="M789" s="136"/>
      <c r="N789" s="136"/>
      <c r="O789" s="133"/>
    </row>
    <row r="790" customFormat="false" ht="15" hidden="false" customHeight="false" outlineLevel="0" collapsed="false">
      <c r="B790" s="132"/>
      <c r="C790" s="133"/>
      <c r="D790" s="133"/>
      <c r="E790" s="133"/>
      <c r="F790" s="134"/>
      <c r="G790" s="135"/>
      <c r="H790" s="133"/>
      <c r="I790" s="133"/>
      <c r="J790" s="133"/>
      <c r="K790" s="133"/>
      <c r="L790" s="133"/>
      <c r="M790" s="136"/>
      <c r="N790" s="136"/>
      <c r="O790" s="133"/>
    </row>
    <row r="791" customFormat="false" ht="15" hidden="false" customHeight="false" outlineLevel="0" collapsed="false">
      <c r="B791" s="132"/>
      <c r="C791" s="133"/>
      <c r="D791" s="133"/>
      <c r="E791" s="133"/>
      <c r="F791" s="134"/>
      <c r="G791" s="135"/>
      <c r="H791" s="133"/>
      <c r="I791" s="133"/>
      <c r="J791" s="133"/>
      <c r="K791" s="133"/>
      <c r="L791" s="133"/>
      <c r="M791" s="136"/>
      <c r="N791" s="136"/>
      <c r="O791" s="133"/>
    </row>
    <row r="792" customFormat="false" ht="15" hidden="false" customHeight="false" outlineLevel="0" collapsed="false">
      <c r="B792" s="132"/>
      <c r="C792" s="133"/>
      <c r="D792" s="133"/>
      <c r="E792" s="133"/>
      <c r="F792" s="134"/>
      <c r="G792" s="135"/>
      <c r="H792" s="133"/>
      <c r="I792" s="133"/>
      <c r="J792" s="133"/>
      <c r="K792" s="133"/>
      <c r="L792" s="133"/>
      <c r="M792" s="136"/>
      <c r="N792" s="136"/>
      <c r="O792" s="133"/>
    </row>
    <row r="793" customFormat="false" ht="15" hidden="false" customHeight="false" outlineLevel="0" collapsed="false">
      <c r="B793" s="132"/>
      <c r="C793" s="133"/>
      <c r="D793" s="133"/>
      <c r="E793" s="133"/>
      <c r="F793" s="134"/>
      <c r="G793" s="135"/>
      <c r="H793" s="133"/>
      <c r="I793" s="133"/>
      <c r="J793" s="133"/>
      <c r="K793" s="133"/>
      <c r="L793" s="133"/>
      <c r="M793" s="136"/>
      <c r="N793" s="136"/>
      <c r="O793" s="133"/>
    </row>
    <row r="794" customFormat="false" ht="15" hidden="false" customHeight="false" outlineLevel="0" collapsed="false">
      <c r="B794" s="132"/>
      <c r="C794" s="133"/>
      <c r="D794" s="133"/>
      <c r="E794" s="133"/>
      <c r="F794" s="134"/>
      <c r="G794" s="135"/>
      <c r="H794" s="133"/>
      <c r="I794" s="133"/>
      <c r="J794" s="133"/>
      <c r="K794" s="133"/>
      <c r="L794" s="133"/>
      <c r="M794" s="136"/>
      <c r="N794" s="136"/>
      <c r="O794" s="133"/>
    </row>
    <row r="795" customFormat="false" ht="15" hidden="false" customHeight="false" outlineLevel="0" collapsed="false">
      <c r="B795" s="132"/>
      <c r="C795" s="133"/>
      <c r="D795" s="133"/>
      <c r="E795" s="133"/>
      <c r="F795" s="134"/>
      <c r="G795" s="135"/>
      <c r="H795" s="133"/>
      <c r="I795" s="133"/>
      <c r="J795" s="133"/>
      <c r="K795" s="133"/>
      <c r="L795" s="133"/>
      <c r="M795" s="136"/>
      <c r="N795" s="136"/>
      <c r="O795" s="133"/>
    </row>
    <row r="796" customFormat="false" ht="15" hidden="false" customHeight="false" outlineLevel="0" collapsed="false">
      <c r="B796" s="132"/>
      <c r="C796" s="133"/>
      <c r="D796" s="133"/>
      <c r="E796" s="133"/>
      <c r="F796" s="134"/>
      <c r="G796" s="135"/>
      <c r="H796" s="133"/>
      <c r="I796" s="133"/>
      <c r="J796" s="133"/>
      <c r="K796" s="133"/>
      <c r="L796" s="133"/>
      <c r="M796" s="136"/>
      <c r="N796" s="136"/>
      <c r="O796" s="133"/>
    </row>
    <row r="797" customFormat="false" ht="15" hidden="false" customHeight="false" outlineLevel="0" collapsed="false">
      <c r="B797" s="132"/>
      <c r="C797" s="133"/>
      <c r="D797" s="133"/>
      <c r="E797" s="133"/>
      <c r="F797" s="134"/>
      <c r="G797" s="135"/>
      <c r="H797" s="133"/>
      <c r="I797" s="133"/>
      <c r="J797" s="133"/>
      <c r="K797" s="133"/>
      <c r="L797" s="133"/>
      <c r="M797" s="136"/>
      <c r="N797" s="136"/>
      <c r="O797" s="133"/>
    </row>
    <row r="798" customFormat="false" ht="15" hidden="false" customHeight="false" outlineLevel="0" collapsed="false">
      <c r="B798" s="132"/>
      <c r="C798" s="133"/>
      <c r="D798" s="133"/>
      <c r="E798" s="133"/>
      <c r="F798" s="134"/>
      <c r="G798" s="135"/>
      <c r="H798" s="133"/>
      <c r="I798" s="133"/>
      <c r="J798" s="133"/>
      <c r="K798" s="133"/>
      <c r="L798" s="133"/>
      <c r="M798" s="136"/>
      <c r="N798" s="136"/>
      <c r="O798" s="133"/>
    </row>
    <row r="799" customFormat="false" ht="15" hidden="false" customHeight="false" outlineLevel="0" collapsed="false">
      <c r="B799" s="132"/>
      <c r="C799" s="133"/>
      <c r="D799" s="133"/>
      <c r="E799" s="133"/>
      <c r="F799" s="134"/>
      <c r="G799" s="135"/>
      <c r="H799" s="133"/>
      <c r="I799" s="133"/>
      <c r="J799" s="133"/>
      <c r="K799" s="133"/>
      <c r="L799" s="133"/>
      <c r="M799" s="136"/>
      <c r="N799" s="136"/>
      <c r="O799" s="133"/>
    </row>
    <row r="800" customFormat="false" ht="15" hidden="false" customHeight="false" outlineLevel="0" collapsed="false">
      <c r="B800" s="132"/>
      <c r="C800" s="133"/>
      <c r="D800" s="133"/>
      <c r="E800" s="133"/>
      <c r="F800" s="134"/>
      <c r="G800" s="135"/>
      <c r="H800" s="133"/>
      <c r="I800" s="133"/>
      <c r="J800" s="133"/>
      <c r="K800" s="133"/>
      <c r="L800" s="133"/>
      <c r="M800" s="136"/>
      <c r="N800" s="136"/>
      <c r="O800" s="133"/>
    </row>
    <row r="801" customFormat="false" ht="15" hidden="false" customHeight="false" outlineLevel="0" collapsed="false">
      <c r="B801" s="132"/>
      <c r="C801" s="133"/>
      <c r="D801" s="133"/>
      <c r="E801" s="133"/>
      <c r="F801" s="134"/>
      <c r="G801" s="135"/>
      <c r="H801" s="133"/>
      <c r="I801" s="133"/>
      <c r="J801" s="133"/>
      <c r="K801" s="133"/>
      <c r="L801" s="133"/>
      <c r="M801" s="136"/>
      <c r="N801" s="136"/>
      <c r="O801" s="133"/>
    </row>
    <row r="802" customFormat="false" ht="15" hidden="false" customHeight="false" outlineLevel="0" collapsed="false">
      <c r="B802" s="132"/>
      <c r="C802" s="133"/>
      <c r="D802" s="133"/>
      <c r="E802" s="133"/>
      <c r="F802" s="134"/>
      <c r="G802" s="135"/>
      <c r="H802" s="133"/>
      <c r="I802" s="133"/>
      <c r="J802" s="133"/>
      <c r="K802" s="133"/>
      <c r="L802" s="133"/>
      <c r="M802" s="136"/>
      <c r="N802" s="136"/>
      <c r="O802" s="133"/>
    </row>
    <row r="803" customFormat="false" ht="15" hidden="false" customHeight="false" outlineLevel="0" collapsed="false">
      <c r="B803" s="132"/>
      <c r="C803" s="133"/>
      <c r="D803" s="133"/>
      <c r="E803" s="133"/>
      <c r="F803" s="134"/>
      <c r="G803" s="135"/>
      <c r="H803" s="133"/>
      <c r="I803" s="133"/>
      <c r="J803" s="133"/>
      <c r="K803" s="133"/>
      <c r="L803" s="133"/>
      <c r="M803" s="136"/>
      <c r="N803" s="136"/>
      <c r="O803" s="133"/>
    </row>
    <row r="804" customFormat="false" ht="15" hidden="false" customHeight="false" outlineLevel="0" collapsed="false">
      <c r="B804" s="132"/>
      <c r="C804" s="133"/>
      <c r="D804" s="133"/>
      <c r="E804" s="133"/>
      <c r="F804" s="134"/>
      <c r="G804" s="135"/>
      <c r="H804" s="133"/>
      <c r="I804" s="133"/>
      <c r="J804" s="133"/>
      <c r="K804" s="133"/>
      <c r="L804" s="133"/>
      <c r="M804" s="136"/>
      <c r="N804" s="136"/>
      <c r="O804" s="133"/>
    </row>
    <row r="805" customFormat="false" ht="15" hidden="false" customHeight="false" outlineLevel="0" collapsed="false">
      <c r="B805" s="132"/>
      <c r="C805" s="133"/>
      <c r="D805" s="133"/>
      <c r="E805" s="133"/>
      <c r="F805" s="134"/>
      <c r="G805" s="135"/>
      <c r="H805" s="133"/>
      <c r="I805" s="133"/>
      <c r="J805" s="133"/>
      <c r="K805" s="133"/>
      <c r="L805" s="133"/>
      <c r="M805" s="136"/>
      <c r="N805" s="136"/>
      <c r="O805" s="133"/>
    </row>
    <row r="806" customFormat="false" ht="15" hidden="false" customHeight="false" outlineLevel="0" collapsed="false">
      <c r="B806" s="132"/>
      <c r="C806" s="133"/>
      <c r="D806" s="133"/>
      <c r="E806" s="133"/>
      <c r="F806" s="134"/>
      <c r="G806" s="135"/>
      <c r="H806" s="133"/>
      <c r="I806" s="133"/>
      <c r="J806" s="133"/>
      <c r="K806" s="133"/>
      <c r="L806" s="133"/>
      <c r="M806" s="136"/>
      <c r="N806" s="136"/>
      <c r="O806" s="133"/>
    </row>
    <row r="807" customFormat="false" ht="15" hidden="false" customHeight="false" outlineLevel="0" collapsed="false">
      <c r="B807" s="132"/>
      <c r="C807" s="133"/>
      <c r="D807" s="133"/>
      <c r="E807" s="133"/>
      <c r="F807" s="134"/>
      <c r="G807" s="135"/>
      <c r="H807" s="133"/>
      <c r="I807" s="133"/>
      <c r="J807" s="133"/>
      <c r="K807" s="133"/>
      <c r="L807" s="133"/>
      <c r="M807" s="136"/>
      <c r="N807" s="136"/>
      <c r="O807" s="133"/>
    </row>
    <row r="808" customFormat="false" ht="15" hidden="false" customHeight="false" outlineLevel="0" collapsed="false">
      <c r="B808" s="132"/>
      <c r="C808" s="133"/>
      <c r="D808" s="133"/>
      <c r="E808" s="133"/>
      <c r="F808" s="134"/>
      <c r="G808" s="135"/>
      <c r="H808" s="133"/>
      <c r="I808" s="133"/>
      <c r="J808" s="133"/>
      <c r="K808" s="133"/>
      <c r="L808" s="133"/>
      <c r="M808" s="136"/>
      <c r="N808" s="136"/>
      <c r="O808" s="133"/>
    </row>
    <row r="809" customFormat="false" ht="15" hidden="false" customHeight="false" outlineLevel="0" collapsed="false">
      <c r="B809" s="132"/>
      <c r="C809" s="133"/>
      <c r="D809" s="133"/>
      <c r="E809" s="133"/>
      <c r="F809" s="134"/>
      <c r="G809" s="135"/>
      <c r="H809" s="133"/>
      <c r="I809" s="133"/>
      <c r="J809" s="133"/>
      <c r="K809" s="133"/>
      <c r="L809" s="133"/>
      <c r="M809" s="136"/>
      <c r="N809" s="136"/>
      <c r="O809" s="133"/>
    </row>
    <row r="810" customFormat="false" ht="15" hidden="false" customHeight="false" outlineLevel="0" collapsed="false">
      <c r="B810" s="132"/>
      <c r="C810" s="133"/>
      <c r="D810" s="133"/>
      <c r="E810" s="133"/>
      <c r="F810" s="134"/>
      <c r="G810" s="135"/>
      <c r="H810" s="133"/>
      <c r="I810" s="133"/>
      <c r="J810" s="133"/>
      <c r="K810" s="133"/>
      <c r="L810" s="133"/>
      <c r="M810" s="136"/>
      <c r="N810" s="136"/>
      <c r="O810" s="133"/>
    </row>
    <row r="811" customFormat="false" ht="15" hidden="false" customHeight="false" outlineLevel="0" collapsed="false">
      <c r="B811" s="132"/>
      <c r="C811" s="133"/>
      <c r="D811" s="133"/>
      <c r="E811" s="133"/>
      <c r="F811" s="134"/>
      <c r="G811" s="135"/>
      <c r="H811" s="133"/>
      <c r="I811" s="133"/>
      <c r="J811" s="133"/>
      <c r="K811" s="133"/>
      <c r="L811" s="133"/>
      <c r="M811" s="136"/>
      <c r="N811" s="136"/>
      <c r="O811" s="133"/>
    </row>
    <row r="812" customFormat="false" ht="15" hidden="false" customHeight="false" outlineLevel="0" collapsed="false">
      <c r="B812" s="132"/>
      <c r="C812" s="133"/>
      <c r="D812" s="133"/>
      <c r="E812" s="133"/>
      <c r="F812" s="134"/>
      <c r="G812" s="135"/>
      <c r="H812" s="133"/>
      <c r="I812" s="133"/>
      <c r="J812" s="133"/>
      <c r="K812" s="133"/>
      <c r="L812" s="133"/>
      <c r="M812" s="136"/>
      <c r="N812" s="136"/>
      <c r="O812" s="133"/>
    </row>
    <row r="813" customFormat="false" ht="15" hidden="false" customHeight="false" outlineLevel="0" collapsed="false">
      <c r="B813" s="132"/>
      <c r="C813" s="133"/>
      <c r="D813" s="133"/>
      <c r="E813" s="133"/>
      <c r="F813" s="134"/>
      <c r="G813" s="135"/>
      <c r="H813" s="133"/>
      <c r="I813" s="133"/>
      <c r="J813" s="133"/>
      <c r="K813" s="133"/>
      <c r="L813" s="133"/>
      <c r="M813" s="136"/>
      <c r="N813" s="136"/>
      <c r="O813" s="133"/>
    </row>
    <row r="814" customFormat="false" ht="15" hidden="false" customHeight="false" outlineLevel="0" collapsed="false">
      <c r="B814" s="132"/>
      <c r="C814" s="133"/>
      <c r="D814" s="133"/>
      <c r="E814" s="133"/>
      <c r="F814" s="134"/>
      <c r="G814" s="135"/>
      <c r="H814" s="133"/>
      <c r="I814" s="133"/>
      <c r="J814" s="133"/>
      <c r="K814" s="133"/>
      <c r="L814" s="133"/>
      <c r="M814" s="136"/>
      <c r="N814" s="136"/>
      <c r="O814" s="133"/>
    </row>
    <row r="815" customFormat="false" ht="15" hidden="false" customHeight="false" outlineLevel="0" collapsed="false">
      <c r="B815" s="132"/>
      <c r="C815" s="133"/>
      <c r="D815" s="133"/>
      <c r="E815" s="133"/>
      <c r="F815" s="134"/>
      <c r="G815" s="135"/>
      <c r="H815" s="133"/>
      <c r="I815" s="133"/>
      <c r="J815" s="133"/>
      <c r="K815" s="133"/>
      <c r="L815" s="133"/>
      <c r="M815" s="136"/>
      <c r="N815" s="136"/>
      <c r="O815" s="133"/>
    </row>
    <row r="816" customFormat="false" ht="15" hidden="false" customHeight="false" outlineLevel="0" collapsed="false">
      <c r="B816" s="132"/>
      <c r="C816" s="133"/>
      <c r="D816" s="133"/>
      <c r="E816" s="133"/>
      <c r="F816" s="134"/>
      <c r="G816" s="135"/>
      <c r="H816" s="133"/>
      <c r="I816" s="133"/>
      <c r="J816" s="133"/>
      <c r="K816" s="133"/>
      <c r="L816" s="133"/>
      <c r="M816" s="136"/>
      <c r="N816" s="136"/>
      <c r="O816" s="133"/>
    </row>
    <row r="817" customFormat="false" ht="15" hidden="false" customHeight="false" outlineLevel="0" collapsed="false">
      <c r="B817" s="132"/>
      <c r="C817" s="133"/>
      <c r="D817" s="133"/>
      <c r="E817" s="133"/>
      <c r="F817" s="134"/>
      <c r="G817" s="135"/>
      <c r="H817" s="133"/>
      <c r="I817" s="133"/>
      <c r="J817" s="133"/>
      <c r="K817" s="133"/>
      <c r="L817" s="133"/>
      <c r="M817" s="136"/>
      <c r="N817" s="136"/>
      <c r="O817" s="133"/>
    </row>
    <row r="818" customFormat="false" ht="15" hidden="false" customHeight="false" outlineLevel="0" collapsed="false">
      <c r="B818" s="132"/>
      <c r="C818" s="133"/>
      <c r="D818" s="133"/>
      <c r="E818" s="133"/>
      <c r="F818" s="134"/>
      <c r="G818" s="135"/>
      <c r="H818" s="133"/>
      <c r="I818" s="133"/>
      <c r="J818" s="133"/>
      <c r="K818" s="133"/>
      <c r="L818" s="133"/>
      <c r="M818" s="136"/>
      <c r="N818" s="136"/>
      <c r="O818" s="133"/>
    </row>
    <row r="819" customFormat="false" ht="15" hidden="false" customHeight="false" outlineLevel="0" collapsed="false">
      <c r="B819" s="132"/>
      <c r="C819" s="133"/>
      <c r="D819" s="133"/>
      <c r="E819" s="133"/>
      <c r="F819" s="134"/>
      <c r="G819" s="135"/>
      <c r="H819" s="133"/>
      <c r="I819" s="133"/>
      <c r="J819" s="133"/>
      <c r="K819" s="133"/>
      <c r="L819" s="133"/>
      <c r="M819" s="136"/>
      <c r="N819" s="136"/>
      <c r="O819" s="133"/>
    </row>
    <row r="820" customFormat="false" ht="15" hidden="false" customHeight="false" outlineLevel="0" collapsed="false">
      <c r="B820" s="132"/>
      <c r="C820" s="133"/>
      <c r="D820" s="133"/>
      <c r="E820" s="133"/>
      <c r="F820" s="134"/>
      <c r="G820" s="135"/>
      <c r="H820" s="133"/>
      <c r="I820" s="133"/>
      <c r="J820" s="133"/>
      <c r="K820" s="133"/>
      <c r="L820" s="133"/>
      <c r="M820" s="136"/>
      <c r="N820" s="136"/>
      <c r="O820" s="133"/>
    </row>
    <row r="821" customFormat="false" ht="15" hidden="false" customHeight="false" outlineLevel="0" collapsed="false">
      <c r="B821" s="132"/>
      <c r="C821" s="133"/>
      <c r="D821" s="133"/>
      <c r="E821" s="133"/>
      <c r="F821" s="134"/>
      <c r="G821" s="135"/>
      <c r="H821" s="133"/>
      <c r="I821" s="133"/>
      <c r="J821" s="133"/>
      <c r="K821" s="133"/>
      <c r="L821" s="133"/>
      <c r="M821" s="136"/>
      <c r="N821" s="136"/>
      <c r="O821" s="133"/>
    </row>
    <row r="822" customFormat="false" ht="15" hidden="false" customHeight="false" outlineLevel="0" collapsed="false">
      <c r="B822" s="132"/>
      <c r="C822" s="133"/>
      <c r="D822" s="133"/>
      <c r="E822" s="133"/>
      <c r="F822" s="134"/>
      <c r="G822" s="135"/>
      <c r="H822" s="133"/>
      <c r="I822" s="133"/>
      <c r="J822" s="133"/>
      <c r="K822" s="133"/>
      <c r="L822" s="133"/>
      <c r="M822" s="136"/>
      <c r="N822" s="136"/>
      <c r="O822" s="133"/>
    </row>
    <row r="823" customFormat="false" ht="15" hidden="false" customHeight="false" outlineLevel="0" collapsed="false">
      <c r="B823" s="132"/>
      <c r="C823" s="133"/>
      <c r="D823" s="133"/>
      <c r="E823" s="133"/>
      <c r="F823" s="134"/>
      <c r="G823" s="135"/>
      <c r="H823" s="133"/>
      <c r="I823" s="133"/>
      <c r="J823" s="133"/>
      <c r="K823" s="133"/>
      <c r="L823" s="133"/>
      <c r="M823" s="136"/>
      <c r="N823" s="136"/>
      <c r="O823" s="133"/>
    </row>
    <row r="824" customFormat="false" ht="15" hidden="false" customHeight="false" outlineLevel="0" collapsed="false">
      <c r="B824" s="132"/>
      <c r="C824" s="133"/>
      <c r="D824" s="133"/>
      <c r="E824" s="133"/>
      <c r="F824" s="134"/>
      <c r="G824" s="135"/>
      <c r="H824" s="133"/>
      <c r="I824" s="133"/>
      <c r="J824" s="133"/>
      <c r="K824" s="133"/>
      <c r="L824" s="133"/>
      <c r="M824" s="136"/>
      <c r="N824" s="136"/>
      <c r="O824" s="133"/>
    </row>
    <row r="825" customFormat="false" ht="15" hidden="false" customHeight="false" outlineLevel="0" collapsed="false">
      <c r="B825" s="132"/>
      <c r="C825" s="133"/>
      <c r="D825" s="133"/>
      <c r="E825" s="133"/>
      <c r="F825" s="134"/>
      <c r="G825" s="135"/>
      <c r="H825" s="133"/>
      <c r="I825" s="133"/>
      <c r="J825" s="133"/>
      <c r="K825" s="133"/>
      <c r="L825" s="133"/>
      <c r="M825" s="136"/>
      <c r="N825" s="136"/>
      <c r="O825" s="133"/>
    </row>
    <row r="826" customFormat="false" ht="15" hidden="false" customHeight="false" outlineLevel="0" collapsed="false">
      <c r="B826" s="132"/>
      <c r="C826" s="133"/>
      <c r="D826" s="133"/>
      <c r="E826" s="133"/>
      <c r="F826" s="134"/>
      <c r="G826" s="135"/>
      <c r="H826" s="133"/>
      <c r="I826" s="133"/>
      <c r="J826" s="133"/>
      <c r="K826" s="133"/>
      <c r="L826" s="133"/>
      <c r="M826" s="136"/>
      <c r="N826" s="136"/>
      <c r="O826" s="133"/>
    </row>
    <row r="827" customFormat="false" ht="15" hidden="false" customHeight="false" outlineLevel="0" collapsed="false">
      <c r="B827" s="132"/>
      <c r="C827" s="133"/>
      <c r="D827" s="133"/>
      <c r="E827" s="133"/>
      <c r="F827" s="134"/>
      <c r="G827" s="135"/>
      <c r="H827" s="133"/>
      <c r="I827" s="133"/>
      <c r="J827" s="133"/>
      <c r="K827" s="133"/>
      <c r="L827" s="133"/>
      <c r="M827" s="136"/>
      <c r="N827" s="136"/>
      <c r="O827" s="133"/>
    </row>
    <row r="828" customFormat="false" ht="15" hidden="false" customHeight="false" outlineLevel="0" collapsed="false">
      <c r="B828" s="132"/>
      <c r="C828" s="133"/>
      <c r="D828" s="133"/>
      <c r="E828" s="133"/>
      <c r="F828" s="134"/>
      <c r="G828" s="135"/>
      <c r="H828" s="133"/>
      <c r="I828" s="133"/>
      <c r="J828" s="133"/>
      <c r="K828" s="133"/>
      <c r="L828" s="133"/>
      <c r="M828" s="136"/>
      <c r="N828" s="136"/>
      <c r="O828" s="133"/>
    </row>
    <row r="829" customFormat="false" ht="15" hidden="false" customHeight="false" outlineLevel="0" collapsed="false">
      <c r="B829" s="132"/>
      <c r="C829" s="133"/>
      <c r="D829" s="133"/>
      <c r="E829" s="133"/>
      <c r="F829" s="134"/>
      <c r="G829" s="135"/>
      <c r="H829" s="133"/>
      <c r="I829" s="133"/>
      <c r="J829" s="133"/>
      <c r="K829" s="133"/>
      <c r="L829" s="133"/>
      <c r="M829" s="136"/>
      <c r="N829" s="136"/>
      <c r="O829" s="133"/>
    </row>
    <row r="830" customFormat="false" ht="15" hidden="false" customHeight="false" outlineLevel="0" collapsed="false">
      <c r="B830" s="132"/>
      <c r="C830" s="133"/>
      <c r="D830" s="133"/>
      <c r="E830" s="133"/>
      <c r="F830" s="134"/>
      <c r="G830" s="135"/>
      <c r="H830" s="133"/>
      <c r="I830" s="133"/>
      <c r="J830" s="133"/>
      <c r="K830" s="133"/>
      <c r="L830" s="133"/>
      <c r="M830" s="136"/>
      <c r="N830" s="136"/>
      <c r="O830" s="133"/>
    </row>
    <row r="831" customFormat="false" ht="15" hidden="false" customHeight="false" outlineLevel="0" collapsed="false">
      <c r="B831" s="132"/>
      <c r="C831" s="133"/>
      <c r="D831" s="133"/>
      <c r="E831" s="133"/>
      <c r="F831" s="134"/>
      <c r="G831" s="135"/>
      <c r="H831" s="133"/>
      <c r="I831" s="133"/>
      <c r="J831" s="133"/>
      <c r="K831" s="133"/>
      <c r="L831" s="133"/>
      <c r="M831" s="136"/>
      <c r="N831" s="136"/>
      <c r="O831" s="133"/>
    </row>
    <row r="832" customFormat="false" ht="15" hidden="false" customHeight="false" outlineLevel="0" collapsed="false">
      <c r="B832" s="132"/>
      <c r="C832" s="133"/>
      <c r="D832" s="133"/>
      <c r="E832" s="133"/>
      <c r="F832" s="134"/>
      <c r="G832" s="135"/>
      <c r="H832" s="133"/>
      <c r="I832" s="133"/>
      <c r="J832" s="133"/>
      <c r="K832" s="133"/>
      <c r="L832" s="133"/>
      <c r="M832" s="136"/>
      <c r="N832" s="136"/>
      <c r="O832" s="133"/>
    </row>
    <row r="833" customFormat="false" ht="15" hidden="false" customHeight="false" outlineLevel="0" collapsed="false">
      <c r="B833" s="132"/>
      <c r="C833" s="133"/>
      <c r="D833" s="133"/>
      <c r="E833" s="133"/>
      <c r="F833" s="134"/>
      <c r="G833" s="135"/>
      <c r="H833" s="133"/>
      <c r="I833" s="133"/>
      <c r="J833" s="133"/>
      <c r="K833" s="133"/>
      <c r="L833" s="133"/>
      <c r="M833" s="136"/>
      <c r="N833" s="136"/>
      <c r="O833" s="133"/>
    </row>
    <row r="834" customFormat="false" ht="15" hidden="false" customHeight="false" outlineLevel="0" collapsed="false">
      <c r="B834" s="132"/>
      <c r="C834" s="133"/>
      <c r="D834" s="133"/>
      <c r="E834" s="133"/>
      <c r="F834" s="134"/>
      <c r="G834" s="135"/>
      <c r="H834" s="133"/>
      <c r="I834" s="133"/>
      <c r="J834" s="133"/>
      <c r="K834" s="133"/>
      <c r="L834" s="133"/>
      <c r="M834" s="136"/>
      <c r="N834" s="136"/>
      <c r="O834" s="133"/>
    </row>
    <row r="835" customFormat="false" ht="15" hidden="false" customHeight="false" outlineLevel="0" collapsed="false">
      <c r="B835" s="132"/>
      <c r="C835" s="133"/>
      <c r="D835" s="133"/>
      <c r="E835" s="133"/>
      <c r="F835" s="134"/>
      <c r="G835" s="135"/>
      <c r="H835" s="133"/>
      <c r="I835" s="133"/>
      <c r="J835" s="133"/>
      <c r="K835" s="133"/>
      <c r="L835" s="133"/>
      <c r="M835" s="136"/>
      <c r="N835" s="136"/>
      <c r="O835" s="133"/>
    </row>
    <row r="836" customFormat="false" ht="15" hidden="false" customHeight="false" outlineLevel="0" collapsed="false">
      <c r="B836" s="132"/>
      <c r="C836" s="133"/>
      <c r="D836" s="133"/>
      <c r="E836" s="133"/>
      <c r="F836" s="134"/>
      <c r="G836" s="135"/>
      <c r="H836" s="133"/>
      <c r="I836" s="133"/>
      <c r="J836" s="133"/>
      <c r="K836" s="133"/>
      <c r="L836" s="133"/>
      <c r="M836" s="136"/>
      <c r="N836" s="136"/>
      <c r="O836" s="133"/>
    </row>
    <row r="837" customFormat="false" ht="15" hidden="false" customHeight="false" outlineLevel="0" collapsed="false">
      <c r="B837" s="132"/>
      <c r="C837" s="133"/>
      <c r="D837" s="133"/>
      <c r="E837" s="133"/>
      <c r="F837" s="134"/>
      <c r="G837" s="135"/>
      <c r="H837" s="133"/>
      <c r="I837" s="133"/>
      <c r="J837" s="133"/>
      <c r="K837" s="133"/>
      <c r="L837" s="133"/>
      <c r="M837" s="136"/>
      <c r="N837" s="136"/>
      <c r="O837" s="133"/>
    </row>
    <row r="838" customFormat="false" ht="15" hidden="false" customHeight="false" outlineLevel="0" collapsed="false">
      <c r="B838" s="132"/>
      <c r="C838" s="133"/>
      <c r="D838" s="133"/>
      <c r="E838" s="133"/>
      <c r="F838" s="134"/>
      <c r="G838" s="135"/>
      <c r="H838" s="133"/>
      <c r="I838" s="133"/>
      <c r="J838" s="133"/>
      <c r="K838" s="133"/>
      <c r="L838" s="133"/>
      <c r="M838" s="136"/>
      <c r="N838" s="136"/>
      <c r="O838" s="133"/>
    </row>
    <row r="839" customFormat="false" ht="15" hidden="false" customHeight="false" outlineLevel="0" collapsed="false">
      <c r="B839" s="132"/>
      <c r="C839" s="133"/>
      <c r="D839" s="133"/>
      <c r="E839" s="133"/>
      <c r="F839" s="134"/>
      <c r="G839" s="135"/>
      <c r="H839" s="133"/>
      <c r="I839" s="133"/>
      <c r="J839" s="133"/>
      <c r="K839" s="133"/>
      <c r="L839" s="133"/>
      <c r="M839" s="136"/>
      <c r="N839" s="136"/>
      <c r="O839" s="133"/>
    </row>
    <row r="840" customFormat="false" ht="15" hidden="false" customHeight="false" outlineLevel="0" collapsed="false">
      <c r="B840" s="132"/>
      <c r="C840" s="133"/>
      <c r="D840" s="133"/>
      <c r="E840" s="133"/>
      <c r="F840" s="134"/>
      <c r="G840" s="135"/>
      <c r="H840" s="133"/>
      <c r="I840" s="133"/>
      <c r="J840" s="133"/>
      <c r="K840" s="133"/>
      <c r="L840" s="133"/>
      <c r="M840" s="136"/>
      <c r="N840" s="136"/>
      <c r="O840" s="133"/>
    </row>
    <row r="841" customFormat="false" ht="15" hidden="false" customHeight="false" outlineLevel="0" collapsed="false">
      <c r="B841" s="132"/>
      <c r="C841" s="133"/>
      <c r="D841" s="133"/>
      <c r="E841" s="133"/>
      <c r="F841" s="134"/>
      <c r="G841" s="135"/>
      <c r="H841" s="133"/>
      <c r="I841" s="133"/>
      <c r="J841" s="133"/>
      <c r="K841" s="133"/>
      <c r="L841" s="133"/>
      <c r="M841" s="136"/>
      <c r="N841" s="136"/>
      <c r="O841" s="133"/>
    </row>
    <row r="842" customFormat="false" ht="15" hidden="false" customHeight="false" outlineLevel="0" collapsed="false">
      <c r="B842" s="132"/>
      <c r="C842" s="133"/>
      <c r="D842" s="133"/>
      <c r="E842" s="133"/>
      <c r="F842" s="134"/>
      <c r="G842" s="135"/>
      <c r="H842" s="133"/>
      <c r="I842" s="133"/>
      <c r="J842" s="133"/>
      <c r="K842" s="133"/>
      <c r="L842" s="133"/>
      <c r="M842" s="136"/>
      <c r="N842" s="136"/>
      <c r="O842" s="133"/>
    </row>
    <row r="843" customFormat="false" ht="15" hidden="false" customHeight="false" outlineLevel="0" collapsed="false">
      <c r="B843" s="132"/>
      <c r="C843" s="133"/>
      <c r="D843" s="133"/>
      <c r="E843" s="133"/>
      <c r="F843" s="134"/>
      <c r="G843" s="135"/>
      <c r="H843" s="133"/>
      <c r="I843" s="133"/>
      <c r="J843" s="133"/>
      <c r="K843" s="133"/>
      <c r="L843" s="133"/>
      <c r="M843" s="136"/>
      <c r="N843" s="136"/>
      <c r="O843" s="133"/>
    </row>
    <row r="844" customFormat="false" ht="15" hidden="false" customHeight="false" outlineLevel="0" collapsed="false">
      <c r="B844" s="132"/>
      <c r="C844" s="133"/>
      <c r="D844" s="133"/>
      <c r="E844" s="133"/>
      <c r="F844" s="134"/>
      <c r="G844" s="135"/>
      <c r="H844" s="133"/>
      <c r="I844" s="133"/>
      <c r="J844" s="133"/>
      <c r="K844" s="133"/>
      <c r="L844" s="133"/>
      <c r="M844" s="136"/>
      <c r="N844" s="136"/>
      <c r="O844" s="133"/>
    </row>
    <row r="845" customFormat="false" ht="15" hidden="false" customHeight="false" outlineLevel="0" collapsed="false">
      <c r="B845" s="132"/>
      <c r="C845" s="133"/>
      <c r="D845" s="133"/>
      <c r="E845" s="133"/>
      <c r="F845" s="134"/>
      <c r="G845" s="135"/>
      <c r="H845" s="133"/>
      <c r="I845" s="133"/>
      <c r="J845" s="133"/>
      <c r="K845" s="133"/>
      <c r="L845" s="133"/>
      <c r="M845" s="136"/>
      <c r="N845" s="136"/>
      <c r="O845" s="133"/>
    </row>
    <row r="846" customFormat="false" ht="15" hidden="false" customHeight="false" outlineLevel="0" collapsed="false">
      <c r="B846" s="132"/>
      <c r="C846" s="133"/>
      <c r="D846" s="133"/>
      <c r="E846" s="133"/>
      <c r="F846" s="134"/>
      <c r="G846" s="135"/>
      <c r="H846" s="133"/>
      <c r="I846" s="133"/>
      <c r="J846" s="133"/>
      <c r="K846" s="133"/>
      <c r="L846" s="133"/>
      <c r="M846" s="136"/>
      <c r="N846" s="136"/>
      <c r="O846" s="133"/>
    </row>
    <row r="847" customFormat="false" ht="15" hidden="false" customHeight="false" outlineLevel="0" collapsed="false">
      <c r="B847" s="132"/>
      <c r="C847" s="133"/>
      <c r="D847" s="133"/>
      <c r="E847" s="133"/>
      <c r="F847" s="134"/>
      <c r="G847" s="135"/>
      <c r="H847" s="133"/>
      <c r="I847" s="133"/>
      <c r="J847" s="133"/>
      <c r="K847" s="133"/>
      <c r="L847" s="133"/>
      <c r="M847" s="136"/>
      <c r="N847" s="136"/>
      <c r="O847" s="133"/>
    </row>
    <row r="848" customFormat="false" ht="15" hidden="false" customHeight="false" outlineLevel="0" collapsed="false">
      <c r="B848" s="132"/>
      <c r="C848" s="133"/>
      <c r="D848" s="133"/>
      <c r="E848" s="133"/>
      <c r="F848" s="134"/>
      <c r="G848" s="135"/>
      <c r="H848" s="133"/>
      <c r="I848" s="133"/>
      <c r="J848" s="133"/>
      <c r="K848" s="133"/>
      <c r="L848" s="133"/>
      <c r="M848" s="136"/>
      <c r="N848" s="136"/>
      <c r="O848" s="133"/>
    </row>
    <row r="849" customFormat="false" ht="15" hidden="false" customHeight="false" outlineLevel="0" collapsed="false">
      <c r="B849" s="132"/>
      <c r="C849" s="133"/>
      <c r="D849" s="133"/>
      <c r="E849" s="133"/>
      <c r="F849" s="134"/>
      <c r="G849" s="135"/>
      <c r="H849" s="133"/>
      <c r="I849" s="133"/>
      <c r="J849" s="133"/>
      <c r="K849" s="133"/>
      <c r="L849" s="133"/>
      <c r="M849" s="136"/>
      <c r="N849" s="136"/>
      <c r="O849" s="133"/>
    </row>
    <row r="850" customFormat="false" ht="15" hidden="false" customHeight="false" outlineLevel="0" collapsed="false">
      <c r="B850" s="132"/>
      <c r="C850" s="133"/>
      <c r="D850" s="133"/>
      <c r="E850" s="133"/>
      <c r="F850" s="134"/>
      <c r="G850" s="135"/>
      <c r="H850" s="133"/>
      <c r="I850" s="133"/>
      <c r="J850" s="133"/>
      <c r="K850" s="133"/>
      <c r="L850" s="133"/>
      <c r="M850" s="136"/>
      <c r="N850" s="136"/>
      <c r="O850" s="133"/>
    </row>
    <row r="851" customFormat="false" ht="15" hidden="false" customHeight="false" outlineLevel="0" collapsed="false">
      <c r="B851" s="132"/>
      <c r="C851" s="133"/>
      <c r="D851" s="133"/>
      <c r="E851" s="133"/>
      <c r="F851" s="134"/>
      <c r="G851" s="135"/>
      <c r="H851" s="133"/>
      <c r="I851" s="133"/>
      <c r="J851" s="133"/>
      <c r="K851" s="133"/>
      <c r="L851" s="133"/>
      <c r="M851" s="136"/>
      <c r="N851" s="136"/>
      <c r="O851" s="133"/>
    </row>
    <row r="852" customFormat="false" ht="15" hidden="false" customHeight="false" outlineLevel="0" collapsed="false">
      <c r="B852" s="132"/>
      <c r="C852" s="133"/>
      <c r="D852" s="133"/>
      <c r="E852" s="133"/>
      <c r="F852" s="134"/>
      <c r="G852" s="135"/>
      <c r="H852" s="133"/>
      <c r="I852" s="133"/>
      <c r="J852" s="133"/>
      <c r="K852" s="133"/>
      <c r="L852" s="133"/>
      <c r="M852" s="136"/>
      <c r="N852" s="136"/>
      <c r="O852" s="133"/>
    </row>
    <row r="853" customFormat="false" ht="15" hidden="false" customHeight="false" outlineLevel="0" collapsed="false">
      <c r="B853" s="132"/>
      <c r="C853" s="133"/>
      <c r="D853" s="133"/>
      <c r="E853" s="133"/>
      <c r="F853" s="134"/>
      <c r="G853" s="135"/>
      <c r="H853" s="133"/>
      <c r="I853" s="133"/>
      <c r="J853" s="133"/>
      <c r="K853" s="133"/>
      <c r="L853" s="133"/>
      <c r="M853" s="136"/>
      <c r="N853" s="136"/>
      <c r="O853" s="133"/>
    </row>
    <row r="854" customFormat="false" ht="15" hidden="false" customHeight="false" outlineLevel="0" collapsed="false">
      <c r="B854" s="132"/>
      <c r="C854" s="133"/>
      <c r="D854" s="133"/>
      <c r="E854" s="133"/>
      <c r="F854" s="134"/>
      <c r="G854" s="135"/>
      <c r="H854" s="133"/>
      <c r="I854" s="133"/>
      <c r="J854" s="133"/>
      <c r="K854" s="133"/>
      <c r="L854" s="133"/>
      <c r="M854" s="136"/>
      <c r="N854" s="136"/>
      <c r="O854" s="133"/>
    </row>
    <row r="855" customFormat="false" ht="15" hidden="false" customHeight="false" outlineLevel="0" collapsed="false">
      <c r="B855" s="132"/>
      <c r="C855" s="133"/>
      <c r="D855" s="133"/>
      <c r="E855" s="133"/>
      <c r="F855" s="134"/>
      <c r="G855" s="135"/>
      <c r="H855" s="133"/>
      <c r="I855" s="133"/>
      <c r="J855" s="133"/>
      <c r="K855" s="133"/>
      <c r="L855" s="133"/>
      <c r="M855" s="136"/>
      <c r="N855" s="136"/>
      <c r="O855" s="133"/>
    </row>
    <row r="856" customFormat="false" ht="15" hidden="false" customHeight="false" outlineLevel="0" collapsed="false">
      <c r="B856" s="132"/>
      <c r="C856" s="133"/>
      <c r="D856" s="133"/>
      <c r="E856" s="133"/>
      <c r="F856" s="134"/>
      <c r="G856" s="135"/>
      <c r="H856" s="133"/>
      <c r="I856" s="133"/>
      <c r="J856" s="133"/>
      <c r="K856" s="133"/>
      <c r="L856" s="133"/>
      <c r="M856" s="136"/>
      <c r="N856" s="136"/>
      <c r="O856" s="133"/>
    </row>
    <row r="857" customFormat="false" ht="15" hidden="false" customHeight="false" outlineLevel="0" collapsed="false">
      <c r="B857" s="132"/>
      <c r="C857" s="133"/>
      <c r="D857" s="133"/>
      <c r="E857" s="133"/>
      <c r="F857" s="134"/>
      <c r="G857" s="135"/>
      <c r="H857" s="133"/>
      <c r="I857" s="133"/>
      <c r="J857" s="133"/>
      <c r="K857" s="133"/>
      <c r="L857" s="133"/>
      <c r="M857" s="136"/>
      <c r="N857" s="136"/>
      <c r="O857" s="133"/>
    </row>
    <row r="858" customFormat="false" ht="15" hidden="false" customHeight="false" outlineLevel="0" collapsed="false">
      <c r="B858" s="132"/>
      <c r="C858" s="133"/>
      <c r="D858" s="133"/>
      <c r="E858" s="133"/>
      <c r="F858" s="134"/>
      <c r="G858" s="135"/>
      <c r="H858" s="133"/>
      <c r="I858" s="133"/>
      <c r="J858" s="133"/>
      <c r="K858" s="133"/>
      <c r="L858" s="133"/>
      <c r="M858" s="136"/>
      <c r="N858" s="136"/>
      <c r="O858" s="133"/>
    </row>
    <row r="859" customFormat="false" ht="15" hidden="false" customHeight="false" outlineLevel="0" collapsed="false">
      <c r="B859" s="132"/>
      <c r="C859" s="133"/>
      <c r="D859" s="133"/>
      <c r="E859" s="133"/>
      <c r="F859" s="134"/>
      <c r="G859" s="135"/>
      <c r="H859" s="133"/>
      <c r="I859" s="133"/>
      <c r="J859" s="133"/>
      <c r="K859" s="133"/>
      <c r="L859" s="133"/>
      <c r="M859" s="136"/>
      <c r="N859" s="136"/>
      <c r="O859" s="133"/>
    </row>
    <row r="860" customFormat="false" ht="15" hidden="false" customHeight="false" outlineLevel="0" collapsed="false">
      <c r="B860" s="132"/>
      <c r="C860" s="133"/>
      <c r="D860" s="133"/>
      <c r="E860" s="133"/>
      <c r="F860" s="134"/>
      <c r="G860" s="135"/>
      <c r="H860" s="133"/>
      <c r="I860" s="133"/>
      <c r="J860" s="133"/>
      <c r="K860" s="133"/>
      <c r="L860" s="133"/>
      <c r="M860" s="136"/>
      <c r="N860" s="136"/>
      <c r="O860" s="133"/>
    </row>
    <row r="861" customFormat="false" ht="15" hidden="false" customHeight="false" outlineLevel="0" collapsed="false">
      <c r="B861" s="132"/>
      <c r="C861" s="133"/>
      <c r="D861" s="133"/>
      <c r="E861" s="133"/>
      <c r="F861" s="134"/>
      <c r="G861" s="135"/>
      <c r="H861" s="133"/>
      <c r="I861" s="133"/>
      <c r="J861" s="133"/>
      <c r="K861" s="133"/>
      <c r="L861" s="133"/>
      <c r="M861" s="136"/>
      <c r="N861" s="136"/>
      <c r="O861" s="133"/>
    </row>
    <row r="862" customFormat="false" ht="15" hidden="false" customHeight="false" outlineLevel="0" collapsed="false">
      <c r="B862" s="132"/>
      <c r="C862" s="133"/>
      <c r="D862" s="133"/>
      <c r="E862" s="133"/>
      <c r="F862" s="134"/>
      <c r="G862" s="135"/>
      <c r="H862" s="133"/>
      <c r="I862" s="133"/>
      <c r="J862" s="133"/>
      <c r="K862" s="133"/>
      <c r="L862" s="133"/>
      <c r="M862" s="136"/>
      <c r="N862" s="136"/>
      <c r="O862" s="133"/>
    </row>
    <row r="863" customFormat="false" ht="15" hidden="false" customHeight="false" outlineLevel="0" collapsed="false">
      <c r="B863" s="132"/>
      <c r="C863" s="133"/>
      <c r="D863" s="133"/>
      <c r="E863" s="133"/>
      <c r="F863" s="134"/>
      <c r="G863" s="135"/>
      <c r="H863" s="133"/>
      <c r="I863" s="133"/>
      <c r="J863" s="133"/>
      <c r="K863" s="133"/>
      <c r="L863" s="133"/>
      <c r="M863" s="136"/>
      <c r="N863" s="136"/>
      <c r="O863" s="133"/>
    </row>
    <row r="864" customFormat="false" ht="15" hidden="false" customHeight="false" outlineLevel="0" collapsed="false">
      <c r="B864" s="132"/>
      <c r="C864" s="133"/>
      <c r="D864" s="133"/>
      <c r="E864" s="133"/>
      <c r="F864" s="134"/>
      <c r="G864" s="135"/>
      <c r="H864" s="133"/>
      <c r="I864" s="133"/>
      <c r="J864" s="133"/>
      <c r="K864" s="133"/>
      <c r="L864" s="133"/>
      <c r="M864" s="136"/>
      <c r="N864" s="136"/>
      <c r="O864" s="133"/>
    </row>
    <row r="865" customFormat="false" ht="15" hidden="false" customHeight="false" outlineLevel="0" collapsed="false">
      <c r="B865" s="132"/>
      <c r="C865" s="133"/>
      <c r="D865" s="133"/>
      <c r="E865" s="133"/>
      <c r="F865" s="134"/>
      <c r="G865" s="135"/>
      <c r="H865" s="133"/>
      <c r="I865" s="133"/>
      <c r="J865" s="133"/>
      <c r="K865" s="133"/>
      <c r="L865" s="133"/>
      <c r="M865" s="136"/>
      <c r="N865" s="136"/>
      <c r="O865" s="133"/>
    </row>
    <row r="866" customFormat="false" ht="15" hidden="false" customHeight="false" outlineLevel="0" collapsed="false">
      <c r="B866" s="132"/>
      <c r="C866" s="133"/>
      <c r="D866" s="133"/>
      <c r="E866" s="133"/>
      <c r="F866" s="134"/>
      <c r="G866" s="135"/>
      <c r="H866" s="133"/>
      <c r="I866" s="133"/>
      <c r="J866" s="133"/>
      <c r="K866" s="133"/>
      <c r="L866" s="133"/>
      <c r="M866" s="136"/>
      <c r="N866" s="136"/>
      <c r="O866" s="133"/>
    </row>
    <row r="867" customFormat="false" ht="15" hidden="false" customHeight="false" outlineLevel="0" collapsed="false">
      <c r="B867" s="132"/>
      <c r="C867" s="133"/>
      <c r="D867" s="133"/>
      <c r="E867" s="133"/>
      <c r="F867" s="134"/>
      <c r="G867" s="135"/>
      <c r="H867" s="133"/>
      <c r="I867" s="133"/>
      <c r="J867" s="133"/>
      <c r="K867" s="133"/>
      <c r="L867" s="133"/>
      <c r="M867" s="136"/>
      <c r="N867" s="136"/>
      <c r="O867" s="133"/>
    </row>
    <row r="868" customFormat="false" ht="15" hidden="false" customHeight="false" outlineLevel="0" collapsed="false">
      <c r="B868" s="132"/>
      <c r="C868" s="133"/>
      <c r="D868" s="133"/>
      <c r="E868" s="133"/>
      <c r="F868" s="134"/>
      <c r="G868" s="135"/>
      <c r="H868" s="133"/>
      <c r="I868" s="133"/>
      <c r="J868" s="133"/>
      <c r="K868" s="133"/>
      <c r="L868" s="133"/>
      <c r="M868" s="136"/>
      <c r="N868" s="136"/>
      <c r="O868" s="133"/>
    </row>
    <row r="869" customFormat="false" ht="15" hidden="false" customHeight="false" outlineLevel="0" collapsed="false">
      <c r="B869" s="132"/>
      <c r="C869" s="133"/>
      <c r="D869" s="133"/>
      <c r="E869" s="133"/>
      <c r="F869" s="134"/>
      <c r="G869" s="135"/>
      <c r="H869" s="133"/>
      <c r="I869" s="133"/>
      <c r="J869" s="133"/>
      <c r="K869" s="133"/>
      <c r="L869" s="133"/>
      <c r="M869" s="136"/>
      <c r="N869" s="136"/>
      <c r="O869" s="133"/>
    </row>
    <row r="870" customFormat="false" ht="15" hidden="false" customHeight="false" outlineLevel="0" collapsed="false">
      <c r="B870" s="132"/>
      <c r="C870" s="133"/>
      <c r="D870" s="133"/>
      <c r="E870" s="133"/>
      <c r="F870" s="134"/>
      <c r="G870" s="135"/>
      <c r="H870" s="133"/>
      <c r="I870" s="133"/>
      <c r="J870" s="133"/>
      <c r="K870" s="133"/>
      <c r="L870" s="133"/>
      <c r="M870" s="136"/>
      <c r="N870" s="136"/>
      <c r="O870" s="133"/>
    </row>
    <row r="871" customFormat="false" ht="15" hidden="false" customHeight="false" outlineLevel="0" collapsed="false">
      <c r="B871" s="132"/>
      <c r="C871" s="133"/>
      <c r="D871" s="133"/>
      <c r="E871" s="133"/>
      <c r="F871" s="134"/>
      <c r="G871" s="135"/>
      <c r="H871" s="133"/>
      <c r="I871" s="133"/>
      <c r="J871" s="133"/>
      <c r="K871" s="133"/>
      <c r="L871" s="133"/>
      <c r="M871" s="136"/>
      <c r="N871" s="136"/>
      <c r="O871" s="133"/>
    </row>
    <row r="872" customFormat="false" ht="15" hidden="false" customHeight="false" outlineLevel="0" collapsed="false">
      <c r="B872" s="132"/>
      <c r="C872" s="133"/>
      <c r="D872" s="133"/>
      <c r="E872" s="133"/>
      <c r="F872" s="134"/>
      <c r="G872" s="135"/>
      <c r="H872" s="133"/>
      <c r="I872" s="133"/>
      <c r="J872" s="133"/>
      <c r="K872" s="133"/>
      <c r="L872" s="133"/>
      <c r="M872" s="136"/>
      <c r="N872" s="136"/>
      <c r="O872" s="133"/>
    </row>
    <row r="873" customFormat="false" ht="15" hidden="false" customHeight="false" outlineLevel="0" collapsed="false">
      <c r="B873" s="132"/>
      <c r="C873" s="133"/>
      <c r="D873" s="133"/>
      <c r="E873" s="133"/>
      <c r="F873" s="134"/>
      <c r="G873" s="135"/>
      <c r="H873" s="133"/>
      <c r="I873" s="133"/>
      <c r="J873" s="133"/>
      <c r="K873" s="133"/>
      <c r="L873" s="133"/>
      <c r="M873" s="136"/>
      <c r="N873" s="136"/>
      <c r="O873" s="133"/>
    </row>
    <row r="874" customFormat="false" ht="15" hidden="false" customHeight="false" outlineLevel="0" collapsed="false">
      <c r="B874" s="132"/>
      <c r="C874" s="133"/>
      <c r="D874" s="133"/>
      <c r="E874" s="133"/>
      <c r="F874" s="134"/>
      <c r="G874" s="135"/>
      <c r="H874" s="133"/>
      <c r="I874" s="133"/>
      <c r="J874" s="133"/>
      <c r="K874" s="133"/>
      <c r="L874" s="133"/>
      <c r="M874" s="136"/>
      <c r="N874" s="136"/>
      <c r="O874" s="133"/>
    </row>
    <row r="875" customFormat="false" ht="15" hidden="false" customHeight="false" outlineLevel="0" collapsed="false">
      <c r="B875" s="132"/>
      <c r="C875" s="133"/>
      <c r="D875" s="133"/>
      <c r="E875" s="133"/>
      <c r="F875" s="134"/>
      <c r="G875" s="135"/>
      <c r="H875" s="133"/>
      <c r="I875" s="133"/>
      <c r="J875" s="133"/>
      <c r="K875" s="133"/>
      <c r="L875" s="133"/>
      <c r="M875" s="136"/>
      <c r="N875" s="136"/>
      <c r="O875" s="133"/>
    </row>
    <row r="876" customFormat="false" ht="15" hidden="false" customHeight="false" outlineLevel="0" collapsed="false">
      <c r="B876" s="132"/>
      <c r="C876" s="133"/>
      <c r="D876" s="133"/>
      <c r="E876" s="133"/>
      <c r="F876" s="134"/>
      <c r="G876" s="135"/>
      <c r="H876" s="133"/>
      <c r="I876" s="133"/>
      <c r="J876" s="133"/>
      <c r="K876" s="133"/>
      <c r="L876" s="133"/>
      <c r="M876" s="136"/>
      <c r="N876" s="136"/>
      <c r="O876" s="133"/>
    </row>
    <row r="877" customFormat="false" ht="15" hidden="false" customHeight="false" outlineLevel="0" collapsed="false">
      <c r="B877" s="132"/>
      <c r="C877" s="133"/>
      <c r="D877" s="133"/>
      <c r="E877" s="133"/>
      <c r="F877" s="134"/>
      <c r="G877" s="135"/>
      <c r="H877" s="133"/>
      <c r="I877" s="133"/>
      <c r="J877" s="133"/>
      <c r="K877" s="133"/>
      <c r="L877" s="133"/>
      <c r="M877" s="136"/>
      <c r="N877" s="136"/>
      <c r="O877" s="133"/>
    </row>
    <row r="878" customFormat="false" ht="15" hidden="false" customHeight="false" outlineLevel="0" collapsed="false">
      <c r="B878" s="132"/>
      <c r="C878" s="133"/>
      <c r="D878" s="133"/>
      <c r="E878" s="133"/>
      <c r="F878" s="134"/>
      <c r="G878" s="135"/>
      <c r="H878" s="133"/>
      <c r="I878" s="133"/>
      <c r="J878" s="133"/>
      <c r="K878" s="133"/>
      <c r="L878" s="133"/>
      <c r="M878" s="136"/>
      <c r="N878" s="136"/>
      <c r="O878" s="133"/>
    </row>
    <row r="879" customFormat="false" ht="15" hidden="false" customHeight="false" outlineLevel="0" collapsed="false">
      <c r="B879" s="132"/>
      <c r="C879" s="133"/>
      <c r="D879" s="133"/>
      <c r="E879" s="133"/>
      <c r="F879" s="134"/>
      <c r="G879" s="135"/>
      <c r="H879" s="133"/>
      <c r="I879" s="133"/>
      <c r="J879" s="133"/>
      <c r="K879" s="133"/>
      <c r="L879" s="133"/>
      <c r="M879" s="136"/>
      <c r="N879" s="136"/>
      <c r="O879" s="133"/>
    </row>
    <row r="880" customFormat="false" ht="15" hidden="false" customHeight="false" outlineLevel="0" collapsed="false">
      <c r="B880" s="132"/>
      <c r="C880" s="133"/>
      <c r="D880" s="133"/>
      <c r="E880" s="133"/>
      <c r="F880" s="134"/>
      <c r="G880" s="135"/>
      <c r="H880" s="133"/>
      <c r="I880" s="133"/>
      <c r="J880" s="133"/>
      <c r="K880" s="133"/>
      <c r="L880" s="133"/>
      <c r="M880" s="136"/>
      <c r="N880" s="136"/>
      <c r="O880" s="133"/>
    </row>
    <row r="881" customFormat="false" ht="15" hidden="false" customHeight="false" outlineLevel="0" collapsed="false">
      <c r="B881" s="132"/>
      <c r="C881" s="133"/>
      <c r="D881" s="133"/>
      <c r="E881" s="133"/>
      <c r="F881" s="134"/>
      <c r="G881" s="135"/>
      <c r="H881" s="133"/>
      <c r="I881" s="133"/>
      <c r="J881" s="133"/>
      <c r="K881" s="133"/>
      <c r="L881" s="133"/>
      <c r="M881" s="136"/>
      <c r="N881" s="136"/>
      <c r="O881" s="133"/>
    </row>
    <row r="882" customFormat="false" ht="15" hidden="false" customHeight="false" outlineLevel="0" collapsed="false">
      <c r="B882" s="132"/>
      <c r="C882" s="133"/>
      <c r="D882" s="133"/>
      <c r="E882" s="133"/>
      <c r="F882" s="134"/>
      <c r="G882" s="135"/>
      <c r="H882" s="133"/>
      <c r="I882" s="133"/>
      <c r="J882" s="133"/>
      <c r="K882" s="133"/>
      <c r="L882" s="133"/>
      <c r="M882" s="136"/>
      <c r="N882" s="136"/>
      <c r="O882" s="133"/>
    </row>
    <row r="883" customFormat="false" ht="15" hidden="false" customHeight="false" outlineLevel="0" collapsed="false">
      <c r="B883" s="132"/>
      <c r="C883" s="133"/>
      <c r="D883" s="133"/>
      <c r="E883" s="133"/>
      <c r="F883" s="134"/>
      <c r="G883" s="135"/>
      <c r="H883" s="133"/>
      <c r="I883" s="133"/>
      <c r="J883" s="133"/>
      <c r="K883" s="133"/>
      <c r="L883" s="133"/>
      <c r="M883" s="136"/>
      <c r="N883" s="136"/>
      <c r="O883" s="133"/>
    </row>
    <row r="884" customFormat="false" ht="15" hidden="false" customHeight="false" outlineLevel="0" collapsed="false">
      <c r="B884" s="132"/>
      <c r="C884" s="133"/>
      <c r="D884" s="133"/>
      <c r="E884" s="133"/>
      <c r="F884" s="134"/>
      <c r="G884" s="135"/>
      <c r="H884" s="133"/>
      <c r="I884" s="133"/>
      <c r="J884" s="133"/>
      <c r="K884" s="133"/>
      <c r="L884" s="133"/>
      <c r="M884" s="136"/>
      <c r="N884" s="136"/>
      <c r="O884" s="133"/>
    </row>
    <row r="885" customFormat="false" ht="15" hidden="false" customHeight="false" outlineLevel="0" collapsed="false">
      <c r="B885" s="132"/>
      <c r="C885" s="133"/>
      <c r="D885" s="133"/>
      <c r="E885" s="133"/>
      <c r="F885" s="134"/>
      <c r="G885" s="135"/>
      <c r="H885" s="133"/>
      <c r="I885" s="133"/>
      <c r="J885" s="133"/>
      <c r="K885" s="133"/>
      <c r="L885" s="133"/>
      <c r="M885" s="136"/>
      <c r="N885" s="136"/>
      <c r="O885" s="133"/>
    </row>
    <row r="886" customFormat="false" ht="15" hidden="false" customHeight="false" outlineLevel="0" collapsed="false">
      <c r="B886" s="132"/>
      <c r="C886" s="133"/>
      <c r="D886" s="133"/>
      <c r="E886" s="133"/>
      <c r="F886" s="134"/>
      <c r="G886" s="135"/>
      <c r="H886" s="133"/>
      <c r="I886" s="133"/>
      <c r="J886" s="133"/>
      <c r="K886" s="133"/>
      <c r="L886" s="133"/>
      <c r="M886" s="136"/>
      <c r="N886" s="136"/>
      <c r="O886" s="133"/>
    </row>
    <row r="887" customFormat="false" ht="15" hidden="false" customHeight="false" outlineLevel="0" collapsed="false">
      <c r="B887" s="132"/>
      <c r="C887" s="133"/>
      <c r="D887" s="133"/>
      <c r="E887" s="133"/>
      <c r="F887" s="134"/>
      <c r="G887" s="135"/>
      <c r="H887" s="133"/>
      <c r="I887" s="133"/>
      <c r="J887" s="133"/>
      <c r="K887" s="133"/>
      <c r="L887" s="133"/>
      <c r="M887" s="136"/>
      <c r="N887" s="136"/>
      <c r="O887" s="133"/>
    </row>
    <row r="888" customFormat="false" ht="15" hidden="false" customHeight="false" outlineLevel="0" collapsed="false">
      <c r="B888" s="132"/>
      <c r="C888" s="133"/>
      <c r="D888" s="133"/>
      <c r="E888" s="133"/>
      <c r="F888" s="134"/>
      <c r="G888" s="135"/>
      <c r="H888" s="133"/>
      <c r="I888" s="133"/>
      <c r="J888" s="133"/>
      <c r="K888" s="133"/>
      <c r="L888" s="133"/>
      <c r="M888" s="136"/>
      <c r="N888" s="136"/>
      <c r="O888" s="133"/>
    </row>
    <row r="889" customFormat="false" ht="15" hidden="false" customHeight="false" outlineLevel="0" collapsed="false">
      <c r="B889" s="132"/>
      <c r="C889" s="133"/>
      <c r="D889" s="133"/>
      <c r="E889" s="133"/>
      <c r="F889" s="134"/>
      <c r="G889" s="135"/>
      <c r="H889" s="133"/>
      <c r="I889" s="133"/>
      <c r="J889" s="133"/>
      <c r="K889" s="133"/>
      <c r="L889" s="133"/>
      <c r="M889" s="136"/>
      <c r="N889" s="136"/>
      <c r="O889" s="133"/>
    </row>
    <row r="890" customFormat="false" ht="15" hidden="false" customHeight="false" outlineLevel="0" collapsed="false">
      <c r="B890" s="132"/>
      <c r="C890" s="133"/>
      <c r="D890" s="133"/>
      <c r="E890" s="133"/>
      <c r="F890" s="134"/>
      <c r="G890" s="135"/>
      <c r="H890" s="133"/>
      <c r="I890" s="133"/>
      <c r="J890" s="133"/>
      <c r="K890" s="133"/>
      <c r="L890" s="133"/>
      <c r="M890" s="136"/>
      <c r="N890" s="136"/>
      <c r="O890" s="133"/>
    </row>
    <row r="891" customFormat="false" ht="15" hidden="false" customHeight="false" outlineLevel="0" collapsed="false">
      <c r="B891" s="132"/>
      <c r="C891" s="133"/>
      <c r="D891" s="133"/>
      <c r="E891" s="133"/>
      <c r="F891" s="134"/>
      <c r="G891" s="135"/>
      <c r="H891" s="133"/>
      <c r="I891" s="133"/>
      <c r="J891" s="133"/>
      <c r="K891" s="133"/>
      <c r="L891" s="133"/>
      <c r="M891" s="136"/>
      <c r="N891" s="136"/>
      <c r="O891" s="133"/>
    </row>
    <row r="892" customFormat="false" ht="15" hidden="false" customHeight="false" outlineLevel="0" collapsed="false">
      <c r="B892" s="132"/>
      <c r="C892" s="133"/>
      <c r="D892" s="133"/>
      <c r="E892" s="133"/>
      <c r="F892" s="134"/>
      <c r="G892" s="135"/>
      <c r="H892" s="133"/>
      <c r="I892" s="133"/>
      <c r="J892" s="133"/>
      <c r="K892" s="133"/>
      <c r="L892" s="133"/>
      <c r="M892" s="136"/>
      <c r="N892" s="136"/>
      <c r="O892" s="133"/>
    </row>
    <row r="893" customFormat="false" ht="15" hidden="false" customHeight="false" outlineLevel="0" collapsed="false">
      <c r="B893" s="132"/>
      <c r="C893" s="133"/>
      <c r="D893" s="133"/>
      <c r="E893" s="133"/>
      <c r="F893" s="134"/>
      <c r="G893" s="135"/>
      <c r="H893" s="133"/>
      <c r="I893" s="133"/>
      <c r="J893" s="133"/>
      <c r="K893" s="133"/>
      <c r="L893" s="133"/>
      <c r="M893" s="136"/>
      <c r="N893" s="136"/>
      <c r="O893" s="133"/>
    </row>
    <row r="894" customFormat="false" ht="15" hidden="false" customHeight="false" outlineLevel="0" collapsed="false">
      <c r="B894" s="132"/>
      <c r="C894" s="133"/>
      <c r="D894" s="133"/>
      <c r="E894" s="133"/>
      <c r="F894" s="134"/>
      <c r="G894" s="135"/>
      <c r="H894" s="133"/>
      <c r="I894" s="133"/>
      <c r="J894" s="133"/>
      <c r="K894" s="133"/>
      <c r="L894" s="133"/>
      <c r="M894" s="136"/>
      <c r="N894" s="136"/>
      <c r="O894" s="133"/>
    </row>
    <row r="895" customFormat="false" ht="15" hidden="false" customHeight="false" outlineLevel="0" collapsed="false">
      <c r="B895" s="132"/>
      <c r="C895" s="133"/>
      <c r="D895" s="133"/>
      <c r="E895" s="133"/>
      <c r="F895" s="134"/>
      <c r="G895" s="135"/>
      <c r="H895" s="133"/>
      <c r="I895" s="133"/>
      <c r="J895" s="133"/>
      <c r="K895" s="133"/>
      <c r="L895" s="133"/>
      <c r="M895" s="136"/>
      <c r="N895" s="136"/>
      <c r="O895" s="133"/>
    </row>
    <row r="896" customFormat="false" ht="15" hidden="false" customHeight="false" outlineLevel="0" collapsed="false">
      <c r="B896" s="132"/>
      <c r="C896" s="133"/>
      <c r="D896" s="133"/>
      <c r="E896" s="133"/>
      <c r="F896" s="134"/>
      <c r="G896" s="135"/>
      <c r="H896" s="133"/>
      <c r="I896" s="133"/>
      <c r="J896" s="133"/>
      <c r="K896" s="133"/>
      <c r="L896" s="133"/>
      <c r="M896" s="136"/>
      <c r="N896" s="136"/>
      <c r="O896" s="133"/>
    </row>
    <row r="897" customFormat="false" ht="15" hidden="false" customHeight="false" outlineLevel="0" collapsed="false">
      <c r="B897" s="132"/>
      <c r="C897" s="133"/>
      <c r="D897" s="133"/>
      <c r="E897" s="133"/>
      <c r="F897" s="134"/>
      <c r="G897" s="135"/>
      <c r="H897" s="133"/>
      <c r="I897" s="133"/>
      <c r="J897" s="133"/>
      <c r="K897" s="133"/>
      <c r="L897" s="133"/>
      <c r="M897" s="136"/>
      <c r="N897" s="136"/>
      <c r="O897" s="133"/>
    </row>
    <row r="898" customFormat="false" ht="15" hidden="false" customHeight="false" outlineLevel="0" collapsed="false">
      <c r="B898" s="132"/>
      <c r="C898" s="133"/>
      <c r="D898" s="133"/>
      <c r="E898" s="133"/>
      <c r="F898" s="134"/>
      <c r="G898" s="135"/>
      <c r="H898" s="133"/>
      <c r="I898" s="133"/>
      <c r="J898" s="133"/>
      <c r="K898" s="133"/>
      <c r="L898" s="133"/>
      <c r="M898" s="136"/>
      <c r="N898" s="136"/>
      <c r="O898" s="133"/>
    </row>
    <row r="899" customFormat="false" ht="15" hidden="false" customHeight="false" outlineLevel="0" collapsed="false">
      <c r="B899" s="132"/>
      <c r="C899" s="133"/>
      <c r="D899" s="133"/>
      <c r="E899" s="133"/>
      <c r="F899" s="134"/>
      <c r="G899" s="135"/>
      <c r="H899" s="133"/>
      <c r="I899" s="133"/>
      <c r="J899" s="133"/>
      <c r="K899" s="133"/>
      <c r="L899" s="133"/>
      <c r="M899" s="136"/>
      <c r="N899" s="136"/>
      <c r="O899" s="133"/>
    </row>
    <row r="900" customFormat="false" ht="15" hidden="false" customHeight="false" outlineLevel="0" collapsed="false">
      <c r="B900" s="132"/>
      <c r="C900" s="133"/>
      <c r="D900" s="133"/>
      <c r="E900" s="133"/>
      <c r="F900" s="134"/>
      <c r="G900" s="135"/>
      <c r="H900" s="133"/>
      <c r="I900" s="133"/>
      <c r="J900" s="133"/>
      <c r="K900" s="133"/>
      <c r="L900" s="133"/>
      <c r="M900" s="136"/>
      <c r="N900" s="136"/>
      <c r="O900" s="133"/>
    </row>
    <row r="901" customFormat="false" ht="15" hidden="false" customHeight="false" outlineLevel="0" collapsed="false">
      <c r="B901" s="132"/>
      <c r="C901" s="133"/>
      <c r="D901" s="133"/>
      <c r="E901" s="133"/>
      <c r="F901" s="134"/>
      <c r="G901" s="135"/>
      <c r="H901" s="133"/>
      <c r="I901" s="133"/>
      <c r="J901" s="133"/>
      <c r="K901" s="133"/>
      <c r="L901" s="133"/>
      <c r="M901" s="136"/>
      <c r="N901" s="136"/>
      <c r="O901" s="133"/>
    </row>
    <row r="902" customFormat="false" ht="15" hidden="false" customHeight="false" outlineLevel="0" collapsed="false">
      <c r="B902" s="132"/>
      <c r="C902" s="133"/>
      <c r="D902" s="133"/>
      <c r="E902" s="133"/>
      <c r="F902" s="134"/>
      <c r="G902" s="135"/>
      <c r="H902" s="133"/>
      <c r="I902" s="133"/>
      <c r="J902" s="133"/>
      <c r="K902" s="133"/>
      <c r="L902" s="133"/>
      <c r="M902" s="136"/>
      <c r="N902" s="136"/>
      <c r="O902" s="133"/>
    </row>
    <row r="903" customFormat="false" ht="15" hidden="false" customHeight="false" outlineLevel="0" collapsed="false">
      <c r="B903" s="132"/>
      <c r="C903" s="133"/>
      <c r="D903" s="133"/>
      <c r="E903" s="133"/>
      <c r="F903" s="134"/>
      <c r="G903" s="135"/>
      <c r="H903" s="133"/>
      <c r="I903" s="133"/>
      <c r="J903" s="133"/>
      <c r="K903" s="133"/>
      <c r="L903" s="133"/>
      <c r="M903" s="136"/>
      <c r="N903" s="136"/>
      <c r="O903" s="133"/>
    </row>
    <row r="904" customFormat="false" ht="15" hidden="false" customHeight="false" outlineLevel="0" collapsed="false">
      <c r="B904" s="132"/>
      <c r="C904" s="133"/>
      <c r="D904" s="133"/>
      <c r="E904" s="133"/>
      <c r="F904" s="134"/>
      <c r="G904" s="135"/>
      <c r="H904" s="133"/>
      <c r="I904" s="133"/>
      <c r="J904" s="133"/>
      <c r="K904" s="133"/>
      <c r="L904" s="133"/>
      <c r="M904" s="136"/>
      <c r="N904" s="136"/>
      <c r="O904" s="133"/>
    </row>
    <row r="905" customFormat="false" ht="15" hidden="false" customHeight="false" outlineLevel="0" collapsed="false">
      <c r="B905" s="132"/>
      <c r="C905" s="133"/>
      <c r="D905" s="133"/>
      <c r="E905" s="133"/>
      <c r="F905" s="134"/>
      <c r="G905" s="135"/>
      <c r="H905" s="133"/>
      <c r="I905" s="133"/>
      <c r="J905" s="133"/>
      <c r="K905" s="133"/>
      <c r="L905" s="133"/>
      <c r="M905" s="136"/>
      <c r="N905" s="136"/>
      <c r="O905" s="133"/>
    </row>
    <row r="906" customFormat="false" ht="15" hidden="false" customHeight="false" outlineLevel="0" collapsed="false">
      <c r="B906" s="132"/>
      <c r="C906" s="133"/>
      <c r="D906" s="133"/>
      <c r="E906" s="133"/>
      <c r="F906" s="134"/>
      <c r="G906" s="135"/>
      <c r="H906" s="133"/>
      <c r="I906" s="133"/>
      <c r="J906" s="133"/>
      <c r="K906" s="133"/>
      <c r="L906" s="133"/>
      <c r="M906" s="136"/>
      <c r="N906" s="136"/>
      <c r="O906" s="133"/>
    </row>
    <row r="907" customFormat="false" ht="15" hidden="false" customHeight="false" outlineLevel="0" collapsed="false">
      <c r="B907" s="132"/>
      <c r="C907" s="133"/>
      <c r="D907" s="133"/>
      <c r="E907" s="133"/>
      <c r="F907" s="134"/>
      <c r="G907" s="135"/>
      <c r="H907" s="133"/>
      <c r="I907" s="133"/>
      <c r="J907" s="133"/>
      <c r="K907" s="133"/>
      <c r="L907" s="133"/>
      <c r="M907" s="136"/>
      <c r="N907" s="136"/>
      <c r="O907" s="133"/>
    </row>
    <row r="908" customFormat="false" ht="15" hidden="false" customHeight="false" outlineLevel="0" collapsed="false">
      <c r="B908" s="132"/>
      <c r="C908" s="133"/>
      <c r="D908" s="133"/>
      <c r="E908" s="133"/>
      <c r="F908" s="134"/>
      <c r="G908" s="135"/>
      <c r="H908" s="133"/>
      <c r="I908" s="133"/>
      <c r="J908" s="133"/>
      <c r="K908" s="133"/>
      <c r="L908" s="133"/>
      <c r="M908" s="136"/>
      <c r="N908" s="136"/>
      <c r="O908" s="133"/>
    </row>
    <row r="909" customFormat="false" ht="15" hidden="false" customHeight="false" outlineLevel="0" collapsed="false">
      <c r="B909" s="132"/>
      <c r="C909" s="133"/>
      <c r="D909" s="133"/>
      <c r="E909" s="133"/>
      <c r="F909" s="134"/>
      <c r="G909" s="135"/>
      <c r="H909" s="133"/>
      <c r="I909" s="133"/>
      <c r="J909" s="133"/>
      <c r="K909" s="133"/>
      <c r="L909" s="133"/>
      <c r="M909" s="136"/>
      <c r="N909" s="136"/>
      <c r="O909" s="133"/>
    </row>
    <row r="910" customFormat="false" ht="15" hidden="false" customHeight="false" outlineLevel="0" collapsed="false">
      <c r="B910" s="132"/>
      <c r="C910" s="133"/>
      <c r="D910" s="133"/>
      <c r="E910" s="133"/>
      <c r="F910" s="134"/>
      <c r="G910" s="135"/>
      <c r="H910" s="133"/>
      <c r="I910" s="133"/>
      <c r="J910" s="133"/>
      <c r="K910" s="133"/>
      <c r="L910" s="133"/>
      <c r="M910" s="136"/>
      <c r="N910" s="136"/>
      <c r="O910" s="133"/>
    </row>
    <row r="911" customFormat="false" ht="15" hidden="false" customHeight="false" outlineLevel="0" collapsed="false">
      <c r="B911" s="132"/>
      <c r="C911" s="133"/>
      <c r="D911" s="133"/>
      <c r="E911" s="133"/>
      <c r="F911" s="134"/>
      <c r="G911" s="135"/>
      <c r="H911" s="133"/>
      <c r="I911" s="133"/>
      <c r="J911" s="133"/>
      <c r="K911" s="133"/>
      <c r="L911" s="133"/>
      <c r="M911" s="136"/>
      <c r="N911" s="136"/>
      <c r="O911" s="133"/>
    </row>
    <row r="912" customFormat="false" ht="15" hidden="false" customHeight="false" outlineLevel="0" collapsed="false">
      <c r="B912" s="132"/>
      <c r="C912" s="133"/>
      <c r="D912" s="133"/>
      <c r="E912" s="133"/>
      <c r="F912" s="134"/>
      <c r="G912" s="135"/>
      <c r="H912" s="133"/>
      <c r="I912" s="133"/>
      <c r="J912" s="133"/>
      <c r="K912" s="133"/>
      <c r="L912" s="133"/>
      <c r="M912" s="136"/>
      <c r="N912" s="136"/>
      <c r="O912" s="133"/>
    </row>
    <row r="913" customFormat="false" ht="15" hidden="false" customHeight="false" outlineLevel="0" collapsed="false">
      <c r="B913" s="132"/>
      <c r="C913" s="133"/>
      <c r="D913" s="133"/>
      <c r="E913" s="133"/>
      <c r="F913" s="134"/>
      <c r="G913" s="135"/>
      <c r="H913" s="133"/>
      <c r="I913" s="133"/>
      <c r="J913" s="133"/>
      <c r="K913" s="133"/>
      <c r="L913" s="133"/>
      <c r="M913" s="136"/>
      <c r="N913" s="136"/>
      <c r="O913" s="133"/>
    </row>
    <row r="914" customFormat="false" ht="15" hidden="false" customHeight="false" outlineLevel="0" collapsed="false">
      <c r="B914" s="132"/>
      <c r="C914" s="133"/>
      <c r="D914" s="133"/>
      <c r="E914" s="133"/>
      <c r="F914" s="134"/>
      <c r="G914" s="135"/>
      <c r="H914" s="133"/>
      <c r="I914" s="133"/>
      <c r="J914" s="133"/>
      <c r="K914" s="133"/>
      <c r="L914" s="133"/>
      <c r="M914" s="136"/>
      <c r="N914" s="136"/>
      <c r="O914" s="133"/>
    </row>
    <row r="915" customFormat="false" ht="15" hidden="false" customHeight="false" outlineLevel="0" collapsed="false">
      <c r="B915" s="132"/>
      <c r="C915" s="133"/>
      <c r="D915" s="133"/>
      <c r="E915" s="133"/>
      <c r="F915" s="134"/>
      <c r="G915" s="135"/>
      <c r="H915" s="133"/>
      <c r="I915" s="133"/>
      <c r="J915" s="133"/>
      <c r="K915" s="133"/>
      <c r="L915" s="133"/>
      <c r="M915" s="136"/>
      <c r="N915" s="136"/>
      <c r="O915" s="133"/>
    </row>
    <row r="916" customFormat="false" ht="15" hidden="false" customHeight="false" outlineLevel="0" collapsed="false">
      <c r="B916" s="132"/>
      <c r="C916" s="133"/>
      <c r="D916" s="133"/>
      <c r="E916" s="133"/>
      <c r="F916" s="134"/>
      <c r="G916" s="135"/>
      <c r="H916" s="133"/>
      <c r="I916" s="133"/>
      <c r="J916" s="133"/>
      <c r="K916" s="133"/>
      <c r="L916" s="133"/>
      <c r="M916" s="136"/>
      <c r="N916" s="136"/>
      <c r="O916" s="133"/>
    </row>
    <row r="917" customFormat="false" ht="15" hidden="false" customHeight="false" outlineLevel="0" collapsed="false">
      <c r="B917" s="132"/>
      <c r="C917" s="133"/>
      <c r="D917" s="133"/>
      <c r="E917" s="133"/>
      <c r="F917" s="134"/>
      <c r="G917" s="135"/>
      <c r="H917" s="133"/>
      <c r="I917" s="133"/>
      <c r="J917" s="133"/>
      <c r="K917" s="133"/>
      <c r="L917" s="133"/>
      <c r="M917" s="136"/>
      <c r="N917" s="136"/>
      <c r="O917" s="133"/>
    </row>
    <row r="918" customFormat="false" ht="15" hidden="false" customHeight="false" outlineLevel="0" collapsed="false">
      <c r="B918" s="132"/>
      <c r="C918" s="133"/>
      <c r="D918" s="133"/>
      <c r="E918" s="133"/>
      <c r="F918" s="134"/>
      <c r="G918" s="135"/>
      <c r="H918" s="133"/>
      <c r="I918" s="133"/>
      <c r="J918" s="133"/>
      <c r="K918" s="133"/>
      <c r="L918" s="133"/>
      <c r="M918" s="136"/>
      <c r="N918" s="136"/>
      <c r="O918" s="133"/>
    </row>
    <row r="919" customFormat="false" ht="15" hidden="false" customHeight="false" outlineLevel="0" collapsed="false">
      <c r="B919" s="132"/>
      <c r="C919" s="133"/>
      <c r="D919" s="133"/>
      <c r="E919" s="133"/>
      <c r="F919" s="134"/>
      <c r="G919" s="135"/>
      <c r="H919" s="133"/>
      <c r="I919" s="133"/>
      <c r="J919" s="133"/>
      <c r="K919" s="133"/>
      <c r="L919" s="133"/>
      <c r="M919" s="136"/>
      <c r="N919" s="136"/>
      <c r="O919" s="133"/>
    </row>
    <row r="920" customFormat="false" ht="15" hidden="false" customHeight="false" outlineLevel="0" collapsed="false">
      <c r="B920" s="132"/>
      <c r="C920" s="133"/>
      <c r="D920" s="133"/>
      <c r="E920" s="133"/>
      <c r="F920" s="134"/>
      <c r="G920" s="135"/>
      <c r="H920" s="133"/>
      <c r="I920" s="133"/>
      <c r="J920" s="133"/>
      <c r="K920" s="133"/>
      <c r="L920" s="133"/>
      <c r="M920" s="136"/>
      <c r="N920" s="136"/>
      <c r="O920" s="133"/>
    </row>
    <row r="921" customFormat="false" ht="15" hidden="false" customHeight="false" outlineLevel="0" collapsed="false">
      <c r="B921" s="132"/>
      <c r="C921" s="133"/>
      <c r="D921" s="133"/>
      <c r="E921" s="133"/>
      <c r="F921" s="134"/>
      <c r="G921" s="135"/>
      <c r="H921" s="133"/>
      <c r="I921" s="133"/>
      <c r="J921" s="133"/>
      <c r="K921" s="133"/>
      <c r="L921" s="133"/>
      <c r="M921" s="136"/>
      <c r="N921" s="136"/>
      <c r="O921" s="133"/>
    </row>
    <row r="922" customFormat="false" ht="15" hidden="false" customHeight="false" outlineLevel="0" collapsed="false">
      <c r="B922" s="132"/>
      <c r="C922" s="133"/>
      <c r="D922" s="133"/>
      <c r="E922" s="133"/>
      <c r="F922" s="134"/>
      <c r="G922" s="135"/>
      <c r="H922" s="133"/>
      <c r="I922" s="133"/>
      <c r="J922" s="133"/>
      <c r="K922" s="133"/>
      <c r="L922" s="133"/>
      <c r="M922" s="136"/>
      <c r="N922" s="136"/>
      <c r="O922" s="133"/>
    </row>
    <row r="923" customFormat="false" ht="15" hidden="false" customHeight="false" outlineLevel="0" collapsed="false">
      <c r="B923" s="132"/>
      <c r="C923" s="133"/>
      <c r="D923" s="133"/>
      <c r="E923" s="133"/>
      <c r="F923" s="134"/>
      <c r="G923" s="135"/>
      <c r="H923" s="133"/>
      <c r="I923" s="133"/>
      <c r="J923" s="133"/>
      <c r="K923" s="133"/>
      <c r="L923" s="133"/>
      <c r="M923" s="136"/>
      <c r="N923" s="136"/>
      <c r="O923" s="133"/>
    </row>
    <row r="924" customFormat="false" ht="15" hidden="false" customHeight="false" outlineLevel="0" collapsed="false">
      <c r="B924" s="132"/>
      <c r="C924" s="133"/>
      <c r="D924" s="133"/>
      <c r="E924" s="133"/>
      <c r="F924" s="134"/>
      <c r="G924" s="135"/>
      <c r="H924" s="133"/>
      <c r="I924" s="133"/>
      <c r="J924" s="133"/>
      <c r="K924" s="133"/>
      <c r="L924" s="133"/>
      <c r="M924" s="136"/>
      <c r="N924" s="136"/>
      <c r="O924" s="133"/>
    </row>
    <row r="925" customFormat="false" ht="15" hidden="false" customHeight="false" outlineLevel="0" collapsed="false">
      <c r="B925" s="132"/>
      <c r="C925" s="133"/>
      <c r="D925" s="133"/>
      <c r="E925" s="133"/>
      <c r="F925" s="134"/>
      <c r="G925" s="135"/>
      <c r="H925" s="133"/>
      <c r="I925" s="133"/>
      <c r="J925" s="133"/>
      <c r="K925" s="133"/>
      <c r="L925" s="133"/>
      <c r="M925" s="136"/>
      <c r="N925" s="136"/>
      <c r="O925" s="133"/>
    </row>
    <row r="926" customFormat="false" ht="15" hidden="false" customHeight="false" outlineLevel="0" collapsed="false">
      <c r="B926" s="132"/>
      <c r="C926" s="133"/>
      <c r="D926" s="133"/>
      <c r="E926" s="133"/>
      <c r="F926" s="134"/>
      <c r="G926" s="135"/>
      <c r="H926" s="133"/>
      <c r="I926" s="133"/>
      <c r="J926" s="133"/>
      <c r="K926" s="133"/>
      <c r="L926" s="133"/>
      <c r="M926" s="136"/>
      <c r="N926" s="136"/>
      <c r="O926" s="133"/>
    </row>
    <row r="927" customFormat="false" ht="15" hidden="false" customHeight="false" outlineLevel="0" collapsed="false">
      <c r="B927" s="132"/>
      <c r="C927" s="133"/>
      <c r="D927" s="133"/>
      <c r="E927" s="133"/>
      <c r="F927" s="134"/>
      <c r="G927" s="135"/>
      <c r="H927" s="133"/>
      <c r="I927" s="133"/>
      <c r="J927" s="133"/>
      <c r="K927" s="133"/>
      <c r="L927" s="133"/>
      <c r="M927" s="136"/>
      <c r="N927" s="136"/>
      <c r="O927" s="133"/>
    </row>
    <row r="928" customFormat="false" ht="15" hidden="false" customHeight="false" outlineLevel="0" collapsed="false">
      <c r="B928" s="132"/>
      <c r="C928" s="133"/>
      <c r="D928" s="133"/>
      <c r="E928" s="133"/>
      <c r="F928" s="134"/>
      <c r="G928" s="135"/>
      <c r="H928" s="133"/>
      <c r="I928" s="133"/>
      <c r="J928" s="133"/>
      <c r="K928" s="133"/>
      <c r="L928" s="133"/>
      <c r="M928" s="136"/>
      <c r="N928" s="136"/>
      <c r="O928" s="133"/>
    </row>
    <row r="929" customFormat="false" ht="15" hidden="false" customHeight="false" outlineLevel="0" collapsed="false">
      <c r="B929" s="132"/>
      <c r="C929" s="133"/>
      <c r="D929" s="133"/>
      <c r="E929" s="133"/>
      <c r="F929" s="134"/>
      <c r="G929" s="135"/>
      <c r="H929" s="133"/>
      <c r="I929" s="133"/>
      <c r="J929" s="133"/>
      <c r="K929" s="133"/>
      <c r="L929" s="133"/>
      <c r="M929" s="136"/>
      <c r="N929" s="136"/>
      <c r="O929" s="133"/>
    </row>
    <row r="930" customFormat="false" ht="15" hidden="false" customHeight="false" outlineLevel="0" collapsed="false">
      <c r="B930" s="132"/>
      <c r="C930" s="133"/>
      <c r="D930" s="133"/>
      <c r="E930" s="133"/>
      <c r="F930" s="134"/>
      <c r="G930" s="135"/>
      <c r="H930" s="133"/>
      <c r="I930" s="133"/>
      <c r="J930" s="133"/>
      <c r="K930" s="133"/>
      <c r="L930" s="133"/>
      <c r="M930" s="136"/>
      <c r="N930" s="136"/>
      <c r="O930" s="133"/>
    </row>
    <row r="931" customFormat="false" ht="15" hidden="false" customHeight="false" outlineLevel="0" collapsed="false">
      <c r="B931" s="132"/>
      <c r="C931" s="133"/>
      <c r="D931" s="133"/>
      <c r="E931" s="133"/>
      <c r="F931" s="134"/>
      <c r="G931" s="135"/>
      <c r="H931" s="133"/>
      <c r="I931" s="133"/>
      <c r="J931" s="133"/>
      <c r="K931" s="133"/>
      <c r="L931" s="133"/>
      <c r="M931" s="136"/>
      <c r="N931" s="136"/>
      <c r="O931" s="133"/>
    </row>
    <row r="932" customFormat="false" ht="15" hidden="false" customHeight="false" outlineLevel="0" collapsed="false">
      <c r="B932" s="132"/>
      <c r="C932" s="133"/>
      <c r="D932" s="133"/>
      <c r="E932" s="133"/>
      <c r="F932" s="134"/>
      <c r="G932" s="135"/>
      <c r="H932" s="133"/>
      <c r="I932" s="133"/>
      <c r="J932" s="133"/>
      <c r="K932" s="133"/>
      <c r="L932" s="133"/>
      <c r="M932" s="136"/>
      <c r="N932" s="136"/>
      <c r="O932" s="133"/>
    </row>
    <row r="933" customFormat="false" ht="15" hidden="false" customHeight="false" outlineLevel="0" collapsed="false">
      <c r="B933" s="132"/>
      <c r="C933" s="133"/>
      <c r="D933" s="133"/>
      <c r="E933" s="133"/>
      <c r="F933" s="134"/>
      <c r="G933" s="135"/>
      <c r="H933" s="133"/>
      <c r="I933" s="133"/>
      <c r="J933" s="133"/>
      <c r="K933" s="133"/>
      <c r="L933" s="133"/>
      <c r="M933" s="136"/>
      <c r="N933" s="136"/>
      <c r="O933" s="133"/>
    </row>
    <row r="934" customFormat="false" ht="15" hidden="false" customHeight="false" outlineLevel="0" collapsed="false">
      <c r="B934" s="132"/>
      <c r="C934" s="133"/>
      <c r="D934" s="133"/>
      <c r="E934" s="133"/>
      <c r="F934" s="134"/>
      <c r="G934" s="135"/>
      <c r="H934" s="133"/>
      <c r="I934" s="133"/>
      <c r="J934" s="133"/>
      <c r="K934" s="133"/>
      <c r="L934" s="133"/>
      <c r="M934" s="136"/>
      <c r="N934" s="136"/>
      <c r="O934" s="133"/>
    </row>
    <row r="935" customFormat="false" ht="15" hidden="false" customHeight="false" outlineLevel="0" collapsed="false">
      <c r="B935" s="132"/>
      <c r="C935" s="133"/>
      <c r="D935" s="133"/>
      <c r="E935" s="133"/>
      <c r="F935" s="134"/>
      <c r="G935" s="135"/>
      <c r="H935" s="133"/>
      <c r="I935" s="133"/>
      <c r="J935" s="133"/>
      <c r="K935" s="133"/>
      <c r="L935" s="133"/>
      <c r="M935" s="136"/>
      <c r="N935" s="136"/>
      <c r="O935" s="133"/>
    </row>
    <row r="936" customFormat="false" ht="15" hidden="false" customHeight="false" outlineLevel="0" collapsed="false">
      <c r="B936" s="132"/>
      <c r="C936" s="133"/>
      <c r="D936" s="133"/>
      <c r="E936" s="133"/>
      <c r="F936" s="134"/>
      <c r="G936" s="135"/>
      <c r="H936" s="133"/>
      <c r="I936" s="133"/>
      <c r="J936" s="133"/>
      <c r="K936" s="133"/>
      <c r="L936" s="133"/>
      <c r="M936" s="136"/>
      <c r="N936" s="136"/>
      <c r="O936" s="133"/>
    </row>
    <row r="937" customFormat="false" ht="15" hidden="false" customHeight="false" outlineLevel="0" collapsed="false">
      <c r="B937" s="132"/>
      <c r="C937" s="133"/>
      <c r="D937" s="133"/>
      <c r="E937" s="133"/>
      <c r="F937" s="134"/>
      <c r="G937" s="135"/>
      <c r="H937" s="133"/>
      <c r="I937" s="133"/>
      <c r="J937" s="133"/>
      <c r="K937" s="133"/>
      <c r="L937" s="133"/>
      <c r="M937" s="136"/>
      <c r="N937" s="136"/>
      <c r="O937" s="133"/>
    </row>
    <row r="938" customFormat="false" ht="15" hidden="false" customHeight="false" outlineLevel="0" collapsed="false">
      <c r="B938" s="132"/>
      <c r="C938" s="133"/>
      <c r="D938" s="133"/>
      <c r="E938" s="133"/>
      <c r="F938" s="134"/>
      <c r="G938" s="135"/>
      <c r="H938" s="133"/>
      <c r="I938" s="133"/>
      <c r="J938" s="133"/>
      <c r="K938" s="133"/>
      <c r="L938" s="133"/>
      <c r="M938" s="136"/>
      <c r="N938" s="136"/>
      <c r="O938" s="133"/>
    </row>
    <row r="939" customFormat="false" ht="15" hidden="false" customHeight="false" outlineLevel="0" collapsed="false">
      <c r="B939" s="132"/>
      <c r="C939" s="133"/>
      <c r="D939" s="133"/>
      <c r="E939" s="133"/>
      <c r="F939" s="134"/>
      <c r="G939" s="135"/>
      <c r="H939" s="133"/>
      <c r="I939" s="133"/>
      <c r="J939" s="133"/>
      <c r="K939" s="133"/>
      <c r="L939" s="133"/>
      <c r="M939" s="136"/>
      <c r="N939" s="136"/>
      <c r="O939" s="133"/>
    </row>
    <row r="940" customFormat="false" ht="15" hidden="false" customHeight="false" outlineLevel="0" collapsed="false">
      <c r="B940" s="132"/>
      <c r="C940" s="133"/>
      <c r="D940" s="133"/>
      <c r="E940" s="133"/>
      <c r="F940" s="134"/>
      <c r="G940" s="135"/>
      <c r="H940" s="133"/>
      <c r="I940" s="133"/>
      <c r="J940" s="133"/>
      <c r="K940" s="133"/>
      <c r="L940" s="133"/>
      <c r="M940" s="136"/>
      <c r="N940" s="136"/>
      <c r="O940" s="133"/>
    </row>
    <row r="941" customFormat="false" ht="15" hidden="false" customHeight="false" outlineLevel="0" collapsed="false">
      <c r="B941" s="132"/>
      <c r="C941" s="133"/>
      <c r="D941" s="133"/>
      <c r="E941" s="133"/>
      <c r="F941" s="134"/>
      <c r="G941" s="135"/>
      <c r="H941" s="133"/>
      <c r="I941" s="133"/>
      <c r="J941" s="133"/>
      <c r="K941" s="133"/>
      <c r="L941" s="133"/>
      <c r="M941" s="136"/>
      <c r="N941" s="136"/>
      <c r="O941" s="133"/>
    </row>
    <row r="942" customFormat="false" ht="15" hidden="false" customHeight="false" outlineLevel="0" collapsed="false">
      <c r="B942" s="132"/>
      <c r="C942" s="133"/>
      <c r="D942" s="133"/>
      <c r="E942" s="133"/>
      <c r="F942" s="134"/>
      <c r="G942" s="135"/>
      <c r="H942" s="133"/>
      <c r="I942" s="133"/>
      <c r="J942" s="133"/>
      <c r="K942" s="133"/>
      <c r="L942" s="133"/>
      <c r="M942" s="136"/>
      <c r="N942" s="136"/>
      <c r="O942" s="133"/>
    </row>
    <row r="943" customFormat="false" ht="15" hidden="false" customHeight="false" outlineLevel="0" collapsed="false">
      <c r="B943" s="132"/>
      <c r="C943" s="133"/>
      <c r="D943" s="133"/>
      <c r="E943" s="133"/>
      <c r="F943" s="134"/>
      <c r="G943" s="135"/>
      <c r="H943" s="133"/>
      <c r="I943" s="133"/>
      <c r="J943" s="133"/>
      <c r="K943" s="133"/>
      <c r="L943" s="133"/>
      <c r="M943" s="136"/>
      <c r="N943" s="136"/>
      <c r="O943" s="133"/>
    </row>
    <row r="944" customFormat="false" ht="15" hidden="false" customHeight="false" outlineLevel="0" collapsed="false">
      <c r="B944" s="132"/>
      <c r="C944" s="133"/>
      <c r="D944" s="133"/>
      <c r="E944" s="133"/>
      <c r="F944" s="134"/>
      <c r="G944" s="135"/>
      <c r="H944" s="133"/>
      <c r="I944" s="133"/>
      <c r="J944" s="133"/>
      <c r="K944" s="133"/>
      <c r="L944" s="133"/>
      <c r="M944" s="136"/>
      <c r="N944" s="136"/>
      <c r="O944" s="133"/>
    </row>
    <row r="945" customFormat="false" ht="15" hidden="false" customHeight="false" outlineLevel="0" collapsed="false">
      <c r="B945" s="132"/>
      <c r="C945" s="133"/>
      <c r="D945" s="133"/>
      <c r="E945" s="133"/>
      <c r="F945" s="134"/>
      <c r="G945" s="135"/>
      <c r="H945" s="133"/>
      <c r="I945" s="133"/>
      <c r="J945" s="133"/>
      <c r="K945" s="133"/>
      <c r="L945" s="133"/>
      <c r="M945" s="136"/>
      <c r="N945" s="136"/>
      <c r="O945" s="133"/>
    </row>
    <row r="946" customFormat="false" ht="15" hidden="false" customHeight="false" outlineLevel="0" collapsed="false">
      <c r="B946" s="132"/>
      <c r="C946" s="133"/>
      <c r="D946" s="133"/>
      <c r="E946" s="133"/>
      <c r="F946" s="134"/>
      <c r="G946" s="135"/>
      <c r="H946" s="133"/>
      <c r="I946" s="133"/>
      <c r="J946" s="133"/>
      <c r="K946" s="133"/>
      <c r="L946" s="133"/>
      <c r="M946" s="136"/>
      <c r="N946" s="136"/>
      <c r="O946" s="133"/>
    </row>
    <row r="947" customFormat="false" ht="15" hidden="false" customHeight="false" outlineLevel="0" collapsed="false">
      <c r="B947" s="132"/>
      <c r="C947" s="133"/>
      <c r="D947" s="133"/>
      <c r="E947" s="133"/>
      <c r="F947" s="134"/>
      <c r="G947" s="135"/>
      <c r="H947" s="133"/>
      <c r="I947" s="133"/>
      <c r="J947" s="133"/>
      <c r="K947" s="133"/>
      <c r="L947" s="133"/>
      <c r="M947" s="136"/>
      <c r="N947" s="136"/>
      <c r="O947" s="133"/>
    </row>
    <row r="948" customFormat="false" ht="15" hidden="false" customHeight="false" outlineLevel="0" collapsed="false">
      <c r="B948" s="132"/>
      <c r="C948" s="133"/>
      <c r="D948" s="133"/>
      <c r="E948" s="133"/>
      <c r="F948" s="134"/>
      <c r="G948" s="135"/>
      <c r="H948" s="133"/>
      <c r="I948" s="133"/>
      <c r="J948" s="133"/>
      <c r="K948" s="133"/>
      <c r="L948" s="133"/>
      <c r="M948" s="136"/>
      <c r="N948" s="136"/>
      <c r="O948" s="133"/>
    </row>
    <row r="949" customFormat="false" ht="15" hidden="false" customHeight="false" outlineLevel="0" collapsed="false">
      <c r="B949" s="132"/>
      <c r="C949" s="133"/>
      <c r="D949" s="133"/>
      <c r="E949" s="133"/>
      <c r="F949" s="134"/>
      <c r="G949" s="135"/>
      <c r="H949" s="133"/>
      <c r="I949" s="133"/>
      <c r="J949" s="133"/>
      <c r="K949" s="133"/>
      <c r="L949" s="133"/>
      <c r="M949" s="136"/>
      <c r="N949" s="136"/>
      <c r="O949" s="133"/>
    </row>
    <row r="950" customFormat="false" ht="15" hidden="false" customHeight="false" outlineLevel="0" collapsed="false">
      <c r="B950" s="132"/>
      <c r="C950" s="133"/>
      <c r="D950" s="133"/>
      <c r="E950" s="133"/>
      <c r="F950" s="134"/>
      <c r="G950" s="135"/>
      <c r="H950" s="133"/>
      <c r="I950" s="133"/>
      <c r="J950" s="133"/>
      <c r="K950" s="133"/>
      <c r="L950" s="133"/>
      <c r="M950" s="136"/>
      <c r="N950" s="136"/>
      <c r="O950" s="133"/>
    </row>
    <row r="951" customFormat="false" ht="15" hidden="false" customHeight="false" outlineLevel="0" collapsed="false">
      <c r="B951" s="132"/>
      <c r="C951" s="133"/>
      <c r="D951" s="133"/>
      <c r="E951" s="133"/>
      <c r="F951" s="134"/>
      <c r="G951" s="135"/>
      <c r="H951" s="133"/>
      <c r="I951" s="133"/>
      <c r="J951" s="133"/>
      <c r="K951" s="133"/>
      <c r="L951" s="133"/>
      <c r="M951" s="136"/>
      <c r="N951" s="136"/>
      <c r="O951" s="133"/>
    </row>
    <row r="952" customFormat="false" ht="15" hidden="false" customHeight="false" outlineLevel="0" collapsed="false">
      <c r="B952" s="132"/>
      <c r="C952" s="133"/>
      <c r="D952" s="133"/>
      <c r="E952" s="133"/>
      <c r="F952" s="134"/>
      <c r="G952" s="135"/>
      <c r="H952" s="133"/>
      <c r="I952" s="133"/>
      <c r="J952" s="133"/>
      <c r="K952" s="133"/>
      <c r="L952" s="133"/>
      <c r="M952" s="136"/>
      <c r="N952" s="136"/>
      <c r="O952" s="133"/>
    </row>
    <row r="953" customFormat="false" ht="15" hidden="false" customHeight="false" outlineLevel="0" collapsed="false">
      <c r="B953" s="132"/>
      <c r="C953" s="133"/>
      <c r="D953" s="133"/>
      <c r="E953" s="133"/>
      <c r="F953" s="134"/>
      <c r="G953" s="135"/>
      <c r="H953" s="133"/>
      <c r="I953" s="133"/>
      <c r="J953" s="133"/>
      <c r="K953" s="133"/>
      <c r="L953" s="133"/>
      <c r="M953" s="136"/>
      <c r="N953" s="136"/>
      <c r="O953" s="133"/>
    </row>
    <row r="954" customFormat="false" ht="15" hidden="false" customHeight="false" outlineLevel="0" collapsed="false">
      <c r="B954" s="132"/>
      <c r="C954" s="133"/>
      <c r="D954" s="133"/>
      <c r="E954" s="133"/>
      <c r="F954" s="134"/>
      <c r="G954" s="135"/>
      <c r="H954" s="133"/>
      <c r="I954" s="133"/>
      <c r="J954" s="133"/>
      <c r="K954" s="133"/>
      <c r="L954" s="133"/>
      <c r="M954" s="136"/>
      <c r="N954" s="136"/>
      <c r="O954" s="133"/>
    </row>
    <row r="955" customFormat="false" ht="15" hidden="false" customHeight="false" outlineLevel="0" collapsed="false">
      <c r="B955" s="132"/>
      <c r="C955" s="133"/>
      <c r="D955" s="133"/>
      <c r="E955" s="133"/>
      <c r="F955" s="134"/>
      <c r="G955" s="135"/>
      <c r="H955" s="133"/>
      <c r="I955" s="133"/>
      <c r="J955" s="133"/>
      <c r="K955" s="133"/>
      <c r="L955" s="133"/>
      <c r="M955" s="136"/>
      <c r="N955" s="136"/>
      <c r="O955" s="133"/>
    </row>
    <row r="956" customFormat="false" ht="15" hidden="false" customHeight="false" outlineLevel="0" collapsed="false">
      <c r="B956" s="132"/>
      <c r="C956" s="133"/>
      <c r="D956" s="133"/>
      <c r="E956" s="133"/>
      <c r="F956" s="134"/>
      <c r="G956" s="135"/>
      <c r="H956" s="133"/>
      <c r="I956" s="133"/>
      <c r="J956" s="133"/>
      <c r="K956" s="133"/>
      <c r="L956" s="133"/>
      <c r="M956" s="136"/>
      <c r="N956" s="136"/>
      <c r="O956" s="133"/>
    </row>
    <row r="957" customFormat="false" ht="15" hidden="false" customHeight="false" outlineLevel="0" collapsed="false">
      <c r="B957" s="132"/>
      <c r="C957" s="133"/>
      <c r="D957" s="133"/>
      <c r="E957" s="133"/>
      <c r="F957" s="134"/>
      <c r="G957" s="135"/>
      <c r="H957" s="133"/>
      <c r="I957" s="133"/>
      <c r="J957" s="133"/>
      <c r="K957" s="133"/>
      <c r="L957" s="133"/>
      <c r="M957" s="136"/>
      <c r="N957" s="136"/>
      <c r="O957" s="133"/>
    </row>
    <row r="958" customFormat="false" ht="15" hidden="false" customHeight="false" outlineLevel="0" collapsed="false">
      <c r="B958" s="132"/>
      <c r="C958" s="133"/>
      <c r="D958" s="133"/>
      <c r="E958" s="133"/>
      <c r="F958" s="134"/>
      <c r="G958" s="135"/>
      <c r="H958" s="133"/>
      <c r="I958" s="133"/>
      <c r="J958" s="133"/>
      <c r="K958" s="133"/>
      <c r="L958" s="133"/>
      <c r="M958" s="136"/>
      <c r="N958" s="136"/>
      <c r="O958" s="133"/>
    </row>
    <row r="959" customFormat="false" ht="15" hidden="false" customHeight="false" outlineLevel="0" collapsed="false">
      <c r="B959" s="132"/>
      <c r="C959" s="133"/>
      <c r="D959" s="133"/>
      <c r="E959" s="133"/>
      <c r="F959" s="134"/>
      <c r="G959" s="135"/>
      <c r="H959" s="133"/>
      <c r="I959" s="133"/>
      <c r="J959" s="133"/>
      <c r="K959" s="133"/>
      <c r="L959" s="133"/>
      <c r="M959" s="136"/>
      <c r="N959" s="136"/>
      <c r="O959" s="133"/>
    </row>
    <row r="960" customFormat="false" ht="15" hidden="false" customHeight="false" outlineLevel="0" collapsed="false">
      <c r="B960" s="132"/>
      <c r="C960" s="133"/>
      <c r="D960" s="133"/>
      <c r="E960" s="133"/>
      <c r="F960" s="134"/>
      <c r="G960" s="135"/>
      <c r="H960" s="133"/>
      <c r="I960" s="133"/>
      <c r="J960" s="133"/>
      <c r="K960" s="133"/>
      <c r="L960" s="133"/>
      <c r="M960" s="136"/>
      <c r="N960" s="136"/>
      <c r="O960" s="133"/>
    </row>
    <row r="961" customFormat="false" ht="15" hidden="false" customHeight="false" outlineLevel="0" collapsed="false">
      <c r="B961" s="132"/>
      <c r="C961" s="133"/>
      <c r="D961" s="133"/>
      <c r="E961" s="133"/>
      <c r="F961" s="134"/>
      <c r="G961" s="135"/>
      <c r="H961" s="133"/>
      <c r="I961" s="133"/>
      <c r="J961" s="133"/>
      <c r="K961" s="133"/>
      <c r="L961" s="133"/>
      <c r="M961" s="136"/>
      <c r="N961" s="136"/>
      <c r="O961" s="133"/>
    </row>
    <row r="962" customFormat="false" ht="15" hidden="false" customHeight="false" outlineLevel="0" collapsed="false">
      <c r="B962" s="132"/>
      <c r="C962" s="133"/>
      <c r="D962" s="133"/>
      <c r="E962" s="133"/>
      <c r="F962" s="134"/>
      <c r="G962" s="135"/>
      <c r="H962" s="133"/>
      <c r="I962" s="133"/>
      <c r="J962" s="133"/>
      <c r="K962" s="133"/>
      <c r="L962" s="133"/>
      <c r="M962" s="136"/>
      <c r="N962" s="136"/>
      <c r="O962" s="133"/>
    </row>
    <row r="963" customFormat="false" ht="15" hidden="false" customHeight="false" outlineLevel="0" collapsed="false">
      <c r="B963" s="132"/>
      <c r="C963" s="133"/>
      <c r="D963" s="133"/>
      <c r="E963" s="133"/>
      <c r="F963" s="134"/>
      <c r="G963" s="135"/>
      <c r="H963" s="133"/>
      <c r="I963" s="133"/>
      <c r="J963" s="133"/>
      <c r="K963" s="133"/>
      <c r="L963" s="133"/>
      <c r="M963" s="136"/>
      <c r="N963" s="136"/>
      <c r="O963" s="133"/>
    </row>
    <row r="964" customFormat="false" ht="15" hidden="false" customHeight="false" outlineLevel="0" collapsed="false">
      <c r="B964" s="132"/>
      <c r="C964" s="133"/>
      <c r="D964" s="133"/>
      <c r="E964" s="133"/>
      <c r="F964" s="134"/>
      <c r="G964" s="135"/>
      <c r="H964" s="133"/>
      <c r="I964" s="133"/>
      <c r="J964" s="133"/>
      <c r="K964" s="133"/>
      <c r="L964" s="133"/>
      <c r="M964" s="136"/>
      <c r="N964" s="136"/>
      <c r="O964" s="133"/>
    </row>
    <row r="965" customFormat="false" ht="15" hidden="false" customHeight="false" outlineLevel="0" collapsed="false">
      <c r="B965" s="132"/>
      <c r="C965" s="133"/>
      <c r="D965" s="133"/>
      <c r="E965" s="133"/>
      <c r="F965" s="134"/>
      <c r="G965" s="135"/>
      <c r="H965" s="133"/>
      <c r="I965" s="133"/>
      <c r="J965" s="133"/>
      <c r="K965" s="133"/>
      <c r="L965" s="133"/>
      <c r="M965" s="136"/>
      <c r="N965" s="136"/>
      <c r="O965" s="133"/>
    </row>
    <row r="966" customFormat="false" ht="15" hidden="false" customHeight="false" outlineLevel="0" collapsed="false">
      <c r="B966" s="132"/>
      <c r="C966" s="133"/>
      <c r="D966" s="133"/>
      <c r="E966" s="133"/>
      <c r="F966" s="134"/>
      <c r="G966" s="135"/>
      <c r="H966" s="133"/>
      <c r="I966" s="133"/>
      <c r="J966" s="133"/>
      <c r="K966" s="133"/>
      <c r="L966" s="133"/>
      <c r="M966" s="136"/>
      <c r="N966" s="136"/>
      <c r="O966" s="133"/>
    </row>
    <row r="967" customFormat="false" ht="15" hidden="false" customHeight="false" outlineLevel="0" collapsed="false">
      <c r="B967" s="132"/>
      <c r="C967" s="133"/>
      <c r="D967" s="133"/>
      <c r="E967" s="133"/>
      <c r="F967" s="134"/>
      <c r="G967" s="135"/>
      <c r="H967" s="133"/>
      <c r="I967" s="133"/>
      <c r="J967" s="133"/>
      <c r="K967" s="133"/>
      <c r="L967" s="133"/>
      <c r="M967" s="136"/>
      <c r="N967" s="136"/>
      <c r="O967" s="133"/>
    </row>
    <row r="968" customFormat="false" ht="15" hidden="false" customHeight="false" outlineLevel="0" collapsed="false">
      <c r="B968" s="132"/>
      <c r="C968" s="133"/>
      <c r="D968" s="133"/>
      <c r="E968" s="133"/>
      <c r="F968" s="134"/>
      <c r="G968" s="135"/>
      <c r="H968" s="133"/>
      <c r="I968" s="133"/>
      <c r="J968" s="133"/>
      <c r="K968" s="133"/>
      <c r="L968" s="133"/>
      <c r="M968" s="136"/>
      <c r="N968" s="136"/>
      <c r="O968" s="133"/>
    </row>
    <row r="969" customFormat="false" ht="15" hidden="false" customHeight="false" outlineLevel="0" collapsed="false">
      <c r="B969" s="132"/>
      <c r="C969" s="133"/>
      <c r="D969" s="133"/>
      <c r="E969" s="133"/>
      <c r="F969" s="134"/>
      <c r="G969" s="135"/>
      <c r="H969" s="133"/>
      <c r="I969" s="133"/>
      <c r="J969" s="133"/>
      <c r="K969" s="133"/>
      <c r="L969" s="133"/>
      <c r="M969" s="136"/>
      <c r="N969" s="136"/>
      <c r="O969" s="133"/>
    </row>
    <row r="970" customFormat="false" ht="15" hidden="false" customHeight="false" outlineLevel="0" collapsed="false">
      <c r="B970" s="132"/>
      <c r="C970" s="133"/>
      <c r="D970" s="133"/>
      <c r="E970" s="133"/>
      <c r="F970" s="134"/>
      <c r="G970" s="135"/>
      <c r="H970" s="133"/>
      <c r="I970" s="133"/>
      <c r="J970" s="133"/>
      <c r="K970" s="133"/>
      <c r="L970" s="133"/>
      <c r="M970" s="136"/>
      <c r="N970" s="136"/>
      <c r="O970" s="133"/>
    </row>
    <row r="971" customFormat="false" ht="15" hidden="false" customHeight="false" outlineLevel="0" collapsed="false">
      <c r="B971" s="132"/>
      <c r="C971" s="133"/>
      <c r="D971" s="133"/>
      <c r="E971" s="133"/>
      <c r="F971" s="134"/>
      <c r="G971" s="135"/>
      <c r="H971" s="133"/>
      <c r="I971" s="133"/>
      <c r="J971" s="133"/>
      <c r="K971" s="133"/>
      <c r="L971" s="133"/>
      <c r="M971" s="136"/>
      <c r="N971" s="136"/>
      <c r="O971" s="133"/>
    </row>
    <row r="972" customFormat="false" ht="15" hidden="false" customHeight="false" outlineLevel="0" collapsed="false">
      <c r="B972" s="132"/>
      <c r="C972" s="133"/>
      <c r="D972" s="133"/>
      <c r="E972" s="133"/>
      <c r="F972" s="134"/>
      <c r="G972" s="135"/>
      <c r="H972" s="133"/>
      <c r="I972" s="133"/>
      <c r="J972" s="133"/>
      <c r="K972" s="133"/>
      <c r="L972" s="133"/>
      <c r="M972" s="136"/>
      <c r="N972" s="136"/>
      <c r="O972" s="133"/>
    </row>
    <row r="973" customFormat="false" ht="15" hidden="false" customHeight="false" outlineLevel="0" collapsed="false">
      <c r="B973" s="132"/>
      <c r="C973" s="133"/>
      <c r="D973" s="133"/>
      <c r="E973" s="133"/>
      <c r="F973" s="134"/>
      <c r="G973" s="135"/>
      <c r="H973" s="133"/>
      <c r="I973" s="133"/>
      <c r="J973" s="133"/>
      <c r="K973" s="133"/>
      <c r="L973" s="133"/>
      <c r="M973" s="136"/>
      <c r="N973" s="136"/>
      <c r="O973" s="133"/>
    </row>
    <row r="974" customFormat="false" ht="15" hidden="false" customHeight="false" outlineLevel="0" collapsed="false">
      <c r="B974" s="132"/>
      <c r="C974" s="133"/>
      <c r="D974" s="133"/>
      <c r="E974" s="133"/>
      <c r="F974" s="134"/>
      <c r="G974" s="135"/>
      <c r="H974" s="133"/>
      <c r="I974" s="133"/>
      <c r="J974" s="133"/>
      <c r="K974" s="133"/>
      <c r="L974" s="133"/>
      <c r="M974" s="136"/>
      <c r="N974" s="136"/>
      <c r="O974" s="133"/>
    </row>
    <row r="975" customFormat="false" ht="15" hidden="false" customHeight="false" outlineLevel="0" collapsed="false">
      <c r="B975" s="132"/>
      <c r="C975" s="133"/>
      <c r="D975" s="133"/>
      <c r="E975" s="133"/>
      <c r="F975" s="134"/>
      <c r="G975" s="135"/>
      <c r="H975" s="133"/>
      <c r="I975" s="133"/>
      <c r="J975" s="133"/>
      <c r="K975" s="133"/>
      <c r="L975" s="133"/>
      <c r="M975" s="136"/>
      <c r="N975" s="136"/>
      <c r="O975" s="133"/>
    </row>
    <row r="976" customFormat="false" ht="15" hidden="false" customHeight="false" outlineLevel="0" collapsed="false">
      <c r="B976" s="132"/>
      <c r="C976" s="133"/>
      <c r="D976" s="133"/>
      <c r="E976" s="133"/>
      <c r="F976" s="134"/>
      <c r="G976" s="135"/>
      <c r="H976" s="133"/>
      <c r="I976" s="133"/>
      <c r="J976" s="133"/>
      <c r="K976" s="133"/>
      <c r="L976" s="133"/>
      <c r="M976" s="136"/>
      <c r="N976" s="136"/>
      <c r="O976" s="133"/>
    </row>
    <row r="977" customFormat="false" ht="15" hidden="false" customHeight="false" outlineLevel="0" collapsed="false">
      <c r="B977" s="132"/>
      <c r="C977" s="133"/>
      <c r="D977" s="133"/>
      <c r="E977" s="133"/>
      <c r="F977" s="134"/>
      <c r="G977" s="135"/>
      <c r="H977" s="133"/>
      <c r="I977" s="133"/>
      <c r="J977" s="133"/>
      <c r="K977" s="133"/>
      <c r="L977" s="133"/>
      <c r="M977" s="136"/>
      <c r="N977" s="136"/>
      <c r="O977" s="133"/>
    </row>
    <row r="978" customFormat="false" ht="15" hidden="false" customHeight="false" outlineLevel="0" collapsed="false">
      <c r="B978" s="132"/>
      <c r="C978" s="133"/>
      <c r="D978" s="133"/>
      <c r="E978" s="133"/>
      <c r="F978" s="134"/>
      <c r="G978" s="135"/>
      <c r="H978" s="133"/>
      <c r="I978" s="133"/>
      <c r="J978" s="133"/>
      <c r="K978" s="133"/>
      <c r="L978" s="133"/>
      <c r="M978" s="136"/>
      <c r="N978" s="136"/>
      <c r="O978" s="133"/>
    </row>
    <row r="979" customFormat="false" ht="15" hidden="false" customHeight="false" outlineLevel="0" collapsed="false">
      <c r="B979" s="132"/>
      <c r="C979" s="133"/>
      <c r="D979" s="133"/>
      <c r="E979" s="133"/>
      <c r="F979" s="134"/>
      <c r="G979" s="135"/>
      <c r="H979" s="133"/>
      <c r="I979" s="133"/>
      <c r="J979" s="133"/>
      <c r="K979" s="133"/>
      <c r="L979" s="133"/>
      <c r="M979" s="136"/>
      <c r="N979" s="136"/>
      <c r="O979" s="133"/>
    </row>
    <row r="980" customFormat="false" ht="15" hidden="false" customHeight="false" outlineLevel="0" collapsed="false">
      <c r="B980" s="132"/>
      <c r="C980" s="133"/>
      <c r="D980" s="133"/>
      <c r="E980" s="133"/>
      <c r="F980" s="134"/>
      <c r="G980" s="135"/>
      <c r="H980" s="133"/>
      <c r="I980" s="133"/>
      <c r="J980" s="133"/>
      <c r="K980" s="133"/>
      <c r="L980" s="133"/>
      <c r="M980" s="136"/>
      <c r="N980" s="136"/>
      <c r="O980" s="133"/>
    </row>
    <row r="981" customFormat="false" ht="15" hidden="false" customHeight="false" outlineLevel="0" collapsed="false">
      <c r="B981" s="132"/>
      <c r="C981" s="133"/>
      <c r="D981" s="133"/>
      <c r="E981" s="133"/>
      <c r="F981" s="134"/>
      <c r="G981" s="135"/>
      <c r="H981" s="133"/>
      <c r="I981" s="133"/>
      <c r="J981" s="133"/>
      <c r="K981" s="133"/>
      <c r="L981" s="133"/>
      <c r="M981" s="136"/>
      <c r="N981" s="136"/>
      <c r="O981" s="133"/>
    </row>
    <row r="982" customFormat="false" ht="15" hidden="false" customHeight="false" outlineLevel="0" collapsed="false">
      <c r="B982" s="132"/>
      <c r="C982" s="133"/>
      <c r="D982" s="133"/>
      <c r="E982" s="133"/>
      <c r="F982" s="134"/>
      <c r="G982" s="135"/>
      <c r="H982" s="133"/>
      <c r="I982" s="133"/>
      <c r="J982" s="133"/>
      <c r="K982" s="133"/>
      <c r="L982" s="133"/>
      <c r="M982" s="136"/>
      <c r="N982" s="136"/>
      <c r="O982" s="133"/>
    </row>
    <row r="983" customFormat="false" ht="15" hidden="false" customHeight="false" outlineLevel="0" collapsed="false">
      <c r="B983" s="132"/>
      <c r="C983" s="133"/>
      <c r="D983" s="133"/>
      <c r="E983" s="133"/>
      <c r="F983" s="134"/>
      <c r="G983" s="135"/>
      <c r="H983" s="133"/>
      <c r="I983" s="133"/>
      <c r="J983" s="133"/>
      <c r="K983" s="133"/>
      <c r="L983" s="133"/>
      <c r="M983" s="136"/>
      <c r="N983" s="136"/>
      <c r="O983" s="133"/>
    </row>
    <row r="984" customFormat="false" ht="15" hidden="false" customHeight="false" outlineLevel="0" collapsed="false">
      <c r="B984" s="132"/>
      <c r="C984" s="133"/>
      <c r="D984" s="133"/>
      <c r="E984" s="133"/>
      <c r="F984" s="134"/>
      <c r="G984" s="135"/>
      <c r="H984" s="133"/>
      <c r="I984" s="133"/>
      <c r="J984" s="133"/>
      <c r="K984" s="133"/>
      <c r="L984" s="133"/>
      <c r="M984" s="136"/>
      <c r="N984" s="136"/>
      <c r="O984" s="133"/>
    </row>
    <row r="985" customFormat="false" ht="15" hidden="false" customHeight="false" outlineLevel="0" collapsed="false">
      <c r="B985" s="132"/>
      <c r="C985" s="133"/>
      <c r="D985" s="133"/>
      <c r="E985" s="133"/>
      <c r="F985" s="134"/>
      <c r="G985" s="135"/>
      <c r="H985" s="133"/>
      <c r="I985" s="133"/>
      <c r="J985" s="133"/>
      <c r="K985" s="133"/>
      <c r="L985" s="133"/>
      <c r="M985" s="136"/>
      <c r="N985" s="136"/>
      <c r="O985" s="133"/>
    </row>
    <row r="986" customFormat="false" ht="15" hidden="false" customHeight="false" outlineLevel="0" collapsed="false">
      <c r="B986" s="132"/>
      <c r="C986" s="133"/>
      <c r="D986" s="133"/>
      <c r="E986" s="133"/>
      <c r="F986" s="134"/>
      <c r="G986" s="135"/>
      <c r="H986" s="133"/>
      <c r="I986" s="133"/>
      <c r="J986" s="133"/>
      <c r="K986" s="133"/>
      <c r="L986" s="133"/>
      <c r="M986" s="136"/>
      <c r="N986" s="136"/>
      <c r="O986" s="133"/>
    </row>
    <row r="987" customFormat="false" ht="15" hidden="false" customHeight="false" outlineLevel="0" collapsed="false">
      <c r="B987" s="132"/>
      <c r="C987" s="133"/>
      <c r="D987" s="133"/>
      <c r="E987" s="133"/>
      <c r="F987" s="134"/>
      <c r="G987" s="135"/>
      <c r="H987" s="133"/>
      <c r="I987" s="133"/>
      <c r="J987" s="133"/>
      <c r="K987" s="133"/>
      <c r="L987" s="133"/>
      <c r="M987" s="136"/>
      <c r="N987" s="136"/>
      <c r="O987" s="133"/>
    </row>
    <row r="988" customFormat="false" ht="15" hidden="false" customHeight="false" outlineLevel="0" collapsed="false">
      <c r="B988" s="132"/>
      <c r="C988" s="133"/>
      <c r="D988" s="133"/>
      <c r="E988" s="133"/>
      <c r="F988" s="134"/>
      <c r="G988" s="135"/>
      <c r="H988" s="133"/>
      <c r="I988" s="133"/>
      <c r="J988" s="133"/>
      <c r="K988" s="133"/>
      <c r="L988" s="133"/>
      <c r="M988" s="136"/>
      <c r="N988" s="136"/>
      <c r="O988" s="133"/>
    </row>
    <row r="989" customFormat="false" ht="15" hidden="false" customHeight="false" outlineLevel="0" collapsed="false">
      <c r="B989" s="132"/>
      <c r="C989" s="133"/>
      <c r="D989" s="133"/>
      <c r="E989" s="133"/>
      <c r="F989" s="134"/>
      <c r="G989" s="135"/>
      <c r="H989" s="133"/>
      <c r="I989" s="133"/>
      <c r="J989" s="133"/>
      <c r="K989" s="133"/>
      <c r="L989" s="133"/>
      <c r="M989" s="136"/>
      <c r="N989" s="136"/>
      <c r="O989" s="133"/>
    </row>
    <row r="990" customFormat="false" ht="15" hidden="false" customHeight="false" outlineLevel="0" collapsed="false">
      <c r="B990" s="132"/>
      <c r="C990" s="133"/>
      <c r="D990" s="133"/>
      <c r="E990" s="133"/>
      <c r="F990" s="134"/>
      <c r="G990" s="135"/>
      <c r="H990" s="133"/>
      <c r="I990" s="133"/>
      <c r="J990" s="133"/>
      <c r="K990" s="133"/>
      <c r="L990" s="133"/>
      <c r="M990" s="136"/>
      <c r="N990" s="136"/>
      <c r="O990" s="133"/>
    </row>
    <row r="991" customFormat="false" ht="15" hidden="false" customHeight="false" outlineLevel="0" collapsed="false">
      <c r="B991" s="132"/>
      <c r="C991" s="133"/>
      <c r="D991" s="133"/>
      <c r="E991" s="133"/>
      <c r="F991" s="134"/>
      <c r="G991" s="135"/>
      <c r="H991" s="133"/>
      <c r="I991" s="133"/>
      <c r="J991" s="133"/>
      <c r="K991" s="133"/>
      <c r="L991" s="133"/>
      <c r="M991" s="136"/>
      <c r="N991" s="136"/>
      <c r="O991" s="133"/>
    </row>
    <row r="992" customFormat="false" ht="15" hidden="false" customHeight="false" outlineLevel="0" collapsed="false">
      <c r="B992" s="132"/>
      <c r="C992" s="133"/>
      <c r="D992" s="133"/>
      <c r="E992" s="133"/>
      <c r="F992" s="134"/>
      <c r="G992" s="135"/>
      <c r="H992" s="133"/>
      <c r="I992" s="133"/>
      <c r="J992" s="133"/>
      <c r="K992" s="133"/>
      <c r="L992" s="133"/>
      <c r="M992" s="136"/>
      <c r="N992" s="136"/>
      <c r="O992" s="133"/>
    </row>
    <row r="993" customFormat="false" ht="15" hidden="false" customHeight="false" outlineLevel="0" collapsed="false">
      <c r="B993" s="132"/>
      <c r="C993" s="133"/>
      <c r="D993" s="133"/>
      <c r="E993" s="133"/>
      <c r="F993" s="134"/>
      <c r="G993" s="135"/>
      <c r="H993" s="133"/>
      <c r="I993" s="133"/>
      <c r="J993" s="133"/>
      <c r="K993" s="133"/>
      <c r="L993" s="133"/>
      <c r="M993" s="136"/>
      <c r="N993" s="136"/>
      <c r="O993" s="133"/>
    </row>
    <row r="994" customFormat="false" ht="15" hidden="false" customHeight="false" outlineLevel="0" collapsed="false">
      <c r="B994" s="132"/>
      <c r="C994" s="133"/>
      <c r="D994" s="133"/>
      <c r="E994" s="133"/>
      <c r="F994" s="134"/>
      <c r="G994" s="135"/>
      <c r="H994" s="133"/>
      <c r="I994" s="133"/>
      <c r="J994" s="133"/>
      <c r="K994" s="133"/>
      <c r="L994" s="133"/>
      <c r="M994" s="136"/>
      <c r="N994" s="136"/>
      <c r="O994" s="133"/>
    </row>
    <row r="995" customFormat="false" ht="15" hidden="false" customHeight="false" outlineLevel="0" collapsed="false">
      <c r="B995" s="132"/>
      <c r="C995" s="133"/>
      <c r="D995" s="133"/>
      <c r="E995" s="133"/>
      <c r="F995" s="134"/>
      <c r="G995" s="135"/>
      <c r="H995" s="133"/>
      <c r="I995" s="133"/>
      <c r="J995" s="133"/>
      <c r="K995" s="133"/>
      <c r="L995" s="133"/>
      <c r="M995" s="136"/>
      <c r="N995" s="136"/>
      <c r="O995" s="133"/>
    </row>
    <row r="996" customFormat="false" ht="15" hidden="false" customHeight="false" outlineLevel="0" collapsed="false">
      <c r="B996" s="132"/>
      <c r="C996" s="133"/>
      <c r="D996" s="133"/>
      <c r="E996" s="133"/>
      <c r="F996" s="134"/>
      <c r="G996" s="135"/>
      <c r="H996" s="133"/>
      <c r="I996" s="133"/>
      <c r="J996" s="133"/>
      <c r="K996" s="133"/>
      <c r="L996" s="133"/>
      <c r="M996" s="136"/>
      <c r="N996" s="136"/>
      <c r="O996" s="133"/>
    </row>
    <row r="997" customFormat="false" ht="15" hidden="false" customHeight="false" outlineLevel="0" collapsed="false">
      <c r="B997" s="132"/>
      <c r="C997" s="133"/>
      <c r="D997" s="133"/>
      <c r="E997" s="133"/>
      <c r="F997" s="134"/>
      <c r="G997" s="135"/>
      <c r="H997" s="133"/>
      <c r="I997" s="133"/>
      <c r="J997" s="133"/>
      <c r="K997" s="133"/>
      <c r="L997" s="133"/>
      <c r="M997" s="136"/>
      <c r="N997" s="136"/>
      <c r="O997" s="133"/>
    </row>
    <row r="998" customFormat="false" ht="15" hidden="false" customHeight="false" outlineLevel="0" collapsed="false">
      <c r="B998" s="132"/>
      <c r="C998" s="133"/>
      <c r="D998" s="133"/>
      <c r="E998" s="133"/>
      <c r="F998" s="134"/>
      <c r="G998" s="135"/>
      <c r="H998" s="133"/>
      <c r="I998" s="133"/>
      <c r="J998" s="133"/>
      <c r="K998" s="133"/>
      <c r="L998" s="133"/>
      <c r="M998" s="136"/>
      <c r="N998" s="136"/>
      <c r="O998" s="133"/>
    </row>
    <row r="999" customFormat="false" ht="15" hidden="false" customHeight="false" outlineLevel="0" collapsed="false">
      <c r="B999" s="132"/>
      <c r="C999" s="133"/>
      <c r="D999" s="133"/>
      <c r="E999" s="133"/>
      <c r="F999" s="134"/>
      <c r="G999" s="135"/>
      <c r="H999" s="133"/>
      <c r="I999" s="133"/>
      <c r="J999" s="133"/>
      <c r="K999" s="133"/>
      <c r="L999" s="133"/>
      <c r="M999" s="136"/>
      <c r="N999" s="136"/>
      <c r="O999" s="133"/>
    </row>
    <row r="1000" customFormat="false" ht="15" hidden="false" customHeight="false" outlineLevel="0" collapsed="false">
      <c r="B1000" s="132"/>
      <c r="C1000" s="133"/>
      <c r="D1000" s="133"/>
      <c r="E1000" s="133"/>
      <c r="F1000" s="134"/>
      <c r="G1000" s="135"/>
      <c r="H1000" s="133"/>
      <c r="I1000" s="133"/>
      <c r="J1000" s="133"/>
      <c r="K1000" s="133"/>
      <c r="L1000" s="133"/>
      <c r="M1000" s="136"/>
      <c r="N1000" s="136"/>
      <c r="O1000" s="133"/>
    </row>
    <row r="1001" customFormat="false" ht="15" hidden="false" customHeight="false" outlineLevel="0" collapsed="false">
      <c r="B1001" s="132"/>
      <c r="C1001" s="133"/>
      <c r="D1001" s="133"/>
      <c r="E1001" s="133"/>
      <c r="F1001" s="134"/>
      <c r="G1001" s="135"/>
      <c r="H1001" s="133"/>
      <c r="I1001" s="133"/>
      <c r="J1001" s="133"/>
      <c r="K1001" s="133"/>
      <c r="L1001" s="133"/>
      <c r="M1001" s="136"/>
      <c r="N1001" s="136"/>
      <c r="O1001" s="133"/>
    </row>
    <row r="1002" customFormat="false" ht="15" hidden="false" customHeight="false" outlineLevel="0" collapsed="false">
      <c r="B1002" s="132"/>
      <c r="C1002" s="133"/>
      <c r="D1002" s="133"/>
      <c r="E1002" s="133"/>
      <c r="F1002" s="134"/>
      <c r="G1002" s="135"/>
      <c r="H1002" s="133"/>
      <c r="I1002" s="133"/>
      <c r="J1002" s="133"/>
      <c r="K1002" s="133"/>
      <c r="L1002" s="133"/>
      <c r="M1002" s="136"/>
      <c r="N1002" s="136"/>
      <c r="O1002" s="133"/>
    </row>
    <row r="1003" customFormat="false" ht="15" hidden="false" customHeight="false" outlineLevel="0" collapsed="false">
      <c r="B1003" s="132"/>
      <c r="C1003" s="133"/>
      <c r="D1003" s="133"/>
      <c r="E1003" s="133"/>
      <c r="F1003" s="134"/>
      <c r="G1003" s="135"/>
      <c r="H1003" s="133"/>
      <c r="I1003" s="133"/>
      <c r="J1003" s="133"/>
      <c r="K1003" s="133"/>
      <c r="L1003" s="133"/>
      <c r="M1003" s="136"/>
      <c r="N1003" s="136"/>
      <c r="O1003" s="133"/>
    </row>
    <row r="1004" customFormat="false" ht="15" hidden="false" customHeight="false" outlineLevel="0" collapsed="false">
      <c r="B1004" s="132"/>
      <c r="C1004" s="133"/>
      <c r="D1004" s="133"/>
      <c r="E1004" s="133"/>
      <c r="F1004" s="134"/>
      <c r="G1004" s="135"/>
      <c r="H1004" s="133"/>
      <c r="I1004" s="133"/>
      <c r="J1004" s="133"/>
      <c r="K1004" s="133"/>
      <c r="L1004" s="133"/>
      <c r="M1004" s="136"/>
      <c r="N1004" s="136"/>
      <c r="O1004" s="133"/>
    </row>
    <row r="1005" customFormat="false" ht="15" hidden="false" customHeight="false" outlineLevel="0" collapsed="false">
      <c r="B1005" s="132"/>
      <c r="C1005" s="133"/>
      <c r="D1005" s="133"/>
      <c r="E1005" s="133"/>
      <c r="F1005" s="134"/>
      <c r="G1005" s="135"/>
      <c r="H1005" s="133"/>
      <c r="I1005" s="133"/>
      <c r="J1005" s="133"/>
      <c r="K1005" s="133"/>
      <c r="L1005" s="133"/>
      <c r="M1005" s="136"/>
      <c r="N1005" s="136"/>
      <c r="O1005" s="133"/>
    </row>
  </sheetData>
  <dataValidations count="2">
    <dataValidation allowBlank="true" errorStyle="stop" operator="between" showDropDown="false" showErrorMessage="false" showInputMessage="false" sqref="K6:K1005" type="list">
      <formula1>"常温,冷蔵,冷凍"</formula1>
      <formula2>0</formula2>
    </dataValidation>
    <dataValidation allowBlank="true" errorStyle="stop" operator="between" showDropDown="false" showErrorMessage="false" showInputMessage="false" sqref="L6:L1005" type="list">
      <formula1>定数マスタ!$J$110:$J$119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Z3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2" min="2" style="0" width="12"/>
    <col collapsed="false" customWidth="true" hidden="false" outlineLevel="0" max="3" min="3" style="0" width="20"/>
    <col collapsed="false" customWidth="true" hidden="false" outlineLevel="0" max="4" min="4" style="0" width="11"/>
    <col collapsed="false" customWidth="true" hidden="false" outlineLevel="0" max="5" min="5" style="0" width="17"/>
    <col collapsed="false" customWidth="true" hidden="false" outlineLevel="0" max="7" min="6" style="0" width="18"/>
    <col collapsed="false" customWidth="true" hidden="false" outlineLevel="0" max="8" min="8" style="0" width="17"/>
    <col collapsed="false" customWidth="true" hidden="false" outlineLevel="0" max="9" min="9" style="0" width="30"/>
    <col collapsed="false" customWidth="true" hidden="false" outlineLevel="0" max="11" min="10" style="0" width="3"/>
    <col collapsed="false" customWidth="true" hidden="false" outlineLevel="0" max="12" min="12" style="0" width="11"/>
    <col collapsed="false" customWidth="true" hidden="false" outlineLevel="0" max="13" min="13" style="0" width="13"/>
    <col collapsed="false" customWidth="true" hidden="false" outlineLevel="0" max="15" min="14" style="0" width="14"/>
    <col collapsed="false" customWidth="true" hidden="false" outlineLevel="0" max="16" min="16" style="0" width="30"/>
    <col collapsed="false" customWidth="true" hidden="false" outlineLevel="0" max="17" min="17" style="0" width="3"/>
    <col collapsed="false" customWidth="true" hidden="false" outlineLevel="0" max="18" min="18" style="0" width="6"/>
    <col collapsed="false" customWidth="true" hidden="false" outlineLevel="0" max="19" min="19" style="0" width="9"/>
    <col collapsed="false" customWidth="true" hidden="false" outlineLevel="0" max="20" min="20" style="0" width="3"/>
    <col collapsed="false" customWidth="true" hidden="false" outlineLevel="0" max="21" min="21" style="0" width="20"/>
    <col collapsed="false" customWidth="true" hidden="false" outlineLevel="0" max="23" min="22" style="0" width="13"/>
    <col collapsed="false" customWidth="true" hidden="false" outlineLevel="0" max="24" min="24" style="0" width="9"/>
  </cols>
  <sheetData>
    <row r="2" customFormat="false" ht="18.55" hidden="false" customHeight="false" outlineLevel="0" collapsed="false">
      <c r="B2" s="1" t="s">
        <v>41</v>
      </c>
    </row>
    <row r="3" customFormat="false" ht="15" hidden="false" customHeight="false" outlineLevel="0" collapsed="false">
      <c r="B3" s="5" t="s">
        <v>646</v>
      </c>
      <c r="N3" s="5" t="s">
        <v>647</v>
      </c>
      <c r="T3" s="5" t="s">
        <v>648</v>
      </c>
      <c r="W3" s="5" t="s">
        <v>649</v>
      </c>
    </row>
    <row r="4" customFormat="false" ht="15" hidden="false" customHeight="false" outlineLevel="0" collapsed="false">
      <c r="B4" s="63" t="s">
        <v>503</v>
      </c>
      <c r="C4" s="63" t="s">
        <v>503</v>
      </c>
      <c r="D4" s="63" t="s">
        <v>616</v>
      </c>
      <c r="E4" s="63" t="s">
        <v>616</v>
      </c>
      <c r="F4" s="63" t="s">
        <v>650</v>
      </c>
      <c r="G4" s="63" t="s">
        <v>650</v>
      </c>
      <c r="H4" s="63" t="s">
        <v>650</v>
      </c>
      <c r="I4" s="63" t="s">
        <v>502</v>
      </c>
      <c r="J4" s="63" t="s">
        <v>502</v>
      </c>
      <c r="K4" s="63" t="s">
        <v>502</v>
      </c>
      <c r="L4" s="63" t="s">
        <v>503</v>
      </c>
      <c r="N4" s="63" t="s">
        <v>651</v>
      </c>
      <c r="O4" s="63" t="s">
        <v>503</v>
      </c>
      <c r="P4" s="63" t="s">
        <v>503</v>
      </c>
      <c r="Q4" s="63" t="s">
        <v>503</v>
      </c>
      <c r="R4" s="63" t="s">
        <v>503</v>
      </c>
      <c r="T4" s="63" t="s">
        <v>651</v>
      </c>
      <c r="U4" s="63" t="s">
        <v>503</v>
      </c>
      <c r="W4" s="63" t="s">
        <v>503</v>
      </c>
      <c r="X4" s="63" t="s">
        <v>503</v>
      </c>
      <c r="Y4" s="63" t="s">
        <v>503</v>
      </c>
      <c r="Z4" s="63" t="s">
        <v>503</v>
      </c>
    </row>
    <row r="5" customFormat="false" ht="90.25" hidden="false" customHeight="false" outlineLevel="0" collapsed="false">
      <c r="B5" s="18" t="s">
        <v>152</v>
      </c>
      <c r="C5" s="18" t="s">
        <v>153</v>
      </c>
      <c r="D5" s="18" t="s">
        <v>652</v>
      </c>
      <c r="E5" s="18" t="s">
        <v>653</v>
      </c>
      <c r="F5" s="18" t="s">
        <v>654</v>
      </c>
      <c r="G5" s="18" t="s">
        <v>655</v>
      </c>
      <c r="H5" s="18" t="s">
        <v>656</v>
      </c>
      <c r="I5" s="18" t="s">
        <v>657</v>
      </c>
      <c r="J5" s="18" t="s">
        <v>658</v>
      </c>
      <c r="K5" s="18" t="s">
        <v>659</v>
      </c>
      <c r="L5" s="18" t="s">
        <v>627</v>
      </c>
      <c r="N5" s="18" t="s">
        <v>652</v>
      </c>
      <c r="O5" s="18" t="s">
        <v>660</v>
      </c>
      <c r="P5" s="18" t="s">
        <v>661</v>
      </c>
      <c r="Q5" s="18" t="s">
        <v>662</v>
      </c>
      <c r="R5" s="18" t="s">
        <v>627</v>
      </c>
      <c r="T5" s="18" t="s">
        <v>663</v>
      </c>
      <c r="U5" s="18" t="s">
        <v>664</v>
      </c>
      <c r="W5" s="18" t="s">
        <v>665</v>
      </c>
      <c r="X5" s="18" t="s">
        <v>666</v>
      </c>
      <c r="Y5" s="18" t="s">
        <v>667</v>
      </c>
      <c r="Z5" s="18" t="s">
        <v>664</v>
      </c>
    </row>
    <row r="6" customFormat="false" ht="15" hidden="false" customHeight="false" outlineLevel="0" collapsed="false">
      <c r="B6" s="132" t="s">
        <v>171</v>
      </c>
      <c r="C6" s="133" t="s">
        <v>172</v>
      </c>
      <c r="D6" s="133" t="s">
        <v>668</v>
      </c>
      <c r="E6" s="137" t="s">
        <v>669</v>
      </c>
      <c r="F6" s="134"/>
      <c r="G6" s="133"/>
      <c r="H6" s="133"/>
      <c r="I6" s="69" t="n">
        <f aca="false">IF($B6="","",SUMIFS(定数マスタ!$G$110:$G$309,定数マスタ!$B$110:$B$309,$B6,定数マスタ!$C$110:$C$309,"常温"))</f>
        <v>2400</v>
      </c>
      <c r="J6" s="69" t="n">
        <f aca="false">IF($B6="","",SUMIFS(定数マスタ!$G$110:$G$309,定数マスタ!$B$110:$B$309,$B6,定数マスタ!$C$110:$C$309,"冷蔵"))</f>
        <v>720</v>
      </c>
      <c r="K6" s="69" t="n">
        <f aca="false">IF($B6="","",SUMIFS(定数マスタ!$G$110:$G$309,定数マスタ!$B$110:$B$309,$B6,定数マスタ!$C$110:$C$309,"冷凍"))</f>
        <v>320</v>
      </c>
      <c r="L6" s="133" t="s">
        <v>670</v>
      </c>
      <c r="N6" s="138" t="s">
        <v>668</v>
      </c>
      <c r="O6" s="134" t="n">
        <v>3000</v>
      </c>
      <c r="P6" s="133" t="n">
        <v>4</v>
      </c>
      <c r="Q6" s="133" t="n">
        <v>7</v>
      </c>
      <c r="R6" s="133" t="s">
        <v>671</v>
      </c>
      <c r="T6" s="66" t="n">
        <v>1</v>
      </c>
      <c r="U6" s="139" t="n">
        <v>1.15</v>
      </c>
      <c r="W6" s="133" t="s">
        <v>672</v>
      </c>
      <c r="X6" s="140" t="n">
        <v>46141</v>
      </c>
      <c r="Y6" s="140" t="n">
        <v>46148</v>
      </c>
      <c r="Z6" s="139" t="n">
        <v>1.45</v>
      </c>
    </row>
    <row r="7" customFormat="false" ht="15" hidden="false" customHeight="false" outlineLevel="0" collapsed="false">
      <c r="B7" s="132" t="s">
        <v>486</v>
      </c>
      <c r="C7" s="133" t="s">
        <v>487</v>
      </c>
      <c r="D7" s="133" t="s">
        <v>673</v>
      </c>
      <c r="E7" s="133" t="s">
        <v>674</v>
      </c>
      <c r="F7" s="134" t="n">
        <v>1800</v>
      </c>
      <c r="G7" s="133"/>
      <c r="H7" s="133"/>
      <c r="I7" s="69" t="n">
        <f aca="false">IF($B7="","",SUMIFS(定数マスタ!$G$110:$G$309,定数マスタ!$B$110:$B$309,$B7,定数マスタ!$C$110:$C$309,"常温"))</f>
        <v>1300</v>
      </c>
      <c r="J7" s="69" t="n">
        <f aca="false">IF($B7="","",SUMIFS(定数マスタ!$G$110:$G$309,定数マスタ!$B$110:$B$309,$B7,定数マスタ!$C$110:$C$309,"冷蔵"))</f>
        <v>420</v>
      </c>
      <c r="K7" s="69" t="n">
        <f aca="false">IF($B7="","",SUMIFS(定数マスタ!$G$110:$G$309,定数マスタ!$B$110:$B$309,$B7,定数マスタ!$C$110:$C$309,"冷凍"))</f>
        <v>160</v>
      </c>
      <c r="L7" s="133" t="s">
        <v>675</v>
      </c>
      <c r="N7" s="138" t="s">
        <v>673</v>
      </c>
      <c r="O7" s="134" t="n">
        <v>1500</v>
      </c>
      <c r="P7" s="133" t="n">
        <v>3</v>
      </c>
      <c r="Q7" s="133" t="n">
        <v>7</v>
      </c>
      <c r="R7" s="133" t="s">
        <v>676</v>
      </c>
      <c r="T7" s="66" t="n">
        <v>2</v>
      </c>
      <c r="U7" s="139" t="n">
        <v>0.9</v>
      </c>
      <c r="W7" s="133" t="s">
        <v>677</v>
      </c>
      <c r="X7" s="140" t="n">
        <v>46157</v>
      </c>
      <c r="Y7" s="140" t="n">
        <v>46163</v>
      </c>
      <c r="Z7" s="139" t="n">
        <v>1.6</v>
      </c>
    </row>
    <row r="8" customFormat="false" ht="15" hidden="false" customHeight="false" outlineLevel="0" collapsed="false">
      <c r="B8" s="132" t="s">
        <v>490</v>
      </c>
      <c r="C8" s="133" t="s">
        <v>491</v>
      </c>
      <c r="D8" s="133" t="s">
        <v>678</v>
      </c>
      <c r="E8" s="137" t="s">
        <v>669</v>
      </c>
      <c r="F8" s="134"/>
      <c r="G8" s="133"/>
      <c r="H8" s="133"/>
      <c r="I8" s="69" t="n">
        <f aca="false">IF($B8="","",SUMIFS(定数マスタ!$G$110:$G$309,定数マスタ!$B$110:$B$309,$B8,定数マスタ!$C$110:$C$309,"常温"))</f>
        <v>660</v>
      </c>
      <c r="J8" s="69" t="n">
        <f aca="false">IF($B8="","",SUMIFS(定数マスタ!$G$110:$G$309,定数マスタ!$B$110:$B$309,$B8,定数マスタ!$C$110:$C$309,"冷蔵"))</f>
        <v>240</v>
      </c>
      <c r="K8" s="69" t="n">
        <f aca="false">IF($B8="","",SUMIFS(定数マスタ!$G$110:$G$309,定数マスタ!$B$110:$B$309,$B8,定数マスタ!$C$110:$C$309,"冷凍"))</f>
        <v>80</v>
      </c>
      <c r="L8" s="133"/>
      <c r="N8" s="138" t="s">
        <v>678</v>
      </c>
      <c r="O8" s="134" t="n">
        <v>700</v>
      </c>
      <c r="P8" s="133" t="n">
        <v>3</v>
      </c>
      <c r="Q8" s="133" t="n">
        <v>14</v>
      </c>
      <c r="R8" s="133" t="s">
        <v>679</v>
      </c>
      <c r="T8" s="66" t="n">
        <v>3</v>
      </c>
      <c r="U8" s="139" t="n">
        <v>1.05</v>
      </c>
      <c r="W8" s="133" t="s">
        <v>680</v>
      </c>
      <c r="X8" s="140" t="n">
        <v>46181</v>
      </c>
      <c r="Y8" s="140" t="n">
        <v>46192</v>
      </c>
      <c r="Z8" s="139" t="n">
        <v>0.8</v>
      </c>
    </row>
    <row r="9" customFormat="false" ht="15" hidden="false" customHeight="false" outlineLevel="0" collapsed="false">
      <c r="B9" s="132"/>
      <c r="C9" s="133"/>
      <c r="D9" s="133"/>
      <c r="E9" s="137"/>
      <c r="F9" s="134"/>
      <c r="G9" s="133"/>
      <c r="H9" s="133"/>
      <c r="I9" s="69" t="str">
        <f aca="false">IF($B9="","",SUMIFS(定数マスタ!$G$110:$G$309,定数マスタ!$B$110:$B$309,$B9,定数マスタ!$C$110:$C$309,"常温"))</f>
        <v/>
      </c>
      <c r="J9" s="69" t="str">
        <f aca="false">IF($B9="","",SUMIFS(定数マスタ!$G$110:$G$309,定数マスタ!$B$110:$B$309,$B9,定数マスタ!$C$110:$C$309,"冷蔵"))</f>
        <v/>
      </c>
      <c r="K9" s="69" t="str">
        <f aca="false">IF($B9="","",SUMIFS(定数マスタ!$G$110:$G$309,定数マスタ!$B$110:$B$309,$B9,定数マスタ!$C$110:$C$309,"冷凍"))</f>
        <v/>
      </c>
      <c r="L9" s="133"/>
      <c r="T9" s="66" t="n">
        <v>4</v>
      </c>
      <c r="U9" s="139" t="n">
        <v>0.95</v>
      </c>
      <c r="W9" s="133"/>
      <c r="X9" s="140"/>
      <c r="Y9" s="140"/>
      <c r="Z9" s="139"/>
    </row>
    <row r="10" customFormat="false" ht="15" hidden="false" customHeight="false" outlineLevel="0" collapsed="false">
      <c r="B10" s="132"/>
      <c r="C10" s="133"/>
      <c r="D10" s="133"/>
      <c r="E10" s="137"/>
      <c r="F10" s="134"/>
      <c r="G10" s="133"/>
      <c r="H10" s="133"/>
      <c r="I10" s="69" t="str">
        <f aca="false">IF($B10="","",SUMIFS(定数マスタ!$G$110:$G$309,定数マスタ!$B$110:$B$309,$B10,定数マスタ!$C$110:$C$309,"常温"))</f>
        <v/>
      </c>
      <c r="J10" s="69" t="str">
        <f aca="false">IF($B10="","",SUMIFS(定数マスタ!$G$110:$G$309,定数マスタ!$B$110:$B$309,$B10,定数マスタ!$C$110:$C$309,"冷蔵"))</f>
        <v/>
      </c>
      <c r="K10" s="69" t="str">
        <f aca="false">IF($B10="","",SUMIFS(定数マスタ!$G$110:$G$309,定数マスタ!$B$110:$B$309,$B10,定数マスタ!$C$110:$C$309,"冷凍"))</f>
        <v/>
      </c>
      <c r="L10" s="133"/>
      <c r="T10" s="66" t="n">
        <v>5</v>
      </c>
      <c r="U10" s="139" t="n">
        <v>1.2</v>
      </c>
      <c r="W10" s="133"/>
      <c r="X10" s="140"/>
      <c r="Y10" s="140"/>
      <c r="Z10" s="139"/>
    </row>
    <row r="11" customFormat="false" ht="15" hidden="false" customHeight="false" outlineLevel="0" collapsed="false">
      <c r="B11" s="132"/>
      <c r="C11" s="133"/>
      <c r="D11" s="133"/>
      <c r="E11" s="137"/>
      <c r="F11" s="134"/>
      <c r="G11" s="133"/>
      <c r="H11" s="133"/>
      <c r="I11" s="69" t="str">
        <f aca="false">IF($B11="","",SUMIFS(定数マスタ!$G$110:$G$309,定数マスタ!$B$110:$B$309,$B11,定数マスタ!$C$110:$C$309,"常温"))</f>
        <v/>
      </c>
      <c r="J11" s="69" t="str">
        <f aca="false">IF($B11="","",SUMIFS(定数マスタ!$G$110:$G$309,定数マスタ!$B$110:$B$309,$B11,定数マスタ!$C$110:$C$309,"冷蔵"))</f>
        <v/>
      </c>
      <c r="K11" s="69" t="str">
        <f aca="false">IF($B11="","",SUMIFS(定数マスタ!$G$110:$G$309,定数マスタ!$B$110:$B$309,$B11,定数マスタ!$C$110:$C$309,"冷凍"))</f>
        <v/>
      </c>
      <c r="L11" s="133"/>
      <c r="T11" s="66" t="n">
        <v>6</v>
      </c>
      <c r="U11" s="139" t="n">
        <v>0.85</v>
      </c>
      <c r="W11" s="133"/>
      <c r="X11" s="140"/>
      <c r="Y11" s="140"/>
      <c r="Z11" s="139"/>
    </row>
    <row r="12" customFormat="false" ht="15" hidden="false" customHeight="false" outlineLevel="0" collapsed="false">
      <c r="B12" s="132"/>
      <c r="C12" s="133"/>
      <c r="D12" s="133"/>
      <c r="E12" s="137"/>
      <c r="F12" s="134"/>
      <c r="G12" s="133"/>
      <c r="H12" s="133"/>
      <c r="I12" s="69" t="str">
        <f aca="false">IF($B12="","",SUMIFS(定数マスタ!$G$110:$G$309,定数マスタ!$B$110:$B$309,$B12,定数マスタ!$C$110:$C$309,"常温"))</f>
        <v/>
      </c>
      <c r="J12" s="69" t="str">
        <f aca="false">IF($B12="","",SUMIFS(定数マスタ!$G$110:$G$309,定数マスタ!$B$110:$B$309,$B12,定数マスタ!$C$110:$C$309,"冷蔵"))</f>
        <v/>
      </c>
      <c r="K12" s="69" t="str">
        <f aca="false">IF($B12="","",SUMIFS(定数マスタ!$G$110:$G$309,定数マスタ!$B$110:$B$309,$B12,定数マスタ!$C$110:$C$309,"冷凍"))</f>
        <v/>
      </c>
      <c r="L12" s="133"/>
      <c r="T12" s="66" t="n">
        <v>7</v>
      </c>
      <c r="U12" s="139" t="n">
        <v>1.25</v>
      </c>
      <c r="W12" s="133"/>
      <c r="X12" s="140"/>
      <c r="Y12" s="140"/>
      <c r="Z12" s="139"/>
    </row>
    <row r="13" customFormat="false" ht="15" hidden="false" customHeight="false" outlineLevel="0" collapsed="false">
      <c r="B13" s="132"/>
      <c r="C13" s="133"/>
      <c r="D13" s="133"/>
      <c r="E13" s="137"/>
      <c r="F13" s="134"/>
      <c r="G13" s="133"/>
      <c r="H13" s="133"/>
      <c r="I13" s="69" t="str">
        <f aca="false">IF($B13="","",SUMIFS(定数マスタ!$G$110:$G$309,定数マスタ!$B$110:$B$309,$B13,定数マスタ!$C$110:$C$309,"常温"))</f>
        <v/>
      </c>
      <c r="J13" s="69" t="str">
        <f aca="false">IF($B13="","",SUMIFS(定数マスタ!$G$110:$G$309,定数マスタ!$B$110:$B$309,$B13,定数マスタ!$C$110:$C$309,"冷蔵"))</f>
        <v/>
      </c>
      <c r="K13" s="69" t="str">
        <f aca="false">IF($B13="","",SUMIFS(定数マスタ!$G$110:$G$309,定数マスタ!$B$110:$B$309,$B13,定数マスタ!$C$110:$C$309,"冷凍"))</f>
        <v/>
      </c>
      <c r="L13" s="133"/>
      <c r="T13" s="66" t="n">
        <v>8</v>
      </c>
      <c r="U13" s="139" t="n">
        <v>1.35</v>
      </c>
      <c r="W13" s="133"/>
      <c r="X13" s="140"/>
      <c r="Y13" s="140"/>
      <c r="Z13" s="139"/>
    </row>
    <row r="14" customFormat="false" ht="15" hidden="false" customHeight="false" outlineLevel="0" collapsed="false">
      <c r="B14" s="132"/>
      <c r="C14" s="133"/>
      <c r="D14" s="133"/>
      <c r="E14" s="137"/>
      <c r="F14" s="134"/>
      <c r="G14" s="133"/>
      <c r="H14" s="133"/>
      <c r="I14" s="69" t="str">
        <f aca="false">IF($B14="","",SUMIFS(定数マスタ!$G$110:$G$309,定数マスタ!$B$110:$B$309,$B14,定数マスタ!$C$110:$C$309,"常温"))</f>
        <v/>
      </c>
      <c r="J14" s="69" t="str">
        <f aca="false">IF($B14="","",SUMIFS(定数マスタ!$G$110:$G$309,定数マスタ!$B$110:$B$309,$B14,定数マスタ!$C$110:$C$309,"冷蔵"))</f>
        <v/>
      </c>
      <c r="K14" s="69" t="str">
        <f aca="false">IF($B14="","",SUMIFS(定数マスタ!$G$110:$G$309,定数マスタ!$B$110:$B$309,$B14,定数マスタ!$C$110:$C$309,"冷凍"))</f>
        <v/>
      </c>
      <c r="L14" s="133"/>
      <c r="T14" s="66" t="n">
        <v>9</v>
      </c>
      <c r="U14" s="139" t="n">
        <v>0.9</v>
      </c>
      <c r="W14" s="133"/>
      <c r="X14" s="140"/>
      <c r="Y14" s="140"/>
      <c r="Z14" s="139"/>
    </row>
    <row r="15" customFormat="false" ht="15" hidden="false" customHeight="false" outlineLevel="0" collapsed="false">
      <c r="B15" s="132"/>
      <c r="C15" s="133"/>
      <c r="D15" s="133"/>
      <c r="E15" s="137"/>
      <c r="F15" s="134"/>
      <c r="G15" s="133"/>
      <c r="H15" s="133"/>
      <c r="I15" s="69" t="str">
        <f aca="false">IF($B15="","",SUMIFS(定数マスタ!$G$110:$G$309,定数マスタ!$B$110:$B$309,$B15,定数マスタ!$C$110:$C$309,"常温"))</f>
        <v/>
      </c>
      <c r="J15" s="69" t="str">
        <f aca="false">IF($B15="","",SUMIFS(定数マスタ!$G$110:$G$309,定数マスタ!$B$110:$B$309,$B15,定数マスタ!$C$110:$C$309,"冷蔵"))</f>
        <v/>
      </c>
      <c r="K15" s="69" t="str">
        <f aca="false">IF($B15="","",SUMIFS(定数マスタ!$G$110:$G$309,定数マスタ!$B$110:$B$309,$B15,定数マスタ!$C$110:$C$309,"冷凍"))</f>
        <v/>
      </c>
      <c r="L15" s="133"/>
      <c r="T15" s="66" t="n">
        <v>10</v>
      </c>
      <c r="U15" s="139" t="n">
        <v>1</v>
      </c>
      <c r="W15" s="133"/>
      <c r="X15" s="140"/>
      <c r="Y15" s="140"/>
      <c r="Z15" s="139"/>
    </row>
    <row r="16" customFormat="false" ht="15" hidden="false" customHeight="false" outlineLevel="0" collapsed="false">
      <c r="B16" s="132"/>
      <c r="C16" s="133"/>
      <c r="D16" s="133"/>
      <c r="E16" s="137"/>
      <c r="F16" s="134"/>
      <c r="G16" s="133"/>
      <c r="H16" s="133"/>
      <c r="I16" s="69" t="str">
        <f aca="false">IF($B16="","",SUMIFS(定数マスタ!$G$110:$G$309,定数マスタ!$B$110:$B$309,$B16,定数マスタ!$C$110:$C$309,"常温"))</f>
        <v/>
      </c>
      <c r="J16" s="69" t="str">
        <f aca="false">IF($B16="","",SUMIFS(定数マスタ!$G$110:$G$309,定数マスタ!$B$110:$B$309,$B16,定数マスタ!$C$110:$C$309,"冷蔵"))</f>
        <v/>
      </c>
      <c r="K16" s="69" t="str">
        <f aca="false">IF($B16="","",SUMIFS(定数マスタ!$G$110:$G$309,定数マスタ!$B$110:$B$309,$B16,定数マスタ!$C$110:$C$309,"冷凍"))</f>
        <v/>
      </c>
      <c r="L16" s="133"/>
      <c r="T16" s="66" t="n">
        <v>11</v>
      </c>
      <c r="U16" s="139" t="n">
        <v>1</v>
      </c>
      <c r="W16" s="133"/>
      <c r="X16" s="140"/>
      <c r="Y16" s="140"/>
      <c r="Z16" s="139"/>
    </row>
    <row r="17" customFormat="false" ht="15" hidden="false" customHeight="false" outlineLevel="0" collapsed="false">
      <c r="B17" s="132"/>
      <c r="C17" s="133"/>
      <c r="D17" s="133"/>
      <c r="E17" s="137"/>
      <c r="F17" s="134"/>
      <c r="G17" s="133"/>
      <c r="H17" s="133"/>
      <c r="I17" s="69" t="str">
        <f aca="false">IF($B17="","",SUMIFS(定数マスタ!$G$110:$G$309,定数マスタ!$B$110:$B$309,$B17,定数マスタ!$C$110:$C$309,"常温"))</f>
        <v/>
      </c>
      <c r="J17" s="69" t="str">
        <f aca="false">IF($B17="","",SUMIFS(定数マスタ!$G$110:$G$309,定数マスタ!$B$110:$B$309,$B17,定数マスタ!$C$110:$C$309,"冷蔵"))</f>
        <v/>
      </c>
      <c r="K17" s="69" t="str">
        <f aca="false">IF($B17="","",SUMIFS(定数マスタ!$G$110:$G$309,定数マスタ!$B$110:$B$309,$B17,定数マスタ!$C$110:$C$309,"冷凍"))</f>
        <v/>
      </c>
      <c r="L17" s="133"/>
      <c r="T17" s="66" t="n">
        <v>12</v>
      </c>
      <c r="U17" s="139" t="n">
        <v>1.3</v>
      </c>
      <c r="W17" s="133"/>
      <c r="X17" s="140"/>
      <c r="Y17" s="140"/>
      <c r="Z17" s="139"/>
    </row>
    <row r="18" customFormat="false" ht="15" hidden="false" customHeight="false" outlineLevel="0" collapsed="false">
      <c r="B18" s="132"/>
      <c r="C18" s="133"/>
      <c r="D18" s="133"/>
      <c r="E18" s="137"/>
      <c r="F18" s="134"/>
      <c r="G18" s="133"/>
      <c r="H18" s="133"/>
      <c r="I18" s="69" t="str">
        <f aca="false">IF($B18="","",SUMIFS(定数マスタ!$G$110:$G$309,定数マスタ!$B$110:$B$309,$B18,定数マスタ!$C$110:$C$309,"常温"))</f>
        <v/>
      </c>
      <c r="J18" s="69" t="str">
        <f aca="false">IF($B18="","",SUMIFS(定数マスタ!$G$110:$G$309,定数マスタ!$B$110:$B$309,$B18,定数マスタ!$C$110:$C$309,"冷蔵"))</f>
        <v/>
      </c>
      <c r="K18" s="69" t="str">
        <f aca="false">IF($B18="","",SUMIFS(定数マスタ!$G$110:$G$309,定数マスタ!$B$110:$B$309,$B18,定数マスタ!$C$110:$C$309,"冷凍"))</f>
        <v/>
      </c>
      <c r="L18" s="133"/>
      <c r="W18" s="133"/>
      <c r="X18" s="140"/>
      <c r="Y18" s="140"/>
      <c r="Z18" s="139"/>
    </row>
    <row r="19" customFormat="false" ht="15" hidden="false" customHeight="false" outlineLevel="0" collapsed="false">
      <c r="B19" s="132"/>
      <c r="C19" s="133"/>
      <c r="D19" s="133"/>
      <c r="E19" s="137"/>
      <c r="F19" s="134"/>
      <c r="G19" s="133"/>
      <c r="H19" s="133"/>
      <c r="I19" s="69" t="str">
        <f aca="false">IF($B19="","",SUMIFS(定数マスタ!$G$110:$G$309,定数マスタ!$B$110:$B$309,$B19,定数マスタ!$C$110:$C$309,"常温"))</f>
        <v/>
      </c>
      <c r="J19" s="69" t="str">
        <f aca="false">IF($B19="","",SUMIFS(定数マスタ!$G$110:$G$309,定数マスタ!$B$110:$B$309,$B19,定数マスタ!$C$110:$C$309,"冷蔵"))</f>
        <v/>
      </c>
      <c r="K19" s="69" t="str">
        <f aca="false">IF($B19="","",SUMIFS(定数マスタ!$G$110:$G$309,定数マスタ!$B$110:$B$309,$B19,定数マスタ!$C$110:$C$309,"冷凍"))</f>
        <v/>
      </c>
      <c r="L19" s="133"/>
      <c r="W19" s="133"/>
      <c r="X19" s="140"/>
      <c r="Y19" s="140"/>
      <c r="Z19" s="139"/>
    </row>
    <row r="20" customFormat="false" ht="15" hidden="false" customHeight="false" outlineLevel="0" collapsed="false">
      <c r="B20" s="132"/>
      <c r="C20" s="133"/>
      <c r="D20" s="133"/>
      <c r="E20" s="137"/>
      <c r="F20" s="134"/>
      <c r="G20" s="133"/>
      <c r="H20" s="133"/>
      <c r="I20" s="69" t="str">
        <f aca="false">IF($B20="","",SUMIFS(定数マスタ!$G$110:$G$309,定数マスタ!$B$110:$B$309,$B20,定数マスタ!$C$110:$C$309,"常温"))</f>
        <v/>
      </c>
      <c r="J20" s="69" t="str">
        <f aca="false">IF($B20="","",SUMIFS(定数マスタ!$G$110:$G$309,定数マスタ!$B$110:$B$309,$B20,定数マスタ!$C$110:$C$309,"冷蔵"))</f>
        <v/>
      </c>
      <c r="K20" s="69" t="str">
        <f aca="false">IF($B20="","",SUMIFS(定数マスタ!$G$110:$G$309,定数マスタ!$B$110:$B$309,$B20,定数マスタ!$C$110:$C$309,"冷凍"))</f>
        <v/>
      </c>
      <c r="L20" s="133"/>
      <c r="W20" s="133"/>
      <c r="X20" s="140"/>
      <c r="Y20" s="140"/>
      <c r="Z20" s="139"/>
    </row>
    <row r="21" customFormat="false" ht="15" hidden="false" customHeight="false" outlineLevel="0" collapsed="false">
      <c r="B21" s="132"/>
      <c r="C21" s="133"/>
      <c r="D21" s="133"/>
      <c r="E21" s="137"/>
      <c r="F21" s="134"/>
      <c r="G21" s="133"/>
      <c r="H21" s="133"/>
      <c r="I21" s="69" t="str">
        <f aca="false">IF($B21="","",SUMIFS(定数マスタ!$G$110:$G$309,定数マスタ!$B$110:$B$309,$B21,定数マスタ!$C$110:$C$309,"常温"))</f>
        <v/>
      </c>
      <c r="J21" s="69" t="str">
        <f aca="false">IF($B21="","",SUMIFS(定数マスタ!$G$110:$G$309,定数マスタ!$B$110:$B$309,$B21,定数マスタ!$C$110:$C$309,"冷蔵"))</f>
        <v/>
      </c>
      <c r="K21" s="69" t="str">
        <f aca="false">IF($B21="","",SUMIFS(定数マスタ!$G$110:$G$309,定数マスタ!$B$110:$B$309,$B21,定数マスタ!$C$110:$C$309,"冷凍"))</f>
        <v/>
      </c>
      <c r="L21" s="133"/>
      <c r="W21" s="133"/>
      <c r="X21" s="140"/>
      <c r="Y21" s="140"/>
      <c r="Z21" s="139"/>
    </row>
    <row r="22" customFormat="false" ht="15" hidden="false" customHeight="false" outlineLevel="0" collapsed="false">
      <c r="B22" s="132"/>
      <c r="C22" s="133"/>
      <c r="D22" s="133"/>
      <c r="E22" s="137"/>
      <c r="F22" s="134"/>
      <c r="G22" s="133"/>
      <c r="H22" s="133"/>
      <c r="I22" s="69" t="str">
        <f aca="false">IF($B22="","",SUMIFS(定数マスタ!$G$110:$G$309,定数マスタ!$B$110:$B$309,$B22,定数マスタ!$C$110:$C$309,"常温"))</f>
        <v/>
      </c>
      <c r="J22" s="69" t="str">
        <f aca="false">IF($B22="","",SUMIFS(定数マスタ!$G$110:$G$309,定数マスタ!$B$110:$B$309,$B22,定数マスタ!$C$110:$C$309,"冷蔵"))</f>
        <v/>
      </c>
      <c r="K22" s="69" t="str">
        <f aca="false">IF($B22="","",SUMIFS(定数マスタ!$G$110:$G$309,定数マスタ!$B$110:$B$309,$B22,定数マスタ!$C$110:$C$309,"冷凍"))</f>
        <v/>
      </c>
      <c r="L22" s="133"/>
      <c r="W22" s="133"/>
      <c r="X22" s="140"/>
      <c r="Y22" s="140"/>
      <c r="Z22" s="139"/>
    </row>
    <row r="23" customFormat="false" ht="15" hidden="false" customHeight="false" outlineLevel="0" collapsed="false">
      <c r="B23" s="132"/>
      <c r="C23" s="133"/>
      <c r="D23" s="133"/>
      <c r="E23" s="137"/>
      <c r="F23" s="134"/>
      <c r="G23" s="133"/>
      <c r="H23" s="133"/>
      <c r="I23" s="69" t="str">
        <f aca="false">IF($B23="","",SUMIFS(定数マスタ!$G$110:$G$309,定数マスタ!$B$110:$B$309,$B23,定数マスタ!$C$110:$C$309,"常温"))</f>
        <v/>
      </c>
      <c r="J23" s="69" t="str">
        <f aca="false">IF($B23="","",SUMIFS(定数マスタ!$G$110:$G$309,定数マスタ!$B$110:$B$309,$B23,定数マスタ!$C$110:$C$309,"冷蔵"))</f>
        <v/>
      </c>
      <c r="K23" s="69" t="str">
        <f aca="false">IF($B23="","",SUMIFS(定数マスタ!$G$110:$G$309,定数マスタ!$B$110:$B$309,$B23,定数マスタ!$C$110:$C$309,"冷凍"))</f>
        <v/>
      </c>
      <c r="L23" s="133"/>
      <c r="W23" s="133"/>
      <c r="X23" s="140"/>
      <c r="Y23" s="140"/>
      <c r="Z23" s="139"/>
    </row>
    <row r="24" customFormat="false" ht="15" hidden="false" customHeight="false" outlineLevel="0" collapsed="false">
      <c r="B24" s="132"/>
      <c r="C24" s="133"/>
      <c r="D24" s="133"/>
      <c r="E24" s="137"/>
      <c r="F24" s="134"/>
      <c r="G24" s="133"/>
      <c r="H24" s="133"/>
      <c r="I24" s="69" t="str">
        <f aca="false">IF($B24="","",SUMIFS(定数マスタ!$G$110:$G$309,定数マスタ!$B$110:$B$309,$B24,定数マスタ!$C$110:$C$309,"常温"))</f>
        <v/>
      </c>
      <c r="J24" s="69" t="str">
        <f aca="false">IF($B24="","",SUMIFS(定数マスタ!$G$110:$G$309,定数マスタ!$B$110:$B$309,$B24,定数マスタ!$C$110:$C$309,"冷蔵"))</f>
        <v/>
      </c>
      <c r="K24" s="69" t="str">
        <f aca="false">IF($B24="","",SUMIFS(定数マスタ!$G$110:$G$309,定数マスタ!$B$110:$B$309,$B24,定数マスタ!$C$110:$C$309,"冷凍"))</f>
        <v/>
      </c>
      <c r="L24" s="133"/>
      <c r="W24" s="133"/>
      <c r="X24" s="140"/>
      <c r="Y24" s="140"/>
      <c r="Z24" s="139"/>
    </row>
    <row r="25" customFormat="false" ht="15" hidden="false" customHeight="false" outlineLevel="0" collapsed="false">
      <c r="B25" s="132"/>
      <c r="C25" s="133"/>
      <c r="D25" s="133"/>
      <c r="E25" s="137"/>
      <c r="F25" s="134"/>
      <c r="G25" s="133"/>
      <c r="H25" s="133"/>
      <c r="I25" s="69" t="str">
        <f aca="false">IF($B25="","",SUMIFS(定数マスタ!$G$110:$G$309,定数マスタ!$B$110:$B$309,$B25,定数マスタ!$C$110:$C$309,"常温"))</f>
        <v/>
      </c>
      <c r="J25" s="69" t="str">
        <f aca="false">IF($B25="","",SUMIFS(定数マスタ!$G$110:$G$309,定数マスタ!$B$110:$B$309,$B25,定数マスタ!$C$110:$C$309,"冷蔵"))</f>
        <v/>
      </c>
      <c r="K25" s="69" t="str">
        <f aca="false">IF($B25="","",SUMIFS(定数マスタ!$G$110:$G$309,定数マスタ!$B$110:$B$309,$B25,定数マスタ!$C$110:$C$309,"冷凍"))</f>
        <v/>
      </c>
      <c r="L25" s="133"/>
      <c r="W25" s="133"/>
      <c r="X25" s="140"/>
      <c r="Y25" s="140"/>
      <c r="Z25" s="139"/>
    </row>
    <row r="26" customFormat="false" ht="15" hidden="false" customHeight="false" outlineLevel="0" collapsed="false">
      <c r="B26" s="132"/>
      <c r="C26" s="133"/>
      <c r="D26" s="133"/>
      <c r="E26" s="137"/>
      <c r="F26" s="134"/>
      <c r="G26" s="133"/>
      <c r="H26" s="133"/>
      <c r="I26" s="69" t="str">
        <f aca="false">IF($B26="","",SUMIFS(定数マスタ!$G$110:$G$309,定数マスタ!$B$110:$B$309,$B26,定数マスタ!$C$110:$C$309,"常温"))</f>
        <v/>
      </c>
      <c r="J26" s="69" t="str">
        <f aca="false">IF($B26="","",SUMIFS(定数マスタ!$G$110:$G$309,定数マスタ!$B$110:$B$309,$B26,定数マスタ!$C$110:$C$309,"冷蔵"))</f>
        <v/>
      </c>
      <c r="K26" s="69" t="str">
        <f aca="false">IF($B26="","",SUMIFS(定数マスタ!$G$110:$G$309,定数マスタ!$B$110:$B$309,$B26,定数マスタ!$C$110:$C$309,"冷凍"))</f>
        <v/>
      </c>
      <c r="L26" s="133"/>
    </row>
    <row r="27" customFormat="false" ht="15" hidden="false" customHeight="false" outlineLevel="0" collapsed="false">
      <c r="B27" s="132"/>
      <c r="C27" s="133"/>
      <c r="D27" s="133"/>
      <c r="E27" s="137"/>
      <c r="F27" s="134"/>
      <c r="G27" s="133"/>
      <c r="H27" s="133"/>
      <c r="I27" s="69" t="str">
        <f aca="false">IF($B27="","",SUMIFS(定数マスタ!$G$110:$G$309,定数マスタ!$B$110:$B$309,$B27,定数マスタ!$C$110:$C$309,"常温"))</f>
        <v/>
      </c>
      <c r="J27" s="69" t="str">
        <f aca="false">IF($B27="","",SUMIFS(定数マスタ!$G$110:$G$309,定数マスタ!$B$110:$B$309,$B27,定数マスタ!$C$110:$C$309,"冷蔵"))</f>
        <v/>
      </c>
      <c r="K27" s="69" t="str">
        <f aca="false">IF($B27="","",SUMIFS(定数マスタ!$G$110:$G$309,定数マスタ!$B$110:$B$309,$B27,定数マスタ!$C$110:$C$309,"冷凍"))</f>
        <v/>
      </c>
      <c r="L27" s="133"/>
      <c r="W27" s="31" t="s">
        <v>681</v>
      </c>
    </row>
    <row r="28" customFormat="false" ht="15" hidden="false" customHeight="false" outlineLevel="0" collapsed="false">
      <c r="B28" s="132"/>
      <c r="C28" s="133"/>
      <c r="D28" s="133"/>
      <c r="E28" s="137"/>
      <c r="F28" s="134"/>
      <c r="G28" s="133"/>
      <c r="H28" s="133"/>
      <c r="I28" s="69" t="str">
        <f aca="false">IF($B28="","",SUMIFS(定数マスタ!$G$110:$G$309,定数マスタ!$B$110:$B$309,$B28,定数マスタ!$C$110:$C$309,"常温"))</f>
        <v/>
      </c>
      <c r="J28" s="69" t="str">
        <f aca="false">IF($B28="","",SUMIFS(定数マスタ!$G$110:$G$309,定数マスタ!$B$110:$B$309,$B28,定数マスタ!$C$110:$C$309,"冷蔵"))</f>
        <v/>
      </c>
      <c r="K28" s="69" t="str">
        <f aca="false">IF($B28="","",SUMIFS(定数マスタ!$G$110:$G$309,定数マスタ!$B$110:$B$309,$B28,定数マスタ!$C$110:$C$309,"冷凍"))</f>
        <v/>
      </c>
      <c r="L28" s="133"/>
    </row>
    <row r="29" customFormat="false" ht="15" hidden="false" customHeight="false" outlineLevel="0" collapsed="false">
      <c r="B29" s="141" t="s">
        <v>682</v>
      </c>
      <c r="C29" s="133"/>
      <c r="D29" s="133"/>
      <c r="E29" s="137"/>
      <c r="F29" s="134"/>
      <c r="G29" s="133"/>
      <c r="H29" s="133"/>
      <c r="I29" s="69" t="n">
        <f aca="false">IF($B29="","",SUMIFS(定数マスタ!$G$110:$G$309,定数マスタ!$B$110:$B$309,$B29,定数マスタ!$C$110:$C$309,"常温"))</f>
        <v>0</v>
      </c>
      <c r="J29" s="69" t="n">
        <f aca="false">IF($B29="","",SUMIFS(定数マスタ!$G$110:$G$309,定数マスタ!$B$110:$B$309,$B29,定数マスタ!$C$110:$C$309,"冷蔵"))</f>
        <v>0</v>
      </c>
      <c r="K29" s="69" t="n">
        <f aca="false">IF($B29="","",SUMIFS(定数マスタ!$G$110:$G$309,定数マスタ!$B$110:$B$309,$B29,定数マスタ!$C$110:$C$309,"冷凍"))</f>
        <v>0</v>
      </c>
      <c r="L29" s="133"/>
    </row>
    <row r="30" customFormat="false" ht="15" hidden="false" customHeight="false" outlineLevel="0" collapsed="false">
      <c r="B30" s="132"/>
      <c r="C30" s="133"/>
      <c r="D30" s="133"/>
      <c r="E30" s="137"/>
      <c r="F30" s="134"/>
      <c r="G30" s="133"/>
      <c r="H30" s="133"/>
      <c r="I30" s="69" t="str">
        <f aca="false">IF($B30="","",SUMIFS(定数マスタ!$G$110:$G$309,定数マスタ!$B$110:$B$309,$B30,定数マスタ!$C$110:$C$309,"常温"))</f>
        <v/>
      </c>
      <c r="J30" s="69" t="str">
        <f aca="false">IF($B30="","",SUMIFS(定数マスタ!$G$110:$G$309,定数マスタ!$B$110:$B$309,$B30,定数マスタ!$C$110:$C$309,"冷蔵"))</f>
        <v/>
      </c>
      <c r="K30" s="69" t="str">
        <f aca="false">IF($B30="","",SUMIFS(定数マスタ!$G$110:$G$309,定数マスタ!$B$110:$B$309,$B30,定数マスタ!$C$110:$C$309,"冷凍"))</f>
        <v/>
      </c>
      <c r="L30" s="133"/>
    </row>
    <row r="31" customFormat="false" ht="15" hidden="false" customHeight="false" outlineLevel="0" collapsed="false">
      <c r="B31" s="132"/>
      <c r="C31" s="133"/>
      <c r="D31" s="133"/>
      <c r="E31" s="137"/>
      <c r="F31" s="134"/>
      <c r="G31" s="133"/>
      <c r="H31" s="133"/>
      <c r="I31" s="69" t="str">
        <f aca="false">IF($B31="","",SUMIFS(定数マスタ!$G$110:$G$309,定数マスタ!$B$110:$B$309,$B31,定数マスタ!$C$110:$C$309,"常温"))</f>
        <v/>
      </c>
      <c r="J31" s="69" t="str">
        <f aca="false">IF($B31="","",SUMIFS(定数マスタ!$G$110:$G$309,定数マスタ!$B$110:$B$309,$B31,定数マスタ!$C$110:$C$309,"冷蔵"))</f>
        <v/>
      </c>
      <c r="K31" s="69" t="str">
        <f aca="false">IF($B31="","",SUMIFS(定数マスタ!$G$110:$G$309,定数マスタ!$B$110:$B$309,$B31,定数マスタ!$C$110:$C$309,"冷凍"))</f>
        <v/>
      </c>
      <c r="L31" s="133"/>
    </row>
    <row r="32" customFormat="false" ht="15" hidden="false" customHeight="false" outlineLevel="0" collapsed="false">
      <c r="B32" s="132"/>
      <c r="C32" s="133"/>
      <c r="D32" s="133"/>
      <c r="E32" s="137"/>
      <c r="F32" s="134"/>
      <c r="G32" s="133"/>
      <c r="H32" s="133"/>
      <c r="I32" s="69" t="str">
        <f aca="false">IF($B32="","",SUMIFS(定数マスタ!$G$110:$G$309,定数マスタ!$B$110:$B$309,$B32,定数マスタ!$C$110:$C$309,"常温"))</f>
        <v/>
      </c>
      <c r="J32" s="69" t="str">
        <f aca="false">IF($B32="","",SUMIFS(定数マスタ!$G$110:$G$309,定数マスタ!$B$110:$B$309,$B32,定数マスタ!$C$110:$C$309,"冷蔵"))</f>
        <v/>
      </c>
      <c r="K32" s="69" t="str">
        <f aca="false">IF($B32="","",SUMIFS(定数マスタ!$G$110:$G$309,定数マスタ!$B$110:$B$309,$B32,定数マスタ!$C$110:$C$309,"冷凍"))</f>
        <v/>
      </c>
      <c r="L32" s="133"/>
    </row>
    <row r="33" customFormat="false" ht="15" hidden="false" customHeight="false" outlineLevel="0" collapsed="false">
      <c r="B33" s="132"/>
      <c r="C33" s="133"/>
      <c r="D33" s="133"/>
      <c r="E33" s="137"/>
      <c r="F33" s="134"/>
      <c r="G33" s="133"/>
      <c r="H33" s="133"/>
      <c r="I33" s="69" t="str">
        <f aca="false">IF($B33="","",SUMIFS(定数マスタ!$G$110:$G$309,定数マスタ!$B$110:$B$309,$B33,定数マスタ!$C$110:$C$309,"常温"))</f>
        <v/>
      </c>
      <c r="J33" s="69" t="str">
        <f aca="false">IF($B33="","",SUMIFS(定数マスタ!$G$110:$G$309,定数マスタ!$B$110:$B$309,$B33,定数マスタ!$C$110:$C$309,"冷蔵"))</f>
        <v/>
      </c>
      <c r="K33" s="69" t="str">
        <f aca="false">IF($B33="","",SUMIFS(定数マスタ!$G$110:$G$309,定数マスタ!$B$110:$B$309,$B33,定数マスタ!$C$110:$C$309,"冷凍"))</f>
        <v/>
      </c>
      <c r="L33" s="133"/>
    </row>
    <row r="34" customFormat="false" ht="15" hidden="false" customHeight="false" outlineLevel="0" collapsed="false">
      <c r="B34" s="132"/>
      <c r="C34" s="133"/>
      <c r="D34" s="133"/>
      <c r="E34" s="137"/>
      <c r="F34" s="134"/>
      <c r="G34" s="133"/>
      <c r="H34" s="133"/>
      <c r="I34" s="69" t="str">
        <f aca="false">IF($B34="","",SUMIFS(定数マスタ!$G$110:$G$309,定数マスタ!$B$110:$B$309,$B34,定数マスタ!$C$110:$C$309,"常温"))</f>
        <v/>
      </c>
      <c r="J34" s="69" t="str">
        <f aca="false">IF($B34="","",SUMIFS(定数マスタ!$G$110:$G$309,定数マスタ!$B$110:$B$309,$B34,定数マスタ!$C$110:$C$309,"冷蔵"))</f>
        <v/>
      </c>
      <c r="K34" s="69" t="str">
        <f aca="false">IF($B34="","",SUMIFS(定数マスタ!$G$110:$G$309,定数マスタ!$B$110:$B$309,$B34,定数マスタ!$C$110:$C$309,"冷凍"))</f>
        <v/>
      </c>
      <c r="L34" s="133"/>
    </row>
    <row r="35" customFormat="false" ht="15" hidden="false" customHeight="false" outlineLevel="0" collapsed="false">
      <c r="B35" s="132"/>
      <c r="C35" s="133"/>
      <c r="D35" s="133"/>
      <c r="E35" s="137"/>
      <c r="F35" s="134"/>
      <c r="G35" s="133"/>
      <c r="H35" s="133"/>
      <c r="I35" s="69" t="str">
        <f aca="false">IF($B35="","",SUMIFS(定数マスタ!$G$110:$G$309,定数マスタ!$B$110:$B$309,$B35,定数マスタ!$C$110:$C$309,"常温"))</f>
        <v/>
      </c>
      <c r="J35" s="69" t="str">
        <f aca="false">IF($B35="","",SUMIFS(定数マスタ!$G$110:$G$309,定数マスタ!$B$110:$B$309,$B35,定数マスタ!$C$110:$C$309,"冷蔵"))</f>
        <v/>
      </c>
      <c r="K35" s="69" t="str">
        <f aca="false">IF($B35="","",SUMIFS(定数マスタ!$G$110:$G$309,定数マスタ!$B$110:$B$309,$B35,定数マスタ!$C$110:$C$309,"冷凍"))</f>
        <v/>
      </c>
      <c r="L35" s="133"/>
    </row>
    <row r="36" customFormat="false" ht="15" hidden="false" customHeight="false" outlineLevel="0" collapsed="false">
      <c r="B36" s="132"/>
      <c r="C36" s="133"/>
      <c r="D36" s="133"/>
      <c r="E36" s="137"/>
      <c r="F36" s="134"/>
      <c r="G36" s="133"/>
      <c r="H36" s="133"/>
      <c r="I36" s="69" t="str">
        <f aca="false">IF($B36="","",SUMIFS(定数マスタ!$G$110:$G$309,定数マスタ!$B$110:$B$309,$B36,定数マスタ!$C$110:$C$309,"常温"))</f>
        <v/>
      </c>
      <c r="J36" s="69" t="str">
        <f aca="false">IF($B36="","",SUMIFS(定数マスタ!$G$110:$G$309,定数マスタ!$B$110:$B$309,$B36,定数マスタ!$C$110:$C$309,"冷蔵"))</f>
        <v/>
      </c>
      <c r="K36" s="69" t="str">
        <f aca="false">IF($B36="","",SUMIFS(定数マスタ!$G$110:$G$309,定数マスタ!$B$110:$B$309,$B36,定数マスタ!$C$110:$C$309,"冷凍"))</f>
        <v/>
      </c>
      <c r="L36" s="133"/>
    </row>
    <row r="37" customFormat="false" ht="15" hidden="false" customHeight="false" outlineLevel="0" collapsed="false">
      <c r="B37" s="132"/>
      <c r="C37" s="133"/>
      <c r="D37" s="133"/>
      <c r="E37" s="137"/>
      <c r="F37" s="134"/>
      <c r="G37" s="133"/>
      <c r="H37" s="133"/>
      <c r="I37" s="69" t="str">
        <f aca="false">IF($B37="","",SUMIFS(定数マスタ!$G$110:$G$309,定数マスタ!$B$110:$B$309,$B37,定数マスタ!$C$110:$C$309,"常温"))</f>
        <v/>
      </c>
      <c r="J37" s="69" t="str">
        <f aca="false">IF($B37="","",SUMIFS(定数マスタ!$G$110:$G$309,定数マスタ!$B$110:$B$309,$B37,定数マスタ!$C$110:$C$309,"冷蔵"))</f>
        <v/>
      </c>
      <c r="K37" s="69" t="str">
        <f aca="false">IF($B37="","",SUMIFS(定数マスタ!$G$110:$G$309,定数マスタ!$B$110:$B$309,$B37,定数マスタ!$C$110:$C$309,"冷凍"))</f>
        <v/>
      </c>
      <c r="L37" s="133"/>
    </row>
    <row r="38" customFormat="false" ht="15" hidden="false" customHeight="false" outlineLevel="0" collapsed="false">
      <c r="B38" s="132"/>
      <c r="C38" s="133"/>
      <c r="D38" s="133"/>
      <c r="E38" s="137"/>
      <c r="F38" s="134"/>
      <c r="G38" s="133"/>
      <c r="H38" s="133"/>
      <c r="I38" s="69" t="str">
        <f aca="false">IF($B38="","",SUMIFS(定数マスタ!$G$110:$G$309,定数マスタ!$B$110:$B$309,$B38,定数マスタ!$C$110:$C$309,"常温"))</f>
        <v/>
      </c>
      <c r="J38" s="69" t="str">
        <f aca="false">IF($B38="","",SUMIFS(定数マスタ!$G$110:$G$309,定数マスタ!$B$110:$B$309,$B38,定数マスタ!$C$110:$C$309,"冷蔵"))</f>
        <v/>
      </c>
      <c r="K38" s="69" t="str">
        <f aca="false">IF($B38="","",SUMIFS(定数マスタ!$G$110:$G$309,定数マスタ!$B$110:$B$309,$B38,定数マスタ!$C$110:$C$309,"冷凍"))</f>
        <v/>
      </c>
      <c r="L38" s="133"/>
    </row>
    <row r="39" customFormat="false" ht="15" hidden="false" customHeight="false" outlineLevel="0" collapsed="false">
      <c r="B39" s="132"/>
      <c r="C39" s="133"/>
      <c r="D39" s="133"/>
      <c r="E39" s="137"/>
      <c r="F39" s="134"/>
      <c r="G39" s="133"/>
      <c r="H39" s="133"/>
      <c r="I39" s="69" t="str">
        <f aca="false">IF($B39="","",SUMIFS(定数マスタ!$G$110:$G$309,定数マスタ!$B$110:$B$309,$B39,定数マスタ!$C$110:$C$309,"常温"))</f>
        <v/>
      </c>
      <c r="J39" s="69" t="str">
        <f aca="false">IF($B39="","",SUMIFS(定数マスタ!$G$110:$G$309,定数マスタ!$B$110:$B$309,$B39,定数マスタ!$C$110:$C$309,"冷蔵"))</f>
        <v/>
      </c>
      <c r="K39" s="69" t="str">
        <f aca="false">IF($B39="","",SUMIFS(定数マスタ!$G$110:$G$309,定数マスタ!$B$110:$B$309,$B39,定数マスタ!$C$110:$C$309,"冷凍"))</f>
        <v/>
      </c>
      <c r="L39" s="133"/>
    </row>
    <row r="40" customFormat="false" ht="15" hidden="false" customHeight="false" outlineLevel="0" collapsed="false">
      <c r="B40" s="132"/>
      <c r="C40" s="133"/>
      <c r="D40" s="133"/>
      <c r="E40" s="137"/>
      <c r="F40" s="134"/>
      <c r="G40" s="133"/>
      <c r="H40" s="133"/>
      <c r="I40" s="69" t="str">
        <f aca="false">IF($B40="","",SUMIFS(定数マスタ!$G$110:$G$309,定数マスタ!$B$110:$B$309,$B40,定数マスタ!$C$110:$C$309,"常温"))</f>
        <v/>
      </c>
      <c r="J40" s="69" t="str">
        <f aca="false">IF($B40="","",SUMIFS(定数マスタ!$G$110:$G$309,定数マスタ!$B$110:$B$309,$B40,定数マスタ!$C$110:$C$309,"冷蔵"))</f>
        <v/>
      </c>
      <c r="K40" s="69" t="str">
        <f aca="false">IF($B40="","",SUMIFS(定数マスタ!$G$110:$G$309,定数マスタ!$B$110:$B$309,$B40,定数マスタ!$C$110:$C$309,"冷凍"))</f>
        <v/>
      </c>
      <c r="L40" s="133"/>
    </row>
    <row r="41" customFormat="false" ht="15" hidden="false" customHeight="false" outlineLevel="0" collapsed="false">
      <c r="B41" s="132"/>
      <c r="C41" s="133"/>
      <c r="D41" s="133"/>
      <c r="E41" s="137"/>
      <c r="F41" s="134"/>
      <c r="G41" s="133"/>
      <c r="H41" s="133"/>
      <c r="I41" s="69" t="str">
        <f aca="false">IF($B41="","",SUMIFS(定数マスタ!$G$110:$G$309,定数マスタ!$B$110:$B$309,$B41,定数マスタ!$C$110:$C$309,"常温"))</f>
        <v/>
      </c>
      <c r="J41" s="69" t="str">
        <f aca="false">IF($B41="","",SUMIFS(定数マスタ!$G$110:$G$309,定数マスタ!$B$110:$B$309,$B41,定数マスタ!$C$110:$C$309,"冷蔵"))</f>
        <v/>
      </c>
      <c r="K41" s="69" t="str">
        <f aca="false">IF($B41="","",SUMIFS(定数マスタ!$G$110:$G$309,定数マスタ!$B$110:$B$309,$B41,定数マスタ!$C$110:$C$309,"冷凍"))</f>
        <v/>
      </c>
      <c r="L41" s="133"/>
    </row>
    <row r="42" customFormat="false" ht="15" hidden="false" customHeight="false" outlineLevel="0" collapsed="false">
      <c r="B42" s="132"/>
      <c r="C42" s="133"/>
      <c r="D42" s="133"/>
      <c r="E42" s="137"/>
      <c r="F42" s="134"/>
      <c r="G42" s="133"/>
      <c r="H42" s="133"/>
      <c r="I42" s="69" t="str">
        <f aca="false">IF($B42="","",SUMIFS(定数マスタ!$G$110:$G$309,定数マスタ!$B$110:$B$309,$B42,定数マスタ!$C$110:$C$309,"常温"))</f>
        <v/>
      </c>
      <c r="J42" s="69" t="str">
        <f aca="false">IF($B42="","",SUMIFS(定数マスタ!$G$110:$G$309,定数マスタ!$B$110:$B$309,$B42,定数マスタ!$C$110:$C$309,"冷蔵"))</f>
        <v/>
      </c>
      <c r="K42" s="69" t="str">
        <f aca="false">IF($B42="","",SUMIFS(定数マスタ!$G$110:$G$309,定数マスタ!$B$110:$B$309,$B42,定数マスタ!$C$110:$C$309,"冷凍"))</f>
        <v/>
      </c>
      <c r="L42" s="133"/>
    </row>
    <row r="43" customFormat="false" ht="15" hidden="false" customHeight="false" outlineLevel="0" collapsed="false">
      <c r="B43" s="132"/>
      <c r="C43" s="133"/>
      <c r="D43" s="133"/>
      <c r="E43" s="137"/>
      <c r="F43" s="134"/>
      <c r="G43" s="133"/>
      <c r="H43" s="133"/>
      <c r="I43" s="69" t="str">
        <f aca="false">IF($B43="","",SUMIFS(定数マスタ!$G$110:$G$309,定数マスタ!$B$110:$B$309,$B43,定数マスタ!$C$110:$C$309,"常温"))</f>
        <v/>
      </c>
      <c r="J43" s="69" t="str">
        <f aca="false">IF($B43="","",SUMIFS(定数マスタ!$G$110:$G$309,定数マスタ!$B$110:$B$309,$B43,定数マスタ!$C$110:$C$309,"冷蔵"))</f>
        <v/>
      </c>
      <c r="K43" s="69" t="str">
        <f aca="false">IF($B43="","",SUMIFS(定数マスタ!$G$110:$G$309,定数マスタ!$B$110:$B$309,$B43,定数マスタ!$C$110:$C$309,"冷凍"))</f>
        <v/>
      </c>
      <c r="L43" s="133"/>
    </row>
    <row r="44" customFormat="false" ht="15" hidden="false" customHeight="false" outlineLevel="0" collapsed="false">
      <c r="B44" s="132"/>
      <c r="C44" s="133"/>
      <c r="D44" s="133"/>
      <c r="E44" s="137"/>
      <c r="F44" s="134"/>
      <c r="G44" s="133"/>
      <c r="H44" s="133"/>
      <c r="I44" s="69" t="str">
        <f aca="false">IF($B44="","",SUMIFS(定数マスタ!$G$110:$G$309,定数マスタ!$B$110:$B$309,$B44,定数マスタ!$C$110:$C$309,"常温"))</f>
        <v/>
      </c>
      <c r="J44" s="69" t="str">
        <f aca="false">IF($B44="","",SUMIFS(定数マスタ!$G$110:$G$309,定数マスタ!$B$110:$B$309,$B44,定数マスタ!$C$110:$C$309,"冷蔵"))</f>
        <v/>
      </c>
      <c r="K44" s="69" t="str">
        <f aca="false">IF($B44="","",SUMIFS(定数マスタ!$G$110:$G$309,定数マスタ!$B$110:$B$309,$B44,定数マスタ!$C$110:$C$309,"冷凍"))</f>
        <v/>
      </c>
      <c r="L44" s="133"/>
    </row>
    <row r="45" customFormat="false" ht="15" hidden="false" customHeight="false" outlineLevel="0" collapsed="false">
      <c r="B45" s="132"/>
      <c r="C45" s="133"/>
      <c r="D45" s="133"/>
      <c r="E45" s="137"/>
      <c r="F45" s="134"/>
      <c r="G45" s="133"/>
      <c r="H45" s="133"/>
      <c r="I45" s="69" t="str">
        <f aca="false">IF($B45="","",SUMIFS(定数マスタ!$G$110:$G$309,定数マスタ!$B$110:$B$309,$B45,定数マスタ!$C$110:$C$309,"常温"))</f>
        <v/>
      </c>
      <c r="J45" s="69" t="str">
        <f aca="false">IF($B45="","",SUMIFS(定数マスタ!$G$110:$G$309,定数マスタ!$B$110:$B$309,$B45,定数マスタ!$C$110:$C$309,"冷蔵"))</f>
        <v/>
      </c>
      <c r="K45" s="69" t="str">
        <f aca="false">IF($B45="","",SUMIFS(定数マスタ!$G$110:$G$309,定数マスタ!$B$110:$B$309,$B45,定数マスタ!$C$110:$C$309,"冷凍"))</f>
        <v/>
      </c>
      <c r="L45" s="133"/>
    </row>
    <row r="46" customFormat="false" ht="15" hidden="false" customHeight="false" outlineLevel="0" collapsed="false">
      <c r="B46" s="132"/>
      <c r="C46" s="133"/>
      <c r="D46" s="133"/>
      <c r="E46" s="137"/>
      <c r="F46" s="134"/>
      <c r="G46" s="133"/>
      <c r="H46" s="133"/>
      <c r="I46" s="69" t="str">
        <f aca="false">IF($B46="","",SUMIFS(定数マスタ!$G$110:$G$309,定数マスタ!$B$110:$B$309,$B46,定数マスタ!$C$110:$C$309,"常温"))</f>
        <v/>
      </c>
      <c r="J46" s="69" t="str">
        <f aca="false">IF($B46="","",SUMIFS(定数マスタ!$G$110:$G$309,定数マスタ!$B$110:$B$309,$B46,定数マスタ!$C$110:$C$309,"冷蔵"))</f>
        <v/>
      </c>
      <c r="K46" s="69" t="str">
        <f aca="false">IF($B46="","",SUMIFS(定数マスタ!$G$110:$G$309,定数マスタ!$B$110:$B$309,$B46,定数マスタ!$C$110:$C$309,"冷凍"))</f>
        <v/>
      </c>
      <c r="L46" s="133"/>
    </row>
    <row r="47" customFormat="false" ht="15" hidden="false" customHeight="false" outlineLevel="0" collapsed="false">
      <c r="B47" s="132"/>
      <c r="C47" s="133"/>
      <c r="D47" s="133"/>
      <c r="E47" s="137"/>
      <c r="F47" s="134"/>
      <c r="G47" s="133"/>
      <c r="H47" s="133"/>
      <c r="I47" s="69" t="str">
        <f aca="false">IF($B47="","",SUMIFS(定数マスタ!$G$110:$G$309,定数マスタ!$B$110:$B$309,$B47,定数マスタ!$C$110:$C$309,"常温"))</f>
        <v/>
      </c>
      <c r="J47" s="69" t="str">
        <f aca="false">IF($B47="","",SUMIFS(定数マスタ!$G$110:$G$309,定数マスタ!$B$110:$B$309,$B47,定数マスタ!$C$110:$C$309,"冷蔵"))</f>
        <v/>
      </c>
      <c r="K47" s="69" t="str">
        <f aca="false">IF($B47="","",SUMIFS(定数マスタ!$G$110:$G$309,定数マスタ!$B$110:$B$309,$B47,定数マスタ!$C$110:$C$309,"冷凍"))</f>
        <v/>
      </c>
      <c r="L47" s="133"/>
    </row>
    <row r="48" customFormat="false" ht="15" hidden="false" customHeight="false" outlineLevel="0" collapsed="false">
      <c r="B48" s="132"/>
      <c r="C48" s="133"/>
      <c r="D48" s="133"/>
      <c r="E48" s="137"/>
      <c r="F48" s="134"/>
      <c r="G48" s="133"/>
      <c r="H48" s="133"/>
      <c r="I48" s="69" t="str">
        <f aca="false">IF($B48="","",SUMIFS(定数マスタ!$G$110:$G$309,定数マスタ!$B$110:$B$309,$B48,定数マスタ!$C$110:$C$309,"常温"))</f>
        <v/>
      </c>
      <c r="J48" s="69" t="str">
        <f aca="false">IF($B48="","",SUMIFS(定数マスタ!$G$110:$G$309,定数マスタ!$B$110:$B$309,$B48,定数マスタ!$C$110:$C$309,"冷蔵"))</f>
        <v/>
      </c>
      <c r="K48" s="69" t="str">
        <f aca="false">IF($B48="","",SUMIFS(定数マスタ!$G$110:$G$309,定数マスタ!$B$110:$B$309,$B48,定数マスタ!$C$110:$C$309,"冷凍"))</f>
        <v/>
      </c>
      <c r="L48" s="133"/>
    </row>
    <row r="49" customFormat="false" ht="15" hidden="false" customHeight="false" outlineLevel="0" collapsed="false">
      <c r="B49" s="132"/>
      <c r="C49" s="133"/>
      <c r="D49" s="133"/>
      <c r="E49" s="137"/>
      <c r="F49" s="134"/>
      <c r="G49" s="133"/>
      <c r="H49" s="133"/>
      <c r="I49" s="69" t="str">
        <f aca="false">IF($B49="","",SUMIFS(定数マスタ!$G$110:$G$309,定数マスタ!$B$110:$B$309,$B49,定数マスタ!$C$110:$C$309,"常温"))</f>
        <v/>
      </c>
      <c r="J49" s="69" t="str">
        <f aca="false">IF($B49="","",SUMIFS(定数マスタ!$G$110:$G$309,定数マスタ!$B$110:$B$309,$B49,定数マスタ!$C$110:$C$309,"冷蔵"))</f>
        <v/>
      </c>
      <c r="K49" s="69" t="str">
        <f aca="false">IF($B49="","",SUMIFS(定数マスタ!$G$110:$G$309,定数マスタ!$B$110:$B$309,$B49,定数マスタ!$C$110:$C$309,"冷凍"))</f>
        <v/>
      </c>
      <c r="L49" s="133"/>
    </row>
    <row r="50" customFormat="false" ht="15" hidden="false" customHeight="false" outlineLevel="0" collapsed="false">
      <c r="B50" s="132"/>
      <c r="C50" s="133"/>
      <c r="D50" s="133"/>
      <c r="E50" s="137"/>
      <c r="F50" s="134"/>
      <c r="G50" s="133"/>
      <c r="H50" s="133"/>
      <c r="I50" s="69" t="str">
        <f aca="false">IF($B50="","",SUMIFS(定数マスタ!$G$110:$G$309,定数マスタ!$B$110:$B$309,$B50,定数マスタ!$C$110:$C$309,"常温"))</f>
        <v/>
      </c>
      <c r="J50" s="69" t="str">
        <f aca="false">IF($B50="","",SUMIFS(定数マスタ!$G$110:$G$309,定数マスタ!$B$110:$B$309,$B50,定数マスタ!$C$110:$C$309,"冷蔵"))</f>
        <v/>
      </c>
      <c r="K50" s="69" t="str">
        <f aca="false">IF($B50="","",SUMIFS(定数マスタ!$G$110:$G$309,定数マスタ!$B$110:$B$309,$B50,定数マスタ!$C$110:$C$309,"冷凍"))</f>
        <v/>
      </c>
      <c r="L50" s="133"/>
    </row>
    <row r="51" customFormat="false" ht="15" hidden="false" customHeight="false" outlineLevel="0" collapsed="false">
      <c r="B51" s="132"/>
      <c r="C51" s="133"/>
      <c r="D51" s="133"/>
      <c r="E51" s="137"/>
      <c r="F51" s="134"/>
      <c r="G51" s="133"/>
      <c r="H51" s="133"/>
      <c r="I51" s="69" t="str">
        <f aca="false">IF($B51="","",SUMIFS(定数マスタ!$G$110:$G$309,定数マスタ!$B$110:$B$309,$B51,定数マスタ!$C$110:$C$309,"常温"))</f>
        <v/>
      </c>
      <c r="J51" s="69" t="str">
        <f aca="false">IF($B51="","",SUMIFS(定数マスタ!$G$110:$G$309,定数マスタ!$B$110:$B$309,$B51,定数マスタ!$C$110:$C$309,"冷蔵"))</f>
        <v/>
      </c>
      <c r="K51" s="69" t="str">
        <f aca="false">IF($B51="","",SUMIFS(定数マスタ!$G$110:$G$309,定数マスタ!$B$110:$B$309,$B51,定数マスタ!$C$110:$C$309,"冷凍"))</f>
        <v/>
      </c>
      <c r="L51" s="133"/>
    </row>
    <row r="52" customFormat="false" ht="15" hidden="false" customHeight="false" outlineLevel="0" collapsed="false">
      <c r="B52" s="132"/>
      <c r="C52" s="133"/>
      <c r="D52" s="133"/>
      <c r="E52" s="137"/>
      <c r="F52" s="134"/>
      <c r="G52" s="133"/>
      <c r="H52" s="133"/>
      <c r="I52" s="69" t="str">
        <f aca="false">IF($B52="","",SUMIFS(定数マスタ!$G$110:$G$309,定数マスタ!$B$110:$B$309,$B52,定数マスタ!$C$110:$C$309,"常温"))</f>
        <v/>
      </c>
      <c r="J52" s="69" t="str">
        <f aca="false">IF($B52="","",SUMIFS(定数マスタ!$G$110:$G$309,定数マスタ!$B$110:$B$309,$B52,定数マスタ!$C$110:$C$309,"冷蔵"))</f>
        <v/>
      </c>
      <c r="K52" s="69" t="str">
        <f aca="false">IF($B52="","",SUMIFS(定数マスタ!$G$110:$G$309,定数マスタ!$B$110:$B$309,$B52,定数マスタ!$C$110:$C$309,"冷凍"))</f>
        <v/>
      </c>
      <c r="L52" s="133"/>
    </row>
    <row r="53" customFormat="false" ht="15" hidden="false" customHeight="false" outlineLevel="0" collapsed="false">
      <c r="B53" s="132"/>
      <c r="C53" s="133"/>
      <c r="D53" s="133"/>
      <c r="E53" s="137"/>
      <c r="F53" s="134"/>
      <c r="G53" s="133"/>
      <c r="H53" s="133"/>
      <c r="I53" s="69" t="str">
        <f aca="false">IF($B53="","",SUMIFS(定数マスタ!$G$110:$G$309,定数マスタ!$B$110:$B$309,$B53,定数マスタ!$C$110:$C$309,"常温"))</f>
        <v/>
      </c>
      <c r="J53" s="69" t="str">
        <f aca="false">IF($B53="","",SUMIFS(定数マスタ!$G$110:$G$309,定数マスタ!$B$110:$B$309,$B53,定数マスタ!$C$110:$C$309,"冷蔵"))</f>
        <v/>
      </c>
      <c r="K53" s="69" t="str">
        <f aca="false">IF($B53="","",SUMIFS(定数マスタ!$G$110:$G$309,定数マスタ!$B$110:$B$309,$B53,定数マスタ!$C$110:$C$309,"冷凍"))</f>
        <v/>
      </c>
      <c r="L53" s="133"/>
    </row>
    <row r="54" customFormat="false" ht="15" hidden="false" customHeight="false" outlineLevel="0" collapsed="false">
      <c r="B54" s="132"/>
      <c r="C54" s="133"/>
      <c r="D54" s="133"/>
      <c r="E54" s="137"/>
      <c r="F54" s="134"/>
      <c r="G54" s="133"/>
      <c r="H54" s="133"/>
      <c r="I54" s="69" t="str">
        <f aca="false">IF($B54="","",SUMIFS(定数マスタ!$G$110:$G$309,定数マスタ!$B$110:$B$309,$B54,定数マスタ!$C$110:$C$309,"常温"))</f>
        <v/>
      </c>
      <c r="J54" s="69" t="str">
        <f aca="false">IF($B54="","",SUMIFS(定数マスタ!$G$110:$G$309,定数マスタ!$B$110:$B$309,$B54,定数マスタ!$C$110:$C$309,"冷蔵"))</f>
        <v/>
      </c>
      <c r="K54" s="69" t="str">
        <f aca="false">IF($B54="","",SUMIFS(定数マスタ!$G$110:$G$309,定数マスタ!$B$110:$B$309,$B54,定数マスタ!$C$110:$C$309,"冷凍"))</f>
        <v/>
      </c>
      <c r="L54" s="133"/>
    </row>
    <row r="55" customFormat="false" ht="15" hidden="false" customHeight="false" outlineLevel="0" collapsed="false">
      <c r="B55" s="132"/>
      <c r="C55" s="133"/>
      <c r="D55" s="133"/>
      <c r="E55" s="137"/>
      <c r="F55" s="134"/>
      <c r="G55" s="133"/>
      <c r="H55" s="133"/>
      <c r="I55" s="69" t="str">
        <f aca="false">IF($B55="","",SUMIFS(定数マスタ!$G$110:$G$309,定数マスタ!$B$110:$B$309,$B55,定数マスタ!$C$110:$C$309,"常温"))</f>
        <v/>
      </c>
      <c r="J55" s="69" t="str">
        <f aca="false">IF($B55="","",SUMIFS(定数マスタ!$G$110:$G$309,定数マスタ!$B$110:$B$309,$B55,定数マスタ!$C$110:$C$309,"冷蔵"))</f>
        <v/>
      </c>
      <c r="K55" s="69" t="str">
        <f aca="false">IF($B55="","",SUMIFS(定数マスタ!$G$110:$G$309,定数マスタ!$B$110:$B$309,$B55,定数マスタ!$C$110:$C$309,"冷凍"))</f>
        <v/>
      </c>
      <c r="L55" s="133"/>
    </row>
    <row r="56" customFormat="false" ht="15" hidden="false" customHeight="false" outlineLevel="0" collapsed="false">
      <c r="B56" s="132"/>
      <c r="C56" s="133"/>
      <c r="D56" s="133"/>
      <c r="E56" s="137"/>
      <c r="F56" s="134"/>
      <c r="G56" s="133"/>
      <c r="H56" s="133"/>
      <c r="I56" s="69" t="str">
        <f aca="false">IF($B56="","",SUMIFS(定数マスタ!$G$110:$G$309,定数マスタ!$B$110:$B$309,$B56,定数マスタ!$C$110:$C$309,"常温"))</f>
        <v/>
      </c>
      <c r="J56" s="69" t="str">
        <f aca="false">IF($B56="","",SUMIFS(定数マスタ!$G$110:$G$309,定数マスタ!$B$110:$B$309,$B56,定数マスタ!$C$110:$C$309,"冷蔵"))</f>
        <v/>
      </c>
      <c r="K56" s="69" t="str">
        <f aca="false">IF($B56="","",SUMIFS(定数マスタ!$G$110:$G$309,定数マスタ!$B$110:$B$309,$B56,定数マスタ!$C$110:$C$309,"冷凍"))</f>
        <v/>
      </c>
      <c r="L56" s="133"/>
    </row>
    <row r="57" customFormat="false" ht="15" hidden="false" customHeight="false" outlineLevel="0" collapsed="false">
      <c r="B57" s="132"/>
      <c r="C57" s="133"/>
      <c r="D57" s="133"/>
      <c r="E57" s="137"/>
      <c r="F57" s="134"/>
      <c r="G57" s="133"/>
      <c r="H57" s="133"/>
      <c r="I57" s="69" t="str">
        <f aca="false">IF($B57="","",SUMIFS(定数マスタ!$G$110:$G$309,定数マスタ!$B$110:$B$309,$B57,定数マスタ!$C$110:$C$309,"常温"))</f>
        <v/>
      </c>
      <c r="J57" s="69" t="str">
        <f aca="false">IF($B57="","",SUMIFS(定数マスタ!$G$110:$G$309,定数マスタ!$B$110:$B$309,$B57,定数マスタ!$C$110:$C$309,"冷蔵"))</f>
        <v/>
      </c>
      <c r="K57" s="69" t="str">
        <f aca="false">IF($B57="","",SUMIFS(定数マスタ!$G$110:$G$309,定数マスタ!$B$110:$B$309,$B57,定数マスタ!$C$110:$C$309,"冷凍"))</f>
        <v/>
      </c>
      <c r="L57" s="133"/>
    </row>
    <row r="58" customFormat="false" ht="15" hidden="false" customHeight="false" outlineLevel="0" collapsed="false">
      <c r="B58" s="132"/>
      <c r="C58" s="133"/>
      <c r="D58" s="133"/>
      <c r="E58" s="137"/>
      <c r="F58" s="134"/>
      <c r="G58" s="133"/>
      <c r="H58" s="133"/>
      <c r="I58" s="69" t="str">
        <f aca="false">IF($B58="","",SUMIFS(定数マスタ!$G$110:$G$309,定数マスタ!$B$110:$B$309,$B58,定数マスタ!$C$110:$C$309,"常温"))</f>
        <v/>
      </c>
      <c r="J58" s="69" t="str">
        <f aca="false">IF($B58="","",SUMIFS(定数マスタ!$G$110:$G$309,定数マスタ!$B$110:$B$309,$B58,定数マスタ!$C$110:$C$309,"冷蔵"))</f>
        <v/>
      </c>
      <c r="K58" s="69" t="str">
        <f aca="false">IF($B58="","",SUMIFS(定数マスタ!$G$110:$G$309,定数マスタ!$B$110:$B$309,$B58,定数マスタ!$C$110:$C$309,"冷凍"))</f>
        <v/>
      </c>
      <c r="L58" s="133"/>
    </row>
    <row r="59" customFormat="false" ht="15" hidden="false" customHeight="false" outlineLevel="0" collapsed="false">
      <c r="B59" s="132"/>
      <c r="C59" s="133"/>
      <c r="D59" s="133"/>
      <c r="E59" s="137"/>
      <c r="F59" s="134"/>
      <c r="G59" s="133"/>
      <c r="H59" s="133"/>
      <c r="I59" s="69" t="str">
        <f aca="false">IF($B59="","",SUMIFS(定数マスタ!$G$110:$G$309,定数マスタ!$B$110:$B$309,$B59,定数マスタ!$C$110:$C$309,"常温"))</f>
        <v/>
      </c>
      <c r="J59" s="69" t="str">
        <f aca="false">IF($B59="","",SUMIFS(定数マスタ!$G$110:$G$309,定数マスタ!$B$110:$B$309,$B59,定数マスタ!$C$110:$C$309,"冷蔵"))</f>
        <v/>
      </c>
      <c r="K59" s="69" t="str">
        <f aca="false">IF($B59="","",SUMIFS(定数マスタ!$G$110:$G$309,定数マスタ!$B$110:$B$309,$B59,定数マスタ!$C$110:$C$309,"冷凍"))</f>
        <v/>
      </c>
      <c r="L59" s="133"/>
    </row>
    <row r="60" customFormat="false" ht="15" hidden="false" customHeight="false" outlineLevel="0" collapsed="false">
      <c r="B60" s="132"/>
      <c r="C60" s="133"/>
      <c r="D60" s="133"/>
      <c r="E60" s="137"/>
      <c r="F60" s="134"/>
      <c r="G60" s="133"/>
      <c r="H60" s="133"/>
      <c r="I60" s="69" t="str">
        <f aca="false">IF($B60="","",SUMIFS(定数マスタ!$G$110:$G$309,定数マスタ!$B$110:$B$309,$B60,定数マスタ!$C$110:$C$309,"常温"))</f>
        <v/>
      </c>
      <c r="J60" s="69" t="str">
        <f aca="false">IF($B60="","",SUMIFS(定数マスタ!$G$110:$G$309,定数マスタ!$B$110:$B$309,$B60,定数マスタ!$C$110:$C$309,"冷蔵"))</f>
        <v/>
      </c>
      <c r="K60" s="69" t="str">
        <f aca="false">IF($B60="","",SUMIFS(定数マスタ!$G$110:$G$309,定数マスタ!$B$110:$B$309,$B60,定数マスタ!$C$110:$C$309,"冷凍"))</f>
        <v/>
      </c>
      <c r="L60" s="133"/>
    </row>
    <row r="61" customFormat="false" ht="15" hidden="false" customHeight="false" outlineLevel="0" collapsed="false">
      <c r="B61" s="132"/>
      <c r="C61" s="133"/>
      <c r="D61" s="133"/>
      <c r="E61" s="137"/>
      <c r="F61" s="134"/>
      <c r="G61" s="133"/>
      <c r="H61" s="133"/>
      <c r="I61" s="69" t="str">
        <f aca="false">IF($B61="","",SUMIFS(定数マスタ!$G$110:$G$309,定数マスタ!$B$110:$B$309,$B61,定数マスタ!$C$110:$C$309,"常温"))</f>
        <v/>
      </c>
      <c r="J61" s="69" t="str">
        <f aca="false">IF($B61="","",SUMIFS(定数マスタ!$G$110:$G$309,定数マスタ!$B$110:$B$309,$B61,定数マスタ!$C$110:$C$309,"冷蔵"))</f>
        <v/>
      </c>
      <c r="K61" s="69" t="str">
        <f aca="false">IF($B61="","",SUMIFS(定数マスタ!$G$110:$G$309,定数マスタ!$B$110:$B$309,$B61,定数マスタ!$C$110:$C$309,"冷凍"))</f>
        <v/>
      </c>
      <c r="L61" s="133"/>
    </row>
    <row r="62" customFormat="false" ht="15" hidden="false" customHeight="false" outlineLevel="0" collapsed="false">
      <c r="B62" s="132"/>
      <c r="C62" s="133"/>
      <c r="D62" s="133"/>
      <c r="E62" s="137"/>
      <c r="F62" s="134"/>
      <c r="G62" s="133"/>
      <c r="H62" s="133"/>
      <c r="I62" s="69" t="str">
        <f aca="false">IF($B62="","",SUMIFS(定数マスタ!$G$110:$G$309,定数マスタ!$B$110:$B$309,$B62,定数マスタ!$C$110:$C$309,"常温"))</f>
        <v/>
      </c>
      <c r="J62" s="69" t="str">
        <f aca="false">IF($B62="","",SUMIFS(定数マスタ!$G$110:$G$309,定数マスタ!$B$110:$B$309,$B62,定数マスタ!$C$110:$C$309,"冷蔵"))</f>
        <v/>
      </c>
      <c r="K62" s="69" t="str">
        <f aca="false">IF($B62="","",SUMIFS(定数マスタ!$G$110:$G$309,定数マスタ!$B$110:$B$309,$B62,定数マスタ!$C$110:$C$309,"冷凍"))</f>
        <v/>
      </c>
      <c r="L62" s="133"/>
    </row>
    <row r="63" customFormat="false" ht="15" hidden="false" customHeight="false" outlineLevel="0" collapsed="false">
      <c r="B63" s="132"/>
      <c r="C63" s="133"/>
      <c r="D63" s="133"/>
      <c r="E63" s="137"/>
      <c r="F63" s="134"/>
      <c r="G63" s="133"/>
      <c r="H63" s="133"/>
      <c r="I63" s="69" t="str">
        <f aca="false">IF($B63="","",SUMIFS(定数マスタ!$G$110:$G$309,定数マスタ!$B$110:$B$309,$B63,定数マスタ!$C$110:$C$309,"常温"))</f>
        <v/>
      </c>
      <c r="J63" s="69" t="str">
        <f aca="false">IF($B63="","",SUMIFS(定数マスタ!$G$110:$G$309,定数マスタ!$B$110:$B$309,$B63,定数マスタ!$C$110:$C$309,"冷蔵"))</f>
        <v/>
      </c>
      <c r="K63" s="69" t="str">
        <f aca="false">IF($B63="","",SUMIFS(定数マスタ!$G$110:$G$309,定数マスタ!$B$110:$B$309,$B63,定数マスタ!$C$110:$C$309,"冷凍"))</f>
        <v/>
      </c>
      <c r="L63" s="133"/>
    </row>
    <row r="64" customFormat="false" ht="15" hidden="false" customHeight="false" outlineLevel="0" collapsed="false">
      <c r="B64" s="132"/>
      <c r="C64" s="133"/>
      <c r="D64" s="133"/>
      <c r="E64" s="137"/>
      <c r="F64" s="134"/>
      <c r="G64" s="133"/>
      <c r="H64" s="133"/>
      <c r="I64" s="69" t="str">
        <f aca="false">IF($B64="","",SUMIFS(定数マスタ!$G$110:$G$309,定数マスタ!$B$110:$B$309,$B64,定数マスタ!$C$110:$C$309,"常温"))</f>
        <v/>
      </c>
      <c r="J64" s="69" t="str">
        <f aca="false">IF($B64="","",SUMIFS(定数マスタ!$G$110:$G$309,定数マスタ!$B$110:$B$309,$B64,定数マスタ!$C$110:$C$309,"冷蔵"))</f>
        <v/>
      </c>
      <c r="K64" s="69" t="str">
        <f aca="false">IF($B64="","",SUMIFS(定数マスタ!$G$110:$G$309,定数マスタ!$B$110:$B$309,$B64,定数マスタ!$C$110:$C$309,"冷凍"))</f>
        <v/>
      </c>
      <c r="L64" s="133"/>
    </row>
    <row r="65" customFormat="false" ht="15" hidden="false" customHeight="false" outlineLevel="0" collapsed="false">
      <c r="B65" s="132"/>
      <c r="C65" s="133"/>
      <c r="D65" s="133"/>
      <c r="E65" s="137"/>
      <c r="F65" s="134"/>
      <c r="G65" s="133"/>
      <c r="H65" s="133"/>
      <c r="I65" s="69" t="str">
        <f aca="false">IF($B65="","",SUMIFS(定数マスタ!$G$110:$G$309,定数マスタ!$B$110:$B$309,$B65,定数マスタ!$C$110:$C$309,"常温"))</f>
        <v/>
      </c>
      <c r="J65" s="69" t="str">
        <f aca="false">IF($B65="","",SUMIFS(定数マスタ!$G$110:$G$309,定数マスタ!$B$110:$B$309,$B65,定数マスタ!$C$110:$C$309,"冷蔵"))</f>
        <v/>
      </c>
      <c r="K65" s="69" t="str">
        <f aca="false">IF($B65="","",SUMIFS(定数マスタ!$G$110:$G$309,定数マスタ!$B$110:$B$309,$B65,定数マスタ!$C$110:$C$309,"冷凍"))</f>
        <v/>
      </c>
      <c r="L65" s="133"/>
    </row>
    <row r="66" customFormat="false" ht="15" hidden="false" customHeight="false" outlineLevel="0" collapsed="false">
      <c r="B66" s="132"/>
      <c r="C66" s="133"/>
      <c r="D66" s="133"/>
      <c r="E66" s="137"/>
      <c r="F66" s="134"/>
      <c r="G66" s="133"/>
      <c r="H66" s="133"/>
      <c r="I66" s="69" t="str">
        <f aca="false">IF($B66="","",SUMIFS(定数マスタ!$G$110:$G$309,定数マスタ!$B$110:$B$309,$B66,定数マスタ!$C$110:$C$309,"常温"))</f>
        <v/>
      </c>
      <c r="J66" s="69" t="str">
        <f aca="false">IF($B66="","",SUMIFS(定数マスタ!$G$110:$G$309,定数マスタ!$B$110:$B$309,$B66,定数マスタ!$C$110:$C$309,"冷蔵"))</f>
        <v/>
      </c>
      <c r="K66" s="69" t="str">
        <f aca="false">IF($B66="","",SUMIFS(定数マスタ!$G$110:$G$309,定数マスタ!$B$110:$B$309,$B66,定数マスタ!$C$110:$C$309,"冷凍"))</f>
        <v/>
      </c>
      <c r="L66" s="133"/>
    </row>
    <row r="67" customFormat="false" ht="15" hidden="false" customHeight="false" outlineLevel="0" collapsed="false">
      <c r="B67" s="132"/>
      <c r="C67" s="133"/>
      <c r="D67" s="133"/>
      <c r="E67" s="137"/>
      <c r="F67" s="134"/>
      <c r="G67" s="133"/>
      <c r="H67" s="133"/>
      <c r="I67" s="69" t="str">
        <f aca="false">IF($B67="","",SUMIFS(定数マスタ!$G$110:$G$309,定数マスタ!$B$110:$B$309,$B67,定数マスタ!$C$110:$C$309,"常温"))</f>
        <v/>
      </c>
      <c r="J67" s="69" t="str">
        <f aca="false">IF($B67="","",SUMIFS(定数マスタ!$G$110:$G$309,定数マスタ!$B$110:$B$309,$B67,定数マスタ!$C$110:$C$309,"冷蔵"))</f>
        <v/>
      </c>
      <c r="K67" s="69" t="str">
        <f aca="false">IF($B67="","",SUMIFS(定数マスタ!$G$110:$G$309,定数マスタ!$B$110:$B$309,$B67,定数マスタ!$C$110:$C$309,"冷凍"))</f>
        <v/>
      </c>
      <c r="L67" s="133"/>
    </row>
    <row r="68" customFormat="false" ht="15" hidden="false" customHeight="false" outlineLevel="0" collapsed="false">
      <c r="B68" s="132"/>
      <c r="C68" s="133"/>
      <c r="D68" s="133"/>
      <c r="E68" s="137"/>
      <c r="F68" s="134"/>
      <c r="G68" s="133"/>
      <c r="H68" s="133"/>
      <c r="I68" s="69" t="str">
        <f aca="false">IF($B68="","",SUMIFS(定数マスタ!$G$110:$G$309,定数マスタ!$B$110:$B$309,$B68,定数マスタ!$C$110:$C$309,"常温"))</f>
        <v/>
      </c>
      <c r="J68" s="69" t="str">
        <f aca="false">IF($B68="","",SUMIFS(定数マスタ!$G$110:$G$309,定数マスタ!$B$110:$B$309,$B68,定数マスタ!$C$110:$C$309,"冷蔵"))</f>
        <v/>
      </c>
      <c r="K68" s="69" t="str">
        <f aca="false">IF($B68="","",SUMIFS(定数マスタ!$G$110:$G$309,定数マスタ!$B$110:$B$309,$B68,定数マスタ!$C$110:$C$309,"冷凍"))</f>
        <v/>
      </c>
      <c r="L68" s="133"/>
    </row>
    <row r="69" customFormat="false" ht="15" hidden="false" customHeight="false" outlineLevel="0" collapsed="false">
      <c r="B69" s="132"/>
      <c r="C69" s="133"/>
      <c r="D69" s="133"/>
      <c r="E69" s="137"/>
      <c r="F69" s="134"/>
      <c r="G69" s="133"/>
      <c r="H69" s="133"/>
      <c r="I69" s="69" t="str">
        <f aca="false">IF($B69="","",SUMIFS(定数マスタ!$G$110:$G$309,定数マスタ!$B$110:$B$309,$B69,定数マスタ!$C$110:$C$309,"常温"))</f>
        <v/>
      </c>
      <c r="J69" s="69" t="str">
        <f aca="false">IF($B69="","",SUMIFS(定数マスタ!$G$110:$G$309,定数マスタ!$B$110:$B$309,$B69,定数マスタ!$C$110:$C$309,"冷蔵"))</f>
        <v/>
      </c>
      <c r="K69" s="69" t="str">
        <f aca="false">IF($B69="","",SUMIFS(定数マスタ!$G$110:$G$309,定数マスタ!$B$110:$B$309,$B69,定数マスタ!$C$110:$C$309,"冷凍"))</f>
        <v/>
      </c>
      <c r="L69" s="133"/>
    </row>
    <row r="70" customFormat="false" ht="15" hidden="false" customHeight="false" outlineLevel="0" collapsed="false">
      <c r="B70" s="132"/>
      <c r="C70" s="133"/>
      <c r="D70" s="133"/>
      <c r="E70" s="137"/>
      <c r="F70" s="134"/>
      <c r="G70" s="133"/>
      <c r="H70" s="133"/>
      <c r="I70" s="69" t="str">
        <f aca="false">IF($B70="","",SUMIFS(定数マスタ!$G$110:$G$309,定数マスタ!$B$110:$B$309,$B70,定数マスタ!$C$110:$C$309,"常温"))</f>
        <v/>
      </c>
      <c r="J70" s="69" t="str">
        <f aca="false">IF($B70="","",SUMIFS(定数マスタ!$G$110:$G$309,定数マスタ!$B$110:$B$309,$B70,定数マスタ!$C$110:$C$309,"冷蔵"))</f>
        <v/>
      </c>
      <c r="K70" s="69" t="str">
        <f aca="false">IF($B70="","",SUMIFS(定数マスタ!$G$110:$G$309,定数マスタ!$B$110:$B$309,$B70,定数マスタ!$C$110:$C$309,"冷凍"))</f>
        <v/>
      </c>
      <c r="L70" s="133"/>
    </row>
    <row r="71" customFormat="false" ht="15" hidden="false" customHeight="false" outlineLevel="0" collapsed="false">
      <c r="B71" s="132"/>
      <c r="C71" s="133"/>
      <c r="D71" s="133"/>
      <c r="E71" s="137"/>
      <c r="F71" s="134"/>
      <c r="G71" s="133"/>
      <c r="H71" s="133"/>
      <c r="I71" s="69" t="str">
        <f aca="false">IF($B71="","",SUMIFS(定数マスタ!$G$110:$G$309,定数マスタ!$B$110:$B$309,$B71,定数マスタ!$C$110:$C$309,"常温"))</f>
        <v/>
      </c>
      <c r="J71" s="69" t="str">
        <f aca="false">IF($B71="","",SUMIFS(定数マスタ!$G$110:$G$309,定数マスタ!$B$110:$B$309,$B71,定数マスタ!$C$110:$C$309,"冷蔵"))</f>
        <v/>
      </c>
      <c r="K71" s="69" t="str">
        <f aca="false">IF($B71="","",SUMIFS(定数マスタ!$G$110:$G$309,定数マスタ!$B$110:$B$309,$B71,定数マスタ!$C$110:$C$309,"冷凍"))</f>
        <v/>
      </c>
      <c r="L71" s="133"/>
    </row>
    <row r="72" customFormat="false" ht="15" hidden="false" customHeight="false" outlineLevel="0" collapsed="false">
      <c r="B72" s="132"/>
      <c r="C72" s="133"/>
      <c r="D72" s="133"/>
      <c r="E72" s="137"/>
      <c r="F72" s="134"/>
      <c r="G72" s="133"/>
      <c r="H72" s="133"/>
      <c r="I72" s="69" t="str">
        <f aca="false">IF($B72="","",SUMIFS(定数マスタ!$G$110:$G$309,定数マスタ!$B$110:$B$309,$B72,定数マスタ!$C$110:$C$309,"常温"))</f>
        <v/>
      </c>
      <c r="J72" s="69" t="str">
        <f aca="false">IF($B72="","",SUMIFS(定数マスタ!$G$110:$G$309,定数マスタ!$B$110:$B$309,$B72,定数マスタ!$C$110:$C$309,"冷蔵"))</f>
        <v/>
      </c>
      <c r="K72" s="69" t="str">
        <f aca="false">IF($B72="","",SUMIFS(定数マスタ!$G$110:$G$309,定数マスタ!$B$110:$B$309,$B72,定数マスタ!$C$110:$C$309,"冷凍"))</f>
        <v/>
      </c>
      <c r="L72" s="133"/>
    </row>
    <row r="73" customFormat="false" ht="15" hidden="false" customHeight="false" outlineLevel="0" collapsed="false">
      <c r="B73" s="132"/>
      <c r="C73" s="133"/>
      <c r="D73" s="133"/>
      <c r="E73" s="137"/>
      <c r="F73" s="134"/>
      <c r="G73" s="133"/>
      <c r="H73" s="133"/>
      <c r="I73" s="69" t="str">
        <f aca="false">IF($B73="","",SUMIFS(定数マスタ!$G$110:$G$309,定数マスタ!$B$110:$B$309,$B73,定数マスタ!$C$110:$C$309,"常温"))</f>
        <v/>
      </c>
      <c r="J73" s="69" t="str">
        <f aca="false">IF($B73="","",SUMIFS(定数マスタ!$G$110:$G$309,定数マスタ!$B$110:$B$309,$B73,定数マスタ!$C$110:$C$309,"冷蔵"))</f>
        <v/>
      </c>
      <c r="K73" s="69" t="str">
        <f aca="false">IF($B73="","",SUMIFS(定数マスタ!$G$110:$G$309,定数マスタ!$B$110:$B$309,$B73,定数マスタ!$C$110:$C$309,"冷凍"))</f>
        <v/>
      </c>
      <c r="L73" s="133"/>
    </row>
    <row r="74" customFormat="false" ht="15" hidden="false" customHeight="false" outlineLevel="0" collapsed="false">
      <c r="B74" s="132"/>
      <c r="C74" s="133"/>
      <c r="D74" s="133"/>
      <c r="E74" s="137"/>
      <c r="F74" s="134"/>
      <c r="G74" s="133"/>
      <c r="H74" s="133"/>
      <c r="I74" s="69" t="str">
        <f aca="false">IF($B74="","",SUMIFS(定数マスタ!$G$110:$G$309,定数マスタ!$B$110:$B$309,$B74,定数マスタ!$C$110:$C$309,"常温"))</f>
        <v/>
      </c>
      <c r="J74" s="69" t="str">
        <f aca="false">IF($B74="","",SUMIFS(定数マスタ!$G$110:$G$309,定数マスタ!$B$110:$B$309,$B74,定数マスタ!$C$110:$C$309,"冷蔵"))</f>
        <v/>
      </c>
      <c r="K74" s="69" t="str">
        <f aca="false">IF($B74="","",SUMIFS(定数マスタ!$G$110:$G$309,定数マスタ!$B$110:$B$309,$B74,定数マスタ!$C$110:$C$309,"冷凍"))</f>
        <v/>
      </c>
      <c r="L74" s="133"/>
    </row>
    <row r="75" customFormat="false" ht="15" hidden="false" customHeight="false" outlineLevel="0" collapsed="false">
      <c r="B75" s="132"/>
      <c r="C75" s="133"/>
      <c r="D75" s="133"/>
      <c r="E75" s="137"/>
      <c r="F75" s="134"/>
      <c r="G75" s="133"/>
      <c r="H75" s="133"/>
      <c r="I75" s="69" t="str">
        <f aca="false">IF($B75="","",SUMIFS(定数マスタ!$G$110:$G$309,定数マスタ!$B$110:$B$309,$B75,定数マスタ!$C$110:$C$309,"常温"))</f>
        <v/>
      </c>
      <c r="J75" s="69" t="str">
        <f aca="false">IF($B75="","",SUMIFS(定数マスタ!$G$110:$G$309,定数マスタ!$B$110:$B$309,$B75,定数マスタ!$C$110:$C$309,"冷蔵"))</f>
        <v/>
      </c>
      <c r="K75" s="69" t="str">
        <f aca="false">IF($B75="","",SUMIFS(定数マスタ!$G$110:$G$309,定数マスタ!$B$110:$B$309,$B75,定数マスタ!$C$110:$C$309,"冷凍"))</f>
        <v/>
      </c>
      <c r="L75" s="133"/>
    </row>
    <row r="76" customFormat="false" ht="15" hidden="false" customHeight="false" outlineLevel="0" collapsed="false">
      <c r="B76" s="132"/>
      <c r="C76" s="133"/>
      <c r="D76" s="133"/>
      <c r="E76" s="137"/>
      <c r="F76" s="134"/>
      <c r="G76" s="133"/>
      <c r="H76" s="133"/>
      <c r="I76" s="69" t="str">
        <f aca="false">IF($B76="","",SUMIFS(定数マスタ!$G$110:$G$309,定数マスタ!$B$110:$B$309,$B76,定数マスタ!$C$110:$C$309,"常温"))</f>
        <v/>
      </c>
      <c r="J76" s="69" t="str">
        <f aca="false">IF($B76="","",SUMIFS(定数マスタ!$G$110:$G$309,定数マスタ!$B$110:$B$309,$B76,定数マスタ!$C$110:$C$309,"冷蔵"))</f>
        <v/>
      </c>
      <c r="K76" s="69" t="str">
        <f aca="false">IF($B76="","",SUMIFS(定数マスタ!$G$110:$G$309,定数マスタ!$B$110:$B$309,$B76,定数マスタ!$C$110:$C$309,"冷凍"))</f>
        <v/>
      </c>
      <c r="L76" s="133"/>
    </row>
    <row r="77" customFormat="false" ht="15" hidden="false" customHeight="false" outlineLevel="0" collapsed="false">
      <c r="B77" s="132"/>
      <c r="C77" s="133"/>
      <c r="D77" s="133"/>
      <c r="E77" s="137"/>
      <c r="F77" s="134"/>
      <c r="G77" s="133"/>
      <c r="H77" s="133"/>
      <c r="I77" s="69" t="str">
        <f aca="false">IF($B77="","",SUMIFS(定数マスタ!$G$110:$G$309,定数マスタ!$B$110:$B$309,$B77,定数マスタ!$C$110:$C$309,"常温"))</f>
        <v/>
      </c>
      <c r="J77" s="69" t="str">
        <f aca="false">IF($B77="","",SUMIFS(定数マスタ!$G$110:$G$309,定数マスタ!$B$110:$B$309,$B77,定数マスタ!$C$110:$C$309,"冷蔵"))</f>
        <v/>
      </c>
      <c r="K77" s="69" t="str">
        <f aca="false">IF($B77="","",SUMIFS(定数マスタ!$G$110:$G$309,定数マスタ!$B$110:$B$309,$B77,定数マスタ!$C$110:$C$309,"冷凍"))</f>
        <v/>
      </c>
      <c r="L77" s="133"/>
    </row>
    <row r="78" customFormat="false" ht="15" hidden="false" customHeight="false" outlineLevel="0" collapsed="false">
      <c r="B78" s="132"/>
      <c r="C78" s="133"/>
      <c r="D78" s="133"/>
      <c r="E78" s="137"/>
      <c r="F78" s="134"/>
      <c r="G78" s="133"/>
      <c r="H78" s="133"/>
      <c r="I78" s="69" t="str">
        <f aca="false">IF($B78="","",SUMIFS(定数マスタ!$G$110:$G$309,定数マスタ!$B$110:$B$309,$B78,定数マスタ!$C$110:$C$309,"常温"))</f>
        <v/>
      </c>
      <c r="J78" s="69" t="str">
        <f aca="false">IF($B78="","",SUMIFS(定数マスタ!$G$110:$G$309,定数マスタ!$B$110:$B$309,$B78,定数マスタ!$C$110:$C$309,"冷蔵"))</f>
        <v/>
      </c>
      <c r="K78" s="69" t="str">
        <f aca="false">IF($B78="","",SUMIFS(定数マスタ!$G$110:$G$309,定数マスタ!$B$110:$B$309,$B78,定数マスタ!$C$110:$C$309,"冷凍"))</f>
        <v/>
      </c>
      <c r="L78" s="133"/>
    </row>
    <row r="79" customFormat="false" ht="15" hidden="false" customHeight="false" outlineLevel="0" collapsed="false">
      <c r="B79" s="132"/>
      <c r="C79" s="133"/>
      <c r="D79" s="133"/>
      <c r="E79" s="137"/>
      <c r="F79" s="134"/>
      <c r="G79" s="133"/>
      <c r="H79" s="133"/>
      <c r="I79" s="69" t="str">
        <f aca="false">IF($B79="","",SUMIFS(定数マスタ!$G$110:$G$309,定数マスタ!$B$110:$B$309,$B79,定数マスタ!$C$110:$C$309,"常温"))</f>
        <v/>
      </c>
      <c r="J79" s="69" t="str">
        <f aca="false">IF($B79="","",SUMIFS(定数マスタ!$G$110:$G$309,定数マスタ!$B$110:$B$309,$B79,定数マスタ!$C$110:$C$309,"冷蔵"))</f>
        <v/>
      </c>
      <c r="K79" s="69" t="str">
        <f aca="false">IF($B79="","",SUMIFS(定数マスタ!$G$110:$G$309,定数マスタ!$B$110:$B$309,$B79,定数マスタ!$C$110:$C$309,"冷凍"))</f>
        <v/>
      </c>
      <c r="L79" s="133"/>
    </row>
    <row r="80" customFormat="false" ht="15" hidden="false" customHeight="false" outlineLevel="0" collapsed="false">
      <c r="B80" s="132"/>
      <c r="C80" s="133"/>
      <c r="D80" s="133"/>
      <c r="E80" s="137"/>
      <c r="F80" s="134"/>
      <c r="G80" s="133"/>
      <c r="H80" s="133"/>
      <c r="I80" s="69" t="str">
        <f aca="false">IF($B80="","",SUMIFS(定数マスタ!$G$110:$G$309,定数マスタ!$B$110:$B$309,$B80,定数マスタ!$C$110:$C$309,"常温"))</f>
        <v/>
      </c>
      <c r="J80" s="69" t="str">
        <f aca="false">IF($B80="","",SUMIFS(定数マスタ!$G$110:$G$309,定数マスタ!$B$110:$B$309,$B80,定数マスタ!$C$110:$C$309,"冷蔵"))</f>
        <v/>
      </c>
      <c r="K80" s="69" t="str">
        <f aca="false">IF($B80="","",SUMIFS(定数マスタ!$G$110:$G$309,定数マスタ!$B$110:$B$309,$B80,定数マスタ!$C$110:$C$309,"冷凍"))</f>
        <v/>
      </c>
      <c r="L80" s="133"/>
    </row>
    <row r="81" customFormat="false" ht="15" hidden="false" customHeight="false" outlineLevel="0" collapsed="false">
      <c r="B81" s="132"/>
      <c r="C81" s="133"/>
      <c r="D81" s="133"/>
      <c r="E81" s="137"/>
      <c r="F81" s="134"/>
      <c r="G81" s="133"/>
      <c r="H81" s="133"/>
      <c r="I81" s="69" t="str">
        <f aca="false">IF($B81="","",SUMIFS(定数マスタ!$G$110:$G$309,定数マスタ!$B$110:$B$309,$B81,定数マスタ!$C$110:$C$309,"常温"))</f>
        <v/>
      </c>
      <c r="J81" s="69" t="str">
        <f aca="false">IF($B81="","",SUMIFS(定数マスタ!$G$110:$G$309,定数マスタ!$B$110:$B$309,$B81,定数マスタ!$C$110:$C$309,"冷蔵"))</f>
        <v/>
      </c>
      <c r="K81" s="69" t="str">
        <f aca="false">IF($B81="","",SUMIFS(定数マスタ!$G$110:$G$309,定数マスタ!$B$110:$B$309,$B81,定数マスタ!$C$110:$C$309,"冷凍"))</f>
        <v/>
      </c>
      <c r="L81" s="133"/>
    </row>
    <row r="82" customFormat="false" ht="15" hidden="false" customHeight="false" outlineLevel="0" collapsed="false">
      <c r="B82" s="132"/>
      <c r="C82" s="133"/>
      <c r="D82" s="133"/>
      <c r="E82" s="137"/>
      <c r="F82" s="134"/>
      <c r="G82" s="133"/>
      <c r="H82" s="133"/>
      <c r="I82" s="69" t="str">
        <f aca="false">IF($B82="","",SUMIFS(定数マスタ!$G$110:$G$309,定数マスタ!$B$110:$B$309,$B82,定数マスタ!$C$110:$C$309,"常温"))</f>
        <v/>
      </c>
      <c r="J82" s="69" t="str">
        <f aca="false">IF($B82="","",SUMIFS(定数マスタ!$G$110:$G$309,定数マスタ!$B$110:$B$309,$B82,定数マスタ!$C$110:$C$309,"冷蔵"))</f>
        <v/>
      </c>
      <c r="K82" s="69" t="str">
        <f aca="false">IF($B82="","",SUMIFS(定数マスタ!$G$110:$G$309,定数マスタ!$B$110:$B$309,$B82,定数マスタ!$C$110:$C$309,"冷凍"))</f>
        <v/>
      </c>
      <c r="L82" s="133"/>
    </row>
    <row r="83" customFormat="false" ht="15" hidden="false" customHeight="false" outlineLevel="0" collapsed="false">
      <c r="B83" s="132"/>
      <c r="C83" s="133"/>
      <c r="D83" s="133"/>
      <c r="E83" s="137"/>
      <c r="F83" s="134"/>
      <c r="G83" s="133"/>
      <c r="H83" s="133"/>
      <c r="I83" s="69" t="str">
        <f aca="false">IF($B83="","",SUMIFS(定数マスタ!$G$110:$G$309,定数マスタ!$B$110:$B$309,$B83,定数マスタ!$C$110:$C$309,"常温"))</f>
        <v/>
      </c>
      <c r="J83" s="69" t="str">
        <f aca="false">IF($B83="","",SUMIFS(定数マスタ!$G$110:$G$309,定数マスタ!$B$110:$B$309,$B83,定数マスタ!$C$110:$C$309,"冷蔵"))</f>
        <v/>
      </c>
      <c r="K83" s="69" t="str">
        <f aca="false">IF($B83="","",SUMIFS(定数マスタ!$G$110:$G$309,定数マスタ!$B$110:$B$309,$B83,定数マスタ!$C$110:$C$309,"冷凍"))</f>
        <v/>
      </c>
      <c r="L83" s="133"/>
    </row>
    <row r="84" customFormat="false" ht="15" hidden="false" customHeight="false" outlineLevel="0" collapsed="false">
      <c r="B84" s="132"/>
      <c r="C84" s="133"/>
      <c r="D84" s="133"/>
      <c r="E84" s="137"/>
      <c r="F84" s="134"/>
      <c r="G84" s="133"/>
      <c r="H84" s="133"/>
      <c r="I84" s="69" t="str">
        <f aca="false">IF($B84="","",SUMIFS(定数マスタ!$G$110:$G$309,定数マスタ!$B$110:$B$309,$B84,定数マスタ!$C$110:$C$309,"常温"))</f>
        <v/>
      </c>
      <c r="J84" s="69" t="str">
        <f aca="false">IF($B84="","",SUMIFS(定数マスタ!$G$110:$G$309,定数マスタ!$B$110:$B$309,$B84,定数マスタ!$C$110:$C$309,"冷蔵"))</f>
        <v/>
      </c>
      <c r="K84" s="69" t="str">
        <f aca="false">IF($B84="","",SUMIFS(定数マスタ!$G$110:$G$309,定数マスタ!$B$110:$B$309,$B84,定数マスタ!$C$110:$C$309,"冷凍"))</f>
        <v/>
      </c>
      <c r="L84" s="133"/>
    </row>
    <row r="85" customFormat="false" ht="15" hidden="false" customHeight="false" outlineLevel="0" collapsed="false">
      <c r="B85" s="132"/>
      <c r="C85" s="133"/>
      <c r="D85" s="133"/>
      <c r="E85" s="137"/>
      <c r="F85" s="134"/>
      <c r="G85" s="133"/>
      <c r="H85" s="133"/>
      <c r="I85" s="69" t="str">
        <f aca="false">IF($B85="","",SUMIFS(定数マスタ!$G$110:$G$309,定数マスタ!$B$110:$B$309,$B85,定数マスタ!$C$110:$C$309,"常温"))</f>
        <v/>
      </c>
      <c r="J85" s="69" t="str">
        <f aca="false">IF($B85="","",SUMIFS(定数マスタ!$G$110:$G$309,定数マスタ!$B$110:$B$309,$B85,定数マスタ!$C$110:$C$309,"冷蔵"))</f>
        <v/>
      </c>
      <c r="K85" s="69" t="str">
        <f aca="false">IF($B85="","",SUMIFS(定数マスタ!$G$110:$G$309,定数マスタ!$B$110:$B$309,$B85,定数マスタ!$C$110:$C$309,"冷凍"))</f>
        <v/>
      </c>
      <c r="L85" s="133"/>
    </row>
    <row r="86" customFormat="false" ht="15" hidden="false" customHeight="false" outlineLevel="0" collapsed="false">
      <c r="B86" s="132"/>
      <c r="C86" s="133"/>
      <c r="D86" s="133"/>
      <c r="E86" s="137"/>
      <c r="F86" s="134"/>
      <c r="G86" s="133"/>
      <c r="H86" s="133"/>
      <c r="I86" s="69" t="str">
        <f aca="false">IF($B86="","",SUMIFS(定数マスタ!$G$110:$G$309,定数マスタ!$B$110:$B$309,$B86,定数マスタ!$C$110:$C$309,"常温"))</f>
        <v/>
      </c>
      <c r="J86" s="69" t="str">
        <f aca="false">IF($B86="","",SUMIFS(定数マスタ!$G$110:$G$309,定数マスタ!$B$110:$B$309,$B86,定数マスタ!$C$110:$C$309,"冷蔵"))</f>
        <v/>
      </c>
      <c r="K86" s="69" t="str">
        <f aca="false">IF($B86="","",SUMIFS(定数マスタ!$G$110:$G$309,定数マスタ!$B$110:$B$309,$B86,定数マスタ!$C$110:$C$309,"冷凍"))</f>
        <v/>
      </c>
      <c r="L86" s="133"/>
    </row>
    <row r="87" customFormat="false" ht="15" hidden="false" customHeight="false" outlineLevel="0" collapsed="false">
      <c r="B87" s="132"/>
      <c r="C87" s="133"/>
      <c r="D87" s="133"/>
      <c r="E87" s="137"/>
      <c r="F87" s="134"/>
      <c r="G87" s="133"/>
      <c r="H87" s="133"/>
      <c r="I87" s="69" t="str">
        <f aca="false">IF($B87="","",SUMIFS(定数マスタ!$G$110:$G$309,定数マスタ!$B$110:$B$309,$B87,定数マスタ!$C$110:$C$309,"常温"))</f>
        <v/>
      </c>
      <c r="J87" s="69" t="str">
        <f aca="false">IF($B87="","",SUMIFS(定数マスタ!$G$110:$G$309,定数マスタ!$B$110:$B$309,$B87,定数マスタ!$C$110:$C$309,"冷蔵"))</f>
        <v/>
      </c>
      <c r="K87" s="69" t="str">
        <f aca="false">IF($B87="","",SUMIFS(定数マスタ!$G$110:$G$309,定数マスタ!$B$110:$B$309,$B87,定数マスタ!$C$110:$C$309,"冷凍"))</f>
        <v/>
      </c>
      <c r="L87" s="133"/>
    </row>
    <row r="88" customFormat="false" ht="15" hidden="false" customHeight="false" outlineLevel="0" collapsed="false">
      <c r="B88" s="132"/>
      <c r="C88" s="133"/>
      <c r="D88" s="133"/>
      <c r="E88" s="137"/>
      <c r="F88" s="134"/>
      <c r="G88" s="133"/>
      <c r="H88" s="133"/>
      <c r="I88" s="69" t="str">
        <f aca="false">IF($B88="","",SUMIFS(定数マスタ!$G$110:$G$309,定数マスタ!$B$110:$B$309,$B88,定数マスタ!$C$110:$C$309,"常温"))</f>
        <v/>
      </c>
      <c r="J88" s="69" t="str">
        <f aca="false">IF($B88="","",SUMIFS(定数マスタ!$G$110:$G$309,定数マスタ!$B$110:$B$309,$B88,定数マスタ!$C$110:$C$309,"冷蔵"))</f>
        <v/>
      </c>
      <c r="K88" s="69" t="str">
        <f aca="false">IF($B88="","",SUMIFS(定数マスタ!$G$110:$G$309,定数マスタ!$B$110:$B$309,$B88,定数マスタ!$C$110:$C$309,"冷凍"))</f>
        <v/>
      </c>
      <c r="L88" s="133"/>
    </row>
    <row r="89" customFormat="false" ht="15" hidden="false" customHeight="false" outlineLevel="0" collapsed="false">
      <c r="B89" s="132"/>
      <c r="C89" s="133"/>
      <c r="D89" s="133"/>
      <c r="E89" s="137"/>
      <c r="F89" s="134"/>
      <c r="G89" s="133"/>
      <c r="H89" s="133"/>
      <c r="I89" s="69" t="str">
        <f aca="false">IF($B89="","",SUMIFS(定数マスタ!$G$110:$G$309,定数マスタ!$B$110:$B$309,$B89,定数マスタ!$C$110:$C$309,"常温"))</f>
        <v/>
      </c>
      <c r="J89" s="69" t="str">
        <f aca="false">IF($B89="","",SUMIFS(定数マスタ!$G$110:$G$309,定数マスタ!$B$110:$B$309,$B89,定数マスタ!$C$110:$C$309,"冷蔵"))</f>
        <v/>
      </c>
      <c r="K89" s="69" t="str">
        <f aca="false">IF($B89="","",SUMIFS(定数マスタ!$G$110:$G$309,定数マスタ!$B$110:$B$309,$B89,定数マスタ!$C$110:$C$309,"冷凍"))</f>
        <v/>
      </c>
      <c r="L89" s="133"/>
    </row>
    <row r="90" customFormat="false" ht="15" hidden="false" customHeight="false" outlineLevel="0" collapsed="false">
      <c r="B90" s="132"/>
      <c r="C90" s="133"/>
      <c r="D90" s="133"/>
      <c r="E90" s="137"/>
      <c r="F90" s="134"/>
      <c r="G90" s="133"/>
      <c r="H90" s="133"/>
      <c r="I90" s="69" t="str">
        <f aca="false">IF($B90="","",SUMIFS(定数マスタ!$G$110:$G$309,定数マスタ!$B$110:$B$309,$B90,定数マスタ!$C$110:$C$309,"常温"))</f>
        <v/>
      </c>
      <c r="J90" s="69" t="str">
        <f aca="false">IF($B90="","",SUMIFS(定数マスタ!$G$110:$G$309,定数マスタ!$B$110:$B$309,$B90,定数マスタ!$C$110:$C$309,"冷蔵"))</f>
        <v/>
      </c>
      <c r="K90" s="69" t="str">
        <f aca="false">IF($B90="","",SUMIFS(定数マスタ!$G$110:$G$309,定数マスタ!$B$110:$B$309,$B90,定数マスタ!$C$110:$C$309,"冷凍"))</f>
        <v/>
      </c>
      <c r="L90" s="133"/>
    </row>
    <row r="91" customFormat="false" ht="15" hidden="false" customHeight="false" outlineLevel="0" collapsed="false">
      <c r="B91" s="132"/>
      <c r="C91" s="133"/>
      <c r="D91" s="133"/>
      <c r="E91" s="137"/>
      <c r="F91" s="134"/>
      <c r="G91" s="133"/>
      <c r="H91" s="133"/>
      <c r="I91" s="69" t="str">
        <f aca="false">IF($B91="","",SUMIFS(定数マスタ!$G$110:$G$309,定数マスタ!$B$110:$B$309,$B91,定数マスタ!$C$110:$C$309,"常温"))</f>
        <v/>
      </c>
      <c r="J91" s="69" t="str">
        <f aca="false">IF($B91="","",SUMIFS(定数マスタ!$G$110:$G$309,定数マスタ!$B$110:$B$309,$B91,定数マスタ!$C$110:$C$309,"冷蔵"))</f>
        <v/>
      </c>
      <c r="K91" s="69" t="str">
        <f aca="false">IF($B91="","",SUMIFS(定数マスタ!$G$110:$G$309,定数マスタ!$B$110:$B$309,$B91,定数マスタ!$C$110:$C$309,"冷凍"))</f>
        <v/>
      </c>
      <c r="L91" s="133"/>
    </row>
    <row r="92" customFormat="false" ht="15" hidden="false" customHeight="false" outlineLevel="0" collapsed="false">
      <c r="B92" s="132"/>
      <c r="C92" s="133"/>
      <c r="D92" s="133"/>
      <c r="E92" s="137"/>
      <c r="F92" s="134"/>
      <c r="G92" s="133"/>
      <c r="H92" s="133"/>
      <c r="I92" s="69" t="str">
        <f aca="false">IF($B92="","",SUMIFS(定数マスタ!$G$110:$G$309,定数マスタ!$B$110:$B$309,$B92,定数マスタ!$C$110:$C$309,"常温"))</f>
        <v/>
      </c>
      <c r="J92" s="69" t="str">
        <f aca="false">IF($B92="","",SUMIFS(定数マスタ!$G$110:$G$309,定数マスタ!$B$110:$B$309,$B92,定数マスタ!$C$110:$C$309,"冷蔵"))</f>
        <v/>
      </c>
      <c r="K92" s="69" t="str">
        <f aca="false">IF($B92="","",SUMIFS(定数マスタ!$G$110:$G$309,定数マスタ!$B$110:$B$309,$B92,定数マスタ!$C$110:$C$309,"冷凍"))</f>
        <v/>
      </c>
      <c r="L92" s="133"/>
    </row>
    <row r="93" customFormat="false" ht="15" hidden="false" customHeight="false" outlineLevel="0" collapsed="false">
      <c r="B93" s="132"/>
      <c r="C93" s="133"/>
      <c r="D93" s="133"/>
      <c r="E93" s="137"/>
      <c r="F93" s="134"/>
      <c r="G93" s="133"/>
      <c r="H93" s="133"/>
      <c r="I93" s="69" t="str">
        <f aca="false">IF($B93="","",SUMIFS(定数マスタ!$G$110:$G$309,定数マスタ!$B$110:$B$309,$B93,定数マスタ!$C$110:$C$309,"常温"))</f>
        <v/>
      </c>
      <c r="J93" s="69" t="str">
        <f aca="false">IF($B93="","",SUMIFS(定数マスタ!$G$110:$G$309,定数マスタ!$B$110:$B$309,$B93,定数マスタ!$C$110:$C$309,"冷蔵"))</f>
        <v/>
      </c>
      <c r="K93" s="69" t="str">
        <f aca="false">IF($B93="","",SUMIFS(定数マスタ!$G$110:$G$309,定数マスタ!$B$110:$B$309,$B93,定数マスタ!$C$110:$C$309,"冷凍"))</f>
        <v/>
      </c>
      <c r="L93" s="133"/>
    </row>
    <row r="94" customFormat="false" ht="15" hidden="false" customHeight="false" outlineLevel="0" collapsed="false">
      <c r="B94" s="132"/>
      <c r="C94" s="133"/>
      <c r="D94" s="133"/>
      <c r="E94" s="137"/>
      <c r="F94" s="134"/>
      <c r="G94" s="133"/>
      <c r="H94" s="133"/>
      <c r="I94" s="69" t="str">
        <f aca="false">IF($B94="","",SUMIFS(定数マスタ!$G$110:$G$309,定数マスタ!$B$110:$B$309,$B94,定数マスタ!$C$110:$C$309,"常温"))</f>
        <v/>
      </c>
      <c r="J94" s="69" t="str">
        <f aca="false">IF($B94="","",SUMIFS(定数マスタ!$G$110:$G$309,定数マスタ!$B$110:$B$309,$B94,定数マスタ!$C$110:$C$309,"冷蔵"))</f>
        <v/>
      </c>
      <c r="K94" s="69" t="str">
        <f aca="false">IF($B94="","",SUMIFS(定数マスタ!$G$110:$G$309,定数マスタ!$B$110:$B$309,$B94,定数マスタ!$C$110:$C$309,"冷凍"))</f>
        <v/>
      </c>
      <c r="L94" s="133"/>
    </row>
    <row r="95" customFormat="false" ht="15" hidden="false" customHeight="false" outlineLevel="0" collapsed="false">
      <c r="B95" s="132"/>
      <c r="C95" s="133"/>
      <c r="D95" s="133"/>
      <c r="E95" s="137"/>
      <c r="F95" s="134"/>
      <c r="G95" s="133"/>
      <c r="H95" s="133"/>
      <c r="I95" s="69" t="str">
        <f aca="false">IF($B95="","",SUMIFS(定数マスタ!$G$110:$G$309,定数マスタ!$B$110:$B$309,$B95,定数マスタ!$C$110:$C$309,"常温"))</f>
        <v/>
      </c>
      <c r="J95" s="69" t="str">
        <f aca="false">IF($B95="","",SUMIFS(定数マスタ!$G$110:$G$309,定数マスタ!$B$110:$B$309,$B95,定数マスタ!$C$110:$C$309,"冷蔵"))</f>
        <v/>
      </c>
      <c r="K95" s="69" t="str">
        <f aca="false">IF($B95="","",SUMIFS(定数マスタ!$G$110:$G$309,定数マスタ!$B$110:$B$309,$B95,定数マスタ!$C$110:$C$309,"冷凍"))</f>
        <v/>
      </c>
      <c r="L95" s="133"/>
    </row>
    <row r="96" customFormat="false" ht="15" hidden="false" customHeight="false" outlineLevel="0" collapsed="false">
      <c r="B96" s="132"/>
      <c r="C96" s="133"/>
      <c r="D96" s="133"/>
      <c r="E96" s="137"/>
      <c r="F96" s="134"/>
      <c r="G96" s="133"/>
      <c r="H96" s="133"/>
      <c r="I96" s="69" t="str">
        <f aca="false">IF($B96="","",SUMIFS(定数マスタ!$G$110:$G$309,定数マスタ!$B$110:$B$309,$B96,定数マスタ!$C$110:$C$309,"常温"))</f>
        <v/>
      </c>
      <c r="J96" s="69" t="str">
        <f aca="false">IF($B96="","",SUMIFS(定数マスタ!$G$110:$G$309,定数マスタ!$B$110:$B$309,$B96,定数マスタ!$C$110:$C$309,"冷蔵"))</f>
        <v/>
      </c>
      <c r="K96" s="69" t="str">
        <f aca="false">IF($B96="","",SUMIFS(定数マスタ!$G$110:$G$309,定数マスタ!$B$110:$B$309,$B96,定数マスタ!$C$110:$C$309,"冷凍"))</f>
        <v/>
      </c>
      <c r="L96" s="133"/>
    </row>
    <row r="97" customFormat="false" ht="15" hidden="false" customHeight="false" outlineLevel="0" collapsed="false">
      <c r="B97" s="132"/>
      <c r="C97" s="133"/>
      <c r="D97" s="133"/>
      <c r="E97" s="137"/>
      <c r="F97" s="134"/>
      <c r="G97" s="133"/>
      <c r="H97" s="133"/>
      <c r="I97" s="69" t="str">
        <f aca="false">IF($B97="","",SUMIFS(定数マスタ!$G$110:$G$309,定数マスタ!$B$110:$B$309,$B97,定数マスタ!$C$110:$C$309,"常温"))</f>
        <v/>
      </c>
      <c r="J97" s="69" t="str">
        <f aca="false">IF($B97="","",SUMIFS(定数マスタ!$G$110:$G$309,定数マスタ!$B$110:$B$309,$B97,定数マスタ!$C$110:$C$309,"冷蔵"))</f>
        <v/>
      </c>
      <c r="K97" s="69" t="str">
        <f aca="false">IF($B97="","",SUMIFS(定数マスタ!$G$110:$G$309,定数マスタ!$B$110:$B$309,$B97,定数マスタ!$C$110:$C$309,"冷凍"))</f>
        <v/>
      </c>
      <c r="L97" s="133"/>
    </row>
    <row r="98" customFormat="false" ht="15" hidden="false" customHeight="false" outlineLevel="0" collapsed="false">
      <c r="B98" s="132"/>
      <c r="C98" s="133"/>
      <c r="D98" s="133"/>
      <c r="E98" s="137"/>
      <c r="F98" s="134"/>
      <c r="G98" s="133"/>
      <c r="H98" s="133"/>
      <c r="I98" s="69" t="str">
        <f aca="false">IF($B98="","",SUMIFS(定数マスタ!$G$110:$G$309,定数マスタ!$B$110:$B$309,$B98,定数マスタ!$C$110:$C$309,"常温"))</f>
        <v/>
      </c>
      <c r="J98" s="69" t="str">
        <f aca="false">IF($B98="","",SUMIFS(定数マスタ!$G$110:$G$309,定数マスタ!$B$110:$B$309,$B98,定数マスタ!$C$110:$C$309,"冷蔵"))</f>
        <v/>
      </c>
      <c r="K98" s="69" t="str">
        <f aca="false">IF($B98="","",SUMIFS(定数マスタ!$G$110:$G$309,定数マスタ!$B$110:$B$309,$B98,定数マスタ!$C$110:$C$309,"冷凍"))</f>
        <v/>
      </c>
      <c r="L98" s="133"/>
    </row>
    <row r="99" customFormat="false" ht="15" hidden="false" customHeight="false" outlineLevel="0" collapsed="false">
      <c r="B99" s="132"/>
      <c r="C99" s="133"/>
      <c r="D99" s="133"/>
      <c r="E99" s="137"/>
      <c r="F99" s="134"/>
      <c r="G99" s="133"/>
      <c r="H99" s="133"/>
      <c r="I99" s="69" t="str">
        <f aca="false">IF($B99="","",SUMIFS(定数マスタ!$G$110:$G$309,定数マスタ!$B$110:$B$309,$B99,定数マスタ!$C$110:$C$309,"常温"))</f>
        <v/>
      </c>
      <c r="J99" s="69" t="str">
        <f aca="false">IF($B99="","",SUMIFS(定数マスタ!$G$110:$G$309,定数マスタ!$B$110:$B$309,$B99,定数マスタ!$C$110:$C$309,"冷蔵"))</f>
        <v/>
      </c>
      <c r="K99" s="69" t="str">
        <f aca="false">IF($B99="","",SUMIFS(定数マスタ!$G$110:$G$309,定数マスタ!$B$110:$B$309,$B99,定数マスタ!$C$110:$C$309,"冷凍"))</f>
        <v/>
      </c>
      <c r="L99" s="133"/>
    </row>
    <row r="100" customFormat="false" ht="15" hidden="false" customHeight="false" outlineLevel="0" collapsed="false">
      <c r="B100" s="132"/>
      <c r="C100" s="133"/>
      <c r="D100" s="133"/>
      <c r="E100" s="137"/>
      <c r="F100" s="134"/>
      <c r="G100" s="133"/>
      <c r="H100" s="133"/>
      <c r="I100" s="69" t="str">
        <f aca="false">IF($B100="","",SUMIFS(定数マスタ!$G$110:$G$309,定数マスタ!$B$110:$B$309,$B100,定数マスタ!$C$110:$C$309,"常温"))</f>
        <v/>
      </c>
      <c r="J100" s="69" t="str">
        <f aca="false">IF($B100="","",SUMIFS(定数マスタ!$G$110:$G$309,定数マスタ!$B$110:$B$309,$B100,定数マスタ!$C$110:$C$309,"冷蔵"))</f>
        <v/>
      </c>
      <c r="K100" s="69" t="str">
        <f aca="false">IF($B100="","",SUMIFS(定数マスタ!$G$110:$G$309,定数マスタ!$B$110:$B$309,$B100,定数マスタ!$C$110:$C$309,"冷凍"))</f>
        <v/>
      </c>
      <c r="L100" s="133"/>
    </row>
    <row r="101" customFormat="false" ht="15" hidden="false" customHeight="false" outlineLevel="0" collapsed="false">
      <c r="B101" s="132"/>
      <c r="C101" s="133"/>
      <c r="D101" s="133"/>
      <c r="E101" s="137"/>
      <c r="F101" s="134"/>
      <c r="G101" s="133"/>
      <c r="H101" s="133"/>
      <c r="I101" s="69" t="str">
        <f aca="false">IF($B101="","",SUMIFS(定数マスタ!$G$110:$G$309,定数マスタ!$B$110:$B$309,$B101,定数マスタ!$C$110:$C$309,"常温"))</f>
        <v/>
      </c>
      <c r="J101" s="69" t="str">
        <f aca="false">IF($B101="","",SUMIFS(定数マスタ!$G$110:$G$309,定数マスタ!$B$110:$B$309,$B101,定数マスタ!$C$110:$C$309,"冷蔵"))</f>
        <v/>
      </c>
      <c r="K101" s="69" t="str">
        <f aca="false">IF($B101="","",SUMIFS(定数マスタ!$G$110:$G$309,定数マスタ!$B$110:$B$309,$B101,定数マスタ!$C$110:$C$309,"冷凍"))</f>
        <v/>
      </c>
      <c r="L101" s="133"/>
    </row>
    <row r="102" customFormat="false" ht="15" hidden="false" customHeight="false" outlineLevel="0" collapsed="false">
      <c r="B102" s="132"/>
      <c r="C102" s="133"/>
      <c r="D102" s="133"/>
      <c r="E102" s="137"/>
      <c r="F102" s="134"/>
      <c r="G102" s="133"/>
      <c r="H102" s="133"/>
      <c r="I102" s="69" t="str">
        <f aca="false">IF($B102="","",SUMIFS(定数マスタ!$G$110:$G$309,定数マスタ!$B$110:$B$309,$B102,定数マスタ!$C$110:$C$309,"常温"))</f>
        <v/>
      </c>
      <c r="J102" s="69" t="str">
        <f aca="false">IF($B102="","",SUMIFS(定数マスタ!$G$110:$G$309,定数マスタ!$B$110:$B$309,$B102,定数マスタ!$C$110:$C$309,"冷蔵"))</f>
        <v/>
      </c>
      <c r="K102" s="69" t="str">
        <f aca="false">IF($B102="","",SUMIFS(定数マスタ!$G$110:$G$309,定数マスタ!$B$110:$B$309,$B102,定数マスタ!$C$110:$C$309,"冷凍"))</f>
        <v/>
      </c>
      <c r="L102" s="133"/>
    </row>
    <row r="103" customFormat="false" ht="15" hidden="false" customHeight="false" outlineLevel="0" collapsed="false">
      <c r="B103" s="132"/>
      <c r="C103" s="133"/>
      <c r="D103" s="133"/>
      <c r="E103" s="137"/>
      <c r="F103" s="134"/>
      <c r="G103" s="133"/>
      <c r="H103" s="133"/>
      <c r="I103" s="69" t="str">
        <f aca="false">IF($B103="","",SUMIFS(定数マスタ!$G$110:$G$309,定数マスタ!$B$110:$B$309,$B103,定数マスタ!$C$110:$C$309,"常温"))</f>
        <v/>
      </c>
      <c r="J103" s="69" t="str">
        <f aca="false">IF($B103="","",SUMIFS(定数マスタ!$G$110:$G$309,定数マスタ!$B$110:$B$309,$B103,定数マスタ!$C$110:$C$309,"冷蔵"))</f>
        <v/>
      </c>
      <c r="K103" s="69" t="str">
        <f aca="false">IF($B103="","",SUMIFS(定数マスタ!$G$110:$G$309,定数マスタ!$B$110:$B$309,$B103,定数マスタ!$C$110:$C$309,"冷凍"))</f>
        <v/>
      </c>
      <c r="L103" s="133"/>
    </row>
    <row r="104" customFormat="false" ht="15" hidden="false" customHeight="false" outlineLevel="0" collapsed="false">
      <c r="B104" s="132"/>
      <c r="C104" s="133"/>
      <c r="D104" s="133"/>
      <c r="E104" s="137"/>
      <c r="F104" s="134"/>
      <c r="G104" s="133"/>
      <c r="H104" s="133"/>
      <c r="I104" s="69" t="str">
        <f aca="false">IF($B104="","",SUMIFS(定数マスタ!$G$110:$G$309,定数マスタ!$B$110:$B$309,$B104,定数マスタ!$C$110:$C$309,"常温"))</f>
        <v/>
      </c>
      <c r="J104" s="69" t="str">
        <f aca="false">IF($B104="","",SUMIFS(定数マスタ!$G$110:$G$309,定数マスタ!$B$110:$B$309,$B104,定数マスタ!$C$110:$C$309,"冷蔵"))</f>
        <v/>
      </c>
      <c r="K104" s="69" t="str">
        <f aca="false">IF($B104="","",SUMIFS(定数マスタ!$G$110:$G$309,定数マスタ!$B$110:$B$309,$B104,定数マスタ!$C$110:$C$309,"冷凍"))</f>
        <v/>
      </c>
      <c r="L104" s="133"/>
    </row>
    <row r="105" customFormat="false" ht="15" hidden="false" customHeight="false" outlineLevel="0" collapsed="false">
      <c r="B105" s="132"/>
      <c r="C105" s="133"/>
      <c r="D105" s="133"/>
      <c r="E105" s="137"/>
      <c r="F105" s="134"/>
      <c r="G105" s="133"/>
      <c r="H105" s="133"/>
      <c r="I105" s="69" t="str">
        <f aca="false">IF($B105="","",SUMIFS(定数マスタ!$G$110:$G$309,定数マスタ!$B$110:$B$309,$B105,定数マスタ!$C$110:$C$309,"常温"))</f>
        <v/>
      </c>
      <c r="J105" s="69" t="str">
        <f aca="false">IF($B105="","",SUMIFS(定数マスタ!$G$110:$G$309,定数マスタ!$B$110:$B$309,$B105,定数マスタ!$C$110:$C$309,"冷蔵"))</f>
        <v/>
      </c>
      <c r="K105" s="69" t="str">
        <f aca="false">IF($B105="","",SUMIFS(定数マスタ!$G$110:$G$309,定数マスタ!$B$110:$B$309,$B105,定数マスタ!$C$110:$C$309,"冷凍"))</f>
        <v/>
      </c>
      <c r="L105" s="133"/>
    </row>
    <row r="107" customFormat="false" ht="15" hidden="false" customHeight="false" outlineLevel="0" collapsed="false">
      <c r="B107" s="5" t="s">
        <v>683</v>
      </c>
      <c r="J107" s="5" t="s">
        <v>684</v>
      </c>
    </row>
    <row r="108" customFormat="false" ht="15" hidden="false" customHeight="false" outlineLevel="0" collapsed="false">
      <c r="B108" s="63" t="s">
        <v>503</v>
      </c>
      <c r="C108" s="63" t="s">
        <v>616</v>
      </c>
      <c r="D108" s="63" t="s">
        <v>503</v>
      </c>
      <c r="E108" s="63" t="s">
        <v>503</v>
      </c>
      <c r="F108" s="63" t="s">
        <v>503</v>
      </c>
      <c r="G108" s="63" t="s">
        <v>502</v>
      </c>
      <c r="H108" s="63" t="s">
        <v>503</v>
      </c>
      <c r="J108" s="63" t="s">
        <v>503</v>
      </c>
      <c r="K108" s="63" t="s">
        <v>503</v>
      </c>
      <c r="L108" s="63" t="s">
        <v>503</v>
      </c>
      <c r="M108" s="63" t="s">
        <v>503</v>
      </c>
      <c r="N108" s="63" t="s">
        <v>503</v>
      </c>
      <c r="O108" s="63" t="s">
        <v>503</v>
      </c>
      <c r="P108" s="63" t="s">
        <v>503</v>
      </c>
      <c r="Q108" s="63" t="s">
        <v>503</v>
      </c>
      <c r="R108" s="63" t="s">
        <v>502</v>
      </c>
      <c r="S108" s="63" t="s">
        <v>502</v>
      </c>
      <c r="T108" s="63" t="s">
        <v>502</v>
      </c>
      <c r="U108" s="63" t="s">
        <v>503</v>
      </c>
    </row>
    <row r="109" customFormat="false" ht="77.6" hidden="false" customHeight="false" outlineLevel="0" collapsed="false">
      <c r="B109" s="18" t="s">
        <v>152</v>
      </c>
      <c r="C109" s="18" t="s">
        <v>637</v>
      </c>
      <c r="D109" s="18" t="s">
        <v>685</v>
      </c>
      <c r="E109" s="18" t="s">
        <v>686</v>
      </c>
      <c r="F109" s="32" t="s">
        <v>687</v>
      </c>
      <c r="G109" s="18" t="s">
        <v>688</v>
      </c>
      <c r="H109" s="18" t="s">
        <v>627</v>
      </c>
      <c r="J109" s="18" t="s">
        <v>638</v>
      </c>
      <c r="K109" s="18" t="s">
        <v>663</v>
      </c>
      <c r="L109" s="18" t="s">
        <v>689</v>
      </c>
      <c r="M109" s="18" t="s">
        <v>690</v>
      </c>
      <c r="N109" s="18" t="s">
        <v>691</v>
      </c>
      <c r="O109" s="18" t="s">
        <v>692</v>
      </c>
      <c r="P109" s="18" t="s">
        <v>693</v>
      </c>
      <c r="Q109" s="18" t="s">
        <v>694</v>
      </c>
      <c r="R109" s="18" t="s">
        <v>695</v>
      </c>
      <c r="S109" s="18" t="s">
        <v>696</v>
      </c>
      <c r="T109" s="18" t="s">
        <v>697</v>
      </c>
      <c r="U109" s="18" t="s">
        <v>627</v>
      </c>
    </row>
    <row r="110" customFormat="false" ht="15" hidden="false" customHeight="false" outlineLevel="0" collapsed="false">
      <c r="B110" s="132" t="s">
        <v>171</v>
      </c>
      <c r="C110" s="133" t="s">
        <v>499</v>
      </c>
      <c r="D110" s="133" t="s">
        <v>698</v>
      </c>
      <c r="E110" s="134" t="n">
        <v>8</v>
      </c>
      <c r="F110" s="134" t="n">
        <v>300</v>
      </c>
      <c r="G110" s="69" t="n">
        <f aca="false">IF($B110="","",N($E110)*N($F110))</f>
        <v>2400</v>
      </c>
      <c r="H110" s="133"/>
      <c r="J110" s="133" t="s">
        <v>644</v>
      </c>
      <c r="K110" s="142" t="s">
        <v>699</v>
      </c>
      <c r="L110" s="142"/>
      <c r="M110" s="142" t="s">
        <v>699</v>
      </c>
      <c r="N110" s="142"/>
      <c r="O110" s="142" t="s">
        <v>699</v>
      </c>
      <c r="P110" s="142"/>
      <c r="Q110" s="142"/>
      <c r="R110" s="69" t="n">
        <f aca="false">IF($J110="","",COUNTIF($K110:$Q110,"○"))</f>
        <v>3</v>
      </c>
      <c r="S110" s="143" t="n">
        <f aca="false">IF(OR($J110="",N($R110)=0),"",ROUND(7/N($R110),1))</f>
        <v>2.3</v>
      </c>
      <c r="T110" s="144" t="str">
        <f aca="false">IF(OR($J110="",'設定（最初に1回）'!$C$6=""),"",IF(INDEX($K110:$Q110,WEEKDAY('設定（最初に1回）'!$C$6,2))="○","● 今日",""))</f>
        <v>● 今日</v>
      </c>
      <c r="U110" s="133" t="s">
        <v>700</v>
      </c>
    </row>
    <row r="111" customFormat="false" ht="15" hidden="false" customHeight="false" outlineLevel="0" collapsed="false">
      <c r="B111" s="132" t="s">
        <v>171</v>
      </c>
      <c r="C111" s="133" t="s">
        <v>500</v>
      </c>
      <c r="D111" s="133" t="s">
        <v>701</v>
      </c>
      <c r="E111" s="134" t="n">
        <v>4</v>
      </c>
      <c r="F111" s="134" t="n">
        <v>140</v>
      </c>
      <c r="G111" s="69" t="n">
        <f aca="false">IF($B111="","",N($E111)*N($F111))</f>
        <v>560</v>
      </c>
      <c r="H111" s="133"/>
      <c r="J111" s="133" t="s">
        <v>643</v>
      </c>
      <c r="K111" s="142" t="s">
        <v>699</v>
      </c>
      <c r="L111" s="142"/>
      <c r="M111" s="142" t="s">
        <v>699</v>
      </c>
      <c r="N111" s="142"/>
      <c r="O111" s="142" t="s">
        <v>699</v>
      </c>
      <c r="P111" s="142"/>
      <c r="Q111" s="142"/>
      <c r="R111" s="69" t="n">
        <f aca="false">IF($J111="","",COUNTIF($K111:$Q111,"○"))</f>
        <v>3</v>
      </c>
      <c r="S111" s="143" t="n">
        <f aca="false">IF(OR($J111="",N($R111)=0),"",ROUND(7/N($R111),1))</f>
        <v>2.3</v>
      </c>
      <c r="T111" s="144" t="str">
        <f aca="false">IF(OR($J111="",'設定（最初に1回）'!$C$6=""),"",IF(INDEX($K111:$Q111,WEEKDAY('設定（最初に1回）'!$C$6,2))="○","● 今日",""))</f>
        <v>● 今日</v>
      </c>
      <c r="U111" s="133" t="s">
        <v>702</v>
      </c>
    </row>
    <row r="112" customFormat="false" ht="15" hidden="false" customHeight="false" outlineLevel="0" collapsed="false">
      <c r="B112" s="132" t="s">
        <v>171</v>
      </c>
      <c r="C112" s="133" t="s">
        <v>500</v>
      </c>
      <c r="D112" s="133" t="s">
        <v>703</v>
      </c>
      <c r="E112" s="134" t="n">
        <v>2</v>
      </c>
      <c r="F112" s="134" t="n">
        <v>80</v>
      </c>
      <c r="G112" s="69" t="n">
        <f aca="false">IF($B112="","",N($E112)*N($F112))</f>
        <v>160</v>
      </c>
      <c r="H112" s="133"/>
      <c r="J112" s="133" t="s">
        <v>645</v>
      </c>
      <c r="K112" s="142"/>
      <c r="L112" s="142"/>
      <c r="M112" s="142"/>
      <c r="N112" s="142" t="s">
        <v>699</v>
      </c>
      <c r="O112" s="142"/>
      <c r="P112" s="142"/>
      <c r="Q112" s="142"/>
      <c r="R112" s="69" t="n">
        <f aca="false">IF($J112="","",COUNTIF($K112:$Q112,"○"))</f>
        <v>1</v>
      </c>
      <c r="S112" s="143" t="n">
        <f aca="false">IF(OR($J112="",N($R112)=0),"",ROUND(7/N($R112),1))</f>
        <v>7</v>
      </c>
      <c r="T112" s="144" t="str">
        <f aca="false">IF(OR($J112="",'設定（最初に1回）'!$C$6=""),"",IF(INDEX($K112:$Q112,WEEKDAY('設定（最初に1回）'!$C$6,2))="○","● 今日",""))</f>
        <v/>
      </c>
      <c r="U112" s="133" t="s">
        <v>704</v>
      </c>
    </row>
    <row r="113" customFormat="false" ht="15" hidden="false" customHeight="false" outlineLevel="0" collapsed="false">
      <c r="B113" s="132" t="s">
        <v>171</v>
      </c>
      <c r="C113" s="133" t="s">
        <v>501</v>
      </c>
      <c r="D113" s="133" t="s">
        <v>705</v>
      </c>
      <c r="E113" s="134" t="n">
        <v>4</v>
      </c>
      <c r="F113" s="134" t="n">
        <v>80</v>
      </c>
      <c r="G113" s="69" t="n">
        <f aca="false">IF($B113="","",N($E113)*N($F113))</f>
        <v>320</v>
      </c>
      <c r="H113" s="133"/>
      <c r="J113" s="133" t="s">
        <v>642</v>
      </c>
      <c r="K113" s="142"/>
      <c r="L113" s="142"/>
      <c r="M113" s="142"/>
      <c r="N113" s="142" t="s">
        <v>699</v>
      </c>
      <c r="O113" s="142"/>
      <c r="P113" s="142"/>
      <c r="Q113" s="142"/>
      <c r="R113" s="69" t="n">
        <f aca="false">IF($J113="","",COUNTIF($K113:$Q113,"○"))</f>
        <v>1</v>
      </c>
      <c r="S113" s="143" t="n">
        <f aca="false">IF(OR($J113="",N($R113)=0),"",ROUND(7/N($R113),1))</f>
        <v>7</v>
      </c>
      <c r="T113" s="144" t="str">
        <f aca="false">IF(OR($J113="",'設定（最初に1回）'!$C$6=""),"",IF(INDEX($K113:$Q113,WEEKDAY('設定（最初に1回）'!$C$6,2))="○","● 今日",""))</f>
        <v/>
      </c>
      <c r="U113" s="133" t="s">
        <v>706</v>
      </c>
    </row>
    <row r="114" customFormat="false" ht="15" hidden="false" customHeight="false" outlineLevel="0" collapsed="false">
      <c r="B114" s="132" t="s">
        <v>486</v>
      </c>
      <c r="C114" s="133" t="s">
        <v>499</v>
      </c>
      <c r="D114" s="133" t="s">
        <v>698</v>
      </c>
      <c r="E114" s="134" t="n">
        <v>5</v>
      </c>
      <c r="F114" s="134" t="n">
        <v>260</v>
      </c>
      <c r="G114" s="69" t="n">
        <f aca="false">IF($B114="","",N($E114)*N($F114))</f>
        <v>1300</v>
      </c>
      <c r="H114" s="133"/>
      <c r="J114" s="133"/>
      <c r="K114" s="142"/>
      <c r="L114" s="142"/>
      <c r="M114" s="142"/>
      <c r="N114" s="142"/>
      <c r="O114" s="142"/>
      <c r="P114" s="142"/>
      <c r="Q114" s="142"/>
      <c r="R114" s="69" t="str">
        <f aca="false">IF($J114="","",COUNTIF($K114:$Q114,"○"))</f>
        <v/>
      </c>
      <c r="S114" s="143" t="str">
        <f aca="false">IF(OR($J114="",N($R114)=0),"",ROUND(7/N($R114),1))</f>
        <v/>
      </c>
      <c r="T114" s="144" t="str">
        <f aca="false">IF(OR($J114="",'設定（最初に1回）'!$C$6=""),"",IF(INDEX($K114:$Q114,WEEKDAY('設定（最初に1回）'!$C$6,2))="○","● 今日",""))</f>
        <v/>
      </c>
      <c r="U114" s="133"/>
    </row>
    <row r="115" customFormat="false" ht="15" hidden="false" customHeight="false" outlineLevel="0" collapsed="false">
      <c r="B115" s="132" t="s">
        <v>486</v>
      </c>
      <c r="C115" s="133" t="s">
        <v>500</v>
      </c>
      <c r="D115" s="133" t="s">
        <v>701</v>
      </c>
      <c r="E115" s="134" t="n">
        <v>3</v>
      </c>
      <c r="F115" s="134" t="n">
        <v>140</v>
      </c>
      <c r="G115" s="69" t="n">
        <f aca="false">IF($B115="","",N($E115)*N($F115))</f>
        <v>420</v>
      </c>
      <c r="H115" s="133"/>
      <c r="J115" s="133"/>
      <c r="K115" s="142"/>
      <c r="L115" s="142"/>
      <c r="M115" s="142"/>
      <c r="N115" s="142"/>
      <c r="O115" s="142"/>
      <c r="P115" s="142"/>
      <c r="Q115" s="142"/>
      <c r="R115" s="69" t="str">
        <f aca="false">IF($J115="","",COUNTIF($K115:$Q115,"○"))</f>
        <v/>
      </c>
      <c r="S115" s="143" t="str">
        <f aca="false">IF(OR($J115="",N($R115)=0),"",ROUND(7/N($R115),1))</f>
        <v/>
      </c>
      <c r="T115" s="144" t="str">
        <f aca="false">IF(OR($J115="",'設定（最初に1回）'!$C$6=""),"",IF(INDEX($K115:$Q115,WEEKDAY('設定（最初に1回）'!$C$6,2))="○","● 今日",""))</f>
        <v/>
      </c>
      <c r="U115" s="133"/>
    </row>
    <row r="116" customFormat="false" ht="15" hidden="false" customHeight="false" outlineLevel="0" collapsed="false">
      <c r="B116" s="132" t="s">
        <v>486</v>
      </c>
      <c r="C116" s="133" t="s">
        <v>501</v>
      </c>
      <c r="D116" s="133" t="s">
        <v>705</v>
      </c>
      <c r="E116" s="134" t="n">
        <v>2</v>
      </c>
      <c r="F116" s="134" t="n">
        <v>80</v>
      </c>
      <c r="G116" s="69" t="n">
        <f aca="false">IF($B116="","",N($E116)*N($F116))</f>
        <v>160</v>
      </c>
      <c r="H116" s="133"/>
      <c r="J116" s="133"/>
      <c r="K116" s="142"/>
      <c r="L116" s="142"/>
      <c r="M116" s="142"/>
      <c r="N116" s="142"/>
      <c r="O116" s="142"/>
      <c r="P116" s="142"/>
      <c r="Q116" s="142"/>
      <c r="R116" s="69" t="str">
        <f aca="false">IF($J116="","",COUNTIF($K116:$Q116,"○"))</f>
        <v/>
      </c>
      <c r="S116" s="143" t="str">
        <f aca="false">IF(OR($J116="",N($R116)=0),"",ROUND(7/N($R116),1))</f>
        <v/>
      </c>
      <c r="T116" s="144" t="str">
        <f aca="false">IF(OR($J116="",'設定（最初に1回）'!$C$6=""),"",IF(INDEX($K116:$Q116,WEEKDAY('設定（最初に1回）'!$C$6,2))="○","● 今日",""))</f>
        <v/>
      </c>
      <c r="U116" s="133"/>
    </row>
    <row r="117" customFormat="false" ht="15" hidden="false" customHeight="false" outlineLevel="0" collapsed="false">
      <c r="B117" s="132" t="s">
        <v>490</v>
      </c>
      <c r="C117" s="133" t="s">
        <v>499</v>
      </c>
      <c r="D117" s="133" t="s">
        <v>698</v>
      </c>
      <c r="E117" s="134" t="n">
        <v>3</v>
      </c>
      <c r="F117" s="134" t="n">
        <v>220</v>
      </c>
      <c r="G117" s="69" t="n">
        <f aca="false">IF($B117="","",N($E117)*N($F117))</f>
        <v>660</v>
      </c>
      <c r="H117" s="133"/>
      <c r="J117" s="133"/>
      <c r="K117" s="142"/>
      <c r="L117" s="142"/>
      <c r="M117" s="142"/>
      <c r="N117" s="142"/>
      <c r="O117" s="142"/>
      <c r="P117" s="142"/>
      <c r="Q117" s="142"/>
      <c r="R117" s="69" t="str">
        <f aca="false">IF($J117="","",COUNTIF($K117:$Q117,"○"))</f>
        <v/>
      </c>
      <c r="S117" s="143" t="str">
        <f aca="false">IF(OR($J117="",N($R117)=0),"",ROUND(7/N($R117),1))</f>
        <v/>
      </c>
      <c r="T117" s="144" t="str">
        <f aca="false">IF(OR($J117="",'設定（最初に1回）'!$C$6=""),"",IF(INDEX($K117:$Q117,WEEKDAY('設定（最初に1回）'!$C$6,2))="○","● 今日",""))</f>
        <v/>
      </c>
      <c r="U117" s="133"/>
    </row>
    <row r="118" customFormat="false" ht="15" hidden="false" customHeight="false" outlineLevel="0" collapsed="false">
      <c r="B118" s="132" t="s">
        <v>490</v>
      </c>
      <c r="C118" s="133" t="s">
        <v>500</v>
      </c>
      <c r="D118" s="133" t="s">
        <v>701</v>
      </c>
      <c r="E118" s="134" t="n">
        <v>2</v>
      </c>
      <c r="F118" s="134" t="n">
        <v>120</v>
      </c>
      <c r="G118" s="69" t="n">
        <f aca="false">IF($B118="","",N($E118)*N($F118))</f>
        <v>240</v>
      </c>
      <c r="H118" s="133"/>
      <c r="J118" s="133"/>
      <c r="K118" s="142"/>
      <c r="L118" s="142"/>
      <c r="M118" s="142"/>
      <c r="N118" s="142"/>
      <c r="O118" s="142"/>
      <c r="P118" s="142"/>
      <c r="Q118" s="142"/>
      <c r="R118" s="69" t="str">
        <f aca="false">IF($J118="","",COUNTIF($K118:$Q118,"○"))</f>
        <v/>
      </c>
      <c r="S118" s="143" t="str">
        <f aca="false">IF(OR($J118="",N($R118)=0),"",ROUND(7/N($R118),1))</f>
        <v/>
      </c>
      <c r="T118" s="144" t="str">
        <f aca="false">IF(OR($J118="",'設定（最初に1回）'!$C$6=""),"",IF(INDEX($K118:$Q118,WEEKDAY('設定（最初に1回）'!$C$6,2))="○","● 今日",""))</f>
        <v/>
      </c>
      <c r="U118" s="133"/>
    </row>
    <row r="119" customFormat="false" ht="15" hidden="false" customHeight="false" outlineLevel="0" collapsed="false">
      <c r="B119" s="132" t="s">
        <v>490</v>
      </c>
      <c r="C119" s="133" t="s">
        <v>501</v>
      </c>
      <c r="D119" s="133" t="s">
        <v>705</v>
      </c>
      <c r="E119" s="134" t="n">
        <v>1</v>
      </c>
      <c r="F119" s="134" t="n">
        <v>80</v>
      </c>
      <c r="G119" s="69" t="n">
        <f aca="false">IF($B119="","",N($E119)*N($F119))</f>
        <v>80</v>
      </c>
      <c r="H119" s="133"/>
      <c r="J119" s="133"/>
      <c r="K119" s="142"/>
      <c r="L119" s="142"/>
      <c r="M119" s="142"/>
      <c r="N119" s="142"/>
      <c r="O119" s="142"/>
      <c r="P119" s="142"/>
      <c r="Q119" s="142"/>
      <c r="R119" s="69" t="str">
        <f aca="false">IF($J119="","",COUNTIF($K119:$Q119,"○"))</f>
        <v/>
      </c>
      <c r="S119" s="143" t="str">
        <f aca="false">IF(OR($J119="",N($R119)=0),"",ROUND(7/N($R119),1))</f>
        <v/>
      </c>
      <c r="T119" s="144" t="str">
        <f aca="false">IF(OR($J119="",'設定（最初に1回）'!$C$6=""),"",IF(INDEX($K119:$Q119,WEEKDAY('設定（最初に1回）'!$C$6,2))="○","● 今日",""))</f>
        <v/>
      </c>
      <c r="U119" s="133"/>
    </row>
    <row r="120" customFormat="false" ht="15" hidden="false" customHeight="false" outlineLevel="0" collapsed="false">
      <c r="B120" s="132"/>
      <c r="C120" s="133"/>
      <c r="D120" s="133"/>
      <c r="E120" s="134"/>
      <c r="F120" s="134"/>
      <c r="G120" s="69" t="str">
        <f aca="false">IF($B120="","",N($E120)*N($F120))</f>
        <v/>
      </c>
      <c r="H120" s="133"/>
    </row>
    <row r="121" customFormat="false" ht="15" hidden="false" customHeight="false" outlineLevel="0" collapsed="false">
      <c r="B121" s="132"/>
      <c r="C121" s="133"/>
      <c r="D121" s="133"/>
      <c r="E121" s="134"/>
      <c r="F121" s="134"/>
      <c r="G121" s="69" t="str">
        <f aca="false">IF($B121="","",N($E121)*N($F121))</f>
        <v/>
      </c>
      <c r="H121" s="133"/>
      <c r="J121" s="31" t="s">
        <v>707</v>
      </c>
    </row>
    <row r="122" customFormat="false" ht="15" hidden="false" customHeight="false" outlineLevel="0" collapsed="false">
      <c r="B122" s="132"/>
      <c r="C122" s="133"/>
      <c r="D122" s="133"/>
      <c r="E122" s="134"/>
      <c r="F122" s="134"/>
      <c r="G122" s="69" t="str">
        <f aca="false">IF($B122="","",N($E122)*N($F122))</f>
        <v/>
      </c>
      <c r="H122" s="133"/>
    </row>
    <row r="123" customFormat="false" ht="15" hidden="false" customHeight="false" outlineLevel="0" collapsed="false">
      <c r="B123" s="132"/>
      <c r="C123" s="133"/>
      <c r="D123" s="133"/>
      <c r="E123" s="134"/>
      <c r="F123" s="134"/>
      <c r="G123" s="69" t="str">
        <f aca="false">IF($B123="","",N($E123)*N($F123))</f>
        <v/>
      </c>
      <c r="H123" s="133"/>
    </row>
    <row r="124" customFormat="false" ht="15" hidden="false" customHeight="false" outlineLevel="0" collapsed="false">
      <c r="B124" s="132"/>
      <c r="C124" s="133"/>
      <c r="D124" s="133"/>
      <c r="E124" s="134"/>
      <c r="F124" s="134"/>
      <c r="G124" s="69" t="str">
        <f aca="false">IF($B124="","",N($E124)*N($F124))</f>
        <v/>
      </c>
      <c r="H124" s="133"/>
    </row>
    <row r="125" customFormat="false" ht="15" hidden="false" customHeight="false" outlineLevel="0" collapsed="false">
      <c r="B125" s="132"/>
      <c r="C125" s="133"/>
      <c r="D125" s="133"/>
      <c r="E125" s="134"/>
      <c r="F125" s="134"/>
      <c r="G125" s="69" t="str">
        <f aca="false">IF($B125="","",N($E125)*N($F125))</f>
        <v/>
      </c>
      <c r="H125" s="133"/>
    </row>
    <row r="126" customFormat="false" ht="15" hidden="false" customHeight="false" outlineLevel="0" collapsed="false">
      <c r="B126" s="132"/>
      <c r="C126" s="133"/>
      <c r="D126" s="133"/>
      <c r="E126" s="134"/>
      <c r="F126" s="134"/>
      <c r="G126" s="69" t="str">
        <f aca="false">IF($B126="","",N($E126)*N($F126))</f>
        <v/>
      </c>
      <c r="H126" s="133"/>
    </row>
    <row r="127" customFormat="false" ht="15" hidden="false" customHeight="false" outlineLevel="0" collapsed="false">
      <c r="B127" s="132"/>
      <c r="C127" s="133"/>
      <c r="D127" s="133"/>
      <c r="E127" s="134"/>
      <c r="F127" s="134"/>
      <c r="G127" s="69" t="str">
        <f aca="false">IF($B127="","",N($E127)*N($F127))</f>
        <v/>
      </c>
      <c r="H127" s="133"/>
    </row>
    <row r="128" customFormat="false" ht="15" hidden="false" customHeight="false" outlineLevel="0" collapsed="false">
      <c r="B128" s="132"/>
      <c r="C128" s="133"/>
      <c r="D128" s="133"/>
      <c r="E128" s="134"/>
      <c r="F128" s="134"/>
      <c r="G128" s="69" t="str">
        <f aca="false">IF($B128="","",N($E128)*N($F128))</f>
        <v/>
      </c>
      <c r="H128" s="133"/>
    </row>
    <row r="129" customFormat="false" ht="15" hidden="false" customHeight="false" outlineLevel="0" collapsed="false">
      <c r="B129" s="132"/>
      <c r="C129" s="133"/>
      <c r="D129" s="133"/>
      <c r="E129" s="134"/>
      <c r="F129" s="134"/>
      <c r="G129" s="69" t="str">
        <f aca="false">IF($B129="","",N($E129)*N($F129))</f>
        <v/>
      </c>
      <c r="H129" s="133"/>
    </row>
    <row r="130" customFormat="false" ht="15" hidden="false" customHeight="false" outlineLevel="0" collapsed="false">
      <c r="B130" s="132"/>
      <c r="C130" s="133"/>
      <c r="D130" s="133"/>
      <c r="E130" s="134"/>
      <c r="F130" s="134"/>
      <c r="G130" s="69" t="str">
        <f aca="false">IF($B130="","",N($E130)*N($F130))</f>
        <v/>
      </c>
      <c r="H130" s="133"/>
    </row>
    <row r="131" customFormat="false" ht="15" hidden="false" customHeight="false" outlineLevel="0" collapsed="false">
      <c r="B131" s="132"/>
      <c r="C131" s="133"/>
      <c r="D131" s="133"/>
      <c r="E131" s="134"/>
      <c r="F131" s="134"/>
      <c r="G131" s="69" t="str">
        <f aca="false">IF($B131="","",N($E131)*N($F131))</f>
        <v/>
      </c>
      <c r="H131" s="133"/>
    </row>
    <row r="132" customFormat="false" ht="15" hidden="false" customHeight="false" outlineLevel="0" collapsed="false">
      <c r="B132" s="132"/>
      <c r="C132" s="133"/>
      <c r="D132" s="133"/>
      <c r="E132" s="134"/>
      <c r="F132" s="134"/>
      <c r="G132" s="69" t="str">
        <f aca="false">IF($B132="","",N($E132)*N($F132))</f>
        <v/>
      </c>
      <c r="H132" s="133"/>
    </row>
    <row r="133" customFormat="false" ht="15" hidden="false" customHeight="false" outlineLevel="0" collapsed="false">
      <c r="B133" s="132"/>
      <c r="C133" s="133"/>
      <c r="D133" s="133"/>
      <c r="E133" s="134"/>
      <c r="F133" s="134"/>
      <c r="G133" s="69" t="str">
        <f aca="false">IF($B133="","",N($E133)*N($F133))</f>
        <v/>
      </c>
      <c r="H133" s="133"/>
    </row>
    <row r="134" customFormat="false" ht="15" hidden="false" customHeight="false" outlineLevel="0" collapsed="false">
      <c r="B134" s="132"/>
      <c r="C134" s="133"/>
      <c r="D134" s="133"/>
      <c r="E134" s="134"/>
      <c r="F134" s="134"/>
      <c r="G134" s="69" t="str">
        <f aca="false">IF($B134="","",N($E134)*N($F134))</f>
        <v/>
      </c>
      <c r="H134" s="133"/>
    </row>
    <row r="135" customFormat="false" ht="15" hidden="false" customHeight="false" outlineLevel="0" collapsed="false">
      <c r="B135" s="132"/>
      <c r="C135" s="133"/>
      <c r="D135" s="133"/>
      <c r="E135" s="134"/>
      <c r="F135" s="134"/>
      <c r="G135" s="69" t="str">
        <f aca="false">IF($B135="","",N($E135)*N($F135))</f>
        <v/>
      </c>
      <c r="H135" s="133"/>
    </row>
    <row r="136" customFormat="false" ht="15" hidden="false" customHeight="false" outlineLevel="0" collapsed="false">
      <c r="B136" s="132"/>
      <c r="C136" s="133"/>
      <c r="D136" s="133"/>
      <c r="E136" s="134"/>
      <c r="F136" s="134"/>
      <c r="G136" s="69" t="str">
        <f aca="false">IF($B136="","",N($E136)*N($F136))</f>
        <v/>
      </c>
      <c r="H136" s="133"/>
    </row>
    <row r="137" customFormat="false" ht="15" hidden="false" customHeight="false" outlineLevel="0" collapsed="false">
      <c r="B137" s="132"/>
      <c r="C137" s="133"/>
      <c r="D137" s="133"/>
      <c r="E137" s="134"/>
      <c r="F137" s="134"/>
      <c r="G137" s="69" t="str">
        <f aca="false">IF($B137="","",N($E137)*N($F137))</f>
        <v/>
      </c>
      <c r="H137" s="133"/>
    </row>
    <row r="138" customFormat="false" ht="15" hidden="false" customHeight="false" outlineLevel="0" collapsed="false">
      <c r="B138" s="132"/>
      <c r="C138" s="133"/>
      <c r="D138" s="133"/>
      <c r="E138" s="134"/>
      <c r="F138" s="134"/>
      <c r="G138" s="69" t="str">
        <f aca="false">IF($B138="","",N($E138)*N($F138))</f>
        <v/>
      </c>
      <c r="H138" s="133"/>
    </row>
    <row r="139" customFormat="false" ht="15" hidden="false" customHeight="false" outlineLevel="0" collapsed="false">
      <c r="B139" s="132"/>
      <c r="C139" s="133"/>
      <c r="D139" s="133"/>
      <c r="E139" s="134"/>
      <c r="F139" s="134"/>
      <c r="G139" s="69" t="str">
        <f aca="false">IF($B139="","",N($E139)*N($F139))</f>
        <v/>
      </c>
      <c r="H139" s="133"/>
    </row>
    <row r="140" customFormat="false" ht="15" hidden="false" customHeight="false" outlineLevel="0" collapsed="false">
      <c r="B140" s="132"/>
      <c r="C140" s="133"/>
      <c r="D140" s="133"/>
      <c r="E140" s="134"/>
      <c r="F140" s="134"/>
      <c r="G140" s="69" t="str">
        <f aca="false">IF($B140="","",N($E140)*N($F140))</f>
        <v/>
      </c>
      <c r="H140" s="133"/>
    </row>
    <row r="141" customFormat="false" ht="15" hidden="false" customHeight="false" outlineLevel="0" collapsed="false">
      <c r="B141" s="132"/>
      <c r="C141" s="133"/>
      <c r="D141" s="133"/>
      <c r="E141" s="134"/>
      <c r="F141" s="134"/>
      <c r="G141" s="69" t="str">
        <f aca="false">IF($B141="","",N($E141)*N($F141))</f>
        <v/>
      </c>
      <c r="H141" s="133"/>
    </row>
    <row r="142" customFormat="false" ht="15" hidden="false" customHeight="false" outlineLevel="0" collapsed="false">
      <c r="B142" s="132"/>
      <c r="C142" s="133"/>
      <c r="D142" s="133"/>
      <c r="E142" s="134"/>
      <c r="F142" s="134"/>
      <c r="G142" s="69" t="str">
        <f aca="false">IF($B142="","",N($E142)*N($F142))</f>
        <v/>
      </c>
      <c r="H142" s="133"/>
    </row>
    <row r="143" customFormat="false" ht="15" hidden="false" customHeight="false" outlineLevel="0" collapsed="false">
      <c r="B143" s="132"/>
      <c r="C143" s="133"/>
      <c r="D143" s="133"/>
      <c r="E143" s="134"/>
      <c r="F143" s="134"/>
      <c r="G143" s="69" t="str">
        <f aca="false">IF($B143="","",N($E143)*N($F143))</f>
        <v/>
      </c>
      <c r="H143" s="133"/>
    </row>
    <row r="144" customFormat="false" ht="15" hidden="false" customHeight="false" outlineLevel="0" collapsed="false">
      <c r="B144" s="132"/>
      <c r="C144" s="133"/>
      <c r="D144" s="133"/>
      <c r="E144" s="134"/>
      <c r="F144" s="134"/>
      <c r="G144" s="69" t="str">
        <f aca="false">IF($B144="","",N($E144)*N($F144))</f>
        <v/>
      </c>
      <c r="H144" s="133"/>
    </row>
    <row r="145" customFormat="false" ht="15" hidden="false" customHeight="false" outlineLevel="0" collapsed="false">
      <c r="B145" s="132"/>
      <c r="C145" s="133"/>
      <c r="D145" s="133"/>
      <c r="E145" s="134"/>
      <c r="F145" s="134"/>
      <c r="G145" s="69" t="str">
        <f aca="false">IF($B145="","",N($E145)*N($F145))</f>
        <v/>
      </c>
      <c r="H145" s="133"/>
    </row>
    <row r="146" customFormat="false" ht="15" hidden="false" customHeight="false" outlineLevel="0" collapsed="false">
      <c r="B146" s="132"/>
      <c r="C146" s="133"/>
      <c r="D146" s="133"/>
      <c r="E146" s="134"/>
      <c r="F146" s="134"/>
      <c r="G146" s="69" t="str">
        <f aca="false">IF($B146="","",N($E146)*N($F146))</f>
        <v/>
      </c>
      <c r="H146" s="133"/>
    </row>
    <row r="147" customFormat="false" ht="15" hidden="false" customHeight="false" outlineLevel="0" collapsed="false">
      <c r="B147" s="132"/>
      <c r="C147" s="133"/>
      <c r="D147" s="133"/>
      <c r="E147" s="134"/>
      <c r="F147" s="134"/>
      <c r="G147" s="69" t="str">
        <f aca="false">IF($B147="","",N($E147)*N($F147))</f>
        <v/>
      </c>
      <c r="H147" s="133"/>
    </row>
    <row r="148" customFormat="false" ht="15" hidden="false" customHeight="false" outlineLevel="0" collapsed="false">
      <c r="B148" s="132"/>
      <c r="C148" s="133"/>
      <c r="D148" s="133"/>
      <c r="E148" s="134"/>
      <c r="F148" s="134"/>
      <c r="G148" s="69" t="str">
        <f aca="false">IF($B148="","",N($E148)*N($F148))</f>
        <v/>
      </c>
      <c r="H148" s="133"/>
    </row>
    <row r="149" customFormat="false" ht="15" hidden="false" customHeight="false" outlineLevel="0" collapsed="false">
      <c r="B149" s="132"/>
      <c r="C149" s="133"/>
      <c r="D149" s="133"/>
      <c r="E149" s="134"/>
      <c r="F149" s="134"/>
      <c r="G149" s="69" t="str">
        <f aca="false">IF($B149="","",N($E149)*N($F149))</f>
        <v/>
      </c>
      <c r="H149" s="133"/>
    </row>
    <row r="150" customFormat="false" ht="15" hidden="false" customHeight="false" outlineLevel="0" collapsed="false">
      <c r="B150" s="132"/>
      <c r="C150" s="133"/>
      <c r="D150" s="133"/>
      <c r="E150" s="134"/>
      <c r="F150" s="134"/>
      <c r="G150" s="69" t="str">
        <f aca="false">IF($B150="","",N($E150)*N($F150))</f>
        <v/>
      </c>
      <c r="H150" s="133"/>
    </row>
    <row r="151" customFormat="false" ht="15" hidden="false" customHeight="false" outlineLevel="0" collapsed="false">
      <c r="B151" s="132"/>
      <c r="C151" s="133"/>
      <c r="D151" s="133"/>
      <c r="E151" s="134"/>
      <c r="F151" s="134"/>
      <c r="G151" s="69" t="str">
        <f aca="false">IF($B151="","",N($E151)*N($F151))</f>
        <v/>
      </c>
      <c r="H151" s="133"/>
    </row>
    <row r="152" customFormat="false" ht="15" hidden="false" customHeight="false" outlineLevel="0" collapsed="false">
      <c r="B152" s="132"/>
      <c r="C152" s="133"/>
      <c r="D152" s="133"/>
      <c r="E152" s="134"/>
      <c r="F152" s="134"/>
      <c r="G152" s="69" t="str">
        <f aca="false">IF($B152="","",N($E152)*N($F152))</f>
        <v/>
      </c>
      <c r="H152" s="133"/>
    </row>
    <row r="153" customFormat="false" ht="15" hidden="false" customHeight="false" outlineLevel="0" collapsed="false">
      <c r="B153" s="132"/>
      <c r="C153" s="133"/>
      <c r="D153" s="133"/>
      <c r="E153" s="134"/>
      <c r="F153" s="134"/>
      <c r="G153" s="69" t="str">
        <f aca="false">IF($B153="","",N($E153)*N($F153))</f>
        <v/>
      </c>
      <c r="H153" s="133"/>
    </row>
    <row r="154" customFormat="false" ht="15" hidden="false" customHeight="false" outlineLevel="0" collapsed="false">
      <c r="B154" s="132"/>
      <c r="C154" s="133"/>
      <c r="D154" s="133"/>
      <c r="E154" s="134"/>
      <c r="F154" s="134"/>
      <c r="G154" s="69" t="str">
        <f aca="false">IF($B154="","",N($E154)*N($F154))</f>
        <v/>
      </c>
      <c r="H154" s="133"/>
    </row>
    <row r="155" customFormat="false" ht="15" hidden="false" customHeight="false" outlineLevel="0" collapsed="false">
      <c r="B155" s="132"/>
      <c r="C155" s="133"/>
      <c r="D155" s="133"/>
      <c r="E155" s="134"/>
      <c r="F155" s="134"/>
      <c r="G155" s="69" t="str">
        <f aca="false">IF($B155="","",N($E155)*N($F155))</f>
        <v/>
      </c>
      <c r="H155" s="133"/>
    </row>
    <row r="156" customFormat="false" ht="15" hidden="false" customHeight="false" outlineLevel="0" collapsed="false">
      <c r="B156" s="132"/>
      <c r="C156" s="133"/>
      <c r="D156" s="133"/>
      <c r="E156" s="134"/>
      <c r="F156" s="134"/>
      <c r="G156" s="69" t="str">
        <f aca="false">IF($B156="","",N($E156)*N($F156))</f>
        <v/>
      </c>
      <c r="H156" s="133"/>
    </row>
    <row r="157" customFormat="false" ht="15" hidden="false" customHeight="false" outlineLevel="0" collapsed="false">
      <c r="B157" s="132"/>
      <c r="C157" s="133"/>
      <c r="D157" s="133"/>
      <c r="E157" s="134"/>
      <c r="F157" s="134"/>
      <c r="G157" s="69" t="str">
        <f aca="false">IF($B157="","",N($E157)*N($F157))</f>
        <v/>
      </c>
      <c r="H157" s="133"/>
    </row>
    <row r="158" customFormat="false" ht="15" hidden="false" customHeight="false" outlineLevel="0" collapsed="false">
      <c r="B158" s="132"/>
      <c r="C158" s="133"/>
      <c r="D158" s="133"/>
      <c r="E158" s="134"/>
      <c r="F158" s="134"/>
      <c r="G158" s="69" t="str">
        <f aca="false">IF($B158="","",N($E158)*N($F158))</f>
        <v/>
      </c>
      <c r="H158" s="133"/>
    </row>
    <row r="159" customFormat="false" ht="15" hidden="false" customHeight="false" outlineLevel="0" collapsed="false">
      <c r="B159" s="132"/>
      <c r="C159" s="133"/>
      <c r="D159" s="133"/>
      <c r="E159" s="134"/>
      <c r="F159" s="134"/>
      <c r="G159" s="69" t="str">
        <f aca="false">IF($B159="","",N($E159)*N($F159))</f>
        <v/>
      </c>
      <c r="H159" s="133"/>
    </row>
    <row r="160" customFormat="false" ht="15" hidden="false" customHeight="false" outlineLevel="0" collapsed="false">
      <c r="B160" s="132"/>
      <c r="C160" s="133"/>
      <c r="D160" s="133"/>
      <c r="E160" s="134"/>
      <c r="F160" s="134"/>
      <c r="G160" s="69" t="str">
        <f aca="false">IF($B160="","",N($E160)*N($F160))</f>
        <v/>
      </c>
      <c r="H160" s="133"/>
    </row>
    <row r="161" customFormat="false" ht="15" hidden="false" customHeight="false" outlineLevel="0" collapsed="false">
      <c r="B161" s="132"/>
      <c r="C161" s="133"/>
      <c r="D161" s="133"/>
      <c r="E161" s="134"/>
      <c r="F161" s="134"/>
      <c r="G161" s="69" t="str">
        <f aca="false">IF($B161="","",N($E161)*N($F161))</f>
        <v/>
      </c>
      <c r="H161" s="133"/>
    </row>
    <row r="162" customFormat="false" ht="15" hidden="false" customHeight="false" outlineLevel="0" collapsed="false">
      <c r="B162" s="132"/>
      <c r="C162" s="133"/>
      <c r="D162" s="133"/>
      <c r="E162" s="134"/>
      <c r="F162" s="134"/>
      <c r="G162" s="69" t="str">
        <f aca="false">IF($B162="","",N($E162)*N($F162))</f>
        <v/>
      </c>
      <c r="H162" s="133"/>
    </row>
    <row r="163" customFormat="false" ht="15" hidden="false" customHeight="false" outlineLevel="0" collapsed="false">
      <c r="B163" s="132"/>
      <c r="C163" s="133"/>
      <c r="D163" s="133"/>
      <c r="E163" s="134"/>
      <c r="F163" s="134"/>
      <c r="G163" s="69" t="str">
        <f aca="false">IF($B163="","",N($E163)*N($F163))</f>
        <v/>
      </c>
      <c r="H163" s="133"/>
    </row>
    <row r="164" customFormat="false" ht="15" hidden="false" customHeight="false" outlineLevel="0" collapsed="false">
      <c r="B164" s="132"/>
      <c r="C164" s="133"/>
      <c r="D164" s="133"/>
      <c r="E164" s="134"/>
      <c r="F164" s="134"/>
      <c r="G164" s="69" t="str">
        <f aca="false">IF($B164="","",N($E164)*N($F164))</f>
        <v/>
      </c>
      <c r="H164" s="133"/>
    </row>
    <row r="165" customFormat="false" ht="15" hidden="false" customHeight="false" outlineLevel="0" collapsed="false">
      <c r="B165" s="132"/>
      <c r="C165" s="133"/>
      <c r="D165" s="133"/>
      <c r="E165" s="134"/>
      <c r="F165" s="134"/>
      <c r="G165" s="69" t="str">
        <f aca="false">IF($B165="","",N($E165)*N($F165))</f>
        <v/>
      </c>
      <c r="H165" s="133"/>
    </row>
    <row r="166" customFormat="false" ht="15" hidden="false" customHeight="false" outlineLevel="0" collapsed="false">
      <c r="B166" s="132"/>
      <c r="C166" s="133"/>
      <c r="D166" s="133"/>
      <c r="E166" s="134"/>
      <c r="F166" s="134"/>
      <c r="G166" s="69" t="str">
        <f aca="false">IF($B166="","",N($E166)*N($F166))</f>
        <v/>
      </c>
      <c r="H166" s="133"/>
    </row>
    <row r="167" customFormat="false" ht="15" hidden="false" customHeight="false" outlineLevel="0" collapsed="false">
      <c r="B167" s="132"/>
      <c r="C167" s="133"/>
      <c r="D167" s="133"/>
      <c r="E167" s="134"/>
      <c r="F167" s="134"/>
      <c r="G167" s="69" t="str">
        <f aca="false">IF($B167="","",N($E167)*N($F167))</f>
        <v/>
      </c>
      <c r="H167" s="133"/>
    </row>
    <row r="168" customFormat="false" ht="15" hidden="false" customHeight="false" outlineLevel="0" collapsed="false">
      <c r="B168" s="132"/>
      <c r="C168" s="133"/>
      <c r="D168" s="133"/>
      <c r="E168" s="134"/>
      <c r="F168" s="134"/>
      <c r="G168" s="69" t="str">
        <f aca="false">IF($B168="","",N($E168)*N($F168))</f>
        <v/>
      </c>
      <c r="H168" s="133"/>
    </row>
    <row r="169" customFormat="false" ht="15" hidden="false" customHeight="false" outlineLevel="0" collapsed="false">
      <c r="B169" s="132"/>
      <c r="C169" s="133"/>
      <c r="D169" s="133"/>
      <c r="E169" s="134"/>
      <c r="F169" s="134"/>
      <c r="G169" s="69" t="str">
        <f aca="false">IF($B169="","",N($E169)*N($F169))</f>
        <v/>
      </c>
      <c r="H169" s="133"/>
    </row>
    <row r="170" customFormat="false" ht="15" hidden="false" customHeight="false" outlineLevel="0" collapsed="false">
      <c r="B170" s="132"/>
      <c r="C170" s="133"/>
      <c r="D170" s="133"/>
      <c r="E170" s="134"/>
      <c r="F170" s="134"/>
      <c r="G170" s="69" t="str">
        <f aca="false">IF($B170="","",N($E170)*N($F170))</f>
        <v/>
      </c>
      <c r="H170" s="133"/>
    </row>
    <row r="171" customFormat="false" ht="15" hidden="false" customHeight="false" outlineLevel="0" collapsed="false">
      <c r="B171" s="132"/>
      <c r="C171" s="133"/>
      <c r="D171" s="133"/>
      <c r="E171" s="134"/>
      <c r="F171" s="134"/>
      <c r="G171" s="69" t="str">
        <f aca="false">IF($B171="","",N($E171)*N($F171))</f>
        <v/>
      </c>
      <c r="H171" s="133"/>
    </row>
    <row r="172" customFormat="false" ht="15" hidden="false" customHeight="false" outlineLevel="0" collapsed="false">
      <c r="B172" s="132"/>
      <c r="C172" s="133"/>
      <c r="D172" s="133"/>
      <c r="E172" s="134"/>
      <c r="F172" s="134"/>
      <c r="G172" s="69" t="str">
        <f aca="false">IF($B172="","",N($E172)*N($F172))</f>
        <v/>
      </c>
      <c r="H172" s="133"/>
    </row>
    <row r="173" customFormat="false" ht="15" hidden="false" customHeight="false" outlineLevel="0" collapsed="false">
      <c r="B173" s="132"/>
      <c r="C173" s="133"/>
      <c r="D173" s="133"/>
      <c r="E173" s="134"/>
      <c r="F173" s="134"/>
      <c r="G173" s="69" t="str">
        <f aca="false">IF($B173="","",N($E173)*N($F173))</f>
        <v/>
      </c>
      <c r="H173" s="133"/>
    </row>
    <row r="174" customFormat="false" ht="15" hidden="false" customHeight="false" outlineLevel="0" collapsed="false">
      <c r="B174" s="132"/>
      <c r="C174" s="133"/>
      <c r="D174" s="133"/>
      <c r="E174" s="134"/>
      <c r="F174" s="134"/>
      <c r="G174" s="69" t="str">
        <f aca="false">IF($B174="","",N($E174)*N($F174))</f>
        <v/>
      </c>
      <c r="H174" s="133"/>
    </row>
    <row r="175" customFormat="false" ht="15" hidden="false" customHeight="false" outlineLevel="0" collapsed="false">
      <c r="B175" s="132"/>
      <c r="C175" s="133"/>
      <c r="D175" s="133"/>
      <c r="E175" s="134"/>
      <c r="F175" s="134"/>
      <c r="G175" s="69" t="str">
        <f aca="false">IF($B175="","",N($E175)*N($F175))</f>
        <v/>
      </c>
      <c r="H175" s="133"/>
    </row>
    <row r="176" customFormat="false" ht="15" hidden="false" customHeight="false" outlineLevel="0" collapsed="false">
      <c r="B176" s="132"/>
      <c r="C176" s="133"/>
      <c r="D176" s="133"/>
      <c r="E176" s="134"/>
      <c r="F176" s="134"/>
      <c r="G176" s="69" t="str">
        <f aca="false">IF($B176="","",N($E176)*N($F176))</f>
        <v/>
      </c>
      <c r="H176" s="133"/>
    </row>
    <row r="177" customFormat="false" ht="15" hidden="false" customHeight="false" outlineLevel="0" collapsed="false">
      <c r="B177" s="132"/>
      <c r="C177" s="133"/>
      <c r="D177" s="133"/>
      <c r="E177" s="134"/>
      <c r="F177" s="134"/>
      <c r="G177" s="69" t="str">
        <f aca="false">IF($B177="","",N($E177)*N($F177))</f>
        <v/>
      </c>
      <c r="H177" s="133"/>
    </row>
    <row r="178" customFormat="false" ht="15" hidden="false" customHeight="false" outlineLevel="0" collapsed="false">
      <c r="B178" s="132"/>
      <c r="C178" s="133"/>
      <c r="D178" s="133"/>
      <c r="E178" s="134"/>
      <c r="F178" s="134"/>
      <c r="G178" s="69" t="str">
        <f aca="false">IF($B178="","",N($E178)*N($F178))</f>
        <v/>
      </c>
      <c r="H178" s="133"/>
    </row>
    <row r="179" customFormat="false" ht="15" hidden="false" customHeight="false" outlineLevel="0" collapsed="false">
      <c r="B179" s="132"/>
      <c r="C179" s="133"/>
      <c r="D179" s="133"/>
      <c r="E179" s="134"/>
      <c r="F179" s="134"/>
      <c r="G179" s="69" t="str">
        <f aca="false">IF($B179="","",N($E179)*N($F179))</f>
        <v/>
      </c>
      <c r="H179" s="133"/>
    </row>
    <row r="180" customFormat="false" ht="15" hidden="false" customHeight="false" outlineLevel="0" collapsed="false">
      <c r="B180" s="132"/>
      <c r="C180" s="133"/>
      <c r="D180" s="133"/>
      <c r="E180" s="134"/>
      <c r="F180" s="134"/>
      <c r="G180" s="69" t="str">
        <f aca="false">IF($B180="","",N($E180)*N($F180))</f>
        <v/>
      </c>
      <c r="H180" s="133"/>
    </row>
    <row r="181" customFormat="false" ht="15" hidden="false" customHeight="false" outlineLevel="0" collapsed="false">
      <c r="B181" s="132"/>
      <c r="C181" s="133"/>
      <c r="D181" s="133"/>
      <c r="E181" s="134"/>
      <c r="F181" s="134"/>
      <c r="G181" s="69" t="str">
        <f aca="false">IF($B181="","",N($E181)*N($F181))</f>
        <v/>
      </c>
      <c r="H181" s="133"/>
    </row>
    <row r="182" customFormat="false" ht="15" hidden="false" customHeight="false" outlineLevel="0" collapsed="false">
      <c r="B182" s="132"/>
      <c r="C182" s="133"/>
      <c r="D182" s="133"/>
      <c r="E182" s="134"/>
      <c r="F182" s="134"/>
      <c r="G182" s="69" t="str">
        <f aca="false">IF($B182="","",N($E182)*N($F182))</f>
        <v/>
      </c>
      <c r="H182" s="133"/>
    </row>
    <row r="183" customFormat="false" ht="15" hidden="false" customHeight="false" outlineLevel="0" collapsed="false">
      <c r="B183" s="132"/>
      <c r="C183" s="133"/>
      <c r="D183" s="133"/>
      <c r="E183" s="134"/>
      <c r="F183" s="134"/>
      <c r="G183" s="69" t="str">
        <f aca="false">IF($B183="","",N($E183)*N($F183))</f>
        <v/>
      </c>
      <c r="H183" s="133"/>
    </row>
    <row r="184" customFormat="false" ht="15" hidden="false" customHeight="false" outlineLevel="0" collapsed="false">
      <c r="B184" s="132"/>
      <c r="C184" s="133"/>
      <c r="D184" s="133"/>
      <c r="E184" s="134"/>
      <c r="F184" s="134"/>
      <c r="G184" s="69" t="str">
        <f aca="false">IF($B184="","",N($E184)*N($F184))</f>
        <v/>
      </c>
      <c r="H184" s="133"/>
    </row>
    <row r="185" customFormat="false" ht="15" hidden="false" customHeight="false" outlineLevel="0" collapsed="false">
      <c r="B185" s="132"/>
      <c r="C185" s="133"/>
      <c r="D185" s="133"/>
      <c r="E185" s="134"/>
      <c r="F185" s="134"/>
      <c r="G185" s="69" t="str">
        <f aca="false">IF($B185="","",N($E185)*N($F185))</f>
        <v/>
      </c>
      <c r="H185" s="133"/>
    </row>
    <row r="186" customFormat="false" ht="15" hidden="false" customHeight="false" outlineLevel="0" collapsed="false">
      <c r="B186" s="132"/>
      <c r="C186" s="133"/>
      <c r="D186" s="133"/>
      <c r="E186" s="134"/>
      <c r="F186" s="134"/>
      <c r="G186" s="69" t="str">
        <f aca="false">IF($B186="","",N($E186)*N($F186))</f>
        <v/>
      </c>
      <c r="H186" s="133"/>
    </row>
    <row r="187" customFormat="false" ht="15" hidden="false" customHeight="false" outlineLevel="0" collapsed="false">
      <c r="B187" s="132"/>
      <c r="C187" s="133"/>
      <c r="D187" s="133"/>
      <c r="E187" s="134"/>
      <c r="F187" s="134"/>
      <c r="G187" s="69" t="str">
        <f aca="false">IF($B187="","",N($E187)*N($F187))</f>
        <v/>
      </c>
      <c r="H187" s="133"/>
    </row>
    <row r="188" customFormat="false" ht="15" hidden="false" customHeight="false" outlineLevel="0" collapsed="false">
      <c r="B188" s="132"/>
      <c r="C188" s="133"/>
      <c r="D188" s="133"/>
      <c r="E188" s="134"/>
      <c r="F188" s="134"/>
      <c r="G188" s="69" t="str">
        <f aca="false">IF($B188="","",N($E188)*N($F188))</f>
        <v/>
      </c>
      <c r="H188" s="133"/>
    </row>
    <row r="189" customFormat="false" ht="15" hidden="false" customHeight="false" outlineLevel="0" collapsed="false">
      <c r="B189" s="132"/>
      <c r="C189" s="133"/>
      <c r="D189" s="133"/>
      <c r="E189" s="134"/>
      <c r="F189" s="134"/>
      <c r="G189" s="69" t="str">
        <f aca="false">IF($B189="","",N($E189)*N($F189))</f>
        <v/>
      </c>
      <c r="H189" s="133"/>
    </row>
    <row r="190" customFormat="false" ht="15" hidden="false" customHeight="false" outlineLevel="0" collapsed="false">
      <c r="B190" s="132"/>
      <c r="C190" s="133"/>
      <c r="D190" s="133"/>
      <c r="E190" s="134"/>
      <c r="F190" s="134"/>
      <c r="G190" s="69" t="str">
        <f aca="false">IF($B190="","",N($E190)*N($F190))</f>
        <v/>
      </c>
      <c r="H190" s="133"/>
    </row>
    <row r="191" customFormat="false" ht="15" hidden="false" customHeight="false" outlineLevel="0" collapsed="false">
      <c r="B191" s="132"/>
      <c r="C191" s="133"/>
      <c r="D191" s="133"/>
      <c r="E191" s="134"/>
      <c r="F191" s="134"/>
      <c r="G191" s="69" t="str">
        <f aca="false">IF($B191="","",N($E191)*N($F191))</f>
        <v/>
      </c>
      <c r="H191" s="133"/>
    </row>
    <row r="192" customFormat="false" ht="15" hidden="false" customHeight="false" outlineLevel="0" collapsed="false">
      <c r="B192" s="132"/>
      <c r="C192" s="133"/>
      <c r="D192" s="133"/>
      <c r="E192" s="134"/>
      <c r="F192" s="134"/>
      <c r="G192" s="69" t="str">
        <f aca="false">IF($B192="","",N($E192)*N($F192))</f>
        <v/>
      </c>
      <c r="H192" s="133"/>
    </row>
    <row r="193" customFormat="false" ht="15" hidden="false" customHeight="false" outlineLevel="0" collapsed="false">
      <c r="B193" s="132"/>
      <c r="C193" s="133"/>
      <c r="D193" s="133"/>
      <c r="E193" s="134"/>
      <c r="F193" s="134"/>
      <c r="G193" s="69" t="str">
        <f aca="false">IF($B193="","",N($E193)*N($F193))</f>
        <v/>
      </c>
      <c r="H193" s="133"/>
    </row>
    <row r="194" customFormat="false" ht="15" hidden="false" customHeight="false" outlineLevel="0" collapsed="false">
      <c r="B194" s="132"/>
      <c r="C194" s="133"/>
      <c r="D194" s="133"/>
      <c r="E194" s="134"/>
      <c r="F194" s="134"/>
      <c r="G194" s="69" t="str">
        <f aca="false">IF($B194="","",N($E194)*N($F194))</f>
        <v/>
      </c>
      <c r="H194" s="133"/>
    </row>
    <row r="195" customFormat="false" ht="15" hidden="false" customHeight="false" outlineLevel="0" collapsed="false">
      <c r="B195" s="132"/>
      <c r="C195" s="133"/>
      <c r="D195" s="133"/>
      <c r="E195" s="134"/>
      <c r="F195" s="134"/>
      <c r="G195" s="69" t="str">
        <f aca="false">IF($B195="","",N($E195)*N($F195))</f>
        <v/>
      </c>
      <c r="H195" s="133"/>
    </row>
    <row r="196" customFormat="false" ht="15" hidden="false" customHeight="false" outlineLevel="0" collapsed="false">
      <c r="B196" s="132"/>
      <c r="C196" s="133"/>
      <c r="D196" s="133"/>
      <c r="E196" s="134"/>
      <c r="F196" s="134"/>
      <c r="G196" s="69" t="str">
        <f aca="false">IF($B196="","",N($E196)*N($F196))</f>
        <v/>
      </c>
      <c r="H196" s="133"/>
    </row>
    <row r="197" customFormat="false" ht="15" hidden="false" customHeight="false" outlineLevel="0" collapsed="false">
      <c r="B197" s="132"/>
      <c r="C197" s="133"/>
      <c r="D197" s="133"/>
      <c r="E197" s="134"/>
      <c r="F197" s="134"/>
      <c r="G197" s="69" t="str">
        <f aca="false">IF($B197="","",N($E197)*N($F197))</f>
        <v/>
      </c>
      <c r="H197" s="133"/>
    </row>
    <row r="198" customFormat="false" ht="15" hidden="false" customHeight="false" outlineLevel="0" collapsed="false">
      <c r="B198" s="132"/>
      <c r="C198" s="133"/>
      <c r="D198" s="133"/>
      <c r="E198" s="134"/>
      <c r="F198" s="134"/>
      <c r="G198" s="69" t="str">
        <f aca="false">IF($B198="","",N($E198)*N($F198))</f>
        <v/>
      </c>
      <c r="H198" s="133"/>
    </row>
    <row r="199" customFormat="false" ht="15" hidden="false" customHeight="false" outlineLevel="0" collapsed="false">
      <c r="B199" s="132"/>
      <c r="C199" s="133"/>
      <c r="D199" s="133"/>
      <c r="E199" s="134"/>
      <c r="F199" s="134"/>
      <c r="G199" s="69" t="str">
        <f aca="false">IF($B199="","",N($E199)*N($F199))</f>
        <v/>
      </c>
      <c r="H199" s="133"/>
    </row>
    <row r="200" customFormat="false" ht="15" hidden="false" customHeight="false" outlineLevel="0" collapsed="false">
      <c r="B200" s="132"/>
      <c r="C200" s="133"/>
      <c r="D200" s="133"/>
      <c r="E200" s="134"/>
      <c r="F200" s="134"/>
      <c r="G200" s="69" t="str">
        <f aca="false">IF($B200="","",N($E200)*N($F200))</f>
        <v/>
      </c>
      <c r="H200" s="133"/>
    </row>
    <row r="201" customFormat="false" ht="15" hidden="false" customHeight="false" outlineLevel="0" collapsed="false">
      <c r="B201" s="132"/>
      <c r="C201" s="133"/>
      <c r="D201" s="133"/>
      <c r="E201" s="134"/>
      <c r="F201" s="134"/>
      <c r="G201" s="69" t="str">
        <f aca="false">IF($B201="","",N($E201)*N($F201))</f>
        <v/>
      </c>
      <c r="H201" s="133"/>
    </row>
    <row r="202" customFormat="false" ht="15" hidden="false" customHeight="false" outlineLevel="0" collapsed="false">
      <c r="B202" s="132"/>
      <c r="C202" s="133"/>
      <c r="D202" s="133"/>
      <c r="E202" s="134"/>
      <c r="F202" s="134"/>
      <c r="G202" s="69" t="str">
        <f aca="false">IF($B202="","",N($E202)*N($F202))</f>
        <v/>
      </c>
      <c r="H202" s="133"/>
    </row>
    <row r="203" customFormat="false" ht="15" hidden="false" customHeight="false" outlineLevel="0" collapsed="false">
      <c r="B203" s="132"/>
      <c r="C203" s="133"/>
      <c r="D203" s="133"/>
      <c r="E203" s="134"/>
      <c r="F203" s="134"/>
      <c r="G203" s="69" t="str">
        <f aca="false">IF($B203="","",N($E203)*N($F203))</f>
        <v/>
      </c>
      <c r="H203" s="133"/>
    </row>
    <row r="204" customFormat="false" ht="15" hidden="false" customHeight="false" outlineLevel="0" collapsed="false">
      <c r="B204" s="132"/>
      <c r="C204" s="133"/>
      <c r="D204" s="133"/>
      <c r="E204" s="134"/>
      <c r="F204" s="134"/>
      <c r="G204" s="69" t="str">
        <f aca="false">IF($B204="","",N($E204)*N($F204))</f>
        <v/>
      </c>
      <c r="H204" s="133"/>
    </row>
    <row r="205" customFormat="false" ht="15" hidden="false" customHeight="false" outlineLevel="0" collapsed="false">
      <c r="B205" s="132"/>
      <c r="C205" s="133"/>
      <c r="D205" s="133"/>
      <c r="E205" s="134"/>
      <c r="F205" s="134"/>
      <c r="G205" s="69" t="str">
        <f aca="false">IF($B205="","",N($E205)*N($F205))</f>
        <v/>
      </c>
      <c r="H205" s="133"/>
    </row>
    <row r="206" customFormat="false" ht="15" hidden="false" customHeight="false" outlineLevel="0" collapsed="false">
      <c r="B206" s="132"/>
      <c r="C206" s="133"/>
      <c r="D206" s="133"/>
      <c r="E206" s="134"/>
      <c r="F206" s="134"/>
      <c r="G206" s="69" t="str">
        <f aca="false">IF($B206="","",N($E206)*N($F206))</f>
        <v/>
      </c>
      <c r="H206" s="133"/>
    </row>
    <row r="207" customFormat="false" ht="15" hidden="false" customHeight="false" outlineLevel="0" collapsed="false">
      <c r="B207" s="132"/>
      <c r="C207" s="133"/>
      <c r="D207" s="133"/>
      <c r="E207" s="134"/>
      <c r="F207" s="134"/>
      <c r="G207" s="69" t="str">
        <f aca="false">IF($B207="","",N($E207)*N($F207))</f>
        <v/>
      </c>
      <c r="H207" s="133"/>
    </row>
    <row r="208" customFormat="false" ht="15" hidden="false" customHeight="false" outlineLevel="0" collapsed="false">
      <c r="B208" s="132"/>
      <c r="C208" s="133"/>
      <c r="D208" s="133"/>
      <c r="E208" s="134"/>
      <c r="F208" s="134"/>
      <c r="G208" s="69" t="str">
        <f aca="false">IF($B208="","",N($E208)*N($F208))</f>
        <v/>
      </c>
      <c r="H208" s="133"/>
    </row>
    <row r="209" customFormat="false" ht="15" hidden="false" customHeight="false" outlineLevel="0" collapsed="false">
      <c r="B209" s="132"/>
      <c r="C209" s="133"/>
      <c r="D209" s="133"/>
      <c r="E209" s="134"/>
      <c r="F209" s="134"/>
      <c r="G209" s="69" t="str">
        <f aca="false">IF($B209="","",N($E209)*N($F209))</f>
        <v/>
      </c>
      <c r="H209" s="133"/>
    </row>
    <row r="210" customFormat="false" ht="15" hidden="false" customHeight="false" outlineLevel="0" collapsed="false">
      <c r="B210" s="132"/>
      <c r="C210" s="133"/>
      <c r="D210" s="133"/>
      <c r="E210" s="134"/>
      <c r="F210" s="134"/>
      <c r="G210" s="69" t="str">
        <f aca="false">IF($B210="","",N($E210)*N($F210))</f>
        <v/>
      </c>
      <c r="H210" s="133"/>
    </row>
    <row r="211" customFormat="false" ht="15" hidden="false" customHeight="false" outlineLevel="0" collapsed="false">
      <c r="B211" s="132"/>
      <c r="C211" s="133"/>
      <c r="D211" s="133"/>
      <c r="E211" s="134"/>
      <c r="F211" s="134"/>
      <c r="G211" s="69" t="str">
        <f aca="false">IF($B211="","",N($E211)*N($F211))</f>
        <v/>
      </c>
      <c r="H211" s="133"/>
    </row>
    <row r="212" customFormat="false" ht="15" hidden="false" customHeight="false" outlineLevel="0" collapsed="false">
      <c r="B212" s="132"/>
      <c r="C212" s="133"/>
      <c r="D212" s="133"/>
      <c r="E212" s="134"/>
      <c r="F212" s="134"/>
      <c r="G212" s="69" t="str">
        <f aca="false">IF($B212="","",N($E212)*N($F212))</f>
        <v/>
      </c>
      <c r="H212" s="133"/>
    </row>
    <row r="213" customFormat="false" ht="15" hidden="false" customHeight="false" outlineLevel="0" collapsed="false">
      <c r="B213" s="132"/>
      <c r="C213" s="133"/>
      <c r="D213" s="133"/>
      <c r="E213" s="134"/>
      <c r="F213" s="134"/>
      <c r="G213" s="69" t="str">
        <f aca="false">IF($B213="","",N($E213)*N($F213))</f>
        <v/>
      </c>
      <c r="H213" s="133"/>
    </row>
    <row r="214" customFormat="false" ht="15" hidden="false" customHeight="false" outlineLevel="0" collapsed="false">
      <c r="B214" s="132"/>
      <c r="C214" s="133"/>
      <c r="D214" s="133"/>
      <c r="E214" s="134"/>
      <c r="F214" s="134"/>
      <c r="G214" s="69" t="str">
        <f aca="false">IF($B214="","",N($E214)*N($F214))</f>
        <v/>
      </c>
      <c r="H214" s="133"/>
    </row>
    <row r="215" customFormat="false" ht="15" hidden="false" customHeight="false" outlineLevel="0" collapsed="false">
      <c r="B215" s="132"/>
      <c r="C215" s="133"/>
      <c r="D215" s="133"/>
      <c r="E215" s="134"/>
      <c r="F215" s="134"/>
      <c r="G215" s="69" t="str">
        <f aca="false">IF($B215="","",N($E215)*N($F215))</f>
        <v/>
      </c>
      <c r="H215" s="133"/>
    </row>
    <row r="216" customFormat="false" ht="15" hidden="false" customHeight="false" outlineLevel="0" collapsed="false">
      <c r="B216" s="132"/>
      <c r="C216" s="133"/>
      <c r="D216" s="133"/>
      <c r="E216" s="134"/>
      <c r="F216" s="134"/>
      <c r="G216" s="69" t="str">
        <f aca="false">IF($B216="","",N($E216)*N($F216))</f>
        <v/>
      </c>
      <c r="H216" s="133"/>
    </row>
    <row r="217" customFormat="false" ht="15" hidden="false" customHeight="false" outlineLevel="0" collapsed="false">
      <c r="B217" s="132"/>
      <c r="C217" s="133"/>
      <c r="D217" s="133"/>
      <c r="E217" s="134"/>
      <c r="F217" s="134"/>
      <c r="G217" s="69" t="str">
        <f aca="false">IF($B217="","",N($E217)*N($F217))</f>
        <v/>
      </c>
      <c r="H217" s="133"/>
    </row>
    <row r="218" customFormat="false" ht="15" hidden="false" customHeight="false" outlineLevel="0" collapsed="false">
      <c r="B218" s="132"/>
      <c r="C218" s="133"/>
      <c r="D218" s="133"/>
      <c r="E218" s="134"/>
      <c r="F218" s="134"/>
      <c r="G218" s="69" t="str">
        <f aca="false">IF($B218="","",N($E218)*N($F218))</f>
        <v/>
      </c>
      <c r="H218" s="133"/>
    </row>
    <row r="219" customFormat="false" ht="15" hidden="false" customHeight="false" outlineLevel="0" collapsed="false">
      <c r="B219" s="132"/>
      <c r="C219" s="133"/>
      <c r="D219" s="133"/>
      <c r="E219" s="134"/>
      <c r="F219" s="134"/>
      <c r="G219" s="69" t="str">
        <f aca="false">IF($B219="","",N($E219)*N($F219))</f>
        <v/>
      </c>
      <c r="H219" s="133"/>
    </row>
    <row r="220" customFormat="false" ht="15" hidden="false" customHeight="false" outlineLevel="0" collapsed="false">
      <c r="B220" s="132"/>
      <c r="C220" s="133"/>
      <c r="D220" s="133"/>
      <c r="E220" s="134"/>
      <c r="F220" s="134"/>
      <c r="G220" s="69" t="str">
        <f aca="false">IF($B220="","",N($E220)*N($F220))</f>
        <v/>
      </c>
      <c r="H220" s="133"/>
    </row>
    <row r="221" customFormat="false" ht="15" hidden="false" customHeight="false" outlineLevel="0" collapsed="false">
      <c r="B221" s="132"/>
      <c r="C221" s="133"/>
      <c r="D221" s="133"/>
      <c r="E221" s="134"/>
      <c r="F221" s="134"/>
      <c r="G221" s="69" t="str">
        <f aca="false">IF($B221="","",N($E221)*N($F221))</f>
        <v/>
      </c>
      <c r="H221" s="133"/>
    </row>
    <row r="222" customFormat="false" ht="15" hidden="false" customHeight="false" outlineLevel="0" collapsed="false">
      <c r="B222" s="132"/>
      <c r="C222" s="133"/>
      <c r="D222" s="133"/>
      <c r="E222" s="134"/>
      <c r="F222" s="134"/>
      <c r="G222" s="69" t="str">
        <f aca="false">IF($B222="","",N($E222)*N($F222))</f>
        <v/>
      </c>
      <c r="H222" s="133"/>
    </row>
    <row r="223" customFormat="false" ht="15" hidden="false" customHeight="false" outlineLevel="0" collapsed="false">
      <c r="B223" s="132"/>
      <c r="C223" s="133"/>
      <c r="D223" s="133"/>
      <c r="E223" s="134"/>
      <c r="F223" s="134"/>
      <c r="G223" s="69" t="str">
        <f aca="false">IF($B223="","",N($E223)*N($F223))</f>
        <v/>
      </c>
      <c r="H223" s="133"/>
    </row>
    <row r="224" customFormat="false" ht="15" hidden="false" customHeight="false" outlineLevel="0" collapsed="false">
      <c r="B224" s="132"/>
      <c r="C224" s="133"/>
      <c r="D224" s="133"/>
      <c r="E224" s="134"/>
      <c r="F224" s="134"/>
      <c r="G224" s="69" t="str">
        <f aca="false">IF($B224="","",N($E224)*N($F224))</f>
        <v/>
      </c>
      <c r="H224" s="133"/>
    </row>
    <row r="225" customFormat="false" ht="15" hidden="false" customHeight="false" outlineLevel="0" collapsed="false">
      <c r="B225" s="132"/>
      <c r="C225" s="133"/>
      <c r="D225" s="133"/>
      <c r="E225" s="134"/>
      <c r="F225" s="134"/>
      <c r="G225" s="69" t="str">
        <f aca="false">IF($B225="","",N($E225)*N($F225))</f>
        <v/>
      </c>
      <c r="H225" s="133"/>
    </row>
    <row r="226" customFormat="false" ht="15" hidden="false" customHeight="false" outlineLevel="0" collapsed="false">
      <c r="B226" s="132"/>
      <c r="C226" s="133"/>
      <c r="D226" s="133"/>
      <c r="E226" s="134"/>
      <c r="F226" s="134"/>
      <c r="G226" s="69" t="str">
        <f aca="false">IF($B226="","",N($E226)*N($F226))</f>
        <v/>
      </c>
      <c r="H226" s="133"/>
    </row>
    <row r="227" customFormat="false" ht="15" hidden="false" customHeight="false" outlineLevel="0" collapsed="false">
      <c r="B227" s="132"/>
      <c r="C227" s="133"/>
      <c r="D227" s="133"/>
      <c r="E227" s="134"/>
      <c r="F227" s="134"/>
      <c r="G227" s="69" t="str">
        <f aca="false">IF($B227="","",N($E227)*N($F227))</f>
        <v/>
      </c>
      <c r="H227" s="133"/>
    </row>
    <row r="228" customFormat="false" ht="15" hidden="false" customHeight="false" outlineLevel="0" collapsed="false">
      <c r="B228" s="132"/>
      <c r="C228" s="133"/>
      <c r="D228" s="133"/>
      <c r="E228" s="134"/>
      <c r="F228" s="134"/>
      <c r="G228" s="69" t="str">
        <f aca="false">IF($B228="","",N($E228)*N($F228))</f>
        <v/>
      </c>
      <c r="H228" s="133"/>
    </row>
    <row r="229" customFormat="false" ht="15" hidden="false" customHeight="false" outlineLevel="0" collapsed="false">
      <c r="B229" s="132"/>
      <c r="C229" s="133"/>
      <c r="D229" s="133"/>
      <c r="E229" s="134"/>
      <c r="F229" s="134"/>
      <c r="G229" s="69" t="str">
        <f aca="false">IF($B229="","",N($E229)*N($F229))</f>
        <v/>
      </c>
      <c r="H229" s="133"/>
    </row>
    <row r="230" customFormat="false" ht="15" hidden="false" customHeight="false" outlineLevel="0" collapsed="false">
      <c r="B230" s="132"/>
      <c r="C230" s="133"/>
      <c r="D230" s="133"/>
      <c r="E230" s="134"/>
      <c r="F230" s="134"/>
      <c r="G230" s="69" t="str">
        <f aca="false">IF($B230="","",N($E230)*N($F230))</f>
        <v/>
      </c>
      <c r="H230" s="133"/>
    </row>
    <row r="231" customFormat="false" ht="15" hidden="false" customHeight="false" outlineLevel="0" collapsed="false">
      <c r="B231" s="132"/>
      <c r="C231" s="133"/>
      <c r="D231" s="133"/>
      <c r="E231" s="134"/>
      <c r="F231" s="134"/>
      <c r="G231" s="69" t="str">
        <f aca="false">IF($B231="","",N($E231)*N($F231))</f>
        <v/>
      </c>
      <c r="H231" s="133"/>
    </row>
    <row r="232" customFormat="false" ht="15" hidden="false" customHeight="false" outlineLevel="0" collapsed="false">
      <c r="B232" s="132"/>
      <c r="C232" s="133"/>
      <c r="D232" s="133"/>
      <c r="E232" s="134"/>
      <c r="F232" s="134"/>
      <c r="G232" s="69" t="str">
        <f aca="false">IF($B232="","",N($E232)*N($F232))</f>
        <v/>
      </c>
      <c r="H232" s="133"/>
    </row>
    <row r="233" customFormat="false" ht="15" hidden="false" customHeight="false" outlineLevel="0" collapsed="false">
      <c r="B233" s="132"/>
      <c r="C233" s="133"/>
      <c r="D233" s="133"/>
      <c r="E233" s="134"/>
      <c r="F233" s="134"/>
      <c r="G233" s="69" t="str">
        <f aca="false">IF($B233="","",N($E233)*N($F233))</f>
        <v/>
      </c>
      <c r="H233" s="133"/>
    </row>
    <row r="234" customFormat="false" ht="15" hidden="false" customHeight="false" outlineLevel="0" collapsed="false">
      <c r="B234" s="132"/>
      <c r="C234" s="133"/>
      <c r="D234" s="133"/>
      <c r="E234" s="134"/>
      <c r="F234" s="134"/>
      <c r="G234" s="69" t="str">
        <f aca="false">IF($B234="","",N($E234)*N($F234))</f>
        <v/>
      </c>
      <c r="H234" s="133"/>
    </row>
    <row r="235" customFormat="false" ht="15" hidden="false" customHeight="false" outlineLevel="0" collapsed="false">
      <c r="B235" s="132"/>
      <c r="C235" s="133"/>
      <c r="D235" s="133"/>
      <c r="E235" s="134"/>
      <c r="F235" s="134"/>
      <c r="G235" s="69" t="str">
        <f aca="false">IF($B235="","",N($E235)*N($F235))</f>
        <v/>
      </c>
      <c r="H235" s="133"/>
    </row>
    <row r="236" customFormat="false" ht="15" hidden="false" customHeight="false" outlineLevel="0" collapsed="false">
      <c r="B236" s="132"/>
      <c r="C236" s="133"/>
      <c r="D236" s="133"/>
      <c r="E236" s="134"/>
      <c r="F236" s="134"/>
      <c r="G236" s="69" t="str">
        <f aca="false">IF($B236="","",N($E236)*N($F236))</f>
        <v/>
      </c>
      <c r="H236" s="133"/>
    </row>
    <row r="237" customFormat="false" ht="15" hidden="false" customHeight="false" outlineLevel="0" collapsed="false">
      <c r="B237" s="132"/>
      <c r="C237" s="133"/>
      <c r="D237" s="133"/>
      <c r="E237" s="134"/>
      <c r="F237" s="134"/>
      <c r="G237" s="69" t="str">
        <f aca="false">IF($B237="","",N($E237)*N($F237))</f>
        <v/>
      </c>
      <c r="H237" s="133"/>
    </row>
    <row r="238" customFormat="false" ht="15" hidden="false" customHeight="false" outlineLevel="0" collapsed="false">
      <c r="B238" s="132"/>
      <c r="C238" s="133"/>
      <c r="D238" s="133"/>
      <c r="E238" s="134"/>
      <c r="F238" s="134"/>
      <c r="G238" s="69" t="str">
        <f aca="false">IF($B238="","",N($E238)*N($F238))</f>
        <v/>
      </c>
      <c r="H238" s="133"/>
    </row>
    <row r="239" customFormat="false" ht="15" hidden="false" customHeight="false" outlineLevel="0" collapsed="false">
      <c r="B239" s="132"/>
      <c r="C239" s="133"/>
      <c r="D239" s="133"/>
      <c r="E239" s="134"/>
      <c r="F239" s="134"/>
      <c r="G239" s="69" t="str">
        <f aca="false">IF($B239="","",N($E239)*N($F239))</f>
        <v/>
      </c>
      <c r="H239" s="133"/>
    </row>
    <row r="240" customFormat="false" ht="15" hidden="false" customHeight="false" outlineLevel="0" collapsed="false">
      <c r="B240" s="132"/>
      <c r="C240" s="133"/>
      <c r="D240" s="133"/>
      <c r="E240" s="134"/>
      <c r="F240" s="134"/>
      <c r="G240" s="69" t="str">
        <f aca="false">IF($B240="","",N($E240)*N($F240))</f>
        <v/>
      </c>
      <c r="H240" s="133"/>
    </row>
    <row r="241" customFormat="false" ht="15" hidden="false" customHeight="false" outlineLevel="0" collapsed="false">
      <c r="B241" s="132"/>
      <c r="C241" s="133"/>
      <c r="D241" s="133"/>
      <c r="E241" s="134"/>
      <c r="F241" s="134"/>
      <c r="G241" s="69" t="str">
        <f aca="false">IF($B241="","",N($E241)*N($F241))</f>
        <v/>
      </c>
      <c r="H241" s="133"/>
    </row>
    <row r="242" customFormat="false" ht="15" hidden="false" customHeight="false" outlineLevel="0" collapsed="false">
      <c r="B242" s="132"/>
      <c r="C242" s="133"/>
      <c r="D242" s="133"/>
      <c r="E242" s="134"/>
      <c r="F242" s="134"/>
      <c r="G242" s="69" t="str">
        <f aca="false">IF($B242="","",N($E242)*N($F242))</f>
        <v/>
      </c>
      <c r="H242" s="133"/>
    </row>
    <row r="243" customFormat="false" ht="15" hidden="false" customHeight="false" outlineLevel="0" collapsed="false">
      <c r="B243" s="132"/>
      <c r="C243" s="133"/>
      <c r="D243" s="133"/>
      <c r="E243" s="134"/>
      <c r="F243" s="134"/>
      <c r="G243" s="69" t="str">
        <f aca="false">IF($B243="","",N($E243)*N($F243))</f>
        <v/>
      </c>
      <c r="H243" s="133"/>
    </row>
    <row r="244" customFormat="false" ht="15" hidden="false" customHeight="false" outlineLevel="0" collapsed="false">
      <c r="B244" s="132"/>
      <c r="C244" s="133"/>
      <c r="D244" s="133"/>
      <c r="E244" s="134"/>
      <c r="F244" s="134"/>
      <c r="G244" s="69" t="str">
        <f aca="false">IF($B244="","",N($E244)*N($F244))</f>
        <v/>
      </c>
      <c r="H244" s="133"/>
    </row>
    <row r="245" customFormat="false" ht="15" hidden="false" customHeight="false" outlineLevel="0" collapsed="false">
      <c r="B245" s="132"/>
      <c r="C245" s="133"/>
      <c r="D245" s="133"/>
      <c r="E245" s="134"/>
      <c r="F245" s="134"/>
      <c r="G245" s="69" t="str">
        <f aca="false">IF($B245="","",N($E245)*N($F245))</f>
        <v/>
      </c>
      <c r="H245" s="133"/>
    </row>
    <row r="246" customFormat="false" ht="15" hidden="false" customHeight="false" outlineLevel="0" collapsed="false">
      <c r="B246" s="132"/>
      <c r="C246" s="133"/>
      <c r="D246" s="133"/>
      <c r="E246" s="134"/>
      <c r="F246" s="134"/>
      <c r="G246" s="69" t="str">
        <f aca="false">IF($B246="","",N($E246)*N($F246))</f>
        <v/>
      </c>
      <c r="H246" s="133"/>
    </row>
    <row r="247" customFormat="false" ht="15" hidden="false" customHeight="false" outlineLevel="0" collapsed="false">
      <c r="B247" s="132"/>
      <c r="C247" s="133"/>
      <c r="D247" s="133"/>
      <c r="E247" s="134"/>
      <c r="F247" s="134"/>
      <c r="G247" s="69" t="str">
        <f aca="false">IF($B247="","",N($E247)*N($F247))</f>
        <v/>
      </c>
      <c r="H247" s="133"/>
    </row>
    <row r="248" customFormat="false" ht="15" hidden="false" customHeight="false" outlineLevel="0" collapsed="false">
      <c r="B248" s="132"/>
      <c r="C248" s="133"/>
      <c r="D248" s="133"/>
      <c r="E248" s="134"/>
      <c r="F248" s="134"/>
      <c r="G248" s="69" t="str">
        <f aca="false">IF($B248="","",N($E248)*N($F248))</f>
        <v/>
      </c>
      <c r="H248" s="133"/>
    </row>
    <row r="249" customFormat="false" ht="15" hidden="false" customHeight="false" outlineLevel="0" collapsed="false">
      <c r="B249" s="132"/>
      <c r="C249" s="133"/>
      <c r="D249" s="133"/>
      <c r="E249" s="134"/>
      <c r="F249" s="134"/>
      <c r="G249" s="69" t="str">
        <f aca="false">IF($B249="","",N($E249)*N($F249))</f>
        <v/>
      </c>
      <c r="H249" s="133"/>
    </row>
    <row r="250" customFormat="false" ht="15" hidden="false" customHeight="false" outlineLevel="0" collapsed="false">
      <c r="B250" s="132"/>
      <c r="C250" s="133"/>
      <c r="D250" s="133"/>
      <c r="E250" s="134"/>
      <c r="F250" s="134"/>
      <c r="G250" s="69" t="str">
        <f aca="false">IF($B250="","",N($E250)*N($F250))</f>
        <v/>
      </c>
      <c r="H250" s="133"/>
    </row>
    <row r="251" customFormat="false" ht="15" hidden="false" customHeight="false" outlineLevel="0" collapsed="false">
      <c r="B251" s="132"/>
      <c r="C251" s="133"/>
      <c r="D251" s="133"/>
      <c r="E251" s="134"/>
      <c r="F251" s="134"/>
      <c r="G251" s="69" t="str">
        <f aca="false">IF($B251="","",N($E251)*N($F251))</f>
        <v/>
      </c>
      <c r="H251" s="133"/>
    </row>
    <row r="252" customFormat="false" ht="15" hidden="false" customHeight="false" outlineLevel="0" collapsed="false">
      <c r="B252" s="132"/>
      <c r="C252" s="133"/>
      <c r="D252" s="133"/>
      <c r="E252" s="134"/>
      <c r="F252" s="134"/>
      <c r="G252" s="69" t="str">
        <f aca="false">IF($B252="","",N($E252)*N($F252))</f>
        <v/>
      </c>
      <c r="H252" s="133"/>
    </row>
    <row r="253" customFormat="false" ht="15" hidden="false" customHeight="false" outlineLevel="0" collapsed="false">
      <c r="B253" s="132"/>
      <c r="C253" s="133"/>
      <c r="D253" s="133"/>
      <c r="E253" s="134"/>
      <c r="F253" s="134"/>
      <c r="G253" s="69" t="str">
        <f aca="false">IF($B253="","",N($E253)*N($F253))</f>
        <v/>
      </c>
      <c r="H253" s="133"/>
    </row>
    <row r="254" customFormat="false" ht="15" hidden="false" customHeight="false" outlineLevel="0" collapsed="false">
      <c r="B254" s="132"/>
      <c r="C254" s="133"/>
      <c r="D254" s="133"/>
      <c r="E254" s="134"/>
      <c r="F254" s="134"/>
      <c r="G254" s="69" t="str">
        <f aca="false">IF($B254="","",N($E254)*N($F254))</f>
        <v/>
      </c>
      <c r="H254" s="133"/>
    </row>
    <row r="255" customFormat="false" ht="15" hidden="false" customHeight="false" outlineLevel="0" collapsed="false">
      <c r="B255" s="132"/>
      <c r="C255" s="133"/>
      <c r="D255" s="133"/>
      <c r="E255" s="134"/>
      <c r="F255" s="134"/>
      <c r="G255" s="69" t="str">
        <f aca="false">IF($B255="","",N($E255)*N($F255))</f>
        <v/>
      </c>
      <c r="H255" s="133"/>
    </row>
    <row r="256" customFormat="false" ht="15" hidden="false" customHeight="false" outlineLevel="0" collapsed="false">
      <c r="B256" s="132"/>
      <c r="C256" s="133"/>
      <c r="D256" s="133"/>
      <c r="E256" s="134"/>
      <c r="F256" s="134"/>
      <c r="G256" s="69" t="str">
        <f aca="false">IF($B256="","",N($E256)*N($F256))</f>
        <v/>
      </c>
      <c r="H256" s="133"/>
    </row>
    <row r="257" customFormat="false" ht="15" hidden="false" customHeight="false" outlineLevel="0" collapsed="false">
      <c r="B257" s="132"/>
      <c r="C257" s="133"/>
      <c r="D257" s="133"/>
      <c r="E257" s="134"/>
      <c r="F257" s="134"/>
      <c r="G257" s="69" t="str">
        <f aca="false">IF($B257="","",N($E257)*N($F257))</f>
        <v/>
      </c>
      <c r="H257" s="133"/>
    </row>
    <row r="258" customFormat="false" ht="15" hidden="false" customHeight="false" outlineLevel="0" collapsed="false">
      <c r="B258" s="132"/>
      <c r="C258" s="133"/>
      <c r="D258" s="133"/>
      <c r="E258" s="134"/>
      <c r="F258" s="134"/>
      <c r="G258" s="69" t="str">
        <f aca="false">IF($B258="","",N($E258)*N($F258))</f>
        <v/>
      </c>
      <c r="H258" s="133"/>
    </row>
    <row r="259" customFormat="false" ht="15" hidden="false" customHeight="false" outlineLevel="0" collapsed="false">
      <c r="B259" s="132"/>
      <c r="C259" s="133"/>
      <c r="D259" s="133"/>
      <c r="E259" s="134"/>
      <c r="F259" s="134"/>
      <c r="G259" s="69" t="str">
        <f aca="false">IF($B259="","",N($E259)*N($F259))</f>
        <v/>
      </c>
      <c r="H259" s="133"/>
    </row>
    <row r="260" customFormat="false" ht="15" hidden="false" customHeight="false" outlineLevel="0" collapsed="false">
      <c r="B260" s="132"/>
      <c r="C260" s="133"/>
      <c r="D260" s="133"/>
      <c r="E260" s="134"/>
      <c r="F260" s="134"/>
      <c r="G260" s="69" t="str">
        <f aca="false">IF($B260="","",N($E260)*N($F260))</f>
        <v/>
      </c>
      <c r="H260" s="133"/>
    </row>
    <row r="261" customFormat="false" ht="15" hidden="false" customHeight="false" outlineLevel="0" collapsed="false">
      <c r="B261" s="132"/>
      <c r="C261" s="133"/>
      <c r="D261" s="133"/>
      <c r="E261" s="134"/>
      <c r="F261" s="134"/>
      <c r="G261" s="69" t="str">
        <f aca="false">IF($B261="","",N($E261)*N($F261))</f>
        <v/>
      </c>
      <c r="H261" s="133"/>
    </row>
    <row r="262" customFormat="false" ht="15" hidden="false" customHeight="false" outlineLevel="0" collapsed="false">
      <c r="B262" s="132"/>
      <c r="C262" s="133"/>
      <c r="D262" s="133"/>
      <c r="E262" s="134"/>
      <c r="F262" s="134"/>
      <c r="G262" s="69" t="str">
        <f aca="false">IF($B262="","",N($E262)*N($F262))</f>
        <v/>
      </c>
      <c r="H262" s="133"/>
    </row>
    <row r="263" customFormat="false" ht="15" hidden="false" customHeight="false" outlineLevel="0" collapsed="false">
      <c r="B263" s="132"/>
      <c r="C263" s="133"/>
      <c r="D263" s="133"/>
      <c r="E263" s="134"/>
      <c r="F263" s="134"/>
      <c r="G263" s="69" t="str">
        <f aca="false">IF($B263="","",N($E263)*N($F263))</f>
        <v/>
      </c>
      <c r="H263" s="133"/>
    </row>
    <row r="264" customFormat="false" ht="15" hidden="false" customHeight="false" outlineLevel="0" collapsed="false">
      <c r="B264" s="132"/>
      <c r="C264" s="133"/>
      <c r="D264" s="133"/>
      <c r="E264" s="134"/>
      <c r="F264" s="134"/>
      <c r="G264" s="69" t="str">
        <f aca="false">IF($B264="","",N($E264)*N($F264))</f>
        <v/>
      </c>
      <c r="H264" s="133"/>
    </row>
    <row r="265" customFormat="false" ht="15" hidden="false" customHeight="false" outlineLevel="0" collapsed="false">
      <c r="B265" s="132"/>
      <c r="C265" s="133"/>
      <c r="D265" s="133"/>
      <c r="E265" s="134"/>
      <c r="F265" s="134"/>
      <c r="G265" s="69" t="str">
        <f aca="false">IF($B265="","",N($E265)*N($F265))</f>
        <v/>
      </c>
      <c r="H265" s="133"/>
    </row>
    <row r="266" customFormat="false" ht="15" hidden="false" customHeight="false" outlineLevel="0" collapsed="false">
      <c r="B266" s="132"/>
      <c r="C266" s="133"/>
      <c r="D266" s="133"/>
      <c r="E266" s="134"/>
      <c r="F266" s="134"/>
      <c r="G266" s="69" t="str">
        <f aca="false">IF($B266="","",N($E266)*N($F266))</f>
        <v/>
      </c>
      <c r="H266" s="133"/>
    </row>
    <row r="267" customFormat="false" ht="15" hidden="false" customHeight="false" outlineLevel="0" collapsed="false">
      <c r="B267" s="132"/>
      <c r="C267" s="133"/>
      <c r="D267" s="133"/>
      <c r="E267" s="134"/>
      <c r="F267" s="134"/>
      <c r="G267" s="69" t="str">
        <f aca="false">IF($B267="","",N($E267)*N($F267))</f>
        <v/>
      </c>
      <c r="H267" s="133"/>
    </row>
    <row r="268" customFormat="false" ht="15" hidden="false" customHeight="false" outlineLevel="0" collapsed="false">
      <c r="B268" s="132"/>
      <c r="C268" s="133"/>
      <c r="D268" s="133"/>
      <c r="E268" s="134"/>
      <c r="F268" s="134"/>
      <c r="G268" s="69" t="str">
        <f aca="false">IF($B268="","",N($E268)*N($F268))</f>
        <v/>
      </c>
      <c r="H268" s="133"/>
    </row>
    <row r="269" customFormat="false" ht="15" hidden="false" customHeight="false" outlineLevel="0" collapsed="false">
      <c r="B269" s="132"/>
      <c r="C269" s="133"/>
      <c r="D269" s="133"/>
      <c r="E269" s="134"/>
      <c r="F269" s="134"/>
      <c r="G269" s="69" t="str">
        <f aca="false">IF($B269="","",N($E269)*N($F269))</f>
        <v/>
      </c>
      <c r="H269" s="133"/>
    </row>
    <row r="270" customFormat="false" ht="15" hidden="false" customHeight="false" outlineLevel="0" collapsed="false">
      <c r="B270" s="132"/>
      <c r="C270" s="133"/>
      <c r="D270" s="133"/>
      <c r="E270" s="134"/>
      <c r="F270" s="134"/>
      <c r="G270" s="69" t="str">
        <f aca="false">IF($B270="","",N($E270)*N($F270))</f>
        <v/>
      </c>
      <c r="H270" s="133"/>
    </row>
    <row r="271" customFormat="false" ht="15" hidden="false" customHeight="false" outlineLevel="0" collapsed="false">
      <c r="B271" s="132"/>
      <c r="C271" s="133"/>
      <c r="D271" s="133"/>
      <c r="E271" s="134"/>
      <c r="F271" s="134"/>
      <c r="G271" s="69" t="str">
        <f aca="false">IF($B271="","",N($E271)*N($F271))</f>
        <v/>
      </c>
      <c r="H271" s="133"/>
    </row>
    <row r="272" customFormat="false" ht="15" hidden="false" customHeight="false" outlineLevel="0" collapsed="false">
      <c r="B272" s="132"/>
      <c r="C272" s="133"/>
      <c r="D272" s="133"/>
      <c r="E272" s="134"/>
      <c r="F272" s="134"/>
      <c r="G272" s="69" t="str">
        <f aca="false">IF($B272="","",N($E272)*N($F272))</f>
        <v/>
      </c>
      <c r="H272" s="133"/>
    </row>
    <row r="273" customFormat="false" ht="15" hidden="false" customHeight="false" outlineLevel="0" collapsed="false">
      <c r="B273" s="132"/>
      <c r="C273" s="133"/>
      <c r="D273" s="133"/>
      <c r="E273" s="134"/>
      <c r="F273" s="134"/>
      <c r="G273" s="69" t="str">
        <f aca="false">IF($B273="","",N($E273)*N($F273))</f>
        <v/>
      </c>
      <c r="H273" s="133"/>
    </row>
    <row r="274" customFormat="false" ht="15" hidden="false" customHeight="false" outlineLevel="0" collapsed="false">
      <c r="B274" s="132"/>
      <c r="C274" s="133"/>
      <c r="D274" s="133"/>
      <c r="E274" s="134"/>
      <c r="F274" s="134"/>
      <c r="G274" s="69" t="str">
        <f aca="false">IF($B274="","",N($E274)*N($F274))</f>
        <v/>
      </c>
      <c r="H274" s="133"/>
    </row>
    <row r="275" customFormat="false" ht="15" hidden="false" customHeight="false" outlineLevel="0" collapsed="false">
      <c r="B275" s="132"/>
      <c r="C275" s="133"/>
      <c r="D275" s="133"/>
      <c r="E275" s="134"/>
      <c r="F275" s="134"/>
      <c r="G275" s="69" t="str">
        <f aca="false">IF($B275="","",N($E275)*N($F275))</f>
        <v/>
      </c>
      <c r="H275" s="133"/>
    </row>
    <row r="276" customFormat="false" ht="15" hidden="false" customHeight="false" outlineLevel="0" collapsed="false">
      <c r="B276" s="132"/>
      <c r="C276" s="133"/>
      <c r="D276" s="133"/>
      <c r="E276" s="134"/>
      <c r="F276" s="134"/>
      <c r="G276" s="69" t="str">
        <f aca="false">IF($B276="","",N($E276)*N($F276))</f>
        <v/>
      </c>
      <c r="H276" s="133"/>
    </row>
    <row r="277" customFormat="false" ht="15" hidden="false" customHeight="false" outlineLevel="0" collapsed="false">
      <c r="B277" s="132"/>
      <c r="C277" s="133"/>
      <c r="D277" s="133"/>
      <c r="E277" s="134"/>
      <c r="F277" s="134"/>
      <c r="G277" s="69" t="str">
        <f aca="false">IF($B277="","",N($E277)*N($F277))</f>
        <v/>
      </c>
      <c r="H277" s="133"/>
    </row>
    <row r="278" customFormat="false" ht="15" hidden="false" customHeight="false" outlineLevel="0" collapsed="false">
      <c r="B278" s="132"/>
      <c r="C278" s="133"/>
      <c r="D278" s="133"/>
      <c r="E278" s="134"/>
      <c r="F278" s="134"/>
      <c r="G278" s="69" t="str">
        <f aca="false">IF($B278="","",N($E278)*N($F278))</f>
        <v/>
      </c>
      <c r="H278" s="133"/>
    </row>
    <row r="279" customFormat="false" ht="15" hidden="false" customHeight="false" outlineLevel="0" collapsed="false">
      <c r="B279" s="132"/>
      <c r="C279" s="133"/>
      <c r="D279" s="133"/>
      <c r="E279" s="134"/>
      <c r="F279" s="134"/>
      <c r="G279" s="69" t="str">
        <f aca="false">IF($B279="","",N($E279)*N($F279))</f>
        <v/>
      </c>
      <c r="H279" s="133"/>
    </row>
    <row r="280" customFormat="false" ht="15" hidden="false" customHeight="false" outlineLevel="0" collapsed="false">
      <c r="B280" s="132"/>
      <c r="C280" s="133"/>
      <c r="D280" s="133"/>
      <c r="E280" s="134"/>
      <c r="F280" s="134"/>
      <c r="G280" s="69" t="str">
        <f aca="false">IF($B280="","",N($E280)*N($F280))</f>
        <v/>
      </c>
      <c r="H280" s="133"/>
    </row>
    <row r="281" customFormat="false" ht="15" hidden="false" customHeight="false" outlineLevel="0" collapsed="false">
      <c r="B281" s="132"/>
      <c r="C281" s="133"/>
      <c r="D281" s="133"/>
      <c r="E281" s="134"/>
      <c r="F281" s="134"/>
      <c r="G281" s="69" t="str">
        <f aca="false">IF($B281="","",N($E281)*N($F281))</f>
        <v/>
      </c>
      <c r="H281" s="133"/>
    </row>
    <row r="282" customFormat="false" ht="15" hidden="false" customHeight="false" outlineLevel="0" collapsed="false">
      <c r="B282" s="132"/>
      <c r="C282" s="133"/>
      <c r="D282" s="133"/>
      <c r="E282" s="134"/>
      <c r="F282" s="134"/>
      <c r="G282" s="69" t="str">
        <f aca="false">IF($B282="","",N($E282)*N($F282))</f>
        <v/>
      </c>
      <c r="H282" s="133"/>
    </row>
    <row r="283" customFormat="false" ht="15" hidden="false" customHeight="false" outlineLevel="0" collapsed="false">
      <c r="B283" s="132"/>
      <c r="C283" s="133"/>
      <c r="D283" s="133"/>
      <c r="E283" s="134"/>
      <c r="F283" s="134"/>
      <c r="G283" s="69" t="str">
        <f aca="false">IF($B283="","",N($E283)*N($F283))</f>
        <v/>
      </c>
      <c r="H283" s="133"/>
    </row>
    <row r="284" customFormat="false" ht="15" hidden="false" customHeight="false" outlineLevel="0" collapsed="false">
      <c r="B284" s="132"/>
      <c r="C284" s="133"/>
      <c r="D284" s="133"/>
      <c r="E284" s="134"/>
      <c r="F284" s="134"/>
      <c r="G284" s="69" t="str">
        <f aca="false">IF($B284="","",N($E284)*N($F284))</f>
        <v/>
      </c>
      <c r="H284" s="133"/>
    </row>
    <row r="285" customFormat="false" ht="15" hidden="false" customHeight="false" outlineLevel="0" collapsed="false">
      <c r="B285" s="132"/>
      <c r="C285" s="133"/>
      <c r="D285" s="133"/>
      <c r="E285" s="134"/>
      <c r="F285" s="134"/>
      <c r="G285" s="69" t="str">
        <f aca="false">IF($B285="","",N($E285)*N($F285))</f>
        <v/>
      </c>
      <c r="H285" s="133"/>
    </row>
    <row r="286" customFormat="false" ht="15" hidden="false" customHeight="false" outlineLevel="0" collapsed="false">
      <c r="B286" s="132"/>
      <c r="C286" s="133"/>
      <c r="D286" s="133"/>
      <c r="E286" s="134"/>
      <c r="F286" s="134"/>
      <c r="G286" s="69" t="str">
        <f aca="false">IF($B286="","",N($E286)*N($F286))</f>
        <v/>
      </c>
      <c r="H286" s="133"/>
    </row>
    <row r="287" customFormat="false" ht="15" hidden="false" customHeight="false" outlineLevel="0" collapsed="false">
      <c r="B287" s="132"/>
      <c r="C287" s="133"/>
      <c r="D287" s="133"/>
      <c r="E287" s="134"/>
      <c r="F287" s="134"/>
      <c r="G287" s="69" t="str">
        <f aca="false">IF($B287="","",N($E287)*N($F287))</f>
        <v/>
      </c>
      <c r="H287" s="133"/>
    </row>
    <row r="288" customFormat="false" ht="15" hidden="false" customHeight="false" outlineLevel="0" collapsed="false">
      <c r="B288" s="132"/>
      <c r="C288" s="133"/>
      <c r="D288" s="133"/>
      <c r="E288" s="134"/>
      <c r="F288" s="134"/>
      <c r="G288" s="69" t="str">
        <f aca="false">IF($B288="","",N($E288)*N($F288))</f>
        <v/>
      </c>
      <c r="H288" s="133"/>
    </row>
    <row r="289" customFormat="false" ht="15" hidden="false" customHeight="false" outlineLevel="0" collapsed="false">
      <c r="B289" s="132"/>
      <c r="C289" s="133"/>
      <c r="D289" s="133"/>
      <c r="E289" s="134"/>
      <c r="F289" s="134"/>
      <c r="G289" s="69" t="str">
        <f aca="false">IF($B289="","",N($E289)*N($F289))</f>
        <v/>
      </c>
      <c r="H289" s="133"/>
    </row>
    <row r="290" customFormat="false" ht="15" hidden="false" customHeight="false" outlineLevel="0" collapsed="false">
      <c r="B290" s="132"/>
      <c r="C290" s="133"/>
      <c r="D290" s="133"/>
      <c r="E290" s="134"/>
      <c r="F290" s="134"/>
      <c r="G290" s="69" t="str">
        <f aca="false">IF($B290="","",N($E290)*N($F290))</f>
        <v/>
      </c>
      <c r="H290" s="133"/>
    </row>
    <row r="291" customFormat="false" ht="15" hidden="false" customHeight="false" outlineLevel="0" collapsed="false">
      <c r="B291" s="132"/>
      <c r="C291" s="133"/>
      <c r="D291" s="133"/>
      <c r="E291" s="134"/>
      <c r="F291" s="134"/>
      <c r="G291" s="69" t="str">
        <f aca="false">IF($B291="","",N($E291)*N($F291))</f>
        <v/>
      </c>
      <c r="H291" s="133"/>
    </row>
    <row r="292" customFormat="false" ht="15" hidden="false" customHeight="false" outlineLevel="0" collapsed="false">
      <c r="B292" s="132"/>
      <c r="C292" s="133"/>
      <c r="D292" s="133"/>
      <c r="E292" s="134"/>
      <c r="F292" s="134"/>
      <c r="G292" s="69" t="str">
        <f aca="false">IF($B292="","",N($E292)*N($F292))</f>
        <v/>
      </c>
      <c r="H292" s="133"/>
    </row>
    <row r="293" customFormat="false" ht="15" hidden="false" customHeight="false" outlineLevel="0" collapsed="false">
      <c r="B293" s="132"/>
      <c r="C293" s="133"/>
      <c r="D293" s="133"/>
      <c r="E293" s="134"/>
      <c r="F293" s="134"/>
      <c r="G293" s="69" t="str">
        <f aca="false">IF($B293="","",N($E293)*N($F293))</f>
        <v/>
      </c>
      <c r="H293" s="133"/>
    </row>
    <row r="294" customFormat="false" ht="15" hidden="false" customHeight="false" outlineLevel="0" collapsed="false">
      <c r="B294" s="132"/>
      <c r="C294" s="133"/>
      <c r="D294" s="133"/>
      <c r="E294" s="134"/>
      <c r="F294" s="134"/>
      <c r="G294" s="69" t="str">
        <f aca="false">IF($B294="","",N($E294)*N($F294))</f>
        <v/>
      </c>
      <c r="H294" s="133"/>
    </row>
    <row r="295" customFormat="false" ht="15" hidden="false" customHeight="false" outlineLevel="0" collapsed="false">
      <c r="B295" s="132"/>
      <c r="C295" s="133"/>
      <c r="D295" s="133"/>
      <c r="E295" s="134"/>
      <c r="F295" s="134"/>
      <c r="G295" s="69" t="str">
        <f aca="false">IF($B295="","",N($E295)*N($F295))</f>
        <v/>
      </c>
      <c r="H295" s="133"/>
    </row>
    <row r="296" customFormat="false" ht="15" hidden="false" customHeight="false" outlineLevel="0" collapsed="false">
      <c r="B296" s="132"/>
      <c r="C296" s="133"/>
      <c r="D296" s="133"/>
      <c r="E296" s="134"/>
      <c r="F296" s="134"/>
      <c r="G296" s="69" t="str">
        <f aca="false">IF($B296="","",N($E296)*N($F296))</f>
        <v/>
      </c>
      <c r="H296" s="133"/>
    </row>
    <row r="297" customFormat="false" ht="15" hidden="false" customHeight="false" outlineLevel="0" collapsed="false">
      <c r="B297" s="132"/>
      <c r="C297" s="133"/>
      <c r="D297" s="133"/>
      <c r="E297" s="134"/>
      <c r="F297" s="134"/>
      <c r="G297" s="69" t="str">
        <f aca="false">IF($B297="","",N($E297)*N($F297))</f>
        <v/>
      </c>
      <c r="H297" s="133"/>
    </row>
    <row r="298" customFormat="false" ht="15" hidden="false" customHeight="false" outlineLevel="0" collapsed="false">
      <c r="B298" s="132"/>
      <c r="C298" s="133"/>
      <c r="D298" s="133"/>
      <c r="E298" s="134"/>
      <c r="F298" s="134"/>
      <c r="G298" s="69" t="str">
        <f aca="false">IF($B298="","",N($E298)*N($F298))</f>
        <v/>
      </c>
      <c r="H298" s="133"/>
    </row>
    <row r="299" customFormat="false" ht="15" hidden="false" customHeight="false" outlineLevel="0" collapsed="false">
      <c r="B299" s="132"/>
      <c r="C299" s="133"/>
      <c r="D299" s="133"/>
      <c r="E299" s="134"/>
      <c r="F299" s="134"/>
      <c r="G299" s="69" t="str">
        <f aca="false">IF($B299="","",N($E299)*N($F299))</f>
        <v/>
      </c>
      <c r="H299" s="133"/>
    </row>
    <row r="300" customFormat="false" ht="15" hidden="false" customHeight="false" outlineLevel="0" collapsed="false">
      <c r="B300" s="132"/>
      <c r="C300" s="133"/>
      <c r="D300" s="133"/>
      <c r="E300" s="134"/>
      <c r="F300" s="134"/>
      <c r="G300" s="69" t="str">
        <f aca="false">IF($B300="","",N($E300)*N($F300))</f>
        <v/>
      </c>
      <c r="H300" s="133"/>
    </row>
    <row r="301" customFormat="false" ht="15" hidden="false" customHeight="false" outlineLevel="0" collapsed="false">
      <c r="B301" s="132"/>
      <c r="C301" s="133"/>
      <c r="D301" s="133"/>
      <c r="E301" s="134"/>
      <c r="F301" s="134"/>
      <c r="G301" s="69" t="str">
        <f aca="false">IF($B301="","",N($E301)*N($F301))</f>
        <v/>
      </c>
      <c r="H301" s="133"/>
    </row>
    <row r="302" customFormat="false" ht="15" hidden="false" customHeight="false" outlineLevel="0" collapsed="false">
      <c r="B302" s="132"/>
      <c r="C302" s="133"/>
      <c r="D302" s="133"/>
      <c r="E302" s="134"/>
      <c r="F302" s="134"/>
      <c r="G302" s="69" t="str">
        <f aca="false">IF($B302="","",N($E302)*N($F302))</f>
        <v/>
      </c>
      <c r="H302" s="133"/>
    </row>
    <row r="303" customFormat="false" ht="15" hidden="false" customHeight="false" outlineLevel="0" collapsed="false">
      <c r="B303" s="132"/>
      <c r="C303" s="133"/>
      <c r="D303" s="133"/>
      <c r="E303" s="134"/>
      <c r="F303" s="134"/>
      <c r="G303" s="69" t="str">
        <f aca="false">IF($B303="","",N($E303)*N($F303))</f>
        <v/>
      </c>
      <c r="H303" s="133"/>
    </row>
    <row r="304" customFormat="false" ht="15" hidden="false" customHeight="false" outlineLevel="0" collapsed="false">
      <c r="B304" s="132"/>
      <c r="C304" s="133"/>
      <c r="D304" s="133"/>
      <c r="E304" s="134"/>
      <c r="F304" s="134"/>
      <c r="G304" s="69" t="str">
        <f aca="false">IF($B304="","",N($E304)*N($F304))</f>
        <v/>
      </c>
      <c r="H304" s="133"/>
    </row>
    <row r="305" customFormat="false" ht="15" hidden="false" customHeight="false" outlineLevel="0" collapsed="false">
      <c r="B305" s="132"/>
      <c r="C305" s="133"/>
      <c r="D305" s="133"/>
      <c r="E305" s="134"/>
      <c r="F305" s="134"/>
      <c r="G305" s="69" t="str">
        <f aca="false">IF($B305="","",N($E305)*N($F305))</f>
        <v/>
      </c>
      <c r="H305" s="133"/>
    </row>
    <row r="306" customFormat="false" ht="15" hidden="false" customHeight="false" outlineLevel="0" collapsed="false">
      <c r="B306" s="132"/>
      <c r="C306" s="133"/>
      <c r="D306" s="133"/>
      <c r="E306" s="134"/>
      <c r="F306" s="134"/>
      <c r="G306" s="69" t="str">
        <f aca="false">IF($B306="","",N($E306)*N($F306))</f>
        <v/>
      </c>
      <c r="H306" s="133"/>
    </row>
    <row r="307" customFormat="false" ht="15" hidden="false" customHeight="false" outlineLevel="0" collapsed="false">
      <c r="B307" s="132"/>
      <c r="C307" s="133"/>
      <c r="D307" s="133"/>
      <c r="E307" s="134"/>
      <c r="F307" s="134"/>
      <c r="G307" s="69" t="str">
        <f aca="false">IF($B307="","",N($E307)*N($F307))</f>
        <v/>
      </c>
      <c r="H307" s="133"/>
    </row>
    <row r="308" customFormat="false" ht="15" hidden="false" customHeight="false" outlineLevel="0" collapsed="false">
      <c r="B308" s="132"/>
      <c r="C308" s="133"/>
      <c r="D308" s="133"/>
      <c r="E308" s="134"/>
      <c r="F308" s="134"/>
      <c r="G308" s="69" t="str">
        <f aca="false">IF($B308="","",N($E308)*N($F308))</f>
        <v/>
      </c>
      <c r="H308" s="133"/>
    </row>
    <row r="309" customFormat="false" ht="15" hidden="false" customHeight="false" outlineLevel="0" collapsed="false">
      <c r="B309" s="132"/>
      <c r="C309" s="133"/>
      <c r="D309" s="133"/>
      <c r="E309" s="134"/>
      <c r="F309" s="134"/>
      <c r="G309" s="69" t="str">
        <f aca="false">IF($B309="","",N($E309)*N($F309))</f>
        <v/>
      </c>
      <c r="H309" s="133"/>
    </row>
    <row r="311" customFormat="false" ht="15" hidden="false" customHeight="false" outlineLevel="0" collapsed="false">
      <c r="B311" s="104" t="s">
        <v>708</v>
      </c>
    </row>
  </sheetData>
  <dataValidations count="3">
    <dataValidation allowBlank="true" errorStyle="stop" operator="between" showDropDown="false" showErrorMessage="false" showInputMessage="false" sqref="D6:D105" type="list">
      <formula1>"大規模,中規模,小規模"</formula1>
      <formula2>0</formula2>
    </dataValidation>
    <dataValidation allowBlank="true" errorStyle="stop" operator="between" showDropDown="false" showErrorMessage="false" showInputMessage="false" sqref="E6:E105" type="list">
      <formula1>"1杯売り,ドリンクバー"</formula1>
      <formula2>0</formula2>
    </dataValidation>
    <dataValidation allowBlank="true" errorStyle="stop" operator="between" showDropDown="false" showErrorMessage="false" showInputMessage="false" sqref="C110:C309" type="list">
      <formula1>"常温,冷蔵,冷凍"</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0" width="28"/>
    <col collapsed="false" customWidth="true" hidden="false" outlineLevel="0" max="3" min="3" style="0" width="26"/>
    <col collapsed="false" customWidth="true" hidden="false" outlineLevel="0" max="4" min="4" style="0" width="62"/>
  </cols>
  <sheetData>
    <row r="2" customFormat="false" ht="18.55" hidden="false" customHeight="false" outlineLevel="0" collapsed="false">
      <c r="B2" s="1" t="s">
        <v>709</v>
      </c>
    </row>
    <row r="3" customFormat="false" ht="15" hidden="false" customHeight="false" outlineLevel="0" collapsed="false">
      <c r="B3" s="31" t="s">
        <v>710</v>
      </c>
    </row>
    <row r="4" customFormat="false" ht="15" hidden="false" customHeight="false" outlineLevel="0" collapsed="false">
      <c r="B4" s="145" t="s">
        <v>711</v>
      </c>
      <c r="C4" s="130" t="s">
        <v>171</v>
      </c>
      <c r="D4" s="31" t="s">
        <v>712</v>
      </c>
    </row>
    <row r="5" customFormat="false" ht="15" hidden="false" customHeight="false" outlineLevel="0" collapsed="false">
      <c r="B5" s="145" t="s">
        <v>153</v>
      </c>
      <c r="C5" s="66" t="str">
        <f aca="false">IFERROR(INDEX(定数マスタ!$C$6:$C$105,MATCH($C$4,定数マスタ!$B$6:$B$105,0)),"")</f>
        <v>新宿</v>
      </c>
      <c r="D5" s="31" t="s">
        <v>713</v>
      </c>
    </row>
    <row r="6" customFormat="false" ht="15" hidden="false" customHeight="false" outlineLevel="0" collapsed="false">
      <c r="B6" s="145" t="s">
        <v>714</v>
      </c>
      <c r="C6" s="87" t="n">
        <f aca="false">IFERROR(DATE(LEFT(TEXT(INDEX(①今日の在庫を貼る!$A$6:$A$10005,MATCH($C$4,①今日の在庫を貼る!$B$6:$B$10005,0)),"00000000"),4),MID(TEXT(INDEX(①今日の在庫を貼る!$A$6:$A$10005,MATCH($C$4,①今日の在庫を貼る!$B$6:$B$10005,0)),"00000000"),5,2),RIGHT(TEXT(INDEX(①今日の在庫を貼る!$A$6:$A$10005,MATCH($C$4,①今日の在庫を貼る!$B$6:$B$10005,0)),"00000000"),2)),"")</f>
        <v>46143</v>
      </c>
      <c r="D6" s="31" t="s">
        <v>715</v>
      </c>
    </row>
    <row r="7" customFormat="false" ht="15" hidden="false" customHeight="false" outlineLevel="0" collapsed="false">
      <c r="B7" s="146" t="s">
        <v>716</v>
      </c>
      <c r="C7" s="87" t="n">
        <f aca="false">IFERROR(DATE(LEFT(TEXT(INDEX(月1回_前回の在庫を貼る!$A$6:$A$10005,MATCH($C$4,月1回_前回の在庫を貼る!$B$6:$B$10005,0)),"00000000"),4),MID(TEXT(INDEX(月1回_前回の在庫を貼る!$A$6:$A$10005,MATCH($C$4,月1回_前回の在庫を貼る!$B$6:$B$10005,0)),"00000000"),5,2),RIGHT(TEXT(INDEX(月1回_前回の在庫を貼る!$A$6:$A$10005,MATCH($C$4,月1回_前回の在庫を貼る!$B$6:$B$10005,0)),"00000000"),2)),"")</f>
        <v>46082</v>
      </c>
      <c r="D7" s="31" t="s">
        <v>717</v>
      </c>
    </row>
    <row r="8" customFormat="false" ht="15" hidden="false" customHeight="false" outlineLevel="0" collapsed="false">
      <c r="B8" s="145" t="s">
        <v>718</v>
      </c>
      <c r="C8" s="69" t="n">
        <f aca="false">IF(OR($C$6="",$C$7=""),"",$C$6-$C$7)</f>
        <v>61</v>
      </c>
      <c r="D8" s="31" t="s">
        <v>719</v>
      </c>
    </row>
    <row r="9" customFormat="false" ht="15" hidden="false" customHeight="false" outlineLevel="0" collapsed="false">
      <c r="B9" s="145" t="s">
        <v>720</v>
      </c>
      <c r="C9" s="80" t="s">
        <v>721</v>
      </c>
      <c r="D9" s="31" t="s">
        <v>722</v>
      </c>
    </row>
    <row r="10" customFormat="false" ht="15" hidden="false" customHeight="false" outlineLevel="0" collapsed="false">
      <c r="B10" s="145" t="s">
        <v>652</v>
      </c>
      <c r="C10" s="66" t="str">
        <f aca="false">IFERROR(INDEX(定数マスタ!$D$6:$D$105,MATCH($C$4,定数マスタ!$B$6:$B$105,0)),"")</f>
        <v>大規模</v>
      </c>
      <c r="D10" s="31" t="s">
        <v>713</v>
      </c>
    </row>
    <row r="11" customFormat="false" ht="15" hidden="false" customHeight="false" outlineLevel="0" collapsed="false">
      <c r="B11" s="146" t="s">
        <v>723</v>
      </c>
      <c r="C11" s="66" t="str">
        <f aca="false">IFERROR(INDEX(定数マスタ!$E$6:$E$105,MATCH($C$4,定数マスタ!$B$6:$B$105,0)),"")</f>
        <v>1杯売り</v>
      </c>
      <c r="D11" s="31" t="s">
        <v>724</v>
      </c>
    </row>
    <row r="12" customFormat="false" ht="15" hidden="false" customHeight="false" outlineLevel="0" collapsed="false">
      <c r="B12" s="145" t="s">
        <v>661</v>
      </c>
      <c r="C12" s="143" t="n">
        <f aca="false">IF($C$4="","",IF(IFERROR(INDEX(定数マスタ!$G$6:$G$105,MATCH($C$4,定数マスタ!$B$6:$B$105,0)),"")&lt;&gt;"",INDEX(定数マスタ!$G$6:$G$105,MATCH($C$4,定数マスタ!$B$6:$B$105,0)),IFERROR(INDEX(定数マスタ!$P$6:$P$8,MATCH($C$10,定数マスタ!$N$6:$N$8,0)),"")))</f>
        <v>4</v>
      </c>
      <c r="D12" s="31" t="s">
        <v>725</v>
      </c>
    </row>
    <row r="13" customFormat="false" ht="15" hidden="false" customHeight="false" outlineLevel="0" collapsed="false">
      <c r="B13" s="145" t="s">
        <v>726</v>
      </c>
      <c r="C13" s="69" t="n">
        <f aca="false">IF($C$4="","",IF(IFERROR(INDEX(定数マスタ!$H$6:$H$105,MATCH($C$4,定数マスタ!$B$6:$B$105,0)),"")&lt;&gt;"",INDEX(定数マスタ!$H$6:$H$105,MATCH($C$4,定数マスタ!$B$6:$B$105,0)),IFERROR(INDEX(定数マスタ!$Q$6:$Q$8,MATCH($C$10,定数マスタ!$N$6:$N$8,0)),"")))</f>
        <v>7</v>
      </c>
      <c r="D13" s="31" t="s">
        <v>727</v>
      </c>
    </row>
    <row r="14" customFormat="false" ht="15" hidden="false" customHeight="false" outlineLevel="0" collapsed="false">
      <c r="B14" s="145" t="s">
        <v>728</v>
      </c>
      <c r="C14" s="69" t="n">
        <f aca="false">IF($C$4="","",IF(IFERROR(INDEX(定数マスタ!$F$6:$F$105,MATCH($C$4,定数マスタ!$B$6:$B$105,0)),"")&lt;&gt;"",INDEX(定数マスタ!$F$6:$F$105,MATCH($C$4,定数マスタ!$B$6:$B$105,0)),IFERROR(INDEX(定数マスタ!$O$6:$O$8,MATCH($C$10,定数マスタ!$N$6:$N$8,0)),"")))</f>
        <v>3000</v>
      </c>
      <c r="D14" s="31" t="s">
        <v>729</v>
      </c>
    </row>
    <row r="15" customFormat="false" ht="15" hidden="false" customHeight="false" outlineLevel="0" collapsed="false">
      <c r="B15" s="145" t="s">
        <v>556</v>
      </c>
      <c r="C15" s="89" t="n">
        <f aca="false">IF($C$6="",1,IF(SUMPRODUCT(MAX((定数マスタ!$X$6:$X$25&lt;=$C$6)*(定数マスタ!$Y$6:$Y$25&gt;=$C$6)*定数マスタ!$Z$6:$Z$25))=0,IFERROR(INDEX(定数マスタ!$U$6:$U$17,MONTH($C$6)),1),SUMPRODUCT(MAX((定数マスタ!$X$6:$X$25&lt;=$C$6)*(定数マスタ!$Y$6:$Y$25&gt;=$C$6)*定数マスタ!$Z$6:$Z$25))))</f>
        <v>1.45</v>
      </c>
      <c r="D15" s="31" t="s">
        <v>730</v>
      </c>
    </row>
    <row r="16" customFormat="false" ht="15" hidden="false" customHeight="false" outlineLevel="0" collapsed="false">
      <c r="B16" s="145" t="s">
        <v>731</v>
      </c>
      <c r="C16" s="80" t="s">
        <v>631</v>
      </c>
      <c r="D16" s="31" t="s">
        <v>732</v>
      </c>
    </row>
    <row r="17" customFormat="false" ht="15" hidden="false" customHeight="false" outlineLevel="0" collapsed="false">
      <c r="B17" s="145" t="s">
        <v>733</v>
      </c>
      <c r="C17" s="69" t="n">
        <f aca="false">COUNTIF(①今日の在庫を貼る!$B$6:$B$10005,$C$4)</f>
        <v>134</v>
      </c>
      <c r="D17" s="104" t="s">
        <v>734</v>
      </c>
    </row>
    <row r="18" customFormat="false" ht="15" hidden="false" customHeight="false" outlineLevel="0" collapsed="false">
      <c r="B18" s="146" t="s">
        <v>735</v>
      </c>
      <c r="C18" s="69" t="n">
        <f aca="false">COUNTIF(月1回_前回の在庫を貼る!$B$6:$B$10005,$C$4)</f>
        <v>134</v>
      </c>
      <c r="D18" s="31" t="s">
        <v>736</v>
      </c>
    </row>
    <row r="19" customFormat="false" ht="15" hidden="false" customHeight="false" outlineLevel="0" collapsed="false">
      <c r="B19" s="145" t="s">
        <v>580</v>
      </c>
      <c r="C19" s="69" t="n">
        <f aca="false">MAX(①今日の在庫を貼る!$U$6:$U$10005)+MAX(月1回_前回の在庫を貼る!$U$6:$U$10005)</f>
        <v>136</v>
      </c>
      <c r="D19" s="31" t="s">
        <v>737</v>
      </c>
    </row>
    <row r="20" customFormat="false" ht="15" hidden="false" customHeight="false" outlineLevel="0" collapsed="false">
      <c r="B20" s="145" t="s">
        <v>738</v>
      </c>
      <c r="C20" s="69" t="n">
        <f aca="false">COUNT(随時_動員を入れる!$D$8:$D$97)</f>
        <v>23</v>
      </c>
      <c r="D20" s="104" t="s">
        <v>739</v>
      </c>
    </row>
    <row r="22" customFormat="false" ht="15" hidden="false" customHeight="false" outlineLevel="0" collapsed="false">
      <c r="B22" s="31" t="s">
        <v>740</v>
      </c>
    </row>
  </sheetData>
  <dataValidations count="2">
    <dataValidation allowBlank="true" errorStyle="stop" operator="between" showDropDown="false" showErrorMessage="false" showInputMessage="false" sqref="C4" type="list">
      <formula1>定数マスタ!$B$6:$B$105</formula1>
      <formula2>0</formula2>
    </dataValidation>
    <dataValidation allowBlank="true" errorStyle="stop" operator="between" showDropDown="false" showErrorMessage="false" showInputMessage="false" sqref="C9" type="list">
      <formula1>"実績消費,PI値予測,最大値"</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1D24"/>
    <pageSetUpPr fitToPage="false"/>
  </sheetPr>
  <dimension ref="B2:AH4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2" min="2" style="0" width="5"/>
    <col collapsed="false" customWidth="true" hidden="false" outlineLevel="0" max="3" min="3" style="0" width="16"/>
    <col collapsed="false" customWidth="true" hidden="false" outlineLevel="0" max="4" min="4" style="0" width="30"/>
    <col collapsed="false" customWidth="true" hidden="false" outlineLevel="0" max="5" min="5" style="0" width="16"/>
    <col collapsed="false" customWidth="true" hidden="false" outlineLevel="0" max="6" min="6" style="0" width="22"/>
    <col collapsed="false" customWidth="true" hidden="false" outlineLevel="0" max="7" min="7" style="0" width="8"/>
    <col collapsed="false" customWidth="true" hidden="false" outlineLevel="0" max="8" min="8" style="0" width="11"/>
    <col collapsed="false" customWidth="true" hidden="false" outlineLevel="0" max="9" min="9" style="0" width="9"/>
    <col collapsed="false" customWidth="true" hidden="false" outlineLevel="0" max="10" min="10" style="0" width="10"/>
    <col collapsed="false" customWidth="true" hidden="false" outlineLevel="0" max="12" min="11" style="0" width="13"/>
    <col collapsed="false" customWidth="true" hidden="false" outlineLevel="0" max="15" min="13" style="0" width="12"/>
    <col collapsed="false" customWidth="true" hidden="false" outlineLevel="0" max="16" min="16" style="0" width="9"/>
    <col collapsed="false" customWidth="true" hidden="false" outlineLevel="0" max="17" min="17" style="0" width="14"/>
    <col collapsed="false" customWidth="true" hidden="false" outlineLevel="0" max="18" min="18" style="0" width="10"/>
    <col collapsed="false" customWidth="true" hidden="false" outlineLevel="0" max="19" min="19" style="0" width="12"/>
    <col collapsed="false" customWidth="true" hidden="false" outlineLevel="0" max="20" min="20" style="0" width="11"/>
    <col collapsed="false" customWidth="true" hidden="false" outlineLevel="0" max="21" min="21" style="0" width="13"/>
    <col collapsed="false" customWidth="true" hidden="false" outlineLevel="0" max="22" min="22" style="0" width="11"/>
    <col collapsed="false" customWidth="true" hidden="false" outlineLevel="0" max="23" min="23" style="0" width="10"/>
    <col collapsed="false" customWidth="true" hidden="false" outlineLevel="0" max="24" min="24" style="0" width="15"/>
    <col collapsed="false" customWidth="true" hidden="false" outlineLevel="0" max="25" min="25" style="0" width="17"/>
    <col collapsed="false" customWidth="true" hidden="false" outlineLevel="0" max="26" min="26" style="0" width="10"/>
    <col collapsed="false" customWidth="true" hidden="false" outlineLevel="0" max="27" min="27" style="0" width="13"/>
    <col collapsed="false" customWidth="true" hidden="false" outlineLevel="0" max="28" min="28" style="0" width="26"/>
    <col collapsed="false" customWidth="true" hidden="false" outlineLevel="0" max="29" min="29" style="0" width="15"/>
    <col collapsed="false" customWidth="true" hidden="false" outlineLevel="0" max="30" min="30" style="0" width="10"/>
    <col collapsed="false" customWidth="true" hidden="false" outlineLevel="0" max="31" min="31" style="0" width="13"/>
    <col collapsed="false" customWidth="true" hidden="false" outlineLevel="0" max="32" min="32" style="0" width="16"/>
    <col collapsed="false" customWidth="true" hidden="false" outlineLevel="0" max="33" min="33" style="0" width="13"/>
    <col collapsed="false" customWidth="true" hidden="false" outlineLevel="0" max="34" min="34" style="0" width="8"/>
  </cols>
  <sheetData>
    <row r="2" customFormat="false" ht="18.55" hidden="false" customHeight="false" outlineLevel="0" collapsed="false">
      <c r="B2" s="1" t="s">
        <v>741</v>
      </c>
    </row>
    <row r="3" customFormat="false" ht="15" hidden="false" customHeight="false" outlineLevel="0" collapsed="false">
      <c r="B3" s="31" t="s">
        <v>742</v>
      </c>
    </row>
    <row r="4" customFormat="false" ht="15" hidden="false" customHeight="false" outlineLevel="0" collapsed="false">
      <c r="B4" s="63" t="s">
        <v>502</v>
      </c>
      <c r="C4" s="63" t="s">
        <v>502</v>
      </c>
      <c r="D4" s="63" t="s">
        <v>502</v>
      </c>
      <c r="E4" s="63" t="s">
        <v>502</v>
      </c>
      <c r="F4" s="63" t="s">
        <v>502</v>
      </c>
      <c r="G4" s="63" t="s">
        <v>502</v>
      </c>
      <c r="H4" s="63" t="s">
        <v>502</v>
      </c>
      <c r="I4" s="63" t="s">
        <v>502</v>
      </c>
      <c r="J4" s="63" t="s">
        <v>502</v>
      </c>
      <c r="K4" s="63" t="s">
        <v>502</v>
      </c>
      <c r="L4" s="63" t="s">
        <v>502</v>
      </c>
      <c r="M4" s="63" t="s">
        <v>502</v>
      </c>
      <c r="N4" s="63" t="s">
        <v>502</v>
      </c>
      <c r="O4" s="63" t="s">
        <v>502</v>
      </c>
      <c r="P4" s="63" t="s">
        <v>502</v>
      </c>
      <c r="Q4" s="63" t="s">
        <v>502</v>
      </c>
      <c r="R4" s="63" t="s">
        <v>502</v>
      </c>
      <c r="S4" s="63" t="s">
        <v>502</v>
      </c>
      <c r="T4" s="63" t="s">
        <v>502</v>
      </c>
      <c r="U4" s="63" t="s">
        <v>502</v>
      </c>
      <c r="V4" s="63" t="s">
        <v>502</v>
      </c>
      <c r="W4" s="63" t="s">
        <v>502</v>
      </c>
      <c r="X4" s="63" t="s">
        <v>502</v>
      </c>
      <c r="Y4" s="63" t="s">
        <v>502</v>
      </c>
      <c r="Z4" s="63" t="s">
        <v>502</v>
      </c>
      <c r="AA4" s="63" t="s">
        <v>502</v>
      </c>
      <c r="AB4" s="63" t="s">
        <v>502</v>
      </c>
      <c r="AC4" s="63" t="s">
        <v>502</v>
      </c>
      <c r="AD4" s="63" t="s">
        <v>502</v>
      </c>
      <c r="AE4" s="63" t="s">
        <v>502</v>
      </c>
      <c r="AF4" s="63" t="s">
        <v>502</v>
      </c>
      <c r="AG4" s="63" t="s">
        <v>502</v>
      </c>
      <c r="AH4" s="63" t="s">
        <v>502</v>
      </c>
    </row>
    <row r="5" customFormat="false" ht="15" hidden="false" customHeight="false" outlineLevel="0" collapsed="false">
      <c r="B5" s="32" t="s">
        <v>504</v>
      </c>
      <c r="C5" s="18" t="s">
        <v>159</v>
      </c>
      <c r="D5" s="18" t="s">
        <v>160</v>
      </c>
      <c r="E5" s="18" t="s">
        <v>158</v>
      </c>
      <c r="F5" s="18" t="s">
        <v>155</v>
      </c>
      <c r="G5" s="18" t="s">
        <v>161</v>
      </c>
      <c r="H5" s="18" t="s">
        <v>167</v>
      </c>
      <c r="I5" s="32" t="s">
        <v>622</v>
      </c>
      <c r="J5" s="18" t="s">
        <v>636</v>
      </c>
      <c r="K5" s="18" t="s">
        <v>743</v>
      </c>
      <c r="L5" s="18" t="s">
        <v>744</v>
      </c>
      <c r="M5" s="18" t="s">
        <v>745</v>
      </c>
      <c r="N5" s="18" t="s">
        <v>746</v>
      </c>
      <c r="O5" s="18" t="s">
        <v>747</v>
      </c>
      <c r="P5" s="32" t="s">
        <v>748</v>
      </c>
      <c r="Q5" s="32" t="s">
        <v>749</v>
      </c>
      <c r="R5" s="18" t="s">
        <v>165</v>
      </c>
      <c r="S5" s="18" t="s">
        <v>750</v>
      </c>
      <c r="T5" s="18" t="s">
        <v>581</v>
      </c>
      <c r="U5" s="18" t="s">
        <v>751</v>
      </c>
      <c r="V5" s="18" t="s">
        <v>752</v>
      </c>
      <c r="W5" s="18" t="s">
        <v>753</v>
      </c>
      <c r="X5" s="18" t="s">
        <v>754</v>
      </c>
      <c r="Y5" s="18" t="s">
        <v>618</v>
      </c>
      <c r="Z5" s="18" t="s">
        <v>755</v>
      </c>
      <c r="AA5" s="18" t="s">
        <v>594</v>
      </c>
      <c r="AB5" s="18" t="s">
        <v>508</v>
      </c>
      <c r="AC5" s="18" t="s">
        <v>756</v>
      </c>
      <c r="AD5" s="18" t="s">
        <v>637</v>
      </c>
      <c r="AE5" s="18" t="s">
        <v>757</v>
      </c>
      <c r="AF5" s="18" t="s">
        <v>638</v>
      </c>
      <c r="AG5" s="18" t="s">
        <v>662</v>
      </c>
      <c r="AH5" s="18" t="s">
        <v>758</v>
      </c>
    </row>
    <row r="6" customFormat="false" ht="15" hidden="false" customHeight="false" outlineLevel="0" collapsed="false">
      <c r="B6" s="66" t="n">
        <v>1</v>
      </c>
      <c r="C6" s="66" t="str">
        <f aca="false">IFERROR(IF($B6&lt;=MAX(①今日の在庫を貼る!$U$6:$U$10005),INDEX(①今日の在庫を貼る!$I$6:$I$10005,MATCH($B6,①今日の在庫を貼る!$U$6:$U$10005,0)),INDEX(月1回_前回の在庫を貼る!$I$6:$I$10005,MATCH($B6-MAX(①今日の在庫を貼る!$U$6:$U$10005),月1回_前回の在庫を貼る!$U$6:$U$10005,0))),"")</f>
        <v>1812000008585</v>
      </c>
      <c r="D6" s="66" t="str">
        <f aca="false">IF($C6="","",IFERROR(INDEX(商品マスタ!$C$6:$C$1005,MATCH($C6,商品マスタ!$B$6:$B$1005,0)),IFERROR(INDEX(①今日の在庫を貼る!$J$6:$J$10005,MATCH($C6,①今日の在庫を貼る!$I$6:$I$10005,0)),IFERROR(INDEX(月1回_前回の在庫を貼る!$J$6:$J$10005,MATCH($C6,月1回_前回の在庫を貼る!$I$6:$I$10005,0)),""))))</f>
        <v>プレミアムモルツ　２０Ｌ</v>
      </c>
      <c r="E6" s="66" t="str">
        <f aca="false">IF($C6="","",IFERROR(INDEX(商品マスタ!$D$6:$D$1005,MATCH($C6,商品マスタ!$B$6:$B$1005,0)),IFERROR(INDEX(①今日の在庫を貼る!$H$6:$H$10005,MATCH($C6,①今日の在庫を貼る!$I$6:$I$10005,0)),IFERROR(INDEX(月1回_前回の在庫を貼る!$H$6:$H$10005,MATCH($C6,月1回_前回の在庫を貼る!$I$6:$I$10005,0)),""))))</f>
        <v>アルコール</v>
      </c>
      <c r="F6" s="66" t="str">
        <f aca="false">IF($C6="","",IFERROR(INDEX(商品マスタ!$E$6:$E$1005,MATCH($C6,商品マスタ!$B$6:$B$1005,0)),IFERROR(INDEX(①今日の在庫を貼る!$E$6:$E$10005,MATCH($C6,①今日の在庫を貼る!$I$6:$I$10005,0)),IFERROR(INDEX(月1回_前回の在庫を貼る!$E$6:$E$10005,MATCH($C6,月1回_前回の在庫を貼る!$I$6:$I$10005,0)),""))))</f>
        <v>株式会社　カクヤス</v>
      </c>
      <c r="G6" s="69" t="n">
        <f aca="false">IF($C6="","",IFERROR(INDEX(商品マスタ!$F$6:$F$1005,MATCH($C6,商品マスタ!$B$6:$B$1005,0)),IFERROR(INDEX(①今日の在庫を貼る!$K$6:$K$10005,MATCH($C6,①今日の在庫を貼る!$I$6:$I$10005,0)),IFERROR(INDEX(月1回_前回の在庫を貼る!$K$6:$K$10005,MATCH($C6,月1回_前回の在庫を貼る!$I$6:$I$10005,0)),""))))</f>
        <v>1</v>
      </c>
      <c r="H6" s="71" t="n">
        <f aca="false">IF($C6="","",IFERROR(INDEX(商品マスタ!$G$6:$G$1005,MATCH($C6,商品マスタ!$B$6:$B$1005,0)),IFERROR(INDEX(①今日の在庫を貼る!$Q$6:$Q$10005,MATCH($C6,①今日の在庫を貼る!$I$6:$I$10005,0)),IFERROR(INDEX(月1回_前回の在庫を貼る!$Q$6:$Q$10005,MATCH($C6,月1回_前回の在庫を貼る!$I$6:$I$10005,0)),""))))</f>
        <v>11300</v>
      </c>
      <c r="I6" s="66" t="n">
        <f aca="false">IF($C6="","",IFERROR(INDEX(商品マスタ!$H$6:$H$1005,MATCH($C6,商品マスタ!$B$6:$B$1005,0)),3))</f>
        <v>2</v>
      </c>
      <c r="J6" s="66" t="n">
        <f aca="false">IF($C6="","",MAX(1,IFERROR(INDEX(商品マスタ!$I$6:$I$1005,MATCH($C6,商品マスタ!$B$6:$B$1005,0)),1)))</f>
        <v>1</v>
      </c>
      <c r="K6" s="69" t="n">
        <f aca="false">IF($C6="","",SUMIFS(①今日の在庫を貼る!$N$6:$N$10005,①今日の在庫を貼る!$B$6:$B$10005,'設定（最初に1回）'!$C$4,①今日の在庫を貼る!$I$6:$I$10005,$C6))</f>
        <v>4</v>
      </c>
      <c r="L6" s="69" t="n">
        <f aca="false">IF($C6="","",SUMIFS(月1回_前回の在庫を貼る!$N$6:$N$10005,月1回_前回の在庫を貼る!$B$6:$B$10005,'設定（最初に1回）'!$C$4,月1回_前回の在庫を貼る!$I$6:$I$10005,$C6))</f>
        <v>108</v>
      </c>
      <c r="M6" s="69" t="n">
        <f aca="false">IF($C6="","",IF(OR('設定（最初に1回）'!$C$6="",'設定（最初に1回）'!$C$7=""),0,SUMIFS(発注管理!$S$6:$S$1005,発注管理!$C$6:$C$1005,'設定（最初に1回）'!$C$4,発注管理!$F$6:$F$1005,$C6,発注管理!$R$6:$R$1005,"&gt;="&amp;'設定（最初に1回）'!$C$7,発注管理!$R$6:$R$1005,"&lt;="&amp;'設定（最初に1回）'!$C$6)))</f>
        <v>0</v>
      </c>
      <c r="N6" s="69" t="n">
        <f aca="false">IF(OR($C6="",'設定（最初に1回）'!$C$15=0),"",$L6+$M6-$K6)</f>
        <v>104</v>
      </c>
      <c r="O6" s="143" t="n">
        <f aca="false">IF(OR($N6="",'設定（最初に1回）'!$C$8="",'設定（最初に1回）'!$C$8&lt;=0),"",MAX(0,$N6)/'設定（最初に1回）'!$C$8)</f>
        <v>1.70491803278689</v>
      </c>
      <c r="P6" s="143" t="n">
        <f aca="false">IF($C6="","",IFERROR(INDEX(商品マスタ!$M$6:$N$1005,MATCH($C6,商品マスタ!$B$6:$B$1005,0),MATCH("PI値 "&amp;'設定（最初に1回）'!$C$11,商品マスタ!$M$5:$N$5,0)),""))</f>
        <v>1.1</v>
      </c>
      <c r="Q6" s="143" t="n">
        <f aca="false">IF(OR($C6="",$P6="",$P6=0,(N($I6)+N($AG6))&lt;=0),"",IFERROR(SUMIFS(随時_動員を入れる!$G$8:$G$97,随時_動員を入れる!$B$8:$B$97,"&gt;="&amp;'設定（最初に1回）'!$C$6,随時_動員を入れる!$B$8:$B$97,"&lt;="&amp;'設定（最初に1回）'!$C$6+(N($I6)+N($AG6))-1)/(N($I6)+N($AG6)),0)*$P6/100)</f>
        <v>42.2534444444445</v>
      </c>
      <c r="R6" s="69" t="n">
        <f aca="false">IF($C6="","",SUMIFS(①今日の在庫を貼る!$O$6:$O$10005,①今日の在庫を貼る!$B$6:$B$10005,'設定（最初に1回）'!$C$4,①今日の在庫を貼る!$I$6:$I$10005,$C6))</f>
        <v>0</v>
      </c>
      <c r="S6" s="143" t="n">
        <f aca="false">IF($C6="","",IF('設定（最初に1回）'!$C$9="実績消費",N($O6),IF('設定（最初に1回）'!$C$9="PI値予測",N($Q6),MAX(N($O6),N($Q6)))))</f>
        <v>1.70491803278689</v>
      </c>
      <c r="T6" s="67" t="n">
        <f aca="false">IF(OR($S6="",$S6&lt;=0),"",$K6/$S6)</f>
        <v>2.34615384615385</v>
      </c>
      <c r="U6" s="69" t="n">
        <f aca="false">IF($S6="","",ROUNDUP(N($S6)*'設定（最初に1回）'!$C$12,0))</f>
        <v>7</v>
      </c>
      <c r="V6" s="69" t="n">
        <f aca="false">IF($C6="","",ROUNDUP(N($S6)*(N($I6)+N($AG6))+N($U6),0))</f>
        <v>23</v>
      </c>
      <c r="W6" s="69" t="n">
        <f aca="false">IF($C6="","",SUMIFS(発注管理!$L$6:$L$1005,発注管理!$C$6:$C$1005,'設定（最初に1回）'!$C$4,発注管理!$F$6:$F$1005,$C6,発注管理!$Q$6:$Q$1005,"発注済"))</f>
        <v>0</v>
      </c>
      <c r="X6" s="69" t="n">
        <f aca="false">IF($C6="","",MAX(0,N($V6)-N($K6)-N($W6)))</f>
        <v>19</v>
      </c>
      <c r="Y6" s="147" t="n">
        <f aca="false">IF($C6="","",IF(N($X6)&lt;=0,0,CEILING($X6/MAX(1,N($G6)),MAX(1,N($J6)))))</f>
        <v>19</v>
      </c>
      <c r="Z6" s="138" t="str">
        <f aca="false">IF($C6="","",IF(N($Y6)&gt;0,"要発注","正常"))</f>
        <v>要発注</v>
      </c>
      <c r="AA6" s="71" t="n">
        <f aca="false">IF($C6="","",N($K6)*N($H6))</f>
        <v>45200</v>
      </c>
      <c r="AB6" s="66" t="str">
        <f aca="false">IF($C6="","",_xlfn.TEXTJOIN(" / ",TRUE(),IF(COUNTIF(商品マスタ!$B$6:$B$1005,$C6)=0,"マスタ未登録",""),IF(COUNTIFS(月1回_前回の在庫を貼る!$B$6:$B$10005,'設定（最初に1回）'!$C$4,月1回_前回の在庫を貼る!$I$6:$I$10005,$C6)=0,"新商品",""),IF(COUNTIFS(①今日の在庫を貼る!$B$6:$B$10005,'設定（最初に1回）'!$C$4,①今日の在庫を貼る!$I$6:$I$10005,$C6)=0,"終売候補",""),IF(N($K6)&lt;0,"在庫マイナス",""),IF(AND('設定（最初に1回）'!$C$9="PI値予測",$P6=""),"PI値未設定","")))</f>
        <v/>
      </c>
      <c r="AC6" s="71" t="n">
        <f aca="false">N($Y6)*N($H6)</f>
        <v>214700</v>
      </c>
      <c r="AD6" s="66" t="str">
        <f aca="false">IF($C6="","",IFERROR(INDEX(商品マスタ!$K$6:$K$1005,MATCH($C6,商品マスタ!$B$6:$B$1005,0)),"常温"))</f>
        <v>冷蔵</v>
      </c>
      <c r="AE6" s="69" t="n">
        <f aca="false">IF($C6="","",MAX(0,ROUNDUP(N($K6)/MAX(1,N($G6)),0)))</f>
        <v>4</v>
      </c>
      <c r="AF6" s="66" t="str">
        <f aca="false">IF($C6="","",IFERROR(INDEX(商品マスタ!$L$6:$L$1005,MATCH($C6,商品マスタ!$B$6:$B$1005,0)),""))</f>
        <v>その他常温</v>
      </c>
      <c r="AG6" s="143" t="n">
        <f aca="false">IF($C6="","",IFERROR(INDEX(定数マスタ!$S$110:$S$119,MATCH($AF6,定数マスタ!$J$110:$J$119,0)),N('設定（最初に1回）'!$C$13)))</f>
        <v>7</v>
      </c>
      <c r="AH6" s="66" t="n">
        <f aca="false">IF(AND(N($K6)&gt;0,N($Y6)&gt;0),N($Y6),0)</f>
        <v>19</v>
      </c>
    </row>
    <row r="7" customFormat="false" ht="15" hidden="false" customHeight="false" outlineLevel="0" collapsed="false">
      <c r="B7" s="66" t="n">
        <v>2</v>
      </c>
      <c r="C7" s="66" t="str">
        <f aca="false">IFERROR(IF($B7&lt;=MAX(①今日の在庫を貼る!$U$6:$U$10005),INDEX(①今日の在庫を貼る!$I$6:$I$10005,MATCH($B7,①今日の在庫を貼る!$U$6:$U$10005,0)),INDEX(月1回_前回の在庫を貼る!$I$6:$I$10005,MATCH($B7-MAX(①今日の在庫を貼る!$U$6:$U$10005),月1回_前回の在庫を貼る!$U$6:$U$10005,0))),"")</f>
        <v>1812000010991</v>
      </c>
      <c r="D7" s="66" t="str">
        <f aca="false">IF($C7="","",IFERROR(INDEX(商品マスタ!$C$6:$C$1005,MATCH($C7,商品マスタ!$B$6:$B$1005,0)),IFERROR(INDEX(①今日の在庫を貼る!$J$6:$J$10005,MATCH($C7,①今日の在庫を貼る!$I$6:$I$10005,0)),IFERROR(INDEX(月1回_前回の在庫を貼る!$J$6:$J$10005,MATCH($C7,月1回_前回の在庫を貼る!$I$6:$I$10005,0)),""))))</f>
        <v>ミオネット　ベビーボトル２００ｍ</v>
      </c>
      <c r="E7" s="66" t="str">
        <f aca="false">IF($C7="","",IFERROR(INDEX(商品マスタ!$D$6:$D$1005,MATCH($C7,商品マスタ!$B$6:$B$1005,0)),IFERROR(INDEX(①今日の在庫を貼る!$H$6:$H$10005,MATCH($C7,①今日の在庫を貼る!$I$6:$I$10005,0)),IFERROR(INDEX(月1回_前回の在庫を貼る!$H$6:$H$10005,MATCH($C7,月1回_前回の在庫を貼る!$I$6:$I$10005,0)),""))))</f>
        <v>アルコール</v>
      </c>
      <c r="F7" s="66" t="str">
        <f aca="false">IF($C7="","",IFERROR(INDEX(商品マスタ!$E$6:$E$1005,MATCH($C7,商品マスタ!$B$6:$B$1005,0)),IFERROR(INDEX(①今日の在庫を貼る!$E$6:$E$10005,MATCH($C7,①今日の在庫を貼る!$I$6:$I$10005,0)),IFERROR(INDEX(月1回_前回の在庫を貼る!$E$6:$E$10005,MATCH($C7,月1回_前回の在庫を貼る!$I$6:$I$10005,0)),""))))</f>
        <v>株式会社　カクヤス</v>
      </c>
      <c r="G7" s="69" t="n">
        <f aca="false">IF($C7="","",IFERROR(INDEX(商品マスタ!$F$6:$F$1005,MATCH($C7,商品マスタ!$B$6:$B$1005,0)),IFERROR(INDEX(①今日の在庫を貼る!$K$6:$K$10005,MATCH($C7,①今日の在庫を貼る!$I$6:$I$10005,0)),IFERROR(INDEX(月1回_前回の在庫を貼る!$K$6:$K$10005,MATCH($C7,月1回_前回の在庫を貼る!$I$6:$I$10005,0)),""))))</f>
        <v>24</v>
      </c>
      <c r="H7" s="71" t="n">
        <f aca="false">IF($C7="","",IFERROR(INDEX(商品マスタ!$G$6:$G$1005,MATCH($C7,商品マスタ!$B$6:$B$1005,0)),IFERROR(INDEX(①今日の在庫を貼る!$Q$6:$Q$10005,MATCH($C7,①今日の在庫を貼る!$I$6:$I$10005,0)),IFERROR(INDEX(月1回_前回の在庫を貼る!$Q$6:$Q$10005,MATCH($C7,月1回_前回の在庫を貼る!$I$6:$I$10005,0)),""))))</f>
        <v>587</v>
      </c>
      <c r="I7" s="66" t="n">
        <f aca="false">IF($C7="","",IFERROR(INDEX(商品マスタ!$H$6:$H$1005,MATCH($C7,商品マスタ!$B$6:$B$1005,0)),3))</f>
        <v>3</v>
      </c>
      <c r="J7" s="66" t="n">
        <f aca="false">IF($C7="","",MAX(1,IFERROR(INDEX(商品マスタ!$I$6:$I$1005,MATCH($C7,商品マスタ!$B$6:$B$1005,0)),1)))</f>
        <v>1</v>
      </c>
      <c r="K7" s="69" t="n">
        <f aca="false">IF($C7="","",SUMIFS(①今日の在庫を貼る!$N$6:$N$10005,①今日の在庫を貼る!$B$6:$B$10005,'設定（最初に1回）'!$C$4,①今日の在庫を貼る!$I$6:$I$10005,$C7))</f>
        <v>0</v>
      </c>
      <c r="L7" s="69" t="n">
        <f aca="false">IF($C7="","",SUMIFS(月1回_前回の在庫を貼る!$N$6:$N$10005,月1回_前回の在庫を貼る!$B$6:$B$10005,'設定（最初に1回）'!$C$4,月1回_前回の在庫を貼る!$I$6:$I$10005,$C7))</f>
        <v>2</v>
      </c>
      <c r="M7" s="69" t="n">
        <f aca="false">IF($C7="","",IF(OR('設定（最初に1回）'!$C$6="",'設定（最初に1回）'!$C$7=""),0,SUMIFS(発注管理!$S$6:$S$1005,発注管理!$C$6:$C$1005,'設定（最初に1回）'!$C$4,発注管理!$F$6:$F$1005,$C7,発注管理!$R$6:$R$1005,"&gt;="&amp;'設定（最初に1回）'!$C$7,発注管理!$R$6:$R$1005,"&lt;="&amp;'設定（最初に1回）'!$C$6)))</f>
        <v>0</v>
      </c>
      <c r="N7" s="69" t="n">
        <f aca="false">IF(OR($C7="",'設定（最初に1回）'!$C$15=0),"",$L7+$M7-$K7)</f>
        <v>2</v>
      </c>
      <c r="O7" s="143" t="n">
        <f aca="false">IF(OR($N7="",'設定（最初に1回）'!$C$8="",'設定（最初に1回）'!$C$8&lt;=0),"",MAX(0,$N7)/'設定（最初に1回）'!$C$8)</f>
        <v>0.0327868852459016</v>
      </c>
      <c r="P7" s="143" t="n">
        <f aca="false">IF($C7="","",IFERROR(INDEX(商品マスタ!$M$6:$N$1005,MATCH($C7,商品マスタ!$B$6:$B$1005,0),MATCH("PI値 "&amp;'設定（最初に1回）'!$C$11,商品マスタ!$M$5:$N$5,0)),""))</f>
        <v>1.1</v>
      </c>
      <c r="Q7" s="143" t="n">
        <f aca="false">IF(OR($C7="",$P7="",$P7=0,(N($I7)+N($AG7))&lt;=0),"",IFERROR(SUMIFS(随時_動員を入れる!$G$8:$G$97,随時_動員を入れる!$B$8:$B$97,"&gt;="&amp;'設定（最初に1回）'!$C$6,随時_動員を入れる!$B$8:$B$97,"&lt;="&amp;'設定（最初に1回）'!$C$6+(N($I7)+N($AG7))-1)/(N($I7)+N($AG7)),0)*$P7/100)</f>
        <v>41.8682</v>
      </c>
      <c r="R7" s="69" t="n">
        <f aca="false">IF($C7="","",SUMIFS(①今日の在庫を貼る!$O$6:$O$10005,①今日の在庫を貼る!$B$6:$B$10005,'設定（最初に1回）'!$C$4,①今日の在庫を貼る!$I$6:$I$10005,$C7))</f>
        <v>0</v>
      </c>
      <c r="S7" s="143" t="n">
        <f aca="false">IF($C7="","",IF('設定（最初に1回）'!$C$9="実績消費",N($O7),IF('設定（最初に1回）'!$C$9="PI値予測",N($Q7),MAX(N($O7),N($Q7)))))</f>
        <v>0.0327868852459016</v>
      </c>
      <c r="T7" s="67" t="n">
        <f aca="false">IF(OR($S7="",$S7&lt;=0),"",$K7/$S7)</f>
        <v>0</v>
      </c>
      <c r="U7" s="69" t="n">
        <f aca="false">IF($S7="","",ROUNDUP(N($S7)*'設定（最初に1回）'!$C$12,0))</f>
        <v>1</v>
      </c>
      <c r="V7" s="69" t="n">
        <f aca="false">IF($C7="","",ROUNDUP(N($S7)*(N($I7)+N($AG7))+N($U7),0))</f>
        <v>2</v>
      </c>
      <c r="W7" s="69" t="n">
        <f aca="false">IF($C7="","",SUMIFS(発注管理!$L$6:$L$1005,発注管理!$C$6:$C$1005,'設定（最初に1回）'!$C$4,発注管理!$F$6:$F$1005,$C7,発注管理!$Q$6:$Q$1005,"発注済"))</f>
        <v>0</v>
      </c>
      <c r="X7" s="69" t="n">
        <f aca="false">IF($C7="","",MAX(0,N($V7)-N($K7)-N($W7)))</f>
        <v>2</v>
      </c>
      <c r="Y7" s="147" t="n">
        <f aca="false">IF($C7="","",IF(N($X7)&lt;=0,0,CEILING($X7/MAX(1,N($G7)),MAX(1,N($J7)))))</f>
        <v>1</v>
      </c>
      <c r="Z7" s="138" t="str">
        <f aca="false">IF($C7="","",IF(N($Y7)&gt;0,"要発注","正常"))</f>
        <v>要発注</v>
      </c>
      <c r="AA7" s="71" t="n">
        <f aca="false">IF($C7="","",N($K7)*N($H7))</f>
        <v>0</v>
      </c>
      <c r="AB7" s="66" t="str">
        <f aca="false">IF($C7="","",_xlfn.TEXTJOIN(" / ",TRUE(),IF(COUNTIF(商品マスタ!$B$6:$B$1005,$C7)=0,"マスタ未登録",""),IF(COUNTIFS(月1回_前回の在庫を貼る!$B$6:$B$10005,'設定（最初に1回）'!$C$4,月1回_前回の在庫を貼る!$I$6:$I$10005,$C7)=0,"新商品",""),IF(COUNTIFS(①今日の在庫を貼る!$B$6:$B$10005,'設定（最初に1回）'!$C$4,①今日の在庫を貼る!$I$6:$I$10005,$C7)=0,"終売候補",""),IF(N($K7)&lt;0,"在庫マイナス",""),IF(AND('設定（最初に1回）'!$C$9="PI値予測",$P7=""),"PI値未設定","")))</f>
        <v/>
      </c>
      <c r="AC7" s="71" t="n">
        <f aca="false">N($Y7)*N($H7)</f>
        <v>587</v>
      </c>
      <c r="AD7" s="66" t="str">
        <f aca="false">IF($C7="","",IFERROR(INDEX(商品マスタ!$K$6:$K$1005,MATCH($C7,商品マスタ!$B$6:$B$1005,0)),"常温"))</f>
        <v>冷蔵</v>
      </c>
      <c r="AE7" s="69" t="n">
        <f aca="false">IF($C7="","",MAX(0,ROUNDUP(N($K7)/MAX(1,N($G7)),0)))</f>
        <v>0</v>
      </c>
      <c r="AF7" s="66" t="str">
        <f aca="false">IF($C7="","",IFERROR(INDEX(商品マスタ!$L$6:$L$1005,MATCH($C7,商品マスタ!$B$6:$B$1005,0)),""))</f>
        <v>その他常温</v>
      </c>
      <c r="AG7" s="143" t="n">
        <f aca="false">IF($C7="","",IFERROR(INDEX(定数マスタ!$S$110:$S$119,MATCH($AF7,定数マスタ!$J$110:$J$119,0)),N('設定（最初に1回）'!$C$13)))</f>
        <v>7</v>
      </c>
      <c r="AH7" s="66" t="n">
        <f aca="false">IF(AND(N($K7)&gt;0,N($Y7)&gt;0),N($Y7),0)</f>
        <v>0</v>
      </c>
    </row>
    <row r="8" customFormat="false" ht="15" hidden="false" customHeight="false" outlineLevel="0" collapsed="false">
      <c r="B8" s="66" t="n">
        <v>3</v>
      </c>
      <c r="C8" s="66" t="str">
        <f aca="false">IFERROR(IF($B8&lt;=MAX(①今日の在庫を貼る!$U$6:$U$10005),INDEX(①今日の在庫を貼る!$I$6:$I$10005,MATCH($B8,①今日の在庫を貼る!$U$6:$U$10005,0)),INDEX(月1回_前回の在庫を貼る!$I$6:$I$10005,MATCH($B8-MAX(①今日の在庫を貼る!$U$6:$U$10005),月1回_前回の在庫を貼る!$U$6:$U$10005,0))),"")</f>
        <v>1812000011745</v>
      </c>
      <c r="D8" s="66" t="str">
        <f aca="false">IF($C8="","",IFERROR(INDEX(商品マスタ!$C$6:$C$1005,MATCH($C8,商品マスタ!$B$6:$B$1005,0)),IFERROR(INDEX(①今日の在庫を貼る!$J$6:$J$10005,MATCH($C8,①今日の在庫を貼る!$I$6:$I$10005,0)),IFERROR(INDEX(月1回_前回の在庫を貼る!$J$6:$J$10005,MATCH($C8,月1回_前回の在庫を貼る!$I$6:$I$10005,0)),""))))</f>
        <v>フォルタン　リトラル　赤</v>
      </c>
      <c r="E8" s="66" t="str">
        <f aca="false">IF($C8="","",IFERROR(INDEX(商品マスタ!$D$6:$D$1005,MATCH($C8,商品マスタ!$B$6:$B$1005,0)),IFERROR(INDEX(①今日の在庫を貼る!$H$6:$H$10005,MATCH($C8,①今日の在庫を貼る!$I$6:$I$10005,0)),IFERROR(INDEX(月1回_前回の在庫を貼る!$H$6:$H$10005,MATCH($C8,月1回_前回の在庫を貼る!$I$6:$I$10005,0)),""))))</f>
        <v>アルコール</v>
      </c>
      <c r="F8" s="66" t="str">
        <f aca="false">IF($C8="","",IFERROR(INDEX(商品マスタ!$E$6:$E$1005,MATCH($C8,商品マスタ!$B$6:$B$1005,0)),IFERROR(INDEX(①今日の在庫を貼る!$E$6:$E$10005,MATCH($C8,①今日の在庫を貼る!$I$6:$I$10005,0)),IFERROR(INDEX(月1回_前回の在庫を貼る!$E$6:$E$10005,MATCH($C8,月1回_前回の在庫を貼る!$I$6:$I$10005,0)),""))))</f>
        <v>株式会社　カクヤス</v>
      </c>
      <c r="G8" s="69" t="n">
        <f aca="false">IF($C8="","",IFERROR(INDEX(商品マスタ!$F$6:$F$1005,MATCH($C8,商品マスタ!$B$6:$B$1005,0)),IFERROR(INDEX(①今日の在庫を貼る!$K$6:$K$10005,MATCH($C8,①今日の在庫を貼る!$I$6:$I$10005,0)),IFERROR(INDEX(月1回_前回の在庫を貼る!$K$6:$K$10005,MATCH($C8,月1回_前回の在庫を貼る!$I$6:$I$10005,0)),""))))</f>
        <v>48</v>
      </c>
      <c r="H8" s="71" t="n">
        <f aca="false">IF($C8="","",IFERROR(INDEX(商品マスタ!$G$6:$G$1005,MATCH($C8,商品マスタ!$B$6:$B$1005,0)),IFERROR(INDEX(①今日の在庫を貼る!$Q$6:$Q$10005,MATCH($C8,①今日の在庫を貼る!$I$6:$I$10005,0)),IFERROR(INDEX(月1回_前回の在庫を貼る!$Q$6:$Q$10005,MATCH($C8,月1回_前回の在庫を貼る!$I$6:$I$10005,0)),""))))</f>
        <v>357</v>
      </c>
      <c r="I8" s="66" t="n">
        <f aca="false">IF($C8="","",IFERROR(INDEX(商品マスタ!$H$6:$H$1005,MATCH($C8,商品マスタ!$B$6:$B$1005,0)),3))</f>
        <v>3</v>
      </c>
      <c r="J8" s="66" t="n">
        <f aca="false">IF($C8="","",MAX(1,IFERROR(INDEX(商品マスタ!$I$6:$I$1005,MATCH($C8,商品マスタ!$B$6:$B$1005,0)),1)))</f>
        <v>5</v>
      </c>
      <c r="K8" s="69" t="n">
        <f aca="false">IF($C8="","",SUMIFS(①今日の在庫を貼る!$N$6:$N$10005,①今日の在庫を貼る!$B$6:$B$10005,'設定（最初に1回）'!$C$4,①今日の在庫を貼る!$I$6:$I$10005,$C8))</f>
        <v>10</v>
      </c>
      <c r="L8" s="69" t="n">
        <f aca="false">IF($C8="","",SUMIFS(月1回_前回の在庫を貼る!$N$6:$N$10005,月1回_前回の在庫を貼る!$B$6:$B$10005,'設定（最初に1回）'!$C$4,月1回_前回の在庫を貼る!$I$6:$I$10005,$C8))</f>
        <v>54</v>
      </c>
      <c r="M8" s="69" t="n">
        <f aca="false">IF($C8="","",IF(OR('設定（最初に1回）'!$C$6="",'設定（最初に1回）'!$C$7=""),0,SUMIFS(発注管理!$S$6:$S$1005,発注管理!$C$6:$C$1005,'設定（最初に1回）'!$C$4,発注管理!$F$6:$F$1005,$C8,発注管理!$R$6:$R$1005,"&gt;="&amp;'設定（最初に1回）'!$C$7,発注管理!$R$6:$R$1005,"&lt;="&amp;'設定（最初に1回）'!$C$6)))</f>
        <v>0</v>
      </c>
      <c r="N8" s="69" t="n">
        <f aca="false">IF(OR($C8="",'設定（最初に1回）'!$C$15=0),"",$L8+$M8-$K8)</f>
        <v>44</v>
      </c>
      <c r="O8" s="143" t="n">
        <f aca="false">IF(OR($N8="",'設定（最初に1回）'!$C$8="",'設定（最初に1回）'!$C$8&lt;=0),"",MAX(0,$N8)/'設定（最初に1回）'!$C$8)</f>
        <v>0.721311475409836</v>
      </c>
      <c r="P8" s="143" t="n">
        <f aca="false">IF($C8="","",IFERROR(INDEX(商品マスタ!$M$6:$N$1005,MATCH($C8,商品マスタ!$B$6:$B$1005,0),MATCH("PI値 "&amp;'設定（最初に1回）'!$C$11,商品マスタ!$M$5:$N$5,0)),""))</f>
        <v>0.8</v>
      </c>
      <c r="Q8" s="143" t="n">
        <f aca="false">IF(OR($C8="",$P8="",$P8=0,(N($I8)+N($AG8))&lt;=0),"",IFERROR(SUMIFS(随時_動員を入れる!$G$8:$G$97,随時_動員を入れる!$B$8:$B$97,"&gt;="&amp;'設定（最初に1回）'!$C$6,随時_動員を入れる!$B$8:$B$97,"&lt;="&amp;'設定（最初に1回）'!$C$6+(N($I8)+N($AG8))-1)/(N($I8)+N($AG8)),0)*$P8/100)</f>
        <v>30.4496</v>
      </c>
      <c r="R8" s="69" t="n">
        <f aca="false">IF($C8="","",SUMIFS(①今日の在庫を貼る!$O$6:$O$10005,①今日の在庫を貼る!$B$6:$B$10005,'設定（最初に1回）'!$C$4,①今日の在庫を貼る!$I$6:$I$10005,$C8))</f>
        <v>0</v>
      </c>
      <c r="S8" s="143" t="n">
        <f aca="false">IF($C8="","",IF('設定（最初に1回）'!$C$9="実績消費",N($O8),IF('設定（最初に1回）'!$C$9="PI値予測",N($Q8),MAX(N($O8),N($Q8)))))</f>
        <v>0.721311475409836</v>
      </c>
      <c r="T8" s="67" t="n">
        <f aca="false">IF(OR($S8="",$S8&lt;=0),"",$K8/$S8)</f>
        <v>13.8636363636364</v>
      </c>
      <c r="U8" s="69" t="n">
        <f aca="false">IF($S8="","",ROUNDUP(N($S8)*'設定（最初に1回）'!$C$12,0))</f>
        <v>3</v>
      </c>
      <c r="V8" s="69" t="n">
        <f aca="false">IF($C8="","",ROUNDUP(N($S8)*(N($I8)+N($AG8))+N($U8),0))</f>
        <v>11</v>
      </c>
      <c r="W8" s="69" t="n">
        <f aca="false">IF($C8="","",SUMIFS(発注管理!$L$6:$L$1005,発注管理!$C$6:$C$1005,'設定（最初に1回）'!$C$4,発注管理!$F$6:$F$1005,$C8,発注管理!$Q$6:$Q$1005,"発注済"))</f>
        <v>0</v>
      </c>
      <c r="X8" s="69" t="n">
        <f aca="false">IF($C8="","",MAX(0,N($V8)-N($K8)-N($W8)))</f>
        <v>1</v>
      </c>
      <c r="Y8" s="147" t="n">
        <f aca="false">IF($C8="","",IF(N($X8)&lt;=0,0,CEILING($X8/MAX(1,N($G8)),MAX(1,N($J8)))))</f>
        <v>5</v>
      </c>
      <c r="Z8" s="138" t="str">
        <f aca="false">IF($C8="","",IF(N($Y8)&gt;0,"要発注","正常"))</f>
        <v>要発注</v>
      </c>
      <c r="AA8" s="71" t="n">
        <f aca="false">IF($C8="","",N($K8)*N($H8))</f>
        <v>3570</v>
      </c>
      <c r="AB8" s="66" t="str">
        <f aca="false">IF($C8="","",_xlfn.TEXTJOIN(" / ",TRUE(),IF(COUNTIF(商品マスタ!$B$6:$B$1005,$C8)=0,"マスタ未登録",""),IF(COUNTIFS(月1回_前回の在庫を貼る!$B$6:$B$10005,'設定（最初に1回）'!$C$4,月1回_前回の在庫を貼る!$I$6:$I$10005,$C8)=0,"新商品",""),IF(COUNTIFS(①今日の在庫を貼る!$B$6:$B$10005,'設定（最初に1回）'!$C$4,①今日の在庫を貼る!$I$6:$I$10005,$C8)=0,"終売候補",""),IF(N($K8)&lt;0,"在庫マイナス",""),IF(AND('設定（最初に1回）'!$C$9="PI値予測",$P8=""),"PI値未設定","")))</f>
        <v/>
      </c>
      <c r="AC8" s="71" t="n">
        <f aca="false">N($Y8)*N($H8)</f>
        <v>1785</v>
      </c>
      <c r="AD8" s="66" t="str">
        <f aca="false">IF($C8="","",IFERROR(INDEX(商品マスタ!$K$6:$K$1005,MATCH($C8,商品マスタ!$B$6:$B$1005,0)),"常温"))</f>
        <v>冷蔵</v>
      </c>
      <c r="AE8" s="69" t="n">
        <f aca="false">IF($C8="","",MAX(0,ROUNDUP(N($K8)/MAX(1,N($G8)),0)))</f>
        <v>1</v>
      </c>
      <c r="AF8" s="66" t="str">
        <f aca="false">IF($C8="","",IFERROR(INDEX(商品マスタ!$L$6:$L$1005,MATCH($C8,商品マスタ!$B$6:$B$1005,0)),""))</f>
        <v>その他常温</v>
      </c>
      <c r="AG8" s="143" t="n">
        <f aca="false">IF($C8="","",IFERROR(INDEX(定数マスタ!$S$110:$S$119,MATCH($AF8,定数マスタ!$J$110:$J$119,0)),N('設定（最初に1回）'!$C$13)))</f>
        <v>7</v>
      </c>
      <c r="AH8" s="66" t="n">
        <f aca="false">IF(AND(N($K8)&gt;0,N($Y8)&gt;0),N($Y8),0)</f>
        <v>5</v>
      </c>
    </row>
    <row r="9" customFormat="false" ht="15" hidden="false" customHeight="false" outlineLevel="0" collapsed="false">
      <c r="B9" s="66" t="n">
        <v>4</v>
      </c>
      <c r="C9" s="66" t="str">
        <f aca="false">IFERROR(IF($B9&lt;=MAX(①今日の在庫を貼る!$U$6:$U$10005),INDEX(①今日の在庫を貼る!$I$6:$I$10005,MATCH($B9,①今日の在庫を貼る!$U$6:$U$10005,0)),INDEX(月1回_前回の在庫を貼る!$I$6:$I$10005,MATCH($B9-MAX(①今日の在庫を貼る!$U$6:$U$10005),月1回_前回の在庫を貼る!$U$6:$U$10005,0))),"")</f>
        <v>1812000011752</v>
      </c>
      <c r="D9" s="66" t="str">
        <f aca="false">IF($C9="","",IFERROR(INDEX(商品マスタ!$C$6:$C$1005,MATCH($C9,商品マスタ!$B$6:$B$1005,0)),IFERROR(INDEX(①今日の在庫を貼る!$J$6:$J$10005,MATCH($C9,①今日の在庫を貼る!$I$6:$I$10005,0)),IFERROR(INDEX(月1回_前回の在庫を貼る!$J$6:$J$10005,MATCH($C9,月1回_前回の在庫を貼る!$I$6:$I$10005,0)),""))))</f>
        <v>フォルタン　リトラル　白</v>
      </c>
      <c r="E9" s="66" t="str">
        <f aca="false">IF($C9="","",IFERROR(INDEX(商品マスタ!$D$6:$D$1005,MATCH($C9,商品マスタ!$B$6:$B$1005,0)),IFERROR(INDEX(①今日の在庫を貼る!$H$6:$H$10005,MATCH($C9,①今日の在庫を貼る!$I$6:$I$10005,0)),IFERROR(INDEX(月1回_前回の在庫を貼る!$H$6:$H$10005,MATCH($C9,月1回_前回の在庫を貼る!$I$6:$I$10005,0)),""))))</f>
        <v>アルコール</v>
      </c>
      <c r="F9" s="66" t="str">
        <f aca="false">IF($C9="","",IFERROR(INDEX(商品マスタ!$E$6:$E$1005,MATCH($C9,商品マスタ!$B$6:$B$1005,0)),IFERROR(INDEX(①今日の在庫を貼る!$E$6:$E$10005,MATCH($C9,①今日の在庫を貼る!$I$6:$I$10005,0)),IFERROR(INDEX(月1回_前回の在庫を貼る!$E$6:$E$10005,MATCH($C9,月1回_前回の在庫を貼る!$I$6:$I$10005,0)),""))))</f>
        <v>株式会社　カクヤス</v>
      </c>
      <c r="G9" s="69" t="n">
        <f aca="false">IF($C9="","",IFERROR(INDEX(商品マスタ!$F$6:$F$1005,MATCH($C9,商品マスタ!$B$6:$B$1005,0)),IFERROR(INDEX(①今日の在庫を貼る!$K$6:$K$10005,MATCH($C9,①今日の在庫を貼る!$I$6:$I$10005,0)),IFERROR(INDEX(月1回_前回の在庫を貼る!$K$6:$K$10005,MATCH($C9,月1回_前回の在庫を貼る!$I$6:$I$10005,0)),""))))</f>
        <v>48</v>
      </c>
      <c r="H9" s="71" t="n">
        <f aca="false">IF($C9="","",IFERROR(INDEX(商品マスタ!$G$6:$G$1005,MATCH($C9,商品マスタ!$B$6:$B$1005,0)),IFERROR(INDEX(①今日の在庫を貼る!$Q$6:$Q$10005,MATCH($C9,①今日の在庫を貼る!$I$6:$I$10005,0)),IFERROR(INDEX(月1回_前回の在庫を貼る!$Q$6:$Q$10005,MATCH($C9,月1回_前回の在庫を貼る!$I$6:$I$10005,0)),""))))</f>
        <v>357</v>
      </c>
      <c r="I9" s="66" t="n">
        <f aca="false">IF($C9="","",IFERROR(INDEX(商品マスタ!$H$6:$H$1005,MATCH($C9,商品マスタ!$B$6:$B$1005,0)),3))</f>
        <v>3</v>
      </c>
      <c r="J9" s="66" t="n">
        <f aca="false">IF($C9="","",MAX(1,IFERROR(INDEX(商品マスタ!$I$6:$I$1005,MATCH($C9,商品マスタ!$B$6:$B$1005,0)),1)))</f>
        <v>2</v>
      </c>
      <c r="K9" s="69" t="n">
        <f aca="false">IF($C9="","",SUMIFS(①今日の在庫を貼る!$N$6:$N$10005,①今日の在庫を貼る!$B$6:$B$10005,'設定（最初に1回）'!$C$4,①今日の在庫を貼る!$I$6:$I$10005,$C9))</f>
        <v>3</v>
      </c>
      <c r="L9" s="69" t="n">
        <f aca="false">IF($C9="","",SUMIFS(月1回_前回の在庫を貼る!$N$6:$N$10005,月1回_前回の在庫を貼る!$B$6:$B$10005,'設定（最初に1回）'!$C$4,月1回_前回の在庫を貼る!$I$6:$I$10005,$C9))</f>
        <v>81</v>
      </c>
      <c r="M9" s="69" t="n">
        <f aca="false">IF($C9="","",IF(OR('設定（最初に1回）'!$C$6="",'設定（最初に1回）'!$C$7=""),0,SUMIFS(発注管理!$S$6:$S$1005,発注管理!$C$6:$C$1005,'設定（最初に1回）'!$C$4,発注管理!$F$6:$F$1005,$C9,発注管理!$R$6:$R$1005,"&gt;="&amp;'設定（最初に1回）'!$C$7,発注管理!$R$6:$R$1005,"&lt;="&amp;'設定（最初に1回）'!$C$6)))</f>
        <v>0</v>
      </c>
      <c r="N9" s="69" t="n">
        <f aca="false">IF(OR($C9="",'設定（最初に1回）'!$C$15=0),"",$L9+$M9-$K9)</f>
        <v>78</v>
      </c>
      <c r="O9" s="143" t="n">
        <f aca="false">IF(OR($N9="",'設定（最初に1回）'!$C$8="",'設定（最初に1回）'!$C$8&lt;=0),"",MAX(0,$N9)/'設定（最初に1回）'!$C$8)</f>
        <v>1.27868852459016</v>
      </c>
      <c r="P9" s="143" t="n">
        <f aca="false">IF($C9="","",IFERROR(INDEX(商品マスタ!$M$6:$N$1005,MATCH($C9,商品マスタ!$B$6:$B$1005,0),MATCH("PI値 "&amp;'設定（最初に1回）'!$C$11,商品マスタ!$M$5:$N$5,0)),""))</f>
        <v>0.5</v>
      </c>
      <c r="Q9" s="143" t="n">
        <f aca="false">IF(OR($C9="",$P9="",$P9=0,(N($I9)+N($AG9))&lt;=0),"",IFERROR(SUMIFS(随時_動員を入れる!$G$8:$G$97,随時_動員を入れる!$B$8:$B$97,"&gt;="&amp;'設定（最初に1回）'!$C$6,随時_動員を入れる!$B$8:$B$97,"&lt;="&amp;'設定（最初に1回）'!$C$6+(N($I9)+N($AG9))-1)/(N($I9)+N($AG9)),0)*$P9/100)</f>
        <v>19.031</v>
      </c>
      <c r="R9" s="69" t="n">
        <f aca="false">IF($C9="","",SUMIFS(①今日の在庫を貼る!$O$6:$O$10005,①今日の在庫を貼る!$B$6:$B$10005,'設定（最初に1回）'!$C$4,①今日の在庫を貼る!$I$6:$I$10005,$C9))</f>
        <v>0</v>
      </c>
      <c r="S9" s="143" t="n">
        <f aca="false">IF($C9="","",IF('設定（最初に1回）'!$C$9="実績消費",N($O9),IF('設定（最初に1回）'!$C$9="PI値予測",N($Q9),MAX(N($O9),N($Q9)))))</f>
        <v>1.27868852459016</v>
      </c>
      <c r="T9" s="67" t="n">
        <f aca="false">IF(OR($S9="",$S9&lt;=0),"",$K9/$S9)</f>
        <v>2.34615384615385</v>
      </c>
      <c r="U9" s="69" t="n">
        <f aca="false">IF($S9="","",ROUNDUP(N($S9)*'設定（最初に1回）'!$C$12,0))</f>
        <v>6</v>
      </c>
      <c r="V9" s="69" t="n">
        <f aca="false">IF($C9="","",ROUNDUP(N($S9)*(N($I9)+N($AG9))+N($U9),0))</f>
        <v>19</v>
      </c>
      <c r="W9" s="69" t="n">
        <f aca="false">IF($C9="","",SUMIFS(発注管理!$L$6:$L$1005,発注管理!$C$6:$C$1005,'設定（最初に1回）'!$C$4,発注管理!$F$6:$F$1005,$C9,発注管理!$Q$6:$Q$1005,"発注済"))</f>
        <v>0</v>
      </c>
      <c r="X9" s="69" t="n">
        <f aca="false">IF($C9="","",MAX(0,N($V9)-N($K9)-N($W9)))</f>
        <v>16</v>
      </c>
      <c r="Y9" s="147" t="n">
        <f aca="false">IF($C9="","",IF(N($X9)&lt;=0,0,CEILING($X9/MAX(1,N($G9)),MAX(1,N($J9)))))</f>
        <v>2</v>
      </c>
      <c r="Z9" s="138" t="str">
        <f aca="false">IF($C9="","",IF(N($Y9)&gt;0,"要発注","正常"))</f>
        <v>要発注</v>
      </c>
      <c r="AA9" s="71" t="n">
        <f aca="false">IF($C9="","",N($K9)*N($H9))</f>
        <v>1071</v>
      </c>
      <c r="AB9" s="66" t="str">
        <f aca="false">IF($C9="","",_xlfn.TEXTJOIN(" / ",TRUE(),IF(COUNTIF(商品マスタ!$B$6:$B$1005,$C9)=0,"マスタ未登録",""),IF(COUNTIFS(月1回_前回の在庫を貼る!$B$6:$B$10005,'設定（最初に1回）'!$C$4,月1回_前回の在庫を貼る!$I$6:$I$10005,$C9)=0,"新商品",""),IF(COUNTIFS(①今日の在庫を貼る!$B$6:$B$10005,'設定（最初に1回）'!$C$4,①今日の在庫を貼る!$I$6:$I$10005,$C9)=0,"終売候補",""),IF(N($K9)&lt;0,"在庫マイナス",""),IF(AND('設定（最初に1回）'!$C$9="PI値予測",$P9=""),"PI値未設定","")))</f>
        <v/>
      </c>
      <c r="AC9" s="71" t="n">
        <f aca="false">N($Y9)*N($H9)</f>
        <v>714</v>
      </c>
      <c r="AD9" s="66" t="str">
        <f aca="false">IF($C9="","",IFERROR(INDEX(商品マスタ!$K$6:$K$1005,MATCH($C9,商品マスタ!$B$6:$B$1005,0)),"常温"))</f>
        <v>冷蔵</v>
      </c>
      <c r="AE9" s="69" t="n">
        <f aca="false">IF($C9="","",MAX(0,ROUNDUP(N($K9)/MAX(1,N($G9)),0)))</f>
        <v>1</v>
      </c>
      <c r="AF9" s="66" t="str">
        <f aca="false">IF($C9="","",IFERROR(INDEX(商品マスタ!$L$6:$L$1005,MATCH($C9,商品マスタ!$B$6:$B$1005,0)),""))</f>
        <v>その他常温</v>
      </c>
      <c r="AG9" s="143" t="n">
        <f aca="false">IF($C9="","",IFERROR(INDEX(定数マスタ!$S$110:$S$119,MATCH($AF9,定数マスタ!$J$110:$J$119,0)),N('設定（最初に1回）'!$C$13)))</f>
        <v>7</v>
      </c>
      <c r="AH9" s="66" t="n">
        <f aca="false">IF(AND(N($K9)&gt;0,N($Y9)&gt;0),N($Y9),0)</f>
        <v>2</v>
      </c>
    </row>
    <row r="10" customFormat="false" ht="15" hidden="false" customHeight="false" outlineLevel="0" collapsed="false">
      <c r="B10" s="66" t="n">
        <v>5</v>
      </c>
      <c r="C10" s="66" t="str">
        <f aca="false">IFERROR(IF($B10&lt;=MAX(①今日の在庫を貼る!$U$6:$U$10005),INDEX(①今日の在庫を貼る!$I$6:$I$10005,MATCH($B10,①今日の在庫を貼る!$U$6:$U$10005,0)),INDEX(月1回_前回の在庫を貼る!$I$6:$I$10005,MATCH($B10-MAX(①今日の在庫を貼る!$U$6:$U$10005),月1回_前回の在庫を貼る!$U$6:$U$10005,0))),"")</f>
        <v>1812000013343</v>
      </c>
      <c r="D10" s="66" t="str">
        <f aca="false">IF($C10="","",IFERROR(INDEX(商品マスタ!$C$6:$C$1005,MATCH($C10,商品マスタ!$B$6:$B$1005,0)),IFERROR(INDEX(①今日の在庫を貼る!$J$6:$J$10005,MATCH($C10,①今日の在庫を貼る!$I$6:$I$10005,0)),IFERROR(INDEX(月1回_前回の在庫を貼る!$J$6:$J$10005,MATCH($C10,月1回_前回の在庫を貼る!$I$6:$I$10005,0)),""))))</f>
        <v>フレシネコルドンネグロ２００ｍｌ</v>
      </c>
      <c r="E10" s="66" t="str">
        <f aca="false">IF($C10="","",IFERROR(INDEX(商品マスタ!$D$6:$D$1005,MATCH($C10,商品マスタ!$B$6:$B$1005,0)),IFERROR(INDEX(①今日の在庫を貼る!$H$6:$H$10005,MATCH($C10,①今日の在庫を貼る!$I$6:$I$10005,0)),IFERROR(INDEX(月1回_前回の在庫を貼る!$H$6:$H$10005,MATCH($C10,月1回_前回の在庫を貼る!$I$6:$I$10005,0)),""))))</f>
        <v>アルコール</v>
      </c>
      <c r="F10" s="66" t="str">
        <f aca="false">IF($C10="","",IFERROR(INDEX(商品マスタ!$E$6:$E$1005,MATCH($C10,商品マスタ!$B$6:$B$1005,0)),IFERROR(INDEX(①今日の在庫を貼る!$E$6:$E$10005,MATCH($C10,①今日の在庫を貼る!$I$6:$I$10005,0)),IFERROR(INDEX(月1回_前回の在庫を貼る!$E$6:$E$10005,MATCH($C10,月1回_前回の在庫を貼る!$I$6:$I$10005,0)),""))))</f>
        <v>株式会社　カクヤス</v>
      </c>
      <c r="G10" s="69" t="n">
        <f aca="false">IF($C10="","",IFERROR(INDEX(商品マスタ!$F$6:$F$1005,MATCH($C10,商品マスタ!$B$6:$B$1005,0)),IFERROR(INDEX(①今日の在庫を貼る!$K$6:$K$10005,MATCH($C10,①今日の在庫を貼る!$I$6:$I$10005,0)),IFERROR(INDEX(月1回_前回の在庫を貼る!$K$6:$K$10005,MATCH($C10,月1回_前回の在庫を貼る!$I$6:$I$10005,0)),""))))</f>
        <v>24</v>
      </c>
      <c r="H10" s="71" t="n">
        <f aca="false">IF($C10="","",IFERROR(INDEX(商品マスタ!$G$6:$G$1005,MATCH($C10,商品マスタ!$B$6:$B$1005,0)),IFERROR(INDEX(①今日の在庫を貼る!$Q$6:$Q$10005,MATCH($C10,①今日の在庫を貼る!$I$6:$I$10005,0)),IFERROR(INDEX(月1回_前回の在庫を貼る!$Q$6:$Q$10005,MATCH($C10,月1回_前回の在庫を貼る!$I$6:$I$10005,0)),""))))</f>
        <v>585</v>
      </c>
      <c r="I10" s="66" t="n">
        <f aca="false">IF($C10="","",IFERROR(INDEX(商品マスタ!$H$6:$H$1005,MATCH($C10,商品マスタ!$B$6:$B$1005,0)),3))</f>
        <v>4</v>
      </c>
      <c r="J10" s="66" t="n">
        <f aca="false">IF($C10="","",MAX(1,IFERROR(INDEX(商品マスタ!$I$6:$I$1005,MATCH($C10,商品マスタ!$B$6:$B$1005,0)),1)))</f>
        <v>1</v>
      </c>
      <c r="K10" s="69" t="n">
        <f aca="false">IF($C10="","",SUMIFS(①今日の在庫を貼る!$N$6:$N$10005,①今日の在庫を貼る!$B$6:$B$10005,'設定（最初に1回）'!$C$4,①今日の在庫を貼る!$I$6:$I$10005,$C10))</f>
        <v>67</v>
      </c>
      <c r="L10" s="69" t="n">
        <f aca="false">IF($C10="","",SUMIFS(月1回_前回の在庫を貼る!$N$6:$N$10005,月1回_前回の在庫を貼る!$B$6:$B$10005,'設定（最初に1回）'!$C$4,月1回_前回の在庫を貼る!$I$6:$I$10005,$C10))</f>
        <v>269</v>
      </c>
      <c r="M10" s="69" t="n">
        <f aca="false">IF($C10="","",IF(OR('設定（最初に1回）'!$C$6="",'設定（最初に1回）'!$C$7=""),0,SUMIFS(発注管理!$S$6:$S$1005,発注管理!$C$6:$C$1005,'設定（最初に1回）'!$C$4,発注管理!$F$6:$F$1005,$C10,発注管理!$R$6:$R$1005,"&gt;="&amp;'設定（最初に1回）'!$C$7,発注管理!$R$6:$R$1005,"&lt;="&amp;'設定（最初に1回）'!$C$6)))</f>
        <v>0</v>
      </c>
      <c r="N10" s="69" t="n">
        <f aca="false">IF(OR($C10="",'設定（最初に1回）'!$C$15=0),"",$L10+$M10-$K10)</f>
        <v>202</v>
      </c>
      <c r="O10" s="143" t="n">
        <f aca="false">IF(OR($N10="",'設定（最初に1回）'!$C$8="",'設定（最初に1回）'!$C$8&lt;=0),"",MAX(0,$N10)/'設定（最初に1回）'!$C$8)</f>
        <v>3.31147540983607</v>
      </c>
      <c r="P10" s="143" t="n">
        <f aca="false">IF($C10="","",IFERROR(INDEX(商品マスタ!$M$6:$N$1005,MATCH($C10,商品マスタ!$B$6:$B$1005,0),MATCH("PI値 "&amp;'設定（最初に1回）'!$C$11,商品マスタ!$M$5:$N$5,0)),""))</f>
        <v>1</v>
      </c>
      <c r="Q10" s="143" t="n">
        <f aca="false">IF(OR($C10="",$P10="",$P10=0,(N($I10)+N($AG10))&lt;=0),"",IFERROR(SUMIFS(随時_動員を入れる!$G$8:$G$97,随時_動員を入れる!$B$8:$B$97,"&gt;="&amp;'設定（最初に1回）'!$C$6,随時_動員を入れる!$B$8:$B$97,"&lt;="&amp;'設定（最初に1回）'!$C$6+(N($I10)+N($AG10))-1)/(N($I10)+N($AG10)),0)*$P10/100)</f>
        <v>37.4054545454545</v>
      </c>
      <c r="R10" s="69" t="n">
        <f aca="false">IF($C10="","",SUMIFS(①今日の在庫を貼る!$O$6:$O$10005,①今日の在庫を貼る!$B$6:$B$10005,'設定（最初に1回）'!$C$4,①今日の在庫を貼る!$I$6:$I$10005,$C10))</f>
        <v>0</v>
      </c>
      <c r="S10" s="143" t="n">
        <f aca="false">IF($C10="","",IF('設定（最初に1回）'!$C$9="実績消費",N($O10),IF('設定（最初に1回）'!$C$9="PI値予測",N($Q10),MAX(N($O10),N($Q10)))))</f>
        <v>3.31147540983607</v>
      </c>
      <c r="T10" s="67" t="n">
        <f aca="false">IF(OR($S10="",$S10&lt;=0),"",$K10/$S10)</f>
        <v>20.2326732673267</v>
      </c>
      <c r="U10" s="69" t="n">
        <f aca="false">IF($S10="","",ROUNDUP(N($S10)*'設定（最初に1回）'!$C$12,0))</f>
        <v>14</v>
      </c>
      <c r="V10" s="69" t="n">
        <f aca="false">IF($C10="","",ROUNDUP(N($S10)*(N($I10)+N($AG10))+N($U10),0))</f>
        <v>51</v>
      </c>
      <c r="W10" s="69" t="n">
        <f aca="false">IF($C10="","",SUMIFS(発注管理!$L$6:$L$1005,発注管理!$C$6:$C$1005,'設定（最初に1回）'!$C$4,発注管理!$F$6:$F$1005,$C10,発注管理!$Q$6:$Q$1005,"発注済"))</f>
        <v>0</v>
      </c>
      <c r="X10" s="69" t="n">
        <f aca="false">IF($C10="","",MAX(0,N($V10)-N($K10)-N($W10)))</f>
        <v>0</v>
      </c>
      <c r="Y10" s="147" t="n">
        <f aca="false">IF($C10="","",IF(N($X10)&lt;=0,0,CEILING($X10/MAX(1,N($G10)),MAX(1,N($J10)))))</f>
        <v>0</v>
      </c>
      <c r="Z10" s="138" t="str">
        <f aca="false">IF($C10="","",IF(N($Y10)&gt;0,"要発注","正常"))</f>
        <v>正常</v>
      </c>
      <c r="AA10" s="71" t="n">
        <f aca="false">IF($C10="","",N($K10)*N($H10))</f>
        <v>39195</v>
      </c>
      <c r="AB10" s="66" t="str">
        <f aca="false">IF($C10="","",_xlfn.TEXTJOIN(" / ",TRUE(),IF(COUNTIF(商品マスタ!$B$6:$B$1005,$C10)=0,"マスタ未登録",""),IF(COUNTIFS(月1回_前回の在庫を貼る!$B$6:$B$10005,'設定（最初に1回）'!$C$4,月1回_前回の在庫を貼る!$I$6:$I$10005,$C10)=0,"新商品",""),IF(COUNTIFS(①今日の在庫を貼る!$B$6:$B$10005,'設定（最初に1回）'!$C$4,①今日の在庫を貼る!$I$6:$I$10005,$C10)=0,"終売候補",""),IF(N($K10)&lt;0,"在庫マイナス",""),IF(AND('設定（最初に1回）'!$C$9="PI値予測",$P10=""),"PI値未設定","")))</f>
        <v/>
      </c>
      <c r="AC10" s="71" t="n">
        <f aca="false">N($Y10)*N($H10)</f>
        <v>0</v>
      </c>
      <c r="AD10" s="66" t="str">
        <f aca="false">IF($C10="","",IFERROR(INDEX(商品マスタ!$K$6:$K$1005,MATCH($C10,商品マスタ!$B$6:$B$1005,0)),"常温"))</f>
        <v>冷蔵</v>
      </c>
      <c r="AE10" s="69" t="n">
        <f aca="false">IF($C10="","",MAX(0,ROUNDUP(N($K10)/MAX(1,N($G10)),0)))</f>
        <v>3</v>
      </c>
      <c r="AF10" s="66" t="str">
        <f aca="false">IF($C10="","",IFERROR(INDEX(商品マスタ!$L$6:$L$1005,MATCH($C10,商品マスタ!$B$6:$B$1005,0)),""))</f>
        <v>その他常温</v>
      </c>
      <c r="AG10" s="143" t="n">
        <f aca="false">IF($C10="","",IFERROR(INDEX(定数マスタ!$S$110:$S$119,MATCH($AF10,定数マスタ!$J$110:$J$119,0)),N('設定（最初に1回）'!$C$13)))</f>
        <v>7</v>
      </c>
      <c r="AH10" s="66" t="n">
        <f aca="false">IF(AND(N($K10)&gt;0,N($Y10)&gt;0),N($Y10),0)</f>
        <v>0</v>
      </c>
    </row>
    <row r="11" customFormat="false" ht="15" hidden="false" customHeight="false" outlineLevel="0" collapsed="false">
      <c r="B11" s="66" t="n">
        <v>6</v>
      </c>
      <c r="C11" s="66" t="str">
        <f aca="false">IFERROR(IF($B11&lt;=MAX(①今日の在庫を貼る!$U$6:$U$10005),INDEX(①今日の在庫を貼る!$I$6:$I$10005,MATCH($B11,①今日の在庫を貼る!$U$6:$U$10005,0)),INDEX(月1回_前回の在庫を貼る!$I$6:$I$10005,MATCH($B11-MAX(①今日の在庫を貼る!$U$6:$U$10005),月1回_前回の在庫を貼る!$U$6:$U$10005,0))),"")</f>
        <v>1813000187270</v>
      </c>
      <c r="D11" s="66" t="str">
        <f aca="false">IF($C11="","",IFERROR(INDEX(商品マスタ!$C$6:$C$1005,MATCH($C11,商品マスタ!$B$6:$B$1005,0)),IFERROR(INDEX(①今日の在庫を貼る!$J$6:$J$10005,MATCH($C11,①今日の在庫を貼る!$I$6:$I$10005,0)),IFERROR(INDEX(月1回_前回の在庫を貼る!$J$6:$J$10005,MATCH($C11,月1回_前回の在庫を貼る!$I$6:$I$10005,0)),""))))</f>
        <v>サントリー角ハイボール</v>
      </c>
      <c r="E11" s="66" t="str">
        <f aca="false">IF($C11="","",IFERROR(INDEX(商品マスタ!$D$6:$D$1005,MATCH($C11,商品マスタ!$B$6:$B$1005,0)),IFERROR(INDEX(①今日の在庫を貼る!$H$6:$H$10005,MATCH($C11,①今日の在庫を貼る!$I$6:$I$10005,0)),IFERROR(INDEX(月1回_前回の在庫を貼る!$H$6:$H$10005,MATCH($C11,月1回_前回の在庫を貼る!$I$6:$I$10005,0)),""))))</f>
        <v>アルコール</v>
      </c>
      <c r="F11" s="66" t="str">
        <f aca="false">IF($C11="","",IFERROR(INDEX(商品マスタ!$E$6:$E$1005,MATCH($C11,商品マスタ!$B$6:$B$1005,0)),IFERROR(INDEX(①今日の在庫を貼る!$E$6:$E$10005,MATCH($C11,①今日の在庫を貼る!$I$6:$I$10005,0)),IFERROR(INDEX(月1回_前回の在庫を貼る!$E$6:$E$10005,MATCH($C11,月1回_前回の在庫を貼る!$I$6:$I$10005,0)),""))))</f>
        <v>株式会社　カクヤス</v>
      </c>
      <c r="G11" s="69" t="n">
        <f aca="false">IF($C11="","",IFERROR(INDEX(商品マスタ!$F$6:$F$1005,MATCH($C11,商品マスタ!$B$6:$B$1005,0)),IFERROR(INDEX(①今日の在庫を貼る!$K$6:$K$10005,MATCH($C11,①今日の在庫を貼る!$I$6:$I$10005,0)),IFERROR(INDEX(月1回_前回の在庫を貼る!$K$6:$K$10005,MATCH($C11,月1回_前回の在庫を貼る!$I$6:$I$10005,0)),""))))</f>
        <v>30</v>
      </c>
      <c r="H11" s="71" t="n">
        <f aca="false">IF($C11="","",IFERROR(INDEX(商品マスタ!$G$6:$G$1005,MATCH($C11,商品マスタ!$B$6:$B$1005,0)),IFERROR(INDEX(①今日の在庫を貼る!$Q$6:$Q$10005,MATCH($C11,①今日の在庫を貼る!$I$6:$I$10005,0)),IFERROR(INDEX(月1回_前回の在庫を貼る!$Q$6:$Q$10005,MATCH($C11,月1回_前回の在庫を貼る!$I$6:$I$10005,0)),""))))</f>
        <v>118</v>
      </c>
      <c r="I11" s="66" t="n">
        <f aca="false">IF($C11="","",IFERROR(INDEX(商品マスタ!$H$6:$H$1005,MATCH($C11,商品マスタ!$B$6:$B$1005,0)),3))</f>
        <v>3</v>
      </c>
      <c r="J11" s="66" t="n">
        <f aca="false">IF($C11="","",MAX(1,IFERROR(INDEX(商品マスタ!$I$6:$I$1005,MATCH($C11,商品マスタ!$B$6:$B$1005,0)),1)))</f>
        <v>1</v>
      </c>
      <c r="K11" s="69" t="n">
        <f aca="false">IF($C11="","",SUMIFS(①今日の在庫を貼る!$N$6:$N$10005,①今日の在庫を貼る!$B$6:$B$10005,'設定（最初に1回）'!$C$4,①今日の在庫を貼る!$I$6:$I$10005,$C11))</f>
        <v>182</v>
      </c>
      <c r="L11" s="69" t="n">
        <f aca="false">IF($C11="","",SUMIFS(月1回_前回の在庫を貼る!$N$6:$N$10005,月1回_前回の在庫を貼る!$B$6:$B$10005,'設定（最初に1回）'!$C$4,月1回_前回の在庫を貼る!$I$6:$I$10005,$C11))</f>
        <v>1225</v>
      </c>
      <c r="M11" s="69" t="n">
        <f aca="false">IF($C11="","",IF(OR('設定（最初に1回）'!$C$6="",'設定（最初に1回）'!$C$7=""),0,SUMIFS(発注管理!$S$6:$S$1005,発注管理!$C$6:$C$1005,'設定（最初に1回）'!$C$4,発注管理!$F$6:$F$1005,$C11,発注管理!$R$6:$R$1005,"&gt;="&amp;'設定（最初に1回）'!$C$7,発注管理!$R$6:$R$1005,"&lt;="&amp;'設定（最初に1回）'!$C$6)))</f>
        <v>0</v>
      </c>
      <c r="N11" s="69" t="n">
        <f aca="false">IF(OR($C11="",'設定（最初に1回）'!$C$15=0),"",$L11+$M11-$K11)</f>
        <v>1043</v>
      </c>
      <c r="O11" s="143" t="n">
        <f aca="false">IF(OR($N11="",'設定（最初に1回）'!$C$8="",'設定（最初に1回）'!$C$8&lt;=0),"",MAX(0,$N11)/'設定（最初に1回）'!$C$8)</f>
        <v>17.0983606557377</v>
      </c>
      <c r="P11" s="143" t="n">
        <f aca="false">IF($C11="","",IFERROR(INDEX(商品マスタ!$M$6:$N$1005,MATCH($C11,商品マスタ!$B$6:$B$1005,0),MATCH("PI値 "&amp;'設定（最初に1回）'!$C$11,商品マスタ!$M$5:$N$5,0)),""))</f>
        <v>1</v>
      </c>
      <c r="Q11" s="143" t="n">
        <f aca="false">IF(OR($C11="",$P11="",$P11=0,(N($I11)+N($AG11))&lt;=0),"",IFERROR(SUMIFS(随時_動員を入れる!$G$8:$G$97,随時_動員を入れる!$B$8:$B$97,"&gt;="&amp;'設定（最初に1回）'!$C$6,随時_動員を入れる!$B$8:$B$97,"&lt;="&amp;'設定（最初に1回）'!$C$6+(N($I11)+N($AG11))-1)/(N($I11)+N($AG11)),0)*$P11/100)</f>
        <v>38.062</v>
      </c>
      <c r="R11" s="69" t="n">
        <f aca="false">IF($C11="","",SUMIFS(①今日の在庫を貼る!$O$6:$O$10005,①今日の在庫を貼る!$B$6:$B$10005,'設定（最初に1回）'!$C$4,①今日の在庫を貼る!$I$6:$I$10005,$C11))</f>
        <v>0</v>
      </c>
      <c r="S11" s="143" t="n">
        <f aca="false">IF($C11="","",IF('設定（最初に1回）'!$C$9="実績消費",N($O11),IF('設定（最初に1回）'!$C$9="PI値予測",N($Q11),MAX(N($O11),N($Q11)))))</f>
        <v>17.0983606557377</v>
      </c>
      <c r="T11" s="67" t="n">
        <f aca="false">IF(OR($S11="",$S11&lt;=0),"",$K11/$S11)</f>
        <v>10.6442953020134</v>
      </c>
      <c r="U11" s="69" t="n">
        <f aca="false">IF($S11="","",ROUNDUP(N($S11)*'設定（最初に1回）'!$C$12,0))</f>
        <v>69</v>
      </c>
      <c r="V11" s="69" t="n">
        <f aca="false">IF($C11="","",ROUNDUP(N($S11)*(N($I11)+N($AG11))+N($U11),0))</f>
        <v>240</v>
      </c>
      <c r="W11" s="69" t="n">
        <f aca="false">IF($C11="","",SUMIFS(発注管理!$L$6:$L$1005,発注管理!$C$6:$C$1005,'設定（最初に1回）'!$C$4,発注管理!$F$6:$F$1005,$C11,発注管理!$Q$6:$Q$1005,"発注済"))</f>
        <v>0</v>
      </c>
      <c r="X11" s="69" t="n">
        <f aca="false">IF($C11="","",MAX(0,N($V11)-N($K11)-N($W11)))</f>
        <v>58</v>
      </c>
      <c r="Y11" s="147" t="n">
        <f aca="false">IF($C11="","",IF(N($X11)&lt;=0,0,CEILING($X11/MAX(1,N($G11)),MAX(1,N($J11)))))</f>
        <v>2</v>
      </c>
      <c r="Z11" s="138" t="str">
        <f aca="false">IF($C11="","",IF(N($Y11)&gt;0,"要発注","正常"))</f>
        <v>要発注</v>
      </c>
      <c r="AA11" s="71" t="n">
        <f aca="false">IF($C11="","",N($K11)*N($H11))</f>
        <v>21476</v>
      </c>
      <c r="AB11" s="66" t="str">
        <f aca="false">IF($C11="","",_xlfn.TEXTJOIN(" / ",TRUE(),IF(COUNTIF(商品マスタ!$B$6:$B$1005,$C11)=0,"マスタ未登録",""),IF(COUNTIFS(月1回_前回の在庫を貼る!$B$6:$B$10005,'設定（最初に1回）'!$C$4,月1回_前回の在庫を貼る!$I$6:$I$10005,$C11)=0,"新商品",""),IF(COUNTIFS(①今日の在庫を貼る!$B$6:$B$10005,'設定（最初に1回）'!$C$4,①今日の在庫を貼る!$I$6:$I$10005,$C11)=0,"終売候補",""),IF(N($K11)&lt;0,"在庫マイナス",""),IF(AND('設定（最初に1回）'!$C$9="PI値予測",$P11=""),"PI値未設定","")))</f>
        <v/>
      </c>
      <c r="AC11" s="71" t="n">
        <f aca="false">N($Y11)*N($H11)</f>
        <v>236</v>
      </c>
      <c r="AD11" s="66" t="str">
        <f aca="false">IF($C11="","",IFERROR(INDEX(商品マスタ!$K$6:$K$1005,MATCH($C11,商品マスタ!$B$6:$B$1005,0)),"常温"))</f>
        <v>冷蔵</v>
      </c>
      <c r="AE11" s="69" t="n">
        <f aca="false">IF($C11="","",MAX(0,ROUNDUP(N($K11)/MAX(1,N($G11)),0)))</f>
        <v>7</v>
      </c>
      <c r="AF11" s="66" t="str">
        <f aca="false">IF($C11="","",IFERROR(INDEX(商品マスタ!$L$6:$L$1005,MATCH($C11,商品マスタ!$B$6:$B$1005,0)),""))</f>
        <v>その他常温</v>
      </c>
      <c r="AG11" s="143" t="n">
        <f aca="false">IF($C11="","",IFERROR(INDEX(定数マスタ!$S$110:$S$119,MATCH($AF11,定数マスタ!$J$110:$J$119,0)),N('設定（最初に1回）'!$C$13)))</f>
        <v>7</v>
      </c>
      <c r="AH11" s="66" t="n">
        <f aca="false">IF(AND(N($K11)&gt;0,N($Y11)&gt;0),N($Y11),0)</f>
        <v>2</v>
      </c>
    </row>
    <row r="12" customFormat="false" ht="15" hidden="false" customHeight="false" outlineLevel="0" collapsed="false">
      <c r="B12" s="66" t="n">
        <v>7</v>
      </c>
      <c r="C12" s="66" t="str">
        <f aca="false">IFERROR(IF($B12&lt;=MAX(①今日の在庫を貼る!$U$6:$U$10005),INDEX(①今日の在庫を貼る!$I$6:$I$10005,MATCH($B12,①今日の在庫を貼る!$U$6:$U$10005,0)),INDEX(月1回_前回の在庫を貼る!$I$6:$I$10005,MATCH($B12-MAX(①今日の在庫を貼る!$U$6:$U$10005),月1回_前回の在庫を貼る!$U$6:$U$10005,0))),"")</f>
        <v>1812000000237</v>
      </c>
      <c r="D12" s="66" t="str">
        <f aca="false">IF($C12="","",IFERROR(INDEX(商品マスタ!$C$6:$C$1005,MATCH($C12,商品マスタ!$B$6:$B$1005,0)),IFERROR(INDEX(①今日の在庫を貼る!$J$6:$J$10005,MATCH($C12,①今日の在庫を貼る!$I$6:$I$10005,0)),IFERROR(INDEX(月1回_前回の在庫を貼る!$J$6:$J$10005,MATCH($C12,月1回_前回の在庫を貼る!$I$6:$I$10005,0)),""))))</f>
        <v>アイスティシロップ</v>
      </c>
      <c r="E12" s="66" t="str">
        <f aca="false">IF($C12="","",IFERROR(INDEX(商品マスタ!$D$6:$D$1005,MATCH($C12,商品マスタ!$B$6:$B$1005,0)),IFERROR(INDEX(①今日の在庫を貼る!$H$6:$H$10005,MATCH($C12,①今日の在庫を貼る!$I$6:$I$10005,0)),IFERROR(INDEX(月1回_前回の在庫を貼る!$H$6:$H$10005,MATCH($C12,月1回_前回の在庫を貼る!$I$6:$I$10005,0)),""))))</f>
        <v>コールド</v>
      </c>
      <c r="F12" s="66" t="str">
        <f aca="false">IF($C12="","",IFERROR(INDEX(商品マスタ!$E$6:$E$1005,MATCH($C12,商品マスタ!$B$6:$B$1005,0)),IFERROR(INDEX(①今日の在庫を貼る!$E$6:$E$10005,MATCH($C12,①今日の在庫を貼る!$I$6:$I$10005,0)),IFERROR(INDEX(月1回_前回の在庫を貼る!$E$6:$E$10005,MATCH($C12,月1回_前回の在庫を貼る!$I$6:$I$10005,0)),""))))</f>
        <v>オザックス株式会社</v>
      </c>
      <c r="G12" s="69" t="n">
        <f aca="false">IF($C12="","",IFERROR(INDEX(商品マスタ!$F$6:$F$1005,MATCH($C12,商品マスタ!$B$6:$B$1005,0)),IFERROR(INDEX(①今日の在庫を貼る!$K$6:$K$10005,MATCH($C12,①今日の在庫を貼る!$I$6:$I$10005,0)),IFERROR(INDEX(月1回_前回の在庫を貼る!$K$6:$K$10005,MATCH($C12,月1回_前回の在庫を貼る!$I$6:$I$10005,0)),""))))</f>
        <v>1</v>
      </c>
      <c r="H12" s="71" t="n">
        <f aca="false">IF($C12="","",IFERROR(INDEX(商品マスタ!$G$6:$G$1005,MATCH($C12,商品マスタ!$B$6:$B$1005,0)),IFERROR(INDEX(①今日の在庫を貼る!$Q$6:$Q$10005,MATCH($C12,①今日の在庫を貼る!$I$6:$I$10005,0)),IFERROR(INDEX(月1回_前回の在庫を貼る!$Q$6:$Q$10005,MATCH($C12,月1回_前回の在庫を貼る!$I$6:$I$10005,0)),""))))</f>
        <v>3756</v>
      </c>
      <c r="I12" s="66" t="n">
        <f aca="false">IF($C12="","",IFERROR(INDEX(商品マスタ!$H$6:$H$1005,MATCH($C12,商品マスタ!$B$6:$B$1005,0)),3))</f>
        <v>2</v>
      </c>
      <c r="J12" s="66" t="n">
        <f aca="false">IF($C12="","",MAX(1,IFERROR(INDEX(商品マスタ!$I$6:$I$1005,MATCH($C12,商品マスタ!$B$6:$B$1005,0)),1)))</f>
        <v>1</v>
      </c>
      <c r="K12" s="69" t="n">
        <f aca="false">IF($C12="","",SUMIFS(①今日の在庫を貼る!$N$6:$N$10005,①今日の在庫を貼る!$B$6:$B$10005,'設定（最初に1回）'!$C$4,①今日の在庫を貼る!$I$6:$I$10005,$C12))</f>
        <v>2</v>
      </c>
      <c r="L12" s="69" t="n">
        <f aca="false">IF($C12="","",SUMIFS(月1回_前回の在庫を貼る!$N$6:$N$10005,月1回_前回の在庫を貼る!$B$6:$B$10005,'設定（最初に1回）'!$C$4,月1回_前回の在庫を貼る!$I$6:$I$10005,$C12))</f>
        <v>98</v>
      </c>
      <c r="M12" s="69" t="n">
        <f aca="false">IF($C12="","",IF(OR('設定（最初に1回）'!$C$6="",'設定（最初に1回）'!$C$7=""),0,SUMIFS(発注管理!$S$6:$S$1005,発注管理!$C$6:$C$1005,'設定（最初に1回）'!$C$4,発注管理!$F$6:$F$1005,$C12,発注管理!$R$6:$R$1005,"&gt;="&amp;'設定（最初に1回）'!$C$7,発注管理!$R$6:$R$1005,"&lt;="&amp;'設定（最初に1回）'!$C$6)))</f>
        <v>0</v>
      </c>
      <c r="N12" s="69" t="n">
        <f aca="false">IF(OR($C12="",'設定（最初に1回）'!$C$15=0),"",$L12+$M12-$K12)</f>
        <v>96</v>
      </c>
      <c r="O12" s="143" t="n">
        <f aca="false">IF(OR($N12="",'設定（最初に1回）'!$C$8="",'設定（最初に1回）'!$C$8&lt;=0),"",MAX(0,$N12)/'設定（最初に1回）'!$C$8)</f>
        <v>1.57377049180328</v>
      </c>
      <c r="P12" s="143" t="n">
        <f aca="false">IF($C12="","",IFERROR(INDEX(商品マスタ!$M$6:$N$1005,MATCH($C12,商品マスタ!$B$6:$B$1005,0),MATCH("PI値 "&amp;'設定（最初に1回）'!$C$11,商品マスタ!$M$5:$N$5,0)),""))</f>
        <v>7.4</v>
      </c>
      <c r="Q12" s="143" t="n">
        <f aca="false">IF(OR($C12="",$P12="",$P12=0,(N($I12)+N($AG12))&lt;=0),"",IFERROR(SUMIFS(随時_動員を入れる!$G$8:$G$97,随時_動員を入れる!$B$8:$B$97,"&gt;="&amp;'設定（最初に1回）'!$C$6,随時_動員を入れる!$B$8:$B$97,"&lt;="&amp;'設定（最初に1回）'!$C$6+(N($I12)+N($AG12))-1)/(N($I12)+N($AG12)),0)*$P12/100)</f>
        <v>438.992093023256</v>
      </c>
      <c r="R12" s="69" t="n">
        <f aca="false">IF($C12="","",SUMIFS(①今日の在庫を貼る!$O$6:$O$10005,①今日の在庫を貼る!$B$6:$B$10005,'設定（最初に1回）'!$C$4,①今日の在庫を貼る!$I$6:$I$10005,$C12))</f>
        <v>0</v>
      </c>
      <c r="S12" s="143" t="n">
        <f aca="false">IF($C12="","",IF('設定（最初に1回）'!$C$9="実績消費",N($O12),IF('設定（最初に1回）'!$C$9="PI値予測",N($Q12),MAX(N($O12),N($Q12)))))</f>
        <v>1.57377049180328</v>
      </c>
      <c r="T12" s="67" t="n">
        <f aca="false">IF(OR($S12="",$S12&lt;=0),"",$K12/$S12)</f>
        <v>1.27083333333333</v>
      </c>
      <c r="U12" s="69" t="n">
        <f aca="false">IF($S12="","",ROUNDUP(N($S12)*'設定（最初に1回）'!$C$12,0))</f>
        <v>7</v>
      </c>
      <c r="V12" s="69" t="n">
        <f aca="false">IF($C12="","",ROUNDUP(N($S12)*(N($I12)+N($AG12))+N($U12),0))</f>
        <v>14</v>
      </c>
      <c r="W12" s="69" t="n">
        <f aca="false">IF($C12="","",SUMIFS(発注管理!$L$6:$L$1005,発注管理!$C$6:$C$1005,'設定（最初に1回）'!$C$4,発注管理!$F$6:$F$1005,$C12,発注管理!$Q$6:$Q$1005,"発注済"))</f>
        <v>0</v>
      </c>
      <c r="X12" s="69" t="n">
        <f aca="false">IF($C12="","",MAX(0,N($V12)-N($K12)-N($W12)))</f>
        <v>12</v>
      </c>
      <c r="Y12" s="147" t="n">
        <f aca="false">IF($C12="","",IF(N($X12)&lt;=0,0,CEILING($X12/MAX(1,N($G12)),MAX(1,N($J12)))))</f>
        <v>12</v>
      </c>
      <c r="Z12" s="138" t="str">
        <f aca="false">IF($C12="","",IF(N($Y12)&gt;0,"要発注","正常"))</f>
        <v>要発注</v>
      </c>
      <c r="AA12" s="71" t="n">
        <f aca="false">IF($C12="","",N($K12)*N($H12))</f>
        <v>7512</v>
      </c>
      <c r="AB12" s="66" t="str">
        <f aca="false">IF($C12="","",_xlfn.TEXTJOIN(" / ",TRUE(),IF(COUNTIF(商品マスタ!$B$6:$B$1005,$C12)=0,"マスタ未登録",""),IF(COUNTIFS(月1回_前回の在庫を貼る!$B$6:$B$10005,'設定（最初に1回）'!$C$4,月1回_前回の在庫を貼る!$I$6:$I$10005,$C12)=0,"新商品",""),IF(COUNTIFS(①今日の在庫を貼る!$B$6:$B$10005,'設定（最初に1回）'!$C$4,①今日の在庫を貼る!$I$6:$I$10005,$C12)=0,"終売候補",""),IF(N($K12)&lt;0,"在庫マイナス",""),IF(AND('設定（最初に1回）'!$C$9="PI値予測",$P12=""),"PI値未設定","")))</f>
        <v/>
      </c>
      <c r="AC12" s="71" t="n">
        <f aca="false">N($Y12)*N($H12)</f>
        <v>45072</v>
      </c>
      <c r="AD12" s="66" t="str">
        <f aca="false">IF($C12="","",IFERROR(INDEX(商品マスタ!$K$6:$K$1005,MATCH($C12,商品マスタ!$B$6:$B$1005,0)),"常温"))</f>
        <v>冷蔵</v>
      </c>
      <c r="AE12" s="69" t="n">
        <f aca="false">IF($C12="","",MAX(0,ROUNDUP(N($K12)/MAX(1,N($G12)),0)))</f>
        <v>2</v>
      </c>
      <c r="AF12" s="66" t="str">
        <f aca="false">IF($C12="","",IFERROR(INDEX(商品マスタ!$L$6:$L$1005,MATCH($C12,商品マスタ!$B$6:$B$1005,0)),""))</f>
        <v>ドリンクシロップ</v>
      </c>
      <c r="AG12" s="143" t="n">
        <f aca="false">IF($C12="","",IFERROR(INDEX(定数マスタ!$S$110:$S$119,MATCH($AF12,定数マスタ!$J$110:$J$119,0)),N('設定（最初に1回）'!$C$13)))</f>
        <v>2.3</v>
      </c>
      <c r="AH12" s="66" t="n">
        <f aca="false">IF(AND(N($K12)&gt;0,N($Y12)&gt;0),N($Y12),0)</f>
        <v>12</v>
      </c>
    </row>
    <row r="13" customFormat="false" ht="15" hidden="false" customHeight="false" outlineLevel="0" collapsed="false">
      <c r="B13" s="66" t="n">
        <v>8</v>
      </c>
      <c r="C13" s="66" t="str">
        <f aca="false">IFERROR(IF($B13&lt;=MAX(①今日の在庫を貼る!$U$6:$U$10005),INDEX(①今日の在庫を貼る!$I$6:$I$10005,MATCH($B13,①今日の在庫を貼る!$U$6:$U$10005,0)),INDEX(月1回_前回の在庫を貼る!$I$6:$I$10005,MATCH($B13-MAX(①今日の在庫を貼る!$U$6:$U$10005),月1回_前回の在庫を貼る!$U$6:$U$10005,0))),"")</f>
        <v>1812000000251</v>
      </c>
      <c r="D13" s="66" t="str">
        <f aca="false">IF($C13="","",IFERROR(INDEX(商品マスタ!$C$6:$C$1005,MATCH($C13,商品マスタ!$B$6:$B$1005,0)),IFERROR(INDEX(①今日の在庫を貼る!$J$6:$J$10005,MATCH($C13,①今日の在庫を貼る!$I$6:$I$10005,0)),IFERROR(INDEX(月1回_前回の在庫を貼る!$J$6:$J$10005,MATCH($C13,月1回_前回の在庫を貼る!$I$6:$I$10005,0)),""))))</f>
        <v>烏龍茶１０倍シロップ</v>
      </c>
      <c r="E13" s="66" t="str">
        <f aca="false">IF($C13="","",IFERROR(INDEX(商品マスタ!$D$6:$D$1005,MATCH($C13,商品マスタ!$B$6:$B$1005,0)),IFERROR(INDEX(①今日の在庫を貼る!$H$6:$H$10005,MATCH($C13,①今日の在庫を貼る!$I$6:$I$10005,0)),IFERROR(INDEX(月1回_前回の在庫を貼る!$H$6:$H$10005,MATCH($C13,月1回_前回の在庫を貼る!$I$6:$I$10005,0)),""))))</f>
        <v>コールド</v>
      </c>
      <c r="F13" s="66" t="str">
        <f aca="false">IF($C13="","",IFERROR(INDEX(商品マスタ!$E$6:$E$1005,MATCH($C13,商品マスタ!$B$6:$B$1005,0)),IFERROR(INDEX(①今日の在庫を貼る!$E$6:$E$10005,MATCH($C13,①今日の在庫を貼る!$I$6:$I$10005,0)),IFERROR(INDEX(月1回_前回の在庫を貼る!$E$6:$E$10005,MATCH($C13,月1回_前回の在庫を貼る!$I$6:$I$10005,0)),""))))</f>
        <v>オザックス株式会社</v>
      </c>
      <c r="G13" s="69" t="n">
        <f aca="false">IF($C13="","",IFERROR(INDEX(商品マスタ!$F$6:$F$1005,MATCH($C13,商品マスタ!$B$6:$B$1005,0)),IFERROR(INDEX(①今日の在庫を貼る!$K$6:$K$10005,MATCH($C13,①今日の在庫を貼る!$I$6:$I$10005,0)),IFERROR(INDEX(月1回_前回の在庫を貼る!$K$6:$K$10005,MATCH($C13,月1回_前回の在庫を貼る!$I$6:$I$10005,0)),""))))</f>
        <v>1</v>
      </c>
      <c r="H13" s="71" t="n">
        <f aca="false">IF($C13="","",IFERROR(INDEX(商品マスタ!$G$6:$G$1005,MATCH($C13,商品マスタ!$B$6:$B$1005,0)),IFERROR(INDEX(①今日の在庫を貼る!$Q$6:$Q$10005,MATCH($C13,①今日の在庫を貼る!$I$6:$I$10005,0)),IFERROR(INDEX(月1回_前回の在庫を貼る!$Q$6:$Q$10005,MATCH($C13,月1回_前回の在庫を貼る!$I$6:$I$10005,0)),""))))</f>
        <v>4382</v>
      </c>
      <c r="I13" s="66" t="n">
        <f aca="false">IF($C13="","",IFERROR(INDEX(商品マスタ!$H$6:$H$1005,MATCH($C13,商品マスタ!$B$6:$B$1005,0)),3))</f>
        <v>5</v>
      </c>
      <c r="J13" s="66" t="n">
        <f aca="false">IF($C13="","",MAX(1,IFERROR(INDEX(商品マスタ!$I$6:$I$1005,MATCH($C13,商品マスタ!$B$6:$B$1005,0)),1)))</f>
        <v>1</v>
      </c>
      <c r="K13" s="69" t="n">
        <f aca="false">IF($C13="","",SUMIFS(①今日の在庫を貼る!$N$6:$N$10005,①今日の在庫を貼る!$B$6:$B$10005,'設定（最初に1回）'!$C$4,①今日の在庫を貼る!$I$6:$I$10005,$C13))</f>
        <v>2</v>
      </c>
      <c r="L13" s="69" t="n">
        <f aca="false">IF($C13="","",SUMIFS(月1回_前回の在庫を貼る!$N$6:$N$10005,月1回_前回の在庫を貼る!$B$6:$B$10005,'設定（最初に1回）'!$C$4,月1回_前回の在庫を貼る!$I$6:$I$10005,$C13))</f>
        <v>70</v>
      </c>
      <c r="M13" s="69" t="n">
        <f aca="false">IF($C13="","",IF(OR('設定（最初に1回）'!$C$6="",'設定（最初に1回）'!$C$7=""),0,SUMIFS(発注管理!$S$6:$S$1005,発注管理!$C$6:$C$1005,'設定（最初に1回）'!$C$4,発注管理!$F$6:$F$1005,$C13,発注管理!$R$6:$R$1005,"&gt;="&amp;'設定（最初に1回）'!$C$7,発注管理!$R$6:$R$1005,"&lt;="&amp;'設定（最初に1回）'!$C$6)))</f>
        <v>0</v>
      </c>
      <c r="N13" s="69" t="n">
        <f aca="false">IF(OR($C13="",'設定（最初に1回）'!$C$15=0),"",$L13+$M13-$K13)</f>
        <v>68</v>
      </c>
      <c r="O13" s="143" t="n">
        <f aca="false">IF(OR($N13="",'設定（最初に1回）'!$C$8="",'設定（最初に1回）'!$C$8&lt;=0),"",MAX(0,$N13)/'設定（最初に1回）'!$C$8)</f>
        <v>1.11475409836066</v>
      </c>
      <c r="P13" s="143" t="n">
        <f aca="false">IF($C13="","",IFERROR(INDEX(商品マスタ!$M$6:$N$1005,MATCH($C13,商品マスタ!$B$6:$B$1005,0),MATCH("PI値 "&amp;'設定（最初に1回）'!$C$11,商品マスタ!$M$5:$N$5,0)),""))</f>
        <v>6.3</v>
      </c>
      <c r="Q13" s="143" t="n">
        <f aca="false">IF(OR($C13="",$P13="",$P13=0,(N($I13)+N($AG13))&lt;=0),"",IFERROR(SUMIFS(随時_動員を入れる!$G$8:$G$97,随時_動員を入れる!$B$8:$B$97,"&gt;="&amp;'設定（最初に1回）'!$C$6,随時_動員を入れる!$B$8:$B$97,"&lt;="&amp;'設定（最初に1回）'!$C$6+(N($I13)+N($AG13))-1)/(N($I13)+N($AG13)),0)*$P13/100)</f>
        <v>266.783424657534</v>
      </c>
      <c r="R13" s="69" t="n">
        <f aca="false">IF($C13="","",SUMIFS(①今日の在庫を貼る!$O$6:$O$10005,①今日の在庫を貼る!$B$6:$B$10005,'設定（最初に1回）'!$C$4,①今日の在庫を貼る!$I$6:$I$10005,$C13))</f>
        <v>0</v>
      </c>
      <c r="S13" s="143" t="n">
        <f aca="false">IF($C13="","",IF('設定（最初に1回）'!$C$9="実績消費",N($O13),IF('設定（最初に1回）'!$C$9="PI値予測",N($Q13),MAX(N($O13),N($Q13)))))</f>
        <v>1.11475409836066</v>
      </c>
      <c r="T13" s="67" t="n">
        <f aca="false">IF(OR($S13="",$S13&lt;=0),"",$K13/$S13)</f>
        <v>1.79411764705882</v>
      </c>
      <c r="U13" s="69" t="n">
        <f aca="false">IF($S13="","",ROUNDUP(N($S13)*'設定（最初に1回）'!$C$12,0))</f>
        <v>5</v>
      </c>
      <c r="V13" s="69" t="n">
        <f aca="false">IF($C13="","",ROUNDUP(N($S13)*(N($I13)+N($AG13))+N($U13),0))</f>
        <v>14</v>
      </c>
      <c r="W13" s="69" t="n">
        <f aca="false">IF($C13="","",SUMIFS(発注管理!$L$6:$L$1005,発注管理!$C$6:$C$1005,'設定（最初に1回）'!$C$4,発注管理!$F$6:$F$1005,$C13,発注管理!$Q$6:$Q$1005,"発注済"))</f>
        <v>0</v>
      </c>
      <c r="X13" s="69" t="n">
        <f aca="false">IF($C13="","",MAX(0,N($V13)-N($K13)-N($W13)))</f>
        <v>12</v>
      </c>
      <c r="Y13" s="147" t="n">
        <f aca="false">IF($C13="","",IF(N($X13)&lt;=0,0,CEILING($X13/MAX(1,N($G13)),MAX(1,N($J13)))))</f>
        <v>12</v>
      </c>
      <c r="Z13" s="138" t="str">
        <f aca="false">IF($C13="","",IF(N($Y13)&gt;0,"要発注","正常"))</f>
        <v>要発注</v>
      </c>
      <c r="AA13" s="71" t="n">
        <f aca="false">IF($C13="","",N($K13)*N($H13))</f>
        <v>8764</v>
      </c>
      <c r="AB13" s="66" t="str">
        <f aca="false">IF($C13="","",_xlfn.TEXTJOIN(" / ",TRUE(),IF(COUNTIF(商品マスタ!$B$6:$B$1005,$C13)=0,"マスタ未登録",""),IF(COUNTIFS(月1回_前回の在庫を貼る!$B$6:$B$10005,'設定（最初に1回）'!$C$4,月1回_前回の在庫を貼る!$I$6:$I$10005,$C13)=0,"新商品",""),IF(COUNTIFS(①今日の在庫を貼る!$B$6:$B$10005,'設定（最初に1回）'!$C$4,①今日の在庫を貼る!$I$6:$I$10005,$C13)=0,"終売候補",""),IF(N($K13)&lt;0,"在庫マイナス",""),IF(AND('設定（最初に1回）'!$C$9="PI値予測",$P13=""),"PI値未設定","")))</f>
        <v/>
      </c>
      <c r="AC13" s="71" t="n">
        <f aca="false">N($Y13)*N($H13)</f>
        <v>52584</v>
      </c>
      <c r="AD13" s="66" t="str">
        <f aca="false">IF($C13="","",IFERROR(INDEX(商品マスタ!$K$6:$K$1005,MATCH($C13,商品マスタ!$B$6:$B$1005,0)),"常温"))</f>
        <v>冷蔵</v>
      </c>
      <c r="AE13" s="69" t="n">
        <f aca="false">IF($C13="","",MAX(0,ROUNDUP(N($K13)/MAX(1,N($G13)),0)))</f>
        <v>2</v>
      </c>
      <c r="AF13" s="66" t="str">
        <f aca="false">IF($C13="","",IFERROR(INDEX(商品マスタ!$L$6:$L$1005,MATCH($C13,商品マスタ!$B$6:$B$1005,0)),""))</f>
        <v>ドリンクシロップ</v>
      </c>
      <c r="AG13" s="143" t="n">
        <f aca="false">IF($C13="","",IFERROR(INDEX(定数マスタ!$S$110:$S$119,MATCH($AF13,定数マスタ!$J$110:$J$119,0)),N('設定（最初に1回）'!$C$13)))</f>
        <v>2.3</v>
      </c>
      <c r="AH13" s="66" t="n">
        <f aca="false">IF(AND(N($K13)&gt;0,N($Y13)&gt;0),N($Y13),0)</f>
        <v>12</v>
      </c>
    </row>
    <row r="14" customFormat="false" ht="15" hidden="false" customHeight="false" outlineLevel="0" collapsed="false">
      <c r="B14" s="66" t="n">
        <v>9</v>
      </c>
      <c r="C14" s="66" t="str">
        <f aca="false">IFERROR(IF($B14&lt;=MAX(①今日の在庫を貼る!$U$6:$U$10005),INDEX(①今日の在庫を貼る!$I$6:$I$10005,MATCH($B14,①今日の在庫を貼る!$U$6:$U$10005,0)),INDEX(月1回_前回の在庫を貼る!$I$6:$I$10005,MATCH($B14-MAX(①今日の在庫を貼る!$U$6:$U$10005),月1回_前回の在庫を貼る!$U$6:$U$10005,0))),"")</f>
        <v>1812000007441</v>
      </c>
      <c r="D14" s="66" t="str">
        <f aca="false">IF($C14="","",IFERROR(INDEX(商品マスタ!$C$6:$C$1005,MATCH($C14,商品マスタ!$B$6:$B$1005,0)),IFERROR(INDEX(①今日の在庫を貼る!$J$6:$J$10005,MATCH($C14,①今日の在庫を貼る!$I$6:$I$10005,0)),IFERROR(INDEX(月1回_前回の在庫を貼る!$J$6:$J$10005,MATCH($C14,月1回_前回の在庫を貼る!$I$6:$I$10005,0)),""))))</f>
        <v>ミニッツメイドオレンジＦＫＡ</v>
      </c>
      <c r="E14" s="66" t="str">
        <f aca="false">IF($C14="","",IFERROR(INDEX(商品マスタ!$D$6:$D$1005,MATCH($C14,商品マスタ!$B$6:$B$1005,0)),IFERROR(INDEX(①今日の在庫を貼る!$H$6:$H$10005,MATCH($C14,①今日の在庫を貼る!$I$6:$I$10005,0)),IFERROR(INDEX(月1回_前回の在庫を貼る!$H$6:$H$10005,MATCH($C14,月1回_前回の在庫を貼る!$I$6:$I$10005,0)),""))))</f>
        <v>コールド</v>
      </c>
      <c r="F14" s="66" t="str">
        <f aca="false">IF($C14="","",IFERROR(INDEX(商品マスタ!$E$6:$E$1005,MATCH($C14,商品マスタ!$B$6:$B$1005,0)),IFERROR(INDEX(①今日の在庫を貼る!$E$6:$E$10005,MATCH($C14,①今日の在庫を貼る!$I$6:$I$10005,0)),IFERROR(INDEX(月1回_前回の在庫を貼る!$E$6:$E$10005,MATCH($C14,月1回_前回の在庫を貼る!$I$6:$I$10005,0)),""))))</f>
        <v>オザックス株式会社</v>
      </c>
      <c r="G14" s="69" t="n">
        <f aca="false">IF($C14="","",IFERROR(INDEX(商品マスタ!$F$6:$F$1005,MATCH($C14,商品マスタ!$B$6:$B$1005,0)),IFERROR(INDEX(①今日の在庫を貼る!$K$6:$K$10005,MATCH($C14,①今日の在庫を貼る!$I$6:$I$10005,0)),IFERROR(INDEX(月1回_前回の在庫を貼る!$K$6:$K$10005,MATCH($C14,月1回_前回の在庫を貼る!$I$6:$I$10005,0)),""))))</f>
        <v>1</v>
      </c>
      <c r="H14" s="71" t="n">
        <f aca="false">IF($C14="","",IFERROR(INDEX(商品マスタ!$G$6:$G$1005,MATCH($C14,商品マスタ!$B$6:$B$1005,0)),IFERROR(INDEX(①今日の在庫を貼る!$Q$6:$Q$10005,MATCH($C14,①今日の在庫を貼る!$I$6:$I$10005,0)),IFERROR(INDEX(月1回_前回の在庫を貼る!$Q$6:$Q$10005,MATCH($C14,月1回_前回の在庫を貼る!$I$6:$I$10005,0)),""))))</f>
        <v>2890</v>
      </c>
      <c r="I14" s="66" t="n">
        <f aca="false">IF($C14="","",IFERROR(INDEX(商品マスタ!$H$6:$H$1005,MATCH($C14,商品マスタ!$B$6:$B$1005,0)),3))</f>
        <v>3</v>
      </c>
      <c r="J14" s="66" t="n">
        <f aca="false">IF($C14="","",MAX(1,IFERROR(INDEX(商品マスタ!$I$6:$I$1005,MATCH($C14,商品マスタ!$B$6:$B$1005,0)),1)))</f>
        <v>1</v>
      </c>
      <c r="K14" s="69" t="n">
        <f aca="false">IF($C14="","",SUMIFS(①今日の在庫を貼る!$N$6:$N$10005,①今日の在庫を貼る!$B$6:$B$10005,'設定（最初に1回）'!$C$4,①今日の在庫を貼る!$I$6:$I$10005,$C14))</f>
        <v>0</v>
      </c>
      <c r="L14" s="69" t="n">
        <f aca="false">IF($C14="","",SUMIFS(月1回_前回の在庫を貼る!$N$6:$N$10005,月1回_前回の在庫を貼る!$B$6:$B$10005,'設定（最初に1回）'!$C$4,月1回_前回の在庫を貼る!$I$6:$I$10005,$C14))</f>
        <v>2</v>
      </c>
      <c r="M14" s="69" t="n">
        <f aca="false">IF($C14="","",IF(OR('設定（最初に1回）'!$C$6="",'設定（最初に1回）'!$C$7=""),0,SUMIFS(発注管理!$S$6:$S$1005,発注管理!$C$6:$C$1005,'設定（最初に1回）'!$C$4,発注管理!$F$6:$F$1005,$C14,発注管理!$R$6:$R$1005,"&gt;="&amp;'設定（最初に1回）'!$C$7,発注管理!$R$6:$R$1005,"&lt;="&amp;'設定（最初に1回）'!$C$6)))</f>
        <v>0</v>
      </c>
      <c r="N14" s="69" t="n">
        <f aca="false">IF(OR($C14="",'設定（最初に1回）'!$C$15=0),"",$L14+$M14-$K14)</f>
        <v>2</v>
      </c>
      <c r="O14" s="143" t="n">
        <f aca="false">IF(OR($N14="",'設定（最初に1回）'!$C$8="",'設定（最初に1回）'!$C$8&lt;=0),"",MAX(0,$N14)/'設定（最初に1回）'!$C$8)</f>
        <v>0.0327868852459016</v>
      </c>
      <c r="P14" s="143" t="n">
        <f aca="false">IF($C14="","",IFERROR(INDEX(商品マスタ!$M$6:$N$1005,MATCH($C14,商品マスタ!$B$6:$B$1005,0),MATCH("PI値 "&amp;'設定（最初に1回）'!$C$11,商品マスタ!$M$5:$N$5,0)),""))</f>
        <v>7.3</v>
      </c>
      <c r="Q14" s="143" t="n">
        <f aca="false">IF(OR($C14="",$P14="",$P14=0,(N($I14)+N($AG14))&lt;=0),"",IFERROR(SUMIFS(随時_動員を入れる!$G$8:$G$97,随時_動員を入れる!$B$8:$B$97,"&gt;="&amp;'設定（最初に1回）'!$C$6,随時_動員を入れる!$B$8:$B$97,"&lt;="&amp;'設定（最初に1回）'!$C$6+(N($I14)+N($AG14))-1)/(N($I14)+N($AG14)),0)*$P14/100)</f>
        <v>386.321509433962</v>
      </c>
      <c r="R14" s="69" t="n">
        <f aca="false">IF($C14="","",SUMIFS(①今日の在庫を貼る!$O$6:$O$10005,①今日の在庫を貼る!$B$6:$B$10005,'設定（最初に1回）'!$C$4,①今日の在庫を貼る!$I$6:$I$10005,$C14))</f>
        <v>0</v>
      </c>
      <c r="S14" s="143" t="n">
        <f aca="false">IF($C14="","",IF('設定（最初に1回）'!$C$9="実績消費",N($O14),IF('設定（最初に1回）'!$C$9="PI値予測",N($Q14),MAX(N($O14),N($Q14)))))</f>
        <v>0.0327868852459016</v>
      </c>
      <c r="T14" s="67" t="n">
        <f aca="false">IF(OR($S14="",$S14&lt;=0),"",$K14/$S14)</f>
        <v>0</v>
      </c>
      <c r="U14" s="69" t="n">
        <f aca="false">IF($S14="","",ROUNDUP(N($S14)*'設定（最初に1回）'!$C$12,0))</f>
        <v>1</v>
      </c>
      <c r="V14" s="69" t="n">
        <f aca="false">IF($C14="","",ROUNDUP(N($S14)*(N($I14)+N($AG14))+N($U14),0))</f>
        <v>2</v>
      </c>
      <c r="W14" s="69" t="n">
        <f aca="false">IF($C14="","",SUMIFS(発注管理!$L$6:$L$1005,発注管理!$C$6:$C$1005,'設定（最初に1回）'!$C$4,発注管理!$F$6:$F$1005,$C14,発注管理!$Q$6:$Q$1005,"発注済"))</f>
        <v>0</v>
      </c>
      <c r="X14" s="69" t="n">
        <f aca="false">IF($C14="","",MAX(0,N($V14)-N($K14)-N($W14)))</f>
        <v>2</v>
      </c>
      <c r="Y14" s="147" t="n">
        <f aca="false">IF($C14="","",IF(N($X14)&lt;=0,0,CEILING($X14/MAX(1,N($G14)),MAX(1,N($J14)))))</f>
        <v>2</v>
      </c>
      <c r="Z14" s="138" t="str">
        <f aca="false">IF($C14="","",IF(N($Y14)&gt;0,"要発注","正常"))</f>
        <v>要発注</v>
      </c>
      <c r="AA14" s="71" t="n">
        <f aca="false">IF($C14="","",N($K14)*N($H14))</f>
        <v>0</v>
      </c>
      <c r="AB14" s="66" t="str">
        <f aca="false">IF($C14="","",_xlfn.TEXTJOIN(" / ",TRUE(),IF(COUNTIF(商品マスタ!$B$6:$B$1005,$C14)=0,"マスタ未登録",""),IF(COUNTIFS(月1回_前回の在庫を貼る!$B$6:$B$10005,'設定（最初に1回）'!$C$4,月1回_前回の在庫を貼る!$I$6:$I$10005,$C14)=0,"新商品",""),IF(COUNTIFS(①今日の在庫を貼る!$B$6:$B$10005,'設定（最初に1回）'!$C$4,①今日の在庫を貼る!$I$6:$I$10005,$C14)=0,"終売候補",""),IF(N($K14)&lt;0,"在庫マイナス",""),IF(AND('設定（最初に1回）'!$C$9="PI値予測",$P14=""),"PI値未設定","")))</f>
        <v/>
      </c>
      <c r="AC14" s="71" t="n">
        <f aca="false">N($Y14)*N($H14)</f>
        <v>5780</v>
      </c>
      <c r="AD14" s="66" t="str">
        <f aca="false">IF($C14="","",IFERROR(INDEX(商品マスタ!$K$6:$K$1005,MATCH($C14,商品マスタ!$B$6:$B$1005,0)),"常温"))</f>
        <v>冷蔵</v>
      </c>
      <c r="AE14" s="69" t="n">
        <f aca="false">IF($C14="","",MAX(0,ROUNDUP(N($K14)/MAX(1,N($G14)),0)))</f>
        <v>0</v>
      </c>
      <c r="AF14" s="66" t="str">
        <f aca="false">IF($C14="","",IFERROR(INDEX(商品マスタ!$L$6:$L$1005,MATCH($C14,商品マスタ!$B$6:$B$1005,0)),""))</f>
        <v>ドリンクシロップ</v>
      </c>
      <c r="AG14" s="143" t="n">
        <f aca="false">IF($C14="","",IFERROR(INDEX(定数マスタ!$S$110:$S$119,MATCH($AF14,定数マスタ!$J$110:$J$119,0)),N('設定（最初に1回）'!$C$13)))</f>
        <v>2.3</v>
      </c>
      <c r="AH14" s="66" t="n">
        <f aca="false">IF(AND(N($K14)&gt;0,N($Y14)&gt;0),N($Y14),0)</f>
        <v>0</v>
      </c>
    </row>
    <row r="15" customFormat="false" ht="15" hidden="false" customHeight="false" outlineLevel="0" collapsed="false">
      <c r="B15" s="66" t="n">
        <v>10</v>
      </c>
      <c r="C15" s="66" t="str">
        <f aca="false">IFERROR(IF($B15&lt;=MAX(①今日の在庫を貼る!$U$6:$U$10005),INDEX(①今日の在庫を貼る!$I$6:$I$10005,MATCH($B15,①今日の在庫を貼る!$U$6:$U$10005,0)),INDEX(月1回_前回の在庫を貼る!$I$6:$I$10005,MATCH($B15-MAX(①今日の在庫を貼る!$U$6:$U$10005),月1回_前回の在庫を貼る!$U$6:$U$10005,0))),"")</f>
        <v>1812000013169</v>
      </c>
      <c r="D15" s="66" t="str">
        <f aca="false">IF($C15="","",IFERROR(INDEX(商品マスタ!$C$6:$C$1005,MATCH($C15,商品マスタ!$B$6:$B$1005,0)),IFERROR(INDEX(①今日の在庫を貼る!$J$6:$J$10005,MATCH($C15,①今日の在庫を貼る!$I$6:$I$10005,0)),IFERROR(INDEX(月1回_前回の在庫を貼る!$J$6:$J$10005,MATCH($C15,月1回_前回の在庫を貼る!$I$6:$I$10005,0)),""))))</f>
        <v>ミニッツメイドアップル</v>
      </c>
      <c r="E15" s="66" t="str">
        <f aca="false">IF($C15="","",IFERROR(INDEX(商品マスタ!$D$6:$D$1005,MATCH($C15,商品マスタ!$B$6:$B$1005,0)),IFERROR(INDEX(①今日の在庫を貼る!$H$6:$H$10005,MATCH($C15,①今日の在庫を貼る!$I$6:$I$10005,0)),IFERROR(INDEX(月1回_前回の在庫を貼る!$H$6:$H$10005,MATCH($C15,月1回_前回の在庫を貼る!$I$6:$I$10005,0)),""))))</f>
        <v>コールド</v>
      </c>
      <c r="F15" s="66" t="str">
        <f aca="false">IF($C15="","",IFERROR(INDEX(商品マスタ!$E$6:$E$1005,MATCH($C15,商品マスタ!$B$6:$B$1005,0)),IFERROR(INDEX(①今日の在庫を貼る!$E$6:$E$10005,MATCH($C15,①今日の在庫を貼る!$I$6:$I$10005,0)),IFERROR(INDEX(月1回_前回の在庫を貼る!$E$6:$E$10005,MATCH($C15,月1回_前回の在庫を貼る!$I$6:$I$10005,0)),""))))</f>
        <v>オザックス株式会社</v>
      </c>
      <c r="G15" s="69" t="n">
        <f aca="false">IF($C15="","",IFERROR(INDEX(商品マスタ!$F$6:$F$1005,MATCH($C15,商品マスタ!$B$6:$B$1005,0)),IFERROR(INDEX(①今日の在庫を貼る!$K$6:$K$10005,MATCH($C15,①今日の在庫を貼る!$I$6:$I$10005,0)),IFERROR(INDEX(月1回_前回の在庫を貼る!$K$6:$K$10005,MATCH($C15,月1回_前回の在庫を貼る!$I$6:$I$10005,0)),""))))</f>
        <v>1</v>
      </c>
      <c r="H15" s="71" t="n">
        <f aca="false">IF($C15="","",IFERROR(INDEX(商品マスタ!$G$6:$G$1005,MATCH($C15,商品マスタ!$B$6:$B$1005,0)),IFERROR(INDEX(①今日の在庫を貼る!$Q$6:$Q$10005,MATCH($C15,①今日の在庫を貼る!$I$6:$I$10005,0)),IFERROR(INDEX(月1回_前回の在庫を貼る!$Q$6:$Q$10005,MATCH($C15,月1回_前回の在庫を貼る!$I$6:$I$10005,0)),""))))</f>
        <v>3636</v>
      </c>
      <c r="I15" s="66" t="n">
        <f aca="false">IF($C15="","",IFERROR(INDEX(商品マスタ!$H$6:$H$1005,MATCH($C15,商品マスタ!$B$6:$B$1005,0)),3))</f>
        <v>3</v>
      </c>
      <c r="J15" s="66" t="n">
        <f aca="false">IF($C15="","",MAX(1,IFERROR(INDEX(商品マスタ!$I$6:$I$1005,MATCH($C15,商品マスタ!$B$6:$B$1005,0)),1)))</f>
        <v>5</v>
      </c>
      <c r="K15" s="69" t="n">
        <f aca="false">IF($C15="","",SUMIFS(①今日の在庫を貼る!$N$6:$N$10005,①今日の在庫を貼る!$B$6:$B$10005,'設定（最初に1回）'!$C$4,①今日の在庫を貼る!$I$6:$I$10005,$C15))</f>
        <v>2</v>
      </c>
      <c r="L15" s="69" t="n">
        <f aca="false">IF($C15="","",SUMIFS(月1回_前回の在庫を貼る!$N$6:$N$10005,月1回_前回の在庫を貼る!$B$6:$B$10005,'設定（最初に1回）'!$C$4,月1回_前回の在庫を貼る!$I$6:$I$10005,$C15))</f>
        <v>4</v>
      </c>
      <c r="M15" s="69" t="n">
        <f aca="false">IF($C15="","",IF(OR('設定（最初に1回）'!$C$6="",'設定（最初に1回）'!$C$7=""),0,SUMIFS(発注管理!$S$6:$S$1005,発注管理!$C$6:$C$1005,'設定（最初に1回）'!$C$4,発注管理!$F$6:$F$1005,$C15,発注管理!$R$6:$R$1005,"&gt;="&amp;'設定（最初に1回）'!$C$7,発注管理!$R$6:$R$1005,"&lt;="&amp;'設定（最初に1回）'!$C$6)))</f>
        <v>0</v>
      </c>
      <c r="N15" s="69" t="n">
        <f aca="false">IF(OR($C15="",'設定（最初に1回）'!$C$15=0),"",$L15+$M15-$K15)</f>
        <v>2</v>
      </c>
      <c r="O15" s="143" t="n">
        <f aca="false">IF(OR($N15="",'設定（最初に1回）'!$C$8="",'設定（最初に1回）'!$C$8&lt;=0),"",MAX(0,$N15)/'設定（最初に1回）'!$C$8)</f>
        <v>0.0327868852459016</v>
      </c>
      <c r="P15" s="143" t="n">
        <f aca="false">IF($C15="","",IFERROR(INDEX(商品マスタ!$M$6:$N$1005,MATCH($C15,商品マスタ!$B$6:$B$1005,0),MATCH("PI値 "&amp;'設定（最初に1回）'!$C$11,商品マスタ!$M$5:$N$5,0)),""))</f>
        <v>7.4</v>
      </c>
      <c r="Q15" s="143" t="n">
        <f aca="false">IF(OR($C15="",$P15="",$P15=0,(N($I15)+N($AG15))&lt;=0),"",IFERROR(SUMIFS(随時_動員を入れる!$G$8:$G$97,随時_動員を入れる!$B$8:$B$97,"&gt;="&amp;'設定（最初に1回）'!$C$6,随時_動員を入れる!$B$8:$B$97,"&lt;="&amp;'設定（最初に1回）'!$C$6+(N($I15)+N($AG15))-1)/(N($I15)+N($AG15)),0)*$P15/100)</f>
        <v>391.61358490566</v>
      </c>
      <c r="R15" s="69" t="n">
        <f aca="false">IF($C15="","",SUMIFS(①今日の在庫を貼る!$O$6:$O$10005,①今日の在庫を貼る!$B$6:$B$10005,'設定（最初に1回）'!$C$4,①今日の在庫を貼る!$I$6:$I$10005,$C15))</f>
        <v>0</v>
      </c>
      <c r="S15" s="143" t="n">
        <f aca="false">IF($C15="","",IF('設定（最初に1回）'!$C$9="実績消費",N($O15),IF('設定（最初に1回）'!$C$9="PI値予測",N($Q15),MAX(N($O15),N($Q15)))))</f>
        <v>0.0327868852459016</v>
      </c>
      <c r="T15" s="67" t="n">
        <f aca="false">IF(OR($S15="",$S15&lt;=0),"",$K15/$S15)</f>
        <v>61</v>
      </c>
      <c r="U15" s="69" t="n">
        <f aca="false">IF($S15="","",ROUNDUP(N($S15)*'設定（最初に1回）'!$C$12,0))</f>
        <v>1</v>
      </c>
      <c r="V15" s="69" t="n">
        <f aca="false">IF($C15="","",ROUNDUP(N($S15)*(N($I15)+N($AG15))+N($U15),0))</f>
        <v>2</v>
      </c>
      <c r="W15" s="69" t="n">
        <f aca="false">IF($C15="","",SUMIFS(発注管理!$L$6:$L$1005,発注管理!$C$6:$C$1005,'設定（最初に1回）'!$C$4,発注管理!$F$6:$F$1005,$C15,発注管理!$Q$6:$Q$1005,"発注済"))</f>
        <v>0</v>
      </c>
      <c r="X15" s="69" t="n">
        <f aca="false">IF($C15="","",MAX(0,N($V15)-N($K15)-N($W15)))</f>
        <v>0</v>
      </c>
      <c r="Y15" s="147" t="n">
        <f aca="false">IF($C15="","",IF(N($X15)&lt;=0,0,CEILING($X15/MAX(1,N($G15)),MAX(1,N($J15)))))</f>
        <v>0</v>
      </c>
      <c r="Z15" s="138" t="str">
        <f aca="false">IF($C15="","",IF(N($Y15)&gt;0,"要発注","正常"))</f>
        <v>正常</v>
      </c>
      <c r="AA15" s="71" t="n">
        <f aca="false">IF($C15="","",N($K15)*N($H15))</f>
        <v>7272</v>
      </c>
      <c r="AB15" s="66" t="str">
        <f aca="false">IF($C15="","",_xlfn.TEXTJOIN(" / ",TRUE(),IF(COUNTIF(商品マスタ!$B$6:$B$1005,$C15)=0,"マスタ未登録",""),IF(COUNTIFS(月1回_前回の在庫を貼る!$B$6:$B$10005,'設定（最初に1回）'!$C$4,月1回_前回の在庫を貼る!$I$6:$I$10005,$C15)=0,"新商品",""),IF(COUNTIFS(①今日の在庫を貼る!$B$6:$B$10005,'設定（最初に1回）'!$C$4,①今日の在庫を貼る!$I$6:$I$10005,$C15)=0,"終売候補",""),IF(N($K15)&lt;0,"在庫マイナス",""),IF(AND('設定（最初に1回）'!$C$9="PI値予測",$P15=""),"PI値未設定","")))</f>
        <v/>
      </c>
      <c r="AC15" s="71" t="n">
        <f aca="false">N($Y15)*N($H15)</f>
        <v>0</v>
      </c>
      <c r="AD15" s="66" t="str">
        <f aca="false">IF($C15="","",IFERROR(INDEX(商品マスタ!$K$6:$K$1005,MATCH($C15,商品マスタ!$B$6:$B$1005,0)),"常温"))</f>
        <v>冷蔵</v>
      </c>
      <c r="AE15" s="69" t="n">
        <f aca="false">IF($C15="","",MAX(0,ROUNDUP(N($K15)/MAX(1,N($G15)),0)))</f>
        <v>2</v>
      </c>
      <c r="AF15" s="66" t="str">
        <f aca="false">IF($C15="","",IFERROR(INDEX(商品マスタ!$L$6:$L$1005,MATCH($C15,商品マスタ!$B$6:$B$1005,0)),""))</f>
        <v>ドリンクシロップ</v>
      </c>
      <c r="AG15" s="143" t="n">
        <f aca="false">IF($C15="","",IFERROR(INDEX(定数マスタ!$S$110:$S$119,MATCH($AF15,定数マスタ!$J$110:$J$119,0)),N('設定（最初に1回）'!$C$13)))</f>
        <v>2.3</v>
      </c>
      <c r="AH15" s="66" t="n">
        <f aca="false">IF(AND(N($K15)&gt;0,N($Y15)&gt;0),N($Y15),0)</f>
        <v>0</v>
      </c>
    </row>
    <row r="16" customFormat="false" ht="15" hidden="false" customHeight="false" outlineLevel="0" collapsed="false">
      <c r="B16" s="66" t="n">
        <v>11</v>
      </c>
      <c r="C16" s="66" t="str">
        <f aca="false">IFERROR(IF($B16&lt;=MAX(①今日の在庫を貼る!$U$6:$U$10005),INDEX(①今日の在庫を貼る!$I$6:$I$10005,MATCH($B16,①今日の在庫を貼る!$U$6:$U$10005,0)),INDEX(月1回_前回の在庫を貼る!$I$6:$I$10005,MATCH($B16-MAX(①今日の在庫を貼る!$U$6:$U$10005),月1回_前回の在庫を貼る!$U$6:$U$10005,0))),"")</f>
        <v>4902102081283</v>
      </c>
      <c r="D16" s="66" t="str">
        <f aca="false">IF($C16="","",IFERROR(INDEX(商品マスタ!$C$6:$C$1005,MATCH($C16,商品マスタ!$B$6:$B$1005,0)),IFERROR(INDEX(①今日の在庫を貼る!$J$6:$J$10005,MATCH($C16,①今日の在庫を貼る!$I$6:$I$10005,0)),IFERROR(INDEX(月1回_前回の在庫を貼る!$J$6:$J$10005,MATCH($C16,月1回_前回の在庫を貼る!$I$6:$I$10005,0)),""))))</f>
        <v>ＰＸＴ爽健美茶１Ｇ</v>
      </c>
      <c r="E16" s="66" t="str">
        <f aca="false">IF($C16="","",IFERROR(INDEX(商品マスタ!$D$6:$D$1005,MATCH($C16,商品マスタ!$B$6:$B$1005,0)),IFERROR(INDEX(①今日の在庫を貼る!$H$6:$H$10005,MATCH($C16,①今日の在庫を貼る!$I$6:$I$10005,0)),IFERROR(INDEX(月1回_前回の在庫を貼る!$H$6:$H$10005,MATCH($C16,月1回_前回の在庫を貼る!$I$6:$I$10005,0)),""))))</f>
        <v>コールド</v>
      </c>
      <c r="F16" s="66" t="str">
        <f aca="false">IF($C16="","",IFERROR(INDEX(商品マスタ!$E$6:$E$1005,MATCH($C16,商品マスタ!$B$6:$B$1005,0)),IFERROR(INDEX(①今日の在庫を貼る!$E$6:$E$10005,MATCH($C16,①今日の在庫を貼る!$I$6:$I$10005,0)),IFERROR(INDEX(月1回_前回の在庫を貼る!$E$6:$E$10005,MATCH($C16,月1回_前回の在庫を貼る!$I$6:$I$10005,0)),""))))</f>
        <v>オザックス株式会社</v>
      </c>
      <c r="G16" s="69" t="n">
        <f aca="false">IF($C16="","",IFERROR(INDEX(商品マスタ!$F$6:$F$1005,MATCH($C16,商品マスタ!$B$6:$B$1005,0)),IFERROR(INDEX(①今日の在庫を貼る!$K$6:$K$10005,MATCH($C16,①今日の在庫を貼る!$I$6:$I$10005,0)),IFERROR(INDEX(月1回_前回の在庫を貼る!$K$6:$K$10005,MATCH($C16,月1回_前回の在庫を貼る!$I$6:$I$10005,0)),""))))</f>
        <v>1</v>
      </c>
      <c r="H16" s="71" t="n">
        <f aca="false">IF($C16="","",IFERROR(INDEX(商品マスタ!$G$6:$G$1005,MATCH($C16,商品マスタ!$B$6:$B$1005,0)),IFERROR(INDEX(①今日の在庫を貼る!$Q$6:$Q$10005,MATCH($C16,①今日の在庫を貼る!$I$6:$I$10005,0)),IFERROR(INDEX(月1回_前回の在庫を貼る!$Q$6:$Q$10005,MATCH($C16,月1回_前回の在庫を貼る!$I$6:$I$10005,0)),""))))</f>
        <v>3756</v>
      </c>
      <c r="I16" s="66" t="n">
        <f aca="false">IF($C16="","",IFERROR(INDEX(商品マスタ!$H$6:$H$1005,MATCH($C16,商品マスタ!$B$6:$B$1005,0)),3))</f>
        <v>5</v>
      </c>
      <c r="J16" s="66" t="n">
        <f aca="false">IF($C16="","",MAX(1,IFERROR(INDEX(商品マスタ!$I$6:$I$1005,MATCH($C16,商品マスタ!$B$6:$B$1005,0)),1)))</f>
        <v>1</v>
      </c>
      <c r="K16" s="69" t="n">
        <f aca="false">IF($C16="","",SUMIFS(①今日の在庫を貼る!$N$6:$N$10005,①今日の在庫を貼る!$B$6:$B$10005,'設定（最初に1回）'!$C$4,①今日の在庫を貼る!$I$6:$I$10005,$C16))</f>
        <v>73</v>
      </c>
      <c r="L16" s="69" t="n">
        <f aca="false">IF($C16="","",SUMIFS(月1回_前回の在庫を貼る!$N$6:$N$10005,月1回_前回の在庫を貼る!$B$6:$B$10005,'設定（最初に1回）'!$C$4,月1回_前回の在庫を貼る!$I$6:$I$10005,$C16))</f>
        <v>178</v>
      </c>
      <c r="M16" s="69" t="n">
        <f aca="false">IF($C16="","",IF(OR('設定（最初に1回）'!$C$6="",'設定（最初に1回）'!$C$7=""),0,SUMIFS(発注管理!$S$6:$S$1005,発注管理!$C$6:$C$1005,'設定（最初に1回）'!$C$4,発注管理!$F$6:$F$1005,$C16,発注管理!$R$6:$R$1005,"&gt;="&amp;'設定（最初に1回）'!$C$7,発注管理!$R$6:$R$1005,"&lt;="&amp;'設定（最初に1回）'!$C$6)))</f>
        <v>0</v>
      </c>
      <c r="N16" s="69" t="n">
        <f aca="false">IF(OR($C16="",'設定（最初に1回）'!$C$15=0),"",$L16+$M16-$K16)</f>
        <v>105</v>
      </c>
      <c r="O16" s="143" t="n">
        <f aca="false">IF(OR($N16="",'設定（最初に1回）'!$C$8="",'設定（最初に1回）'!$C$8&lt;=0),"",MAX(0,$N16)/'設定（最初に1回）'!$C$8)</f>
        <v>1.72131147540984</v>
      </c>
      <c r="P16" s="143" t="n">
        <f aca="false">IF($C16="","",IFERROR(INDEX(商品マスタ!$M$6:$N$1005,MATCH($C16,商品マスタ!$B$6:$B$1005,0),MATCH("PI値 "&amp;'設定（最初に1回）'!$C$11,商品マスタ!$M$5:$N$5,0)),""))</f>
        <v>6.1</v>
      </c>
      <c r="Q16" s="143" t="n">
        <f aca="false">IF(OR($C16="",$P16="",$P16=0,(N($I16)+N($AG16))&lt;=0),"",IFERROR(SUMIFS(随時_動員を入れる!$G$8:$G$97,随時_動員を入れる!$B$8:$B$97,"&gt;="&amp;'設定（最初に1回）'!$C$6,随時_動員を入れる!$B$8:$B$97,"&lt;="&amp;'設定（最初に1回）'!$C$6+(N($I16)+N($AG16))-1)/(N($I16)+N($AG16)),0)*$P16/100)</f>
        <v>258.314109589041</v>
      </c>
      <c r="R16" s="69" t="n">
        <f aca="false">IF($C16="","",SUMIFS(①今日の在庫を貼る!$O$6:$O$10005,①今日の在庫を貼る!$B$6:$B$10005,'設定（最初に1回）'!$C$4,①今日の在庫を貼る!$I$6:$I$10005,$C16))</f>
        <v>0</v>
      </c>
      <c r="S16" s="143" t="n">
        <f aca="false">IF($C16="","",IF('設定（最初に1回）'!$C$9="実績消費",N($O16),IF('設定（最初に1回）'!$C$9="PI値予測",N($Q16),MAX(N($O16),N($Q16)))))</f>
        <v>1.72131147540984</v>
      </c>
      <c r="T16" s="67" t="n">
        <f aca="false">IF(OR($S16="",$S16&lt;=0),"",$K16/$S16)</f>
        <v>42.4095238095238</v>
      </c>
      <c r="U16" s="69" t="n">
        <f aca="false">IF($S16="","",ROUNDUP(N($S16)*'設定（最初に1回）'!$C$12,0))</f>
        <v>7</v>
      </c>
      <c r="V16" s="69" t="n">
        <f aca="false">IF($C16="","",ROUNDUP(N($S16)*(N($I16)+N($AG16))+N($U16),0))</f>
        <v>20</v>
      </c>
      <c r="W16" s="69" t="n">
        <f aca="false">IF($C16="","",SUMIFS(発注管理!$L$6:$L$1005,発注管理!$C$6:$C$1005,'設定（最初に1回）'!$C$4,発注管理!$F$6:$F$1005,$C16,発注管理!$Q$6:$Q$1005,"発注済"))</f>
        <v>0</v>
      </c>
      <c r="X16" s="69" t="n">
        <f aca="false">IF($C16="","",MAX(0,N($V16)-N($K16)-N($W16)))</f>
        <v>0</v>
      </c>
      <c r="Y16" s="147" t="n">
        <f aca="false">IF($C16="","",IF(N($X16)&lt;=0,0,CEILING($X16/MAX(1,N($G16)),MAX(1,N($J16)))))</f>
        <v>0</v>
      </c>
      <c r="Z16" s="138" t="str">
        <f aca="false">IF($C16="","",IF(N($Y16)&gt;0,"要発注","正常"))</f>
        <v>正常</v>
      </c>
      <c r="AA16" s="71" t="n">
        <f aca="false">IF($C16="","",N($K16)*N($H16))</f>
        <v>274188</v>
      </c>
      <c r="AB16" s="66" t="str">
        <f aca="false">IF($C16="","",_xlfn.TEXTJOIN(" / ",TRUE(),IF(COUNTIF(商品マスタ!$B$6:$B$1005,$C16)=0,"マスタ未登録",""),IF(COUNTIFS(月1回_前回の在庫を貼る!$B$6:$B$10005,'設定（最初に1回）'!$C$4,月1回_前回の在庫を貼る!$I$6:$I$10005,$C16)=0,"新商品",""),IF(COUNTIFS(①今日の在庫を貼る!$B$6:$B$10005,'設定（最初に1回）'!$C$4,①今日の在庫を貼る!$I$6:$I$10005,$C16)=0,"終売候補",""),IF(N($K16)&lt;0,"在庫マイナス",""),IF(AND('設定（最初に1回）'!$C$9="PI値予測",$P16=""),"PI値未設定","")))</f>
        <v/>
      </c>
      <c r="AC16" s="71" t="n">
        <f aca="false">N($Y16)*N($H16)</f>
        <v>0</v>
      </c>
      <c r="AD16" s="66" t="str">
        <f aca="false">IF($C16="","",IFERROR(INDEX(商品マスタ!$K$6:$K$1005,MATCH($C16,商品マスタ!$B$6:$B$1005,0)),"常温"))</f>
        <v>冷蔵</v>
      </c>
      <c r="AE16" s="69" t="n">
        <f aca="false">IF($C16="","",MAX(0,ROUNDUP(N($K16)/MAX(1,N($G16)),0)))</f>
        <v>73</v>
      </c>
      <c r="AF16" s="66" t="str">
        <f aca="false">IF($C16="","",IFERROR(INDEX(商品マスタ!$L$6:$L$1005,MATCH($C16,商品マスタ!$B$6:$B$1005,0)),""))</f>
        <v>ドリンクシロップ</v>
      </c>
      <c r="AG16" s="143" t="n">
        <f aca="false">IF($C16="","",IFERROR(INDEX(定数マスタ!$S$110:$S$119,MATCH($AF16,定数マスタ!$J$110:$J$119,0)),N('設定（最初に1回）'!$C$13)))</f>
        <v>2.3</v>
      </c>
      <c r="AH16" s="66" t="n">
        <f aca="false">IF(AND(N($K16)&gt;0,N($Y16)&gt;0),N($Y16),0)</f>
        <v>0</v>
      </c>
    </row>
    <row r="17" customFormat="false" ht="15" hidden="false" customHeight="false" outlineLevel="0" collapsed="false">
      <c r="B17" s="66" t="n">
        <v>12</v>
      </c>
      <c r="C17" s="66" t="str">
        <f aca="false">IFERROR(IF($B17&lt;=MAX(①今日の在庫を貼る!$U$6:$U$10005),INDEX(①今日の在庫を貼る!$I$6:$I$10005,MATCH($B17,①今日の在庫を貼る!$U$6:$U$10005,0)),INDEX(月1回_前回の在庫を貼る!$I$6:$I$10005,MATCH($B17-MAX(①今日の在庫を貼る!$U$6:$U$10005),月1回_前回の在庫を貼る!$U$6:$U$10005,0))),"")</f>
        <v>4902102112901</v>
      </c>
      <c r="D17" s="66" t="str">
        <f aca="false">IF($C17="","",IFERROR(INDEX(商品マスタ!$C$6:$C$1005,MATCH($C17,商品マスタ!$B$6:$B$1005,0)),IFERROR(INDEX(①今日の在庫を貼る!$J$6:$J$10005,MATCH($C17,①今日の在庫を貼る!$I$6:$I$10005,0)),IFERROR(INDEX(月1回_前回の在庫を貼る!$J$6:$J$10005,MATCH($C17,月1回_前回の在庫を貼る!$I$6:$I$10005,0)),""))))</f>
        <v>フラットＢＩＢメロンＳ２．５Ｇ</v>
      </c>
      <c r="E17" s="66" t="str">
        <f aca="false">IF($C17="","",IFERROR(INDEX(商品マスタ!$D$6:$D$1005,MATCH($C17,商品マスタ!$B$6:$B$1005,0)),IFERROR(INDEX(①今日の在庫を貼る!$H$6:$H$10005,MATCH($C17,①今日の在庫を貼る!$I$6:$I$10005,0)),IFERROR(INDEX(月1回_前回の在庫を貼る!$H$6:$H$10005,MATCH($C17,月1回_前回の在庫を貼る!$I$6:$I$10005,0)),""))))</f>
        <v>コールド</v>
      </c>
      <c r="F17" s="66" t="str">
        <f aca="false">IF($C17="","",IFERROR(INDEX(商品マスタ!$E$6:$E$1005,MATCH($C17,商品マスタ!$B$6:$B$1005,0)),IFERROR(INDEX(①今日の在庫を貼る!$E$6:$E$10005,MATCH($C17,①今日の在庫を貼る!$I$6:$I$10005,0)),IFERROR(INDEX(月1回_前回の在庫を貼る!$E$6:$E$10005,MATCH($C17,月1回_前回の在庫を貼る!$I$6:$I$10005,0)),""))))</f>
        <v>オザックス株式会社</v>
      </c>
      <c r="G17" s="69" t="n">
        <f aca="false">IF($C17="","",IFERROR(INDEX(商品マスタ!$F$6:$F$1005,MATCH($C17,商品マスタ!$B$6:$B$1005,0)),IFERROR(INDEX(①今日の在庫を貼る!$K$6:$K$10005,MATCH($C17,①今日の在庫を貼る!$I$6:$I$10005,0)),IFERROR(INDEX(月1回_前回の在庫を貼る!$K$6:$K$10005,MATCH($C17,月1回_前回の在庫を貼る!$I$6:$I$10005,0)),""))))</f>
        <v>1</v>
      </c>
      <c r="H17" s="71" t="n">
        <f aca="false">IF($C17="","",IFERROR(INDEX(商品マスタ!$G$6:$G$1005,MATCH($C17,商品マスタ!$B$6:$B$1005,0)),IFERROR(INDEX(①今日の在庫を貼る!$Q$6:$Q$10005,MATCH($C17,①今日の在庫を貼る!$I$6:$I$10005,0)),IFERROR(INDEX(月1回_前回の在庫を貼る!$Q$6:$Q$10005,MATCH($C17,月1回_前回の在庫を貼る!$I$6:$I$10005,0)),""))))</f>
        <v>7510</v>
      </c>
      <c r="I17" s="66" t="n">
        <f aca="false">IF($C17="","",IFERROR(INDEX(商品マスタ!$H$6:$H$1005,MATCH($C17,商品マスタ!$B$6:$B$1005,0)),3))</f>
        <v>7</v>
      </c>
      <c r="J17" s="66" t="n">
        <f aca="false">IF($C17="","",MAX(1,IFERROR(INDEX(商品マスタ!$I$6:$I$1005,MATCH($C17,商品マスタ!$B$6:$B$1005,0)),1)))</f>
        <v>1</v>
      </c>
      <c r="K17" s="69" t="n">
        <f aca="false">IF($C17="","",SUMIFS(①今日の在庫を貼る!$N$6:$N$10005,①今日の在庫を貼る!$B$6:$B$10005,'設定（最初に1回）'!$C$4,①今日の在庫を貼る!$I$6:$I$10005,$C17))</f>
        <v>83</v>
      </c>
      <c r="L17" s="69" t="n">
        <f aca="false">IF($C17="","",SUMIFS(月1回_前回の在庫を貼る!$N$6:$N$10005,月1回_前回の在庫を貼る!$B$6:$B$10005,'設定（最初に1回）'!$C$4,月1回_前回の在庫を貼る!$I$6:$I$10005,$C17))</f>
        <v>125</v>
      </c>
      <c r="M17" s="69" t="n">
        <f aca="false">IF($C17="","",IF(OR('設定（最初に1回）'!$C$6="",'設定（最初に1回）'!$C$7=""),0,SUMIFS(発注管理!$S$6:$S$1005,発注管理!$C$6:$C$1005,'設定（最初に1回）'!$C$4,発注管理!$F$6:$F$1005,$C17,発注管理!$R$6:$R$1005,"&gt;="&amp;'設定（最初に1回）'!$C$7,発注管理!$R$6:$R$1005,"&lt;="&amp;'設定（最初に1回）'!$C$6)))</f>
        <v>0</v>
      </c>
      <c r="N17" s="69" t="n">
        <f aca="false">IF(OR($C17="",'設定（最初に1回）'!$C$15=0),"",$L17+$M17-$K17)</f>
        <v>42</v>
      </c>
      <c r="O17" s="143" t="n">
        <f aca="false">IF(OR($N17="",'設定（最初に1回）'!$C$8="",'設定（最初に1回）'!$C$8&lt;=0),"",MAX(0,$N17)/'設定（最初に1回）'!$C$8)</f>
        <v>0.688524590163934</v>
      </c>
      <c r="P17" s="143" t="n">
        <f aca="false">IF($C17="","",IFERROR(INDEX(商品マスタ!$M$6:$N$1005,MATCH($C17,商品マスタ!$B$6:$B$1005,0),MATCH("PI値 "&amp;'設定（最初に1回）'!$C$11,商品マスタ!$M$5:$N$5,0)),""))</f>
        <v>5.7</v>
      </c>
      <c r="Q17" s="143" t="n">
        <f aca="false">IF(OR($C17="",$P17="",$P17=0,(N($I17)+N($AG17))&lt;=0),"",IFERROR(SUMIFS(随時_動員を入れる!$G$8:$G$97,随時_動員を入れる!$B$8:$B$97,"&gt;="&amp;'設定（最初に1回）'!$C$6,随時_動員を入れる!$B$8:$B$97,"&lt;="&amp;'設定（最初に1回）'!$C$6+(N($I17)+N($AG17))-1)/(N($I17)+N($AG17)),0)*$P17/100)</f>
        <v>211.886774193548</v>
      </c>
      <c r="R17" s="69" t="n">
        <f aca="false">IF($C17="","",SUMIFS(①今日の在庫を貼る!$O$6:$O$10005,①今日の在庫を貼る!$B$6:$B$10005,'設定（最初に1回）'!$C$4,①今日の在庫を貼る!$I$6:$I$10005,$C17))</f>
        <v>0</v>
      </c>
      <c r="S17" s="143" t="n">
        <f aca="false">IF($C17="","",IF('設定（最初に1回）'!$C$9="実績消費",N($O17),IF('設定（最初に1回）'!$C$9="PI値予測",N($Q17),MAX(N($O17),N($Q17)))))</f>
        <v>0.688524590163934</v>
      </c>
      <c r="T17" s="67" t="n">
        <f aca="false">IF(OR($S17="",$S17&lt;=0),"",$K17/$S17)</f>
        <v>120.547619047619</v>
      </c>
      <c r="U17" s="69" t="n">
        <f aca="false">IF($S17="","",ROUNDUP(N($S17)*'設定（最初に1回）'!$C$12,0))</f>
        <v>3</v>
      </c>
      <c r="V17" s="69" t="n">
        <f aca="false">IF($C17="","",ROUNDUP(N($S17)*(N($I17)+N($AG17))+N($U17),0))</f>
        <v>10</v>
      </c>
      <c r="W17" s="69" t="n">
        <f aca="false">IF($C17="","",SUMIFS(発注管理!$L$6:$L$1005,発注管理!$C$6:$C$1005,'設定（最初に1回）'!$C$4,発注管理!$F$6:$F$1005,$C17,発注管理!$Q$6:$Q$1005,"発注済"))</f>
        <v>0</v>
      </c>
      <c r="X17" s="69" t="n">
        <f aca="false">IF($C17="","",MAX(0,N($V17)-N($K17)-N($W17)))</f>
        <v>0</v>
      </c>
      <c r="Y17" s="147" t="n">
        <f aca="false">IF($C17="","",IF(N($X17)&lt;=0,0,CEILING($X17/MAX(1,N($G17)),MAX(1,N($J17)))))</f>
        <v>0</v>
      </c>
      <c r="Z17" s="138" t="str">
        <f aca="false">IF($C17="","",IF(N($Y17)&gt;0,"要発注","正常"))</f>
        <v>正常</v>
      </c>
      <c r="AA17" s="71" t="n">
        <f aca="false">IF($C17="","",N($K17)*N($H17))</f>
        <v>623330</v>
      </c>
      <c r="AB17" s="66" t="str">
        <f aca="false">IF($C17="","",_xlfn.TEXTJOIN(" / ",TRUE(),IF(COUNTIF(商品マスタ!$B$6:$B$1005,$C17)=0,"マスタ未登録",""),IF(COUNTIFS(月1回_前回の在庫を貼る!$B$6:$B$10005,'設定（最初に1回）'!$C$4,月1回_前回の在庫を貼る!$I$6:$I$10005,$C17)=0,"新商品",""),IF(COUNTIFS(①今日の在庫を貼る!$B$6:$B$10005,'設定（最初に1回）'!$C$4,①今日の在庫を貼る!$I$6:$I$10005,$C17)=0,"終売候補",""),IF(N($K17)&lt;0,"在庫マイナス",""),IF(AND('設定（最初に1回）'!$C$9="PI値予測",$P17=""),"PI値未設定","")))</f>
        <v/>
      </c>
      <c r="AC17" s="71" t="n">
        <f aca="false">N($Y17)*N($H17)</f>
        <v>0</v>
      </c>
      <c r="AD17" s="66" t="str">
        <f aca="false">IF($C17="","",IFERROR(INDEX(商品マスタ!$K$6:$K$1005,MATCH($C17,商品マスタ!$B$6:$B$1005,0)),"常温"))</f>
        <v>冷蔵</v>
      </c>
      <c r="AE17" s="69" t="n">
        <f aca="false">IF($C17="","",MAX(0,ROUNDUP(N($K17)/MAX(1,N($G17)),0)))</f>
        <v>83</v>
      </c>
      <c r="AF17" s="66" t="str">
        <f aca="false">IF($C17="","",IFERROR(INDEX(商品マスタ!$L$6:$L$1005,MATCH($C17,商品マスタ!$B$6:$B$1005,0)),""))</f>
        <v>ドリンクシロップ</v>
      </c>
      <c r="AG17" s="143" t="n">
        <f aca="false">IF($C17="","",IFERROR(INDEX(定数マスタ!$S$110:$S$119,MATCH($AF17,定数マスタ!$J$110:$J$119,0)),N('設定（最初に1回）'!$C$13)))</f>
        <v>2.3</v>
      </c>
      <c r="AH17" s="66" t="n">
        <f aca="false">IF(AND(N($K17)&gt;0,N($Y17)&gt;0),N($Y17),0)</f>
        <v>0</v>
      </c>
    </row>
    <row r="18" customFormat="false" ht="15" hidden="false" customHeight="false" outlineLevel="0" collapsed="false">
      <c r="B18" s="66" t="n">
        <v>13</v>
      </c>
      <c r="C18" s="66" t="str">
        <f aca="false">IFERROR(IF($B18&lt;=MAX(①今日の在庫を貼る!$U$6:$U$10005),INDEX(①今日の在庫を貼る!$I$6:$I$10005,MATCH($B18,①今日の在庫を貼る!$U$6:$U$10005,0)),INDEX(月1回_前回の在庫を貼る!$I$6:$I$10005,MATCH($B18-MAX(①今日の在庫を貼る!$U$6:$U$10005),月1回_前回の在庫を貼る!$U$6:$U$10005,0))),"")</f>
        <v>4902102112956</v>
      </c>
      <c r="D18" s="66" t="str">
        <f aca="false">IF($C18="","",IFERROR(INDEX(商品マスタ!$C$6:$C$1005,MATCH($C18,商品マスタ!$B$6:$B$1005,0)),IFERROR(INDEX(①今日の在庫を貼る!$J$6:$J$10005,MATCH($C18,①今日の在庫を貼る!$I$6:$I$10005,0)),IFERROR(INDEX(月1回_前回の在庫を貼る!$J$6:$J$10005,MATCH($C18,月1回_前回の在庫を貼る!$I$6:$I$10005,0)),""))))</f>
        <v>フラットＢＩＢコカコーラ２．５Ｇ</v>
      </c>
      <c r="E18" s="66" t="str">
        <f aca="false">IF($C18="","",IFERROR(INDEX(商品マスタ!$D$6:$D$1005,MATCH($C18,商品マスタ!$B$6:$B$1005,0)),IFERROR(INDEX(①今日の在庫を貼る!$H$6:$H$10005,MATCH($C18,①今日の在庫を貼る!$I$6:$I$10005,0)),IFERROR(INDEX(月1回_前回の在庫を貼る!$H$6:$H$10005,MATCH($C18,月1回_前回の在庫を貼る!$I$6:$I$10005,0)),""))))</f>
        <v>コールド</v>
      </c>
      <c r="F18" s="66" t="str">
        <f aca="false">IF($C18="","",IFERROR(INDEX(商品マスタ!$E$6:$E$1005,MATCH($C18,商品マスタ!$B$6:$B$1005,0)),IFERROR(INDEX(①今日の在庫を貼る!$E$6:$E$10005,MATCH($C18,①今日の在庫を貼る!$I$6:$I$10005,0)),IFERROR(INDEX(月1回_前回の在庫を貼る!$E$6:$E$10005,MATCH($C18,月1回_前回の在庫を貼る!$I$6:$I$10005,0)),""))))</f>
        <v>オザックス株式会社</v>
      </c>
      <c r="G18" s="69" t="n">
        <f aca="false">IF($C18="","",IFERROR(INDEX(商品マスタ!$F$6:$F$1005,MATCH($C18,商品マスタ!$B$6:$B$1005,0)),IFERROR(INDEX(①今日の在庫を貼る!$K$6:$K$10005,MATCH($C18,①今日の在庫を貼る!$I$6:$I$10005,0)),IFERROR(INDEX(月1回_前回の在庫を貼る!$K$6:$K$10005,MATCH($C18,月1回_前回の在庫を貼る!$I$6:$I$10005,0)),""))))</f>
        <v>1</v>
      </c>
      <c r="H18" s="71" t="n">
        <f aca="false">IF($C18="","",IFERROR(INDEX(商品マスタ!$G$6:$G$1005,MATCH($C18,商品マスタ!$B$6:$B$1005,0)),IFERROR(INDEX(①今日の在庫を貼る!$Q$6:$Q$10005,MATCH($C18,①今日の在庫を貼る!$I$6:$I$10005,0)),IFERROR(INDEX(月1回_前回の在庫を貼る!$Q$6:$Q$10005,MATCH($C18,月1回_前回の在庫を貼る!$I$6:$I$10005,0)),""))))</f>
        <v>8136</v>
      </c>
      <c r="I18" s="66" t="n">
        <f aca="false">IF($C18="","",IFERROR(INDEX(商品マスタ!$H$6:$H$1005,MATCH($C18,商品マスタ!$B$6:$B$1005,0)),3))</f>
        <v>4</v>
      </c>
      <c r="J18" s="66" t="n">
        <f aca="false">IF($C18="","",MAX(1,IFERROR(INDEX(商品マスタ!$I$6:$I$1005,MATCH($C18,商品マスタ!$B$6:$B$1005,0)),1)))</f>
        <v>1</v>
      </c>
      <c r="K18" s="69" t="n">
        <f aca="false">IF($C18="","",SUMIFS(①今日の在庫を貼る!$N$6:$N$10005,①今日の在庫を貼る!$B$6:$B$10005,'設定（最初に1回）'!$C$4,①今日の在庫を貼る!$I$6:$I$10005,$C18))</f>
        <v>162</v>
      </c>
      <c r="L18" s="69" t="n">
        <f aca="false">IF($C18="","",SUMIFS(月1回_前回の在庫を貼る!$N$6:$N$10005,月1回_前回の在庫を貼る!$B$6:$B$10005,'設定（最初に1回）'!$C$4,月1回_前回の在庫を貼る!$I$6:$I$10005,$C18))</f>
        <v>291</v>
      </c>
      <c r="M18" s="69" t="n">
        <f aca="false">IF($C18="","",IF(OR('設定（最初に1回）'!$C$6="",'設定（最初に1回）'!$C$7=""),0,SUMIFS(発注管理!$S$6:$S$1005,発注管理!$C$6:$C$1005,'設定（最初に1回）'!$C$4,発注管理!$F$6:$F$1005,$C18,発注管理!$R$6:$R$1005,"&gt;="&amp;'設定（最初に1回）'!$C$7,発注管理!$R$6:$R$1005,"&lt;="&amp;'設定（最初に1回）'!$C$6)))</f>
        <v>0</v>
      </c>
      <c r="N18" s="69" t="n">
        <f aca="false">IF(OR($C18="",'設定（最初に1回）'!$C$15=0),"",$L18+$M18-$K18)</f>
        <v>129</v>
      </c>
      <c r="O18" s="143" t="n">
        <f aca="false">IF(OR($N18="",'設定（最初に1回）'!$C$8="",'設定（最初に1回）'!$C$8&lt;=0),"",MAX(0,$N18)/'設定（最初に1回）'!$C$8)</f>
        <v>2.11475409836066</v>
      </c>
      <c r="P18" s="143" t="n">
        <f aca="false">IF($C18="","",IFERROR(INDEX(商品マスタ!$M$6:$N$1005,MATCH($C18,商品マスタ!$B$6:$B$1005,0),MATCH("PI値 "&amp;'設定（最初に1回）'!$C$11,商品マスタ!$M$5:$N$5,0)),""))</f>
        <v>4.8</v>
      </c>
      <c r="Q18" s="143" t="n">
        <f aca="false">IF(OR($C18="",$P18="",$P18=0,(N($I18)+N($AG18))&lt;=0),"",IFERROR(SUMIFS(随時_動員を入れる!$G$8:$G$97,随時_動員を入れる!$B$8:$B$97,"&gt;="&amp;'設定（最初に1回）'!$C$6,随時_動員を入れる!$B$8:$B$97,"&lt;="&amp;'設定（最初に1回）'!$C$6+(N($I18)+N($AG18))-1)/(N($I18)+N($AG18)),0)*$P18/100)</f>
        <v>223.908571428571</v>
      </c>
      <c r="R18" s="69" t="n">
        <f aca="false">IF($C18="","",SUMIFS(①今日の在庫を貼る!$O$6:$O$10005,①今日の在庫を貼る!$B$6:$B$10005,'設定（最初に1回）'!$C$4,①今日の在庫を貼る!$I$6:$I$10005,$C18))</f>
        <v>0</v>
      </c>
      <c r="S18" s="143" t="n">
        <f aca="false">IF($C18="","",IF('設定（最初に1回）'!$C$9="実績消費",N($O18),IF('設定（最初に1回）'!$C$9="PI値予測",N($Q18),MAX(N($O18),N($Q18)))))</f>
        <v>2.11475409836066</v>
      </c>
      <c r="T18" s="67" t="n">
        <f aca="false">IF(OR($S18="",$S18&lt;=0),"",$K18/$S18)</f>
        <v>76.6046511627907</v>
      </c>
      <c r="U18" s="69" t="n">
        <f aca="false">IF($S18="","",ROUNDUP(N($S18)*'設定（最初に1回）'!$C$12,0))</f>
        <v>9</v>
      </c>
      <c r="V18" s="69" t="n">
        <f aca="false">IF($C18="","",ROUNDUP(N($S18)*(N($I18)+N($AG18))+N($U18),0))</f>
        <v>23</v>
      </c>
      <c r="W18" s="69" t="n">
        <f aca="false">IF($C18="","",SUMIFS(発注管理!$L$6:$L$1005,発注管理!$C$6:$C$1005,'設定（最初に1回）'!$C$4,発注管理!$F$6:$F$1005,$C18,発注管理!$Q$6:$Q$1005,"発注済"))</f>
        <v>0</v>
      </c>
      <c r="X18" s="69" t="n">
        <f aca="false">IF($C18="","",MAX(0,N($V18)-N($K18)-N($W18)))</f>
        <v>0</v>
      </c>
      <c r="Y18" s="147" t="n">
        <f aca="false">IF($C18="","",IF(N($X18)&lt;=0,0,CEILING($X18/MAX(1,N($G18)),MAX(1,N($J18)))))</f>
        <v>0</v>
      </c>
      <c r="Z18" s="138" t="str">
        <f aca="false">IF($C18="","",IF(N($Y18)&gt;0,"要発注","正常"))</f>
        <v>正常</v>
      </c>
      <c r="AA18" s="71" t="n">
        <f aca="false">IF($C18="","",N($K18)*N($H18))</f>
        <v>1318032</v>
      </c>
      <c r="AB18" s="66" t="str">
        <f aca="false">IF($C18="","",_xlfn.TEXTJOIN(" / ",TRUE(),IF(COUNTIF(商品マスタ!$B$6:$B$1005,$C18)=0,"マスタ未登録",""),IF(COUNTIFS(月1回_前回の在庫を貼る!$B$6:$B$10005,'設定（最初に1回）'!$C$4,月1回_前回の在庫を貼る!$I$6:$I$10005,$C18)=0,"新商品",""),IF(COUNTIFS(①今日の在庫を貼る!$B$6:$B$10005,'設定（最初に1回）'!$C$4,①今日の在庫を貼る!$I$6:$I$10005,$C18)=0,"終売候補",""),IF(N($K18)&lt;0,"在庫マイナス",""),IF(AND('設定（最初に1回）'!$C$9="PI値予測",$P18=""),"PI値未設定","")))</f>
        <v/>
      </c>
      <c r="AC18" s="71" t="n">
        <f aca="false">N($Y18)*N($H18)</f>
        <v>0</v>
      </c>
      <c r="AD18" s="66" t="str">
        <f aca="false">IF($C18="","",IFERROR(INDEX(商品マスタ!$K$6:$K$1005,MATCH($C18,商品マスタ!$B$6:$B$1005,0)),"常温"))</f>
        <v>冷蔵</v>
      </c>
      <c r="AE18" s="69" t="n">
        <f aca="false">IF($C18="","",MAX(0,ROUNDUP(N($K18)/MAX(1,N($G18)),0)))</f>
        <v>162</v>
      </c>
      <c r="AF18" s="66" t="str">
        <f aca="false">IF($C18="","",IFERROR(INDEX(商品マスタ!$L$6:$L$1005,MATCH($C18,商品マスタ!$B$6:$B$1005,0)),""))</f>
        <v>ドリンクシロップ</v>
      </c>
      <c r="AG18" s="143" t="n">
        <f aca="false">IF($C18="","",IFERROR(INDEX(定数マスタ!$S$110:$S$119,MATCH($AF18,定数マスタ!$J$110:$J$119,0)),N('設定（最初に1回）'!$C$13)))</f>
        <v>2.3</v>
      </c>
      <c r="AH18" s="66" t="n">
        <f aca="false">IF(AND(N($K18)&gt;0,N($Y18)&gt;0),N($Y18),0)</f>
        <v>0</v>
      </c>
    </row>
    <row r="19" customFormat="false" ht="15" hidden="false" customHeight="false" outlineLevel="0" collapsed="false">
      <c r="B19" s="66" t="n">
        <v>14</v>
      </c>
      <c r="C19" s="66" t="str">
        <f aca="false">IFERROR(IF($B19&lt;=MAX(①今日の在庫を貼る!$U$6:$U$10005),INDEX(①今日の在庫を貼る!$I$6:$I$10005,MATCH($B19,①今日の在庫を貼る!$U$6:$U$10005,0)),INDEX(月1回_前回の在庫を貼る!$I$6:$I$10005,MATCH($B19-MAX(①今日の在庫を貼る!$U$6:$U$10005),月1回_前回の在庫を貼る!$U$6:$U$10005,0))),"")</f>
        <v>4902102113014</v>
      </c>
      <c r="D19" s="66" t="str">
        <f aca="false">IF($C19="","",IFERROR(INDEX(商品マスタ!$C$6:$C$1005,MATCH($C19,商品マスタ!$B$6:$B$1005,0)),IFERROR(INDEX(①今日の在庫を貼る!$J$6:$J$10005,MATCH($C19,①今日の在庫を貼る!$I$6:$I$10005,0)),IFERROR(INDEX(月1回_前回の在庫を貼る!$J$6:$J$10005,MATCH($C19,月1回_前回の在庫を貼る!$I$6:$I$10005,0)),""))))</f>
        <v>フラットＢＩＢコーラゼロ２．５Ｇ</v>
      </c>
      <c r="E19" s="66" t="str">
        <f aca="false">IF($C19="","",IFERROR(INDEX(商品マスタ!$D$6:$D$1005,MATCH($C19,商品マスタ!$B$6:$B$1005,0)),IFERROR(INDEX(①今日の在庫を貼る!$H$6:$H$10005,MATCH($C19,①今日の在庫を貼る!$I$6:$I$10005,0)),IFERROR(INDEX(月1回_前回の在庫を貼る!$H$6:$H$10005,MATCH($C19,月1回_前回の在庫を貼る!$I$6:$I$10005,0)),""))))</f>
        <v>コールド</v>
      </c>
      <c r="F19" s="66" t="str">
        <f aca="false">IF($C19="","",IFERROR(INDEX(商品マスタ!$E$6:$E$1005,MATCH($C19,商品マスタ!$B$6:$B$1005,0)),IFERROR(INDEX(①今日の在庫を貼る!$E$6:$E$10005,MATCH($C19,①今日の在庫を貼る!$I$6:$I$10005,0)),IFERROR(INDEX(月1回_前回の在庫を貼る!$E$6:$E$10005,MATCH($C19,月1回_前回の在庫を貼る!$I$6:$I$10005,0)),""))))</f>
        <v>オザックス株式会社</v>
      </c>
      <c r="G19" s="69" t="n">
        <f aca="false">IF($C19="","",IFERROR(INDEX(商品マスタ!$F$6:$F$1005,MATCH($C19,商品マスタ!$B$6:$B$1005,0)),IFERROR(INDEX(①今日の在庫を貼る!$K$6:$K$10005,MATCH($C19,①今日の在庫を貼る!$I$6:$I$10005,0)),IFERROR(INDEX(月1回_前回の在庫を貼る!$K$6:$K$10005,MATCH($C19,月1回_前回の在庫を貼る!$I$6:$I$10005,0)),""))))</f>
        <v>1</v>
      </c>
      <c r="H19" s="71" t="n">
        <f aca="false">IF($C19="","",IFERROR(INDEX(商品マスタ!$G$6:$G$1005,MATCH($C19,商品マスタ!$B$6:$B$1005,0)),IFERROR(INDEX(①今日の在庫を貼る!$Q$6:$Q$10005,MATCH($C19,①今日の在庫を貼る!$I$6:$I$10005,0)),IFERROR(INDEX(月1回_前回の在庫を貼る!$Q$6:$Q$10005,MATCH($C19,月1回_前回の在庫を貼る!$I$6:$I$10005,0)),""))))</f>
        <v>8136</v>
      </c>
      <c r="I19" s="66" t="n">
        <f aca="false">IF($C19="","",IFERROR(INDEX(商品マスタ!$H$6:$H$1005,MATCH($C19,商品マスタ!$B$6:$B$1005,0)),3))</f>
        <v>2</v>
      </c>
      <c r="J19" s="66" t="n">
        <f aca="false">IF($C19="","",MAX(1,IFERROR(INDEX(商品マスタ!$I$6:$I$1005,MATCH($C19,商品マスタ!$B$6:$B$1005,0)),1)))</f>
        <v>1</v>
      </c>
      <c r="K19" s="69" t="n">
        <f aca="false">IF($C19="","",SUMIFS(①今日の在庫を貼る!$N$6:$N$10005,①今日の在庫を貼る!$B$6:$B$10005,'設定（最初に1回）'!$C$4,①今日の在庫を貼る!$I$6:$I$10005,$C19))</f>
        <v>63</v>
      </c>
      <c r="L19" s="69" t="n">
        <f aca="false">IF($C19="","",SUMIFS(月1回_前回の在庫を貼る!$N$6:$N$10005,月1回_前回の在庫を貼る!$B$6:$B$10005,'設定（最初に1回）'!$C$4,月1回_前回の在庫を貼る!$I$6:$I$10005,$C19))</f>
        <v>94</v>
      </c>
      <c r="M19" s="69" t="n">
        <f aca="false">IF($C19="","",IF(OR('設定（最初に1回）'!$C$6="",'設定（最初に1回）'!$C$7=""),0,SUMIFS(発注管理!$S$6:$S$1005,発注管理!$C$6:$C$1005,'設定（最初に1回）'!$C$4,発注管理!$F$6:$F$1005,$C19,発注管理!$R$6:$R$1005,"&gt;="&amp;'設定（最初に1回）'!$C$7,発注管理!$R$6:$R$1005,"&lt;="&amp;'設定（最初に1回）'!$C$6)))</f>
        <v>0</v>
      </c>
      <c r="N19" s="69" t="n">
        <f aca="false">IF(OR($C19="",'設定（最初に1回）'!$C$15=0),"",$L19+$M19-$K19)</f>
        <v>31</v>
      </c>
      <c r="O19" s="143" t="n">
        <f aca="false">IF(OR($N19="",'設定（最初に1回）'!$C$8="",'設定（最初に1回）'!$C$8&lt;=0),"",MAX(0,$N19)/'設定（最初に1回）'!$C$8)</f>
        <v>0.508196721311475</v>
      </c>
      <c r="P19" s="143" t="n">
        <f aca="false">IF($C19="","",IFERROR(INDEX(商品マスタ!$M$6:$N$1005,MATCH($C19,商品マスタ!$B$6:$B$1005,0),MATCH("PI値 "&amp;'設定（最初に1回）'!$C$11,商品マスタ!$M$5:$N$5,0)),""))</f>
        <v>7.1</v>
      </c>
      <c r="Q19" s="143" t="n">
        <f aca="false">IF(OR($C19="",$P19="",$P19=0,(N($I19)+N($AG19))&lt;=0),"",IFERROR(SUMIFS(随時_動員を入れる!$G$8:$G$97,随時_動員を入れる!$B$8:$B$97,"&gt;="&amp;'設定（最初に1回）'!$C$6,随時_動員を入れる!$B$8:$B$97,"&lt;="&amp;'設定（最初に1回）'!$C$6+(N($I19)+N($AG19))-1)/(N($I19)+N($AG19)),0)*$P19/100)</f>
        <v>421.19511627907</v>
      </c>
      <c r="R19" s="69" t="n">
        <f aca="false">IF($C19="","",SUMIFS(①今日の在庫を貼る!$O$6:$O$10005,①今日の在庫を貼る!$B$6:$B$10005,'設定（最初に1回）'!$C$4,①今日の在庫を貼る!$I$6:$I$10005,$C19))</f>
        <v>0</v>
      </c>
      <c r="S19" s="143" t="n">
        <f aca="false">IF($C19="","",IF('設定（最初に1回）'!$C$9="実績消費",N($O19),IF('設定（最初に1回）'!$C$9="PI値予測",N($Q19),MAX(N($O19),N($Q19)))))</f>
        <v>0.508196721311475</v>
      </c>
      <c r="T19" s="67" t="n">
        <f aca="false">IF(OR($S19="",$S19&lt;=0),"",$K19/$S19)</f>
        <v>123.967741935484</v>
      </c>
      <c r="U19" s="69" t="n">
        <f aca="false">IF($S19="","",ROUNDUP(N($S19)*'設定（最初に1回）'!$C$12,0))</f>
        <v>3</v>
      </c>
      <c r="V19" s="69" t="n">
        <f aca="false">IF($C19="","",ROUNDUP(N($S19)*(N($I19)+N($AG19))+N($U19),0))</f>
        <v>6</v>
      </c>
      <c r="W19" s="69" t="n">
        <f aca="false">IF($C19="","",SUMIFS(発注管理!$L$6:$L$1005,発注管理!$C$6:$C$1005,'設定（最初に1回）'!$C$4,発注管理!$F$6:$F$1005,$C19,発注管理!$Q$6:$Q$1005,"発注済"))</f>
        <v>0</v>
      </c>
      <c r="X19" s="69" t="n">
        <f aca="false">IF($C19="","",MAX(0,N($V19)-N($K19)-N($W19)))</f>
        <v>0</v>
      </c>
      <c r="Y19" s="147" t="n">
        <f aca="false">IF($C19="","",IF(N($X19)&lt;=0,0,CEILING($X19/MAX(1,N($G19)),MAX(1,N($J19)))))</f>
        <v>0</v>
      </c>
      <c r="Z19" s="138" t="str">
        <f aca="false">IF($C19="","",IF(N($Y19)&gt;0,"要発注","正常"))</f>
        <v>正常</v>
      </c>
      <c r="AA19" s="71" t="n">
        <f aca="false">IF($C19="","",N($K19)*N($H19))</f>
        <v>512568</v>
      </c>
      <c r="AB19" s="66" t="str">
        <f aca="false">IF($C19="","",_xlfn.TEXTJOIN(" / ",TRUE(),IF(COUNTIF(商品マスタ!$B$6:$B$1005,$C19)=0,"マスタ未登録",""),IF(COUNTIFS(月1回_前回の在庫を貼る!$B$6:$B$10005,'設定（最初に1回）'!$C$4,月1回_前回の在庫を貼る!$I$6:$I$10005,$C19)=0,"新商品",""),IF(COUNTIFS(①今日の在庫を貼る!$B$6:$B$10005,'設定（最初に1回）'!$C$4,①今日の在庫を貼る!$I$6:$I$10005,$C19)=0,"終売候補",""),IF(N($K19)&lt;0,"在庫マイナス",""),IF(AND('設定（最初に1回）'!$C$9="PI値予測",$P19=""),"PI値未設定","")))</f>
        <v/>
      </c>
      <c r="AC19" s="71" t="n">
        <f aca="false">N($Y19)*N($H19)</f>
        <v>0</v>
      </c>
      <c r="AD19" s="66" t="str">
        <f aca="false">IF($C19="","",IFERROR(INDEX(商品マスタ!$K$6:$K$1005,MATCH($C19,商品マスタ!$B$6:$B$1005,0)),"常温"))</f>
        <v>冷蔵</v>
      </c>
      <c r="AE19" s="69" t="n">
        <f aca="false">IF($C19="","",MAX(0,ROUNDUP(N($K19)/MAX(1,N($G19)),0)))</f>
        <v>63</v>
      </c>
      <c r="AF19" s="66" t="str">
        <f aca="false">IF($C19="","",IFERROR(INDEX(商品マスタ!$L$6:$L$1005,MATCH($C19,商品マスタ!$B$6:$B$1005,0)),""))</f>
        <v>ドリンクシロップ</v>
      </c>
      <c r="AG19" s="143" t="n">
        <f aca="false">IF($C19="","",IFERROR(INDEX(定数マスタ!$S$110:$S$119,MATCH($AF19,定数マスタ!$J$110:$J$119,0)),N('設定（最初に1回）'!$C$13)))</f>
        <v>2.3</v>
      </c>
      <c r="AH19" s="66" t="n">
        <f aca="false">IF(AND(N($K19)&gt;0,N($Y19)&gt;0),N($Y19),0)</f>
        <v>0</v>
      </c>
    </row>
    <row r="20" customFormat="false" ht="15" hidden="false" customHeight="false" outlineLevel="0" collapsed="false">
      <c r="B20" s="66" t="n">
        <v>15</v>
      </c>
      <c r="C20" s="66" t="str">
        <f aca="false">IFERROR(IF($B20&lt;=MAX(①今日の在庫を貼る!$U$6:$U$10005),INDEX(①今日の在庫を貼る!$I$6:$I$10005,MATCH($B20,①今日の在庫を貼る!$U$6:$U$10005,0)),INDEX(月1回_前回の在庫を貼る!$I$6:$I$10005,MATCH($B20-MAX(①今日の在庫を貼る!$U$6:$U$10005),月1回_前回の在庫を貼る!$U$6:$U$10005,0))),"")</f>
        <v>4902102113045</v>
      </c>
      <c r="D20" s="66" t="str">
        <f aca="false">IF($C20="","",IFERROR(INDEX(商品マスタ!$C$6:$C$1005,MATCH($C20,商品マスタ!$B$6:$B$1005,0)),IFERROR(INDEX(①今日の在庫を貼る!$J$6:$J$10005,MATCH($C20,①今日の在庫を貼る!$I$6:$I$10005,0)),IFERROR(INDEX(月1回_前回の在庫を貼る!$J$6:$J$10005,MATCH($C20,月1回_前回の在庫を貼る!$I$6:$I$10005,0)),""))))</f>
        <v>フラットＢＩＢジンジャー２．５Ｇ</v>
      </c>
      <c r="E20" s="66" t="str">
        <f aca="false">IF($C20="","",IFERROR(INDEX(商品マスタ!$D$6:$D$1005,MATCH($C20,商品マスタ!$B$6:$B$1005,0)),IFERROR(INDEX(①今日の在庫を貼る!$H$6:$H$10005,MATCH($C20,①今日の在庫を貼る!$I$6:$I$10005,0)),IFERROR(INDEX(月1回_前回の在庫を貼る!$H$6:$H$10005,MATCH($C20,月1回_前回の在庫を貼る!$I$6:$I$10005,0)),""))))</f>
        <v>コールド</v>
      </c>
      <c r="F20" s="66" t="str">
        <f aca="false">IF($C20="","",IFERROR(INDEX(商品マスタ!$E$6:$E$1005,MATCH($C20,商品マスタ!$B$6:$B$1005,0)),IFERROR(INDEX(①今日の在庫を貼る!$E$6:$E$10005,MATCH($C20,①今日の在庫を貼る!$I$6:$I$10005,0)),IFERROR(INDEX(月1回_前回の在庫を貼る!$E$6:$E$10005,MATCH($C20,月1回_前回の在庫を貼る!$I$6:$I$10005,0)),""))))</f>
        <v>オザックス株式会社</v>
      </c>
      <c r="G20" s="69" t="n">
        <f aca="false">IF($C20="","",IFERROR(INDEX(商品マスタ!$F$6:$F$1005,MATCH($C20,商品マスタ!$B$6:$B$1005,0)),IFERROR(INDEX(①今日の在庫を貼る!$K$6:$K$10005,MATCH($C20,①今日の在庫を貼る!$I$6:$I$10005,0)),IFERROR(INDEX(月1回_前回の在庫を貼る!$K$6:$K$10005,MATCH($C20,月1回_前回の在庫を貼る!$I$6:$I$10005,0)),""))))</f>
        <v>1</v>
      </c>
      <c r="H20" s="71" t="n">
        <f aca="false">IF($C20="","",IFERROR(INDEX(商品マスタ!$G$6:$G$1005,MATCH($C20,商品マスタ!$B$6:$B$1005,0)),IFERROR(INDEX(①今日の在庫を貼る!$Q$6:$Q$10005,MATCH($C20,①今日の在庫を貼る!$I$6:$I$10005,0)),IFERROR(INDEX(月1回_前回の在庫を貼る!$Q$6:$Q$10005,MATCH($C20,月1回_前回の在庫を貼る!$I$6:$I$10005,0)),""))))</f>
        <v>8136</v>
      </c>
      <c r="I20" s="66" t="n">
        <f aca="false">IF($C20="","",IFERROR(INDEX(商品マスタ!$H$6:$H$1005,MATCH($C20,商品マスタ!$B$6:$B$1005,0)),3))</f>
        <v>7</v>
      </c>
      <c r="J20" s="66" t="n">
        <f aca="false">IF($C20="","",MAX(1,IFERROR(INDEX(商品マスタ!$I$6:$I$1005,MATCH($C20,商品マスタ!$B$6:$B$1005,0)),1)))</f>
        <v>2</v>
      </c>
      <c r="K20" s="69" t="n">
        <f aca="false">IF($C20="","",SUMIFS(①今日の在庫を貼る!$N$6:$N$10005,①今日の在庫を貼る!$B$6:$B$10005,'設定（最初に1回）'!$C$4,①今日の在庫を貼る!$I$6:$I$10005,$C20))</f>
        <v>25</v>
      </c>
      <c r="L20" s="69" t="n">
        <f aca="false">IF($C20="","",SUMIFS(月1回_前回の在庫を貼る!$N$6:$N$10005,月1回_前回の在庫を貼る!$B$6:$B$10005,'設定（最初に1回）'!$C$4,月1回_前回の在庫を貼る!$I$6:$I$10005,$C20))</f>
        <v>88</v>
      </c>
      <c r="M20" s="69" t="n">
        <f aca="false">IF($C20="","",IF(OR('設定（最初に1回）'!$C$6="",'設定（最初に1回）'!$C$7=""),0,SUMIFS(発注管理!$S$6:$S$1005,発注管理!$C$6:$C$1005,'設定（最初に1回）'!$C$4,発注管理!$F$6:$F$1005,$C20,発注管理!$R$6:$R$1005,"&gt;="&amp;'設定（最初に1回）'!$C$7,発注管理!$R$6:$R$1005,"&lt;="&amp;'設定（最初に1回）'!$C$6)))</f>
        <v>0</v>
      </c>
      <c r="N20" s="69" t="n">
        <f aca="false">IF(OR($C20="",'設定（最初に1回）'!$C$15=0),"",$L20+$M20-$K20)</f>
        <v>63</v>
      </c>
      <c r="O20" s="143" t="n">
        <f aca="false">IF(OR($N20="",'設定（最初に1回）'!$C$8="",'設定（最初に1回）'!$C$8&lt;=0),"",MAX(0,$N20)/'設定（最初に1回）'!$C$8)</f>
        <v>1.0327868852459</v>
      </c>
      <c r="P20" s="143" t="n">
        <f aca="false">IF($C20="","",IFERROR(INDEX(商品マスタ!$M$6:$N$1005,MATCH($C20,商品マスタ!$B$6:$B$1005,0),MATCH("PI値 "&amp;'設定（最初に1回）'!$C$11,商品マスタ!$M$5:$N$5,0)),""))</f>
        <v>3.5</v>
      </c>
      <c r="Q20" s="143" t="n">
        <f aca="false">IF(OR($C20="",$P20="",$P20=0,(N($I20)+N($AG20))&lt;=0),"",IFERROR(SUMIFS(随時_動員を入れる!$G$8:$G$97,随時_動員を入れる!$B$8:$B$97,"&gt;="&amp;'設定（最初に1回）'!$C$6,随時_動員を入れる!$B$8:$B$97,"&lt;="&amp;'設定（最初に1回）'!$C$6+(N($I20)+N($AG20))-1)/(N($I20)+N($AG20)),0)*$P20/100)</f>
        <v>130.105913978495</v>
      </c>
      <c r="R20" s="69" t="n">
        <f aca="false">IF($C20="","",SUMIFS(①今日の在庫を貼る!$O$6:$O$10005,①今日の在庫を貼る!$B$6:$B$10005,'設定（最初に1回）'!$C$4,①今日の在庫を貼る!$I$6:$I$10005,$C20))</f>
        <v>0</v>
      </c>
      <c r="S20" s="143" t="n">
        <f aca="false">IF($C20="","",IF('設定（最初に1回）'!$C$9="実績消費",N($O20),IF('設定（最初に1回）'!$C$9="PI値予測",N($Q20),MAX(N($O20),N($Q20)))))</f>
        <v>1.0327868852459</v>
      </c>
      <c r="T20" s="67" t="n">
        <f aca="false">IF(OR($S20="",$S20&lt;=0),"",$K20/$S20)</f>
        <v>24.2063492063492</v>
      </c>
      <c r="U20" s="69" t="n">
        <f aca="false">IF($S20="","",ROUNDUP(N($S20)*'設定（最初に1回）'!$C$12,0))</f>
        <v>5</v>
      </c>
      <c r="V20" s="69" t="n">
        <f aca="false">IF($C20="","",ROUNDUP(N($S20)*(N($I20)+N($AG20))+N($U20),0))</f>
        <v>15</v>
      </c>
      <c r="W20" s="69" t="n">
        <f aca="false">IF($C20="","",SUMIFS(発注管理!$L$6:$L$1005,発注管理!$C$6:$C$1005,'設定（最初に1回）'!$C$4,発注管理!$F$6:$F$1005,$C20,発注管理!$Q$6:$Q$1005,"発注済"))</f>
        <v>0</v>
      </c>
      <c r="X20" s="69" t="n">
        <f aca="false">IF($C20="","",MAX(0,N($V20)-N($K20)-N($W20)))</f>
        <v>0</v>
      </c>
      <c r="Y20" s="147" t="n">
        <f aca="false">IF($C20="","",IF(N($X20)&lt;=0,0,CEILING($X20/MAX(1,N($G20)),MAX(1,N($J20)))))</f>
        <v>0</v>
      </c>
      <c r="Z20" s="138" t="str">
        <f aca="false">IF($C20="","",IF(N($Y20)&gt;0,"要発注","正常"))</f>
        <v>正常</v>
      </c>
      <c r="AA20" s="71" t="n">
        <f aca="false">IF($C20="","",N($K20)*N($H20))</f>
        <v>203400</v>
      </c>
      <c r="AB20" s="66" t="str">
        <f aca="false">IF($C20="","",_xlfn.TEXTJOIN(" / ",TRUE(),IF(COUNTIF(商品マスタ!$B$6:$B$1005,$C20)=0,"マスタ未登録",""),IF(COUNTIFS(月1回_前回の在庫を貼る!$B$6:$B$10005,'設定（最初に1回）'!$C$4,月1回_前回の在庫を貼る!$I$6:$I$10005,$C20)=0,"新商品",""),IF(COUNTIFS(①今日の在庫を貼る!$B$6:$B$10005,'設定（最初に1回）'!$C$4,①今日の在庫を貼る!$I$6:$I$10005,$C20)=0,"終売候補",""),IF(N($K20)&lt;0,"在庫マイナス",""),IF(AND('設定（最初に1回）'!$C$9="PI値予測",$P20=""),"PI値未設定","")))</f>
        <v/>
      </c>
      <c r="AC20" s="71" t="n">
        <f aca="false">N($Y20)*N($H20)</f>
        <v>0</v>
      </c>
      <c r="AD20" s="66" t="str">
        <f aca="false">IF($C20="","",IFERROR(INDEX(商品マスタ!$K$6:$K$1005,MATCH($C20,商品マスタ!$B$6:$B$1005,0)),"常温"))</f>
        <v>冷蔵</v>
      </c>
      <c r="AE20" s="69" t="n">
        <f aca="false">IF($C20="","",MAX(0,ROUNDUP(N($K20)/MAX(1,N($G20)),0)))</f>
        <v>25</v>
      </c>
      <c r="AF20" s="66" t="str">
        <f aca="false">IF($C20="","",IFERROR(INDEX(商品マスタ!$L$6:$L$1005,MATCH($C20,商品マスタ!$B$6:$B$1005,0)),""))</f>
        <v>ドリンクシロップ</v>
      </c>
      <c r="AG20" s="143" t="n">
        <f aca="false">IF($C20="","",IFERROR(INDEX(定数マスタ!$S$110:$S$119,MATCH($AF20,定数マスタ!$J$110:$J$119,0)),N('設定（最初に1回）'!$C$13)))</f>
        <v>2.3</v>
      </c>
      <c r="AH20" s="66" t="n">
        <f aca="false">IF(AND(N($K20)&gt;0,N($Y20)&gt;0),N($Y20),0)</f>
        <v>0</v>
      </c>
    </row>
    <row r="21" customFormat="false" ht="15" hidden="false" customHeight="false" outlineLevel="0" collapsed="false">
      <c r="B21" s="66" t="n">
        <v>16</v>
      </c>
      <c r="C21" s="66" t="str">
        <f aca="false">IFERROR(IF($B21&lt;=MAX(①今日の在庫を貼る!$U$6:$U$10005),INDEX(①今日の在庫を貼る!$I$6:$I$10005,MATCH($B21,①今日の在庫を貼る!$U$6:$U$10005,0)),INDEX(月1回_前回の在庫を貼る!$I$6:$I$10005,MATCH($B21-MAX(①今日の在庫を貼る!$U$6:$U$10005),月1回_前回の在庫を貼る!$U$6:$U$10005,0))),"")</f>
        <v>4902102113137</v>
      </c>
      <c r="D21" s="66" t="str">
        <f aca="false">IF($C21="","",IFERROR(INDEX(商品マスタ!$C$6:$C$1005,MATCH($C21,商品マスタ!$B$6:$B$1005,0)),IFERROR(INDEX(①今日の在庫を貼る!$J$6:$J$10005,MATCH($C21,①今日の在庫を貼る!$I$6:$I$10005,0)),IFERROR(INDEX(月1回_前回の在庫を貼る!$J$6:$J$10005,MATCH($C21,月1回_前回の在庫を貼る!$I$6:$I$10005,0)),""))))</f>
        <v>フラットＢＩＢスプライト２．５Ｇ</v>
      </c>
      <c r="E21" s="66" t="str">
        <f aca="false">IF($C21="","",IFERROR(INDEX(商品マスタ!$D$6:$D$1005,MATCH($C21,商品マスタ!$B$6:$B$1005,0)),IFERROR(INDEX(①今日の在庫を貼る!$H$6:$H$10005,MATCH($C21,①今日の在庫を貼る!$I$6:$I$10005,0)),IFERROR(INDEX(月1回_前回の在庫を貼る!$H$6:$H$10005,MATCH($C21,月1回_前回の在庫を貼る!$I$6:$I$10005,0)),""))))</f>
        <v>コールド</v>
      </c>
      <c r="F21" s="66" t="str">
        <f aca="false">IF($C21="","",IFERROR(INDEX(商品マスタ!$E$6:$E$1005,MATCH($C21,商品マスタ!$B$6:$B$1005,0)),IFERROR(INDEX(①今日の在庫を貼る!$E$6:$E$10005,MATCH($C21,①今日の在庫を貼る!$I$6:$I$10005,0)),IFERROR(INDEX(月1回_前回の在庫を貼る!$E$6:$E$10005,MATCH($C21,月1回_前回の在庫を貼る!$I$6:$I$10005,0)),""))))</f>
        <v>オザックス株式会社</v>
      </c>
      <c r="G21" s="69" t="n">
        <f aca="false">IF($C21="","",IFERROR(INDEX(商品マスタ!$F$6:$F$1005,MATCH($C21,商品マスタ!$B$6:$B$1005,0)),IFERROR(INDEX(①今日の在庫を貼る!$K$6:$K$10005,MATCH($C21,①今日の在庫を貼る!$I$6:$I$10005,0)),IFERROR(INDEX(月1回_前回の在庫を貼る!$K$6:$K$10005,MATCH($C21,月1回_前回の在庫を貼る!$I$6:$I$10005,0)),""))))</f>
        <v>1</v>
      </c>
      <c r="H21" s="71" t="n">
        <f aca="false">IF($C21="","",IFERROR(INDEX(商品マスタ!$G$6:$G$1005,MATCH($C21,商品マスタ!$B$6:$B$1005,0)),IFERROR(INDEX(①今日の在庫を貼る!$Q$6:$Q$10005,MATCH($C21,①今日の在庫を貼る!$I$6:$I$10005,0)),IFERROR(INDEX(月1回_前回の在庫を貼る!$Q$6:$Q$10005,MATCH($C21,月1回_前回の在庫を貼る!$I$6:$I$10005,0)),""))))</f>
        <v>8136</v>
      </c>
      <c r="I21" s="66" t="n">
        <f aca="false">IF($C21="","",IFERROR(INDEX(商品マスタ!$H$6:$H$1005,MATCH($C21,商品マスタ!$B$6:$B$1005,0)),3))</f>
        <v>7</v>
      </c>
      <c r="J21" s="66" t="n">
        <f aca="false">IF($C21="","",MAX(1,IFERROR(INDEX(商品マスタ!$I$6:$I$1005,MATCH($C21,商品マスタ!$B$6:$B$1005,0)),1)))</f>
        <v>1</v>
      </c>
      <c r="K21" s="69" t="n">
        <f aca="false">IF($C21="","",SUMIFS(①今日の在庫を貼る!$N$6:$N$10005,①今日の在庫を貼る!$B$6:$B$10005,'設定（最初に1回）'!$C$4,①今日の在庫を貼る!$I$6:$I$10005,$C21))</f>
        <v>1</v>
      </c>
      <c r="L21" s="69" t="n">
        <f aca="false">IF($C21="","",SUMIFS(月1回_前回の在庫を貼る!$N$6:$N$10005,月1回_前回の在庫を貼る!$B$6:$B$10005,'設定（最初に1回）'!$C$4,月1回_前回の在庫を貼る!$I$6:$I$10005,$C21))</f>
        <v>93</v>
      </c>
      <c r="M21" s="69" t="n">
        <f aca="false">IF($C21="","",IF(OR('設定（最初に1回）'!$C$6="",'設定（最初に1回）'!$C$7=""),0,SUMIFS(発注管理!$S$6:$S$1005,発注管理!$C$6:$C$1005,'設定（最初に1回）'!$C$4,発注管理!$F$6:$F$1005,$C21,発注管理!$R$6:$R$1005,"&gt;="&amp;'設定（最初に1回）'!$C$7,発注管理!$R$6:$R$1005,"&lt;="&amp;'設定（最初に1回）'!$C$6)))</f>
        <v>0</v>
      </c>
      <c r="N21" s="69" t="n">
        <f aca="false">IF(OR($C21="",'設定（最初に1回）'!$C$15=0),"",$L21+$M21-$K21)</f>
        <v>92</v>
      </c>
      <c r="O21" s="143" t="n">
        <f aca="false">IF(OR($N21="",'設定（最初に1回）'!$C$8="",'設定（最初に1回）'!$C$8&lt;=0),"",MAX(0,$N21)/'設定（最初に1回）'!$C$8)</f>
        <v>1.50819672131148</v>
      </c>
      <c r="P21" s="143" t="n">
        <f aca="false">IF($C21="","",IFERROR(INDEX(商品マスタ!$M$6:$N$1005,MATCH($C21,商品マスタ!$B$6:$B$1005,0),MATCH("PI値 "&amp;'設定（最初に1回）'!$C$11,商品マスタ!$M$5:$N$5,0)),""))</f>
        <v>5.5</v>
      </c>
      <c r="Q21" s="143" t="n">
        <f aca="false">IF(OR($C21="",$P21="",$P21=0,(N($I21)+N($AG21))&lt;=0),"",IFERROR(SUMIFS(随時_動員を入れる!$G$8:$G$97,随時_動員を入れる!$B$8:$B$97,"&gt;="&amp;'設定（最初に1回）'!$C$6,随時_動員を入れる!$B$8:$B$97,"&lt;="&amp;'設定（最初に1回）'!$C$6+(N($I21)+N($AG21))-1)/(N($I21)+N($AG21)),0)*$P21/100)</f>
        <v>204.452150537634</v>
      </c>
      <c r="R21" s="69" t="n">
        <f aca="false">IF($C21="","",SUMIFS(①今日の在庫を貼る!$O$6:$O$10005,①今日の在庫を貼る!$B$6:$B$10005,'設定（最初に1回）'!$C$4,①今日の在庫を貼る!$I$6:$I$10005,$C21))</f>
        <v>0</v>
      </c>
      <c r="S21" s="143" t="n">
        <f aca="false">IF($C21="","",IF('設定（最初に1回）'!$C$9="実績消費",N($O21),IF('設定（最初に1回）'!$C$9="PI値予測",N($Q21),MAX(N($O21),N($Q21)))))</f>
        <v>1.50819672131148</v>
      </c>
      <c r="T21" s="67" t="n">
        <f aca="false">IF(OR($S21="",$S21&lt;=0),"",$K21/$S21)</f>
        <v>0.66304347826087</v>
      </c>
      <c r="U21" s="69" t="n">
        <f aca="false">IF($S21="","",ROUNDUP(N($S21)*'設定（最初に1回）'!$C$12,0))</f>
        <v>7</v>
      </c>
      <c r="V21" s="69" t="n">
        <f aca="false">IF($C21="","",ROUNDUP(N($S21)*(N($I21)+N($AG21))+N($U21),0))</f>
        <v>22</v>
      </c>
      <c r="W21" s="69" t="n">
        <f aca="false">IF($C21="","",SUMIFS(発注管理!$L$6:$L$1005,発注管理!$C$6:$C$1005,'設定（最初に1回）'!$C$4,発注管理!$F$6:$F$1005,$C21,発注管理!$Q$6:$Q$1005,"発注済"))</f>
        <v>0</v>
      </c>
      <c r="X21" s="69" t="n">
        <f aca="false">IF($C21="","",MAX(0,N($V21)-N($K21)-N($W21)))</f>
        <v>21</v>
      </c>
      <c r="Y21" s="147" t="n">
        <f aca="false">IF($C21="","",IF(N($X21)&lt;=0,0,CEILING($X21/MAX(1,N($G21)),MAX(1,N($J21)))))</f>
        <v>21</v>
      </c>
      <c r="Z21" s="138" t="str">
        <f aca="false">IF($C21="","",IF(N($Y21)&gt;0,"要発注","正常"))</f>
        <v>要発注</v>
      </c>
      <c r="AA21" s="71" t="n">
        <f aca="false">IF($C21="","",N($K21)*N($H21))</f>
        <v>8136</v>
      </c>
      <c r="AB21" s="66" t="str">
        <f aca="false">IF($C21="","",_xlfn.TEXTJOIN(" / ",TRUE(),IF(COUNTIF(商品マスタ!$B$6:$B$1005,$C21)=0,"マスタ未登録",""),IF(COUNTIFS(月1回_前回の在庫を貼る!$B$6:$B$10005,'設定（最初に1回）'!$C$4,月1回_前回の在庫を貼る!$I$6:$I$10005,$C21)=0,"新商品",""),IF(COUNTIFS(①今日の在庫を貼る!$B$6:$B$10005,'設定（最初に1回）'!$C$4,①今日の在庫を貼る!$I$6:$I$10005,$C21)=0,"終売候補",""),IF(N($K21)&lt;0,"在庫マイナス",""),IF(AND('設定（最初に1回）'!$C$9="PI値予測",$P21=""),"PI値未設定","")))</f>
        <v/>
      </c>
      <c r="AC21" s="71" t="n">
        <f aca="false">N($Y21)*N($H21)</f>
        <v>170856</v>
      </c>
      <c r="AD21" s="66" t="str">
        <f aca="false">IF($C21="","",IFERROR(INDEX(商品マスタ!$K$6:$K$1005,MATCH($C21,商品マスタ!$B$6:$B$1005,0)),"常温"))</f>
        <v>冷蔵</v>
      </c>
      <c r="AE21" s="69" t="n">
        <f aca="false">IF($C21="","",MAX(0,ROUNDUP(N($K21)/MAX(1,N($G21)),0)))</f>
        <v>1</v>
      </c>
      <c r="AF21" s="66" t="str">
        <f aca="false">IF($C21="","",IFERROR(INDEX(商品マスタ!$L$6:$L$1005,MATCH($C21,商品マスタ!$B$6:$B$1005,0)),""))</f>
        <v>ドリンクシロップ</v>
      </c>
      <c r="AG21" s="143" t="n">
        <f aca="false">IF($C21="","",IFERROR(INDEX(定数マスタ!$S$110:$S$119,MATCH($AF21,定数マスタ!$J$110:$J$119,0)),N('設定（最初に1回）'!$C$13)))</f>
        <v>2.3</v>
      </c>
      <c r="AH21" s="66" t="n">
        <f aca="false">IF(AND(N($K21)&gt;0,N($Y21)&gt;0),N($Y21),0)</f>
        <v>21</v>
      </c>
    </row>
    <row r="22" customFormat="false" ht="15" hidden="false" customHeight="false" outlineLevel="0" collapsed="false">
      <c r="B22" s="66" t="n">
        <v>17</v>
      </c>
      <c r="C22" s="66" t="str">
        <f aca="false">IFERROR(IF($B22&lt;=MAX(①今日の在庫を貼る!$U$6:$U$10005),INDEX(①今日の在庫を貼る!$I$6:$I$10005,MATCH($B22,①今日の在庫を貼る!$U$6:$U$10005,0)),INDEX(月1回_前回の在庫を貼る!$I$6:$I$10005,MATCH($B22-MAX(①今日の在庫を貼る!$U$6:$U$10005),月1回_前回の在庫を貼る!$U$6:$U$10005,0))),"")</f>
        <v>4902102115032</v>
      </c>
      <c r="D22" s="66" t="str">
        <f aca="false">IF($C22="","",IFERROR(INDEX(商品マスタ!$C$6:$C$1005,MATCH($C22,商品マスタ!$B$6:$B$1005,0)),IFERROR(INDEX(①今日の在庫を貼る!$J$6:$J$10005,MATCH($C22,①今日の在庫を貼る!$I$6:$I$10005,0)),IFERROR(INDEX(月1回_前回の在庫を貼る!$J$6:$J$10005,MATCH($C22,月1回_前回の在庫を貼る!$I$6:$I$10005,0)),""))))</f>
        <v>フラットＢＩＢカルピス２．５Ｇ</v>
      </c>
      <c r="E22" s="66" t="str">
        <f aca="false">IF($C22="","",IFERROR(INDEX(商品マスタ!$D$6:$D$1005,MATCH($C22,商品マスタ!$B$6:$B$1005,0)),IFERROR(INDEX(①今日の在庫を貼る!$H$6:$H$10005,MATCH($C22,①今日の在庫を貼る!$I$6:$I$10005,0)),IFERROR(INDEX(月1回_前回の在庫を貼る!$H$6:$H$10005,MATCH($C22,月1回_前回の在庫を貼る!$I$6:$I$10005,0)),""))))</f>
        <v>コールド</v>
      </c>
      <c r="F22" s="66" t="str">
        <f aca="false">IF($C22="","",IFERROR(INDEX(商品マスタ!$E$6:$E$1005,MATCH($C22,商品マスタ!$B$6:$B$1005,0)),IFERROR(INDEX(①今日の在庫を貼る!$E$6:$E$10005,MATCH($C22,①今日の在庫を貼る!$I$6:$I$10005,0)),IFERROR(INDEX(月1回_前回の在庫を貼る!$E$6:$E$10005,MATCH($C22,月1回_前回の在庫を貼る!$I$6:$I$10005,0)),""))))</f>
        <v>オザックス株式会社</v>
      </c>
      <c r="G22" s="69" t="n">
        <f aca="false">IF($C22="","",IFERROR(INDEX(商品マスタ!$F$6:$F$1005,MATCH($C22,商品マスタ!$B$6:$B$1005,0)),IFERROR(INDEX(①今日の在庫を貼る!$K$6:$K$10005,MATCH($C22,①今日の在庫を貼る!$I$6:$I$10005,0)),IFERROR(INDEX(月1回_前回の在庫を貼る!$K$6:$K$10005,MATCH($C22,月1回_前回の在庫を貼る!$I$6:$I$10005,0)),""))))</f>
        <v>1</v>
      </c>
      <c r="H22" s="71" t="n">
        <f aca="false">IF($C22="","",IFERROR(INDEX(商品マスタ!$G$6:$G$1005,MATCH($C22,商品マスタ!$B$6:$B$1005,0)),IFERROR(INDEX(①今日の在庫を貼る!$Q$6:$Q$10005,MATCH($C22,①今日の在庫を貼る!$I$6:$I$10005,0)),IFERROR(INDEX(月1回_前回の在庫を貼る!$Q$6:$Q$10005,MATCH($C22,月1回_前回の在庫を貼る!$I$6:$I$10005,0)),""))))</f>
        <v>8638</v>
      </c>
      <c r="I22" s="66" t="n">
        <f aca="false">IF($C22="","",IFERROR(INDEX(商品マスタ!$H$6:$H$1005,MATCH($C22,商品マスタ!$B$6:$B$1005,0)),3))</f>
        <v>5</v>
      </c>
      <c r="J22" s="66" t="n">
        <f aca="false">IF($C22="","",MAX(1,IFERROR(INDEX(商品マスタ!$I$6:$I$1005,MATCH($C22,商品マスタ!$B$6:$B$1005,0)),1)))</f>
        <v>1</v>
      </c>
      <c r="K22" s="69" t="n">
        <f aca="false">IF($C22="","",SUMIFS(①今日の在庫を貼る!$N$6:$N$10005,①今日の在庫を貼る!$B$6:$B$10005,'設定（最初に1回）'!$C$4,①今日の在庫を貼る!$I$6:$I$10005,$C22))</f>
        <v>2</v>
      </c>
      <c r="L22" s="69" t="n">
        <f aca="false">IF($C22="","",SUMIFS(月1回_前回の在庫を貼る!$N$6:$N$10005,月1回_前回の在庫を貼る!$B$6:$B$10005,'設定（最初に1回）'!$C$4,月1回_前回の在庫を貼る!$I$6:$I$10005,$C22))</f>
        <v>39</v>
      </c>
      <c r="M22" s="69" t="n">
        <f aca="false">IF($C22="","",IF(OR('設定（最初に1回）'!$C$6="",'設定（最初に1回）'!$C$7=""),0,SUMIFS(発注管理!$S$6:$S$1005,発注管理!$C$6:$C$1005,'設定（最初に1回）'!$C$4,発注管理!$F$6:$F$1005,$C22,発注管理!$R$6:$R$1005,"&gt;="&amp;'設定（最初に1回）'!$C$7,発注管理!$R$6:$R$1005,"&lt;="&amp;'設定（最初に1回）'!$C$6)))</f>
        <v>0</v>
      </c>
      <c r="N22" s="69" t="n">
        <f aca="false">IF(OR($C22="",'設定（最初に1回）'!$C$15=0),"",$L22+$M22-$K22)</f>
        <v>37</v>
      </c>
      <c r="O22" s="143" t="n">
        <f aca="false">IF(OR($N22="",'設定（最初に1回）'!$C$8="",'設定（最初に1回）'!$C$8&lt;=0),"",MAX(0,$N22)/'設定（最初に1回）'!$C$8)</f>
        <v>0.60655737704918</v>
      </c>
      <c r="P22" s="143" t="n">
        <f aca="false">IF($C22="","",IFERROR(INDEX(商品マスタ!$M$6:$N$1005,MATCH($C22,商品マスタ!$B$6:$B$1005,0),MATCH("PI値 "&amp;'設定（最初に1回）'!$C$11,商品マスタ!$M$5:$N$5,0)),""))</f>
        <v>6.3</v>
      </c>
      <c r="Q22" s="143" t="n">
        <f aca="false">IF(OR($C22="",$P22="",$P22=0,(N($I22)+N($AG22))&lt;=0),"",IFERROR(SUMIFS(随時_動員を入れる!$G$8:$G$97,随時_動員を入れる!$B$8:$B$97,"&gt;="&amp;'設定（最初に1回）'!$C$6,随時_動員を入れる!$B$8:$B$97,"&lt;="&amp;'設定（最初に1回）'!$C$6+(N($I22)+N($AG22))-1)/(N($I22)+N($AG22)),0)*$P22/100)</f>
        <v>266.783424657534</v>
      </c>
      <c r="R22" s="69" t="n">
        <f aca="false">IF($C22="","",SUMIFS(①今日の在庫を貼る!$O$6:$O$10005,①今日の在庫を貼る!$B$6:$B$10005,'設定（最初に1回）'!$C$4,①今日の在庫を貼る!$I$6:$I$10005,$C22))</f>
        <v>0</v>
      </c>
      <c r="S22" s="143" t="n">
        <f aca="false">IF($C22="","",IF('設定（最初に1回）'!$C$9="実績消費",N($O22),IF('設定（最初に1回）'!$C$9="PI値予測",N($Q22),MAX(N($O22),N($Q22)))))</f>
        <v>0.60655737704918</v>
      </c>
      <c r="T22" s="67" t="n">
        <f aca="false">IF(OR($S22="",$S22&lt;=0),"",$K22/$S22)</f>
        <v>3.2972972972973</v>
      </c>
      <c r="U22" s="69" t="n">
        <f aca="false">IF($S22="","",ROUNDUP(N($S22)*'設定（最初に1回）'!$C$12,0))</f>
        <v>3</v>
      </c>
      <c r="V22" s="69" t="n">
        <f aca="false">IF($C22="","",ROUNDUP(N($S22)*(N($I22)+N($AG22))+N($U22),0))</f>
        <v>8</v>
      </c>
      <c r="W22" s="69" t="n">
        <f aca="false">IF($C22="","",SUMIFS(発注管理!$L$6:$L$1005,発注管理!$C$6:$C$1005,'設定（最初に1回）'!$C$4,発注管理!$F$6:$F$1005,$C22,発注管理!$Q$6:$Q$1005,"発注済"))</f>
        <v>0</v>
      </c>
      <c r="X22" s="69" t="n">
        <f aca="false">IF($C22="","",MAX(0,N($V22)-N($K22)-N($W22)))</f>
        <v>6</v>
      </c>
      <c r="Y22" s="147" t="n">
        <f aca="false">IF($C22="","",IF(N($X22)&lt;=0,0,CEILING($X22/MAX(1,N($G22)),MAX(1,N($J22)))))</f>
        <v>6</v>
      </c>
      <c r="Z22" s="138" t="str">
        <f aca="false">IF($C22="","",IF(N($Y22)&gt;0,"要発注","正常"))</f>
        <v>要発注</v>
      </c>
      <c r="AA22" s="71" t="n">
        <f aca="false">IF($C22="","",N($K22)*N($H22))</f>
        <v>17276</v>
      </c>
      <c r="AB22" s="66" t="str">
        <f aca="false">IF($C22="","",_xlfn.TEXTJOIN(" / ",TRUE(),IF(COUNTIF(商品マスタ!$B$6:$B$1005,$C22)=0,"マスタ未登録",""),IF(COUNTIFS(月1回_前回の在庫を貼る!$B$6:$B$10005,'設定（最初に1回）'!$C$4,月1回_前回の在庫を貼る!$I$6:$I$10005,$C22)=0,"新商品",""),IF(COUNTIFS(①今日の在庫を貼る!$B$6:$B$10005,'設定（最初に1回）'!$C$4,①今日の在庫を貼る!$I$6:$I$10005,$C22)=0,"終売候補",""),IF(N($K22)&lt;0,"在庫マイナス",""),IF(AND('設定（最初に1回）'!$C$9="PI値予測",$P22=""),"PI値未設定","")))</f>
        <v/>
      </c>
      <c r="AC22" s="71" t="n">
        <f aca="false">N($Y22)*N($H22)</f>
        <v>51828</v>
      </c>
      <c r="AD22" s="66" t="str">
        <f aca="false">IF($C22="","",IFERROR(INDEX(商品マスタ!$K$6:$K$1005,MATCH($C22,商品マスタ!$B$6:$B$1005,0)),"常温"))</f>
        <v>冷蔵</v>
      </c>
      <c r="AE22" s="69" t="n">
        <f aca="false">IF($C22="","",MAX(0,ROUNDUP(N($K22)/MAX(1,N($G22)),0)))</f>
        <v>2</v>
      </c>
      <c r="AF22" s="66" t="str">
        <f aca="false">IF($C22="","",IFERROR(INDEX(商品マスタ!$L$6:$L$1005,MATCH($C22,商品マスタ!$B$6:$B$1005,0)),""))</f>
        <v>ドリンクシロップ</v>
      </c>
      <c r="AG22" s="143" t="n">
        <f aca="false">IF($C22="","",IFERROR(INDEX(定数マスタ!$S$110:$S$119,MATCH($AF22,定数マスタ!$J$110:$J$119,0)),N('設定（最初に1回）'!$C$13)))</f>
        <v>2.3</v>
      </c>
      <c r="AH22" s="66" t="n">
        <f aca="false">IF(AND(N($K22)&gt;0,N($Y22)&gt;0),N($Y22),0)</f>
        <v>6</v>
      </c>
    </row>
    <row r="23" customFormat="false" ht="15" hidden="false" customHeight="false" outlineLevel="0" collapsed="false">
      <c r="B23" s="66" t="n">
        <v>18</v>
      </c>
      <c r="C23" s="66" t="str">
        <f aca="false">IFERROR(IF($B23&lt;=MAX(①今日の在庫を貼る!$U$6:$U$10005),INDEX(①今日の在庫を貼る!$I$6:$I$10005,MATCH($B23,①今日の在庫を貼る!$U$6:$U$10005,0)),INDEX(月1回_前回の在庫を貼る!$I$6:$I$10005,MATCH($B23-MAX(①今日の在庫を貼る!$U$6:$U$10005),月1回_前回の在庫を貼る!$U$6:$U$10005,0))),"")</f>
        <v>4902102149549</v>
      </c>
      <c r="D23" s="66" t="str">
        <f aca="false">IF($C23="","",IFERROR(INDEX(商品マスタ!$C$6:$C$1005,MATCH($C23,商品マスタ!$B$6:$B$1005,0)),IFERROR(INDEX(①今日の在庫を貼る!$J$6:$J$10005,MATCH($C23,①今日の在庫を貼る!$I$6:$I$10005,0)),IFERROR(INDEX(月1回_前回の在庫を貼る!$J$6:$J$10005,MATCH($C23,月1回_前回の在庫を貼る!$I$6:$I$10005,0)),""))))</f>
        <v>（コスタ）新コーヒー豆</v>
      </c>
      <c r="E23" s="66" t="str">
        <f aca="false">IF($C23="","",IFERROR(INDEX(商品マスタ!$D$6:$D$1005,MATCH($C23,商品マスタ!$B$6:$B$1005,0)),IFERROR(INDEX(①今日の在庫を貼る!$H$6:$H$10005,MATCH($C23,①今日の在庫を貼る!$I$6:$I$10005,0)),IFERROR(INDEX(月1回_前回の在庫を貼る!$H$6:$H$10005,MATCH($C23,月1回_前回の在庫を貼る!$I$6:$I$10005,0)),""))))</f>
        <v>コーヒー</v>
      </c>
      <c r="F23" s="66" t="str">
        <f aca="false">IF($C23="","",IFERROR(INDEX(商品マスタ!$E$6:$E$1005,MATCH($C23,商品マスタ!$B$6:$B$1005,0)),IFERROR(INDEX(①今日の在庫を貼る!$E$6:$E$10005,MATCH($C23,①今日の在庫を貼る!$I$6:$I$10005,0)),IFERROR(INDEX(月1回_前回の在庫を貼る!$E$6:$E$10005,MATCH($C23,月1回_前回の在庫を貼る!$I$6:$I$10005,0)),""))))</f>
        <v>オザックス株式会社</v>
      </c>
      <c r="G23" s="69" t="n">
        <f aca="false">IF($C23="","",IFERROR(INDEX(商品マスタ!$F$6:$F$1005,MATCH($C23,商品マスタ!$B$6:$B$1005,0)),IFERROR(INDEX(①今日の在庫を貼る!$K$6:$K$10005,MATCH($C23,①今日の在庫を貼る!$I$6:$I$10005,0)),IFERROR(INDEX(月1回_前回の在庫を貼る!$K$6:$K$10005,MATCH($C23,月1回_前回の在庫を貼る!$I$6:$I$10005,0)),""))))</f>
        <v>10</v>
      </c>
      <c r="H23" s="71" t="n">
        <f aca="false">IF($C23="","",IFERROR(INDEX(商品マスタ!$G$6:$G$1005,MATCH($C23,商品マスタ!$B$6:$B$1005,0)),IFERROR(INDEX(①今日の在庫を貼る!$Q$6:$Q$10005,MATCH($C23,①今日の在庫を貼る!$I$6:$I$10005,0)),IFERROR(INDEX(月1回_前回の在庫を貼る!$Q$6:$Q$10005,MATCH($C23,月1回_前回の在庫を貼る!$I$6:$I$10005,0)),""))))</f>
        <v>4503.2</v>
      </c>
      <c r="I23" s="66" t="n">
        <f aca="false">IF($C23="","",IFERROR(INDEX(商品マスタ!$H$6:$H$1005,MATCH($C23,商品マスタ!$B$6:$B$1005,0)),3))</f>
        <v>7</v>
      </c>
      <c r="J23" s="66" t="n">
        <f aca="false">IF($C23="","",MAX(1,IFERROR(INDEX(商品マスタ!$I$6:$I$1005,MATCH($C23,商品マスタ!$B$6:$B$1005,0)),1)))</f>
        <v>1</v>
      </c>
      <c r="K23" s="69" t="n">
        <f aca="false">IF($C23="","",SUMIFS(①今日の在庫を貼る!$N$6:$N$10005,①今日の在庫を貼る!$B$6:$B$10005,'設定（最初に1回）'!$C$4,①今日の在庫を貼る!$I$6:$I$10005,$C23))</f>
        <v>114</v>
      </c>
      <c r="L23" s="69" t="n">
        <f aca="false">IF($C23="","",SUMIFS(月1回_前回の在庫を貼る!$N$6:$N$10005,月1回_前回の在庫を貼る!$B$6:$B$10005,'設定（最初に1回）'!$C$4,月1回_前回の在庫を貼る!$I$6:$I$10005,$C23))</f>
        <v>243</v>
      </c>
      <c r="M23" s="69" t="n">
        <f aca="false">IF($C23="","",IF(OR('設定（最初に1回）'!$C$6="",'設定（最初に1回）'!$C$7=""),0,SUMIFS(発注管理!$S$6:$S$1005,発注管理!$C$6:$C$1005,'設定（最初に1回）'!$C$4,発注管理!$F$6:$F$1005,$C23,発注管理!$R$6:$R$1005,"&gt;="&amp;'設定（最初に1回）'!$C$7,発注管理!$R$6:$R$1005,"&lt;="&amp;'設定（最初に1回）'!$C$6)))</f>
        <v>0</v>
      </c>
      <c r="N23" s="69" t="n">
        <f aca="false">IF(OR($C23="",'設定（最初に1回）'!$C$15=0),"",$L23+$M23-$K23)</f>
        <v>129</v>
      </c>
      <c r="O23" s="143" t="n">
        <f aca="false">IF(OR($N23="",'設定（最初に1回）'!$C$8="",'設定（最初に1回）'!$C$8&lt;=0),"",MAX(0,$N23)/'設定（最初に1回）'!$C$8)</f>
        <v>2.11475409836066</v>
      </c>
      <c r="P23" s="143" t="n">
        <f aca="false">IF($C23="","",IFERROR(INDEX(商品マスタ!$M$6:$N$1005,MATCH($C23,商品マスタ!$B$6:$B$1005,0),MATCH("PI値 "&amp;'設定（最初に1回）'!$C$11,商品マスタ!$M$5:$N$5,0)),""))</f>
        <v>1.2</v>
      </c>
      <c r="Q23" s="143" t="n">
        <f aca="false">IF(OR($C23="",$P23="",$P23=0,(N($I23)+N($AG23))&lt;=0),"",IFERROR(SUMIFS(随時_動員を入れる!$G$8:$G$97,随時_動員を入れる!$B$8:$B$97,"&gt;="&amp;'設定（最初に1回）'!$C$6,随時_動員を入れる!$B$8:$B$97,"&lt;="&amp;'設定（最初に1回）'!$C$6+(N($I23)+N($AG23))-1)/(N($I23)+N($AG23)),0)*$P23/100)</f>
        <v>38.652</v>
      </c>
      <c r="R23" s="69" t="n">
        <f aca="false">IF($C23="","",SUMIFS(①今日の在庫を貼る!$O$6:$O$10005,①今日の在庫を貼る!$B$6:$B$10005,'設定（最初に1回）'!$C$4,①今日の在庫を貼る!$I$6:$I$10005,$C23))</f>
        <v>0</v>
      </c>
      <c r="S23" s="143" t="n">
        <f aca="false">IF($C23="","",IF('設定（最初に1回）'!$C$9="実績消費",N($O23),IF('設定（最初に1回）'!$C$9="PI値予測",N($Q23),MAX(N($O23),N($Q23)))))</f>
        <v>2.11475409836066</v>
      </c>
      <c r="T23" s="67" t="n">
        <f aca="false">IF(OR($S23="",$S23&lt;=0),"",$K23/$S23)</f>
        <v>53.906976744186</v>
      </c>
      <c r="U23" s="69" t="n">
        <f aca="false">IF($S23="","",ROUNDUP(N($S23)*'設定（最初に1回）'!$C$12,0))</f>
        <v>9</v>
      </c>
      <c r="V23" s="69" t="n">
        <f aca="false">IF($C23="","",ROUNDUP(N($S23)*(N($I23)+N($AG23))+N($U23),0))</f>
        <v>39</v>
      </c>
      <c r="W23" s="69" t="n">
        <f aca="false">IF($C23="","",SUMIFS(発注管理!$L$6:$L$1005,発注管理!$C$6:$C$1005,'設定（最初に1回）'!$C$4,発注管理!$F$6:$F$1005,$C23,発注管理!$Q$6:$Q$1005,"発注済"))</f>
        <v>0</v>
      </c>
      <c r="X23" s="69" t="n">
        <f aca="false">IF($C23="","",MAX(0,N($V23)-N($K23)-N($W23)))</f>
        <v>0</v>
      </c>
      <c r="Y23" s="147" t="n">
        <f aca="false">IF($C23="","",IF(N($X23)&lt;=0,0,CEILING($X23/MAX(1,N($G23)),MAX(1,N($J23)))))</f>
        <v>0</v>
      </c>
      <c r="Z23" s="138" t="str">
        <f aca="false">IF($C23="","",IF(N($Y23)&gt;0,"要発注","正常"))</f>
        <v>正常</v>
      </c>
      <c r="AA23" s="71" t="n">
        <f aca="false">IF($C23="","",N($K23)*N($H23))</f>
        <v>513364.8</v>
      </c>
      <c r="AB23" s="66" t="str">
        <f aca="false">IF($C23="","",_xlfn.TEXTJOIN(" / ",TRUE(),IF(COUNTIF(商品マスタ!$B$6:$B$1005,$C23)=0,"マスタ未登録",""),IF(COUNTIFS(月1回_前回の在庫を貼る!$B$6:$B$10005,'設定（最初に1回）'!$C$4,月1回_前回の在庫を貼る!$I$6:$I$10005,$C23)=0,"新商品",""),IF(COUNTIFS(①今日の在庫を貼る!$B$6:$B$10005,'設定（最初に1回）'!$C$4,①今日の在庫を貼る!$I$6:$I$10005,$C23)=0,"終売候補",""),IF(N($K23)&lt;0,"在庫マイナス",""),IF(AND('設定（最初に1回）'!$C$9="PI値予測",$P23=""),"PI値未設定","")))</f>
        <v/>
      </c>
      <c r="AC23" s="71" t="n">
        <f aca="false">N($Y23)*N($H23)</f>
        <v>0</v>
      </c>
      <c r="AD23" s="66" t="str">
        <f aca="false">IF($C23="","",IFERROR(INDEX(商品マスタ!$K$6:$K$1005,MATCH($C23,商品マスタ!$B$6:$B$1005,0)),"常温"))</f>
        <v>常温</v>
      </c>
      <c r="AE23" s="69" t="n">
        <f aca="false">IF($C23="","",MAX(0,ROUNDUP(N($K23)/MAX(1,N($G23)),0)))</f>
        <v>12</v>
      </c>
      <c r="AF23" s="66" t="str">
        <f aca="false">IF($C23="","",IFERROR(INDEX(商品マスタ!$L$6:$L$1005,MATCH($C23,商品マスタ!$B$6:$B$1005,0)),""))</f>
        <v>その他常温</v>
      </c>
      <c r="AG23" s="143" t="n">
        <f aca="false">IF($C23="","",IFERROR(INDEX(定数マスタ!$S$110:$S$119,MATCH($AF23,定数マスタ!$J$110:$J$119,0)),N('設定（最初に1回）'!$C$13)))</f>
        <v>7</v>
      </c>
      <c r="AH23" s="66" t="n">
        <f aca="false">IF(AND(N($K23)&gt;0,N($Y23)&gt;0),N($Y23),0)</f>
        <v>0</v>
      </c>
    </row>
    <row r="24" customFormat="false" ht="15" hidden="false" customHeight="false" outlineLevel="0" collapsed="false">
      <c r="B24" s="66" t="n">
        <v>19</v>
      </c>
      <c r="C24" s="66" t="str">
        <f aca="false">IFERROR(IF($B24&lt;=MAX(①今日の在庫を貼る!$U$6:$U$10005),INDEX(①今日の在庫を貼る!$I$6:$I$10005,MATCH($B24,①今日の在庫を貼る!$U$6:$U$10005,0)),INDEX(月1回_前回の在庫を貼る!$I$6:$I$10005,MATCH($B24-MAX(①今日の在庫を貼る!$U$6:$U$10005),月1回_前回の在庫を貼る!$U$6:$U$10005,0))),"")</f>
        <v>4902188012225</v>
      </c>
      <c r="D24" s="66" t="str">
        <f aca="false">IF($C24="","",IFERROR(INDEX(商品マスタ!$C$6:$C$1005,MATCH($C24,商品マスタ!$B$6:$B$1005,0)),IFERROR(INDEX(①今日の在庫を貼る!$J$6:$J$10005,MATCH($C24,①今日の在庫を貼る!$I$6:$I$10005,0)),IFERROR(INDEX(月1回_前回の在庫を貼る!$J$6:$J$10005,MATCH($C24,月1回_前回の在庫を貼る!$I$6:$I$10005,0)),""))))</f>
        <v>めいらく北海道特選３．６牛乳</v>
      </c>
      <c r="E24" s="66" t="str">
        <f aca="false">IF($C24="","",IFERROR(INDEX(商品マスタ!$D$6:$D$1005,MATCH($C24,商品マスタ!$B$6:$B$1005,0)),IFERROR(INDEX(①今日の在庫を貼る!$H$6:$H$10005,MATCH($C24,①今日の在庫を貼る!$I$6:$I$10005,0)),IFERROR(INDEX(月1回_前回の在庫を貼る!$H$6:$H$10005,MATCH($C24,月1回_前回の在庫を貼る!$I$6:$I$10005,0)),""))))</f>
        <v>コーヒー</v>
      </c>
      <c r="F24" s="66" t="str">
        <f aca="false">IF($C24="","",IFERROR(INDEX(商品マスタ!$E$6:$E$1005,MATCH($C24,商品マスタ!$B$6:$B$1005,0)),IFERROR(INDEX(①今日の在庫を貼る!$E$6:$E$10005,MATCH($C24,①今日の在庫を貼る!$I$6:$I$10005,0)),IFERROR(INDEX(月1回_前回の在庫を貼る!$E$6:$E$10005,MATCH($C24,月1回_前回の在庫を貼る!$I$6:$I$10005,0)),""))))</f>
        <v>オザックス株式会社</v>
      </c>
      <c r="G24" s="69" t="n">
        <f aca="false">IF($C24="","",IFERROR(INDEX(商品マスタ!$F$6:$F$1005,MATCH($C24,商品マスタ!$B$6:$B$1005,0)),IFERROR(INDEX(①今日の在庫を貼る!$K$6:$K$10005,MATCH($C24,①今日の在庫を貼る!$I$6:$I$10005,0)),IFERROR(INDEX(月1回_前回の在庫を貼る!$K$6:$K$10005,MATCH($C24,月1回_前回の在庫を貼る!$I$6:$I$10005,0)),""))))</f>
        <v>12</v>
      </c>
      <c r="H24" s="71" t="n">
        <f aca="false">IF($C24="","",IFERROR(INDEX(商品マスタ!$G$6:$G$1005,MATCH($C24,商品マスタ!$B$6:$B$1005,0)),IFERROR(INDEX(①今日の在庫を貼る!$Q$6:$Q$10005,MATCH($C24,①今日の在庫を貼る!$I$6:$I$10005,0)),IFERROR(INDEX(月1回_前回の在庫を貼る!$Q$6:$Q$10005,MATCH($C24,月1回_前回の在庫を貼る!$I$6:$I$10005,0)),""))))</f>
        <v>332</v>
      </c>
      <c r="I24" s="66" t="n">
        <f aca="false">IF($C24="","",IFERROR(INDEX(商品マスタ!$H$6:$H$1005,MATCH($C24,商品マスタ!$B$6:$B$1005,0)),3))</f>
        <v>5</v>
      </c>
      <c r="J24" s="66" t="n">
        <f aca="false">IF($C24="","",MAX(1,IFERROR(INDEX(商品マスタ!$I$6:$I$1005,MATCH($C24,商品マスタ!$B$6:$B$1005,0)),1)))</f>
        <v>5</v>
      </c>
      <c r="K24" s="69" t="n">
        <f aca="false">IF($C24="","",SUMIFS(①今日の在庫を貼る!$N$6:$N$10005,①今日の在庫を貼る!$B$6:$B$10005,'設定（最初に1回）'!$C$4,①今日の在庫を貼る!$I$6:$I$10005,$C24))</f>
        <v>173</v>
      </c>
      <c r="L24" s="69" t="n">
        <f aca="false">IF($C24="","",SUMIFS(月1回_前回の在庫を貼る!$N$6:$N$10005,月1回_前回の在庫を貼る!$B$6:$B$10005,'設定（最初に1回）'!$C$4,月1回_前回の在庫を貼る!$I$6:$I$10005,$C24))</f>
        <v>1567</v>
      </c>
      <c r="M24" s="69" t="n">
        <f aca="false">IF($C24="","",IF(OR('設定（最初に1回）'!$C$6="",'設定（最初に1回）'!$C$7=""),0,SUMIFS(発注管理!$S$6:$S$1005,発注管理!$C$6:$C$1005,'設定（最初に1回）'!$C$4,発注管理!$F$6:$F$1005,$C24,発注管理!$R$6:$R$1005,"&gt;="&amp;'設定（最初に1回）'!$C$7,発注管理!$R$6:$R$1005,"&lt;="&amp;'設定（最初に1回）'!$C$6)))</f>
        <v>0</v>
      </c>
      <c r="N24" s="69" t="n">
        <f aca="false">IF(OR($C24="",'設定（最初に1回）'!$C$15=0),"",$L24+$M24-$K24)</f>
        <v>1394</v>
      </c>
      <c r="O24" s="143" t="n">
        <f aca="false">IF(OR($N24="",'設定（最初に1回）'!$C$8="",'設定（最初に1回）'!$C$8&lt;=0),"",MAX(0,$N24)/'設定（最初に1回）'!$C$8)</f>
        <v>22.8524590163934</v>
      </c>
      <c r="P24" s="143" t="n">
        <f aca="false">IF($C24="","",IFERROR(INDEX(商品マスタ!$M$6:$N$1005,MATCH($C24,商品マスタ!$B$6:$B$1005,0),MATCH("PI値 "&amp;'設定（最初に1回）'!$C$11,商品マスタ!$M$5:$N$5,0)),""))</f>
        <v>1.3</v>
      </c>
      <c r="Q24" s="143" t="n">
        <f aca="false">IF(OR($C24="",$P24="",$P24=0,(N($I24)+N($AG24))&lt;=0),"",IFERROR(SUMIFS(随時_動員を入れる!$G$8:$G$97,随時_動員を入れる!$B$8:$B$97,"&gt;="&amp;'設定（最初に1回）'!$C$6,随時_動員を入れる!$B$8:$B$97,"&lt;="&amp;'設定（最初に1回）'!$C$6+(N($I24)+N($AG24))-1)/(N($I24)+N($AG24)),0)*$P24/100)</f>
        <v>46.01025</v>
      </c>
      <c r="R24" s="69" t="n">
        <f aca="false">IF($C24="","",SUMIFS(①今日の在庫を貼る!$O$6:$O$10005,①今日の在庫を貼る!$B$6:$B$10005,'設定（最初に1回）'!$C$4,①今日の在庫を貼る!$I$6:$I$10005,$C24))</f>
        <v>0</v>
      </c>
      <c r="S24" s="143" t="n">
        <f aca="false">IF($C24="","",IF('設定（最初に1回）'!$C$9="実績消費",N($O24),IF('設定（最初に1回）'!$C$9="PI値予測",N($Q24),MAX(N($O24),N($Q24)))))</f>
        <v>22.8524590163934</v>
      </c>
      <c r="T24" s="67" t="n">
        <f aca="false">IF(OR($S24="",$S24&lt;=0),"",$K24/$S24)</f>
        <v>7.57030129124821</v>
      </c>
      <c r="U24" s="69" t="n">
        <f aca="false">IF($S24="","",ROUNDUP(N($S24)*'設定（最初に1回）'!$C$12,0))</f>
        <v>92</v>
      </c>
      <c r="V24" s="69" t="n">
        <f aca="false">IF($C24="","",ROUNDUP(N($S24)*(N($I24)+N($AG24))+N($U24),0))</f>
        <v>367</v>
      </c>
      <c r="W24" s="69" t="n">
        <f aca="false">IF($C24="","",SUMIFS(発注管理!$L$6:$L$1005,発注管理!$C$6:$C$1005,'設定（最初に1回）'!$C$4,発注管理!$F$6:$F$1005,$C24,発注管理!$Q$6:$Q$1005,"発注済"))</f>
        <v>0</v>
      </c>
      <c r="X24" s="69" t="n">
        <f aca="false">IF($C24="","",MAX(0,N($V24)-N($K24)-N($W24)))</f>
        <v>194</v>
      </c>
      <c r="Y24" s="147" t="n">
        <f aca="false">IF($C24="","",IF(N($X24)&lt;=0,0,CEILING($X24/MAX(1,N($G24)),MAX(1,N($J24)))))</f>
        <v>20</v>
      </c>
      <c r="Z24" s="138" t="str">
        <f aca="false">IF($C24="","",IF(N($Y24)&gt;0,"要発注","正常"))</f>
        <v>要発注</v>
      </c>
      <c r="AA24" s="71" t="n">
        <f aca="false">IF($C24="","",N($K24)*N($H24))</f>
        <v>57436</v>
      </c>
      <c r="AB24" s="66" t="str">
        <f aca="false">IF($C24="","",_xlfn.TEXTJOIN(" / ",TRUE(),IF(COUNTIF(商品マスタ!$B$6:$B$1005,$C24)=0,"マスタ未登録",""),IF(COUNTIFS(月1回_前回の在庫を貼る!$B$6:$B$10005,'設定（最初に1回）'!$C$4,月1回_前回の在庫を貼る!$I$6:$I$10005,$C24)=0,"新商品",""),IF(COUNTIFS(①今日の在庫を貼る!$B$6:$B$10005,'設定（最初に1回）'!$C$4,①今日の在庫を貼る!$I$6:$I$10005,$C24)=0,"終売候補",""),IF(N($K24)&lt;0,"在庫マイナス",""),IF(AND('設定（最初に1回）'!$C$9="PI値予測",$P24=""),"PI値未設定","")))</f>
        <v/>
      </c>
      <c r="AC24" s="71" t="n">
        <f aca="false">N($Y24)*N($H24)</f>
        <v>6640</v>
      </c>
      <c r="AD24" s="66" t="str">
        <f aca="false">IF($C24="","",IFERROR(INDEX(商品マスタ!$K$6:$K$1005,MATCH($C24,商品マスタ!$B$6:$B$1005,0)),"常温"))</f>
        <v>常温</v>
      </c>
      <c r="AE24" s="69" t="n">
        <f aca="false">IF($C24="","",MAX(0,ROUNDUP(N($K24)/MAX(1,N($G24)),0)))</f>
        <v>15</v>
      </c>
      <c r="AF24" s="66" t="str">
        <f aca="false">IF($C24="","",IFERROR(INDEX(商品マスタ!$L$6:$L$1005,MATCH($C24,商品マスタ!$B$6:$B$1005,0)),""))</f>
        <v>その他常温</v>
      </c>
      <c r="AG24" s="143" t="n">
        <f aca="false">IF($C24="","",IFERROR(INDEX(定数マスタ!$S$110:$S$119,MATCH($AF24,定数マスタ!$J$110:$J$119,0)),N('設定（最初に1回）'!$C$13)))</f>
        <v>7</v>
      </c>
      <c r="AH24" s="66" t="n">
        <f aca="false">IF(AND(N($K24)&gt;0,N($Y24)&gt;0),N($Y24),0)</f>
        <v>20</v>
      </c>
    </row>
    <row r="25" customFormat="false" ht="15" hidden="false" customHeight="false" outlineLevel="0" collapsed="false">
      <c r="B25" s="66" t="n">
        <v>20</v>
      </c>
      <c r="C25" s="66" t="str">
        <f aca="false">IFERROR(IF($B25&lt;=MAX(①今日の在庫を貼る!$U$6:$U$10005),INDEX(①今日の在庫を貼る!$I$6:$I$10005,MATCH($B25,①今日の在庫を貼る!$U$6:$U$10005,0)),INDEX(月1回_前回の在庫を貼る!$I$6:$I$10005,MATCH($B25-MAX(①今日の在庫を貼る!$U$6:$U$10005),月1回_前回の在庫を貼る!$U$6:$U$10005,0))),"")</f>
        <v>1812000000084</v>
      </c>
      <c r="D25" s="66" t="str">
        <f aca="false">IF($C25="","",IFERROR(INDEX(商品マスタ!$C$6:$C$1005,MATCH($C25,商品マスタ!$B$6:$B$1005,0)),IFERROR(INDEX(①今日の在庫を貼る!$J$6:$J$10005,MATCH($C25,①今日の在庫を貼る!$I$6:$I$10005,0)),IFERROR(INDEX(月1回_前回の在庫を貼る!$J$6:$J$10005,MATCH($C25,月1回_前回の在庫を貼る!$I$6:$I$10005,0)),""))))</f>
        <v>ミルクティーパウダー</v>
      </c>
      <c r="E25" s="66" t="str">
        <f aca="false">IF($C25="","",IFERROR(INDEX(商品マスタ!$D$6:$D$1005,MATCH($C25,商品マスタ!$B$6:$B$1005,0)),IFERROR(INDEX(①今日の在庫を貼る!$H$6:$H$10005,MATCH($C25,①今日の在庫を貼る!$I$6:$I$10005,0)),IFERROR(INDEX(月1回_前回の在庫を貼る!$H$6:$H$10005,MATCH($C25,月1回_前回の在庫を貼る!$I$6:$I$10005,0)),""))))</f>
        <v>ホット</v>
      </c>
      <c r="F25" s="66" t="str">
        <f aca="false">IF($C25="","",IFERROR(INDEX(商品マスタ!$E$6:$E$1005,MATCH($C25,商品マスタ!$B$6:$B$1005,0)),IFERROR(INDEX(①今日の在庫を貼る!$E$6:$E$10005,MATCH($C25,①今日の在庫を貼る!$I$6:$I$10005,0)),IFERROR(INDEX(月1回_前回の在庫を貼る!$E$6:$E$10005,MATCH($C25,月1回_前回の在庫を貼る!$I$6:$I$10005,0)),""))))</f>
        <v>オザックス株式会社</v>
      </c>
      <c r="G25" s="69" t="n">
        <f aca="false">IF($C25="","",IFERROR(INDEX(商品マスタ!$F$6:$F$1005,MATCH($C25,商品マスタ!$B$6:$B$1005,0)),IFERROR(INDEX(①今日の在庫を貼る!$K$6:$K$10005,MATCH($C25,①今日の在庫を貼る!$I$6:$I$10005,0)),IFERROR(INDEX(月1回_前回の在庫を貼る!$K$6:$K$10005,MATCH($C25,月1回_前回の在庫を貼る!$I$6:$I$10005,0)),""))))</f>
        <v>1</v>
      </c>
      <c r="H25" s="71" t="n">
        <f aca="false">IF($C25="","",IFERROR(INDEX(商品マスタ!$G$6:$G$1005,MATCH($C25,商品マスタ!$B$6:$B$1005,0)),IFERROR(INDEX(①今日の在庫を貼る!$Q$6:$Q$10005,MATCH($C25,①今日の在庫を貼る!$I$6:$I$10005,0)),IFERROR(INDEX(月1回_前回の在庫を貼る!$Q$6:$Q$10005,MATCH($C25,月1回_前回の在庫を貼る!$I$6:$I$10005,0)),""))))</f>
        <v>2254</v>
      </c>
      <c r="I25" s="66" t="n">
        <f aca="false">IF($C25="","",IFERROR(INDEX(商品マスタ!$H$6:$H$1005,MATCH($C25,商品マスタ!$B$6:$B$1005,0)),3))</f>
        <v>4</v>
      </c>
      <c r="J25" s="66" t="n">
        <f aca="false">IF($C25="","",MAX(1,IFERROR(INDEX(商品マスタ!$I$6:$I$1005,MATCH($C25,商品マスタ!$B$6:$B$1005,0)),1)))</f>
        <v>1</v>
      </c>
      <c r="K25" s="69" t="n">
        <f aca="false">IF($C25="","",SUMIFS(①今日の在庫を貼る!$N$6:$N$10005,①今日の在庫を貼る!$B$6:$B$10005,'設定（最初に1回）'!$C$4,①今日の在庫を貼る!$I$6:$I$10005,$C25))</f>
        <v>72</v>
      </c>
      <c r="L25" s="69" t="n">
        <f aca="false">IF($C25="","",SUMIFS(月1回_前回の在庫を貼る!$N$6:$N$10005,月1回_前回の在庫を貼る!$B$6:$B$10005,'設定（最初に1回）'!$C$4,月1回_前回の在庫を貼る!$I$6:$I$10005,$C25))</f>
        <v>145</v>
      </c>
      <c r="M25" s="69" t="n">
        <f aca="false">IF($C25="","",IF(OR('設定（最初に1回）'!$C$6="",'設定（最初に1回）'!$C$7=""),0,SUMIFS(発注管理!$S$6:$S$1005,発注管理!$C$6:$C$1005,'設定（最初に1回）'!$C$4,発注管理!$F$6:$F$1005,$C25,発注管理!$R$6:$R$1005,"&gt;="&amp;'設定（最初に1回）'!$C$7,発注管理!$R$6:$R$1005,"&lt;="&amp;'設定（最初に1回）'!$C$6)))</f>
        <v>0</v>
      </c>
      <c r="N25" s="69" t="n">
        <f aca="false">IF(OR($C25="",'設定（最初に1回）'!$C$15=0),"",$L25+$M25-$K25)</f>
        <v>73</v>
      </c>
      <c r="O25" s="143" t="n">
        <f aca="false">IF(OR($N25="",'設定（最初に1回）'!$C$8="",'設定（最初に1回）'!$C$8&lt;=0),"",MAX(0,$N25)/'設定（最初に1回）'!$C$8)</f>
        <v>1.19672131147541</v>
      </c>
      <c r="P25" s="143" t="n">
        <f aca="false">IF($C25="","",IFERROR(INDEX(商品マスタ!$M$6:$N$1005,MATCH($C25,商品マスタ!$B$6:$B$1005,0),MATCH("PI値 "&amp;'設定（最初に1回）'!$C$11,商品マスタ!$M$5:$N$5,0)),""))</f>
        <v>1.5</v>
      </c>
      <c r="Q25" s="143" t="n">
        <f aca="false">IF(OR($C25="",$P25="",$P25=0,(N($I25)+N($AG25))&lt;=0),"",IFERROR(SUMIFS(随時_動員を入れる!$G$8:$G$97,随時_動員を入れる!$B$8:$B$97,"&gt;="&amp;'設定（最初に1回）'!$C$6,随時_動員を入れる!$B$8:$B$97,"&lt;="&amp;'設定（最初に1回）'!$C$6+(N($I25)+N($AG25))-1)/(N($I25)+N($AG25)),0)*$P25/100)</f>
        <v>56.1081818181818</v>
      </c>
      <c r="R25" s="69" t="n">
        <f aca="false">IF($C25="","",SUMIFS(①今日の在庫を貼る!$O$6:$O$10005,①今日の在庫を貼る!$B$6:$B$10005,'設定（最初に1回）'!$C$4,①今日の在庫を貼る!$I$6:$I$10005,$C25))</f>
        <v>0</v>
      </c>
      <c r="S25" s="143" t="n">
        <f aca="false">IF($C25="","",IF('設定（最初に1回）'!$C$9="実績消費",N($O25),IF('設定（最初に1回）'!$C$9="PI値予測",N($Q25),MAX(N($O25),N($Q25)))))</f>
        <v>1.19672131147541</v>
      </c>
      <c r="T25" s="67" t="n">
        <f aca="false">IF(OR($S25="",$S25&lt;=0),"",$K25/$S25)</f>
        <v>60.1643835616438</v>
      </c>
      <c r="U25" s="69" t="n">
        <f aca="false">IF($S25="","",ROUNDUP(N($S25)*'設定（最初に1回）'!$C$12,0))</f>
        <v>5</v>
      </c>
      <c r="V25" s="69" t="n">
        <f aca="false">IF($C25="","",ROUNDUP(N($S25)*(N($I25)+N($AG25))+N($U25),0))</f>
        <v>19</v>
      </c>
      <c r="W25" s="69" t="n">
        <f aca="false">IF($C25="","",SUMIFS(発注管理!$L$6:$L$1005,発注管理!$C$6:$C$1005,'設定（最初に1回）'!$C$4,発注管理!$F$6:$F$1005,$C25,発注管理!$Q$6:$Q$1005,"発注済"))</f>
        <v>0</v>
      </c>
      <c r="X25" s="69" t="n">
        <f aca="false">IF($C25="","",MAX(0,N($V25)-N($K25)-N($W25)))</f>
        <v>0</v>
      </c>
      <c r="Y25" s="147" t="n">
        <f aca="false">IF($C25="","",IF(N($X25)&lt;=0,0,CEILING($X25/MAX(1,N($G25)),MAX(1,N($J25)))))</f>
        <v>0</v>
      </c>
      <c r="Z25" s="138" t="str">
        <f aca="false">IF($C25="","",IF(N($Y25)&gt;0,"要発注","正常"))</f>
        <v>正常</v>
      </c>
      <c r="AA25" s="71" t="n">
        <f aca="false">IF($C25="","",N($K25)*N($H25))</f>
        <v>162288</v>
      </c>
      <c r="AB25" s="66" t="str">
        <f aca="false">IF($C25="","",_xlfn.TEXTJOIN(" / ",TRUE(),IF(COUNTIF(商品マスタ!$B$6:$B$1005,$C25)=0,"マスタ未登録",""),IF(COUNTIFS(月1回_前回の在庫を貼る!$B$6:$B$10005,'設定（最初に1回）'!$C$4,月1回_前回の在庫を貼る!$I$6:$I$10005,$C25)=0,"新商品",""),IF(COUNTIFS(①今日の在庫を貼る!$B$6:$B$10005,'設定（最初に1回）'!$C$4,①今日の在庫を貼る!$I$6:$I$10005,$C25)=0,"終売候補",""),IF(N($K25)&lt;0,"在庫マイナス",""),IF(AND('設定（最初に1回）'!$C$9="PI値予測",$P25=""),"PI値未設定","")))</f>
        <v/>
      </c>
      <c r="AC25" s="71" t="n">
        <f aca="false">N($Y25)*N($H25)</f>
        <v>0</v>
      </c>
      <c r="AD25" s="66" t="str">
        <f aca="false">IF($C25="","",IFERROR(INDEX(商品マスタ!$K$6:$K$1005,MATCH($C25,商品マスタ!$B$6:$B$1005,0)),"常温"))</f>
        <v>常温</v>
      </c>
      <c r="AE25" s="69" t="n">
        <f aca="false">IF($C25="","",MAX(0,ROUNDUP(N($K25)/MAX(1,N($G25)),0)))</f>
        <v>72</v>
      </c>
      <c r="AF25" s="66" t="str">
        <f aca="false">IF($C25="","",IFERROR(INDEX(商品マスタ!$L$6:$L$1005,MATCH($C25,商品マスタ!$B$6:$B$1005,0)),""))</f>
        <v>その他常温</v>
      </c>
      <c r="AG25" s="143" t="n">
        <f aca="false">IF($C25="","",IFERROR(INDEX(定数マスタ!$S$110:$S$119,MATCH($AF25,定数マスタ!$J$110:$J$119,0)),N('設定（最初に1回）'!$C$13)))</f>
        <v>7</v>
      </c>
      <c r="AH25" s="66" t="n">
        <f aca="false">IF(AND(N($K25)&gt;0,N($Y25)&gt;0),N($Y25),0)</f>
        <v>0</v>
      </c>
    </row>
    <row r="26" customFormat="false" ht="15" hidden="false" customHeight="false" outlineLevel="0" collapsed="false">
      <c r="B26" s="66" t="n">
        <v>21</v>
      </c>
      <c r="C26" s="66" t="str">
        <f aca="false">IFERROR(IF($B26&lt;=MAX(①今日の在庫を貼る!$U$6:$U$10005),INDEX(①今日の在庫を貼る!$I$6:$I$10005,MATCH($B26,①今日の在庫を貼る!$U$6:$U$10005,0)),INDEX(月1回_前回の在庫を貼る!$I$6:$I$10005,MATCH($B26-MAX(①今日の在庫を貼る!$U$6:$U$10005),月1回_前回の在庫を貼る!$U$6:$U$10005,0))),"")</f>
        <v>1812000008066</v>
      </c>
      <c r="D26" s="66" t="str">
        <f aca="false">IF($C26="","",IFERROR(INDEX(商品マスタ!$C$6:$C$1005,MATCH($C26,商品マスタ!$B$6:$B$1005,0)),IFERROR(INDEX(①今日の在庫を貼る!$J$6:$J$10005,MATCH($C26,①今日の在庫を貼る!$I$6:$I$10005,0)),IFERROR(INDEX(月1回_前回の在庫を貼る!$J$6:$J$10005,MATCH($C26,月1回_前回の在庫を貼る!$I$6:$I$10005,0)),""))))</f>
        <v>ココアカントリーＫオフパウダー</v>
      </c>
      <c r="E26" s="66" t="str">
        <f aca="false">IF($C26="","",IFERROR(INDEX(商品マスタ!$D$6:$D$1005,MATCH($C26,商品マスタ!$B$6:$B$1005,0)),IFERROR(INDEX(①今日の在庫を貼る!$H$6:$H$10005,MATCH($C26,①今日の在庫を貼る!$I$6:$I$10005,0)),IFERROR(INDEX(月1回_前回の在庫を貼る!$H$6:$H$10005,MATCH($C26,月1回_前回の在庫を貼る!$I$6:$I$10005,0)),""))))</f>
        <v>ホット</v>
      </c>
      <c r="F26" s="66" t="str">
        <f aca="false">IF($C26="","",IFERROR(INDEX(商品マスタ!$E$6:$E$1005,MATCH($C26,商品マスタ!$B$6:$B$1005,0)),IFERROR(INDEX(①今日の在庫を貼る!$E$6:$E$10005,MATCH($C26,①今日の在庫を貼る!$I$6:$I$10005,0)),IFERROR(INDEX(月1回_前回の在庫を貼る!$E$6:$E$10005,MATCH($C26,月1回_前回の在庫を貼る!$I$6:$I$10005,0)),""))))</f>
        <v>オザックス株式会社</v>
      </c>
      <c r="G26" s="69" t="n">
        <f aca="false">IF($C26="","",IFERROR(INDEX(商品マスタ!$F$6:$F$1005,MATCH($C26,商品マスタ!$B$6:$B$1005,0)),IFERROR(INDEX(①今日の在庫を貼る!$K$6:$K$10005,MATCH($C26,①今日の在庫を貼る!$I$6:$I$10005,0)),IFERROR(INDEX(月1回_前回の在庫を貼る!$K$6:$K$10005,MATCH($C26,月1回_前回の在庫を貼る!$I$6:$I$10005,0)),""))))</f>
        <v>1</v>
      </c>
      <c r="H26" s="71" t="n">
        <f aca="false">IF($C26="","",IFERROR(INDEX(商品マスタ!$G$6:$G$1005,MATCH($C26,商品マスタ!$B$6:$B$1005,0)),IFERROR(INDEX(①今日の在庫を貼る!$Q$6:$Q$10005,MATCH($C26,①今日の在庫を貼る!$I$6:$I$10005,0)),IFERROR(INDEX(月1回_前回の在庫を貼る!$Q$6:$Q$10005,MATCH($C26,月1回_前回の在庫を貼る!$I$6:$I$10005,0)),""))))</f>
        <v>2309</v>
      </c>
      <c r="I26" s="66" t="n">
        <f aca="false">IF($C26="","",IFERROR(INDEX(商品マスタ!$H$6:$H$1005,MATCH($C26,商品マスタ!$B$6:$B$1005,0)),3))</f>
        <v>5</v>
      </c>
      <c r="J26" s="66" t="n">
        <f aca="false">IF($C26="","",MAX(1,IFERROR(INDEX(商品マスタ!$I$6:$I$1005,MATCH($C26,商品マスタ!$B$6:$B$1005,0)),1)))</f>
        <v>5</v>
      </c>
      <c r="K26" s="69" t="n">
        <f aca="false">IF($C26="","",SUMIFS(①今日の在庫を貼る!$N$6:$N$10005,①今日の在庫を貼る!$B$6:$B$10005,'設定（最初に1回）'!$C$4,①今日の在庫を貼る!$I$6:$I$10005,$C26))</f>
        <v>27</v>
      </c>
      <c r="L26" s="69" t="n">
        <f aca="false">IF($C26="","",SUMIFS(月1回_前回の在庫を貼る!$N$6:$N$10005,月1回_前回の在庫を貼る!$B$6:$B$10005,'設定（最初に1回）'!$C$4,月1回_前回の在庫を貼る!$I$6:$I$10005,$C26))</f>
        <v>42</v>
      </c>
      <c r="M26" s="69" t="n">
        <f aca="false">IF($C26="","",IF(OR('設定（最初に1回）'!$C$6="",'設定（最初に1回）'!$C$7=""),0,SUMIFS(発注管理!$S$6:$S$1005,発注管理!$C$6:$C$1005,'設定（最初に1回）'!$C$4,発注管理!$F$6:$F$1005,$C26,発注管理!$R$6:$R$1005,"&gt;="&amp;'設定（最初に1回）'!$C$7,発注管理!$R$6:$R$1005,"&lt;="&amp;'設定（最初に1回）'!$C$6)))</f>
        <v>0</v>
      </c>
      <c r="N26" s="69" t="n">
        <f aca="false">IF(OR($C26="",'設定（最初に1回）'!$C$15=0),"",$L26+$M26-$K26)</f>
        <v>15</v>
      </c>
      <c r="O26" s="143" t="n">
        <f aca="false">IF(OR($N26="",'設定（最初に1回）'!$C$8="",'設定（最初に1回）'!$C$8&lt;=0),"",MAX(0,$N26)/'設定（最初に1回）'!$C$8)</f>
        <v>0.245901639344262</v>
      </c>
      <c r="P26" s="143" t="n">
        <f aca="false">IF($C26="","",IFERROR(INDEX(商品マスタ!$M$6:$N$1005,MATCH($C26,商品マスタ!$B$6:$B$1005,0),MATCH("PI値 "&amp;'設定（最初に1回）'!$C$11,商品マスタ!$M$5:$N$5,0)),""))</f>
        <v>1.8</v>
      </c>
      <c r="Q26" s="143" t="n">
        <f aca="false">IF(OR($C26="",$P26="",$P26=0,(N($I26)+N($AG26))&lt;=0),"",IFERROR(SUMIFS(随時_動員を入れる!$G$8:$G$97,随時_動員を入れる!$B$8:$B$97,"&gt;="&amp;'設定（最初に1回）'!$C$6,随時_動員を入れる!$B$8:$B$97,"&lt;="&amp;'設定（最初に1回）'!$C$6+(N($I26)+N($AG26))-1)/(N($I26)+N($AG26)),0)*$P26/100)</f>
        <v>63.7065</v>
      </c>
      <c r="R26" s="69" t="n">
        <f aca="false">IF($C26="","",SUMIFS(①今日の在庫を貼る!$O$6:$O$10005,①今日の在庫を貼る!$B$6:$B$10005,'設定（最初に1回）'!$C$4,①今日の在庫を貼る!$I$6:$I$10005,$C26))</f>
        <v>0</v>
      </c>
      <c r="S26" s="143" t="n">
        <f aca="false">IF($C26="","",IF('設定（最初に1回）'!$C$9="実績消費",N($O26),IF('設定（最初に1回）'!$C$9="PI値予測",N($Q26),MAX(N($O26),N($Q26)))))</f>
        <v>0.245901639344262</v>
      </c>
      <c r="T26" s="67" t="n">
        <f aca="false">IF(OR($S26="",$S26&lt;=0),"",$K26/$S26)</f>
        <v>109.8</v>
      </c>
      <c r="U26" s="69" t="n">
        <f aca="false">IF($S26="","",ROUNDUP(N($S26)*'設定（最初に1回）'!$C$12,0))</f>
        <v>1</v>
      </c>
      <c r="V26" s="69" t="n">
        <f aca="false">IF($C26="","",ROUNDUP(N($S26)*(N($I26)+N($AG26))+N($U26),0))</f>
        <v>4</v>
      </c>
      <c r="W26" s="69" t="n">
        <f aca="false">IF($C26="","",SUMIFS(発注管理!$L$6:$L$1005,発注管理!$C$6:$C$1005,'設定（最初に1回）'!$C$4,発注管理!$F$6:$F$1005,$C26,発注管理!$Q$6:$Q$1005,"発注済"))</f>
        <v>0</v>
      </c>
      <c r="X26" s="69" t="n">
        <f aca="false">IF($C26="","",MAX(0,N($V26)-N($K26)-N($W26)))</f>
        <v>0</v>
      </c>
      <c r="Y26" s="147" t="n">
        <f aca="false">IF($C26="","",IF(N($X26)&lt;=0,0,CEILING($X26/MAX(1,N($G26)),MAX(1,N($J26)))))</f>
        <v>0</v>
      </c>
      <c r="Z26" s="138" t="str">
        <f aca="false">IF($C26="","",IF(N($Y26)&gt;0,"要発注","正常"))</f>
        <v>正常</v>
      </c>
      <c r="AA26" s="71" t="n">
        <f aca="false">IF($C26="","",N($K26)*N($H26))</f>
        <v>62343</v>
      </c>
      <c r="AB26" s="66" t="str">
        <f aca="false">IF($C26="","",_xlfn.TEXTJOIN(" / ",TRUE(),IF(COUNTIF(商品マスタ!$B$6:$B$1005,$C26)=0,"マスタ未登録",""),IF(COUNTIFS(月1回_前回の在庫を貼る!$B$6:$B$10005,'設定（最初に1回）'!$C$4,月1回_前回の在庫を貼る!$I$6:$I$10005,$C26)=0,"新商品",""),IF(COUNTIFS(①今日の在庫を貼る!$B$6:$B$10005,'設定（最初に1回）'!$C$4,①今日の在庫を貼る!$I$6:$I$10005,$C26)=0,"終売候補",""),IF(N($K26)&lt;0,"在庫マイナス",""),IF(AND('設定（最初に1回）'!$C$9="PI値予測",$P26=""),"PI値未設定","")))</f>
        <v/>
      </c>
      <c r="AC26" s="71" t="n">
        <f aca="false">N($Y26)*N($H26)</f>
        <v>0</v>
      </c>
      <c r="AD26" s="66" t="str">
        <f aca="false">IF($C26="","",IFERROR(INDEX(商品マスタ!$K$6:$K$1005,MATCH($C26,商品マスタ!$B$6:$B$1005,0)),"常温"))</f>
        <v>常温</v>
      </c>
      <c r="AE26" s="69" t="n">
        <f aca="false">IF($C26="","",MAX(0,ROUNDUP(N($K26)/MAX(1,N($G26)),0)))</f>
        <v>27</v>
      </c>
      <c r="AF26" s="66" t="str">
        <f aca="false">IF($C26="","",IFERROR(INDEX(商品マスタ!$L$6:$L$1005,MATCH($C26,商品マスタ!$B$6:$B$1005,0)),""))</f>
        <v>その他常温</v>
      </c>
      <c r="AG26" s="143" t="n">
        <f aca="false">IF($C26="","",IFERROR(INDEX(定数マスタ!$S$110:$S$119,MATCH($AF26,定数マスタ!$J$110:$J$119,0)),N('設定（最初に1回）'!$C$13)))</f>
        <v>7</v>
      </c>
      <c r="AH26" s="66" t="n">
        <f aca="false">IF(AND(N($K26)&gt;0,N($Y26)&gt;0),N($Y26),0)</f>
        <v>0</v>
      </c>
    </row>
    <row r="27" customFormat="false" ht="15" hidden="false" customHeight="false" outlineLevel="0" collapsed="false">
      <c r="B27" s="66" t="n">
        <v>22</v>
      </c>
      <c r="C27" s="66" t="str">
        <f aca="false">IFERROR(IF($B27&lt;=MAX(①今日の在庫を貼る!$U$6:$U$10005),INDEX(①今日の在庫を貼る!$I$6:$I$10005,MATCH($B27,①今日の在庫を貼る!$U$6:$U$10005,0)),INDEX(月1回_前回の在庫を貼る!$I$6:$I$10005,MATCH($B27-MAX(①今日の在庫を貼る!$U$6:$U$10005),月1回_前回の在庫を貼る!$U$6:$U$10005,0))),"")</f>
        <v>4902102119146</v>
      </c>
      <c r="D27" s="66" t="str">
        <f aca="false">IF($C27="","",IFERROR(INDEX(商品マスタ!$C$6:$C$1005,MATCH($C27,商品マスタ!$B$6:$B$1005,0)),IFERROR(INDEX(①今日の在庫を貼る!$J$6:$J$10005,MATCH($C27,①今日の在庫を貼る!$I$6:$I$10005,0)),IFERROR(INDEX(月1回_前回の在庫を貼る!$J$6:$J$10005,MATCH($C27,月1回_前回の在庫を貼る!$I$6:$I$10005,0)),""))))</f>
        <v>ミレイユ抹茶オレ　パウダー</v>
      </c>
      <c r="E27" s="66" t="str">
        <f aca="false">IF($C27="","",IFERROR(INDEX(商品マスタ!$D$6:$D$1005,MATCH($C27,商品マスタ!$B$6:$B$1005,0)),IFERROR(INDEX(①今日の在庫を貼る!$H$6:$H$10005,MATCH($C27,①今日の在庫を貼る!$I$6:$I$10005,0)),IFERROR(INDEX(月1回_前回の在庫を貼る!$H$6:$H$10005,MATCH($C27,月1回_前回の在庫を貼る!$I$6:$I$10005,0)),""))))</f>
        <v>ホット</v>
      </c>
      <c r="F27" s="66" t="str">
        <f aca="false">IF($C27="","",IFERROR(INDEX(商品マスタ!$E$6:$E$1005,MATCH($C27,商品マスタ!$B$6:$B$1005,0)),IFERROR(INDEX(①今日の在庫を貼る!$E$6:$E$10005,MATCH($C27,①今日の在庫を貼る!$I$6:$I$10005,0)),IFERROR(INDEX(月1回_前回の在庫を貼る!$E$6:$E$10005,MATCH($C27,月1回_前回の在庫を貼る!$I$6:$I$10005,0)),""))))</f>
        <v>オザックス株式会社</v>
      </c>
      <c r="G27" s="69" t="n">
        <f aca="false">IF($C27="","",IFERROR(INDEX(商品マスタ!$F$6:$F$1005,MATCH($C27,商品マスタ!$B$6:$B$1005,0)),IFERROR(INDEX(①今日の在庫を貼る!$K$6:$K$10005,MATCH($C27,①今日の在庫を貼る!$I$6:$I$10005,0)),IFERROR(INDEX(月1回_前回の在庫を貼る!$K$6:$K$10005,MATCH($C27,月1回_前回の在庫を貼る!$I$6:$I$10005,0)),""))))</f>
        <v>1</v>
      </c>
      <c r="H27" s="71" t="n">
        <f aca="false">IF($C27="","",IFERROR(INDEX(商品マスタ!$G$6:$G$1005,MATCH($C27,商品マスタ!$B$6:$B$1005,0)),IFERROR(INDEX(①今日の在庫を貼る!$Q$6:$Q$10005,MATCH($C27,①今日の在庫を貼る!$I$6:$I$10005,0)),IFERROR(INDEX(月1回_前回の在庫を貼る!$Q$6:$Q$10005,MATCH($C27,月1回_前回の在庫を貼る!$I$6:$I$10005,0)),""))))</f>
        <v>2705</v>
      </c>
      <c r="I27" s="66" t="n">
        <f aca="false">IF($C27="","",IFERROR(INDEX(商品マスタ!$H$6:$H$1005,MATCH($C27,商品マスタ!$B$6:$B$1005,0)),3))</f>
        <v>2</v>
      </c>
      <c r="J27" s="66" t="n">
        <f aca="false">IF($C27="","",MAX(1,IFERROR(INDEX(商品マスタ!$I$6:$I$1005,MATCH($C27,商品マスタ!$B$6:$B$1005,0)),1)))</f>
        <v>5</v>
      </c>
      <c r="K27" s="69" t="n">
        <f aca="false">IF($C27="","",SUMIFS(①今日の在庫を貼る!$N$6:$N$10005,①今日の在庫を貼る!$B$6:$B$10005,'設定（最初に1回）'!$C$4,①今日の在庫を貼る!$I$6:$I$10005,$C27))</f>
        <v>28</v>
      </c>
      <c r="L27" s="69" t="n">
        <f aca="false">IF($C27="","",SUMIFS(月1回_前回の在庫を貼る!$N$6:$N$10005,月1回_前回の在庫を貼る!$B$6:$B$10005,'設定（最初に1回）'!$C$4,月1回_前回の在庫を貼る!$I$6:$I$10005,$C27))</f>
        <v>50</v>
      </c>
      <c r="M27" s="69" t="n">
        <f aca="false">IF($C27="","",IF(OR('設定（最初に1回）'!$C$6="",'設定（最初に1回）'!$C$7=""),0,SUMIFS(発注管理!$S$6:$S$1005,発注管理!$C$6:$C$1005,'設定（最初に1回）'!$C$4,発注管理!$F$6:$F$1005,$C27,発注管理!$R$6:$R$1005,"&gt;="&amp;'設定（最初に1回）'!$C$7,発注管理!$R$6:$R$1005,"&lt;="&amp;'設定（最初に1回）'!$C$6)))</f>
        <v>0</v>
      </c>
      <c r="N27" s="69" t="n">
        <f aca="false">IF(OR($C27="",'設定（最初に1回）'!$C$15=0),"",$L27+$M27-$K27)</f>
        <v>22</v>
      </c>
      <c r="O27" s="143" t="n">
        <f aca="false">IF(OR($N27="",'設定（最初に1回）'!$C$8="",'設定（最初に1回）'!$C$8&lt;=0),"",MAX(0,$N27)/'設定（最初に1回）'!$C$8)</f>
        <v>0.360655737704918</v>
      </c>
      <c r="P27" s="143" t="n">
        <f aca="false">IF($C27="","",IFERROR(INDEX(商品マスタ!$M$6:$N$1005,MATCH($C27,商品マスタ!$B$6:$B$1005,0),MATCH("PI値 "&amp;'設定（最初に1回）'!$C$11,商品マスタ!$M$5:$N$5,0)),""))</f>
        <v>1.2</v>
      </c>
      <c r="Q27" s="143" t="n">
        <f aca="false">IF(OR($C27="",$P27="",$P27=0,(N($I27)+N($AG27))&lt;=0),"",IFERROR(SUMIFS(随時_動員を入れる!$G$8:$G$97,随時_動員を入れる!$B$8:$B$97,"&gt;="&amp;'設定（最初に1回）'!$C$6,随時_動員を入れる!$B$8:$B$97,"&lt;="&amp;'設定（最初に1回）'!$C$6+(N($I27)+N($AG27))-1)/(N($I27)+N($AG27)),0)*$P27/100)</f>
        <v>46.0946666666667</v>
      </c>
      <c r="R27" s="69" t="n">
        <f aca="false">IF($C27="","",SUMIFS(①今日の在庫を貼る!$O$6:$O$10005,①今日の在庫を貼る!$B$6:$B$10005,'設定（最初に1回）'!$C$4,①今日の在庫を貼る!$I$6:$I$10005,$C27))</f>
        <v>0</v>
      </c>
      <c r="S27" s="143" t="n">
        <f aca="false">IF($C27="","",IF('設定（最初に1回）'!$C$9="実績消費",N($O27),IF('設定（最初に1回）'!$C$9="PI値予測",N($Q27),MAX(N($O27),N($Q27)))))</f>
        <v>0.360655737704918</v>
      </c>
      <c r="T27" s="67" t="n">
        <f aca="false">IF(OR($S27="",$S27&lt;=0),"",$K27/$S27)</f>
        <v>77.6363636363636</v>
      </c>
      <c r="U27" s="69" t="n">
        <f aca="false">IF($S27="","",ROUNDUP(N($S27)*'設定（最初に1回）'!$C$12,0))</f>
        <v>2</v>
      </c>
      <c r="V27" s="69" t="n">
        <f aca="false">IF($C27="","",ROUNDUP(N($S27)*(N($I27)+N($AG27))+N($U27),0))</f>
        <v>6</v>
      </c>
      <c r="W27" s="69" t="n">
        <f aca="false">IF($C27="","",SUMIFS(発注管理!$L$6:$L$1005,発注管理!$C$6:$C$1005,'設定（最初に1回）'!$C$4,発注管理!$F$6:$F$1005,$C27,発注管理!$Q$6:$Q$1005,"発注済"))</f>
        <v>0</v>
      </c>
      <c r="X27" s="69" t="n">
        <f aca="false">IF($C27="","",MAX(0,N($V27)-N($K27)-N($W27)))</f>
        <v>0</v>
      </c>
      <c r="Y27" s="147" t="n">
        <f aca="false">IF($C27="","",IF(N($X27)&lt;=0,0,CEILING($X27/MAX(1,N($G27)),MAX(1,N($J27)))))</f>
        <v>0</v>
      </c>
      <c r="Z27" s="138" t="str">
        <f aca="false">IF($C27="","",IF(N($Y27)&gt;0,"要発注","正常"))</f>
        <v>正常</v>
      </c>
      <c r="AA27" s="71" t="n">
        <f aca="false">IF($C27="","",N($K27)*N($H27))</f>
        <v>75740</v>
      </c>
      <c r="AB27" s="66" t="str">
        <f aca="false">IF($C27="","",_xlfn.TEXTJOIN(" / ",TRUE(),IF(COUNTIF(商品マスタ!$B$6:$B$1005,$C27)=0,"マスタ未登録",""),IF(COUNTIFS(月1回_前回の在庫を貼る!$B$6:$B$10005,'設定（最初に1回）'!$C$4,月1回_前回の在庫を貼る!$I$6:$I$10005,$C27)=0,"新商品",""),IF(COUNTIFS(①今日の在庫を貼る!$B$6:$B$10005,'設定（最初に1回）'!$C$4,①今日の在庫を貼る!$I$6:$I$10005,$C27)=0,"終売候補",""),IF(N($K27)&lt;0,"在庫マイナス",""),IF(AND('設定（最初に1回）'!$C$9="PI値予測",$P27=""),"PI値未設定","")))</f>
        <v/>
      </c>
      <c r="AC27" s="71" t="n">
        <f aca="false">N($Y27)*N($H27)</f>
        <v>0</v>
      </c>
      <c r="AD27" s="66" t="str">
        <f aca="false">IF($C27="","",IFERROR(INDEX(商品マスタ!$K$6:$K$1005,MATCH($C27,商品マスタ!$B$6:$B$1005,0)),"常温"))</f>
        <v>常温</v>
      </c>
      <c r="AE27" s="69" t="n">
        <f aca="false">IF($C27="","",MAX(0,ROUNDUP(N($K27)/MAX(1,N($G27)),0)))</f>
        <v>28</v>
      </c>
      <c r="AF27" s="66" t="str">
        <f aca="false">IF($C27="","",IFERROR(INDEX(商品マスタ!$L$6:$L$1005,MATCH($C27,商品マスタ!$B$6:$B$1005,0)),""))</f>
        <v>その他常温</v>
      </c>
      <c r="AG27" s="143" t="n">
        <f aca="false">IF($C27="","",IFERROR(INDEX(定数マスタ!$S$110:$S$119,MATCH($AF27,定数マスタ!$J$110:$J$119,0)),N('設定（最初に1回）'!$C$13)))</f>
        <v>7</v>
      </c>
      <c r="AH27" s="66" t="n">
        <f aca="false">IF(AND(N($K27)&gt;0,N($Y27)&gt;0),N($Y27),0)</f>
        <v>0</v>
      </c>
    </row>
    <row r="28" customFormat="false" ht="15" hidden="false" customHeight="false" outlineLevel="0" collapsed="false">
      <c r="B28" s="66" t="n">
        <v>23</v>
      </c>
      <c r="C28" s="66" t="str">
        <f aca="false">IFERROR(IF($B28&lt;=MAX(①今日の在庫を貼る!$U$6:$U$10005),INDEX(①今日の在庫を貼る!$I$6:$I$10005,MATCH($B28,①今日の在庫を貼る!$U$6:$U$10005,0)),INDEX(月1回_前回の在庫を貼る!$I$6:$I$10005,MATCH($B28-MAX(①今日の在庫を貼る!$U$6:$U$10005),月1回_前回の在庫を貼る!$U$6:$U$10005,0))),"")</f>
        <v>1812000010496</v>
      </c>
      <c r="D28" s="66" t="str">
        <f aca="false">IF($C28="","",IFERROR(INDEX(商品マスタ!$C$6:$C$1005,MATCH($C28,商品マスタ!$B$6:$B$1005,0)),IFERROR(INDEX(①今日の在庫を貼る!$J$6:$J$10005,MATCH($C28,①今日の在庫を貼る!$I$6:$I$10005,0)),IFERROR(INDEX(月1回_前回の在庫を貼る!$J$6:$J$10005,MATCH($C28,月1回_前回の在庫を貼る!$I$6:$I$10005,0)),""))))</f>
        <v>台湾レモン　ナタデココ　入り</v>
      </c>
      <c r="E28" s="66" t="str">
        <f aca="false">IF($C28="","",IFERROR(INDEX(商品マスタ!$D$6:$D$1005,MATCH($C28,商品マスタ!$B$6:$B$1005,0)),IFERROR(INDEX(①今日の在庫を貼る!$H$6:$H$10005,MATCH($C28,①今日の在庫を貼る!$I$6:$I$10005,0)),IFERROR(INDEX(月1回_前回の在庫を貼る!$H$6:$H$10005,MATCH($C28,月1回_前回の在庫を貼る!$I$6:$I$10005,0)),""))))</f>
        <v>その他ドリンク</v>
      </c>
      <c r="F28" s="66" t="str">
        <f aca="false">IF($C28="","",IFERROR(INDEX(商品マスタ!$E$6:$E$1005,MATCH($C28,商品マスタ!$B$6:$B$1005,0)),IFERROR(INDEX(①今日の在庫を貼る!$E$6:$E$10005,MATCH($C28,①今日の在庫を貼る!$I$6:$I$10005,0)),IFERROR(INDEX(月1回_前回の在庫を貼る!$E$6:$E$10005,MATCH($C28,月1回_前回の在庫を貼る!$I$6:$I$10005,0)),""))))</f>
        <v>オザックス株式会社</v>
      </c>
      <c r="G28" s="69" t="n">
        <f aca="false">IF($C28="","",IFERROR(INDEX(商品マスタ!$F$6:$F$1005,MATCH($C28,商品マスタ!$B$6:$B$1005,0)),IFERROR(INDEX(①今日の在庫を貼る!$K$6:$K$10005,MATCH($C28,①今日の在庫を貼る!$I$6:$I$10005,0)),IFERROR(INDEX(月1回_前回の在庫を貼る!$K$6:$K$10005,MATCH($C28,月1回_前回の在庫を貼る!$I$6:$I$10005,0)),""))))</f>
        <v>120</v>
      </c>
      <c r="H28" s="71" t="n">
        <f aca="false">IF($C28="","",IFERROR(INDEX(商品マスタ!$G$6:$G$1005,MATCH($C28,商品マスタ!$B$6:$B$1005,0)),IFERROR(INDEX(①今日の在庫を貼る!$Q$6:$Q$10005,MATCH($C28,①今日の在庫を貼る!$I$6:$I$10005,0)),IFERROR(INDEX(月1回_前回の在庫を貼る!$Q$6:$Q$10005,MATCH($C28,月1回_前回の在庫を貼る!$I$6:$I$10005,0)),""))))</f>
        <v>142</v>
      </c>
      <c r="I28" s="66" t="n">
        <f aca="false">IF($C28="","",IFERROR(INDEX(商品マスタ!$H$6:$H$1005,MATCH($C28,商品マスタ!$B$6:$B$1005,0)),3))</f>
        <v>7</v>
      </c>
      <c r="J28" s="66" t="n">
        <f aca="false">IF($C28="","",MAX(1,IFERROR(INDEX(商品マスタ!$I$6:$I$1005,MATCH($C28,商品マスタ!$B$6:$B$1005,0)),1)))</f>
        <v>2</v>
      </c>
      <c r="K28" s="69" t="n">
        <f aca="false">IF($C28="","",SUMIFS(①今日の在庫を貼る!$N$6:$N$10005,①今日の在庫を貼る!$B$6:$B$10005,'設定（最初に1回）'!$C$4,①今日の在庫を貼る!$I$6:$I$10005,$C28))</f>
        <v>253</v>
      </c>
      <c r="L28" s="69" t="n">
        <f aca="false">IF($C28="","",SUMIFS(月1回_前回の在庫を貼る!$N$6:$N$10005,月1回_前回の在庫を貼る!$B$6:$B$10005,'設定（最初に1回）'!$C$4,月1回_前回の在庫を貼る!$I$6:$I$10005,$C28))</f>
        <v>586</v>
      </c>
      <c r="M28" s="69" t="n">
        <f aca="false">IF($C28="","",IF(OR('設定（最初に1回）'!$C$6="",'設定（最初に1回）'!$C$7=""),0,SUMIFS(発注管理!$S$6:$S$1005,発注管理!$C$6:$C$1005,'設定（最初に1回）'!$C$4,発注管理!$F$6:$F$1005,$C28,発注管理!$R$6:$R$1005,"&gt;="&amp;'設定（最初に1回）'!$C$7,発注管理!$R$6:$R$1005,"&lt;="&amp;'設定（最初に1回）'!$C$6)))</f>
        <v>0</v>
      </c>
      <c r="N28" s="69" t="n">
        <f aca="false">IF(OR($C28="",'設定（最初に1回）'!$C$15=0),"",$L28+$M28-$K28)</f>
        <v>333</v>
      </c>
      <c r="O28" s="143" t="n">
        <f aca="false">IF(OR($N28="",'設定（最初に1回）'!$C$8="",'設定（最初に1回）'!$C$8&lt;=0),"",MAX(0,$N28)/'設定（最初に1回）'!$C$8)</f>
        <v>5.45901639344262</v>
      </c>
      <c r="P28" s="143" t="n">
        <f aca="false">IF($C28="","",IFERROR(INDEX(商品マスタ!$M$6:$N$1005,MATCH($C28,商品マスタ!$B$6:$B$1005,0),MATCH("PI値 "&amp;'設定（最初に1回）'!$C$11,商品マスタ!$M$5:$N$5,0)),""))</f>
        <v>3.2</v>
      </c>
      <c r="Q28" s="143" t="n">
        <f aca="false">IF(OR($C28="",$P28="",$P28=0,(N($I28)+N($AG28))&lt;=0),"",IFERROR(SUMIFS(随時_動員を入れる!$G$8:$G$97,随時_動員を入れる!$B$8:$B$97,"&gt;="&amp;'設定（最初に1回）'!$C$6,随時_動員を入れる!$B$8:$B$97,"&lt;="&amp;'設定（最初に1回）'!$C$6+(N($I28)+N($AG28))-1)/(N($I28)+N($AG28)),0)*$P28/100)</f>
        <v>118.953978494624</v>
      </c>
      <c r="R28" s="69" t="n">
        <f aca="false">IF($C28="","",SUMIFS(①今日の在庫を貼る!$O$6:$O$10005,①今日の在庫を貼る!$B$6:$B$10005,'設定（最初に1回）'!$C$4,①今日の在庫を貼る!$I$6:$I$10005,$C28))</f>
        <v>0</v>
      </c>
      <c r="S28" s="143" t="n">
        <f aca="false">IF($C28="","",IF('設定（最初に1回）'!$C$9="実績消費",N($O28),IF('設定（最初に1回）'!$C$9="PI値予測",N($Q28),MAX(N($O28),N($Q28)))))</f>
        <v>5.45901639344262</v>
      </c>
      <c r="T28" s="67" t="n">
        <f aca="false">IF(OR($S28="",$S28&lt;=0),"",$K28/$S28)</f>
        <v>46.3453453453454</v>
      </c>
      <c r="U28" s="69" t="n">
        <f aca="false">IF($S28="","",ROUNDUP(N($S28)*'設定（最初に1回）'!$C$12,0))</f>
        <v>22</v>
      </c>
      <c r="V28" s="69" t="n">
        <f aca="false">IF($C28="","",ROUNDUP(N($S28)*(N($I28)+N($AG28))+N($U28),0))</f>
        <v>73</v>
      </c>
      <c r="W28" s="69" t="n">
        <f aca="false">IF($C28="","",SUMIFS(発注管理!$L$6:$L$1005,発注管理!$C$6:$C$1005,'設定（最初に1回）'!$C$4,発注管理!$F$6:$F$1005,$C28,発注管理!$Q$6:$Q$1005,"発注済"))</f>
        <v>0</v>
      </c>
      <c r="X28" s="69" t="n">
        <f aca="false">IF($C28="","",MAX(0,N($V28)-N($K28)-N($W28)))</f>
        <v>0</v>
      </c>
      <c r="Y28" s="147" t="n">
        <f aca="false">IF($C28="","",IF(N($X28)&lt;=0,0,CEILING($X28/MAX(1,N($G28)),MAX(1,N($J28)))))</f>
        <v>0</v>
      </c>
      <c r="Z28" s="138" t="str">
        <f aca="false">IF($C28="","",IF(N($Y28)&gt;0,"要発注","正常"))</f>
        <v>正常</v>
      </c>
      <c r="AA28" s="71" t="n">
        <f aca="false">IF($C28="","",N($K28)*N($H28))</f>
        <v>35926</v>
      </c>
      <c r="AB28" s="66" t="str">
        <f aca="false">IF($C28="","",_xlfn.TEXTJOIN(" / ",TRUE(),IF(COUNTIF(商品マスタ!$B$6:$B$1005,$C28)=0,"マスタ未登録",""),IF(COUNTIFS(月1回_前回の在庫を貼る!$B$6:$B$10005,'設定（最初に1回）'!$C$4,月1回_前回の在庫を貼る!$I$6:$I$10005,$C28)=0,"新商品",""),IF(COUNTIFS(①今日の在庫を貼る!$B$6:$B$10005,'設定（最初に1回）'!$C$4,①今日の在庫を貼る!$I$6:$I$10005,$C28)=0,"終売候補",""),IF(N($K28)&lt;0,"在庫マイナス",""),IF(AND('設定（最初に1回）'!$C$9="PI値予測",$P28=""),"PI値未設定","")))</f>
        <v/>
      </c>
      <c r="AC28" s="71" t="n">
        <f aca="false">N($Y28)*N($H28)</f>
        <v>0</v>
      </c>
      <c r="AD28" s="66" t="str">
        <f aca="false">IF($C28="","",IFERROR(INDEX(商品マスタ!$K$6:$K$1005,MATCH($C28,商品マスタ!$B$6:$B$1005,0)),"常温"))</f>
        <v>冷蔵</v>
      </c>
      <c r="AE28" s="69" t="n">
        <f aca="false">IF($C28="","",MAX(0,ROUNDUP(N($K28)/MAX(1,N($G28)),0)))</f>
        <v>3</v>
      </c>
      <c r="AF28" s="66" t="str">
        <f aca="false">IF($C28="","",IFERROR(INDEX(商品マスタ!$L$6:$L$1005,MATCH($C28,商品マスタ!$B$6:$B$1005,0)),""))</f>
        <v>ドリンクシロップ</v>
      </c>
      <c r="AG28" s="143" t="n">
        <f aca="false">IF($C28="","",IFERROR(INDEX(定数マスタ!$S$110:$S$119,MATCH($AF28,定数マスタ!$J$110:$J$119,0)),N('設定（最初に1回）'!$C$13)))</f>
        <v>2.3</v>
      </c>
      <c r="AH28" s="66" t="n">
        <f aca="false">IF(AND(N($K28)&gt;0,N($Y28)&gt;0),N($Y28),0)</f>
        <v>0</v>
      </c>
    </row>
    <row r="29" customFormat="false" ht="15" hidden="false" customHeight="false" outlineLevel="0" collapsed="false">
      <c r="B29" s="66" t="n">
        <v>24</v>
      </c>
      <c r="C29" s="66" t="str">
        <f aca="false">IFERROR(IF($B29&lt;=MAX(①今日の在庫を貼る!$U$6:$U$10005),INDEX(①今日の在庫を貼る!$I$6:$I$10005,MATCH($B29,①今日の在庫を貼る!$U$6:$U$10005,0)),INDEX(月1回_前回の在庫を貼る!$I$6:$I$10005,MATCH($B29-MAX(①今日の在庫を貼る!$U$6:$U$10005),月1回_前回の在庫を貼る!$U$6:$U$10005,0))),"")</f>
        <v>1812000010779</v>
      </c>
      <c r="D29" s="66" t="str">
        <f aca="false">IF($C29="","",IFERROR(INDEX(商品マスタ!$C$6:$C$1005,MATCH($C29,商品マスタ!$B$6:$B$1005,0)),IFERROR(INDEX(①今日の在庫を貼る!$J$6:$J$10005,MATCH($C29,①今日の在庫を貼る!$I$6:$I$10005,0)),IFERROR(INDEX(月1回_前回の在庫を貼る!$J$6:$J$10005,MATCH($C29,月1回_前回の在庫を貼る!$I$6:$I$10005,0)),""))))</f>
        <v>黒糖ブラックタピオカ</v>
      </c>
      <c r="E29" s="66" t="str">
        <f aca="false">IF($C29="","",IFERROR(INDEX(商品マスタ!$D$6:$D$1005,MATCH($C29,商品マスタ!$B$6:$B$1005,0)),IFERROR(INDEX(①今日の在庫を貼る!$H$6:$H$10005,MATCH($C29,①今日の在庫を貼る!$I$6:$I$10005,0)),IFERROR(INDEX(月1回_前回の在庫を貼る!$H$6:$H$10005,MATCH($C29,月1回_前回の在庫を貼る!$I$6:$I$10005,0)),""))))</f>
        <v>その他ドリンク</v>
      </c>
      <c r="F29" s="66" t="str">
        <f aca="false">IF($C29="","",IFERROR(INDEX(商品マスタ!$E$6:$E$1005,MATCH($C29,商品マスタ!$B$6:$B$1005,0)),IFERROR(INDEX(①今日の在庫を貼る!$E$6:$E$10005,MATCH($C29,①今日の在庫を貼る!$I$6:$I$10005,0)),IFERROR(INDEX(月1回_前回の在庫を貼る!$E$6:$E$10005,MATCH($C29,月1回_前回の在庫を貼る!$I$6:$I$10005,0)),""))))</f>
        <v>オザックス株式会社</v>
      </c>
      <c r="G29" s="69" t="n">
        <f aca="false">IF($C29="","",IFERROR(INDEX(商品マスタ!$F$6:$F$1005,MATCH($C29,商品マスタ!$B$6:$B$1005,0)),IFERROR(INDEX(①今日の在庫を貼る!$K$6:$K$10005,MATCH($C29,①今日の在庫を貼る!$I$6:$I$10005,0)),IFERROR(INDEX(月1回_前回の在庫を貼る!$K$6:$K$10005,MATCH($C29,月1回_前回の在庫を貼る!$I$6:$I$10005,0)),""))))</f>
        <v>120</v>
      </c>
      <c r="H29" s="71" t="n">
        <f aca="false">IF($C29="","",IFERROR(INDEX(商品マスタ!$G$6:$G$1005,MATCH($C29,商品マスタ!$B$6:$B$1005,0)),IFERROR(INDEX(①今日の在庫を貼る!$Q$6:$Q$10005,MATCH($C29,①今日の在庫を貼る!$I$6:$I$10005,0)),IFERROR(INDEX(月1回_前回の在庫を貼る!$Q$6:$Q$10005,MATCH($C29,月1回_前回の在庫を貼る!$I$6:$I$10005,0)),""))))</f>
        <v>107</v>
      </c>
      <c r="I29" s="66" t="n">
        <f aca="false">IF($C29="","",IFERROR(INDEX(商品マスタ!$H$6:$H$1005,MATCH($C29,商品マスタ!$B$6:$B$1005,0)),3))</f>
        <v>7</v>
      </c>
      <c r="J29" s="66" t="n">
        <f aca="false">IF($C29="","",MAX(1,IFERROR(INDEX(商品マスタ!$I$6:$I$1005,MATCH($C29,商品マスタ!$B$6:$B$1005,0)),1)))</f>
        <v>1</v>
      </c>
      <c r="K29" s="69" t="n">
        <f aca="false">IF($C29="","",SUMIFS(①今日の在庫を貼る!$N$6:$N$10005,①今日の在庫を貼る!$B$6:$B$10005,'設定（最初に1回）'!$C$4,①今日の在庫を貼る!$I$6:$I$10005,$C29))</f>
        <v>58</v>
      </c>
      <c r="L29" s="69" t="n">
        <f aca="false">IF($C29="","",SUMIFS(月1回_前回の在庫を貼る!$N$6:$N$10005,月1回_前回の在庫を貼る!$B$6:$B$10005,'設定（最初に1回）'!$C$4,月1回_前回の在庫を貼る!$I$6:$I$10005,$C29))</f>
        <v>723</v>
      </c>
      <c r="M29" s="69" t="n">
        <f aca="false">IF($C29="","",IF(OR('設定（最初に1回）'!$C$6="",'設定（最初に1回）'!$C$7=""),0,SUMIFS(発注管理!$S$6:$S$1005,発注管理!$C$6:$C$1005,'設定（最初に1回）'!$C$4,発注管理!$F$6:$F$1005,$C29,発注管理!$R$6:$R$1005,"&gt;="&amp;'設定（最初に1回）'!$C$7,発注管理!$R$6:$R$1005,"&lt;="&amp;'設定（最初に1回）'!$C$6)))</f>
        <v>0</v>
      </c>
      <c r="N29" s="69" t="n">
        <f aca="false">IF(OR($C29="",'設定（最初に1回）'!$C$15=0),"",$L29+$M29-$K29)</f>
        <v>665</v>
      </c>
      <c r="O29" s="143" t="n">
        <f aca="false">IF(OR($N29="",'設定（最初に1回）'!$C$8="",'設定（最初に1回）'!$C$8&lt;=0),"",MAX(0,$N29)/'設定（最初に1回）'!$C$8)</f>
        <v>10.9016393442623</v>
      </c>
      <c r="P29" s="143" t="n">
        <f aca="false">IF($C29="","",IFERROR(INDEX(商品マスタ!$M$6:$N$1005,MATCH($C29,商品マスタ!$B$6:$B$1005,0),MATCH("PI値 "&amp;'設定（最初に1回）'!$C$11,商品マスタ!$M$5:$N$5,0)),""))</f>
        <v>1.9</v>
      </c>
      <c r="Q29" s="143" t="n">
        <f aca="false">IF(OR($C29="",$P29="",$P29=0,(N($I29)+N($AG29))&lt;=0),"",IFERROR(SUMIFS(随時_動員を入れる!$G$8:$G$97,随時_動員を入れる!$B$8:$B$97,"&gt;="&amp;'設定（最初に1回）'!$C$6,随時_動員を入れる!$B$8:$B$97,"&lt;="&amp;'設定（最初に1回）'!$C$6+(N($I29)+N($AG29))-1)/(N($I29)+N($AG29)),0)*$P29/100)</f>
        <v>70.6289247311828</v>
      </c>
      <c r="R29" s="69" t="n">
        <f aca="false">IF($C29="","",SUMIFS(①今日の在庫を貼る!$O$6:$O$10005,①今日の在庫を貼る!$B$6:$B$10005,'設定（最初に1回）'!$C$4,①今日の在庫を貼る!$I$6:$I$10005,$C29))</f>
        <v>0</v>
      </c>
      <c r="S29" s="143" t="n">
        <f aca="false">IF($C29="","",IF('設定（最初に1回）'!$C$9="実績消費",N($O29),IF('設定（最初に1回）'!$C$9="PI値予測",N($Q29),MAX(N($O29),N($Q29)))))</f>
        <v>10.9016393442623</v>
      </c>
      <c r="T29" s="67" t="n">
        <f aca="false">IF(OR($S29="",$S29&lt;=0),"",$K29/$S29)</f>
        <v>5.3203007518797</v>
      </c>
      <c r="U29" s="69" t="n">
        <f aca="false">IF($S29="","",ROUNDUP(N($S29)*'設定（最初に1回）'!$C$12,0))</f>
        <v>44</v>
      </c>
      <c r="V29" s="69" t="n">
        <f aca="false">IF($C29="","",ROUNDUP(N($S29)*(N($I29)+N($AG29))+N($U29),0))</f>
        <v>146</v>
      </c>
      <c r="W29" s="69" t="n">
        <f aca="false">IF($C29="","",SUMIFS(発注管理!$L$6:$L$1005,発注管理!$C$6:$C$1005,'設定（最初に1回）'!$C$4,発注管理!$F$6:$F$1005,$C29,発注管理!$Q$6:$Q$1005,"発注済"))</f>
        <v>0</v>
      </c>
      <c r="X29" s="69" t="n">
        <f aca="false">IF($C29="","",MAX(0,N($V29)-N($K29)-N($W29)))</f>
        <v>88</v>
      </c>
      <c r="Y29" s="147" t="n">
        <f aca="false">IF($C29="","",IF(N($X29)&lt;=0,0,CEILING($X29/MAX(1,N($G29)),MAX(1,N($J29)))))</f>
        <v>1</v>
      </c>
      <c r="Z29" s="138" t="str">
        <f aca="false">IF($C29="","",IF(N($Y29)&gt;0,"要発注","正常"))</f>
        <v>要発注</v>
      </c>
      <c r="AA29" s="71" t="n">
        <f aca="false">IF($C29="","",N($K29)*N($H29))</f>
        <v>6206</v>
      </c>
      <c r="AB29" s="66" t="str">
        <f aca="false">IF($C29="","",_xlfn.TEXTJOIN(" / ",TRUE(),IF(COUNTIF(商品マスタ!$B$6:$B$1005,$C29)=0,"マスタ未登録",""),IF(COUNTIFS(月1回_前回の在庫を貼る!$B$6:$B$10005,'設定（最初に1回）'!$C$4,月1回_前回の在庫を貼る!$I$6:$I$10005,$C29)=0,"新商品",""),IF(COUNTIFS(①今日の在庫を貼る!$B$6:$B$10005,'設定（最初に1回）'!$C$4,①今日の在庫を貼る!$I$6:$I$10005,$C29)=0,"終売候補",""),IF(N($K29)&lt;0,"在庫マイナス",""),IF(AND('設定（最初に1回）'!$C$9="PI値予測",$P29=""),"PI値未設定","")))</f>
        <v/>
      </c>
      <c r="AC29" s="71" t="n">
        <f aca="false">N($Y29)*N($H29)</f>
        <v>107</v>
      </c>
      <c r="AD29" s="66" t="str">
        <f aca="false">IF($C29="","",IFERROR(INDEX(商品マスタ!$K$6:$K$1005,MATCH($C29,商品マスタ!$B$6:$B$1005,0)),"常温"))</f>
        <v>冷蔵</v>
      </c>
      <c r="AE29" s="69" t="n">
        <f aca="false">IF($C29="","",MAX(0,ROUNDUP(N($K29)/MAX(1,N($G29)),0)))</f>
        <v>1</v>
      </c>
      <c r="AF29" s="66" t="str">
        <f aca="false">IF($C29="","",IFERROR(INDEX(商品マスタ!$L$6:$L$1005,MATCH($C29,商品マスタ!$B$6:$B$1005,0)),""))</f>
        <v>ドリンクシロップ</v>
      </c>
      <c r="AG29" s="143" t="n">
        <f aca="false">IF($C29="","",IFERROR(INDEX(定数マスタ!$S$110:$S$119,MATCH($AF29,定数マスタ!$J$110:$J$119,0)),N('設定（最初に1回）'!$C$13)))</f>
        <v>2.3</v>
      </c>
      <c r="AH29" s="66" t="n">
        <f aca="false">IF(AND(N($K29)&gt;0,N($Y29)&gt;0),N($Y29),0)</f>
        <v>1</v>
      </c>
    </row>
    <row r="30" customFormat="false" ht="15" hidden="false" customHeight="false" outlineLevel="0" collapsed="false">
      <c r="B30" s="66" t="n">
        <v>25</v>
      </c>
      <c r="C30" s="66" t="str">
        <f aca="false">IFERROR(IF($B30&lt;=MAX(①今日の在庫を貼る!$U$6:$U$10005),INDEX(①今日の在庫を貼る!$I$6:$I$10005,MATCH($B30,①今日の在庫を貼る!$U$6:$U$10005,0)),INDEX(月1回_前回の在庫を貼る!$I$6:$I$10005,MATCH($B30-MAX(①今日の在庫を貼る!$U$6:$U$10005),月1回_前回の在庫を貼る!$U$6:$U$10005,0))),"")</f>
        <v>1812000010922</v>
      </c>
      <c r="D30" s="66" t="str">
        <f aca="false">IF($C30="","",IFERROR(INDEX(商品マスタ!$C$6:$C$1005,MATCH($C30,商品マスタ!$B$6:$B$1005,0)),IFERROR(INDEX(①今日の在庫を貼る!$J$6:$J$10005,MATCH($C30,①今日の在庫を貼る!$I$6:$I$10005,0)),IFERROR(INDEX(月1回_前回の在庫を貼る!$J$6:$J$10005,MATCH($C30,月1回_前回の在庫を貼る!$I$6:$I$10005,0)),""))))</f>
        <v>とろけるフローズンゼリマスカット</v>
      </c>
      <c r="E30" s="66" t="str">
        <f aca="false">IF($C30="","",IFERROR(INDEX(商品マスタ!$D$6:$D$1005,MATCH($C30,商品マスタ!$B$6:$B$1005,0)),IFERROR(INDEX(①今日の在庫を貼る!$H$6:$H$10005,MATCH($C30,①今日の在庫を貼る!$I$6:$I$10005,0)),IFERROR(INDEX(月1回_前回の在庫を貼る!$H$6:$H$10005,MATCH($C30,月1回_前回の在庫を貼る!$I$6:$I$10005,0)),""))))</f>
        <v>その他ドリンク</v>
      </c>
      <c r="F30" s="66" t="str">
        <f aca="false">IF($C30="","",IFERROR(INDEX(商品マスタ!$E$6:$E$1005,MATCH($C30,商品マスタ!$B$6:$B$1005,0)),IFERROR(INDEX(①今日の在庫を貼る!$E$6:$E$10005,MATCH($C30,①今日の在庫を貼る!$I$6:$I$10005,0)),IFERROR(INDEX(月1回_前回の在庫を貼る!$E$6:$E$10005,MATCH($C30,月1回_前回の在庫を貼る!$I$6:$I$10005,0)),""))))</f>
        <v>オザックス株式会社</v>
      </c>
      <c r="G30" s="69" t="n">
        <f aca="false">IF($C30="","",IFERROR(INDEX(商品マスタ!$F$6:$F$1005,MATCH($C30,商品マスタ!$B$6:$B$1005,0)),IFERROR(INDEX(①今日の在庫を貼る!$K$6:$K$10005,MATCH($C30,①今日の在庫を貼る!$I$6:$I$10005,0)),IFERROR(INDEX(月1回_前回の在庫を貼る!$K$6:$K$10005,MATCH($C30,月1回_前回の在庫を貼る!$I$6:$I$10005,0)),""))))</f>
        <v>90</v>
      </c>
      <c r="H30" s="71" t="n">
        <f aca="false">IF($C30="","",IFERROR(INDEX(商品マスタ!$G$6:$G$1005,MATCH($C30,商品マスタ!$B$6:$B$1005,0)),IFERROR(INDEX(①今日の在庫を貼る!$Q$6:$Q$10005,MATCH($C30,①今日の在庫を貼る!$I$6:$I$10005,0)),IFERROR(INDEX(月1回_前回の在庫を貼る!$Q$6:$Q$10005,MATCH($C30,月1回_前回の在庫を貼る!$I$6:$I$10005,0)),""))))</f>
        <v>166</v>
      </c>
      <c r="I30" s="66" t="n">
        <f aca="false">IF($C30="","",IFERROR(INDEX(商品マスタ!$H$6:$H$1005,MATCH($C30,商品マスタ!$B$6:$B$1005,0)),3))</f>
        <v>3</v>
      </c>
      <c r="J30" s="66" t="n">
        <f aca="false">IF($C30="","",MAX(1,IFERROR(INDEX(商品マスタ!$I$6:$I$1005,MATCH($C30,商品マスタ!$B$6:$B$1005,0)),1)))</f>
        <v>5</v>
      </c>
      <c r="K30" s="69" t="n">
        <f aca="false">IF($C30="","",SUMIFS(①今日の在庫を貼る!$N$6:$N$10005,①今日の在庫を貼る!$B$6:$B$10005,'設定（最初に1回）'!$C$4,①今日の在庫を貼る!$I$6:$I$10005,$C30))</f>
        <v>1</v>
      </c>
      <c r="L30" s="69" t="n">
        <f aca="false">IF($C30="","",SUMIFS(月1回_前回の在庫を貼る!$N$6:$N$10005,月1回_前回の在庫を貼る!$B$6:$B$10005,'設定（最初に1回）'!$C$4,月1回_前回の在庫を貼る!$I$6:$I$10005,$C30))</f>
        <v>2</v>
      </c>
      <c r="M30" s="69" t="n">
        <f aca="false">IF($C30="","",IF(OR('設定（最初に1回）'!$C$6="",'設定（最初に1回）'!$C$7=""),0,SUMIFS(発注管理!$S$6:$S$1005,発注管理!$C$6:$C$1005,'設定（最初に1回）'!$C$4,発注管理!$F$6:$F$1005,$C30,発注管理!$R$6:$R$1005,"&gt;="&amp;'設定（最初に1回）'!$C$7,発注管理!$R$6:$R$1005,"&lt;="&amp;'設定（最初に1回）'!$C$6)))</f>
        <v>0</v>
      </c>
      <c r="N30" s="69" t="n">
        <f aca="false">IF(OR($C30="",'設定（最初に1回）'!$C$15=0),"",$L30+$M30-$K30)</f>
        <v>1</v>
      </c>
      <c r="O30" s="143" t="n">
        <f aca="false">IF(OR($N30="",'設定（最初に1回）'!$C$8="",'設定（最初に1回）'!$C$8&lt;=0),"",MAX(0,$N30)/'設定（最初に1回）'!$C$8)</f>
        <v>0.0163934426229508</v>
      </c>
      <c r="P30" s="143" t="n">
        <f aca="false">IF($C30="","",IFERROR(INDEX(商品マスタ!$M$6:$N$1005,MATCH($C30,商品マスタ!$B$6:$B$1005,0),MATCH("PI値 "&amp;'設定（最初に1回）'!$C$11,商品マスタ!$M$5:$N$5,0)),""))</f>
        <v>3.4</v>
      </c>
      <c r="Q30" s="143" t="n">
        <f aca="false">IF(OR($C30="",$P30="",$P30=0,(N($I30)+N($AG30))&lt;=0),"",IFERROR(SUMIFS(随時_動員を入れる!$G$8:$G$97,随時_動員を入れる!$B$8:$B$97,"&gt;="&amp;'設定（最初に1回）'!$C$6,随時_動員を入れる!$B$8:$B$97,"&lt;="&amp;'設定（最初に1回）'!$C$6+(N($I30)+N($AG30))-1)/(N($I30)+N($AG30)),0)*$P30/100)</f>
        <v>179.930566037736</v>
      </c>
      <c r="R30" s="69" t="n">
        <f aca="false">IF($C30="","",SUMIFS(①今日の在庫を貼る!$O$6:$O$10005,①今日の在庫を貼る!$B$6:$B$10005,'設定（最初に1回）'!$C$4,①今日の在庫を貼る!$I$6:$I$10005,$C30))</f>
        <v>0</v>
      </c>
      <c r="S30" s="143" t="n">
        <f aca="false">IF($C30="","",IF('設定（最初に1回）'!$C$9="実績消費",N($O30),IF('設定（最初に1回）'!$C$9="PI値予測",N($Q30),MAX(N($O30),N($Q30)))))</f>
        <v>0.0163934426229508</v>
      </c>
      <c r="T30" s="67" t="n">
        <f aca="false">IF(OR($S30="",$S30&lt;=0),"",$K30/$S30)</f>
        <v>61</v>
      </c>
      <c r="U30" s="69" t="n">
        <f aca="false">IF($S30="","",ROUNDUP(N($S30)*'設定（最初に1回）'!$C$12,0))</f>
        <v>1</v>
      </c>
      <c r="V30" s="69" t="n">
        <f aca="false">IF($C30="","",ROUNDUP(N($S30)*(N($I30)+N($AG30))+N($U30),0))</f>
        <v>2</v>
      </c>
      <c r="W30" s="69" t="n">
        <f aca="false">IF($C30="","",SUMIFS(発注管理!$L$6:$L$1005,発注管理!$C$6:$C$1005,'設定（最初に1回）'!$C$4,発注管理!$F$6:$F$1005,$C30,発注管理!$Q$6:$Q$1005,"発注済"))</f>
        <v>0</v>
      </c>
      <c r="X30" s="69" t="n">
        <f aca="false">IF($C30="","",MAX(0,N($V30)-N($K30)-N($W30)))</f>
        <v>1</v>
      </c>
      <c r="Y30" s="147" t="n">
        <f aca="false">IF($C30="","",IF(N($X30)&lt;=0,0,CEILING($X30/MAX(1,N($G30)),MAX(1,N($J30)))))</f>
        <v>5</v>
      </c>
      <c r="Z30" s="138" t="str">
        <f aca="false">IF($C30="","",IF(N($Y30)&gt;0,"要発注","正常"))</f>
        <v>要発注</v>
      </c>
      <c r="AA30" s="71" t="n">
        <f aca="false">IF($C30="","",N($K30)*N($H30))</f>
        <v>166</v>
      </c>
      <c r="AB30" s="66" t="str">
        <f aca="false">IF($C30="","",_xlfn.TEXTJOIN(" / ",TRUE(),IF(COUNTIF(商品マスタ!$B$6:$B$1005,$C30)=0,"マスタ未登録",""),IF(COUNTIFS(月1回_前回の在庫を貼る!$B$6:$B$10005,'設定（最初に1回）'!$C$4,月1回_前回の在庫を貼る!$I$6:$I$10005,$C30)=0,"新商品",""),IF(COUNTIFS(①今日の在庫を貼る!$B$6:$B$10005,'設定（最初に1回）'!$C$4,①今日の在庫を貼る!$I$6:$I$10005,$C30)=0,"終売候補",""),IF(N($K30)&lt;0,"在庫マイナス",""),IF(AND('設定（最初に1回）'!$C$9="PI値予測",$P30=""),"PI値未設定","")))</f>
        <v/>
      </c>
      <c r="AC30" s="71" t="n">
        <f aca="false">N($Y30)*N($H30)</f>
        <v>830</v>
      </c>
      <c r="AD30" s="66" t="str">
        <f aca="false">IF($C30="","",IFERROR(INDEX(商品マスタ!$K$6:$K$1005,MATCH($C30,商品マスタ!$B$6:$B$1005,0)),"常温"))</f>
        <v>冷蔵</v>
      </c>
      <c r="AE30" s="69" t="n">
        <f aca="false">IF($C30="","",MAX(0,ROUNDUP(N($K30)/MAX(1,N($G30)),0)))</f>
        <v>1</v>
      </c>
      <c r="AF30" s="66" t="str">
        <f aca="false">IF($C30="","",IFERROR(INDEX(商品マスタ!$L$6:$L$1005,MATCH($C30,商品マスタ!$B$6:$B$1005,0)),""))</f>
        <v>ドリンクシロップ</v>
      </c>
      <c r="AG30" s="143" t="n">
        <f aca="false">IF($C30="","",IFERROR(INDEX(定数マスタ!$S$110:$S$119,MATCH($AF30,定数マスタ!$J$110:$J$119,0)),N('設定（最初に1回）'!$C$13)))</f>
        <v>2.3</v>
      </c>
      <c r="AH30" s="66" t="n">
        <f aca="false">IF(AND(N($K30)&gt;0,N($Y30)&gt;0),N($Y30),0)</f>
        <v>5</v>
      </c>
    </row>
    <row r="31" customFormat="false" ht="15" hidden="false" customHeight="false" outlineLevel="0" collapsed="false">
      <c r="B31" s="66" t="n">
        <v>26</v>
      </c>
      <c r="C31" s="66" t="str">
        <f aca="false">IFERROR(IF($B31&lt;=MAX(①今日の在庫を貼る!$U$6:$U$10005),INDEX(①今日の在庫を貼る!$I$6:$I$10005,MATCH($B31,①今日の在庫を貼る!$U$6:$U$10005,0)),INDEX(月1回_前回の在庫を貼る!$I$6:$I$10005,MATCH($B31-MAX(①今日の在庫を貼る!$U$6:$U$10005),月1回_前回の在庫を貼る!$U$6:$U$10005,0))),"")</f>
        <v>1812000011677</v>
      </c>
      <c r="D31" s="66" t="str">
        <f aca="false">IF($C31="","",IFERROR(INDEX(商品マスタ!$C$6:$C$1005,MATCH($C31,商品マスタ!$B$6:$B$1005,0)),IFERROR(INDEX(①今日の在庫を貼る!$J$6:$J$10005,MATCH($C31,①今日の在庫を貼る!$I$6:$I$10005,0)),IFERROR(INDEX(月1回_前回の在庫を貼る!$J$6:$J$10005,MATCH($C31,月1回_前回の在庫を貼る!$I$6:$I$10005,0)),""))))</f>
        <v>超ストロベリーフローズン</v>
      </c>
      <c r="E31" s="66" t="str">
        <f aca="false">IF($C31="","",IFERROR(INDEX(商品マスタ!$D$6:$D$1005,MATCH($C31,商品マスタ!$B$6:$B$1005,0)),IFERROR(INDEX(①今日の在庫を貼る!$H$6:$H$10005,MATCH($C31,①今日の在庫を貼る!$I$6:$I$10005,0)),IFERROR(INDEX(月1回_前回の在庫を貼る!$H$6:$H$10005,MATCH($C31,月1回_前回の在庫を貼る!$I$6:$I$10005,0)),""))))</f>
        <v>その他ドリンク</v>
      </c>
      <c r="F31" s="66" t="str">
        <f aca="false">IF($C31="","",IFERROR(INDEX(商品マスタ!$E$6:$E$1005,MATCH($C31,商品マスタ!$B$6:$B$1005,0)),IFERROR(INDEX(①今日の在庫を貼る!$E$6:$E$10005,MATCH($C31,①今日の在庫を貼る!$I$6:$I$10005,0)),IFERROR(INDEX(月1回_前回の在庫を貼る!$E$6:$E$10005,MATCH($C31,月1回_前回の在庫を貼る!$I$6:$I$10005,0)),""))))</f>
        <v>オザックス株式会社</v>
      </c>
      <c r="G31" s="69" t="n">
        <f aca="false">IF($C31="","",IFERROR(INDEX(商品マスタ!$F$6:$F$1005,MATCH($C31,商品マスタ!$B$6:$B$1005,0)),IFERROR(INDEX(①今日の在庫を貼る!$K$6:$K$10005,MATCH($C31,①今日の在庫を貼る!$I$6:$I$10005,0)),IFERROR(INDEX(月1回_前回の在庫を貼る!$K$6:$K$10005,MATCH($C31,月1回_前回の在庫を貼る!$I$6:$I$10005,0)),""))))</f>
        <v>80</v>
      </c>
      <c r="H31" s="71" t="n">
        <f aca="false">IF($C31="","",IFERROR(INDEX(商品マスタ!$G$6:$G$1005,MATCH($C31,商品マスタ!$B$6:$B$1005,0)),IFERROR(INDEX(①今日の在庫を貼る!$Q$6:$Q$10005,MATCH($C31,①今日の在庫を貼る!$I$6:$I$10005,0)),IFERROR(INDEX(月1回_前回の在庫を貼る!$Q$6:$Q$10005,MATCH($C31,月1回_前回の在庫を貼る!$I$6:$I$10005,0)),""))))</f>
        <v>203</v>
      </c>
      <c r="I31" s="66" t="n">
        <f aca="false">IF($C31="","",IFERROR(INDEX(商品マスタ!$H$6:$H$1005,MATCH($C31,商品マスタ!$B$6:$B$1005,0)),3))</f>
        <v>4</v>
      </c>
      <c r="J31" s="66" t="n">
        <f aca="false">IF($C31="","",MAX(1,IFERROR(INDEX(商品マスタ!$I$6:$I$1005,MATCH($C31,商品マスタ!$B$6:$B$1005,0)),1)))</f>
        <v>1</v>
      </c>
      <c r="K31" s="69" t="n">
        <f aca="false">IF($C31="","",SUMIFS(①今日の在庫を貼る!$N$6:$N$10005,①今日の在庫を貼る!$B$6:$B$10005,'設定（最初に1回）'!$C$4,①今日の在庫を貼る!$I$6:$I$10005,$C31))</f>
        <v>5</v>
      </c>
      <c r="L31" s="69" t="n">
        <f aca="false">IF($C31="","",SUMIFS(月1回_前回の在庫を貼る!$N$6:$N$10005,月1回_前回の在庫を貼る!$B$6:$B$10005,'設定（最初に1回）'!$C$4,月1回_前回の在庫を貼る!$I$6:$I$10005,$C31))</f>
        <v>191</v>
      </c>
      <c r="M31" s="69" t="n">
        <f aca="false">IF($C31="","",IF(OR('設定（最初に1回）'!$C$6="",'設定（最初に1回）'!$C$7=""),0,SUMIFS(発注管理!$S$6:$S$1005,発注管理!$C$6:$C$1005,'設定（最初に1回）'!$C$4,発注管理!$F$6:$F$1005,$C31,発注管理!$R$6:$R$1005,"&gt;="&amp;'設定（最初に1回）'!$C$7,発注管理!$R$6:$R$1005,"&lt;="&amp;'設定（最初に1回）'!$C$6)))</f>
        <v>0</v>
      </c>
      <c r="N31" s="69" t="n">
        <f aca="false">IF(OR($C31="",'設定（最初に1回）'!$C$15=0),"",$L31+$M31-$K31)</f>
        <v>186</v>
      </c>
      <c r="O31" s="143" t="n">
        <f aca="false">IF(OR($N31="",'設定（最初に1回）'!$C$8="",'設定（最初に1回）'!$C$8&lt;=0),"",MAX(0,$N31)/'設定（最初に1回）'!$C$8)</f>
        <v>3.04918032786885</v>
      </c>
      <c r="P31" s="143" t="n">
        <f aca="false">IF($C31="","",IFERROR(INDEX(商品マスタ!$M$6:$N$1005,MATCH($C31,商品マスタ!$B$6:$B$1005,0),MATCH("PI値 "&amp;'設定（最初に1回）'!$C$11,商品マスタ!$M$5:$N$5,0)),""))</f>
        <v>2.4</v>
      </c>
      <c r="Q31" s="143" t="n">
        <f aca="false">IF(OR($C31="",$P31="",$P31=0,(N($I31)+N($AG31))&lt;=0),"",IFERROR(SUMIFS(随時_動員を入れる!$G$8:$G$97,随時_動員を入れる!$B$8:$B$97,"&gt;="&amp;'設定（最初に1回）'!$C$6,随時_動員を入れる!$B$8:$B$97,"&lt;="&amp;'設定（最初に1回）'!$C$6+(N($I31)+N($AG31))-1)/(N($I31)+N($AG31)),0)*$P31/100)</f>
        <v>111.954285714286</v>
      </c>
      <c r="R31" s="69" t="n">
        <f aca="false">IF($C31="","",SUMIFS(①今日の在庫を貼る!$O$6:$O$10005,①今日の在庫を貼る!$B$6:$B$10005,'設定（最初に1回）'!$C$4,①今日の在庫を貼る!$I$6:$I$10005,$C31))</f>
        <v>0</v>
      </c>
      <c r="S31" s="143" t="n">
        <f aca="false">IF($C31="","",IF('設定（最初に1回）'!$C$9="実績消費",N($O31),IF('設定（最初に1回）'!$C$9="PI値予測",N($Q31),MAX(N($O31),N($Q31)))))</f>
        <v>3.04918032786885</v>
      </c>
      <c r="T31" s="67" t="n">
        <f aca="false">IF(OR($S31="",$S31&lt;=0),"",$K31/$S31)</f>
        <v>1.63978494623656</v>
      </c>
      <c r="U31" s="69" t="n">
        <f aca="false">IF($S31="","",ROUNDUP(N($S31)*'設定（最初に1回）'!$C$12,0))</f>
        <v>13</v>
      </c>
      <c r="V31" s="69" t="n">
        <f aca="false">IF($C31="","",ROUNDUP(N($S31)*(N($I31)+N($AG31))+N($U31),0))</f>
        <v>33</v>
      </c>
      <c r="W31" s="69" t="n">
        <f aca="false">IF($C31="","",SUMIFS(発注管理!$L$6:$L$1005,発注管理!$C$6:$C$1005,'設定（最初に1回）'!$C$4,発注管理!$F$6:$F$1005,$C31,発注管理!$Q$6:$Q$1005,"発注済"))</f>
        <v>0</v>
      </c>
      <c r="X31" s="69" t="n">
        <f aca="false">IF($C31="","",MAX(0,N($V31)-N($K31)-N($W31)))</f>
        <v>28</v>
      </c>
      <c r="Y31" s="147" t="n">
        <f aca="false">IF($C31="","",IF(N($X31)&lt;=0,0,CEILING($X31/MAX(1,N($G31)),MAX(1,N($J31)))))</f>
        <v>1</v>
      </c>
      <c r="Z31" s="138" t="str">
        <f aca="false">IF($C31="","",IF(N($Y31)&gt;0,"要発注","正常"))</f>
        <v>要発注</v>
      </c>
      <c r="AA31" s="71" t="n">
        <f aca="false">IF($C31="","",N($K31)*N($H31))</f>
        <v>1015</v>
      </c>
      <c r="AB31" s="66" t="str">
        <f aca="false">IF($C31="","",_xlfn.TEXTJOIN(" / ",TRUE(),IF(COUNTIF(商品マスタ!$B$6:$B$1005,$C31)=0,"マスタ未登録",""),IF(COUNTIFS(月1回_前回の在庫を貼る!$B$6:$B$10005,'設定（最初に1回）'!$C$4,月1回_前回の在庫を貼る!$I$6:$I$10005,$C31)=0,"新商品",""),IF(COUNTIFS(①今日の在庫を貼る!$B$6:$B$10005,'設定（最初に1回）'!$C$4,①今日の在庫を貼る!$I$6:$I$10005,$C31)=0,"終売候補",""),IF(N($K31)&lt;0,"在庫マイナス",""),IF(AND('設定（最初に1回）'!$C$9="PI値予測",$P31=""),"PI値未設定","")))</f>
        <v/>
      </c>
      <c r="AC31" s="71" t="n">
        <f aca="false">N($Y31)*N($H31)</f>
        <v>203</v>
      </c>
      <c r="AD31" s="66" t="str">
        <f aca="false">IF($C31="","",IFERROR(INDEX(商品マスタ!$K$6:$K$1005,MATCH($C31,商品マスタ!$B$6:$B$1005,0)),"常温"))</f>
        <v>冷蔵</v>
      </c>
      <c r="AE31" s="69" t="n">
        <f aca="false">IF($C31="","",MAX(0,ROUNDUP(N($K31)/MAX(1,N($G31)),0)))</f>
        <v>1</v>
      </c>
      <c r="AF31" s="66" t="str">
        <f aca="false">IF($C31="","",IFERROR(INDEX(商品マスタ!$L$6:$L$1005,MATCH($C31,商品マスタ!$B$6:$B$1005,0)),""))</f>
        <v>ドリンクシロップ</v>
      </c>
      <c r="AG31" s="143" t="n">
        <f aca="false">IF($C31="","",IFERROR(INDEX(定数マスタ!$S$110:$S$119,MATCH($AF31,定数マスタ!$J$110:$J$119,0)),N('設定（最初に1回）'!$C$13)))</f>
        <v>2.3</v>
      </c>
      <c r="AH31" s="66" t="n">
        <f aca="false">IF(AND(N($K31)&gt;0,N($Y31)&gt;0),N($Y31),0)</f>
        <v>1</v>
      </c>
    </row>
    <row r="32" customFormat="false" ht="15" hidden="false" customHeight="false" outlineLevel="0" collapsed="false">
      <c r="B32" s="66" t="n">
        <v>27</v>
      </c>
      <c r="C32" s="66" t="str">
        <f aca="false">IFERROR(IF($B32&lt;=MAX(①今日の在庫を貼る!$U$6:$U$10005),INDEX(①今日の在庫を貼る!$I$6:$I$10005,MATCH($B32,①今日の在庫を貼る!$U$6:$U$10005,0)),INDEX(月1回_前回の在庫を貼る!$I$6:$I$10005,MATCH($B32-MAX(①今日の在庫を貼る!$U$6:$U$10005),月1回_前回の在庫を貼る!$U$6:$U$10005,0))),"")</f>
        <v>1812000011684</v>
      </c>
      <c r="D32" s="66" t="str">
        <f aca="false">IF($C32="","",IFERROR(INDEX(商品マスタ!$C$6:$C$1005,MATCH($C32,商品マスタ!$B$6:$B$1005,0)),IFERROR(INDEX(①今日の在庫を貼る!$J$6:$J$10005,MATCH($C32,①今日の在庫を貼る!$I$6:$I$10005,0)),IFERROR(INDEX(月1回_前回の在庫を貼る!$J$6:$J$10005,MATCH($C32,月1回_前回の在庫を貼る!$I$6:$I$10005,0)),""))))</f>
        <v>超マンゴー＆パッションフローズン</v>
      </c>
      <c r="E32" s="66" t="str">
        <f aca="false">IF($C32="","",IFERROR(INDEX(商品マスタ!$D$6:$D$1005,MATCH($C32,商品マスタ!$B$6:$B$1005,0)),IFERROR(INDEX(①今日の在庫を貼る!$H$6:$H$10005,MATCH($C32,①今日の在庫を貼る!$I$6:$I$10005,0)),IFERROR(INDEX(月1回_前回の在庫を貼る!$H$6:$H$10005,MATCH($C32,月1回_前回の在庫を貼る!$I$6:$I$10005,0)),""))))</f>
        <v>その他ドリンク</v>
      </c>
      <c r="F32" s="66" t="str">
        <f aca="false">IF($C32="","",IFERROR(INDEX(商品マスタ!$E$6:$E$1005,MATCH($C32,商品マスタ!$B$6:$B$1005,0)),IFERROR(INDEX(①今日の在庫を貼る!$E$6:$E$10005,MATCH($C32,①今日の在庫を貼る!$I$6:$I$10005,0)),IFERROR(INDEX(月1回_前回の在庫を貼る!$E$6:$E$10005,MATCH($C32,月1回_前回の在庫を貼る!$I$6:$I$10005,0)),""))))</f>
        <v>オザックス株式会社</v>
      </c>
      <c r="G32" s="69" t="n">
        <f aca="false">IF($C32="","",IFERROR(INDEX(商品マスタ!$F$6:$F$1005,MATCH($C32,商品マスタ!$B$6:$B$1005,0)),IFERROR(INDEX(①今日の在庫を貼る!$K$6:$K$10005,MATCH($C32,①今日の在庫を貼る!$I$6:$I$10005,0)),IFERROR(INDEX(月1回_前回の在庫を貼る!$K$6:$K$10005,MATCH($C32,月1回_前回の在庫を貼る!$I$6:$I$10005,0)),""))))</f>
        <v>80</v>
      </c>
      <c r="H32" s="71" t="n">
        <f aca="false">IF($C32="","",IFERROR(INDEX(商品マスタ!$G$6:$G$1005,MATCH($C32,商品マスタ!$B$6:$B$1005,0)),IFERROR(INDEX(①今日の在庫を貼る!$Q$6:$Q$10005,MATCH($C32,①今日の在庫を貼る!$I$6:$I$10005,0)),IFERROR(INDEX(月1回_前回の在庫を貼る!$Q$6:$Q$10005,MATCH($C32,月1回_前回の在庫を貼る!$I$6:$I$10005,0)),""))))</f>
        <v>203</v>
      </c>
      <c r="I32" s="66" t="n">
        <f aca="false">IF($C32="","",IFERROR(INDEX(商品マスタ!$H$6:$H$1005,MATCH($C32,商品マスタ!$B$6:$B$1005,0)),3))</f>
        <v>2</v>
      </c>
      <c r="J32" s="66" t="n">
        <f aca="false">IF($C32="","",MAX(1,IFERROR(INDEX(商品マスタ!$I$6:$I$1005,MATCH($C32,商品マスタ!$B$6:$B$1005,0)),1)))</f>
        <v>5</v>
      </c>
      <c r="K32" s="69" t="n">
        <f aca="false">IF($C32="","",SUMIFS(①今日の在庫を貼る!$N$6:$N$10005,①今日の在庫を貼る!$B$6:$B$10005,'設定（最初に1回）'!$C$4,①今日の在庫を貼る!$I$6:$I$10005,$C32))</f>
        <v>111</v>
      </c>
      <c r="L32" s="69" t="n">
        <f aca="false">IF($C32="","",SUMIFS(月1回_前回の在庫を貼る!$N$6:$N$10005,月1回_前回の在庫を貼る!$B$6:$B$10005,'設定（最初に1回）'!$C$4,月1回_前回の在庫を貼る!$I$6:$I$10005,$C32))</f>
        <v>431</v>
      </c>
      <c r="M32" s="69" t="n">
        <f aca="false">IF($C32="","",IF(OR('設定（最初に1回）'!$C$6="",'設定（最初に1回）'!$C$7=""),0,SUMIFS(発注管理!$S$6:$S$1005,発注管理!$C$6:$C$1005,'設定（最初に1回）'!$C$4,発注管理!$F$6:$F$1005,$C32,発注管理!$R$6:$R$1005,"&gt;="&amp;'設定（最初に1回）'!$C$7,発注管理!$R$6:$R$1005,"&lt;="&amp;'設定（最初に1回）'!$C$6)))</f>
        <v>0</v>
      </c>
      <c r="N32" s="69" t="n">
        <f aca="false">IF(OR($C32="",'設定（最初に1回）'!$C$15=0),"",$L32+$M32-$K32)</f>
        <v>320</v>
      </c>
      <c r="O32" s="143" t="n">
        <f aca="false">IF(OR($N32="",'設定（最初に1回）'!$C$8="",'設定（最初に1回）'!$C$8&lt;=0),"",MAX(0,$N32)/'設定（最初に1回）'!$C$8)</f>
        <v>5.24590163934426</v>
      </c>
      <c r="P32" s="143" t="n">
        <f aca="false">IF($C32="","",IFERROR(INDEX(商品マスタ!$M$6:$N$1005,MATCH($C32,商品マスタ!$B$6:$B$1005,0),MATCH("PI値 "&amp;'設定（最初に1回）'!$C$11,商品マスタ!$M$5:$N$5,0)),""))</f>
        <v>2.5</v>
      </c>
      <c r="Q32" s="143" t="n">
        <f aca="false">IF(OR($C32="",$P32="",$P32=0,(N($I32)+N($AG32))&lt;=0),"",IFERROR(SUMIFS(随時_動員を入れる!$G$8:$G$97,随時_動員を入れる!$B$8:$B$97,"&gt;="&amp;'設定（最初に1回）'!$C$6,随時_動員を入れる!$B$8:$B$97,"&lt;="&amp;'設定（最初に1回）'!$C$6+(N($I32)+N($AG32))-1)/(N($I32)+N($AG32)),0)*$P32/100)</f>
        <v>148.308139534884</v>
      </c>
      <c r="R32" s="69" t="n">
        <f aca="false">IF($C32="","",SUMIFS(①今日の在庫を貼る!$O$6:$O$10005,①今日の在庫を貼る!$B$6:$B$10005,'設定（最初に1回）'!$C$4,①今日の在庫を貼る!$I$6:$I$10005,$C32))</f>
        <v>0</v>
      </c>
      <c r="S32" s="143" t="n">
        <f aca="false">IF($C32="","",IF('設定（最初に1回）'!$C$9="実績消費",N($O32),IF('設定（最初に1回）'!$C$9="PI値予測",N($Q32),MAX(N($O32),N($Q32)))))</f>
        <v>5.24590163934426</v>
      </c>
      <c r="T32" s="67" t="n">
        <f aca="false">IF(OR($S32="",$S32&lt;=0),"",$K32/$S32)</f>
        <v>21.159375</v>
      </c>
      <c r="U32" s="69" t="n">
        <f aca="false">IF($S32="","",ROUNDUP(N($S32)*'設定（最初に1回）'!$C$12,0))</f>
        <v>21</v>
      </c>
      <c r="V32" s="69" t="n">
        <f aca="false">IF($C32="","",ROUNDUP(N($S32)*(N($I32)+N($AG32))+N($U32),0))</f>
        <v>44</v>
      </c>
      <c r="W32" s="69" t="n">
        <f aca="false">IF($C32="","",SUMIFS(発注管理!$L$6:$L$1005,発注管理!$C$6:$C$1005,'設定（最初に1回）'!$C$4,発注管理!$F$6:$F$1005,$C32,発注管理!$Q$6:$Q$1005,"発注済"))</f>
        <v>640</v>
      </c>
      <c r="X32" s="69" t="n">
        <f aca="false">IF($C32="","",MAX(0,N($V32)-N($K32)-N($W32)))</f>
        <v>0</v>
      </c>
      <c r="Y32" s="147" t="n">
        <f aca="false">IF($C32="","",IF(N($X32)&lt;=0,0,CEILING($X32/MAX(1,N($G32)),MAX(1,N($J32)))))</f>
        <v>0</v>
      </c>
      <c r="Z32" s="138" t="str">
        <f aca="false">IF($C32="","",IF(N($Y32)&gt;0,"要発注","正常"))</f>
        <v>正常</v>
      </c>
      <c r="AA32" s="71" t="n">
        <f aca="false">IF($C32="","",N($K32)*N($H32))</f>
        <v>22533</v>
      </c>
      <c r="AB32" s="66" t="str">
        <f aca="false">IF($C32="","",_xlfn.TEXTJOIN(" / ",TRUE(),IF(COUNTIF(商品マスタ!$B$6:$B$1005,$C32)=0,"マスタ未登録",""),IF(COUNTIFS(月1回_前回の在庫を貼る!$B$6:$B$10005,'設定（最初に1回）'!$C$4,月1回_前回の在庫を貼る!$I$6:$I$10005,$C32)=0,"新商品",""),IF(COUNTIFS(①今日の在庫を貼る!$B$6:$B$10005,'設定（最初に1回）'!$C$4,①今日の在庫を貼る!$I$6:$I$10005,$C32)=0,"終売候補",""),IF(N($K32)&lt;0,"在庫マイナス",""),IF(AND('設定（最初に1回）'!$C$9="PI値予測",$P32=""),"PI値未設定","")))</f>
        <v/>
      </c>
      <c r="AC32" s="71" t="n">
        <f aca="false">N($Y32)*N($H32)</f>
        <v>0</v>
      </c>
      <c r="AD32" s="66" t="str">
        <f aca="false">IF($C32="","",IFERROR(INDEX(商品マスタ!$K$6:$K$1005,MATCH($C32,商品マスタ!$B$6:$B$1005,0)),"常温"))</f>
        <v>冷蔵</v>
      </c>
      <c r="AE32" s="69" t="n">
        <f aca="false">IF($C32="","",MAX(0,ROUNDUP(N($K32)/MAX(1,N($G32)),0)))</f>
        <v>2</v>
      </c>
      <c r="AF32" s="66" t="str">
        <f aca="false">IF($C32="","",IFERROR(INDEX(商品マスタ!$L$6:$L$1005,MATCH($C32,商品マスタ!$B$6:$B$1005,0)),""))</f>
        <v>ドリンクシロップ</v>
      </c>
      <c r="AG32" s="143" t="n">
        <f aca="false">IF($C32="","",IFERROR(INDEX(定数マスタ!$S$110:$S$119,MATCH($AF32,定数マスタ!$J$110:$J$119,0)),N('設定（最初に1回）'!$C$13)))</f>
        <v>2.3</v>
      </c>
      <c r="AH32" s="66" t="n">
        <f aca="false">IF(AND(N($K32)&gt;0,N($Y32)&gt;0),N($Y32),0)</f>
        <v>0</v>
      </c>
    </row>
    <row r="33" customFormat="false" ht="15" hidden="false" customHeight="false" outlineLevel="0" collapsed="false">
      <c r="B33" s="66" t="n">
        <v>28</v>
      </c>
      <c r="C33" s="66" t="str">
        <f aca="false">IFERROR(IF($B33&lt;=MAX(①今日の在庫を貼る!$U$6:$U$10005),INDEX(①今日の在庫を貼る!$I$6:$I$10005,MATCH($B33,①今日の在庫を貼る!$U$6:$U$10005,0)),INDEX(月1回_前回の在庫を貼る!$I$6:$I$10005,MATCH($B33-MAX(①今日の在庫を貼る!$U$6:$U$10005),月1回_前回の在庫を貼る!$U$6:$U$10005,0))),"")</f>
        <v>1812000011783</v>
      </c>
      <c r="D33" s="66" t="str">
        <f aca="false">IF($C33="","",IFERROR(INDEX(商品マスタ!$C$6:$C$1005,MATCH($C33,商品マスタ!$B$6:$B$1005,0)),IFERROR(INDEX(①今日の在庫を貼る!$J$6:$J$10005,MATCH($C33,①今日の在庫を貼る!$I$6:$I$10005,0)),IFERROR(INDEX(月1回_前回の在庫を貼る!$J$6:$J$10005,MATCH($C33,月1回_前回の在庫を貼る!$I$6:$I$10005,0)),""))))</f>
        <v>ＩＣＥＥ　ブルーラズベリー５Ｇ</v>
      </c>
      <c r="E33" s="66" t="str">
        <f aca="false">IF($C33="","",IFERROR(INDEX(商品マスタ!$D$6:$D$1005,MATCH($C33,商品マスタ!$B$6:$B$1005,0)),IFERROR(INDEX(①今日の在庫を貼る!$H$6:$H$10005,MATCH($C33,①今日の在庫を貼る!$I$6:$I$10005,0)),IFERROR(INDEX(月1回_前回の在庫を貼る!$H$6:$H$10005,MATCH($C33,月1回_前回の在庫を貼る!$I$6:$I$10005,0)),""))))</f>
        <v>その他ドリンク</v>
      </c>
      <c r="F33" s="66" t="str">
        <f aca="false">IF($C33="","",IFERROR(INDEX(商品マスタ!$E$6:$E$1005,MATCH($C33,商品マスタ!$B$6:$B$1005,0)),IFERROR(INDEX(①今日の在庫を貼る!$E$6:$E$10005,MATCH($C33,①今日の在庫を貼る!$I$6:$I$10005,0)),IFERROR(INDEX(月1回_前回の在庫を貼る!$E$6:$E$10005,MATCH($C33,月1回_前回の在庫を貼る!$I$6:$I$10005,0)),""))))</f>
        <v>オザックス株式会社</v>
      </c>
      <c r="G33" s="69" t="n">
        <f aca="false">IF($C33="","",IFERROR(INDEX(商品マスタ!$F$6:$F$1005,MATCH($C33,商品マスタ!$B$6:$B$1005,0)),IFERROR(INDEX(①今日の在庫を貼る!$K$6:$K$10005,MATCH($C33,①今日の在庫を貼る!$I$6:$I$10005,0)),IFERROR(INDEX(月1回_前回の在庫を貼る!$K$6:$K$10005,MATCH($C33,月1回_前回の在庫を貼る!$I$6:$I$10005,0)),""))))</f>
        <v>1</v>
      </c>
      <c r="H33" s="71" t="n">
        <f aca="false">IF($C33="","",IFERROR(INDEX(商品マスタ!$G$6:$G$1005,MATCH($C33,商品マスタ!$B$6:$B$1005,0)),IFERROR(INDEX(①今日の在庫を貼る!$Q$6:$Q$10005,MATCH($C33,①今日の在庫を貼る!$I$6:$I$10005,0)),IFERROR(INDEX(月1回_前回の在庫を貼る!$Q$6:$Q$10005,MATCH($C33,月1回_前回の在庫を貼る!$I$6:$I$10005,0)),""))))</f>
        <v>26884</v>
      </c>
      <c r="I33" s="66" t="n">
        <f aca="false">IF($C33="","",IFERROR(INDEX(商品マスタ!$H$6:$H$1005,MATCH($C33,商品マスタ!$B$6:$B$1005,0)),3))</f>
        <v>3</v>
      </c>
      <c r="J33" s="66" t="n">
        <f aca="false">IF($C33="","",MAX(1,IFERROR(INDEX(商品マスタ!$I$6:$I$1005,MATCH($C33,商品マスタ!$B$6:$B$1005,0)),1)))</f>
        <v>1</v>
      </c>
      <c r="K33" s="69" t="n">
        <f aca="false">IF($C33="","",SUMIFS(①今日の在庫を貼る!$N$6:$N$10005,①今日の在庫を貼る!$B$6:$B$10005,'設定（最初に1回）'!$C$4,①今日の在庫を貼る!$I$6:$I$10005,$C33))</f>
        <v>3</v>
      </c>
      <c r="L33" s="69" t="n">
        <f aca="false">IF($C33="","",SUMIFS(月1回_前回の在庫を貼る!$N$6:$N$10005,月1回_前回の在庫を貼る!$B$6:$B$10005,'設定（最初に1回）'!$C$4,月1回_前回の在庫を貼る!$I$6:$I$10005,$C33))</f>
        <v>37</v>
      </c>
      <c r="M33" s="69" t="n">
        <f aca="false">IF($C33="","",IF(OR('設定（最初に1回）'!$C$6="",'設定（最初に1回）'!$C$7=""),0,SUMIFS(発注管理!$S$6:$S$1005,発注管理!$C$6:$C$1005,'設定（最初に1回）'!$C$4,発注管理!$F$6:$F$1005,$C33,発注管理!$R$6:$R$1005,"&gt;="&amp;'設定（最初に1回）'!$C$7,発注管理!$R$6:$R$1005,"&lt;="&amp;'設定（最初に1回）'!$C$6)))</f>
        <v>0</v>
      </c>
      <c r="N33" s="69" t="n">
        <f aca="false">IF(OR($C33="",'設定（最初に1回）'!$C$15=0),"",$L33+$M33-$K33)</f>
        <v>34</v>
      </c>
      <c r="O33" s="143" t="n">
        <f aca="false">IF(OR($N33="",'設定（最初に1回）'!$C$8="",'設定（最初に1回）'!$C$8&lt;=0),"",MAX(0,$N33)/'設定（最初に1回）'!$C$8)</f>
        <v>0.557377049180328</v>
      </c>
      <c r="P33" s="143" t="n">
        <f aca="false">IF($C33="","",IFERROR(INDEX(商品マスタ!$M$6:$N$1005,MATCH($C33,商品マスタ!$B$6:$B$1005,0),MATCH("PI値 "&amp;'設定（最初に1回）'!$C$11,商品マスタ!$M$5:$N$5,0)),""))</f>
        <v>3</v>
      </c>
      <c r="Q33" s="143" t="n">
        <f aca="false">IF(OR($C33="",$P33="",$P33=0,(N($I33)+N($AG33))&lt;=0),"",IFERROR(SUMIFS(随時_動員を入れる!$G$8:$G$97,随時_動員を入れる!$B$8:$B$97,"&gt;="&amp;'設定（最初に1回）'!$C$6,随時_動員を入れる!$B$8:$B$97,"&lt;="&amp;'設定（最初に1回）'!$C$6+(N($I33)+N($AG33))-1)/(N($I33)+N($AG33)),0)*$P33/100)</f>
        <v>158.762264150943</v>
      </c>
      <c r="R33" s="69" t="n">
        <f aca="false">IF($C33="","",SUMIFS(①今日の在庫を貼る!$O$6:$O$10005,①今日の在庫を貼る!$B$6:$B$10005,'設定（最初に1回）'!$C$4,①今日の在庫を貼る!$I$6:$I$10005,$C33))</f>
        <v>0</v>
      </c>
      <c r="S33" s="143" t="n">
        <f aca="false">IF($C33="","",IF('設定（最初に1回）'!$C$9="実績消費",N($O33),IF('設定（最初に1回）'!$C$9="PI値予測",N($Q33),MAX(N($O33),N($Q33)))))</f>
        <v>0.557377049180328</v>
      </c>
      <c r="T33" s="67" t="n">
        <f aca="false">IF(OR($S33="",$S33&lt;=0),"",$K33/$S33)</f>
        <v>5.38235294117647</v>
      </c>
      <c r="U33" s="69" t="n">
        <f aca="false">IF($S33="","",ROUNDUP(N($S33)*'設定（最初に1回）'!$C$12,0))</f>
        <v>3</v>
      </c>
      <c r="V33" s="69" t="n">
        <f aca="false">IF($C33="","",ROUNDUP(N($S33)*(N($I33)+N($AG33))+N($U33),0))</f>
        <v>6</v>
      </c>
      <c r="W33" s="69" t="n">
        <f aca="false">IF($C33="","",SUMIFS(発注管理!$L$6:$L$1005,発注管理!$C$6:$C$1005,'設定（最初に1回）'!$C$4,発注管理!$F$6:$F$1005,$C33,発注管理!$Q$6:$Q$1005,"発注済"))</f>
        <v>0</v>
      </c>
      <c r="X33" s="69" t="n">
        <f aca="false">IF($C33="","",MAX(0,N($V33)-N($K33)-N($W33)))</f>
        <v>3</v>
      </c>
      <c r="Y33" s="147" t="n">
        <f aca="false">IF($C33="","",IF(N($X33)&lt;=0,0,CEILING($X33/MAX(1,N($G33)),MAX(1,N($J33)))))</f>
        <v>3</v>
      </c>
      <c r="Z33" s="138" t="str">
        <f aca="false">IF($C33="","",IF(N($Y33)&gt;0,"要発注","正常"))</f>
        <v>要発注</v>
      </c>
      <c r="AA33" s="71" t="n">
        <f aca="false">IF($C33="","",N($K33)*N($H33))</f>
        <v>80652</v>
      </c>
      <c r="AB33" s="66" t="str">
        <f aca="false">IF($C33="","",_xlfn.TEXTJOIN(" / ",TRUE(),IF(COUNTIF(商品マスタ!$B$6:$B$1005,$C33)=0,"マスタ未登録",""),IF(COUNTIFS(月1回_前回の在庫を貼る!$B$6:$B$10005,'設定（最初に1回）'!$C$4,月1回_前回の在庫を貼る!$I$6:$I$10005,$C33)=0,"新商品",""),IF(COUNTIFS(①今日の在庫を貼る!$B$6:$B$10005,'設定（最初に1回）'!$C$4,①今日の在庫を貼る!$I$6:$I$10005,$C33)=0,"終売候補",""),IF(N($K33)&lt;0,"在庫マイナス",""),IF(AND('設定（最初に1回）'!$C$9="PI値予測",$P33=""),"PI値未設定","")))</f>
        <v/>
      </c>
      <c r="AC33" s="71" t="n">
        <f aca="false">N($Y33)*N($H33)</f>
        <v>80652</v>
      </c>
      <c r="AD33" s="66" t="str">
        <f aca="false">IF($C33="","",IFERROR(INDEX(商品マスタ!$K$6:$K$1005,MATCH($C33,商品マスタ!$B$6:$B$1005,0)),"常温"))</f>
        <v>冷蔵</v>
      </c>
      <c r="AE33" s="69" t="n">
        <f aca="false">IF($C33="","",MAX(0,ROUNDUP(N($K33)/MAX(1,N($G33)),0)))</f>
        <v>3</v>
      </c>
      <c r="AF33" s="66" t="str">
        <f aca="false">IF($C33="","",IFERROR(INDEX(商品マスタ!$L$6:$L$1005,MATCH($C33,商品マスタ!$B$6:$B$1005,0)),""))</f>
        <v>ドリンクシロップ</v>
      </c>
      <c r="AG33" s="143" t="n">
        <f aca="false">IF($C33="","",IFERROR(INDEX(定数マスタ!$S$110:$S$119,MATCH($AF33,定数マスタ!$J$110:$J$119,0)),N('設定（最初に1回）'!$C$13)))</f>
        <v>2.3</v>
      </c>
      <c r="AH33" s="66" t="n">
        <f aca="false">IF(AND(N($K33)&gt;0,N($Y33)&gt;0),N($Y33),0)</f>
        <v>3</v>
      </c>
    </row>
    <row r="34" customFormat="false" ht="15" hidden="false" customHeight="false" outlineLevel="0" collapsed="false">
      <c r="B34" s="66" t="n">
        <v>29</v>
      </c>
      <c r="C34" s="66" t="str">
        <f aca="false">IFERROR(IF($B34&lt;=MAX(①今日の在庫を貼る!$U$6:$U$10005),INDEX(①今日の在庫を貼る!$I$6:$I$10005,MATCH($B34,①今日の在庫を貼る!$U$6:$U$10005,0)),INDEX(月1回_前回の在庫を貼る!$I$6:$I$10005,MATCH($B34-MAX(①今日の在庫を貼る!$U$6:$U$10005),月1回_前回の在庫を貼る!$U$6:$U$10005,0))),"")</f>
        <v>1812000011790</v>
      </c>
      <c r="D34" s="66" t="str">
        <f aca="false">IF($C34="","",IFERROR(INDEX(商品マスタ!$C$6:$C$1005,MATCH($C34,商品マスタ!$B$6:$B$1005,0)),IFERROR(INDEX(①今日の在庫を貼る!$J$6:$J$10005,MATCH($C34,①今日の在庫を貼る!$I$6:$I$10005,0)),IFERROR(INDEX(月1回_前回の在庫を貼る!$J$6:$J$10005,MATCH($C34,月1回_前回の在庫を貼る!$I$6:$I$10005,0)),""))))</f>
        <v>ＩＣＥＥ　レッドストロベリー５Ｇ</v>
      </c>
      <c r="E34" s="66" t="str">
        <f aca="false">IF($C34="","",IFERROR(INDEX(商品マスタ!$D$6:$D$1005,MATCH($C34,商品マスタ!$B$6:$B$1005,0)),IFERROR(INDEX(①今日の在庫を貼る!$H$6:$H$10005,MATCH($C34,①今日の在庫を貼る!$I$6:$I$10005,0)),IFERROR(INDEX(月1回_前回の在庫を貼る!$H$6:$H$10005,MATCH($C34,月1回_前回の在庫を貼る!$I$6:$I$10005,0)),""))))</f>
        <v>その他ドリンク</v>
      </c>
      <c r="F34" s="66" t="str">
        <f aca="false">IF($C34="","",IFERROR(INDEX(商品マスタ!$E$6:$E$1005,MATCH($C34,商品マスタ!$B$6:$B$1005,0)),IFERROR(INDEX(①今日の在庫を貼る!$E$6:$E$10005,MATCH($C34,①今日の在庫を貼る!$I$6:$I$10005,0)),IFERROR(INDEX(月1回_前回の在庫を貼る!$E$6:$E$10005,MATCH($C34,月1回_前回の在庫を貼る!$I$6:$I$10005,0)),""))))</f>
        <v>オザックス株式会社</v>
      </c>
      <c r="G34" s="69" t="n">
        <f aca="false">IF($C34="","",IFERROR(INDEX(商品マスタ!$F$6:$F$1005,MATCH($C34,商品マスタ!$B$6:$B$1005,0)),IFERROR(INDEX(①今日の在庫を貼る!$K$6:$K$10005,MATCH($C34,①今日の在庫を貼る!$I$6:$I$10005,0)),IFERROR(INDEX(月1回_前回の在庫を貼る!$K$6:$K$10005,MATCH($C34,月1回_前回の在庫を貼る!$I$6:$I$10005,0)),""))))</f>
        <v>1</v>
      </c>
      <c r="H34" s="71" t="n">
        <f aca="false">IF($C34="","",IFERROR(INDEX(商品マスタ!$G$6:$G$1005,MATCH($C34,商品マスタ!$B$6:$B$1005,0)),IFERROR(INDEX(①今日の在庫を貼る!$Q$6:$Q$10005,MATCH($C34,①今日の在庫を貼る!$I$6:$I$10005,0)),IFERROR(INDEX(月1回_前回の在庫を貼る!$Q$6:$Q$10005,MATCH($C34,月1回_前回の在庫を貼る!$I$6:$I$10005,0)),""))))</f>
        <v>26884</v>
      </c>
      <c r="I34" s="66" t="n">
        <f aca="false">IF($C34="","",IFERROR(INDEX(商品マスタ!$H$6:$H$1005,MATCH($C34,商品マスタ!$B$6:$B$1005,0)),3))</f>
        <v>7</v>
      </c>
      <c r="J34" s="66" t="n">
        <f aca="false">IF($C34="","",MAX(1,IFERROR(INDEX(商品マスタ!$I$6:$I$1005,MATCH($C34,商品マスタ!$B$6:$B$1005,0)),1)))</f>
        <v>1</v>
      </c>
      <c r="K34" s="69" t="n">
        <f aca="false">IF($C34="","",SUMIFS(①今日の在庫を貼る!$N$6:$N$10005,①今日の在庫を貼る!$B$6:$B$10005,'設定（最初に1回）'!$C$4,①今日の在庫を貼る!$I$6:$I$10005,$C34))</f>
        <v>10</v>
      </c>
      <c r="L34" s="69" t="n">
        <f aca="false">IF($C34="","",SUMIFS(月1回_前回の在庫を貼る!$N$6:$N$10005,月1回_前回の在庫を貼る!$B$6:$B$10005,'設定（最初に1回）'!$C$4,月1回_前回の在庫を貼る!$I$6:$I$10005,$C34))</f>
        <v>34</v>
      </c>
      <c r="M34" s="69" t="n">
        <f aca="false">IF($C34="","",IF(OR('設定（最初に1回）'!$C$6="",'設定（最初に1回）'!$C$7=""),0,SUMIFS(発注管理!$S$6:$S$1005,発注管理!$C$6:$C$1005,'設定（最初に1回）'!$C$4,発注管理!$F$6:$F$1005,$C34,発注管理!$R$6:$R$1005,"&gt;="&amp;'設定（最初に1回）'!$C$7,発注管理!$R$6:$R$1005,"&lt;="&amp;'設定（最初に1回）'!$C$6)))</f>
        <v>0</v>
      </c>
      <c r="N34" s="69" t="n">
        <f aca="false">IF(OR($C34="",'設定（最初に1回）'!$C$15=0),"",$L34+$M34-$K34)</f>
        <v>24</v>
      </c>
      <c r="O34" s="143" t="n">
        <f aca="false">IF(OR($N34="",'設定（最初に1回）'!$C$8="",'設定（最初に1回）'!$C$8&lt;=0),"",MAX(0,$N34)/'設定（最初に1回）'!$C$8)</f>
        <v>0.39344262295082</v>
      </c>
      <c r="P34" s="143" t="n">
        <f aca="false">IF($C34="","",IFERROR(INDEX(商品マスタ!$M$6:$N$1005,MATCH($C34,商品マスタ!$B$6:$B$1005,0),MATCH("PI値 "&amp;'設定（最初に1回）'!$C$11,商品マスタ!$M$5:$N$5,0)),""))</f>
        <v>1.5</v>
      </c>
      <c r="Q34" s="143" t="n">
        <f aca="false">IF(OR($C34="",$P34="",$P34=0,(N($I34)+N($AG34))&lt;=0),"",IFERROR(SUMIFS(随時_動員を入れる!$G$8:$G$97,随時_動員を入れる!$B$8:$B$97,"&gt;="&amp;'設定（最初に1回）'!$C$6,随時_動員を入れる!$B$8:$B$97,"&lt;="&amp;'設定（最初に1回）'!$C$6+(N($I34)+N($AG34))-1)/(N($I34)+N($AG34)),0)*$P34/100)</f>
        <v>55.7596774193548</v>
      </c>
      <c r="R34" s="69" t="n">
        <f aca="false">IF($C34="","",SUMIFS(①今日の在庫を貼る!$O$6:$O$10005,①今日の在庫を貼る!$B$6:$B$10005,'設定（最初に1回）'!$C$4,①今日の在庫を貼る!$I$6:$I$10005,$C34))</f>
        <v>0</v>
      </c>
      <c r="S34" s="143" t="n">
        <f aca="false">IF($C34="","",IF('設定（最初に1回）'!$C$9="実績消費",N($O34),IF('設定（最初に1回）'!$C$9="PI値予測",N($Q34),MAX(N($O34),N($Q34)))))</f>
        <v>0.39344262295082</v>
      </c>
      <c r="T34" s="67" t="n">
        <f aca="false">IF(OR($S34="",$S34&lt;=0),"",$K34/$S34)</f>
        <v>25.4166666666667</v>
      </c>
      <c r="U34" s="69" t="n">
        <f aca="false">IF($S34="","",ROUNDUP(N($S34)*'設定（最初に1回）'!$C$12,0))</f>
        <v>2</v>
      </c>
      <c r="V34" s="69" t="n">
        <f aca="false">IF($C34="","",ROUNDUP(N($S34)*(N($I34)+N($AG34))+N($U34),0))</f>
        <v>6</v>
      </c>
      <c r="W34" s="69" t="n">
        <f aca="false">IF($C34="","",SUMIFS(発注管理!$L$6:$L$1005,発注管理!$C$6:$C$1005,'設定（最初に1回）'!$C$4,発注管理!$F$6:$F$1005,$C34,発注管理!$Q$6:$Q$1005,"発注済"))</f>
        <v>0</v>
      </c>
      <c r="X34" s="69" t="n">
        <f aca="false">IF($C34="","",MAX(0,N($V34)-N($K34)-N($W34)))</f>
        <v>0</v>
      </c>
      <c r="Y34" s="147" t="n">
        <f aca="false">IF($C34="","",IF(N($X34)&lt;=0,0,CEILING($X34/MAX(1,N($G34)),MAX(1,N($J34)))))</f>
        <v>0</v>
      </c>
      <c r="Z34" s="138" t="str">
        <f aca="false">IF($C34="","",IF(N($Y34)&gt;0,"要発注","正常"))</f>
        <v>正常</v>
      </c>
      <c r="AA34" s="71" t="n">
        <f aca="false">IF($C34="","",N($K34)*N($H34))</f>
        <v>268840</v>
      </c>
      <c r="AB34" s="66" t="str">
        <f aca="false">IF($C34="","",_xlfn.TEXTJOIN(" / ",TRUE(),IF(COUNTIF(商品マスタ!$B$6:$B$1005,$C34)=0,"マスタ未登録",""),IF(COUNTIFS(月1回_前回の在庫を貼る!$B$6:$B$10005,'設定（最初に1回）'!$C$4,月1回_前回の在庫を貼る!$I$6:$I$10005,$C34)=0,"新商品",""),IF(COUNTIFS(①今日の在庫を貼る!$B$6:$B$10005,'設定（最初に1回）'!$C$4,①今日の在庫を貼る!$I$6:$I$10005,$C34)=0,"終売候補",""),IF(N($K34)&lt;0,"在庫マイナス",""),IF(AND('設定（最初に1回）'!$C$9="PI値予測",$P34=""),"PI値未設定","")))</f>
        <v/>
      </c>
      <c r="AC34" s="71" t="n">
        <f aca="false">N($Y34)*N($H34)</f>
        <v>0</v>
      </c>
      <c r="AD34" s="66" t="str">
        <f aca="false">IF($C34="","",IFERROR(INDEX(商品マスタ!$K$6:$K$1005,MATCH($C34,商品マスタ!$B$6:$B$1005,0)),"常温"))</f>
        <v>冷蔵</v>
      </c>
      <c r="AE34" s="69" t="n">
        <f aca="false">IF($C34="","",MAX(0,ROUNDUP(N($K34)/MAX(1,N($G34)),0)))</f>
        <v>10</v>
      </c>
      <c r="AF34" s="66" t="str">
        <f aca="false">IF($C34="","",IFERROR(INDEX(商品マスタ!$L$6:$L$1005,MATCH($C34,商品マスタ!$B$6:$B$1005,0)),""))</f>
        <v>ドリンクシロップ</v>
      </c>
      <c r="AG34" s="143" t="n">
        <f aca="false">IF($C34="","",IFERROR(INDEX(定数マスタ!$S$110:$S$119,MATCH($AF34,定数マスタ!$J$110:$J$119,0)),N('設定（最初に1回）'!$C$13)))</f>
        <v>2.3</v>
      </c>
      <c r="AH34" s="66" t="n">
        <f aca="false">IF(AND(N($K34)&gt;0,N($Y34)&gt;0),N($Y34),0)</f>
        <v>0</v>
      </c>
    </row>
    <row r="35" customFormat="false" ht="15" hidden="false" customHeight="false" outlineLevel="0" collapsed="false">
      <c r="B35" s="66" t="n">
        <v>30</v>
      </c>
      <c r="C35" s="66" t="str">
        <f aca="false">IFERROR(IF($B35&lt;=MAX(①今日の在庫を貼る!$U$6:$U$10005),INDEX(①今日の在庫を貼る!$I$6:$I$10005,MATCH($B35,①今日の在庫を貼る!$U$6:$U$10005,0)),INDEX(月1回_前回の在庫を貼る!$I$6:$I$10005,MATCH($B35-MAX(①今日の在庫を貼る!$U$6:$U$10005),月1回_前回の在庫を貼る!$U$6:$U$10005,0))),"")</f>
        <v>1812000011806</v>
      </c>
      <c r="D35" s="66" t="str">
        <f aca="false">IF($C35="","",IFERROR(INDEX(商品マスタ!$C$6:$C$1005,MATCH($C35,商品マスタ!$B$6:$B$1005,0)),IFERROR(INDEX(①今日の在庫を貼る!$J$6:$J$10005,MATCH($C35,①今日の在庫を貼る!$I$6:$I$10005,0)),IFERROR(INDEX(月1回_前回の在庫を貼る!$J$6:$J$10005,MATCH($C35,月1回_前回の在庫を貼る!$I$6:$I$10005,0)),""))))</f>
        <v>ＩＣＥＥ　イエローピーチ５Ｇ</v>
      </c>
      <c r="E35" s="66" t="str">
        <f aca="false">IF($C35="","",IFERROR(INDEX(商品マスタ!$D$6:$D$1005,MATCH($C35,商品マスタ!$B$6:$B$1005,0)),IFERROR(INDEX(①今日の在庫を貼る!$H$6:$H$10005,MATCH($C35,①今日の在庫を貼る!$I$6:$I$10005,0)),IFERROR(INDEX(月1回_前回の在庫を貼る!$H$6:$H$10005,MATCH($C35,月1回_前回の在庫を貼る!$I$6:$I$10005,0)),""))))</f>
        <v>その他ドリンク</v>
      </c>
      <c r="F35" s="66" t="str">
        <f aca="false">IF($C35="","",IFERROR(INDEX(商品マスタ!$E$6:$E$1005,MATCH($C35,商品マスタ!$B$6:$B$1005,0)),IFERROR(INDEX(①今日の在庫を貼る!$E$6:$E$10005,MATCH($C35,①今日の在庫を貼る!$I$6:$I$10005,0)),IFERROR(INDEX(月1回_前回の在庫を貼る!$E$6:$E$10005,MATCH($C35,月1回_前回の在庫を貼る!$I$6:$I$10005,0)),""))))</f>
        <v>オザックス株式会社</v>
      </c>
      <c r="G35" s="69" t="n">
        <f aca="false">IF($C35="","",IFERROR(INDEX(商品マスタ!$F$6:$F$1005,MATCH($C35,商品マスタ!$B$6:$B$1005,0)),IFERROR(INDEX(①今日の在庫を貼る!$K$6:$K$10005,MATCH($C35,①今日の在庫を貼る!$I$6:$I$10005,0)),IFERROR(INDEX(月1回_前回の在庫を貼る!$K$6:$K$10005,MATCH($C35,月1回_前回の在庫を貼る!$I$6:$I$10005,0)),""))))</f>
        <v>1</v>
      </c>
      <c r="H35" s="71" t="n">
        <f aca="false">IF($C35="","",IFERROR(INDEX(商品マスタ!$G$6:$G$1005,MATCH($C35,商品マスタ!$B$6:$B$1005,0)),IFERROR(INDEX(①今日の在庫を貼る!$Q$6:$Q$10005,MATCH($C35,①今日の在庫を貼る!$I$6:$I$10005,0)),IFERROR(INDEX(月1回_前回の在庫を貼る!$Q$6:$Q$10005,MATCH($C35,月1回_前回の在庫を貼る!$I$6:$I$10005,0)),""))))</f>
        <v>26884</v>
      </c>
      <c r="I35" s="66" t="n">
        <f aca="false">IF($C35="","",IFERROR(INDEX(商品マスタ!$H$6:$H$1005,MATCH($C35,商品マスタ!$B$6:$B$1005,0)),3))</f>
        <v>3</v>
      </c>
      <c r="J35" s="66" t="n">
        <f aca="false">IF($C35="","",MAX(1,IFERROR(INDEX(商品マスタ!$I$6:$I$1005,MATCH($C35,商品マスタ!$B$6:$B$1005,0)),1)))</f>
        <v>1</v>
      </c>
      <c r="K35" s="69" t="n">
        <f aca="false">IF($C35="","",SUMIFS(①今日の在庫を貼る!$N$6:$N$10005,①今日の在庫を貼る!$B$6:$B$10005,'設定（最初に1回）'!$C$4,①今日の在庫を貼る!$I$6:$I$10005,$C35))</f>
        <v>10</v>
      </c>
      <c r="L35" s="69" t="n">
        <f aca="false">IF($C35="","",SUMIFS(月1回_前回の在庫を貼る!$N$6:$N$10005,月1回_前回の在庫を貼る!$B$6:$B$10005,'設定（最初に1回）'!$C$4,月1回_前回の在庫を貼る!$I$6:$I$10005,$C35))</f>
        <v>21</v>
      </c>
      <c r="M35" s="69" t="n">
        <f aca="false">IF($C35="","",IF(OR('設定（最初に1回）'!$C$6="",'設定（最初に1回）'!$C$7=""),0,SUMIFS(発注管理!$S$6:$S$1005,発注管理!$C$6:$C$1005,'設定（最初に1回）'!$C$4,発注管理!$F$6:$F$1005,$C35,発注管理!$R$6:$R$1005,"&gt;="&amp;'設定（最初に1回）'!$C$7,発注管理!$R$6:$R$1005,"&lt;="&amp;'設定（最初に1回）'!$C$6)))</f>
        <v>0</v>
      </c>
      <c r="N35" s="69" t="n">
        <f aca="false">IF(OR($C35="",'設定（最初に1回）'!$C$15=0),"",$L35+$M35-$K35)</f>
        <v>11</v>
      </c>
      <c r="O35" s="143" t="n">
        <f aca="false">IF(OR($N35="",'設定（最初に1回）'!$C$8="",'設定（最初に1回）'!$C$8&lt;=0),"",MAX(0,$N35)/'設定（最初に1回）'!$C$8)</f>
        <v>0.180327868852459</v>
      </c>
      <c r="P35" s="143" t="n">
        <f aca="false">IF($C35="","",IFERROR(INDEX(商品マスタ!$M$6:$N$1005,MATCH($C35,商品マスタ!$B$6:$B$1005,0),MATCH("PI値 "&amp;'設定（最初に1回）'!$C$11,商品マスタ!$M$5:$N$5,0)),""))</f>
        <v>3.6</v>
      </c>
      <c r="Q35" s="143" t="n">
        <f aca="false">IF(OR($C35="",$P35="",$P35=0,(N($I35)+N($AG35))&lt;=0),"",IFERROR(SUMIFS(随時_動員を入れる!$G$8:$G$97,随時_動員を入れる!$B$8:$B$97,"&gt;="&amp;'設定（最初に1回）'!$C$6,随時_動員を入れる!$B$8:$B$97,"&lt;="&amp;'設定（最初に1回）'!$C$6+(N($I35)+N($AG35))-1)/(N($I35)+N($AG35)),0)*$P35/100)</f>
        <v>190.514716981132</v>
      </c>
      <c r="R35" s="69" t="n">
        <f aca="false">IF($C35="","",SUMIFS(①今日の在庫を貼る!$O$6:$O$10005,①今日の在庫を貼る!$B$6:$B$10005,'設定（最初に1回）'!$C$4,①今日の在庫を貼る!$I$6:$I$10005,$C35))</f>
        <v>0</v>
      </c>
      <c r="S35" s="143" t="n">
        <f aca="false">IF($C35="","",IF('設定（最初に1回）'!$C$9="実績消費",N($O35),IF('設定（最初に1回）'!$C$9="PI値予測",N($Q35),MAX(N($O35),N($Q35)))))</f>
        <v>0.180327868852459</v>
      </c>
      <c r="T35" s="67" t="n">
        <f aca="false">IF(OR($S35="",$S35&lt;=0),"",$K35/$S35)</f>
        <v>55.4545454545455</v>
      </c>
      <c r="U35" s="69" t="n">
        <f aca="false">IF($S35="","",ROUNDUP(N($S35)*'設定（最初に1回）'!$C$12,0))</f>
        <v>1</v>
      </c>
      <c r="V35" s="69" t="n">
        <f aca="false">IF($C35="","",ROUNDUP(N($S35)*(N($I35)+N($AG35))+N($U35),0))</f>
        <v>2</v>
      </c>
      <c r="W35" s="69" t="n">
        <f aca="false">IF($C35="","",SUMIFS(発注管理!$L$6:$L$1005,発注管理!$C$6:$C$1005,'設定（最初に1回）'!$C$4,発注管理!$F$6:$F$1005,$C35,発注管理!$Q$6:$Q$1005,"発注済"))</f>
        <v>0</v>
      </c>
      <c r="X35" s="69" t="n">
        <f aca="false">IF($C35="","",MAX(0,N($V35)-N($K35)-N($W35)))</f>
        <v>0</v>
      </c>
      <c r="Y35" s="147" t="n">
        <f aca="false">IF($C35="","",IF(N($X35)&lt;=0,0,CEILING($X35/MAX(1,N($G35)),MAX(1,N($J35)))))</f>
        <v>0</v>
      </c>
      <c r="Z35" s="138" t="str">
        <f aca="false">IF($C35="","",IF(N($Y35)&gt;0,"要発注","正常"))</f>
        <v>正常</v>
      </c>
      <c r="AA35" s="71" t="n">
        <f aca="false">IF($C35="","",N($K35)*N($H35))</f>
        <v>268840</v>
      </c>
      <c r="AB35" s="66" t="str">
        <f aca="false">IF($C35="","",_xlfn.TEXTJOIN(" / ",TRUE(),IF(COUNTIF(商品マスタ!$B$6:$B$1005,$C35)=0,"マスタ未登録",""),IF(COUNTIFS(月1回_前回の在庫を貼る!$B$6:$B$10005,'設定（最初に1回）'!$C$4,月1回_前回の在庫を貼る!$I$6:$I$10005,$C35)=0,"新商品",""),IF(COUNTIFS(①今日の在庫を貼る!$B$6:$B$10005,'設定（最初に1回）'!$C$4,①今日の在庫を貼る!$I$6:$I$10005,$C35)=0,"終売候補",""),IF(N($K35)&lt;0,"在庫マイナス",""),IF(AND('設定（最初に1回）'!$C$9="PI値予測",$P35=""),"PI値未設定","")))</f>
        <v/>
      </c>
      <c r="AC35" s="71" t="n">
        <f aca="false">N($Y35)*N($H35)</f>
        <v>0</v>
      </c>
      <c r="AD35" s="66" t="str">
        <f aca="false">IF($C35="","",IFERROR(INDEX(商品マスタ!$K$6:$K$1005,MATCH($C35,商品マスタ!$B$6:$B$1005,0)),"常温"))</f>
        <v>冷蔵</v>
      </c>
      <c r="AE35" s="69" t="n">
        <f aca="false">IF($C35="","",MAX(0,ROUNDUP(N($K35)/MAX(1,N($G35)),0)))</f>
        <v>10</v>
      </c>
      <c r="AF35" s="66" t="str">
        <f aca="false">IF($C35="","",IFERROR(INDEX(商品マスタ!$L$6:$L$1005,MATCH($C35,商品マスタ!$B$6:$B$1005,0)),""))</f>
        <v>ドリンクシロップ</v>
      </c>
      <c r="AG35" s="143" t="n">
        <f aca="false">IF($C35="","",IFERROR(INDEX(定数マスタ!$S$110:$S$119,MATCH($AF35,定数マスタ!$J$110:$J$119,0)),N('設定（最初に1回）'!$C$13)))</f>
        <v>2.3</v>
      </c>
      <c r="AH35" s="66" t="n">
        <f aca="false">IF(AND(N($K35)&gt;0,N($Y35)&gt;0),N($Y35),0)</f>
        <v>0</v>
      </c>
    </row>
    <row r="36" customFormat="false" ht="15" hidden="false" customHeight="false" outlineLevel="0" collapsed="false">
      <c r="B36" s="66" t="n">
        <v>31</v>
      </c>
      <c r="C36" s="66" t="str">
        <f aca="false">IFERROR(IF($B36&lt;=MAX(①今日の在庫を貼る!$U$6:$U$10005),INDEX(①今日の在庫を貼る!$I$6:$I$10005,MATCH($B36,①今日の在庫を貼る!$U$6:$U$10005,0)),INDEX(月1回_前回の在庫を貼る!$I$6:$I$10005,MATCH($B36-MAX(①今日の在庫を貼る!$U$6:$U$10005),月1回_前回の在庫を貼る!$U$6:$U$10005,0))),"")</f>
        <v>1812000012490</v>
      </c>
      <c r="D36" s="66" t="str">
        <f aca="false">IF($C36="","",IFERROR(INDEX(商品マスタ!$C$6:$C$1005,MATCH($C36,商品マスタ!$B$6:$B$1005,0)),IFERROR(INDEX(①今日の在庫を貼る!$J$6:$J$10005,MATCH($C36,①今日の在庫を貼る!$I$6:$I$10005,0)),IFERROR(INDEX(月1回_前回の在庫を貼る!$J$6:$J$10005,MATCH($C36,月1回_前回の在庫を貼る!$I$6:$I$10005,0)),""))))</f>
        <v>ブルーキュラソーシロップ</v>
      </c>
      <c r="E36" s="66" t="str">
        <f aca="false">IF($C36="","",IFERROR(INDEX(商品マスタ!$D$6:$D$1005,MATCH($C36,商品マスタ!$B$6:$B$1005,0)),IFERROR(INDEX(①今日の在庫を貼る!$H$6:$H$10005,MATCH($C36,①今日の在庫を貼る!$I$6:$I$10005,0)),IFERROR(INDEX(月1回_前回の在庫を貼る!$H$6:$H$10005,MATCH($C36,月1回_前回の在庫を貼る!$I$6:$I$10005,0)),""))))</f>
        <v>その他ドリンク</v>
      </c>
      <c r="F36" s="66" t="str">
        <f aca="false">IF($C36="","",IFERROR(INDEX(商品マスタ!$E$6:$E$1005,MATCH($C36,商品マスタ!$B$6:$B$1005,0)),IFERROR(INDEX(①今日の在庫を貼る!$E$6:$E$10005,MATCH($C36,①今日の在庫を貼る!$I$6:$I$10005,0)),IFERROR(INDEX(月1回_前回の在庫を貼る!$E$6:$E$10005,MATCH($C36,月1回_前回の在庫を貼る!$I$6:$I$10005,0)),""))))</f>
        <v>オザックス株式会社</v>
      </c>
      <c r="G36" s="69" t="n">
        <f aca="false">IF($C36="","",IFERROR(INDEX(商品マスタ!$F$6:$F$1005,MATCH($C36,商品マスタ!$B$6:$B$1005,0)),IFERROR(INDEX(①今日の在庫を貼る!$K$6:$K$10005,MATCH($C36,①今日の在庫を貼る!$I$6:$I$10005,0)),IFERROR(INDEX(月1回_前回の在庫を貼る!$K$6:$K$10005,MATCH($C36,月1回_前回の在庫を貼る!$I$6:$I$10005,0)),""))))</f>
        <v>1</v>
      </c>
      <c r="H36" s="71" t="n">
        <f aca="false">IF($C36="","",IFERROR(INDEX(商品マスタ!$G$6:$G$1005,MATCH($C36,商品マスタ!$B$6:$B$1005,0)),IFERROR(INDEX(①今日の在庫を貼る!$Q$6:$Q$10005,MATCH($C36,①今日の在庫を貼る!$I$6:$I$10005,0)),IFERROR(INDEX(月1回_前回の在庫を貼る!$Q$6:$Q$10005,MATCH($C36,月1回_前回の在庫を貼る!$I$6:$I$10005,0)),""))))</f>
        <v>1386</v>
      </c>
      <c r="I36" s="66" t="n">
        <f aca="false">IF($C36="","",IFERROR(INDEX(商品マスタ!$H$6:$H$1005,MATCH($C36,商品マスタ!$B$6:$B$1005,0)),3))</f>
        <v>2</v>
      </c>
      <c r="J36" s="66" t="n">
        <f aca="false">IF($C36="","",MAX(1,IFERROR(INDEX(商品マスタ!$I$6:$I$1005,MATCH($C36,商品マスタ!$B$6:$B$1005,0)),1)))</f>
        <v>1</v>
      </c>
      <c r="K36" s="69" t="n">
        <f aca="false">IF($C36="","",SUMIFS(①今日の在庫を貼る!$N$6:$N$10005,①今日の在庫を貼る!$B$6:$B$10005,'設定（最初に1回）'!$C$4,①今日の在庫を貼る!$I$6:$I$10005,$C36))</f>
        <v>8</v>
      </c>
      <c r="L36" s="69" t="n">
        <f aca="false">IF($C36="","",SUMIFS(月1回_前回の在庫を貼る!$N$6:$N$10005,月1回_前回の在庫を貼る!$B$6:$B$10005,'設定（最初に1回）'!$C$4,月1回_前回の在庫を貼る!$I$6:$I$10005,$C36))</f>
        <v>26</v>
      </c>
      <c r="M36" s="69" t="n">
        <f aca="false">IF($C36="","",IF(OR('設定（最初に1回）'!$C$6="",'設定（最初に1回）'!$C$7=""),0,SUMIFS(発注管理!$S$6:$S$1005,発注管理!$C$6:$C$1005,'設定（最初に1回）'!$C$4,発注管理!$F$6:$F$1005,$C36,発注管理!$R$6:$R$1005,"&gt;="&amp;'設定（最初に1回）'!$C$7,発注管理!$R$6:$R$1005,"&lt;="&amp;'設定（最初に1回）'!$C$6)))</f>
        <v>0</v>
      </c>
      <c r="N36" s="69" t="n">
        <f aca="false">IF(OR($C36="",'設定（最初に1回）'!$C$15=0),"",$L36+$M36-$K36)</f>
        <v>18</v>
      </c>
      <c r="O36" s="143" t="n">
        <f aca="false">IF(OR($N36="",'設定（最初に1回）'!$C$8="",'設定（最初に1回）'!$C$8&lt;=0),"",MAX(0,$N36)/'設定（最初に1回）'!$C$8)</f>
        <v>0.295081967213115</v>
      </c>
      <c r="P36" s="143" t="n">
        <f aca="false">IF($C36="","",IFERROR(INDEX(商品マスタ!$M$6:$N$1005,MATCH($C36,商品マスタ!$B$6:$B$1005,0),MATCH("PI値 "&amp;'設定（最初に1回）'!$C$11,商品マスタ!$M$5:$N$5,0)),""))</f>
        <v>3</v>
      </c>
      <c r="Q36" s="143" t="n">
        <f aca="false">IF(OR($C36="",$P36="",$P36=0,(N($I36)+N($AG36))&lt;=0),"",IFERROR(SUMIFS(随時_動員を入れる!$G$8:$G$97,随時_動員を入れる!$B$8:$B$97,"&gt;="&amp;'設定（最初に1回）'!$C$6,随時_動員を入れる!$B$8:$B$97,"&lt;="&amp;'設定（最初に1回）'!$C$6+(N($I36)+N($AG36))-1)/(N($I36)+N($AG36)),0)*$P36/100)</f>
        <v>177.96976744186</v>
      </c>
      <c r="R36" s="69" t="n">
        <f aca="false">IF($C36="","",SUMIFS(①今日の在庫を貼る!$O$6:$O$10005,①今日の在庫を貼る!$B$6:$B$10005,'設定（最初に1回）'!$C$4,①今日の在庫を貼る!$I$6:$I$10005,$C36))</f>
        <v>0</v>
      </c>
      <c r="S36" s="143" t="n">
        <f aca="false">IF($C36="","",IF('設定（最初に1回）'!$C$9="実績消費",N($O36),IF('設定（最初に1回）'!$C$9="PI値予測",N($Q36),MAX(N($O36),N($Q36)))))</f>
        <v>0.295081967213115</v>
      </c>
      <c r="T36" s="67" t="n">
        <f aca="false">IF(OR($S36="",$S36&lt;=0),"",$K36/$S36)</f>
        <v>27.1111111111111</v>
      </c>
      <c r="U36" s="69" t="n">
        <f aca="false">IF($S36="","",ROUNDUP(N($S36)*'設定（最初に1回）'!$C$12,0))</f>
        <v>2</v>
      </c>
      <c r="V36" s="69" t="n">
        <f aca="false">IF($C36="","",ROUNDUP(N($S36)*(N($I36)+N($AG36))+N($U36),0))</f>
        <v>4</v>
      </c>
      <c r="W36" s="69" t="n">
        <f aca="false">IF($C36="","",SUMIFS(発注管理!$L$6:$L$1005,発注管理!$C$6:$C$1005,'設定（最初に1回）'!$C$4,発注管理!$F$6:$F$1005,$C36,発注管理!$Q$6:$Q$1005,"発注済"))</f>
        <v>0</v>
      </c>
      <c r="X36" s="69" t="n">
        <f aca="false">IF($C36="","",MAX(0,N($V36)-N($K36)-N($W36)))</f>
        <v>0</v>
      </c>
      <c r="Y36" s="147" t="n">
        <f aca="false">IF($C36="","",IF(N($X36)&lt;=0,0,CEILING($X36/MAX(1,N($G36)),MAX(1,N($J36)))))</f>
        <v>0</v>
      </c>
      <c r="Z36" s="138" t="str">
        <f aca="false">IF($C36="","",IF(N($Y36)&gt;0,"要発注","正常"))</f>
        <v>正常</v>
      </c>
      <c r="AA36" s="71" t="n">
        <f aca="false">IF($C36="","",N($K36)*N($H36))</f>
        <v>11088</v>
      </c>
      <c r="AB36" s="66" t="str">
        <f aca="false">IF($C36="","",_xlfn.TEXTJOIN(" / ",TRUE(),IF(COUNTIF(商品マスタ!$B$6:$B$1005,$C36)=0,"マスタ未登録",""),IF(COUNTIFS(月1回_前回の在庫を貼る!$B$6:$B$10005,'設定（最初に1回）'!$C$4,月1回_前回の在庫を貼る!$I$6:$I$10005,$C36)=0,"新商品",""),IF(COUNTIFS(①今日の在庫を貼る!$B$6:$B$10005,'設定（最初に1回）'!$C$4,①今日の在庫を貼る!$I$6:$I$10005,$C36)=0,"終売候補",""),IF(N($K36)&lt;0,"在庫マイナス",""),IF(AND('設定（最初に1回）'!$C$9="PI値予測",$P36=""),"PI値未設定","")))</f>
        <v/>
      </c>
      <c r="AC36" s="71" t="n">
        <f aca="false">N($Y36)*N($H36)</f>
        <v>0</v>
      </c>
      <c r="AD36" s="66" t="str">
        <f aca="false">IF($C36="","",IFERROR(INDEX(商品マスタ!$K$6:$K$1005,MATCH($C36,商品マスタ!$B$6:$B$1005,0)),"常温"))</f>
        <v>冷蔵</v>
      </c>
      <c r="AE36" s="69" t="n">
        <f aca="false">IF($C36="","",MAX(0,ROUNDUP(N($K36)/MAX(1,N($G36)),0)))</f>
        <v>8</v>
      </c>
      <c r="AF36" s="66" t="str">
        <f aca="false">IF($C36="","",IFERROR(INDEX(商品マスタ!$L$6:$L$1005,MATCH($C36,商品マスタ!$B$6:$B$1005,0)),""))</f>
        <v>ドリンクシロップ</v>
      </c>
      <c r="AG36" s="143" t="n">
        <f aca="false">IF($C36="","",IFERROR(INDEX(定数マスタ!$S$110:$S$119,MATCH($AF36,定数マスタ!$J$110:$J$119,0)),N('設定（最初に1回）'!$C$13)))</f>
        <v>2.3</v>
      </c>
      <c r="AH36" s="66" t="n">
        <f aca="false">IF(AND(N($K36)&gt;0,N($Y36)&gt;0),N($Y36),0)</f>
        <v>0</v>
      </c>
    </row>
    <row r="37" customFormat="false" ht="15" hidden="false" customHeight="false" outlineLevel="0" collapsed="false">
      <c r="B37" s="66" t="n">
        <v>32</v>
      </c>
      <c r="C37" s="66" t="str">
        <f aca="false">IFERROR(IF($B37&lt;=MAX(①今日の在庫を貼る!$U$6:$U$10005),INDEX(①今日の在庫を貼る!$I$6:$I$10005,MATCH($B37,①今日の在庫を貼る!$U$6:$U$10005,0)),INDEX(月1回_前回の在庫を貼る!$I$6:$I$10005,MATCH($B37-MAX(①今日の在庫を貼る!$U$6:$U$10005),月1回_前回の在庫を貼る!$U$6:$U$10005,0))),"")</f>
        <v>4902102091855</v>
      </c>
      <c r="D37" s="66" t="str">
        <f aca="false">IF($C37="","",IFERROR(INDEX(商品マスタ!$C$6:$C$1005,MATCH($C37,商品マスタ!$B$6:$B$1005,0)),IFERROR(INDEX(①今日の在庫を貼る!$J$6:$J$10005,MATCH($C37,①今日の在庫を貼る!$I$6:$I$10005,0)),IFERROR(INDEX(月1回_前回の在庫を貼る!$J$6:$J$10005,MATCH($C37,月1回_前回の在庫を貼る!$I$6:$I$10005,0)),""))))</f>
        <v>ミネラルウォータい・ろ・は・す</v>
      </c>
      <c r="E37" s="66" t="str">
        <f aca="false">IF($C37="","",IFERROR(INDEX(商品マスタ!$D$6:$D$1005,MATCH($C37,商品マスタ!$B$6:$B$1005,0)),IFERROR(INDEX(①今日の在庫を貼る!$H$6:$H$10005,MATCH($C37,①今日の在庫を貼る!$I$6:$I$10005,0)),IFERROR(INDEX(月1回_前回の在庫を貼る!$H$6:$H$10005,MATCH($C37,月1回_前回の在庫を貼る!$I$6:$I$10005,0)),""))))</f>
        <v>その他ドリンク</v>
      </c>
      <c r="F37" s="66" t="str">
        <f aca="false">IF($C37="","",IFERROR(INDEX(商品マスタ!$E$6:$E$1005,MATCH($C37,商品マスタ!$B$6:$B$1005,0)),IFERROR(INDEX(①今日の在庫を貼る!$E$6:$E$10005,MATCH($C37,①今日の在庫を貼る!$I$6:$I$10005,0)),IFERROR(INDEX(月1回_前回の在庫を貼る!$E$6:$E$10005,MATCH($C37,月1回_前回の在庫を貼る!$I$6:$I$10005,0)),""))))</f>
        <v>オザックス株式会社</v>
      </c>
      <c r="G37" s="69" t="n">
        <f aca="false">IF($C37="","",IFERROR(INDEX(商品マスタ!$F$6:$F$1005,MATCH($C37,商品マスタ!$B$6:$B$1005,0)),IFERROR(INDEX(①今日の在庫を貼る!$K$6:$K$10005,MATCH($C37,①今日の在庫を貼る!$I$6:$I$10005,0)),IFERROR(INDEX(月1回_前回の在庫を貼る!$K$6:$K$10005,MATCH($C37,月1回_前回の在庫を貼る!$I$6:$I$10005,0)),""))))</f>
        <v>24</v>
      </c>
      <c r="H37" s="71" t="n">
        <f aca="false">IF($C37="","",IFERROR(INDEX(商品マスタ!$G$6:$G$1005,MATCH($C37,商品マスタ!$B$6:$B$1005,0)),IFERROR(INDEX(①今日の在庫を貼る!$Q$6:$Q$10005,MATCH($C37,①今日の在庫を貼る!$I$6:$I$10005,0)),IFERROR(INDEX(月1回_前回の在庫を貼る!$Q$6:$Q$10005,MATCH($C37,月1回_前回の在庫を貼る!$I$6:$I$10005,0)),""))))</f>
        <v>87</v>
      </c>
      <c r="I37" s="66" t="n">
        <f aca="false">IF($C37="","",IFERROR(INDEX(商品マスタ!$H$6:$H$1005,MATCH($C37,商品マスタ!$B$6:$B$1005,0)),3))</f>
        <v>3</v>
      </c>
      <c r="J37" s="66" t="n">
        <f aca="false">IF($C37="","",MAX(1,IFERROR(INDEX(商品マスタ!$I$6:$I$1005,MATCH($C37,商品マスタ!$B$6:$B$1005,0)),1)))</f>
        <v>5</v>
      </c>
      <c r="K37" s="69" t="n">
        <f aca="false">IF($C37="","",SUMIFS(①今日の在庫を貼る!$N$6:$N$10005,①今日の在庫を貼る!$B$6:$B$10005,'設定（最初に1回）'!$C$4,①今日の在庫を貼る!$I$6:$I$10005,$C37))</f>
        <v>212</v>
      </c>
      <c r="L37" s="69" t="n">
        <f aca="false">IF($C37="","",SUMIFS(月1回_前回の在庫を貼る!$N$6:$N$10005,月1回_前回の在庫を貼る!$B$6:$B$10005,'設定（最初に1回）'!$C$4,月1回_前回の在庫を貼る!$I$6:$I$10005,$C37))</f>
        <v>575</v>
      </c>
      <c r="M37" s="69" t="n">
        <f aca="false">IF($C37="","",IF(OR('設定（最初に1回）'!$C$6="",'設定（最初に1回）'!$C$7=""),0,SUMIFS(発注管理!$S$6:$S$1005,発注管理!$C$6:$C$1005,'設定（最初に1回）'!$C$4,発注管理!$F$6:$F$1005,$C37,発注管理!$R$6:$R$1005,"&gt;="&amp;'設定（最初に1回）'!$C$7,発注管理!$R$6:$R$1005,"&lt;="&amp;'設定（最初に1回）'!$C$6)))</f>
        <v>0</v>
      </c>
      <c r="N37" s="69" t="n">
        <f aca="false">IF(OR($C37="",'設定（最初に1回）'!$C$15=0),"",$L37+$M37-$K37)</f>
        <v>363</v>
      </c>
      <c r="O37" s="143" t="n">
        <f aca="false">IF(OR($N37="",'設定（最初に1回）'!$C$8="",'設定（最初に1回）'!$C$8&lt;=0),"",MAX(0,$N37)/'設定（最初に1回）'!$C$8)</f>
        <v>5.95081967213115</v>
      </c>
      <c r="P37" s="143" t="n">
        <f aca="false">IF($C37="","",IFERROR(INDEX(商品マスタ!$M$6:$N$1005,MATCH($C37,商品マスタ!$B$6:$B$1005,0),MATCH("PI値 "&amp;'設定（最初に1回）'!$C$11,商品マスタ!$M$5:$N$5,0)),""))</f>
        <v>2.5</v>
      </c>
      <c r="Q37" s="143" t="n">
        <f aca="false">IF(OR($C37="",$P37="",$P37=0,(N($I37)+N($AG37))&lt;=0),"",IFERROR(SUMIFS(随時_動員を入れる!$G$8:$G$97,随時_動員を入れる!$B$8:$B$97,"&gt;="&amp;'設定（最初に1回）'!$C$6,随時_動員を入れる!$B$8:$B$97,"&lt;="&amp;'設定（最初に1回）'!$C$6+(N($I37)+N($AG37))-1)/(N($I37)+N($AG37)),0)*$P37/100)</f>
        <v>132.301886792453</v>
      </c>
      <c r="R37" s="69" t="n">
        <f aca="false">IF($C37="","",SUMIFS(①今日の在庫を貼る!$O$6:$O$10005,①今日の在庫を貼る!$B$6:$B$10005,'設定（最初に1回）'!$C$4,①今日の在庫を貼る!$I$6:$I$10005,$C37))</f>
        <v>0</v>
      </c>
      <c r="S37" s="143" t="n">
        <f aca="false">IF($C37="","",IF('設定（最初に1回）'!$C$9="実績消費",N($O37),IF('設定（最初に1回）'!$C$9="PI値予測",N($Q37),MAX(N($O37),N($Q37)))))</f>
        <v>5.95081967213115</v>
      </c>
      <c r="T37" s="67" t="n">
        <f aca="false">IF(OR($S37="",$S37&lt;=0),"",$K37/$S37)</f>
        <v>35.6253443526171</v>
      </c>
      <c r="U37" s="69" t="n">
        <f aca="false">IF($S37="","",ROUNDUP(N($S37)*'設定（最初に1回）'!$C$12,0))</f>
        <v>24</v>
      </c>
      <c r="V37" s="69" t="n">
        <f aca="false">IF($C37="","",ROUNDUP(N($S37)*(N($I37)+N($AG37))+N($U37),0))</f>
        <v>56</v>
      </c>
      <c r="W37" s="69" t="n">
        <f aca="false">IF($C37="","",SUMIFS(発注管理!$L$6:$L$1005,発注管理!$C$6:$C$1005,'設定（最初に1回）'!$C$4,発注管理!$F$6:$F$1005,$C37,発注管理!$Q$6:$Q$1005,"発注済"))</f>
        <v>0</v>
      </c>
      <c r="X37" s="69" t="n">
        <f aca="false">IF($C37="","",MAX(0,N($V37)-N($K37)-N($W37)))</f>
        <v>0</v>
      </c>
      <c r="Y37" s="147" t="n">
        <f aca="false">IF($C37="","",IF(N($X37)&lt;=0,0,CEILING($X37/MAX(1,N($G37)),MAX(1,N($J37)))))</f>
        <v>0</v>
      </c>
      <c r="Z37" s="138" t="str">
        <f aca="false">IF($C37="","",IF(N($Y37)&gt;0,"要発注","正常"))</f>
        <v>正常</v>
      </c>
      <c r="AA37" s="71" t="n">
        <f aca="false">IF($C37="","",N($K37)*N($H37))</f>
        <v>18444</v>
      </c>
      <c r="AB37" s="66" t="str">
        <f aca="false">IF($C37="","",_xlfn.TEXTJOIN(" / ",TRUE(),IF(COUNTIF(商品マスタ!$B$6:$B$1005,$C37)=0,"マスタ未登録",""),IF(COUNTIFS(月1回_前回の在庫を貼る!$B$6:$B$10005,'設定（最初に1回）'!$C$4,月1回_前回の在庫を貼る!$I$6:$I$10005,$C37)=0,"新商品",""),IF(COUNTIFS(①今日の在庫を貼る!$B$6:$B$10005,'設定（最初に1回）'!$C$4,①今日の在庫を貼る!$I$6:$I$10005,$C37)=0,"終売候補",""),IF(N($K37)&lt;0,"在庫マイナス",""),IF(AND('設定（最初に1回）'!$C$9="PI値予測",$P37=""),"PI値未設定","")))</f>
        <v/>
      </c>
      <c r="AC37" s="71" t="n">
        <f aca="false">N($Y37)*N($H37)</f>
        <v>0</v>
      </c>
      <c r="AD37" s="66" t="str">
        <f aca="false">IF($C37="","",IFERROR(INDEX(商品マスタ!$K$6:$K$1005,MATCH($C37,商品マスタ!$B$6:$B$1005,0)),"常温"))</f>
        <v>冷蔵</v>
      </c>
      <c r="AE37" s="69" t="n">
        <f aca="false">IF($C37="","",MAX(0,ROUNDUP(N($K37)/MAX(1,N($G37)),0)))</f>
        <v>9</v>
      </c>
      <c r="AF37" s="66" t="str">
        <f aca="false">IF($C37="","",IFERROR(INDEX(商品マスタ!$L$6:$L$1005,MATCH($C37,商品マスタ!$B$6:$B$1005,0)),""))</f>
        <v>ドリンクシロップ</v>
      </c>
      <c r="AG37" s="143" t="n">
        <f aca="false">IF($C37="","",IFERROR(INDEX(定数マスタ!$S$110:$S$119,MATCH($AF37,定数マスタ!$J$110:$J$119,0)),N('設定（最初に1回）'!$C$13)))</f>
        <v>2.3</v>
      </c>
      <c r="AH37" s="66" t="n">
        <f aca="false">IF(AND(N($K37)&gt;0,N($Y37)&gt;0),N($Y37),0)</f>
        <v>0</v>
      </c>
    </row>
    <row r="38" customFormat="false" ht="15" hidden="false" customHeight="false" outlineLevel="0" collapsed="false">
      <c r="B38" s="66" t="n">
        <v>33</v>
      </c>
      <c r="C38" s="66" t="str">
        <f aca="false">IFERROR(IF($B38&lt;=MAX(①今日の在庫を貼る!$U$6:$U$10005),INDEX(①今日の在庫を貼る!$I$6:$I$10005,MATCH($B38,①今日の在庫を貼る!$U$6:$U$10005,0)),INDEX(月1回_前回の在庫を貼る!$I$6:$I$10005,MATCH($B38-MAX(①今日の在庫を貼る!$U$6:$U$10005),月1回_前回の在庫を貼る!$U$6:$U$10005,0))),"")</f>
        <v>1812000007618</v>
      </c>
      <c r="D38" s="66" t="str">
        <f aca="false">IF($C38="","",IFERROR(INDEX(商品マスタ!$C$6:$C$1005,MATCH($C38,商品マスタ!$B$6:$B$1005,0)),IFERROR(INDEX(①今日の在庫を貼る!$J$6:$J$10005,MATCH($C38,①今日の在庫を貼る!$I$6:$I$10005,0)),IFERROR(INDEX(月1回_前回の在庫を貼る!$J$6:$J$10005,MATCH($C38,月1回_前回の在庫を貼る!$I$6:$I$10005,0)),""))))</f>
        <v>キャラメルグレーズ５０ＬＢＳ</v>
      </c>
      <c r="E38" s="66" t="str">
        <f aca="false">IF($C38="","",IFERROR(INDEX(商品マスタ!$D$6:$D$1005,MATCH($C38,商品マスタ!$B$6:$B$1005,0)),IFERROR(INDEX(①今日の在庫を貼る!$H$6:$H$10005,MATCH($C38,①今日の在庫を貼る!$I$6:$I$10005,0)),IFERROR(INDEX(月1回_前回の在庫を貼る!$H$6:$H$10005,MATCH($C38,月1回_前回の在庫を貼る!$I$6:$I$10005,0)),""))))</f>
        <v>ポップコーン</v>
      </c>
      <c r="F38" s="66" t="str">
        <f aca="false">IF($C38="","",IFERROR(INDEX(商品マスタ!$E$6:$E$1005,MATCH($C38,商品マスタ!$B$6:$B$1005,0)),IFERROR(INDEX(①今日の在庫を貼る!$E$6:$E$10005,MATCH($C38,①今日の在庫を貼る!$I$6:$I$10005,0)),IFERROR(INDEX(月1回_前回の在庫を貼る!$E$6:$E$10005,MATCH($C38,月1回_前回の在庫を貼る!$I$6:$I$10005,0)),""))))</f>
        <v>オザックス株式会社</v>
      </c>
      <c r="G38" s="69" t="n">
        <f aca="false">IF($C38="","",IFERROR(INDEX(商品マスタ!$F$6:$F$1005,MATCH($C38,商品マスタ!$B$6:$B$1005,0)),IFERROR(INDEX(①今日の在庫を貼る!$K$6:$K$10005,MATCH($C38,①今日の在庫を貼る!$I$6:$I$10005,0)),IFERROR(INDEX(月1回_前回の在庫を貼る!$K$6:$K$10005,MATCH($C38,月1回_前回の在庫を貼る!$I$6:$I$10005,0)),""))))</f>
        <v>1</v>
      </c>
      <c r="H38" s="71" t="n">
        <f aca="false">IF($C38="","",IFERROR(INDEX(商品マスタ!$G$6:$G$1005,MATCH($C38,商品マスタ!$B$6:$B$1005,0)),IFERROR(INDEX(①今日の在庫を貼る!$Q$6:$Q$10005,MATCH($C38,①今日の在庫を貼る!$I$6:$I$10005,0)),IFERROR(INDEX(月1回_前回の在庫を貼る!$Q$6:$Q$10005,MATCH($C38,月1回_前回の在庫を貼る!$I$6:$I$10005,0)),""))))</f>
        <v>12046</v>
      </c>
      <c r="I38" s="66" t="n">
        <f aca="false">IF($C38="","",IFERROR(INDEX(商品マスタ!$H$6:$H$1005,MATCH($C38,商品マスタ!$B$6:$B$1005,0)),3))</f>
        <v>3</v>
      </c>
      <c r="J38" s="66" t="n">
        <f aca="false">IF($C38="","",MAX(1,IFERROR(INDEX(商品マスタ!$I$6:$I$1005,MATCH($C38,商品マスタ!$B$6:$B$1005,0)),1)))</f>
        <v>1</v>
      </c>
      <c r="K38" s="69" t="n">
        <f aca="false">IF($C38="","",SUMIFS(①今日の在庫を貼る!$N$6:$N$10005,①今日の在庫を貼る!$B$6:$B$10005,'設定（最初に1回）'!$C$4,①今日の在庫を貼る!$I$6:$I$10005,$C38))</f>
        <v>264</v>
      </c>
      <c r="L38" s="69" t="n">
        <f aca="false">IF($C38="","",SUMIFS(月1回_前回の在庫を貼る!$N$6:$N$10005,月1回_前回の在庫を貼る!$B$6:$B$10005,'設定（最初に1回）'!$C$4,月1回_前回の在庫を貼る!$I$6:$I$10005,$C38))</f>
        <v>534</v>
      </c>
      <c r="M38" s="69" t="n">
        <f aca="false">IF($C38="","",IF(OR('設定（最初に1回）'!$C$6="",'設定（最初に1回）'!$C$7=""),0,SUMIFS(発注管理!$S$6:$S$1005,発注管理!$C$6:$C$1005,'設定（最初に1回）'!$C$4,発注管理!$F$6:$F$1005,$C38,発注管理!$R$6:$R$1005,"&gt;="&amp;'設定（最初に1回）'!$C$7,発注管理!$R$6:$R$1005,"&lt;="&amp;'設定（最初に1回）'!$C$6)))</f>
        <v>0</v>
      </c>
      <c r="N38" s="69" t="n">
        <f aca="false">IF(OR($C38="",'設定（最初に1回）'!$C$15=0),"",$L38+$M38-$K38)</f>
        <v>270</v>
      </c>
      <c r="O38" s="143" t="n">
        <f aca="false">IF(OR($N38="",'設定（最初に1回）'!$C$8="",'設定（最初に1回）'!$C$8&lt;=0),"",MAX(0,$N38)/'設定（最初に1回）'!$C$8)</f>
        <v>4.42622950819672</v>
      </c>
      <c r="P38" s="143" t="n">
        <f aca="false">IF($C38="","",IFERROR(INDEX(商品マスタ!$M$6:$N$1005,MATCH($C38,商品マスタ!$B$6:$B$1005,0),MATCH("PI値 "&amp;'設定（最初に1回）'!$C$11,商品マスタ!$M$5:$N$5,0)),""))</f>
        <v>5.4</v>
      </c>
      <c r="Q38" s="143" t="n">
        <f aca="false">IF(OR($C38="",$P38="",$P38=0,(N($I38)+N($AG38))&lt;=0),"",IFERROR(SUMIFS(随時_動員を入れる!$G$8:$G$97,随時_動員を入れる!$B$8:$B$97,"&gt;="&amp;'設定（最初に1回）'!$C$6,随時_動員を入れる!$B$8:$B$97,"&lt;="&amp;'設定（最初に1回）'!$C$6+(N($I38)+N($AG38))-1)/(N($I38)+N($AG38)),0)*$P38/100)</f>
        <v>205.5348</v>
      </c>
      <c r="R38" s="69" t="n">
        <f aca="false">IF($C38="","",SUMIFS(①今日の在庫を貼る!$O$6:$O$10005,①今日の在庫を貼る!$B$6:$B$10005,'設定（最初に1回）'!$C$4,①今日の在庫を貼る!$I$6:$I$10005,$C38))</f>
        <v>0</v>
      </c>
      <c r="S38" s="143" t="n">
        <f aca="false">IF($C38="","",IF('設定（最初に1回）'!$C$9="実績消費",N($O38),IF('設定（最初に1回）'!$C$9="PI値予測",N($Q38),MAX(N($O38),N($Q38)))))</f>
        <v>4.42622950819672</v>
      </c>
      <c r="T38" s="67" t="n">
        <f aca="false">IF(OR($S38="",$S38&lt;=0),"",$K38/$S38)</f>
        <v>59.6444444444444</v>
      </c>
      <c r="U38" s="69" t="n">
        <f aca="false">IF($S38="","",ROUNDUP(N($S38)*'設定（最初に1回）'!$C$12,0))</f>
        <v>18</v>
      </c>
      <c r="V38" s="69" t="n">
        <f aca="false">IF($C38="","",ROUNDUP(N($S38)*(N($I38)+N($AG38))+N($U38),0))</f>
        <v>63</v>
      </c>
      <c r="W38" s="69" t="n">
        <f aca="false">IF($C38="","",SUMIFS(発注管理!$L$6:$L$1005,発注管理!$C$6:$C$1005,'設定（最初に1回）'!$C$4,発注管理!$F$6:$F$1005,$C38,発注管理!$Q$6:$Q$1005,"発注済"))</f>
        <v>0</v>
      </c>
      <c r="X38" s="69" t="n">
        <f aca="false">IF($C38="","",MAX(0,N($V38)-N($K38)-N($W38)))</f>
        <v>0</v>
      </c>
      <c r="Y38" s="147" t="n">
        <f aca="false">IF($C38="","",IF(N($X38)&lt;=0,0,CEILING($X38/MAX(1,N($G38)),MAX(1,N($J38)))))</f>
        <v>0</v>
      </c>
      <c r="Z38" s="138" t="str">
        <f aca="false">IF($C38="","",IF(N($Y38)&gt;0,"要発注","正常"))</f>
        <v>正常</v>
      </c>
      <c r="AA38" s="71" t="n">
        <f aca="false">IF($C38="","",N($K38)*N($H38))</f>
        <v>3180144</v>
      </c>
      <c r="AB38" s="66" t="str">
        <f aca="false">IF($C38="","",_xlfn.TEXTJOIN(" / ",TRUE(),IF(COUNTIF(商品マスタ!$B$6:$B$1005,$C38)=0,"マスタ未登録",""),IF(COUNTIFS(月1回_前回の在庫を貼る!$B$6:$B$10005,'設定（最初に1回）'!$C$4,月1回_前回の在庫を貼る!$I$6:$I$10005,$C38)=0,"新商品",""),IF(COUNTIFS(①今日の在庫を貼る!$B$6:$B$10005,'設定（最初に1回）'!$C$4,①今日の在庫を貼る!$I$6:$I$10005,$C38)=0,"終売候補",""),IF(N($K38)&lt;0,"在庫マイナス",""),IF(AND('設定（最初に1回）'!$C$9="PI値予測",$P38=""),"PI値未設定","")))</f>
        <v/>
      </c>
      <c r="AC38" s="71" t="n">
        <f aca="false">N($Y38)*N($H38)</f>
        <v>0</v>
      </c>
      <c r="AD38" s="66" t="str">
        <f aca="false">IF($C38="","",IFERROR(INDEX(商品マスタ!$K$6:$K$1005,MATCH($C38,商品マスタ!$B$6:$B$1005,0)),"常温"))</f>
        <v>常温</v>
      </c>
      <c r="AE38" s="69" t="n">
        <f aca="false">IF($C38="","",MAX(0,ROUNDUP(N($K38)/MAX(1,N($G38)),0)))</f>
        <v>264</v>
      </c>
      <c r="AF38" s="66" t="str">
        <f aca="false">IF($C38="","",IFERROR(INDEX(商品マスタ!$L$6:$L$1005,MATCH($C38,商品マスタ!$B$6:$B$1005,0)),""))</f>
        <v>その他常温</v>
      </c>
      <c r="AG38" s="143" t="n">
        <f aca="false">IF($C38="","",IFERROR(INDEX(定数マスタ!$S$110:$S$119,MATCH($AF38,定数マスタ!$J$110:$J$119,0)),N('設定（最初に1回）'!$C$13)))</f>
        <v>7</v>
      </c>
      <c r="AH38" s="66" t="n">
        <f aca="false">IF(AND(N($K38)&gt;0,N($Y38)&gt;0),N($Y38),0)</f>
        <v>0</v>
      </c>
    </row>
    <row r="39" customFormat="false" ht="15" hidden="false" customHeight="false" outlineLevel="0" collapsed="false">
      <c r="B39" s="66" t="n">
        <v>34</v>
      </c>
      <c r="C39" s="66" t="str">
        <f aca="false">IFERROR(IF($B39&lt;=MAX(①今日の在庫を貼る!$U$6:$U$10005),INDEX(①今日の在庫を貼る!$I$6:$I$10005,MATCH($B39,①今日の在庫を貼る!$U$6:$U$10005,0)),INDEX(月1回_前回の在庫を貼る!$I$6:$I$10005,MATCH($B39-MAX(①今日の在庫を貼る!$U$6:$U$10005),月1回_前回の在庫を貼る!$U$6:$U$10005,0))),"")</f>
        <v>1812000008950</v>
      </c>
      <c r="D39" s="66" t="str">
        <f aca="false">IF($C39="","",IFERROR(INDEX(商品マスタ!$C$6:$C$1005,MATCH($C39,商品マスタ!$B$6:$B$1005,0)),IFERROR(INDEX(①今日の在庫を貼る!$J$6:$J$10005,MATCH($C39,①今日の在庫を貼る!$I$6:$I$10005,0)),IFERROR(INDEX(月1回_前回の在庫を貼る!$J$6:$J$10005,MATCH($C39,月1回_前回の在庫を貼る!$I$6:$I$10005,0)),""))))</f>
        <v>ポップコーンブレンドオイルＢＩＢ</v>
      </c>
      <c r="E39" s="66" t="str">
        <f aca="false">IF($C39="","",IFERROR(INDEX(商品マスタ!$D$6:$D$1005,MATCH($C39,商品マスタ!$B$6:$B$1005,0)),IFERROR(INDEX(①今日の在庫を貼る!$H$6:$H$10005,MATCH($C39,①今日の在庫を貼る!$I$6:$I$10005,0)),IFERROR(INDEX(月1回_前回の在庫を貼る!$H$6:$H$10005,MATCH($C39,月1回_前回の在庫を貼る!$I$6:$I$10005,0)),""))))</f>
        <v>ポップコーン</v>
      </c>
      <c r="F39" s="66" t="str">
        <f aca="false">IF($C39="","",IFERROR(INDEX(商品マスタ!$E$6:$E$1005,MATCH($C39,商品マスタ!$B$6:$B$1005,0)),IFERROR(INDEX(①今日の在庫を貼る!$E$6:$E$10005,MATCH($C39,①今日の在庫を貼る!$I$6:$I$10005,0)),IFERROR(INDEX(月1回_前回の在庫を貼る!$E$6:$E$10005,MATCH($C39,月1回_前回の在庫を貼る!$I$6:$I$10005,0)),""))))</f>
        <v>オザックス株式会社</v>
      </c>
      <c r="G39" s="69" t="n">
        <f aca="false">IF($C39="","",IFERROR(INDEX(商品マスタ!$F$6:$F$1005,MATCH($C39,商品マスタ!$B$6:$B$1005,0)),IFERROR(INDEX(①今日の在庫を貼る!$K$6:$K$10005,MATCH($C39,①今日の在庫を貼る!$I$6:$I$10005,0)),IFERROR(INDEX(月1回_前回の在庫を貼る!$K$6:$K$10005,MATCH($C39,月1回_前回の在庫を貼る!$I$6:$I$10005,0)),""))))</f>
        <v>1</v>
      </c>
      <c r="H39" s="71" t="n">
        <f aca="false">IF($C39="","",IFERROR(INDEX(商品マスタ!$G$6:$G$1005,MATCH($C39,商品マスタ!$B$6:$B$1005,0)),IFERROR(INDEX(①今日の在庫を貼る!$Q$6:$Q$10005,MATCH($C39,①今日の在庫を貼る!$I$6:$I$10005,0)),IFERROR(INDEX(月1回_前回の在庫を貼る!$Q$6:$Q$10005,MATCH($C39,月1回_前回の在庫を貼る!$I$6:$I$10005,0)),""))))</f>
        <v>5841</v>
      </c>
      <c r="I39" s="66" t="n">
        <f aca="false">IF($C39="","",IFERROR(INDEX(商品マスタ!$H$6:$H$1005,MATCH($C39,商品マスタ!$B$6:$B$1005,0)),3))</f>
        <v>3</v>
      </c>
      <c r="J39" s="66" t="n">
        <f aca="false">IF($C39="","",MAX(1,IFERROR(INDEX(商品マスタ!$I$6:$I$1005,MATCH($C39,商品マスタ!$B$6:$B$1005,0)),1)))</f>
        <v>1</v>
      </c>
      <c r="K39" s="69" t="n">
        <f aca="false">IF($C39="","",SUMIFS(①今日の在庫を貼る!$N$6:$N$10005,①今日の在庫を貼る!$B$6:$B$10005,'設定（最初に1回）'!$C$4,①今日の在庫を貼る!$I$6:$I$10005,$C39))</f>
        <v>16</v>
      </c>
      <c r="L39" s="69" t="n">
        <f aca="false">IF($C39="","",SUMIFS(月1回_前回の在庫を貼る!$N$6:$N$10005,月1回_前回の在庫を貼る!$B$6:$B$10005,'設定（最初に1回）'!$C$4,月1回_前回の在庫を貼る!$I$6:$I$10005,$C39))</f>
        <v>78</v>
      </c>
      <c r="M39" s="69" t="n">
        <f aca="false">IF($C39="","",IF(OR('設定（最初に1回）'!$C$6="",'設定（最初に1回）'!$C$7=""),0,SUMIFS(発注管理!$S$6:$S$1005,発注管理!$C$6:$C$1005,'設定（最初に1回）'!$C$4,発注管理!$F$6:$F$1005,$C39,発注管理!$R$6:$R$1005,"&gt;="&amp;'設定（最初に1回）'!$C$7,発注管理!$R$6:$R$1005,"&lt;="&amp;'設定（最初に1回）'!$C$6)))</f>
        <v>0</v>
      </c>
      <c r="N39" s="69" t="n">
        <f aca="false">IF(OR($C39="",'設定（最初に1回）'!$C$15=0),"",$L39+$M39-$K39)</f>
        <v>62</v>
      </c>
      <c r="O39" s="143" t="n">
        <f aca="false">IF(OR($N39="",'設定（最初に1回）'!$C$8="",'設定（最初に1回）'!$C$8&lt;=0),"",MAX(0,$N39)/'設定（最初に1回）'!$C$8)</f>
        <v>1.01639344262295</v>
      </c>
      <c r="P39" s="143" t="n">
        <f aca="false">IF($C39="","",IFERROR(INDEX(商品マスタ!$M$6:$N$1005,MATCH($C39,商品マスタ!$B$6:$B$1005,0),MATCH("PI値 "&amp;'設定（最初に1回）'!$C$11,商品マスタ!$M$5:$N$5,0)),""))</f>
        <v>8.1</v>
      </c>
      <c r="Q39" s="143" t="n">
        <f aca="false">IF(OR($C39="",$P39="",$P39=0,(N($I39)+N($AG39))&lt;=0),"",IFERROR(SUMIFS(随時_動員を入れる!$G$8:$G$97,随時_動員を入れる!$B$8:$B$97,"&gt;="&amp;'設定（最初に1回）'!$C$6,随時_動員を入れる!$B$8:$B$97,"&lt;="&amp;'設定（最初に1回）'!$C$6+(N($I39)+N($AG39))-1)/(N($I39)+N($AG39)),0)*$P39/100)</f>
        <v>308.3022</v>
      </c>
      <c r="R39" s="69" t="n">
        <f aca="false">IF($C39="","",SUMIFS(①今日の在庫を貼る!$O$6:$O$10005,①今日の在庫を貼る!$B$6:$B$10005,'設定（最初に1回）'!$C$4,①今日の在庫を貼る!$I$6:$I$10005,$C39))</f>
        <v>0</v>
      </c>
      <c r="S39" s="143" t="n">
        <f aca="false">IF($C39="","",IF('設定（最初に1回）'!$C$9="実績消費",N($O39),IF('設定（最初に1回）'!$C$9="PI値予測",N($Q39),MAX(N($O39),N($Q39)))))</f>
        <v>1.01639344262295</v>
      </c>
      <c r="T39" s="67" t="n">
        <f aca="false">IF(OR($S39="",$S39&lt;=0),"",$K39/$S39)</f>
        <v>15.741935483871</v>
      </c>
      <c r="U39" s="69" t="n">
        <f aca="false">IF($S39="","",ROUNDUP(N($S39)*'設定（最初に1回）'!$C$12,0))</f>
        <v>5</v>
      </c>
      <c r="V39" s="69" t="n">
        <f aca="false">IF($C39="","",ROUNDUP(N($S39)*(N($I39)+N($AG39))+N($U39),0))</f>
        <v>16</v>
      </c>
      <c r="W39" s="69" t="n">
        <f aca="false">IF($C39="","",SUMIFS(発注管理!$L$6:$L$1005,発注管理!$C$6:$C$1005,'設定（最初に1回）'!$C$4,発注管理!$F$6:$F$1005,$C39,発注管理!$Q$6:$Q$1005,"発注済"))</f>
        <v>0</v>
      </c>
      <c r="X39" s="69" t="n">
        <f aca="false">IF($C39="","",MAX(0,N($V39)-N($K39)-N($W39)))</f>
        <v>0</v>
      </c>
      <c r="Y39" s="147" t="n">
        <f aca="false">IF($C39="","",IF(N($X39)&lt;=0,0,CEILING($X39/MAX(1,N($G39)),MAX(1,N($J39)))))</f>
        <v>0</v>
      </c>
      <c r="Z39" s="138" t="str">
        <f aca="false">IF($C39="","",IF(N($Y39)&gt;0,"要発注","正常"))</f>
        <v>正常</v>
      </c>
      <c r="AA39" s="71" t="n">
        <f aca="false">IF($C39="","",N($K39)*N($H39))</f>
        <v>93456</v>
      </c>
      <c r="AB39" s="66" t="str">
        <f aca="false">IF($C39="","",_xlfn.TEXTJOIN(" / ",TRUE(),IF(COUNTIF(商品マスタ!$B$6:$B$1005,$C39)=0,"マスタ未登録",""),IF(COUNTIFS(月1回_前回の在庫を貼る!$B$6:$B$10005,'設定（最初に1回）'!$C$4,月1回_前回の在庫を貼る!$I$6:$I$10005,$C39)=0,"新商品",""),IF(COUNTIFS(①今日の在庫を貼る!$B$6:$B$10005,'設定（最初に1回）'!$C$4,①今日の在庫を貼る!$I$6:$I$10005,$C39)=0,"終売候補",""),IF(N($K39)&lt;0,"在庫マイナス",""),IF(AND('設定（最初に1回）'!$C$9="PI値予測",$P39=""),"PI値未設定","")))</f>
        <v/>
      </c>
      <c r="AC39" s="71" t="n">
        <f aca="false">N($Y39)*N($H39)</f>
        <v>0</v>
      </c>
      <c r="AD39" s="66" t="str">
        <f aca="false">IF($C39="","",IFERROR(INDEX(商品マスタ!$K$6:$K$1005,MATCH($C39,商品マスタ!$B$6:$B$1005,0)),"常温"))</f>
        <v>常温</v>
      </c>
      <c r="AE39" s="69" t="n">
        <f aca="false">IF($C39="","",MAX(0,ROUNDUP(N($K39)/MAX(1,N($G39)),0)))</f>
        <v>16</v>
      </c>
      <c r="AF39" s="66" t="str">
        <f aca="false">IF($C39="","",IFERROR(INDEX(商品マスタ!$L$6:$L$1005,MATCH($C39,商品マスタ!$B$6:$B$1005,0)),""))</f>
        <v>その他常温</v>
      </c>
      <c r="AG39" s="143" t="n">
        <f aca="false">IF($C39="","",IFERROR(INDEX(定数マスタ!$S$110:$S$119,MATCH($AF39,定数マスタ!$J$110:$J$119,0)),N('設定（最初に1回）'!$C$13)))</f>
        <v>7</v>
      </c>
      <c r="AH39" s="66" t="n">
        <f aca="false">IF(AND(N($K39)&gt;0,N($Y39)&gt;0),N($Y39),0)</f>
        <v>0</v>
      </c>
    </row>
    <row r="40" customFormat="false" ht="15" hidden="false" customHeight="false" outlineLevel="0" collapsed="false">
      <c r="B40" s="66" t="n">
        <v>35</v>
      </c>
      <c r="C40" s="66" t="str">
        <f aca="false">IFERROR(IF($B40&lt;=MAX(①今日の在庫を貼る!$U$6:$U$10005),INDEX(①今日の在庫を貼る!$I$6:$I$10005,MATCH($B40,①今日の在庫を貼る!$U$6:$U$10005,0)),INDEX(月1回_前回の在庫を貼る!$I$6:$I$10005,MATCH($B40-MAX(①今日の在庫を貼る!$U$6:$U$10005),月1回_前回の在庫を貼る!$U$6:$U$10005,0))),"")</f>
        <v>1812000009292</v>
      </c>
      <c r="D40" s="66" t="str">
        <f aca="false">IF($C40="","",IFERROR(INDEX(商品マスタ!$C$6:$C$1005,MATCH($C40,商品マスタ!$B$6:$B$1005,0)),IFERROR(INDEX(①今日の在庫を貼る!$J$6:$J$10005,MATCH($C40,①今日の在庫を貼る!$I$6:$I$10005,0)),IFERROR(INDEX(月1回_前回の在庫を貼る!$J$6:$J$10005,MATCH($C40,月1回_前回の在庫を貼る!$I$6:$I$10005,0)),""))))</f>
        <v>ＪＳＵバターフレーバーオイル</v>
      </c>
      <c r="E40" s="66" t="str">
        <f aca="false">IF($C40="","",IFERROR(INDEX(商品マスタ!$D$6:$D$1005,MATCH($C40,商品マスタ!$B$6:$B$1005,0)),IFERROR(INDEX(①今日の在庫を貼る!$H$6:$H$10005,MATCH($C40,①今日の在庫を貼る!$I$6:$I$10005,0)),IFERROR(INDEX(月1回_前回の在庫を貼る!$H$6:$H$10005,MATCH($C40,月1回_前回の在庫を貼る!$I$6:$I$10005,0)),""))))</f>
        <v>ポップコーン</v>
      </c>
      <c r="F40" s="66" t="str">
        <f aca="false">IF($C40="","",IFERROR(INDEX(商品マスタ!$E$6:$E$1005,MATCH($C40,商品マスタ!$B$6:$B$1005,0)),IFERROR(INDEX(①今日の在庫を貼る!$E$6:$E$10005,MATCH($C40,①今日の在庫を貼る!$I$6:$I$10005,0)),IFERROR(INDEX(月1回_前回の在庫を貼る!$E$6:$E$10005,MATCH($C40,月1回_前回の在庫を貼る!$I$6:$I$10005,0)),""))))</f>
        <v>オザックス株式会社</v>
      </c>
      <c r="G40" s="69" t="n">
        <f aca="false">IF($C40="","",IFERROR(INDEX(商品マスタ!$F$6:$F$1005,MATCH($C40,商品マスタ!$B$6:$B$1005,0)),IFERROR(INDEX(①今日の在庫を貼る!$K$6:$K$10005,MATCH($C40,①今日の在庫を貼る!$I$6:$I$10005,0)),IFERROR(INDEX(月1回_前回の在庫を貼る!$K$6:$K$10005,MATCH($C40,月1回_前回の在庫を貼る!$I$6:$I$10005,0)),""))))</f>
        <v>6</v>
      </c>
      <c r="H40" s="71" t="n">
        <f aca="false">IF($C40="","",IFERROR(INDEX(商品マスタ!$G$6:$G$1005,MATCH($C40,商品マスタ!$B$6:$B$1005,0)),IFERROR(INDEX(①今日の在庫を貼る!$Q$6:$Q$10005,MATCH($C40,①今日の在庫を貼る!$I$6:$I$10005,0)),IFERROR(INDEX(月1回_前回の在庫を貼る!$Q$6:$Q$10005,MATCH($C40,月1回_前回の在庫を貼る!$I$6:$I$10005,0)),""))))</f>
        <v>786</v>
      </c>
      <c r="I40" s="66" t="n">
        <f aca="false">IF($C40="","",IFERROR(INDEX(商品マスタ!$H$6:$H$1005,MATCH($C40,商品マスタ!$B$6:$B$1005,0)),3))</f>
        <v>7</v>
      </c>
      <c r="J40" s="66" t="n">
        <f aca="false">IF($C40="","",MAX(1,IFERROR(INDEX(商品マスタ!$I$6:$I$1005,MATCH($C40,商品マスタ!$B$6:$B$1005,0)),1)))</f>
        <v>1</v>
      </c>
      <c r="K40" s="69" t="n">
        <f aca="false">IF($C40="","",SUMIFS(①今日の在庫を貼る!$N$6:$N$10005,①今日の在庫を貼る!$B$6:$B$10005,'設定（最初に1回）'!$C$4,①今日の在庫を貼る!$I$6:$I$10005,$C40))</f>
        <v>629</v>
      </c>
      <c r="L40" s="69" t="n">
        <f aca="false">IF($C40="","",SUMIFS(月1回_前回の在庫を貼る!$N$6:$N$10005,月1回_前回の在庫を貼る!$B$6:$B$10005,'設定（最初に1回）'!$C$4,月1回_前回の在庫を貼る!$I$6:$I$10005,$C40))</f>
        <v>1137</v>
      </c>
      <c r="M40" s="69" t="n">
        <f aca="false">IF($C40="","",IF(OR('設定（最初に1回）'!$C$6="",'設定（最初に1回）'!$C$7=""),0,SUMIFS(発注管理!$S$6:$S$1005,発注管理!$C$6:$C$1005,'設定（最初に1回）'!$C$4,発注管理!$F$6:$F$1005,$C40,発注管理!$R$6:$R$1005,"&gt;="&amp;'設定（最初に1回）'!$C$7,発注管理!$R$6:$R$1005,"&lt;="&amp;'設定（最初に1回）'!$C$6)))</f>
        <v>12</v>
      </c>
      <c r="N40" s="69" t="n">
        <f aca="false">IF(OR($C40="",'設定（最初に1回）'!$C$15=0),"",$L40+$M40-$K40)</f>
        <v>520</v>
      </c>
      <c r="O40" s="143" t="n">
        <f aca="false">IF(OR($N40="",'設定（最初に1回）'!$C$8="",'設定（最初に1回）'!$C$8&lt;=0),"",MAX(0,$N40)/'設定（最初に1回）'!$C$8)</f>
        <v>8.52459016393443</v>
      </c>
      <c r="P40" s="143" t="n">
        <f aca="false">IF($C40="","",IFERROR(INDEX(商品マスタ!$M$6:$N$1005,MATCH($C40,商品マスタ!$B$6:$B$1005,0),MATCH("PI値 "&amp;'設定（最初に1回）'!$C$11,商品マスタ!$M$5:$N$5,0)),""))</f>
        <v>8.4</v>
      </c>
      <c r="Q40" s="143" t="n">
        <f aca="false">IF(OR($C40="",$P40="",$P40=0,(N($I40)+N($AG40))&lt;=0),"",IFERROR(SUMIFS(随時_動員を入れる!$G$8:$G$97,随時_動員を入れる!$B$8:$B$97,"&gt;="&amp;'設定（最初に1回）'!$C$6,随時_動員を入れる!$B$8:$B$97,"&lt;="&amp;'設定（最初に1回）'!$C$6+(N($I40)+N($AG40))-1)/(N($I40)+N($AG40)),0)*$P40/100)</f>
        <v>270.564</v>
      </c>
      <c r="R40" s="69" t="n">
        <f aca="false">IF($C40="","",SUMIFS(①今日の在庫を貼る!$O$6:$O$10005,①今日の在庫を貼る!$B$6:$B$10005,'設定（最初に1回）'!$C$4,①今日の在庫を貼る!$I$6:$I$10005,$C40))</f>
        <v>0</v>
      </c>
      <c r="S40" s="143" t="n">
        <f aca="false">IF($C40="","",IF('設定（最初に1回）'!$C$9="実績消費",N($O40),IF('設定（最初に1回）'!$C$9="PI値予測",N($Q40),MAX(N($O40),N($Q40)))))</f>
        <v>8.52459016393443</v>
      </c>
      <c r="T40" s="67" t="n">
        <f aca="false">IF(OR($S40="",$S40&lt;=0),"",$K40/$S40)</f>
        <v>73.7865384615385</v>
      </c>
      <c r="U40" s="69" t="n">
        <f aca="false">IF($S40="","",ROUNDUP(N($S40)*'設定（最初に1回）'!$C$12,0))</f>
        <v>35</v>
      </c>
      <c r="V40" s="69" t="n">
        <f aca="false">IF($C40="","",ROUNDUP(N($S40)*(N($I40)+N($AG40))+N($U40),0))</f>
        <v>155</v>
      </c>
      <c r="W40" s="69" t="n">
        <f aca="false">IF($C40="","",SUMIFS(発注管理!$L$6:$L$1005,発注管理!$C$6:$C$1005,'設定（最初に1回）'!$C$4,発注管理!$F$6:$F$1005,$C40,発注管理!$Q$6:$Q$1005,"発注済"))</f>
        <v>0</v>
      </c>
      <c r="X40" s="69" t="n">
        <f aca="false">IF($C40="","",MAX(0,N($V40)-N($K40)-N($W40)))</f>
        <v>0</v>
      </c>
      <c r="Y40" s="147" t="n">
        <f aca="false">IF($C40="","",IF(N($X40)&lt;=0,0,CEILING($X40/MAX(1,N($G40)),MAX(1,N($J40)))))</f>
        <v>0</v>
      </c>
      <c r="Z40" s="138" t="str">
        <f aca="false">IF($C40="","",IF(N($Y40)&gt;0,"要発注","正常"))</f>
        <v>正常</v>
      </c>
      <c r="AA40" s="71" t="n">
        <f aca="false">IF($C40="","",N($K40)*N($H40))</f>
        <v>494394</v>
      </c>
      <c r="AB40" s="66" t="str">
        <f aca="false">IF($C40="","",_xlfn.TEXTJOIN(" / ",TRUE(),IF(COUNTIF(商品マスタ!$B$6:$B$1005,$C40)=0,"マスタ未登録",""),IF(COUNTIFS(月1回_前回の在庫を貼る!$B$6:$B$10005,'設定（最初に1回）'!$C$4,月1回_前回の在庫を貼る!$I$6:$I$10005,$C40)=0,"新商品",""),IF(COUNTIFS(①今日の在庫を貼る!$B$6:$B$10005,'設定（最初に1回）'!$C$4,①今日の在庫を貼る!$I$6:$I$10005,$C40)=0,"終売候補",""),IF(N($K40)&lt;0,"在庫マイナス",""),IF(AND('設定（最初に1回）'!$C$9="PI値予測",$P40=""),"PI値未設定","")))</f>
        <v/>
      </c>
      <c r="AC40" s="71" t="n">
        <f aca="false">N($Y40)*N($H40)</f>
        <v>0</v>
      </c>
      <c r="AD40" s="66" t="str">
        <f aca="false">IF($C40="","",IFERROR(INDEX(商品マスタ!$K$6:$K$1005,MATCH($C40,商品マスタ!$B$6:$B$1005,0)),"常温"))</f>
        <v>常温</v>
      </c>
      <c r="AE40" s="69" t="n">
        <f aca="false">IF($C40="","",MAX(0,ROUNDUP(N($K40)/MAX(1,N($G40)),0)))</f>
        <v>105</v>
      </c>
      <c r="AF40" s="66" t="str">
        <f aca="false">IF($C40="","",IFERROR(INDEX(商品マスタ!$L$6:$L$1005,MATCH($C40,商品マスタ!$B$6:$B$1005,0)),""))</f>
        <v>その他常温</v>
      </c>
      <c r="AG40" s="143" t="n">
        <f aca="false">IF($C40="","",IFERROR(INDEX(定数マスタ!$S$110:$S$119,MATCH($AF40,定数マスタ!$J$110:$J$119,0)),N('設定（最初に1回）'!$C$13)))</f>
        <v>7</v>
      </c>
      <c r="AH40" s="66" t="n">
        <f aca="false">IF(AND(N($K40)&gt;0,N($Y40)&gt;0),N($Y40),0)</f>
        <v>0</v>
      </c>
    </row>
    <row r="41" customFormat="false" ht="15" hidden="false" customHeight="false" outlineLevel="0" collapsed="false">
      <c r="B41" s="66" t="n">
        <v>36</v>
      </c>
      <c r="C41" s="66" t="str">
        <f aca="false">IFERROR(IF($B41&lt;=MAX(①今日の在庫を貼る!$U$6:$U$10005),INDEX(①今日の在庫を貼る!$I$6:$I$10005,MATCH($B41,①今日の在庫を貼る!$U$6:$U$10005,0)),INDEX(月1回_前回の在庫を貼る!$I$6:$I$10005,MATCH($B41-MAX(①今日の在庫を貼る!$U$6:$U$10005),月1回_前回の在庫を貼る!$U$6:$U$10005,0))),"")</f>
        <v>1812000009551</v>
      </c>
      <c r="D41" s="66" t="str">
        <f aca="false">IF($C41="","",IFERROR(INDEX(商品マスタ!$C$6:$C$1005,MATCH($C41,商品マスタ!$B$6:$B$1005,0)),IFERROR(INDEX(①今日の在庫を貼る!$J$6:$J$10005,MATCH($C41,①今日の在庫を貼る!$I$6:$I$10005,0)),IFERROR(INDEX(月1回_前回の在庫を貼る!$J$6:$J$10005,MATCH($C41,月1回_前回の在庫を貼る!$I$6:$I$10005,0)),""))))</f>
        <v>シネマイク　濃厚バター醤油味</v>
      </c>
      <c r="E41" s="66" t="str">
        <f aca="false">IF($C41="","",IFERROR(INDEX(商品マスタ!$D$6:$D$1005,MATCH($C41,商品マスタ!$B$6:$B$1005,0)),IFERROR(INDEX(①今日の在庫を貼る!$H$6:$H$10005,MATCH($C41,①今日の在庫を貼る!$I$6:$I$10005,0)),IFERROR(INDEX(月1回_前回の在庫を貼る!$H$6:$H$10005,MATCH($C41,月1回_前回の在庫を貼る!$I$6:$I$10005,0)),""))))</f>
        <v>ポップコーン</v>
      </c>
      <c r="F41" s="66" t="str">
        <f aca="false">IF($C41="","",IFERROR(INDEX(商品マスタ!$E$6:$E$1005,MATCH($C41,商品マスタ!$B$6:$B$1005,0)),IFERROR(INDEX(①今日の在庫を貼る!$E$6:$E$10005,MATCH($C41,①今日の在庫を貼る!$I$6:$I$10005,0)),IFERROR(INDEX(月1回_前回の在庫を貼る!$E$6:$E$10005,MATCH($C41,月1回_前回の在庫を貼る!$I$6:$I$10005,0)),""))))</f>
        <v>オザックス株式会社</v>
      </c>
      <c r="G41" s="69" t="n">
        <f aca="false">IF($C41="","",IFERROR(INDEX(商品マスタ!$F$6:$F$1005,MATCH($C41,商品マスタ!$B$6:$B$1005,0)),IFERROR(INDEX(①今日の在庫を貼る!$K$6:$K$10005,MATCH($C41,①今日の在庫を貼る!$I$6:$I$10005,0)),IFERROR(INDEX(月1回_前回の在庫を貼る!$K$6:$K$10005,MATCH($C41,月1回_前回の在庫を貼る!$I$6:$I$10005,0)),""))))</f>
        <v>1</v>
      </c>
      <c r="H41" s="71" t="n">
        <f aca="false">IF($C41="","",IFERROR(INDEX(商品マスタ!$G$6:$G$1005,MATCH($C41,商品マスタ!$B$6:$B$1005,0)),IFERROR(INDEX(①今日の在庫を貼る!$Q$6:$Q$10005,MATCH($C41,①今日の在庫を貼る!$I$6:$I$10005,0)),IFERROR(INDEX(月1回_前回の在庫を貼る!$Q$6:$Q$10005,MATCH($C41,月1回_前回の在庫を貼る!$I$6:$I$10005,0)),""))))</f>
        <v>1024</v>
      </c>
      <c r="I41" s="66" t="n">
        <f aca="false">IF($C41="","",IFERROR(INDEX(商品マスタ!$H$6:$H$1005,MATCH($C41,商品マスタ!$B$6:$B$1005,0)),3))</f>
        <v>3</v>
      </c>
      <c r="J41" s="66" t="n">
        <f aca="false">IF($C41="","",MAX(1,IFERROR(INDEX(商品マスタ!$I$6:$I$1005,MATCH($C41,商品マスタ!$B$6:$B$1005,0)),1)))</f>
        <v>1</v>
      </c>
      <c r="K41" s="69" t="n">
        <f aca="false">IF($C41="","",SUMIFS(①今日の在庫を貼る!$N$6:$N$10005,①今日の在庫を貼る!$B$6:$B$10005,'設定（最初に1回）'!$C$4,①今日の在庫を貼る!$I$6:$I$10005,$C41))</f>
        <v>44</v>
      </c>
      <c r="L41" s="69" t="n">
        <f aca="false">IF($C41="","",SUMIFS(月1回_前回の在庫を貼る!$N$6:$N$10005,月1回_前回の在庫を貼る!$B$6:$B$10005,'設定（最初に1回）'!$C$4,月1回_前回の在庫を貼る!$I$6:$I$10005,$C41))</f>
        <v>158</v>
      </c>
      <c r="M41" s="69" t="n">
        <f aca="false">IF($C41="","",IF(OR('設定（最初に1回）'!$C$6="",'設定（最初に1回）'!$C$7=""),0,SUMIFS(発注管理!$S$6:$S$1005,発注管理!$C$6:$C$1005,'設定（最初に1回）'!$C$4,発注管理!$F$6:$F$1005,$C41,発注管理!$R$6:$R$1005,"&gt;="&amp;'設定（最初に1回）'!$C$7,発注管理!$R$6:$R$1005,"&lt;="&amp;'設定（最初に1回）'!$C$6)))</f>
        <v>0</v>
      </c>
      <c r="N41" s="69" t="n">
        <f aca="false">IF(OR($C41="",'設定（最初に1回）'!$C$15=0),"",$L41+$M41-$K41)</f>
        <v>114</v>
      </c>
      <c r="O41" s="143" t="n">
        <f aca="false">IF(OR($N41="",'設定（最初に1回）'!$C$8="",'設定（最初に1回）'!$C$8&lt;=0),"",MAX(0,$N41)/'設定（最初に1回）'!$C$8)</f>
        <v>1.86885245901639</v>
      </c>
      <c r="P41" s="143" t="n">
        <f aca="false">IF($C41="","",IFERROR(INDEX(商品マスタ!$M$6:$N$1005,MATCH($C41,商品マスタ!$B$6:$B$1005,0),MATCH("PI値 "&amp;'設定（最初に1回）'!$C$11,商品マスタ!$M$5:$N$5,0)),""))</f>
        <v>4.3</v>
      </c>
      <c r="Q41" s="143" t="n">
        <f aca="false">IF(OR($C41="",$P41="",$P41=0,(N($I41)+N($AG41))&lt;=0),"",IFERROR(SUMIFS(随時_動員を入れる!$G$8:$G$97,随時_動員を入れる!$B$8:$B$97,"&gt;="&amp;'設定（最初に1回）'!$C$6,随時_動員を入れる!$B$8:$B$97,"&lt;="&amp;'設定（最初に1回）'!$C$6+(N($I41)+N($AG41))-1)/(N($I41)+N($AG41)),0)*$P41/100)</f>
        <v>163.6666</v>
      </c>
      <c r="R41" s="69" t="n">
        <f aca="false">IF($C41="","",SUMIFS(①今日の在庫を貼る!$O$6:$O$10005,①今日の在庫を貼る!$B$6:$B$10005,'設定（最初に1回）'!$C$4,①今日の在庫を貼る!$I$6:$I$10005,$C41))</f>
        <v>0</v>
      </c>
      <c r="S41" s="143" t="n">
        <f aca="false">IF($C41="","",IF('設定（最初に1回）'!$C$9="実績消費",N($O41),IF('設定（最初に1回）'!$C$9="PI値予測",N($Q41),MAX(N($O41),N($Q41)))))</f>
        <v>1.86885245901639</v>
      </c>
      <c r="T41" s="67" t="n">
        <f aca="false">IF(OR($S41="",$S41&lt;=0),"",$K41/$S41)</f>
        <v>23.5438596491228</v>
      </c>
      <c r="U41" s="69" t="n">
        <f aca="false">IF($S41="","",ROUNDUP(N($S41)*'設定（最初に1回）'!$C$12,0))</f>
        <v>8</v>
      </c>
      <c r="V41" s="69" t="n">
        <f aca="false">IF($C41="","",ROUNDUP(N($S41)*(N($I41)+N($AG41))+N($U41),0))</f>
        <v>27</v>
      </c>
      <c r="W41" s="69" t="n">
        <f aca="false">IF($C41="","",SUMIFS(発注管理!$L$6:$L$1005,発注管理!$C$6:$C$1005,'設定（最初に1回）'!$C$4,発注管理!$F$6:$F$1005,$C41,発注管理!$Q$6:$Q$1005,"発注済"))</f>
        <v>0</v>
      </c>
      <c r="X41" s="69" t="n">
        <f aca="false">IF($C41="","",MAX(0,N($V41)-N($K41)-N($W41)))</f>
        <v>0</v>
      </c>
      <c r="Y41" s="147" t="n">
        <f aca="false">IF($C41="","",IF(N($X41)&lt;=0,0,CEILING($X41/MAX(1,N($G41)),MAX(1,N($J41)))))</f>
        <v>0</v>
      </c>
      <c r="Z41" s="138" t="str">
        <f aca="false">IF($C41="","",IF(N($Y41)&gt;0,"要発注","正常"))</f>
        <v>正常</v>
      </c>
      <c r="AA41" s="71" t="n">
        <f aca="false">IF($C41="","",N($K41)*N($H41))</f>
        <v>45056</v>
      </c>
      <c r="AB41" s="66" t="str">
        <f aca="false">IF($C41="","",_xlfn.TEXTJOIN(" / ",TRUE(),IF(COUNTIF(商品マスタ!$B$6:$B$1005,$C41)=0,"マスタ未登録",""),IF(COUNTIFS(月1回_前回の在庫を貼る!$B$6:$B$10005,'設定（最初に1回）'!$C$4,月1回_前回の在庫を貼る!$I$6:$I$10005,$C41)=0,"新商品",""),IF(COUNTIFS(①今日の在庫を貼る!$B$6:$B$10005,'設定（最初に1回）'!$C$4,①今日の在庫を貼る!$I$6:$I$10005,$C41)=0,"終売候補",""),IF(N($K41)&lt;0,"在庫マイナス",""),IF(AND('設定（最初に1回）'!$C$9="PI値予測",$P41=""),"PI値未設定","")))</f>
        <v/>
      </c>
      <c r="AC41" s="71" t="n">
        <f aca="false">N($Y41)*N($H41)</f>
        <v>0</v>
      </c>
      <c r="AD41" s="66" t="str">
        <f aca="false">IF($C41="","",IFERROR(INDEX(商品マスタ!$K$6:$K$1005,MATCH($C41,商品マスタ!$B$6:$B$1005,0)),"常温"))</f>
        <v>常温</v>
      </c>
      <c r="AE41" s="69" t="n">
        <f aca="false">IF($C41="","",MAX(0,ROUNDUP(N($K41)/MAX(1,N($G41)),0)))</f>
        <v>44</v>
      </c>
      <c r="AF41" s="66" t="str">
        <f aca="false">IF($C41="","",IFERROR(INDEX(商品マスタ!$L$6:$L$1005,MATCH($C41,商品マスタ!$B$6:$B$1005,0)),""))</f>
        <v>その他常温</v>
      </c>
      <c r="AG41" s="143" t="n">
        <f aca="false">IF($C41="","",IFERROR(INDEX(定数マスタ!$S$110:$S$119,MATCH($AF41,定数マスタ!$J$110:$J$119,0)),N('設定（最初に1回）'!$C$13)))</f>
        <v>7</v>
      </c>
      <c r="AH41" s="66" t="n">
        <f aca="false">IF(AND(N($K41)&gt;0,N($Y41)&gt;0),N($Y41),0)</f>
        <v>0</v>
      </c>
    </row>
    <row r="42" customFormat="false" ht="15" hidden="false" customHeight="false" outlineLevel="0" collapsed="false">
      <c r="B42" s="66" t="n">
        <v>37</v>
      </c>
      <c r="C42" s="66" t="str">
        <f aca="false">IFERROR(IF($B42&lt;=MAX(①今日の在庫を貼る!$U$6:$U$10005),INDEX(①今日の在庫を貼る!$I$6:$I$10005,MATCH($B42,①今日の在庫を貼る!$U$6:$U$10005,0)),INDEX(月1回_前回の在庫を貼る!$I$6:$I$10005,MATCH($B42-MAX(①今日の在庫を貼る!$U$6:$U$10005),月1回_前回の在庫を貼る!$U$6:$U$10005,0))),"")</f>
        <v>1812000010939</v>
      </c>
      <c r="D42" s="66" t="str">
        <f aca="false">IF($C42="","",IFERROR(INDEX(商品マスタ!$C$6:$C$1005,MATCH($C42,商品マスタ!$B$6:$B$1005,0)),IFERROR(INDEX(①今日の在庫を貼る!$J$6:$J$10005,MATCH($C42,①今日の在庫を貼る!$I$6:$I$10005,0)),IFERROR(INDEX(月1回_前回の在庫を貼る!$J$6:$J$10005,MATCH($C42,月1回_前回の在庫を貼る!$I$6:$I$10005,0)),""))))</f>
        <v>シネマイク　トリュフバターシーズ</v>
      </c>
      <c r="E42" s="66" t="str">
        <f aca="false">IF($C42="","",IFERROR(INDEX(商品マスタ!$D$6:$D$1005,MATCH($C42,商品マスタ!$B$6:$B$1005,0)),IFERROR(INDEX(①今日の在庫を貼る!$H$6:$H$10005,MATCH($C42,①今日の在庫を貼る!$I$6:$I$10005,0)),IFERROR(INDEX(月1回_前回の在庫を貼る!$H$6:$H$10005,MATCH($C42,月1回_前回の在庫を貼る!$I$6:$I$10005,0)),""))))</f>
        <v>ポップコーン</v>
      </c>
      <c r="F42" s="66" t="str">
        <f aca="false">IF($C42="","",IFERROR(INDEX(商品マスタ!$E$6:$E$1005,MATCH($C42,商品マスタ!$B$6:$B$1005,0)),IFERROR(INDEX(①今日の在庫を貼る!$E$6:$E$10005,MATCH($C42,①今日の在庫を貼る!$I$6:$I$10005,0)),IFERROR(INDEX(月1回_前回の在庫を貼る!$E$6:$E$10005,MATCH($C42,月1回_前回の在庫を貼る!$I$6:$I$10005,0)),""))))</f>
        <v>オザックス株式会社</v>
      </c>
      <c r="G42" s="69" t="n">
        <f aca="false">IF($C42="","",IFERROR(INDEX(商品マスタ!$F$6:$F$1005,MATCH($C42,商品マスタ!$B$6:$B$1005,0)),IFERROR(INDEX(①今日の在庫を貼る!$K$6:$K$10005,MATCH($C42,①今日の在庫を貼る!$I$6:$I$10005,0)),IFERROR(INDEX(月1回_前回の在庫を貼る!$K$6:$K$10005,MATCH($C42,月1回_前回の在庫を貼る!$I$6:$I$10005,0)),""))))</f>
        <v>1</v>
      </c>
      <c r="H42" s="71" t="n">
        <f aca="false">IF($C42="","",IFERROR(INDEX(商品マスタ!$G$6:$G$1005,MATCH($C42,商品マスタ!$B$6:$B$1005,0)),IFERROR(INDEX(①今日の在庫を貼る!$Q$6:$Q$10005,MATCH($C42,①今日の在庫を貼る!$I$6:$I$10005,0)),IFERROR(INDEX(月1回_前回の在庫を貼る!$Q$6:$Q$10005,MATCH($C42,月1回_前回の在庫を貼る!$I$6:$I$10005,0)),""))))</f>
        <v>1074</v>
      </c>
      <c r="I42" s="66" t="n">
        <f aca="false">IF($C42="","",IFERROR(INDEX(商品マスタ!$H$6:$H$1005,MATCH($C42,商品マスタ!$B$6:$B$1005,0)),3))</f>
        <v>2</v>
      </c>
      <c r="J42" s="66" t="n">
        <f aca="false">IF($C42="","",MAX(1,IFERROR(INDEX(商品マスタ!$I$6:$I$1005,MATCH($C42,商品マスタ!$B$6:$B$1005,0)),1)))</f>
        <v>1</v>
      </c>
      <c r="K42" s="69" t="n">
        <f aca="false">IF($C42="","",SUMIFS(①今日の在庫を貼る!$N$6:$N$10005,①今日の在庫を貼る!$B$6:$B$10005,'設定（最初に1回）'!$C$4,①今日の在庫を貼る!$I$6:$I$10005,$C42))</f>
        <v>118</v>
      </c>
      <c r="L42" s="69" t="n">
        <f aca="false">IF($C42="","",SUMIFS(月1回_前回の在庫を貼る!$N$6:$N$10005,月1回_前回の在庫を貼る!$B$6:$B$10005,'設定（最初に1回）'!$C$4,月1回_前回の在庫を貼る!$I$6:$I$10005,$C42))</f>
        <v>242</v>
      </c>
      <c r="M42" s="69" t="n">
        <f aca="false">IF($C42="","",IF(OR('設定（最初に1回）'!$C$6="",'設定（最初に1回）'!$C$7=""),0,SUMIFS(発注管理!$S$6:$S$1005,発注管理!$C$6:$C$1005,'設定（最初に1回）'!$C$4,発注管理!$F$6:$F$1005,$C42,発注管理!$R$6:$R$1005,"&gt;="&amp;'設定（最初に1回）'!$C$7,発注管理!$R$6:$R$1005,"&lt;="&amp;'設定（最初に1回）'!$C$6)))</f>
        <v>0</v>
      </c>
      <c r="N42" s="69" t="n">
        <f aca="false">IF(OR($C42="",'設定（最初に1回）'!$C$15=0),"",$L42+$M42-$K42)</f>
        <v>124</v>
      </c>
      <c r="O42" s="143" t="n">
        <f aca="false">IF(OR($N42="",'設定（最初に1回）'!$C$8="",'設定（最初に1回）'!$C$8&lt;=0),"",MAX(0,$N42)/'設定（最初に1回）'!$C$8)</f>
        <v>2.0327868852459</v>
      </c>
      <c r="P42" s="143" t="n">
        <f aca="false">IF($C42="","",IFERROR(INDEX(商品マスタ!$M$6:$N$1005,MATCH($C42,商品マスタ!$B$6:$B$1005,0),MATCH("PI値 "&amp;'設定（最初に1回）'!$C$11,商品マスタ!$M$5:$N$5,0)),""))</f>
        <v>5.8</v>
      </c>
      <c r="Q42" s="143" t="n">
        <f aca="false">IF(OR($C42="",$P42="",$P42=0,(N($I42)+N($AG42))&lt;=0),"",IFERROR(SUMIFS(随時_動員を入れる!$G$8:$G$97,随時_動員を入れる!$B$8:$B$97,"&gt;="&amp;'設定（最初に1回）'!$C$6,随時_動員を入れる!$B$8:$B$97,"&lt;="&amp;'設定（最初に1回）'!$C$6+(N($I42)+N($AG42))-1)/(N($I42)+N($AG42)),0)*$P42/100)</f>
        <v>222.790888888889</v>
      </c>
      <c r="R42" s="69" t="n">
        <f aca="false">IF($C42="","",SUMIFS(①今日の在庫を貼る!$O$6:$O$10005,①今日の在庫を貼る!$B$6:$B$10005,'設定（最初に1回）'!$C$4,①今日の在庫を貼る!$I$6:$I$10005,$C42))</f>
        <v>0</v>
      </c>
      <c r="S42" s="143" t="n">
        <f aca="false">IF($C42="","",IF('設定（最初に1回）'!$C$9="実績消費",N($O42),IF('設定（最初に1回）'!$C$9="PI値予測",N($Q42),MAX(N($O42),N($Q42)))))</f>
        <v>2.0327868852459</v>
      </c>
      <c r="T42" s="67" t="n">
        <f aca="false">IF(OR($S42="",$S42&lt;=0),"",$K42/$S42)</f>
        <v>58.0483870967742</v>
      </c>
      <c r="U42" s="69" t="n">
        <f aca="false">IF($S42="","",ROUNDUP(N($S42)*'設定（最初に1回）'!$C$12,0))</f>
        <v>9</v>
      </c>
      <c r="V42" s="69" t="n">
        <f aca="false">IF($C42="","",ROUNDUP(N($S42)*(N($I42)+N($AG42))+N($U42),0))</f>
        <v>28</v>
      </c>
      <c r="W42" s="69" t="n">
        <f aca="false">IF($C42="","",SUMIFS(発注管理!$L$6:$L$1005,発注管理!$C$6:$C$1005,'設定（最初に1回）'!$C$4,発注管理!$F$6:$F$1005,$C42,発注管理!$Q$6:$Q$1005,"発注済"))</f>
        <v>0</v>
      </c>
      <c r="X42" s="69" t="n">
        <f aca="false">IF($C42="","",MAX(0,N($V42)-N($K42)-N($W42)))</f>
        <v>0</v>
      </c>
      <c r="Y42" s="147" t="n">
        <f aca="false">IF($C42="","",IF(N($X42)&lt;=0,0,CEILING($X42/MAX(1,N($G42)),MAX(1,N($J42)))))</f>
        <v>0</v>
      </c>
      <c r="Z42" s="138" t="str">
        <f aca="false">IF($C42="","",IF(N($Y42)&gt;0,"要発注","正常"))</f>
        <v>正常</v>
      </c>
      <c r="AA42" s="71" t="n">
        <f aca="false">IF($C42="","",N($K42)*N($H42))</f>
        <v>126732</v>
      </c>
      <c r="AB42" s="66" t="str">
        <f aca="false">IF($C42="","",_xlfn.TEXTJOIN(" / ",TRUE(),IF(COUNTIF(商品マスタ!$B$6:$B$1005,$C42)=0,"マスタ未登録",""),IF(COUNTIFS(月1回_前回の在庫を貼る!$B$6:$B$10005,'設定（最初に1回）'!$C$4,月1回_前回の在庫を貼る!$I$6:$I$10005,$C42)=0,"新商品",""),IF(COUNTIFS(①今日の在庫を貼る!$B$6:$B$10005,'設定（最初に1回）'!$C$4,①今日の在庫を貼る!$I$6:$I$10005,$C42)=0,"終売候補",""),IF(N($K42)&lt;0,"在庫マイナス",""),IF(AND('設定（最初に1回）'!$C$9="PI値予測",$P42=""),"PI値未設定","")))</f>
        <v/>
      </c>
      <c r="AC42" s="71" t="n">
        <f aca="false">N($Y42)*N($H42)</f>
        <v>0</v>
      </c>
      <c r="AD42" s="66" t="str">
        <f aca="false">IF($C42="","",IFERROR(INDEX(商品マスタ!$K$6:$K$1005,MATCH($C42,商品マスタ!$B$6:$B$1005,0)),"常温"))</f>
        <v>常温</v>
      </c>
      <c r="AE42" s="69" t="n">
        <f aca="false">IF($C42="","",MAX(0,ROUNDUP(N($K42)/MAX(1,N($G42)),0)))</f>
        <v>118</v>
      </c>
      <c r="AF42" s="66" t="str">
        <f aca="false">IF($C42="","",IFERROR(INDEX(商品マスタ!$L$6:$L$1005,MATCH($C42,商品マスタ!$B$6:$B$1005,0)),""))</f>
        <v>その他常温</v>
      </c>
      <c r="AG42" s="143" t="n">
        <f aca="false">IF($C42="","",IFERROR(INDEX(定数マスタ!$S$110:$S$119,MATCH($AF42,定数マスタ!$J$110:$J$119,0)),N('設定（最初に1回）'!$C$13)))</f>
        <v>7</v>
      </c>
      <c r="AH42" s="66" t="n">
        <f aca="false">IF(AND(N($K42)&gt;0,N($Y42)&gt;0),N($Y42),0)</f>
        <v>0</v>
      </c>
    </row>
    <row r="43" customFormat="false" ht="15" hidden="false" customHeight="false" outlineLevel="0" collapsed="false">
      <c r="B43" s="66" t="n">
        <v>38</v>
      </c>
      <c r="C43" s="66" t="str">
        <f aca="false">IFERROR(IF($B43&lt;=MAX(①今日の在庫を貼る!$U$6:$U$10005),INDEX(①今日の在庫を貼る!$I$6:$I$10005,MATCH($B43,①今日の在庫を貼る!$U$6:$U$10005,0)),INDEX(月1回_前回の在庫を貼る!$I$6:$I$10005,MATCH($B43-MAX(①今日の在庫を貼る!$U$6:$U$10005),月1回_前回の在庫を貼る!$U$6:$U$10005,0))),"")</f>
        <v>1812000011271</v>
      </c>
      <c r="D43" s="66" t="str">
        <f aca="false">IF($C43="","",IFERROR(INDEX(商品マスタ!$C$6:$C$1005,MATCH($C43,商品マスタ!$B$6:$B$1005,0)),IFERROR(INDEX(①今日の在庫を貼る!$J$6:$J$10005,MATCH($C43,①今日の在庫を貼る!$I$6:$I$10005,0)),IFERROR(INDEX(月1回_前回の在庫を貼る!$J$6:$J$10005,MATCH($C43,月1回_前回の在庫を貼る!$I$6:$I$10005,0)),""))))</f>
        <v>サッポロポテトバーベＱシーズニン</v>
      </c>
      <c r="E43" s="66" t="str">
        <f aca="false">IF($C43="","",IFERROR(INDEX(商品マスタ!$D$6:$D$1005,MATCH($C43,商品マスタ!$B$6:$B$1005,0)),IFERROR(INDEX(①今日の在庫を貼る!$H$6:$H$10005,MATCH($C43,①今日の在庫を貼る!$I$6:$I$10005,0)),IFERROR(INDEX(月1回_前回の在庫を貼る!$H$6:$H$10005,MATCH($C43,月1回_前回の在庫を貼る!$I$6:$I$10005,0)),""))))</f>
        <v>ポップコーン</v>
      </c>
      <c r="F43" s="66" t="str">
        <f aca="false">IF($C43="","",IFERROR(INDEX(商品マスタ!$E$6:$E$1005,MATCH($C43,商品マスタ!$B$6:$B$1005,0)),IFERROR(INDEX(①今日の在庫を貼る!$E$6:$E$10005,MATCH($C43,①今日の在庫を貼る!$I$6:$I$10005,0)),IFERROR(INDEX(月1回_前回の在庫を貼る!$E$6:$E$10005,MATCH($C43,月1回_前回の在庫を貼る!$I$6:$I$10005,0)),""))))</f>
        <v>オザックス株式会社</v>
      </c>
      <c r="G43" s="69" t="n">
        <f aca="false">IF($C43="","",IFERROR(INDEX(商品マスタ!$F$6:$F$1005,MATCH($C43,商品マスタ!$B$6:$B$1005,0)),IFERROR(INDEX(①今日の在庫を貼る!$K$6:$K$10005,MATCH($C43,①今日の在庫を貼る!$I$6:$I$10005,0)),IFERROR(INDEX(月1回_前回の在庫を貼る!$K$6:$K$10005,MATCH($C43,月1回_前回の在庫を貼る!$I$6:$I$10005,0)),""))))</f>
        <v>1</v>
      </c>
      <c r="H43" s="71" t="n">
        <f aca="false">IF($C43="","",IFERROR(INDEX(商品マスタ!$G$6:$G$1005,MATCH($C43,商品マスタ!$B$6:$B$1005,0)),IFERROR(INDEX(①今日の在庫を貼る!$Q$6:$Q$10005,MATCH($C43,①今日の在庫を貼る!$I$6:$I$10005,0)),IFERROR(INDEX(月1回_前回の在庫を貼る!$Q$6:$Q$10005,MATCH($C43,月1回_前回の在庫を貼る!$I$6:$I$10005,0)),""))))</f>
        <v>1396</v>
      </c>
      <c r="I43" s="66" t="n">
        <f aca="false">IF($C43="","",IFERROR(INDEX(商品マスタ!$H$6:$H$1005,MATCH($C43,商品マスタ!$B$6:$B$1005,0)),3))</f>
        <v>2</v>
      </c>
      <c r="J43" s="66" t="n">
        <f aca="false">IF($C43="","",MAX(1,IFERROR(INDEX(商品マスタ!$I$6:$I$1005,MATCH($C43,商品マスタ!$B$6:$B$1005,0)),1)))</f>
        <v>1</v>
      </c>
      <c r="K43" s="69" t="n">
        <f aca="false">IF($C43="","",SUMIFS(①今日の在庫を貼る!$N$6:$N$10005,①今日の在庫を貼る!$B$6:$B$10005,'設定（最初に1回）'!$C$4,①今日の在庫を貼る!$I$6:$I$10005,$C43))</f>
        <v>-32</v>
      </c>
      <c r="L43" s="69" t="n">
        <f aca="false">IF($C43="","",SUMIFS(月1回_前回の在庫を貼る!$N$6:$N$10005,月1回_前回の在庫を貼る!$B$6:$B$10005,'設定（最初に1回）'!$C$4,月1回_前回の在庫を貼る!$I$6:$I$10005,$C43))</f>
        <v>17</v>
      </c>
      <c r="M43" s="69" t="n">
        <f aca="false">IF($C43="","",IF(OR('設定（最初に1回）'!$C$6="",'設定（最初に1回）'!$C$7=""),0,SUMIFS(発注管理!$S$6:$S$1005,発注管理!$C$6:$C$1005,'設定（最初に1回）'!$C$4,発注管理!$F$6:$F$1005,$C43,発注管理!$R$6:$R$1005,"&gt;="&amp;'設定（最初に1回）'!$C$7,発注管理!$R$6:$R$1005,"&lt;="&amp;'設定（最初に1回）'!$C$6)))</f>
        <v>0</v>
      </c>
      <c r="N43" s="69" t="n">
        <f aca="false">IF(OR($C43="",'設定（最初に1回）'!$C$15=0),"",$L43+$M43-$K43)</f>
        <v>49</v>
      </c>
      <c r="O43" s="143" t="n">
        <f aca="false">IF(OR($N43="",'設定（最初に1回）'!$C$8="",'設定（最初に1回）'!$C$8&lt;=0),"",MAX(0,$N43)/'設定（最初に1回）'!$C$8)</f>
        <v>0.80327868852459</v>
      </c>
      <c r="P43" s="143" t="n">
        <f aca="false">IF($C43="","",IFERROR(INDEX(商品マスタ!$M$6:$N$1005,MATCH($C43,商品マスタ!$B$6:$B$1005,0),MATCH("PI値 "&amp;'設定（最初に1回）'!$C$11,商品マスタ!$M$5:$N$5,0)),""))</f>
        <v>5.1</v>
      </c>
      <c r="Q43" s="143" t="n">
        <f aca="false">IF(OR($C43="",$P43="",$P43=0,(N($I43)+N($AG43))&lt;=0),"",IFERROR(SUMIFS(随時_動員を入れる!$G$8:$G$97,随時_動員を入れる!$B$8:$B$97,"&gt;="&amp;'設定（最初に1回）'!$C$6,随時_動員を入れる!$B$8:$B$97,"&lt;="&amp;'設定（最初に1回）'!$C$6+(N($I43)+N($AG43))-1)/(N($I43)+N($AG43)),0)*$P43/100)</f>
        <v>195.902333333333</v>
      </c>
      <c r="R43" s="69" t="n">
        <f aca="false">IF($C43="","",SUMIFS(①今日の在庫を貼る!$O$6:$O$10005,①今日の在庫を貼る!$B$6:$B$10005,'設定（最初に1回）'!$C$4,①今日の在庫を貼る!$I$6:$I$10005,$C43))</f>
        <v>0</v>
      </c>
      <c r="S43" s="143" t="n">
        <f aca="false">IF($C43="","",IF('設定（最初に1回）'!$C$9="実績消費",N($O43),IF('設定（最初に1回）'!$C$9="PI値予測",N($Q43),MAX(N($O43),N($Q43)))))</f>
        <v>0.80327868852459</v>
      </c>
      <c r="T43" s="67" t="n">
        <f aca="false">IF(OR($S43="",$S43&lt;=0),"",$K43/$S43)</f>
        <v>-39.8367346938776</v>
      </c>
      <c r="U43" s="69" t="n">
        <f aca="false">IF($S43="","",ROUNDUP(N($S43)*'設定（最初に1回）'!$C$12,0))</f>
        <v>4</v>
      </c>
      <c r="V43" s="69" t="n">
        <f aca="false">IF($C43="","",ROUNDUP(N($S43)*(N($I43)+N($AG43))+N($U43),0))</f>
        <v>12</v>
      </c>
      <c r="W43" s="69" t="n">
        <f aca="false">IF($C43="","",SUMIFS(発注管理!$L$6:$L$1005,発注管理!$C$6:$C$1005,'設定（最初に1回）'!$C$4,発注管理!$F$6:$F$1005,$C43,発注管理!$Q$6:$Q$1005,"発注済"))</f>
        <v>0</v>
      </c>
      <c r="X43" s="69" t="n">
        <f aca="false">IF($C43="","",MAX(0,N($V43)-N($K43)-N($W43)))</f>
        <v>44</v>
      </c>
      <c r="Y43" s="147" t="n">
        <f aca="false">IF($C43="","",IF(N($X43)&lt;=0,0,CEILING($X43/MAX(1,N($G43)),MAX(1,N($J43)))))</f>
        <v>44</v>
      </c>
      <c r="Z43" s="138" t="str">
        <f aca="false">IF($C43="","",IF(N($Y43)&gt;0,"要発注","正常"))</f>
        <v>要発注</v>
      </c>
      <c r="AA43" s="71" t="n">
        <f aca="false">IF($C43="","",N($K43)*N($H43))</f>
        <v>-44672</v>
      </c>
      <c r="AB43" s="66" t="str">
        <f aca="false">IF($C43="","",_xlfn.TEXTJOIN(" / ",TRUE(),IF(COUNTIF(商品マスタ!$B$6:$B$1005,$C43)=0,"マスタ未登録",""),IF(COUNTIFS(月1回_前回の在庫を貼る!$B$6:$B$10005,'設定（最初に1回）'!$C$4,月1回_前回の在庫を貼る!$I$6:$I$10005,$C43)=0,"新商品",""),IF(COUNTIFS(①今日の在庫を貼る!$B$6:$B$10005,'設定（最初に1回）'!$C$4,①今日の在庫を貼る!$I$6:$I$10005,$C43)=0,"終売候補",""),IF(N($K43)&lt;0,"在庫マイナス",""),IF(AND('設定（最初に1回）'!$C$9="PI値予測",$P43=""),"PI値未設定","")))</f>
        <v>在庫マイナス</v>
      </c>
      <c r="AC43" s="71" t="n">
        <f aca="false">N($Y43)*N($H43)</f>
        <v>61424</v>
      </c>
      <c r="AD43" s="66" t="str">
        <f aca="false">IF($C43="","",IFERROR(INDEX(商品マスタ!$K$6:$K$1005,MATCH($C43,商品マスタ!$B$6:$B$1005,0)),"常温"))</f>
        <v>常温</v>
      </c>
      <c r="AE43" s="69" t="n">
        <f aca="false">IF($C43="","",MAX(0,ROUNDUP(N($K43)/MAX(1,N($G43)),0)))</f>
        <v>0</v>
      </c>
      <c r="AF43" s="66" t="str">
        <f aca="false">IF($C43="","",IFERROR(INDEX(商品マスタ!$L$6:$L$1005,MATCH($C43,商品マスタ!$B$6:$B$1005,0)),""))</f>
        <v>その他常温</v>
      </c>
      <c r="AG43" s="143" t="n">
        <f aca="false">IF($C43="","",IFERROR(INDEX(定数マスタ!$S$110:$S$119,MATCH($AF43,定数マスタ!$J$110:$J$119,0)),N('設定（最初に1回）'!$C$13)))</f>
        <v>7</v>
      </c>
      <c r="AH43" s="66" t="n">
        <f aca="false">IF(AND(N($K43)&gt;0,N($Y43)&gt;0),N($Y43),0)</f>
        <v>0</v>
      </c>
    </row>
    <row r="44" customFormat="false" ht="15" hidden="false" customHeight="false" outlineLevel="0" collapsed="false">
      <c r="B44" s="66" t="n">
        <v>39</v>
      </c>
      <c r="C44" s="66" t="str">
        <f aca="false">IFERROR(IF($B44&lt;=MAX(①今日の在庫を貼る!$U$6:$U$10005),INDEX(①今日の在庫を貼る!$I$6:$I$10005,MATCH($B44,①今日の在庫を貼る!$U$6:$U$10005,0)),INDEX(月1回_前回の在庫を貼る!$I$6:$I$10005,MATCH($B44-MAX(①今日の在庫を貼る!$U$6:$U$10005),月1回_前回の在庫を貼る!$U$6:$U$10005,0))),"")</f>
        <v>1812000011288</v>
      </c>
      <c r="D44" s="66" t="str">
        <f aca="false">IF($C44="","",IFERROR(INDEX(商品マスタ!$C$6:$C$1005,MATCH($C44,商品マスタ!$B$6:$B$1005,0)),IFERROR(INDEX(①今日の在庫を貼る!$J$6:$J$10005,MATCH($C44,①今日の在庫を貼る!$I$6:$I$10005,0)),IFERROR(INDEX(月1回_前回の在庫を貼る!$J$6:$J$10005,MATCH($C44,月1回_前回の在庫を貼る!$I$6:$I$10005,0)),""))))</f>
        <v>ＴＨ　サッポロポテトバーベＱ味</v>
      </c>
      <c r="E44" s="66" t="str">
        <f aca="false">IF($C44="","",IFERROR(INDEX(商品マスタ!$D$6:$D$1005,MATCH($C44,商品マスタ!$B$6:$B$1005,0)),IFERROR(INDEX(①今日の在庫を貼る!$H$6:$H$10005,MATCH($C44,①今日の在庫を貼る!$I$6:$I$10005,0)),IFERROR(INDEX(月1回_前回の在庫を貼る!$H$6:$H$10005,MATCH($C44,月1回_前回の在庫を貼る!$I$6:$I$10005,0)),""))))</f>
        <v>ポップコーン</v>
      </c>
      <c r="F44" s="66" t="str">
        <f aca="false">IF($C44="","",IFERROR(INDEX(商品マスタ!$E$6:$E$1005,MATCH($C44,商品マスタ!$B$6:$B$1005,0)),IFERROR(INDEX(①今日の在庫を貼る!$E$6:$E$10005,MATCH($C44,①今日の在庫を貼る!$I$6:$I$10005,0)),IFERROR(INDEX(月1回_前回の在庫を貼る!$E$6:$E$10005,MATCH($C44,月1回_前回の在庫を貼る!$I$6:$I$10005,0)),""))))</f>
        <v>オザックス株式会社</v>
      </c>
      <c r="G44" s="69" t="n">
        <f aca="false">IF($C44="","",IFERROR(INDEX(商品マスタ!$F$6:$F$1005,MATCH($C44,商品マスタ!$B$6:$B$1005,0)),IFERROR(INDEX(①今日の在庫を貼る!$K$6:$K$10005,MATCH($C44,①今日の在庫を貼る!$I$6:$I$10005,0)),IFERROR(INDEX(月1回_前回の在庫を貼る!$K$6:$K$10005,MATCH($C44,月1回_前回の在庫を貼る!$I$6:$I$10005,0)),""))))</f>
        <v>48</v>
      </c>
      <c r="H44" s="71" t="n">
        <f aca="false">IF($C44="","",IFERROR(INDEX(商品マスタ!$G$6:$G$1005,MATCH($C44,商品マスタ!$B$6:$B$1005,0)),IFERROR(INDEX(①今日の在庫を貼る!$Q$6:$Q$10005,MATCH($C44,①今日の在庫を貼る!$I$6:$I$10005,0)),IFERROR(INDEX(月1回_前回の在庫を貼る!$Q$6:$Q$10005,MATCH($C44,月1回_前回の在庫を貼る!$I$6:$I$10005,0)),""))))</f>
        <v>114</v>
      </c>
      <c r="I44" s="66" t="n">
        <f aca="false">IF($C44="","",IFERROR(INDEX(商品マスタ!$H$6:$H$1005,MATCH($C44,商品マスタ!$B$6:$B$1005,0)),3))</f>
        <v>5</v>
      </c>
      <c r="J44" s="66" t="n">
        <f aca="false">IF($C44="","",MAX(1,IFERROR(INDEX(商品マスタ!$I$6:$I$1005,MATCH($C44,商品マスタ!$B$6:$B$1005,0)),1)))</f>
        <v>2</v>
      </c>
      <c r="K44" s="69" t="n">
        <f aca="false">IF($C44="","",SUMIFS(①今日の在庫を貼る!$N$6:$N$10005,①今日の在庫を貼る!$B$6:$B$10005,'設定（最初に1回）'!$C$4,①今日の在庫を貼る!$I$6:$I$10005,$C44))</f>
        <v>466</v>
      </c>
      <c r="L44" s="69" t="n">
        <f aca="false">IF($C44="","",SUMIFS(月1回_前回の在庫を貼る!$N$6:$N$10005,月1回_前回の在庫を貼る!$B$6:$B$10005,'設定（最初に1回）'!$C$4,月1回_前回の在庫を貼る!$I$6:$I$10005,$C44))</f>
        <v>1454</v>
      </c>
      <c r="M44" s="69" t="n">
        <f aca="false">IF($C44="","",IF(OR('設定（最初に1回）'!$C$6="",'設定（最初に1回）'!$C$7=""),0,SUMIFS(発注管理!$S$6:$S$1005,発注管理!$C$6:$C$1005,'設定（最初に1回）'!$C$4,発注管理!$F$6:$F$1005,$C44,発注管理!$R$6:$R$1005,"&gt;="&amp;'設定（最初に1回）'!$C$7,発注管理!$R$6:$R$1005,"&lt;="&amp;'設定（最初に1回）'!$C$6)))</f>
        <v>0</v>
      </c>
      <c r="N44" s="69" t="n">
        <f aca="false">IF(OR($C44="",'設定（最初に1回）'!$C$15=0),"",$L44+$M44-$K44)</f>
        <v>988</v>
      </c>
      <c r="O44" s="143" t="n">
        <f aca="false">IF(OR($N44="",'設定（最初に1回）'!$C$8="",'設定（最初に1回）'!$C$8&lt;=0),"",MAX(0,$N44)/'設定（最初に1回）'!$C$8)</f>
        <v>16.1967213114754</v>
      </c>
      <c r="P44" s="143" t="n">
        <f aca="false">IF($C44="","",IFERROR(INDEX(商品マスタ!$M$6:$N$1005,MATCH($C44,商品マスタ!$B$6:$B$1005,0),MATCH("PI値 "&amp;'設定（最初に1回）'!$C$11,商品マスタ!$M$5:$N$5,0)),""))</f>
        <v>9.5</v>
      </c>
      <c r="Q44" s="143" t="n">
        <f aca="false">IF(OR($C44="",$P44="",$P44=0,(N($I44)+N($AG44))&lt;=0),"",IFERROR(SUMIFS(随時_動員を入れる!$G$8:$G$97,随時_動員を入れる!$B$8:$B$97,"&gt;="&amp;'設定（最初に1回）'!$C$6,随時_動員を入れる!$B$8:$B$97,"&lt;="&amp;'設定（最初に1回）'!$C$6+(N($I44)+N($AG44))-1)/(N($I44)+N($AG44)),0)*$P44/100)</f>
        <v>336.22875</v>
      </c>
      <c r="R44" s="69" t="n">
        <f aca="false">IF($C44="","",SUMIFS(①今日の在庫を貼る!$O$6:$O$10005,①今日の在庫を貼る!$B$6:$B$10005,'設定（最初に1回）'!$C$4,①今日の在庫を貼る!$I$6:$I$10005,$C44))</f>
        <v>0</v>
      </c>
      <c r="S44" s="143" t="n">
        <f aca="false">IF($C44="","",IF('設定（最初に1回）'!$C$9="実績消費",N($O44),IF('設定（最初に1回）'!$C$9="PI値予測",N($Q44),MAX(N($O44),N($Q44)))))</f>
        <v>16.1967213114754</v>
      </c>
      <c r="T44" s="67" t="n">
        <f aca="false">IF(OR($S44="",$S44&lt;=0),"",$K44/$S44)</f>
        <v>28.7712550607287</v>
      </c>
      <c r="U44" s="69" t="n">
        <f aca="false">IF($S44="","",ROUNDUP(N($S44)*'設定（最初に1回）'!$C$12,0))</f>
        <v>65</v>
      </c>
      <c r="V44" s="69" t="n">
        <f aca="false">IF($C44="","",ROUNDUP(N($S44)*(N($I44)+N($AG44))+N($U44),0))</f>
        <v>260</v>
      </c>
      <c r="W44" s="69" t="n">
        <f aca="false">IF($C44="","",SUMIFS(発注管理!$L$6:$L$1005,発注管理!$C$6:$C$1005,'設定（最初に1回）'!$C$4,発注管理!$F$6:$F$1005,$C44,発注管理!$Q$6:$Q$1005,"発注済"))</f>
        <v>0</v>
      </c>
      <c r="X44" s="69" t="n">
        <f aca="false">IF($C44="","",MAX(0,N($V44)-N($K44)-N($W44)))</f>
        <v>0</v>
      </c>
      <c r="Y44" s="147" t="n">
        <f aca="false">IF($C44="","",IF(N($X44)&lt;=0,0,CEILING($X44/MAX(1,N($G44)),MAX(1,N($J44)))))</f>
        <v>0</v>
      </c>
      <c r="Z44" s="138" t="str">
        <f aca="false">IF($C44="","",IF(N($Y44)&gt;0,"要発注","正常"))</f>
        <v>正常</v>
      </c>
      <c r="AA44" s="71" t="n">
        <f aca="false">IF($C44="","",N($K44)*N($H44))</f>
        <v>53124</v>
      </c>
      <c r="AB44" s="66" t="str">
        <f aca="false">IF($C44="","",_xlfn.TEXTJOIN(" / ",TRUE(),IF(COUNTIF(商品マスタ!$B$6:$B$1005,$C44)=0,"マスタ未登録",""),IF(COUNTIFS(月1回_前回の在庫を貼る!$B$6:$B$10005,'設定（最初に1回）'!$C$4,月1回_前回の在庫を貼る!$I$6:$I$10005,$C44)=0,"新商品",""),IF(COUNTIFS(①今日の在庫を貼る!$B$6:$B$10005,'設定（最初に1回）'!$C$4,①今日の在庫を貼る!$I$6:$I$10005,$C44)=0,"終売候補",""),IF(N($K44)&lt;0,"在庫マイナス",""),IF(AND('設定（最初に1回）'!$C$9="PI値予測",$P44=""),"PI値未設定","")))</f>
        <v/>
      </c>
      <c r="AC44" s="71" t="n">
        <f aca="false">N($Y44)*N($H44)</f>
        <v>0</v>
      </c>
      <c r="AD44" s="66" t="str">
        <f aca="false">IF($C44="","",IFERROR(INDEX(商品マスタ!$K$6:$K$1005,MATCH($C44,商品マスタ!$B$6:$B$1005,0)),"常温"))</f>
        <v>常温</v>
      </c>
      <c r="AE44" s="69" t="n">
        <f aca="false">IF($C44="","",MAX(0,ROUNDUP(N($K44)/MAX(1,N($G44)),0)))</f>
        <v>10</v>
      </c>
      <c r="AF44" s="66" t="str">
        <f aca="false">IF($C44="","",IFERROR(INDEX(商品マスタ!$L$6:$L$1005,MATCH($C44,商品マスタ!$B$6:$B$1005,0)),""))</f>
        <v>その他常温</v>
      </c>
      <c r="AG44" s="143" t="n">
        <f aca="false">IF($C44="","",IFERROR(INDEX(定数マスタ!$S$110:$S$119,MATCH($AF44,定数マスタ!$J$110:$J$119,0)),N('設定（最初に1回）'!$C$13)))</f>
        <v>7</v>
      </c>
      <c r="AH44" s="66" t="n">
        <f aca="false">IF(AND(N($K44)&gt;0,N($Y44)&gt;0),N($Y44),0)</f>
        <v>0</v>
      </c>
    </row>
    <row r="45" customFormat="false" ht="15" hidden="false" customHeight="false" outlineLevel="0" collapsed="false">
      <c r="B45" s="66" t="n">
        <v>40</v>
      </c>
      <c r="C45" s="66" t="str">
        <f aca="false">IFERROR(IF($B45&lt;=MAX(①今日の在庫を貼る!$U$6:$U$10005),INDEX(①今日の在庫を貼る!$I$6:$I$10005,MATCH($B45,①今日の在庫を貼る!$U$6:$U$10005,0)),INDEX(月1回_前回の在庫を貼る!$I$6:$I$10005,MATCH($B45-MAX(①今日の在庫を貼る!$U$6:$U$10005),月1回_前回の在庫を貼る!$U$6:$U$10005,0))),"")</f>
        <v>1812000011387</v>
      </c>
      <c r="D45" s="66" t="str">
        <f aca="false">IF($C45="","",IFERROR(INDEX(商品マスタ!$C$6:$C$1005,MATCH($C45,商品マスタ!$B$6:$B$1005,0)),IFERROR(INDEX(①今日の在庫を貼る!$J$6:$J$10005,MATCH($C45,①今日の在庫を貼る!$I$6:$I$10005,0)),IFERROR(INDEX(月1回_前回の在庫を貼る!$J$6:$J$10005,MATCH($C45,月1回_前回の在庫を貼る!$I$6:$I$10005,0)),""))))</f>
        <v>Ｒｅｉｓｔポップコーン豆</v>
      </c>
      <c r="E45" s="66" t="str">
        <f aca="false">IF($C45="","",IFERROR(INDEX(商品マスタ!$D$6:$D$1005,MATCH($C45,商品マスタ!$B$6:$B$1005,0)),IFERROR(INDEX(①今日の在庫を貼る!$H$6:$H$10005,MATCH($C45,①今日の在庫を貼る!$I$6:$I$10005,0)),IFERROR(INDEX(月1回_前回の在庫を貼る!$H$6:$H$10005,MATCH($C45,月1回_前回の在庫を貼る!$I$6:$I$10005,0)),""))))</f>
        <v>ポップコーン</v>
      </c>
      <c r="F45" s="66" t="str">
        <f aca="false">IF($C45="","",IFERROR(INDEX(商品マスタ!$E$6:$E$1005,MATCH($C45,商品マスタ!$B$6:$B$1005,0)),IFERROR(INDEX(①今日の在庫を貼る!$E$6:$E$10005,MATCH($C45,①今日の在庫を貼る!$I$6:$I$10005,0)),IFERROR(INDEX(月1回_前回の在庫を貼る!$E$6:$E$10005,MATCH($C45,月1回_前回の在庫を貼る!$I$6:$I$10005,0)),""))))</f>
        <v>オザックス株式会社</v>
      </c>
      <c r="G45" s="69" t="n">
        <f aca="false">IF($C45="","",IFERROR(INDEX(商品マスタ!$F$6:$F$1005,MATCH($C45,商品マスタ!$B$6:$B$1005,0)),IFERROR(INDEX(①今日の在庫を貼る!$K$6:$K$10005,MATCH($C45,①今日の在庫を貼る!$I$6:$I$10005,0)),IFERROR(INDEX(月1回_前回の在庫を貼る!$K$6:$K$10005,MATCH($C45,月1回_前回の在庫を貼る!$I$6:$I$10005,0)),""))))</f>
        <v>1</v>
      </c>
      <c r="H45" s="71" t="n">
        <f aca="false">IF($C45="","",IFERROR(INDEX(商品マスタ!$G$6:$G$1005,MATCH($C45,商品マスタ!$B$6:$B$1005,0)),IFERROR(INDEX(①今日の在庫を貼る!$Q$6:$Q$10005,MATCH($C45,①今日の在庫を貼る!$I$6:$I$10005,0)),IFERROR(INDEX(月1回_前回の在庫を貼る!$Q$6:$Q$10005,MATCH($C45,月1回_前回の在庫を貼る!$I$6:$I$10005,0)),""))))</f>
        <v>4420</v>
      </c>
      <c r="I45" s="66" t="n">
        <f aca="false">IF($C45="","",IFERROR(INDEX(商品マスタ!$H$6:$H$1005,MATCH($C45,商品マスタ!$B$6:$B$1005,0)),3))</f>
        <v>2</v>
      </c>
      <c r="J45" s="66" t="n">
        <f aca="false">IF($C45="","",MAX(1,IFERROR(INDEX(商品マスタ!$I$6:$I$1005,MATCH($C45,商品マスタ!$B$6:$B$1005,0)),1)))</f>
        <v>1</v>
      </c>
      <c r="K45" s="69" t="n">
        <f aca="false">IF($C45="","",SUMIFS(①今日の在庫を貼る!$N$6:$N$10005,①今日の在庫を貼る!$B$6:$B$10005,'設定（最初に1回）'!$C$4,①今日の在庫を貼る!$I$6:$I$10005,$C45))</f>
        <v>9</v>
      </c>
      <c r="L45" s="69" t="n">
        <f aca="false">IF($C45="","",SUMIFS(月1回_前回の在庫を貼る!$N$6:$N$10005,月1回_前回の在庫を貼る!$B$6:$B$10005,'設定（最初に1回）'!$C$4,月1回_前回の在庫を貼る!$I$6:$I$10005,$C45))</f>
        <v>240</v>
      </c>
      <c r="M45" s="69" t="n">
        <f aca="false">IF($C45="","",IF(OR('設定（最初に1回）'!$C$6="",'設定（最初に1回）'!$C$7=""),0,SUMIFS(発注管理!$S$6:$S$1005,発注管理!$C$6:$C$1005,'設定（最初に1回）'!$C$4,発注管理!$F$6:$F$1005,$C45,発注管理!$R$6:$R$1005,"&gt;="&amp;'設定（最初に1回）'!$C$7,発注管理!$R$6:$R$1005,"&lt;="&amp;'設定（最初に1回）'!$C$6)))</f>
        <v>0</v>
      </c>
      <c r="N45" s="69" t="n">
        <f aca="false">IF(OR($C45="",'設定（最初に1回）'!$C$15=0),"",$L45+$M45-$K45)</f>
        <v>231</v>
      </c>
      <c r="O45" s="143" t="n">
        <f aca="false">IF(OR($N45="",'設定（最初に1回）'!$C$8="",'設定（最初に1回）'!$C$8&lt;=0),"",MAX(0,$N45)/'設定（最初に1回）'!$C$8)</f>
        <v>3.78688524590164</v>
      </c>
      <c r="P45" s="143" t="n">
        <f aca="false">IF($C45="","",IFERROR(INDEX(商品マスタ!$M$6:$N$1005,MATCH($C45,商品マスタ!$B$6:$B$1005,0),MATCH("PI値 "&amp;'設定（最初に1回）'!$C$11,商品マスタ!$M$5:$N$5,0)),""))</f>
        <v>5.9</v>
      </c>
      <c r="Q45" s="143" t="n">
        <f aca="false">IF(OR($C45="",$P45="",$P45=0,(N($I45)+N($AG45))&lt;=0),"",IFERROR(SUMIFS(随時_動員を入れる!$G$8:$G$97,随時_動員を入れる!$B$8:$B$97,"&gt;="&amp;'設定（最初に1回）'!$C$6,随時_動員を入れる!$B$8:$B$97,"&lt;="&amp;'設定（最初に1回）'!$C$6+(N($I45)+N($AG45))-1)/(N($I45)+N($AG45)),0)*$P45/100)</f>
        <v>226.632111111111</v>
      </c>
      <c r="R45" s="69" t="n">
        <f aca="false">IF($C45="","",SUMIFS(①今日の在庫を貼る!$O$6:$O$10005,①今日の在庫を貼る!$B$6:$B$10005,'設定（最初に1回）'!$C$4,①今日の在庫を貼る!$I$6:$I$10005,$C45))</f>
        <v>0</v>
      </c>
      <c r="S45" s="143" t="n">
        <f aca="false">IF($C45="","",IF('設定（最初に1回）'!$C$9="実績消費",N($O45),IF('設定（最初に1回）'!$C$9="PI値予測",N($Q45),MAX(N($O45),N($Q45)))))</f>
        <v>3.78688524590164</v>
      </c>
      <c r="T45" s="67" t="n">
        <f aca="false">IF(OR($S45="",$S45&lt;=0),"",$K45/$S45)</f>
        <v>2.37662337662338</v>
      </c>
      <c r="U45" s="69" t="n">
        <f aca="false">IF($S45="","",ROUNDUP(N($S45)*'設定（最初に1回）'!$C$12,0))</f>
        <v>16</v>
      </c>
      <c r="V45" s="69" t="n">
        <f aca="false">IF($C45="","",ROUNDUP(N($S45)*(N($I45)+N($AG45))+N($U45),0))</f>
        <v>51</v>
      </c>
      <c r="W45" s="69" t="n">
        <f aca="false">IF($C45="","",SUMIFS(発注管理!$L$6:$L$1005,発注管理!$C$6:$C$1005,'設定（最初に1回）'!$C$4,発注管理!$F$6:$F$1005,$C45,発注管理!$Q$6:$Q$1005,"発注済"))</f>
        <v>0</v>
      </c>
      <c r="X45" s="69" t="n">
        <f aca="false">IF($C45="","",MAX(0,N($V45)-N($K45)-N($W45)))</f>
        <v>42</v>
      </c>
      <c r="Y45" s="147" t="n">
        <f aca="false">IF($C45="","",IF(N($X45)&lt;=0,0,CEILING($X45/MAX(1,N($G45)),MAX(1,N($J45)))))</f>
        <v>42</v>
      </c>
      <c r="Z45" s="138" t="str">
        <f aca="false">IF($C45="","",IF(N($Y45)&gt;0,"要発注","正常"))</f>
        <v>要発注</v>
      </c>
      <c r="AA45" s="71" t="n">
        <f aca="false">IF($C45="","",N($K45)*N($H45))</f>
        <v>39780</v>
      </c>
      <c r="AB45" s="66" t="str">
        <f aca="false">IF($C45="","",_xlfn.TEXTJOIN(" / ",TRUE(),IF(COUNTIF(商品マスタ!$B$6:$B$1005,$C45)=0,"マスタ未登録",""),IF(COUNTIFS(月1回_前回の在庫を貼る!$B$6:$B$10005,'設定（最初に1回）'!$C$4,月1回_前回の在庫を貼る!$I$6:$I$10005,$C45)=0,"新商品",""),IF(COUNTIFS(①今日の在庫を貼る!$B$6:$B$10005,'設定（最初に1回）'!$C$4,①今日の在庫を貼る!$I$6:$I$10005,$C45)=0,"終売候補",""),IF(N($K45)&lt;0,"在庫マイナス",""),IF(AND('設定（最初に1回）'!$C$9="PI値予測",$P45=""),"PI値未設定","")))</f>
        <v/>
      </c>
      <c r="AC45" s="71" t="n">
        <f aca="false">N($Y45)*N($H45)</f>
        <v>185640</v>
      </c>
      <c r="AD45" s="66" t="str">
        <f aca="false">IF($C45="","",IFERROR(INDEX(商品マスタ!$K$6:$K$1005,MATCH($C45,商品マスタ!$B$6:$B$1005,0)),"常温"))</f>
        <v>常温</v>
      </c>
      <c r="AE45" s="69" t="n">
        <f aca="false">IF($C45="","",MAX(0,ROUNDUP(N($K45)/MAX(1,N($G45)),0)))</f>
        <v>9</v>
      </c>
      <c r="AF45" s="66" t="str">
        <f aca="false">IF($C45="","",IFERROR(INDEX(商品マスタ!$L$6:$L$1005,MATCH($C45,商品マスタ!$B$6:$B$1005,0)),""))</f>
        <v>その他常温</v>
      </c>
      <c r="AG45" s="143" t="n">
        <f aca="false">IF($C45="","",IFERROR(INDEX(定数マスタ!$S$110:$S$119,MATCH($AF45,定数マスタ!$J$110:$J$119,0)),N('設定（最初に1回）'!$C$13)))</f>
        <v>7</v>
      </c>
      <c r="AH45" s="66" t="n">
        <f aca="false">IF(AND(N($K45)&gt;0,N($Y45)&gt;0),N($Y45),0)</f>
        <v>42</v>
      </c>
    </row>
    <row r="46" customFormat="false" ht="15" hidden="false" customHeight="false" outlineLevel="0" collapsed="false">
      <c r="B46" s="66" t="n">
        <v>41</v>
      </c>
      <c r="C46" s="66" t="str">
        <f aca="false">IFERROR(IF($B46&lt;=MAX(①今日の在庫を貼る!$U$6:$U$10005),INDEX(①今日の在庫を貼る!$I$6:$I$10005,MATCH($B46,①今日の在庫を貼る!$U$6:$U$10005,0)),INDEX(月1回_前回の在庫を貼る!$I$6:$I$10005,MATCH($B46-MAX(①今日の在庫を貼る!$U$6:$U$10005),月1回_前回の在庫を貼る!$U$6:$U$10005,0))),"")</f>
        <v>1812000011707</v>
      </c>
      <c r="D46" s="66" t="str">
        <f aca="false">IF($C46="","",IFERROR(INDEX(商品マスタ!$C$6:$C$1005,MATCH($C46,商品マスタ!$B$6:$B$1005,0)),IFERROR(INDEX(①今日の在庫を貼る!$J$6:$J$10005,MATCH($C46,①今日の在庫を貼る!$I$6:$I$10005,0)),IFERROR(INDEX(月1回_前回の在庫を貼る!$J$6:$J$10005,MATCH($C46,月1回_前回の在庫を貼る!$I$6:$I$10005,0)),""))))</f>
        <v>シネマイク　塩キャラメル味シーズ</v>
      </c>
      <c r="E46" s="66" t="str">
        <f aca="false">IF($C46="","",IFERROR(INDEX(商品マスタ!$D$6:$D$1005,MATCH($C46,商品マスタ!$B$6:$B$1005,0)),IFERROR(INDEX(①今日の在庫を貼る!$H$6:$H$10005,MATCH($C46,①今日の在庫を貼る!$I$6:$I$10005,0)),IFERROR(INDEX(月1回_前回の在庫を貼る!$H$6:$H$10005,MATCH($C46,月1回_前回の在庫を貼る!$I$6:$I$10005,0)),""))))</f>
        <v>ポップコーン</v>
      </c>
      <c r="F46" s="66" t="str">
        <f aca="false">IF($C46="","",IFERROR(INDEX(商品マスタ!$E$6:$E$1005,MATCH($C46,商品マスタ!$B$6:$B$1005,0)),IFERROR(INDEX(①今日の在庫を貼る!$E$6:$E$10005,MATCH($C46,①今日の在庫を貼る!$I$6:$I$10005,0)),IFERROR(INDEX(月1回_前回の在庫を貼る!$E$6:$E$10005,MATCH($C46,月1回_前回の在庫を貼る!$I$6:$I$10005,0)),""))))</f>
        <v>オザックス株式会社</v>
      </c>
      <c r="G46" s="69" t="n">
        <f aca="false">IF($C46="","",IFERROR(INDEX(商品マスタ!$F$6:$F$1005,MATCH($C46,商品マスタ!$B$6:$B$1005,0)),IFERROR(INDEX(①今日の在庫を貼る!$K$6:$K$10005,MATCH($C46,①今日の在庫を貼る!$I$6:$I$10005,0)),IFERROR(INDEX(月1回_前回の在庫を貼る!$K$6:$K$10005,MATCH($C46,月1回_前回の在庫を貼る!$I$6:$I$10005,0)),""))))</f>
        <v>1</v>
      </c>
      <c r="H46" s="71" t="n">
        <f aca="false">IF($C46="","",IFERROR(INDEX(商品マスタ!$G$6:$G$1005,MATCH($C46,商品マスタ!$B$6:$B$1005,0)),IFERROR(INDEX(①今日の在庫を貼る!$Q$6:$Q$10005,MATCH($C46,①今日の在庫を貼る!$I$6:$I$10005,0)),IFERROR(INDEX(月1回_前回の在庫を貼る!$Q$6:$Q$10005,MATCH($C46,月1回_前回の在庫を貼る!$I$6:$I$10005,0)),""))))</f>
        <v>1099</v>
      </c>
      <c r="I46" s="66" t="n">
        <f aca="false">IF($C46="","",IFERROR(INDEX(商品マスタ!$H$6:$H$1005,MATCH($C46,商品マスタ!$B$6:$B$1005,0)),3))</f>
        <v>7</v>
      </c>
      <c r="J46" s="66" t="n">
        <f aca="false">IF($C46="","",MAX(1,IFERROR(INDEX(商品マスタ!$I$6:$I$1005,MATCH($C46,商品マスタ!$B$6:$B$1005,0)),1)))</f>
        <v>1</v>
      </c>
      <c r="K46" s="69" t="n">
        <f aca="false">IF($C46="","",SUMIFS(①今日の在庫を貼る!$N$6:$N$10005,①今日の在庫を貼る!$B$6:$B$10005,'設定（最初に1回）'!$C$4,①今日の在庫を貼る!$I$6:$I$10005,$C46))</f>
        <v>-31</v>
      </c>
      <c r="L46" s="69" t="n">
        <f aca="false">IF($C46="","",SUMIFS(月1回_前回の在庫を貼る!$N$6:$N$10005,月1回_前回の在庫を貼る!$B$6:$B$10005,'設定（最初に1回）'!$C$4,月1回_前回の在庫を貼る!$I$6:$I$10005,$C46))</f>
        <v>50</v>
      </c>
      <c r="M46" s="69" t="n">
        <f aca="false">IF($C46="","",IF(OR('設定（最初に1回）'!$C$6="",'設定（最初に1回）'!$C$7=""),0,SUMIFS(発注管理!$S$6:$S$1005,発注管理!$C$6:$C$1005,'設定（最初に1回）'!$C$4,発注管理!$F$6:$F$1005,$C46,発注管理!$R$6:$R$1005,"&gt;="&amp;'設定（最初に1回）'!$C$7,発注管理!$R$6:$R$1005,"&lt;="&amp;'設定（最初に1回）'!$C$6)))</f>
        <v>0</v>
      </c>
      <c r="N46" s="69" t="n">
        <f aca="false">IF(OR($C46="",'設定（最初に1回）'!$C$15=0),"",$L46+$M46-$K46)</f>
        <v>81</v>
      </c>
      <c r="O46" s="143" t="n">
        <f aca="false">IF(OR($N46="",'設定（最初に1回）'!$C$8="",'設定（最初に1回）'!$C$8&lt;=0),"",MAX(0,$N46)/'設定（最初に1回）'!$C$8)</f>
        <v>1.32786885245902</v>
      </c>
      <c r="P46" s="143" t="n">
        <f aca="false">IF($C46="","",IFERROR(INDEX(商品マスタ!$M$6:$N$1005,MATCH($C46,商品マスタ!$B$6:$B$1005,0),MATCH("PI値 "&amp;'設定（最初に1回）'!$C$11,商品マスタ!$M$5:$N$5,0)),""))</f>
        <v>6.2</v>
      </c>
      <c r="Q46" s="143" t="n">
        <f aca="false">IF(OR($C46="",$P46="",$P46=0,(N($I46)+N($AG46))&lt;=0),"",IFERROR(SUMIFS(随時_動員を入れる!$G$8:$G$97,随時_動員を入れる!$B$8:$B$97,"&gt;="&amp;'設定（最初に1回）'!$C$6,随時_動員を入れる!$B$8:$B$97,"&lt;="&amp;'設定（最初に1回）'!$C$6+(N($I46)+N($AG46))-1)/(N($I46)+N($AG46)),0)*$P46/100)</f>
        <v>199.702</v>
      </c>
      <c r="R46" s="69" t="n">
        <f aca="false">IF($C46="","",SUMIFS(①今日の在庫を貼る!$O$6:$O$10005,①今日の在庫を貼る!$B$6:$B$10005,'設定（最初に1回）'!$C$4,①今日の在庫を貼る!$I$6:$I$10005,$C46))</f>
        <v>0</v>
      </c>
      <c r="S46" s="143" t="n">
        <f aca="false">IF($C46="","",IF('設定（最初に1回）'!$C$9="実績消費",N($O46),IF('設定（最初に1回）'!$C$9="PI値予測",N($Q46),MAX(N($O46),N($Q46)))))</f>
        <v>1.32786885245902</v>
      </c>
      <c r="T46" s="67" t="n">
        <f aca="false">IF(OR($S46="",$S46&lt;=0),"",$K46/$S46)</f>
        <v>-23.3456790123457</v>
      </c>
      <c r="U46" s="69" t="n">
        <f aca="false">IF($S46="","",ROUNDUP(N($S46)*'設定（最初に1回）'!$C$12,0))</f>
        <v>6</v>
      </c>
      <c r="V46" s="69" t="n">
        <f aca="false">IF($C46="","",ROUNDUP(N($S46)*(N($I46)+N($AG46))+N($U46),0))</f>
        <v>25</v>
      </c>
      <c r="W46" s="69" t="n">
        <f aca="false">IF($C46="","",SUMIFS(発注管理!$L$6:$L$1005,発注管理!$C$6:$C$1005,'設定（最初に1回）'!$C$4,発注管理!$F$6:$F$1005,$C46,発注管理!$Q$6:$Q$1005,"発注済"))</f>
        <v>0</v>
      </c>
      <c r="X46" s="69" t="n">
        <f aca="false">IF($C46="","",MAX(0,N($V46)-N($K46)-N($W46)))</f>
        <v>56</v>
      </c>
      <c r="Y46" s="147" t="n">
        <f aca="false">IF($C46="","",IF(N($X46)&lt;=0,0,CEILING($X46/MAX(1,N($G46)),MAX(1,N($J46)))))</f>
        <v>56</v>
      </c>
      <c r="Z46" s="138" t="str">
        <f aca="false">IF($C46="","",IF(N($Y46)&gt;0,"要発注","正常"))</f>
        <v>要発注</v>
      </c>
      <c r="AA46" s="71" t="n">
        <f aca="false">IF($C46="","",N($K46)*N($H46))</f>
        <v>-34069</v>
      </c>
      <c r="AB46" s="66" t="str">
        <f aca="false">IF($C46="","",_xlfn.TEXTJOIN(" / ",TRUE(),IF(COUNTIF(商品マスタ!$B$6:$B$1005,$C46)=0,"マスタ未登録",""),IF(COUNTIFS(月1回_前回の在庫を貼る!$B$6:$B$10005,'設定（最初に1回）'!$C$4,月1回_前回の在庫を貼る!$I$6:$I$10005,$C46)=0,"新商品",""),IF(COUNTIFS(①今日の在庫を貼る!$B$6:$B$10005,'設定（最初に1回）'!$C$4,①今日の在庫を貼る!$I$6:$I$10005,$C46)=0,"終売候補",""),IF(N($K46)&lt;0,"在庫マイナス",""),IF(AND('設定（最初に1回）'!$C$9="PI値予測",$P46=""),"PI値未設定","")))</f>
        <v>在庫マイナス</v>
      </c>
      <c r="AC46" s="71" t="n">
        <f aca="false">N($Y46)*N($H46)</f>
        <v>61544</v>
      </c>
      <c r="AD46" s="66" t="str">
        <f aca="false">IF($C46="","",IFERROR(INDEX(商品マスタ!$K$6:$K$1005,MATCH($C46,商品マスタ!$B$6:$B$1005,0)),"常温"))</f>
        <v>常温</v>
      </c>
      <c r="AE46" s="69" t="n">
        <f aca="false">IF($C46="","",MAX(0,ROUNDUP(N($K46)/MAX(1,N($G46)),0)))</f>
        <v>0</v>
      </c>
      <c r="AF46" s="66" t="str">
        <f aca="false">IF($C46="","",IFERROR(INDEX(商品マスタ!$L$6:$L$1005,MATCH($C46,商品マスタ!$B$6:$B$1005,0)),""))</f>
        <v>その他常温</v>
      </c>
      <c r="AG46" s="143" t="n">
        <f aca="false">IF($C46="","",IFERROR(INDEX(定数マスタ!$S$110:$S$119,MATCH($AF46,定数マスタ!$J$110:$J$119,0)),N('設定（最初に1回）'!$C$13)))</f>
        <v>7</v>
      </c>
      <c r="AH46" s="66" t="n">
        <f aca="false">IF(AND(N($K46)&gt;0,N($Y46)&gt;0),N($Y46),0)</f>
        <v>0</v>
      </c>
    </row>
    <row r="47" customFormat="false" ht="15" hidden="false" customHeight="false" outlineLevel="0" collapsed="false">
      <c r="B47" s="66" t="n">
        <v>42</v>
      </c>
      <c r="C47" s="66" t="str">
        <f aca="false">IFERROR(IF($B47&lt;=MAX(①今日の在庫を貼る!$U$6:$U$10005),INDEX(①今日の在庫を貼る!$I$6:$I$10005,MATCH($B47,①今日の在庫を貼る!$U$6:$U$10005,0)),INDEX(月1回_前回の在庫を貼る!$I$6:$I$10005,MATCH($B47-MAX(①今日の在庫を貼る!$U$6:$U$10005),月1回_前回の在庫を貼る!$U$6:$U$10005,0))),"")</f>
        <v>1812000012391</v>
      </c>
      <c r="D47" s="66" t="str">
        <f aca="false">IF($C47="","",IFERROR(INDEX(商品マスタ!$C$6:$C$1005,MATCH($C47,商品マスタ!$B$6:$B$1005,0)),IFERROR(INDEX(①今日の在庫を貼る!$J$6:$J$10005,MATCH($C47,①今日の在庫を貼る!$I$6:$I$10005,0)),IFERROR(INDEX(月1回_前回の在庫を貼る!$J$6:$J$10005,MATCH($C47,月1回_前回の在庫を貼る!$I$6:$I$10005,0)),""))))</f>
        <v>シネマイク　ブラックＰ味シーズニ</v>
      </c>
      <c r="E47" s="66" t="str">
        <f aca="false">IF($C47="","",IFERROR(INDEX(商品マスタ!$D$6:$D$1005,MATCH($C47,商品マスタ!$B$6:$B$1005,0)),IFERROR(INDEX(①今日の在庫を貼る!$H$6:$H$10005,MATCH($C47,①今日の在庫を貼る!$I$6:$I$10005,0)),IFERROR(INDEX(月1回_前回の在庫を貼る!$H$6:$H$10005,MATCH($C47,月1回_前回の在庫を貼る!$I$6:$I$10005,0)),""))))</f>
        <v>ポップコーン</v>
      </c>
      <c r="F47" s="66" t="str">
        <f aca="false">IF($C47="","",IFERROR(INDEX(商品マスタ!$E$6:$E$1005,MATCH($C47,商品マスタ!$B$6:$B$1005,0)),IFERROR(INDEX(①今日の在庫を貼る!$E$6:$E$10005,MATCH($C47,①今日の在庫を貼る!$I$6:$I$10005,0)),IFERROR(INDEX(月1回_前回の在庫を貼る!$E$6:$E$10005,MATCH($C47,月1回_前回の在庫を貼る!$I$6:$I$10005,0)),""))))</f>
        <v>オザックス株式会社</v>
      </c>
      <c r="G47" s="69" t="n">
        <f aca="false">IF($C47="","",IFERROR(INDEX(商品マスタ!$F$6:$F$1005,MATCH($C47,商品マスタ!$B$6:$B$1005,0)),IFERROR(INDEX(①今日の在庫を貼る!$K$6:$K$10005,MATCH($C47,①今日の在庫を貼る!$I$6:$I$10005,0)),IFERROR(INDEX(月1回_前回の在庫を貼る!$K$6:$K$10005,MATCH($C47,月1回_前回の在庫を貼る!$I$6:$I$10005,0)),""))))</f>
        <v>1</v>
      </c>
      <c r="H47" s="71" t="n">
        <f aca="false">IF($C47="","",IFERROR(INDEX(商品マスタ!$G$6:$G$1005,MATCH($C47,商品マスタ!$B$6:$B$1005,0)),IFERROR(INDEX(①今日の在庫を貼る!$Q$6:$Q$10005,MATCH($C47,①今日の在庫を貼る!$I$6:$I$10005,0)),IFERROR(INDEX(月1回_前回の在庫を貼る!$Q$6:$Q$10005,MATCH($C47,月1回_前回の在庫を貼る!$I$6:$I$10005,0)),""))))</f>
        <v>955</v>
      </c>
      <c r="I47" s="66" t="n">
        <f aca="false">IF($C47="","",IFERROR(INDEX(商品マスタ!$H$6:$H$1005,MATCH($C47,商品マスタ!$B$6:$B$1005,0)),3))</f>
        <v>5</v>
      </c>
      <c r="J47" s="66" t="n">
        <f aca="false">IF($C47="","",MAX(1,IFERROR(INDEX(商品マスタ!$I$6:$I$1005,MATCH($C47,商品マスタ!$B$6:$B$1005,0)),1)))</f>
        <v>5</v>
      </c>
      <c r="K47" s="69" t="n">
        <f aca="false">IF($C47="","",SUMIFS(①今日の在庫を貼る!$N$6:$N$10005,①今日の在庫を貼る!$B$6:$B$10005,'設定（最初に1回）'!$C$4,①今日の在庫を貼る!$I$6:$I$10005,$C47))</f>
        <v>59</v>
      </c>
      <c r="L47" s="69" t="n">
        <f aca="false">IF($C47="","",SUMIFS(月1回_前回の在庫を貼る!$N$6:$N$10005,月1回_前回の在庫を貼る!$B$6:$B$10005,'設定（最初に1回）'!$C$4,月1回_前回の在庫を貼る!$I$6:$I$10005,$C47))</f>
        <v>100</v>
      </c>
      <c r="M47" s="69" t="n">
        <f aca="false">IF($C47="","",IF(OR('設定（最初に1回）'!$C$6="",'設定（最初に1回）'!$C$7=""),0,SUMIFS(発注管理!$S$6:$S$1005,発注管理!$C$6:$C$1005,'設定（最初に1回）'!$C$4,発注管理!$F$6:$F$1005,$C47,発注管理!$R$6:$R$1005,"&gt;="&amp;'設定（最初に1回）'!$C$7,発注管理!$R$6:$R$1005,"&lt;="&amp;'設定（最初に1回）'!$C$6)))</f>
        <v>0</v>
      </c>
      <c r="N47" s="69" t="n">
        <f aca="false">IF(OR($C47="",'設定（最初に1回）'!$C$15=0),"",$L47+$M47-$K47)</f>
        <v>41</v>
      </c>
      <c r="O47" s="143" t="n">
        <f aca="false">IF(OR($N47="",'設定（最初に1回）'!$C$8="",'設定（最初に1回）'!$C$8&lt;=0),"",MAX(0,$N47)/'設定（最初に1回）'!$C$8)</f>
        <v>0.672131147540984</v>
      </c>
      <c r="P47" s="143" t="n">
        <f aca="false">IF($C47="","",IFERROR(INDEX(商品マスタ!$M$6:$N$1005,MATCH($C47,商品マスタ!$B$6:$B$1005,0),MATCH("PI値 "&amp;'設定（最初に1回）'!$C$11,商品マスタ!$M$5:$N$5,0)),""))</f>
        <v>7.7</v>
      </c>
      <c r="Q47" s="143" t="n">
        <f aca="false">IF(OR($C47="",$P47="",$P47=0,(N($I47)+N($AG47))&lt;=0),"",IFERROR(SUMIFS(随時_動員を入れる!$G$8:$G$97,随時_動員を入れる!$B$8:$B$97,"&gt;="&amp;'設定（最初に1回）'!$C$6,随時_動員を入れる!$B$8:$B$97,"&lt;="&amp;'設定（最初に1回）'!$C$6+(N($I47)+N($AG47))-1)/(N($I47)+N($AG47)),0)*$P47/100)</f>
        <v>272.52225</v>
      </c>
      <c r="R47" s="69" t="n">
        <f aca="false">IF($C47="","",SUMIFS(①今日の在庫を貼る!$O$6:$O$10005,①今日の在庫を貼る!$B$6:$B$10005,'設定（最初に1回）'!$C$4,①今日の在庫を貼る!$I$6:$I$10005,$C47))</f>
        <v>0</v>
      </c>
      <c r="S47" s="143" t="n">
        <f aca="false">IF($C47="","",IF('設定（最初に1回）'!$C$9="実績消費",N($O47),IF('設定（最初に1回）'!$C$9="PI値予測",N($Q47),MAX(N($O47),N($Q47)))))</f>
        <v>0.672131147540984</v>
      </c>
      <c r="T47" s="67" t="n">
        <f aca="false">IF(OR($S47="",$S47&lt;=0),"",$K47/$S47)</f>
        <v>87.7804878048781</v>
      </c>
      <c r="U47" s="69" t="n">
        <f aca="false">IF($S47="","",ROUNDUP(N($S47)*'設定（最初に1回）'!$C$12,0))</f>
        <v>3</v>
      </c>
      <c r="V47" s="69" t="n">
        <f aca="false">IF($C47="","",ROUNDUP(N($S47)*(N($I47)+N($AG47))+N($U47),0))</f>
        <v>12</v>
      </c>
      <c r="W47" s="69" t="n">
        <f aca="false">IF($C47="","",SUMIFS(発注管理!$L$6:$L$1005,発注管理!$C$6:$C$1005,'設定（最初に1回）'!$C$4,発注管理!$F$6:$F$1005,$C47,発注管理!$Q$6:$Q$1005,"発注済"))</f>
        <v>12</v>
      </c>
      <c r="X47" s="69" t="n">
        <f aca="false">IF($C47="","",MAX(0,N($V47)-N($K47)-N($W47)))</f>
        <v>0</v>
      </c>
      <c r="Y47" s="147" t="n">
        <f aca="false">IF($C47="","",IF(N($X47)&lt;=0,0,CEILING($X47/MAX(1,N($G47)),MAX(1,N($J47)))))</f>
        <v>0</v>
      </c>
      <c r="Z47" s="138" t="str">
        <f aca="false">IF($C47="","",IF(N($Y47)&gt;0,"要発注","正常"))</f>
        <v>正常</v>
      </c>
      <c r="AA47" s="71" t="n">
        <f aca="false">IF($C47="","",N($K47)*N($H47))</f>
        <v>56345</v>
      </c>
      <c r="AB47" s="66" t="str">
        <f aca="false">IF($C47="","",_xlfn.TEXTJOIN(" / ",TRUE(),IF(COUNTIF(商品マスタ!$B$6:$B$1005,$C47)=0,"マスタ未登録",""),IF(COUNTIFS(月1回_前回の在庫を貼る!$B$6:$B$10005,'設定（最初に1回）'!$C$4,月1回_前回の在庫を貼る!$I$6:$I$10005,$C47)=0,"新商品",""),IF(COUNTIFS(①今日の在庫を貼る!$B$6:$B$10005,'設定（最初に1回）'!$C$4,①今日の在庫を貼る!$I$6:$I$10005,$C47)=0,"終売候補",""),IF(N($K47)&lt;0,"在庫マイナス",""),IF(AND('設定（最初に1回）'!$C$9="PI値予測",$P47=""),"PI値未設定","")))</f>
        <v/>
      </c>
      <c r="AC47" s="71" t="n">
        <f aca="false">N($Y47)*N($H47)</f>
        <v>0</v>
      </c>
      <c r="AD47" s="66" t="str">
        <f aca="false">IF($C47="","",IFERROR(INDEX(商品マスタ!$K$6:$K$1005,MATCH($C47,商品マスタ!$B$6:$B$1005,0)),"常温"))</f>
        <v>常温</v>
      </c>
      <c r="AE47" s="69" t="n">
        <f aca="false">IF($C47="","",MAX(0,ROUNDUP(N($K47)/MAX(1,N($G47)),0)))</f>
        <v>59</v>
      </c>
      <c r="AF47" s="66" t="str">
        <f aca="false">IF($C47="","",IFERROR(INDEX(商品マスタ!$L$6:$L$1005,MATCH($C47,商品マスタ!$B$6:$B$1005,0)),""))</f>
        <v>その他常温</v>
      </c>
      <c r="AG47" s="143" t="n">
        <f aca="false">IF($C47="","",IFERROR(INDEX(定数マスタ!$S$110:$S$119,MATCH($AF47,定数マスタ!$J$110:$J$119,0)),N('設定（最初に1回）'!$C$13)))</f>
        <v>7</v>
      </c>
      <c r="AH47" s="66" t="n">
        <f aca="false">IF(AND(N($K47)&gt;0,N($Y47)&gt;0),N($Y47),0)</f>
        <v>0</v>
      </c>
    </row>
    <row r="48" customFormat="false" ht="15" hidden="false" customHeight="false" outlineLevel="0" collapsed="false">
      <c r="B48" s="66" t="n">
        <v>43</v>
      </c>
      <c r="C48" s="66" t="str">
        <f aca="false">IFERROR(IF($B48&lt;=MAX(①今日の在庫を貼る!$U$6:$U$10005),INDEX(①今日の在庫を貼る!$I$6:$I$10005,MATCH($B48,①今日の在庫を貼る!$U$6:$U$10005,0)),INDEX(月1回_前回の在庫を貼る!$I$6:$I$10005,MATCH($B48-MAX(①今日の在庫を貼る!$U$6:$U$10005),月1回_前回の在庫を貼る!$U$6:$U$10005,0))),"")</f>
        <v>1812000012506</v>
      </c>
      <c r="D48" s="66" t="str">
        <f aca="false">IF($C48="","",IFERROR(INDEX(商品マスタ!$C$6:$C$1005,MATCH($C48,商品マスタ!$B$6:$B$1005,0)),IFERROR(INDEX(①今日の在庫を貼る!$J$6:$J$10005,MATCH($C48,①今日の在庫を貼る!$I$6:$I$10005,0)),IFERROR(INDEX(月1回_前回の在庫を貼る!$J$6:$J$10005,MATCH($C48,月1回_前回の在庫を貼る!$I$6:$I$10005,0)),""))))</f>
        <v>ＴＨキャラメルポップコーンオイル</v>
      </c>
      <c r="E48" s="66" t="str">
        <f aca="false">IF($C48="","",IFERROR(INDEX(商品マスタ!$D$6:$D$1005,MATCH($C48,商品マスタ!$B$6:$B$1005,0)),IFERROR(INDEX(①今日の在庫を貼る!$H$6:$H$10005,MATCH($C48,①今日の在庫を貼る!$I$6:$I$10005,0)),IFERROR(INDEX(月1回_前回の在庫を貼る!$H$6:$H$10005,MATCH($C48,月1回_前回の在庫を貼る!$I$6:$I$10005,0)),""))))</f>
        <v>ポップコーン</v>
      </c>
      <c r="F48" s="66" t="str">
        <f aca="false">IF($C48="","",IFERROR(INDEX(商品マスタ!$E$6:$E$1005,MATCH($C48,商品マスタ!$B$6:$B$1005,0)),IFERROR(INDEX(①今日の在庫を貼る!$E$6:$E$10005,MATCH($C48,①今日の在庫を貼る!$I$6:$I$10005,0)),IFERROR(INDEX(月1回_前回の在庫を貼る!$E$6:$E$10005,MATCH($C48,月1回_前回の在庫を貼る!$I$6:$I$10005,0)),""))))</f>
        <v>オザックス株式会社</v>
      </c>
      <c r="G48" s="69" t="n">
        <f aca="false">IF($C48="","",IFERROR(INDEX(商品マスタ!$F$6:$F$1005,MATCH($C48,商品マスタ!$B$6:$B$1005,0)),IFERROR(INDEX(①今日の在庫を貼る!$K$6:$K$10005,MATCH($C48,①今日の在庫を貼る!$I$6:$I$10005,0)),IFERROR(INDEX(月1回_前回の在庫を貼る!$K$6:$K$10005,MATCH($C48,月1回_前回の在庫を貼る!$I$6:$I$10005,0)),""))))</f>
        <v>1</v>
      </c>
      <c r="H48" s="71" t="n">
        <f aca="false">IF($C48="","",IFERROR(INDEX(商品マスタ!$G$6:$G$1005,MATCH($C48,商品マスタ!$B$6:$B$1005,0)),IFERROR(INDEX(①今日の在庫を貼る!$Q$6:$Q$10005,MATCH($C48,①今日の在庫を貼る!$I$6:$I$10005,0)),IFERROR(INDEX(月1回_前回の在庫を貼る!$Q$6:$Q$10005,MATCH($C48,月1回_前回の在庫を貼る!$I$6:$I$10005,0)),""))))</f>
        <v>6887</v>
      </c>
      <c r="I48" s="66" t="n">
        <f aca="false">IF($C48="","",IFERROR(INDEX(商品マスタ!$H$6:$H$1005,MATCH($C48,商品マスタ!$B$6:$B$1005,0)),3))</f>
        <v>2</v>
      </c>
      <c r="J48" s="66" t="n">
        <f aca="false">IF($C48="","",MAX(1,IFERROR(INDEX(商品マスタ!$I$6:$I$1005,MATCH($C48,商品マスタ!$B$6:$B$1005,0)),1)))</f>
        <v>1</v>
      </c>
      <c r="K48" s="69" t="n">
        <f aca="false">IF($C48="","",SUMIFS(①今日の在庫を貼る!$N$6:$N$10005,①今日の在庫を貼る!$B$6:$B$10005,'設定（最初に1回）'!$C$4,①今日の在庫を貼る!$I$6:$I$10005,$C48))</f>
        <v>-14</v>
      </c>
      <c r="L48" s="69" t="n">
        <f aca="false">IF($C48="","",SUMIFS(月1回_前回の在庫を貼る!$N$6:$N$10005,月1回_前回の在庫を貼る!$B$6:$B$10005,'設定（最初に1回）'!$C$4,月1回_前回の在庫を貼る!$I$6:$I$10005,$C48))</f>
        <v>252</v>
      </c>
      <c r="M48" s="69" t="n">
        <f aca="false">IF($C48="","",IF(OR('設定（最初に1回）'!$C$6="",'設定（最初に1回）'!$C$7=""),0,SUMIFS(発注管理!$S$6:$S$1005,発注管理!$C$6:$C$1005,'設定（最初に1回）'!$C$4,発注管理!$F$6:$F$1005,$C48,発注管理!$R$6:$R$1005,"&gt;="&amp;'設定（最初に1回）'!$C$7,発注管理!$R$6:$R$1005,"&lt;="&amp;'設定（最初に1回）'!$C$6)))</f>
        <v>0</v>
      </c>
      <c r="N48" s="69" t="n">
        <f aca="false">IF(OR($C48="",'設定（最初に1回）'!$C$15=0),"",$L48+$M48-$K48)</f>
        <v>266</v>
      </c>
      <c r="O48" s="143" t="n">
        <f aca="false">IF(OR($N48="",'設定（最初に1回）'!$C$8="",'設定（最初に1回）'!$C$8&lt;=0),"",MAX(0,$N48)/'設定（最初に1回）'!$C$8)</f>
        <v>4.36065573770492</v>
      </c>
      <c r="P48" s="143" t="n">
        <f aca="false">IF($C48="","",IFERROR(INDEX(商品マスタ!$M$6:$N$1005,MATCH($C48,商品マスタ!$B$6:$B$1005,0),MATCH("PI値 "&amp;'設定（最初に1回）'!$C$11,商品マスタ!$M$5:$N$5,0)),""))</f>
        <v>9.7</v>
      </c>
      <c r="Q48" s="143" t="n">
        <f aca="false">IF(OR($C48="",$P48="",$P48=0,(N($I48)+N($AG48))&lt;=0),"",IFERROR(SUMIFS(随時_動員を入れる!$G$8:$G$97,随時_動員を入れる!$B$8:$B$97,"&gt;="&amp;'設定（最初に1回）'!$C$6,随時_動員を入れる!$B$8:$B$97,"&lt;="&amp;'設定（最初に1回）'!$C$6+(N($I48)+N($AG48))-1)/(N($I48)+N($AG48)),0)*$P48/100)</f>
        <v>372.598555555556</v>
      </c>
      <c r="R48" s="69" t="n">
        <f aca="false">IF($C48="","",SUMIFS(①今日の在庫を貼る!$O$6:$O$10005,①今日の在庫を貼る!$B$6:$B$10005,'設定（最初に1回）'!$C$4,①今日の在庫を貼る!$I$6:$I$10005,$C48))</f>
        <v>0</v>
      </c>
      <c r="S48" s="143" t="n">
        <f aca="false">IF($C48="","",IF('設定（最初に1回）'!$C$9="実績消費",N($O48),IF('設定（最初に1回）'!$C$9="PI値予測",N($Q48),MAX(N($O48),N($Q48)))))</f>
        <v>4.36065573770492</v>
      </c>
      <c r="T48" s="67" t="n">
        <f aca="false">IF(OR($S48="",$S48&lt;=0),"",$K48/$S48)</f>
        <v>-3.21052631578947</v>
      </c>
      <c r="U48" s="69" t="n">
        <f aca="false">IF($S48="","",ROUNDUP(N($S48)*'設定（最初に1回）'!$C$12,0))</f>
        <v>18</v>
      </c>
      <c r="V48" s="69" t="n">
        <f aca="false">IF($C48="","",ROUNDUP(N($S48)*(N($I48)+N($AG48))+N($U48),0))</f>
        <v>58</v>
      </c>
      <c r="W48" s="69" t="n">
        <f aca="false">IF($C48="","",SUMIFS(発注管理!$L$6:$L$1005,発注管理!$C$6:$C$1005,'設定（最初に1回）'!$C$4,発注管理!$F$6:$F$1005,$C48,発注管理!$Q$6:$Q$1005,"発注済"))</f>
        <v>0</v>
      </c>
      <c r="X48" s="69" t="n">
        <f aca="false">IF($C48="","",MAX(0,N($V48)-N($K48)-N($W48)))</f>
        <v>72</v>
      </c>
      <c r="Y48" s="147" t="n">
        <f aca="false">IF($C48="","",IF(N($X48)&lt;=0,0,CEILING($X48/MAX(1,N($G48)),MAX(1,N($J48)))))</f>
        <v>72</v>
      </c>
      <c r="Z48" s="138" t="str">
        <f aca="false">IF($C48="","",IF(N($Y48)&gt;0,"要発注","正常"))</f>
        <v>要発注</v>
      </c>
      <c r="AA48" s="71" t="n">
        <f aca="false">IF($C48="","",N($K48)*N($H48))</f>
        <v>-96418</v>
      </c>
      <c r="AB48" s="66" t="str">
        <f aca="false">IF($C48="","",_xlfn.TEXTJOIN(" / ",TRUE(),IF(COUNTIF(商品マスタ!$B$6:$B$1005,$C48)=0,"マスタ未登録",""),IF(COUNTIFS(月1回_前回の在庫を貼る!$B$6:$B$10005,'設定（最初に1回）'!$C$4,月1回_前回の在庫を貼る!$I$6:$I$10005,$C48)=0,"新商品",""),IF(COUNTIFS(①今日の在庫を貼る!$B$6:$B$10005,'設定（最初に1回）'!$C$4,①今日の在庫を貼る!$I$6:$I$10005,$C48)=0,"終売候補",""),IF(N($K48)&lt;0,"在庫マイナス",""),IF(AND('設定（最初に1回）'!$C$9="PI値予測",$P48=""),"PI値未設定","")))</f>
        <v>在庫マイナス</v>
      </c>
      <c r="AC48" s="71" t="n">
        <f aca="false">N($Y48)*N($H48)</f>
        <v>495864</v>
      </c>
      <c r="AD48" s="66" t="str">
        <f aca="false">IF($C48="","",IFERROR(INDEX(商品マスタ!$K$6:$K$1005,MATCH($C48,商品マスタ!$B$6:$B$1005,0)),"常温"))</f>
        <v>常温</v>
      </c>
      <c r="AE48" s="69" t="n">
        <f aca="false">IF($C48="","",MAX(0,ROUNDUP(N($K48)/MAX(1,N($G48)),0)))</f>
        <v>0</v>
      </c>
      <c r="AF48" s="66" t="str">
        <f aca="false">IF($C48="","",IFERROR(INDEX(商品マスタ!$L$6:$L$1005,MATCH($C48,商品マスタ!$B$6:$B$1005,0)),""))</f>
        <v>その他常温</v>
      </c>
      <c r="AG48" s="143" t="n">
        <f aca="false">IF($C48="","",IFERROR(INDEX(定数マスタ!$S$110:$S$119,MATCH($AF48,定数マスタ!$J$110:$J$119,0)),N('設定（最初に1回）'!$C$13)))</f>
        <v>7</v>
      </c>
      <c r="AH48" s="66" t="n">
        <f aca="false">IF(AND(N($K48)&gt;0,N($Y48)&gt;0),N($Y48),0)</f>
        <v>0</v>
      </c>
    </row>
    <row r="49" customFormat="false" ht="15" hidden="false" customHeight="false" outlineLevel="0" collapsed="false">
      <c r="B49" s="66" t="n">
        <v>44</v>
      </c>
      <c r="C49" s="66" t="str">
        <f aca="false">IFERROR(IF($B49&lt;=MAX(①今日の在庫を貼る!$U$6:$U$10005),INDEX(①今日の在庫を貼る!$I$6:$I$10005,MATCH($B49,①今日の在庫を貼る!$U$6:$U$10005,0)),INDEX(月1回_前回の在庫を貼る!$I$6:$I$10005,MATCH($B49-MAX(①今日の在庫を貼る!$U$6:$U$10005),月1回_前回の在庫を貼る!$U$6:$U$10005,0))),"")</f>
        <v>1812000013350</v>
      </c>
      <c r="D49" s="66" t="str">
        <f aca="false">IF($C49="","",IFERROR(INDEX(商品マスタ!$C$6:$C$1005,MATCH($C49,商品マスタ!$B$6:$B$1005,0)),IFERROR(INDEX(①今日の在庫を貼る!$J$6:$J$10005,MATCH($C49,①今日の在庫を貼る!$I$6:$I$10005,0)),IFERROR(INDEX(月1回_前回の在庫を貼る!$J$6:$J$10005,MATCH($C49,月1回_前回の在庫を貼る!$I$6:$I$10005,0)),""))))</f>
        <v>味ぽんあじ　シーズニング</v>
      </c>
      <c r="E49" s="66" t="str">
        <f aca="false">IF($C49="","",IFERROR(INDEX(商品マスタ!$D$6:$D$1005,MATCH($C49,商品マスタ!$B$6:$B$1005,0)),IFERROR(INDEX(①今日の在庫を貼る!$H$6:$H$10005,MATCH($C49,①今日の在庫を貼る!$I$6:$I$10005,0)),IFERROR(INDEX(月1回_前回の在庫を貼る!$H$6:$H$10005,MATCH($C49,月1回_前回の在庫を貼る!$I$6:$I$10005,0)),""))))</f>
        <v>ポップコーン</v>
      </c>
      <c r="F49" s="66" t="str">
        <f aca="false">IF($C49="","",IFERROR(INDEX(商品マスタ!$E$6:$E$1005,MATCH($C49,商品マスタ!$B$6:$B$1005,0)),IFERROR(INDEX(①今日の在庫を貼る!$E$6:$E$10005,MATCH($C49,①今日の在庫を貼る!$I$6:$I$10005,0)),IFERROR(INDEX(月1回_前回の在庫を貼る!$E$6:$E$10005,MATCH($C49,月1回_前回の在庫を貼る!$I$6:$I$10005,0)),""))))</f>
        <v>オザックス株式会社</v>
      </c>
      <c r="G49" s="69" t="n">
        <f aca="false">IF($C49="","",IFERROR(INDEX(商品マスタ!$F$6:$F$1005,MATCH($C49,商品マスタ!$B$6:$B$1005,0)),IFERROR(INDEX(①今日の在庫を貼る!$K$6:$K$10005,MATCH($C49,①今日の在庫を貼る!$I$6:$I$10005,0)),IFERROR(INDEX(月1回_前回の在庫を貼る!$K$6:$K$10005,MATCH($C49,月1回_前回の在庫を貼る!$I$6:$I$10005,0)),""))))</f>
        <v>1</v>
      </c>
      <c r="H49" s="71" t="n">
        <f aca="false">IF($C49="","",IFERROR(INDEX(商品マスタ!$G$6:$G$1005,MATCH($C49,商品マスタ!$B$6:$B$1005,0)),IFERROR(INDEX(①今日の在庫を貼る!$Q$6:$Q$10005,MATCH($C49,①今日の在庫を貼る!$I$6:$I$10005,0)),IFERROR(INDEX(月1回_前回の在庫を貼る!$Q$6:$Q$10005,MATCH($C49,月1回_前回の在庫を貼る!$I$6:$I$10005,0)),""))))</f>
        <v>1180</v>
      </c>
      <c r="I49" s="66" t="n">
        <f aca="false">IF($C49="","",IFERROR(INDEX(商品マスタ!$H$6:$H$1005,MATCH($C49,商品マスタ!$B$6:$B$1005,0)),3))</f>
        <v>2</v>
      </c>
      <c r="J49" s="66" t="n">
        <f aca="false">IF($C49="","",MAX(1,IFERROR(INDEX(商品マスタ!$I$6:$I$1005,MATCH($C49,商品マスタ!$B$6:$B$1005,0)),1)))</f>
        <v>1</v>
      </c>
      <c r="K49" s="69" t="n">
        <f aca="false">IF($C49="","",SUMIFS(①今日の在庫を貼る!$N$6:$N$10005,①今日の在庫を貼る!$B$6:$B$10005,'設定（最初に1回）'!$C$4,①今日の在庫を貼る!$I$6:$I$10005,$C49))</f>
        <v>11</v>
      </c>
      <c r="L49" s="69" t="n">
        <f aca="false">IF($C49="","",SUMIFS(月1回_前回の在庫を貼る!$N$6:$N$10005,月1回_前回の在庫を貼る!$B$6:$B$10005,'設定（最初に1回）'!$C$4,月1回_前回の在庫を貼る!$I$6:$I$10005,$C49))</f>
        <v>75</v>
      </c>
      <c r="M49" s="69" t="n">
        <f aca="false">IF($C49="","",IF(OR('設定（最初に1回）'!$C$6="",'設定（最初に1回）'!$C$7=""),0,SUMIFS(発注管理!$S$6:$S$1005,発注管理!$C$6:$C$1005,'設定（最初に1回）'!$C$4,発注管理!$F$6:$F$1005,$C49,発注管理!$R$6:$R$1005,"&gt;="&amp;'設定（最初に1回）'!$C$7,発注管理!$R$6:$R$1005,"&lt;="&amp;'設定（最初に1回）'!$C$6)))</f>
        <v>0</v>
      </c>
      <c r="N49" s="69" t="n">
        <f aca="false">IF(OR($C49="",'設定（最初に1回）'!$C$15=0),"",$L49+$M49-$K49)</f>
        <v>64</v>
      </c>
      <c r="O49" s="143" t="n">
        <f aca="false">IF(OR($N49="",'設定（最初に1回）'!$C$8="",'設定（最初に1回）'!$C$8&lt;=0),"",MAX(0,$N49)/'設定（最初に1回）'!$C$8)</f>
        <v>1.04918032786885</v>
      </c>
      <c r="P49" s="143" t="n">
        <f aca="false">IF($C49="","",IFERROR(INDEX(商品マスタ!$M$6:$N$1005,MATCH($C49,商品マスタ!$B$6:$B$1005,0),MATCH("PI値 "&amp;'設定（最初に1回）'!$C$11,商品マスタ!$M$5:$N$5,0)),""))</f>
        <v>8.9</v>
      </c>
      <c r="Q49" s="143" t="n">
        <f aca="false">IF(OR($C49="",$P49="",$P49=0,(N($I49)+N($AG49))&lt;=0),"",IFERROR(SUMIFS(随時_動員を入れる!$G$8:$G$97,随時_動員を入れる!$B$8:$B$97,"&gt;="&amp;'設定（最初に1回）'!$C$6,随時_動員を入れる!$B$8:$B$97,"&lt;="&amp;'設定（最初に1回）'!$C$6+(N($I49)+N($AG49))-1)/(N($I49)+N($AG49)),0)*$P49/100)</f>
        <v>341.868777777778</v>
      </c>
      <c r="R49" s="69" t="n">
        <f aca="false">IF($C49="","",SUMIFS(①今日の在庫を貼る!$O$6:$O$10005,①今日の在庫を貼る!$B$6:$B$10005,'設定（最初に1回）'!$C$4,①今日の在庫を貼る!$I$6:$I$10005,$C49))</f>
        <v>0</v>
      </c>
      <c r="S49" s="143" t="n">
        <f aca="false">IF($C49="","",IF('設定（最初に1回）'!$C$9="実績消費",N($O49),IF('設定（最初に1回）'!$C$9="PI値予測",N($Q49),MAX(N($O49),N($Q49)))))</f>
        <v>1.04918032786885</v>
      </c>
      <c r="T49" s="67" t="n">
        <f aca="false">IF(OR($S49="",$S49&lt;=0),"",$K49/$S49)</f>
        <v>10.484375</v>
      </c>
      <c r="U49" s="69" t="n">
        <f aca="false">IF($S49="","",ROUNDUP(N($S49)*'設定（最初に1回）'!$C$12,0))</f>
        <v>5</v>
      </c>
      <c r="V49" s="69" t="n">
        <f aca="false">IF($C49="","",ROUNDUP(N($S49)*(N($I49)+N($AG49))+N($U49),0))</f>
        <v>15</v>
      </c>
      <c r="W49" s="69" t="n">
        <f aca="false">IF($C49="","",SUMIFS(発注管理!$L$6:$L$1005,発注管理!$C$6:$C$1005,'設定（最初に1回）'!$C$4,発注管理!$F$6:$F$1005,$C49,発注管理!$Q$6:$Q$1005,"発注済"))</f>
        <v>0</v>
      </c>
      <c r="X49" s="69" t="n">
        <f aca="false">IF($C49="","",MAX(0,N($V49)-N($K49)-N($W49)))</f>
        <v>4</v>
      </c>
      <c r="Y49" s="147" t="n">
        <f aca="false">IF($C49="","",IF(N($X49)&lt;=0,0,CEILING($X49/MAX(1,N($G49)),MAX(1,N($J49)))))</f>
        <v>4</v>
      </c>
      <c r="Z49" s="138" t="str">
        <f aca="false">IF($C49="","",IF(N($Y49)&gt;0,"要発注","正常"))</f>
        <v>要発注</v>
      </c>
      <c r="AA49" s="71" t="n">
        <f aca="false">IF($C49="","",N($K49)*N($H49))</f>
        <v>12980</v>
      </c>
      <c r="AB49" s="66" t="str">
        <f aca="false">IF($C49="","",_xlfn.TEXTJOIN(" / ",TRUE(),IF(COUNTIF(商品マスタ!$B$6:$B$1005,$C49)=0,"マスタ未登録",""),IF(COUNTIFS(月1回_前回の在庫を貼る!$B$6:$B$10005,'設定（最初に1回）'!$C$4,月1回_前回の在庫を貼る!$I$6:$I$10005,$C49)=0,"新商品",""),IF(COUNTIFS(①今日の在庫を貼る!$B$6:$B$10005,'設定（最初に1回）'!$C$4,①今日の在庫を貼る!$I$6:$I$10005,$C49)=0,"終売候補",""),IF(N($K49)&lt;0,"在庫マイナス",""),IF(AND('設定（最初に1回）'!$C$9="PI値予測",$P49=""),"PI値未設定","")))</f>
        <v/>
      </c>
      <c r="AC49" s="71" t="n">
        <f aca="false">N($Y49)*N($H49)</f>
        <v>4720</v>
      </c>
      <c r="AD49" s="66" t="str">
        <f aca="false">IF($C49="","",IFERROR(INDEX(商品マスタ!$K$6:$K$1005,MATCH($C49,商品マスタ!$B$6:$B$1005,0)),"常温"))</f>
        <v>常温</v>
      </c>
      <c r="AE49" s="69" t="n">
        <f aca="false">IF($C49="","",MAX(0,ROUNDUP(N($K49)/MAX(1,N($G49)),0)))</f>
        <v>11</v>
      </c>
      <c r="AF49" s="66" t="str">
        <f aca="false">IF($C49="","",IFERROR(INDEX(商品マスタ!$L$6:$L$1005,MATCH($C49,商品マスタ!$B$6:$B$1005,0)),""))</f>
        <v>その他常温</v>
      </c>
      <c r="AG49" s="143" t="n">
        <f aca="false">IF($C49="","",IFERROR(INDEX(定数マスタ!$S$110:$S$119,MATCH($AF49,定数マスタ!$J$110:$J$119,0)),N('設定（最初に1回）'!$C$13)))</f>
        <v>7</v>
      </c>
      <c r="AH49" s="66" t="n">
        <f aca="false">IF(AND(N($K49)&gt;0,N($Y49)&gt;0),N($Y49),0)</f>
        <v>4</v>
      </c>
    </row>
    <row r="50" customFormat="false" ht="15" hidden="false" customHeight="false" outlineLevel="0" collapsed="false">
      <c r="B50" s="66" t="n">
        <v>45</v>
      </c>
      <c r="C50" s="66" t="str">
        <f aca="false">IFERROR(IF($B50&lt;=MAX(①今日の在庫を貼る!$U$6:$U$10005),INDEX(①今日の在庫を貼る!$I$6:$I$10005,MATCH($B50,①今日の在庫を貼る!$U$6:$U$10005,0)),INDEX(月1回_前回の在庫を貼る!$I$6:$I$10005,MATCH($B50-MAX(①今日の在庫を貼る!$U$6:$U$10005),月1回_前回の在庫を貼る!$U$6:$U$10005,0))),"")</f>
        <v>1812000013404</v>
      </c>
      <c r="D50" s="66" t="str">
        <f aca="false">IF($C50="","",IFERROR(INDEX(商品マスタ!$C$6:$C$1005,MATCH($C50,商品マスタ!$B$6:$B$1005,0)),IFERROR(INDEX(①今日の在庫を貼る!$J$6:$J$10005,MATCH($C50,①今日の在庫を貼る!$I$6:$I$10005,0)),IFERROR(INDEX(月1回_前回の在庫を貼る!$J$6:$J$10005,MATCH($C50,月1回_前回の在庫を貼る!$I$6:$I$10005,0)),""))))</f>
        <v>チーズバーガー味シーズニング</v>
      </c>
      <c r="E50" s="66" t="str">
        <f aca="false">IF($C50="","",IFERROR(INDEX(商品マスタ!$D$6:$D$1005,MATCH($C50,商品マスタ!$B$6:$B$1005,0)),IFERROR(INDEX(①今日の在庫を貼る!$H$6:$H$10005,MATCH($C50,①今日の在庫を貼る!$I$6:$I$10005,0)),IFERROR(INDEX(月1回_前回の在庫を貼る!$H$6:$H$10005,MATCH($C50,月1回_前回の在庫を貼る!$I$6:$I$10005,0)),""))))</f>
        <v>ポップコーン</v>
      </c>
      <c r="F50" s="66" t="str">
        <f aca="false">IF($C50="","",IFERROR(INDEX(商品マスタ!$E$6:$E$1005,MATCH($C50,商品マスタ!$B$6:$B$1005,0)),IFERROR(INDEX(①今日の在庫を貼る!$E$6:$E$10005,MATCH($C50,①今日の在庫を貼る!$I$6:$I$10005,0)),IFERROR(INDEX(月1回_前回の在庫を貼る!$E$6:$E$10005,MATCH($C50,月1回_前回の在庫を貼る!$I$6:$I$10005,0)),""))))</f>
        <v>オザックス株式会社</v>
      </c>
      <c r="G50" s="69" t="n">
        <f aca="false">IF($C50="","",IFERROR(INDEX(商品マスタ!$F$6:$F$1005,MATCH($C50,商品マスタ!$B$6:$B$1005,0)),IFERROR(INDEX(①今日の在庫を貼る!$K$6:$K$10005,MATCH($C50,①今日の在庫を貼る!$I$6:$I$10005,0)),IFERROR(INDEX(月1回_前回の在庫を貼る!$K$6:$K$10005,MATCH($C50,月1回_前回の在庫を貼る!$I$6:$I$10005,0)),""))))</f>
        <v>1</v>
      </c>
      <c r="H50" s="71" t="n">
        <f aca="false">IF($C50="","",IFERROR(INDEX(商品マスタ!$G$6:$G$1005,MATCH($C50,商品マスタ!$B$6:$B$1005,0)),IFERROR(INDEX(①今日の在庫を貼る!$Q$6:$Q$10005,MATCH($C50,①今日の在庫を貼る!$I$6:$I$10005,0)),IFERROR(INDEX(月1回_前回の在庫を貼る!$Q$6:$Q$10005,MATCH($C50,月1回_前回の在庫を貼る!$I$6:$I$10005,0)),""))))</f>
        <v>1294</v>
      </c>
      <c r="I50" s="66" t="n">
        <f aca="false">IF($C50="","",IFERROR(INDEX(商品マスタ!$H$6:$H$1005,MATCH($C50,商品マスタ!$B$6:$B$1005,0)),3))</f>
        <v>7</v>
      </c>
      <c r="J50" s="66" t="n">
        <f aca="false">IF($C50="","",MAX(1,IFERROR(INDEX(商品マスタ!$I$6:$I$1005,MATCH($C50,商品マスタ!$B$6:$B$1005,0)),1)))</f>
        <v>1</v>
      </c>
      <c r="K50" s="69" t="n">
        <f aca="false">IF($C50="","",SUMIFS(①今日の在庫を貼る!$N$6:$N$10005,①今日の在庫を貼る!$B$6:$B$10005,'設定（最初に1回）'!$C$4,①今日の在庫を貼る!$I$6:$I$10005,$C50))</f>
        <v>33</v>
      </c>
      <c r="L50" s="69" t="n">
        <f aca="false">IF($C50="","",SUMIFS(月1回_前回の在庫を貼る!$N$6:$N$10005,月1回_前回の在庫を貼る!$B$6:$B$10005,'設定（最初に1回）'!$C$4,月1回_前回の在庫を貼る!$I$6:$I$10005,$C50))</f>
        <v>63</v>
      </c>
      <c r="M50" s="69" t="n">
        <f aca="false">IF($C50="","",IF(OR('設定（最初に1回）'!$C$6="",'設定（最初に1回）'!$C$7=""),0,SUMIFS(発注管理!$S$6:$S$1005,発注管理!$C$6:$C$1005,'設定（最初に1回）'!$C$4,発注管理!$F$6:$F$1005,$C50,発注管理!$R$6:$R$1005,"&gt;="&amp;'設定（最初に1回）'!$C$7,発注管理!$R$6:$R$1005,"&lt;="&amp;'設定（最初に1回）'!$C$6)))</f>
        <v>0</v>
      </c>
      <c r="N50" s="69" t="n">
        <f aca="false">IF(OR($C50="",'設定（最初に1回）'!$C$15=0),"",$L50+$M50-$K50)</f>
        <v>30</v>
      </c>
      <c r="O50" s="143" t="n">
        <f aca="false">IF(OR($N50="",'設定（最初に1回）'!$C$8="",'設定（最初に1回）'!$C$8&lt;=0),"",MAX(0,$N50)/'設定（最初に1回）'!$C$8)</f>
        <v>0.491803278688525</v>
      </c>
      <c r="P50" s="143" t="n">
        <f aca="false">IF($C50="","",IFERROR(INDEX(商品マスタ!$M$6:$N$1005,MATCH($C50,商品マスタ!$B$6:$B$1005,0),MATCH("PI値 "&amp;'設定（最初に1回）'!$C$11,商品マスタ!$M$5:$N$5,0)),""))</f>
        <v>4.8</v>
      </c>
      <c r="Q50" s="143" t="n">
        <f aca="false">IF(OR($C50="",$P50="",$P50=0,(N($I50)+N($AG50))&lt;=0),"",IFERROR(SUMIFS(随時_動員を入れる!$G$8:$G$97,随時_動員を入れる!$B$8:$B$97,"&gt;="&amp;'設定（最初に1回）'!$C$6,随時_動員を入れる!$B$8:$B$97,"&lt;="&amp;'設定（最初に1回）'!$C$6+(N($I50)+N($AG50))-1)/(N($I50)+N($AG50)),0)*$P50/100)</f>
        <v>154.608</v>
      </c>
      <c r="R50" s="69" t="n">
        <f aca="false">IF($C50="","",SUMIFS(①今日の在庫を貼る!$O$6:$O$10005,①今日の在庫を貼る!$B$6:$B$10005,'設定（最初に1回）'!$C$4,①今日の在庫を貼る!$I$6:$I$10005,$C50))</f>
        <v>0</v>
      </c>
      <c r="S50" s="143" t="n">
        <f aca="false">IF($C50="","",IF('設定（最初に1回）'!$C$9="実績消費",N($O50),IF('設定（最初に1回）'!$C$9="PI値予測",N($Q50),MAX(N($O50),N($Q50)))))</f>
        <v>0.491803278688525</v>
      </c>
      <c r="T50" s="67" t="n">
        <f aca="false">IF(OR($S50="",$S50&lt;=0),"",$K50/$S50)</f>
        <v>67.1</v>
      </c>
      <c r="U50" s="69" t="n">
        <f aca="false">IF($S50="","",ROUNDUP(N($S50)*'設定（最初に1回）'!$C$12,0))</f>
        <v>2</v>
      </c>
      <c r="V50" s="69" t="n">
        <f aca="false">IF($C50="","",ROUNDUP(N($S50)*(N($I50)+N($AG50))+N($U50),0))</f>
        <v>9</v>
      </c>
      <c r="W50" s="69" t="n">
        <f aca="false">IF($C50="","",SUMIFS(発注管理!$L$6:$L$1005,発注管理!$C$6:$C$1005,'設定（最初に1回）'!$C$4,発注管理!$F$6:$F$1005,$C50,発注管理!$Q$6:$Q$1005,"発注済"))</f>
        <v>0</v>
      </c>
      <c r="X50" s="69" t="n">
        <f aca="false">IF($C50="","",MAX(0,N($V50)-N($K50)-N($W50)))</f>
        <v>0</v>
      </c>
      <c r="Y50" s="147" t="n">
        <f aca="false">IF($C50="","",IF(N($X50)&lt;=0,0,CEILING($X50/MAX(1,N($G50)),MAX(1,N($J50)))))</f>
        <v>0</v>
      </c>
      <c r="Z50" s="138" t="str">
        <f aca="false">IF($C50="","",IF(N($Y50)&gt;0,"要発注","正常"))</f>
        <v>正常</v>
      </c>
      <c r="AA50" s="71" t="n">
        <f aca="false">IF($C50="","",N($K50)*N($H50))</f>
        <v>42702</v>
      </c>
      <c r="AB50" s="66" t="str">
        <f aca="false">IF($C50="","",_xlfn.TEXTJOIN(" / ",TRUE(),IF(COUNTIF(商品マスタ!$B$6:$B$1005,$C50)=0,"マスタ未登録",""),IF(COUNTIFS(月1回_前回の在庫を貼る!$B$6:$B$10005,'設定（最初に1回）'!$C$4,月1回_前回の在庫を貼る!$I$6:$I$10005,$C50)=0,"新商品",""),IF(COUNTIFS(①今日の在庫を貼る!$B$6:$B$10005,'設定（最初に1回）'!$C$4,①今日の在庫を貼る!$I$6:$I$10005,$C50)=0,"終売候補",""),IF(N($K50)&lt;0,"在庫マイナス",""),IF(AND('設定（最初に1回）'!$C$9="PI値予測",$P50=""),"PI値未設定","")))</f>
        <v/>
      </c>
      <c r="AC50" s="71" t="n">
        <f aca="false">N($Y50)*N($H50)</f>
        <v>0</v>
      </c>
      <c r="AD50" s="66" t="str">
        <f aca="false">IF($C50="","",IFERROR(INDEX(商品マスタ!$K$6:$K$1005,MATCH($C50,商品マスタ!$B$6:$B$1005,0)),"常温"))</f>
        <v>常温</v>
      </c>
      <c r="AE50" s="69" t="n">
        <f aca="false">IF($C50="","",MAX(0,ROUNDUP(N($K50)/MAX(1,N($G50)),0)))</f>
        <v>33</v>
      </c>
      <c r="AF50" s="66" t="str">
        <f aca="false">IF($C50="","",IFERROR(INDEX(商品マスタ!$L$6:$L$1005,MATCH($C50,商品マスタ!$B$6:$B$1005,0)),""))</f>
        <v>その他常温</v>
      </c>
      <c r="AG50" s="143" t="n">
        <f aca="false">IF($C50="","",IFERROR(INDEX(定数マスタ!$S$110:$S$119,MATCH($AF50,定数マスタ!$J$110:$J$119,0)),N('設定（最初に1回）'!$C$13)))</f>
        <v>7</v>
      </c>
      <c r="AH50" s="66" t="n">
        <f aca="false">IF(AND(N($K50)&gt;0,N($Y50)&gt;0),N($Y50),0)</f>
        <v>0</v>
      </c>
    </row>
    <row r="51" customFormat="false" ht="15" hidden="false" customHeight="false" outlineLevel="0" collapsed="false">
      <c r="B51" s="66" t="n">
        <v>46</v>
      </c>
      <c r="C51" s="66" t="str">
        <f aca="false">IFERROR(IF($B51&lt;=MAX(①今日の在庫を貼る!$U$6:$U$10005),INDEX(①今日の在庫を貼る!$I$6:$I$10005,MATCH($B51,①今日の在庫を貼る!$U$6:$U$10005,0)),INDEX(月1回_前回の在庫を貼る!$I$6:$I$10005,MATCH($B51-MAX(①今日の在庫を貼る!$U$6:$U$10005),月1回_前回の在庫を貼る!$U$6:$U$10005,0))),"")</f>
        <v>1812000009933</v>
      </c>
      <c r="D51" s="66" t="str">
        <f aca="false">IF($C51="","",IFERROR(INDEX(商品マスタ!$C$6:$C$1005,MATCH($C51,商品マスタ!$B$6:$B$1005,0)),IFERROR(INDEX(①今日の在庫を貼る!$J$6:$J$10005,MATCH($C51,①今日の在庫を貼る!$I$6:$I$10005,0)),IFERROR(INDEX(月1回_前回の在庫を貼る!$J$6:$J$10005,MATCH($C51,月1回_前回の在庫を貼る!$I$6:$I$10005,0)),""))))</f>
        <v>一体型ホットドッグ（プレーン）</v>
      </c>
      <c r="E51" s="66" t="str">
        <f aca="false">IF($C51="","",IFERROR(INDEX(商品マスタ!$D$6:$D$1005,MATCH($C51,商品マスタ!$B$6:$B$1005,0)),IFERROR(INDEX(①今日の在庫を貼る!$H$6:$H$10005,MATCH($C51,①今日の在庫を貼る!$I$6:$I$10005,0)),IFERROR(INDEX(月1回_前回の在庫を貼る!$H$6:$H$10005,MATCH($C51,月1回_前回の在庫を貼る!$I$6:$I$10005,0)),""))))</f>
        <v>ホットドッグ</v>
      </c>
      <c r="F51" s="66" t="str">
        <f aca="false">IF($C51="","",IFERROR(INDEX(商品マスタ!$E$6:$E$1005,MATCH($C51,商品マスタ!$B$6:$B$1005,0)),IFERROR(INDEX(①今日の在庫を貼る!$E$6:$E$10005,MATCH($C51,①今日の在庫を貼る!$I$6:$I$10005,0)),IFERROR(INDEX(月1回_前回の在庫を貼る!$E$6:$E$10005,MATCH($C51,月1回_前回の在庫を貼る!$I$6:$I$10005,0)),""))))</f>
        <v>オザックス株式会社</v>
      </c>
      <c r="G51" s="69" t="n">
        <f aca="false">IF($C51="","",IFERROR(INDEX(商品マスタ!$F$6:$F$1005,MATCH($C51,商品マスタ!$B$6:$B$1005,0)),IFERROR(INDEX(①今日の在庫を貼る!$K$6:$K$10005,MATCH($C51,①今日の在庫を貼る!$I$6:$I$10005,0)),IFERROR(INDEX(月1回_前回の在庫を貼る!$K$6:$K$10005,MATCH($C51,月1回_前回の在庫を貼る!$I$6:$I$10005,0)),""))))</f>
        <v>96</v>
      </c>
      <c r="H51" s="71" t="n">
        <f aca="false">IF($C51="","",IFERROR(INDEX(商品マスタ!$G$6:$G$1005,MATCH($C51,商品マスタ!$B$6:$B$1005,0)),IFERROR(INDEX(①今日の在庫を貼る!$Q$6:$Q$10005,MATCH($C51,①今日の在庫を貼る!$I$6:$I$10005,0)),IFERROR(INDEX(月1回_前回の在庫を貼る!$Q$6:$Q$10005,MATCH($C51,月1回_前回の在庫を貼る!$I$6:$I$10005,0)),""))))</f>
        <v>176</v>
      </c>
      <c r="I51" s="66" t="n">
        <f aca="false">IF($C51="","",IFERROR(INDEX(商品マスタ!$H$6:$H$1005,MATCH($C51,商品マスタ!$B$6:$B$1005,0)),3))</f>
        <v>3</v>
      </c>
      <c r="J51" s="66" t="n">
        <f aca="false">IF($C51="","",MAX(1,IFERROR(INDEX(商品マスタ!$I$6:$I$1005,MATCH($C51,商品マスタ!$B$6:$B$1005,0)),1)))</f>
        <v>5</v>
      </c>
      <c r="K51" s="69" t="n">
        <f aca="false">IF($C51="","",SUMIFS(①今日の在庫を貼る!$N$6:$N$10005,①今日の在庫を貼る!$B$6:$B$10005,'設定（最初に1回）'!$C$4,①今日の在庫を貼る!$I$6:$I$10005,$C51))</f>
        <v>1401</v>
      </c>
      <c r="L51" s="69" t="n">
        <f aca="false">IF($C51="","",SUMIFS(月1回_前回の在庫を貼る!$N$6:$N$10005,月1回_前回の在庫を貼る!$B$6:$B$10005,'設定（最初に1回）'!$C$4,月1回_前回の在庫を貼る!$I$6:$I$10005,$C51))</f>
        <v>3025</v>
      </c>
      <c r="M51" s="69" t="n">
        <f aca="false">IF($C51="","",IF(OR('設定（最初に1回）'!$C$6="",'設定（最初に1回）'!$C$7=""),0,SUMIFS(発注管理!$S$6:$S$1005,発注管理!$C$6:$C$1005,'設定（最初に1回）'!$C$4,発注管理!$F$6:$F$1005,$C51,発注管理!$R$6:$R$1005,"&gt;="&amp;'設定（最初に1回）'!$C$7,発注管理!$R$6:$R$1005,"&lt;="&amp;'設定（最初に1回）'!$C$6)))</f>
        <v>0</v>
      </c>
      <c r="N51" s="69" t="n">
        <f aca="false">IF(OR($C51="",'設定（最初に1回）'!$C$15=0),"",$L51+$M51-$K51)</f>
        <v>1624</v>
      </c>
      <c r="O51" s="143" t="n">
        <f aca="false">IF(OR($N51="",'設定（最初に1回）'!$C$8="",'設定（最初に1回）'!$C$8&lt;=0),"",MAX(0,$N51)/'設定（最初に1回）'!$C$8)</f>
        <v>26.6229508196721</v>
      </c>
      <c r="P51" s="143" t="n">
        <f aca="false">IF($C51="","",IFERROR(INDEX(商品マスタ!$M$6:$N$1005,MATCH($C51,商品マスタ!$B$6:$B$1005,0),MATCH("PI値 "&amp;'設定（最初に1回）'!$C$11,商品マスタ!$M$5:$N$5,0)),""))</f>
        <v>0.9</v>
      </c>
      <c r="Q51" s="143" t="n">
        <f aca="false">IF(OR($C51="",$P51="",$P51=0,(N($I51)+N($AG51))&lt;=0),"",IFERROR(SUMIFS(随時_動員を入れる!$G$8:$G$97,随時_動員を入れる!$B$8:$B$97,"&gt;="&amp;'設定（最初に1回）'!$C$6,随時_動員を入れる!$B$8:$B$97,"&lt;="&amp;'設定（最初に1回）'!$C$6+(N($I51)+N($AG51))-1)/(N($I51)+N($AG51)),0)*$P51/100)</f>
        <v>47.628679245283</v>
      </c>
      <c r="R51" s="69" t="n">
        <f aca="false">IF($C51="","",SUMIFS(①今日の在庫を貼る!$O$6:$O$10005,①今日の在庫を貼る!$B$6:$B$10005,'設定（最初に1回）'!$C$4,①今日の在庫を貼る!$I$6:$I$10005,$C51))</f>
        <v>0</v>
      </c>
      <c r="S51" s="143" t="n">
        <f aca="false">IF($C51="","",IF('設定（最初に1回）'!$C$9="実績消費",N($O51),IF('設定（最初に1回）'!$C$9="PI値予測",N($Q51),MAX(N($O51),N($Q51)))))</f>
        <v>26.6229508196721</v>
      </c>
      <c r="T51" s="67" t="n">
        <f aca="false">IF(OR($S51="",$S51&lt;=0),"",$K51/$S51)</f>
        <v>52.6237684729064</v>
      </c>
      <c r="U51" s="69" t="n">
        <f aca="false">IF($S51="","",ROUNDUP(N($S51)*'設定（最初に1回）'!$C$12,0))</f>
        <v>107</v>
      </c>
      <c r="V51" s="69" t="n">
        <f aca="false">IF($C51="","",ROUNDUP(N($S51)*(N($I51)+N($AG51))+N($U51),0))</f>
        <v>249</v>
      </c>
      <c r="W51" s="69" t="n">
        <f aca="false">IF($C51="","",SUMIFS(発注管理!$L$6:$L$1005,発注管理!$C$6:$C$1005,'設定（最初に1回）'!$C$4,発注管理!$F$6:$F$1005,$C51,発注管理!$Q$6:$Q$1005,"発注済"))</f>
        <v>0</v>
      </c>
      <c r="X51" s="69" t="n">
        <f aca="false">IF($C51="","",MAX(0,N($V51)-N($K51)-N($W51)))</f>
        <v>0</v>
      </c>
      <c r="Y51" s="147" t="n">
        <f aca="false">IF($C51="","",IF(N($X51)&lt;=0,0,CEILING($X51/MAX(1,N($G51)),MAX(1,N($J51)))))</f>
        <v>0</v>
      </c>
      <c r="Z51" s="138" t="str">
        <f aca="false">IF($C51="","",IF(N($Y51)&gt;0,"要発注","正常"))</f>
        <v>正常</v>
      </c>
      <c r="AA51" s="71" t="n">
        <f aca="false">IF($C51="","",N($K51)*N($H51))</f>
        <v>246576</v>
      </c>
      <c r="AB51" s="66" t="str">
        <f aca="false">IF($C51="","",_xlfn.TEXTJOIN(" / ",TRUE(),IF(COUNTIF(商品マスタ!$B$6:$B$1005,$C51)=0,"マスタ未登録",""),IF(COUNTIFS(月1回_前回の在庫を貼る!$B$6:$B$10005,'設定（最初に1回）'!$C$4,月1回_前回の在庫を貼る!$I$6:$I$10005,$C51)=0,"新商品",""),IF(COUNTIFS(①今日の在庫を貼る!$B$6:$B$10005,'設定（最初に1回）'!$C$4,①今日の在庫を貼る!$I$6:$I$10005,$C51)=0,"終売候補",""),IF(N($K51)&lt;0,"在庫マイナス",""),IF(AND('設定（最初に1回）'!$C$9="PI値予測",$P51=""),"PI値未設定","")))</f>
        <v/>
      </c>
      <c r="AC51" s="71" t="n">
        <f aca="false">N($Y51)*N($H51)</f>
        <v>0</v>
      </c>
      <c r="AD51" s="66" t="str">
        <f aca="false">IF($C51="","",IFERROR(INDEX(商品マスタ!$K$6:$K$1005,MATCH($C51,商品マスタ!$B$6:$B$1005,0)),"常温"))</f>
        <v>冷凍</v>
      </c>
      <c r="AE51" s="69" t="n">
        <f aca="false">IF($C51="","",MAX(0,ROUNDUP(N($K51)/MAX(1,N($G51)),0)))</f>
        <v>15</v>
      </c>
      <c r="AF51" s="66" t="str">
        <f aca="false">IF($C51="","",IFERROR(INDEX(商品マスタ!$L$6:$L$1005,MATCH($C51,商品マスタ!$B$6:$B$1005,0)),""))</f>
        <v>冷凍品</v>
      </c>
      <c r="AG51" s="143" t="n">
        <f aca="false">IF($C51="","",IFERROR(INDEX(定数マスタ!$S$110:$S$119,MATCH($AF51,定数マスタ!$J$110:$J$119,0)),N('設定（最初に1回）'!$C$13)))</f>
        <v>2.3</v>
      </c>
      <c r="AH51" s="66" t="n">
        <f aca="false">IF(AND(N($K51)&gt;0,N($Y51)&gt;0),N($Y51),0)</f>
        <v>0</v>
      </c>
    </row>
    <row r="52" customFormat="false" ht="15" hidden="false" customHeight="false" outlineLevel="0" collapsed="false">
      <c r="B52" s="66" t="n">
        <v>47</v>
      </c>
      <c r="C52" s="66" t="str">
        <f aca="false">IFERROR(IF($B52&lt;=MAX(①今日の在庫を貼る!$U$6:$U$10005),INDEX(①今日の在庫を貼る!$I$6:$I$10005,MATCH($B52,①今日の在庫を貼る!$U$6:$U$10005,0)),INDEX(月1回_前回の在庫を貼る!$I$6:$I$10005,MATCH($B52-MAX(①今日の在庫を貼る!$U$6:$U$10005),月1回_前回の在庫を貼る!$U$6:$U$10005,0))),"")</f>
        <v>1812000011660</v>
      </c>
      <c r="D52" s="66" t="str">
        <f aca="false">IF($C52="","",IFERROR(INDEX(商品マスタ!$C$6:$C$1005,MATCH($C52,商品マスタ!$B$6:$B$1005,0)),IFERROR(INDEX(①今日の在庫を貼る!$J$6:$J$10005,MATCH($C52,①今日の在庫を貼る!$I$6:$I$10005,0)),IFERROR(INDEX(月1回_前回の在庫を貼る!$J$6:$J$10005,MATCH($C52,月1回_前回の在庫を貼る!$I$6:$I$10005,0)),""))))</f>
        <v>プレミアムドッグ　ビーフシチュー</v>
      </c>
      <c r="E52" s="66" t="str">
        <f aca="false">IF($C52="","",IFERROR(INDEX(商品マスタ!$D$6:$D$1005,MATCH($C52,商品マスタ!$B$6:$B$1005,0)),IFERROR(INDEX(①今日の在庫を貼る!$H$6:$H$10005,MATCH($C52,①今日の在庫を貼る!$I$6:$I$10005,0)),IFERROR(INDEX(月1回_前回の在庫を貼る!$H$6:$H$10005,MATCH($C52,月1回_前回の在庫を貼る!$I$6:$I$10005,0)),""))))</f>
        <v>ホットドッグ</v>
      </c>
      <c r="F52" s="66" t="str">
        <f aca="false">IF($C52="","",IFERROR(INDEX(商品マスタ!$E$6:$E$1005,MATCH($C52,商品マスタ!$B$6:$B$1005,0)),IFERROR(INDEX(①今日の在庫を貼る!$E$6:$E$10005,MATCH($C52,①今日の在庫を貼る!$I$6:$I$10005,0)),IFERROR(INDEX(月1回_前回の在庫を貼る!$E$6:$E$10005,MATCH($C52,月1回_前回の在庫を貼る!$I$6:$I$10005,0)),""))))</f>
        <v>オザックス株式会社</v>
      </c>
      <c r="G52" s="69" t="n">
        <f aca="false">IF($C52="","",IFERROR(INDEX(商品マスタ!$F$6:$F$1005,MATCH($C52,商品マスタ!$B$6:$B$1005,0)),IFERROR(INDEX(①今日の在庫を貼る!$K$6:$K$10005,MATCH($C52,①今日の在庫を貼る!$I$6:$I$10005,0)),IFERROR(INDEX(月1回_前回の在庫を貼る!$K$6:$K$10005,MATCH($C52,月1回_前回の在庫を貼る!$I$6:$I$10005,0)),""))))</f>
        <v>96</v>
      </c>
      <c r="H52" s="71" t="n">
        <f aca="false">IF($C52="","",IFERROR(INDEX(商品マスタ!$G$6:$G$1005,MATCH($C52,商品マスタ!$B$6:$B$1005,0)),IFERROR(INDEX(①今日の在庫を貼る!$Q$6:$Q$10005,MATCH($C52,①今日の在庫を貼る!$I$6:$I$10005,0)),IFERROR(INDEX(月1回_前回の在庫を貼る!$Q$6:$Q$10005,MATCH($C52,月1回_前回の在庫を貼る!$I$6:$I$10005,0)),""))))</f>
        <v>242</v>
      </c>
      <c r="I52" s="66" t="n">
        <f aca="false">IF($C52="","",IFERROR(INDEX(商品マスタ!$H$6:$H$1005,MATCH($C52,商品マスタ!$B$6:$B$1005,0)),3))</f>
        <v>7</v>
      </c>
      <c r="J52" s="66" t="n">
        <f aca="false">IF($C52="","",MAX(1,IFERROR(INDEX(商品マスタ!$I$6:$I$1005,MATCH($C52,商品マスタ!$B$6:$B$1005,0)),1)))</f>
        <v>5</v>
      </c>
      <c r="K52" s="69" t="n">
        <f aca="false">IF($C52="","",SUMIFS(①今日の在庫を貼る!$N$6:$N$10005,①今日の在庫を貼る!$B$6:$B$10005,'設定（最初に1回）'!$C$4,①今日の在庫を貼る!$I$6:$I$10005,$C52))</f>
        <v>44</v>
      </c>
      <c r="L52" s="69" t="n">
        <f aca="false">IF($C52="","",SUMIFS(月1回_前回の在庫を貼る!$N$6:$N$10005,月1回_前回の在庫を貼る!$B$6:$B$10005,'設定（最初に1回）'!$C$4,月1回_前回の在庫を貼る!$I$6:$I$10005,$C52))</f>
        <v>243</v>
      </c>
      <c r="M52" s="69" t="n">
        <f aca="false">IF($C52="","",IF(OR('設定（最初に1回）'!$C$6="",'設定（最初に1回）'!$C$7=""),0,SUMIFS(発注管理!$S$6:$S$1005,発注管理!$C$6:$C$1005,'設定（最初に1回）'!$C$4,発注管理!$F$6:$F$1005,$C52,発注管理!$R$6:$R$1005,"&gt;="&amp;'設定（最初に1回）'!$C$7,発注管理!$R$6:$R$1005,"&lt;="&amp;'設定（最初に1回）'!$C$6)))</f>
        <v>0</v>
      </c>
      <c r="N52" s="69" t="n">
        <f aca="false">IF(OR($C52="",'設定（最初に1回）'!$C$15=0),"",$L52+$M52-$K52)</f>
        <v>199</v>
      </c>
      <c r="O52" s="143" t="n">
        <f aca="false">IF(OR($N52="",'設定（最初に1回）'!$C$8="",'設定（最初に1回）'!$C$8&lt;=0),"",MAX(0,$N52)/'設定（最初に1回）'!$C$8)</f>
        <v>3.26229508196721</v>
      </c>
      <c r="P52" s="143" t="n">
        <f aca="false">IF($C52="","",IFERROR(INDEX(商品マスタ!$M$6:$N$1005,MATCH($C52,商品マスタ!$B$6:$B$1005,0),MATCH("PI値 "&amp;'設定（最初に1回）'!$C$11,商品マスタ!$M$5:$N$5,0)),""))</f>
        <v>1.9</v>
      </c>
      <c r="Q52" s="143" t="n">
        <f aca="false">IF(OR($C52="",$P52="",$P52=0,(N($I52)+N($AG52))&lt;=0),"",IFERROR(SUMIFS(随時_動員を入れる!$G$8:$G$97,随時_動員を入れる!$B$8:$B$97,"&gt;="&amp;'設定（最初に1回）'!$C$6,随時_動員を入れる!$B$8:$B$97,"&lt;="&amp;'設定（最初に1回）'!$C$6+(N($I52)+N($AG52))-1)/(N($I52)+N($AG52)),0)*$P52/100)</f>
        <v>70.6289247311828</v>
      </c>
      <c r="R52" s="69" t="n">
        <f aca="false">IF($C52="","",SUMIFS(①今日の在庫を貼る!$O$6:$O$10005,①今日の在庫を貼る!$B$6:$B$10005,'設定（最初に1回）'!$C$4,①今日の在庫を貼る!$I$6:$I$10005,$C52))</f>
        <v>0</v>
      </c>
      <c r="S52" s="143" t="n">
        <f aca="false">IF($C52="","",IF('設定（最初に1回）'!$C$9="実績消費",N($O52),IF('設定（最初に1回）'!$C$9="PI値予測",N($Q52),MAX(N($O52),N($Q52)))))</f>
        <v>3.26229508196721</v>
      </c>
      <c r="T52" s="67" t="n">
        <f aca="false">IF(OR($S52="",$S52&lt;=0),"",$K52/$S52)</f>
        <v>13.4874371859296</v>
      </c>
      <c r="U52" s="69" t="n">
        <f aca="false">IF($S52="","",ROUNDUP(N($S52)*'設定（最初に1回）'!$C$12,0))</f>
        <v>14</v>
      </c>
      <c r="V52" s="69" t="n">
        <f aca="false">IF($C52="","",ROUNDUP(N($S52)*(N($I52)+N($AG52))+N($U52),0))</f>
        <v>45</v>
      </c>
      <c r="W52" s="69" t="n">
        <f aca="false">IF($C52="","",SUMIFS(発注管理!$L$6:$L$1005,発注管理!$C$6:$C$1005,'設定（最初に1回）'!$C$4,発注管理!$F$6:$F$1005,$C52,発注管理!$Q$6:$Q$1005,"発注済"))</f>
        <v>0</v>
      </c>
      <c r="X52" s="69" t="n">
        <f aca="false">IF($C52="","",MAX(0,N($V52)-N($K52)-N($W52)))</f>
        <v>1</v>
      </c>
      <c r="Y52" s="147" t="n">
        <f aca="false">IF($C52="","",IF(N($X52)&lt;=0,0,CEILING($X52/MAX(1,N($G52)),MAX(1,N($J52)))))</f>
        <v>5</v>
      </c>
      <c r="Z52" s="138" t="str">
        <f aca="false">IF($C52="","",IF(N($Y52)&gt;0,"要発注","正常"))</f>
        <v>要発注</v>
      </c>
      <c r="AA52" s="71" t="n">
        <f aca="false">IF($C52="","",N($K52)*N($H52))</f>
        <v>10648</v>
      </c>
      <c r="AB52" s="66" t="str">
        <f aca="false">IF($C52="","",_xlfn.TEXTJOIN(" / ",TRUE(),IF(COUNTIF(商品マスタ!$B$6:$B$1005,$C52)=0,"マスタ未登録",""),IF(COUNTIFS(月1回_前回の在庫を貼る!$B$6:$B$10005,'設定（最初に1回）'!$C$4,月1回_前回の在庫を貼る!$I$6:$I$10005,$C52)=0,"新商品",""),IF(COUNTIFS(①今日の在庫を貼る!$B$6:$B$10005,'設定（最初に1回）'!$C$4,①今日の在庫を貼る!$I$6:$I$10005,$C52)=0,"終売候補",""),IF(N($K52)&lt;0,"在庫マイナス",""),IF(AND('設定（最初に1回）'!$C$9="PI値予測",$P52=""),"PI値未設定","")))</f>
        <v/>
      </c>
      <c r="AC52" s="71" t="n">
        <f aca="false">N($Y52)*N($H52)</f>
        <v>1210</v>
      </c>
      <c r="AD52" s="66" t="str">
        <f aca="false">IF($C52="","",IFERROR(INDEX(商品マスタ!$K$6:$K$1005,MATCH($C52,商品マスタ!$B$6:$B$1005,0)),"常温"))</f>
        <v>冷凍</v>
      </c>
      <c r="AE52" s="69" t="n">
        <f aca="false">IF($C52="","",MAX(0,ROUNDUP(N($K52)/MAX(1,N($G52)),0)))</f>
        <v>1</v>
      </c>
      <c r="AF52" s="66" t="str">
        <f aca="false">IF($C52="","",IFERROR(INDEX(商品マスタ!$L$6:$L$1005,MATCH($C52,商品マスタ!$B$6:$B$1005,0)),""))</f>
        <v>冷凍品</v>
      </c>
      <c r="AG52" s="143" t="n">
        <f aca="false">IF($C52="","",IFERROR(INDEX(定数マスタ!$S$110:$S$119,MATCH($AF52,定数マスタ!$J$110:$J$119,0)),N('設定（最初に1回）'!$C$13)))</f>
        <v>2.3</v>
      </c>
      <c r="AH52" s="66" t="n">
        <f aca="false">IF(AND(N($K52)&gt;0,N($Y52)&gt;0),N($Y52),0)</f>
        <v>5</v>
      </c>
    </row>
    <row r="53" customFormat="false" ht="15" hidden="false" customHeight="false" outlineLevel="0" collapsed="false">
      <c r="B53" s="66" t="n">
        <v>48</v>
      </c>
      <c r="C53" s="66" t="str">
        <f aca="false">IFERROR(IF($B53&lt;=MAX(①今日の在庫を貼る!$U$6:$U$10005),INDEX(①今日の在庫を貼る!$I$6:$I$10005,MATCH($B53,①今日の在庫を貼る!$U$6:$U$10005,0)),INDEX(月1回_前回の在庫を貼る!$I$6:$I$10005,MATCH($B53-MAX(①今日の在庫を貼る!$U$6:$U$10005),月1回_前回の在庫を貼る!$U$6:$U$10005,0))),"")</f>
        <v>1812000011868</v>
      </c>
      <c r="D53" s="66" t="str">
        <f aca="false">IF($C53="","",IFERROR(INDEX(商品マスタ!$C$6:$C$1005,MATCH($C53,商品マスタ!$B$6:$B$1005,0)),IFERROR(INDEX(①今日の在庫を貼る!$J$6:$J$10005,MATCH($C53,①今日の在庫を貼る!$I$6:$I$10005,0)),IFERROR(INDEX(月1回_前回の在庫を貼る!$J$6:$J$10005,MATCH($C53,月1回_前回の在庫を貼る!$I$6:$I$10005,0)),""))))</f>
        <v>ＴＨ　スパイシーハラペー　オリ</v>
      </c>
      <c r="E53" s="66" t="str">
        <f aca="false">IF($C53="","",IFERROR(INDEX(商品マスタ!$D$6:$D$1005,MATCH($C53,商品マスタ!$B$6:$B$1005,0)),IFERROR(INDEX(①今日の在庫を貼る!$H$6:$H$10005,MATCH($C53,①今日の在庫を貼る!$I$6:$I$10005,0)),IFERROR(INDEX(月1回_前回の在庫を貼る!$H$6:$H$10005,MATCH($C53,月1回_前回の在庫を貼る!$I$6:$I$10005,0)),""))))</f>
        <v>ホットドッグ</v>
      </c>
      <c r="F53" s="66" t="str">
        <f aca="false">IF($C53="","",IFERROR(INDEX(商品マスタ!$E$6:$E$1005,MATCH($C53,商品マスタ!$B$6:$B$1005,0)),IFERROR(INDEX(①今日の在庫を貼る!$E$6:$E$10005,MATCH($C53,①今日の在庫を貼る!$I$6:$I$10005,0)),IFERROR(INDEX(月1回_前回の在庫を貼る!$E$6:$E$10005,MATCH($C53,月1回_前回の在庫を貼る!$I$6:$I$10005,0)),""))))</f>
        <v>オザックス株式会社</v>
      </c>
      <c r="G53" s="69" t="n">
        <f aca="false">IF($C53="","",IFERROR(INDEX(商品マスタ!$F$6:$F$1005,MATCH($C53,商品マスタ!$B$6:$B$1005,0)),IFERROR(INDEX(①今日の在庫を貼る!$K$6:$K$10005,MATCH($C53,①今日の在庫を貼る!$I$6:$I$10005,0)),IFERROR(INDEX(月1回_前回の在庫を貼る!$K$6:$K$10005,MATCH($C53,月1回_前回の在庫を貼る!$I$6:$I$10005,0)),""))))</f>
        <v>96</v>
      </c>
      <c r="H53" s="71" t="n">
        <f aca="false">IF($C53="","",IFERROR(INDEX(商品マスタ!$G$6:$G$1005,MATCH($C53,商品マスタ!$B$6:$B$1005,0)),IFERROR(INDEX(①今日の在庫を貼る!$Q$6:$Q$10005,MATCH($C53,①今日の在庫を貼る!$I$6:$I$10005,0)),IFERROR(INDEX(月1回_前回の在庫を貼る!$Q$6:$Q$10005,MATCH($C53,月1回_前回の在庫を貼る!$I$6:$I$10005,0)),""))))</f>
        <v>239</v>
      </c>
      <c r="I53" s="66" t="n">
        <f aca="false">IF($C53="","",IFERROR(INDEX(商品マスタ!$H$6:$H$1005,MATCH($C53,商品マスタ!$B$6:$B$1005,0)),3))</f>
        <v>3</v>
      </c>
      <c r="J53" s="66" t="n">
        <f aca="false">IF($C53="","",MAX(1,IFERROR(INDEX(商品マスタ!$I$6:$I$1005,MATCH($C53,商品マスタ!$B$6:$B$1005,0)),1)))</f>
        <v>1</v>
      </c>
      <c r="K53" s="69" t="n">
        <f aca="false">IF($C53="","",SUMIFS(①今日の在庫を貼る!$N$6:$N$10005,①今日の在庫を貼る!$B$6:$B$10005,'設定（最初に1回）'!$C$4,①今日の在庫を貼る!$I$6:$I$10005,$C53))</f>
        <v>278</v>
      </c>
      <c r="L53" s="69" t="n">
        <f aca="false">IF($C53="","",SUMIFS(月1回_前回の在庫を貼る!$N$6:$N$10005,月1回_前回の在庫を貼る!$B$6:$B$10005,'設定（最初に1回）'!$C$4,月1回_前回の在庫を貼る!$I$6:$I$10005,$C53))</f>
        <v>607</v>
      </c>
      <c r="M53" s="69" t="n">
        <f aca="false">IF($C53="","",IF(OR('設定（最初に1回）'!$C$6="",'設定（最初に1回）'!$C$7=""),0,SUMIFS(発注管理!$S$6:$S$1005,発注管理!$C$6:$C$1005,'設定（最初に1回）'!$C$4,発注管理!$F$6:$F$1005,$C53,発注管理!$R$6:$R$1005,"&gt;="&amp;'設定（最初に1回）'!$C$7,発注管理!$R$6:$R$1005,"&lt;="&amp;'設定（最初に1回）'!$C$6)))</f>
        <v>0</v>
      </c>
      <c r="N53" s="69" t="n">
        <f aca="false">IF(OR($C53="",'設定（最初に1回）'!$C$15=0),"",$L53+$M53-$K53)</f>
        <v>329</v>
      </c>
      <c r="O53" s="143" t="n">
        <f aca="false">IF(OR($N53="",'設定（最初に1回）'!$C$8="",'設定（最初に1回）'!$C$8&lt;=0),"",MAX(0,$N53)/'設定（最初に1回）'!$C$8)</f>
        <v>5.39344262295082</v>
      </c>
      <c r="P53" s="143" t="n">
        <f aca="false">IF($C53="","",IFERROR(INDEX(商品マスタ!$M$6:$N$1005,MATCH($C53,商品マスタ!$B$6:$B$1005,0),MATCH("PI値 "&amp;'設定（最初に1回）'!$C$11,商品マスタ!$M$5:$N$5,0)),""))</f>
        <v>1.5</v>
      </c>
      <c r="Q53" s="143" t="n">
        <f aca="false">IF(OR($C53="",$P53="",$P53=0,(N($I53)+N($AG53))&lt;=0),"",IFERROR(SUMIFS(随時_動員を入れる!$G$8:$G$97,随時_動員を入れる!$B$8:$B$97,"&gt;="&amp;'設定（最初に1回）'!$C$6,随時_動員を入れる!$B$8:$B$97,"&lt;="&amp;'設定（最初に1回）'!$C$6+(N($I53)+N($AG53))-1)/(N($I53)+N($AG53)),0)*$P53/100)</f>
        <v>79.3811320754717</v>
      </c>
      <c r="R53" s="69" t="n">
        <f aca="false">IF($C53="","",SUMIFS(①今日の在庫を貼る!$O$6:$O$10005,①今日の在庫を貼る!$B$6:$B$10005,'設定（最初に1回）'!$C$4,①今日の在庫を貼る!$I$6:$I$10005,$C53))</f>
        <v>0</v>
      </c>
      <c r="S53" s="143" t="n">
        <f aca="false">IF($C53="","",IF('設定（最初に1回）'!$C$9="実績消費",N($O53),IF('設定（最初に1回）'!$C$9="PI値予測",N($Q53),MAX(N($O53),N($Q53)))))</f>
        <v>5.39344262295082</v>
      </c>
      <c r="T53" s="67" t="n">
        <f aca="false">IF(OR($S53="",$S53&lt;=0),"",$K53/$S53)</f>
        <v>51.5440729483283</v>
      </c>
      <c r="U53" s="69" t="n">
        <f aca="false">IF($S53="","",ROUNDUP(N($S53)*'設定（最初に1回）'!$C$12,0))</f>
        <v>22</v>
      </c>
      <c r="V53" s="69" t="n">
        <f aca="false">IF($C53="","",ROUNDUP(N($S53)*(N($I53)+N($AG53))+N($U53),0))</f>
        <v>51</v>
      </c>
      <c r="W53" s="69" t="n">
        <f aca="false">IF($C53="","",SUMIFS(発注管理!$L$6:$L$1005,発注管理!$C$6:$C$1005,'設定（最初に1回）'!$C$4,発注管理!$F$6:$F$1005,$C53,発注管理!$Q$6:$Q$1005,"発注済"))</f>
        <v>0</v>
      </c>
      <c r="X53" s="69" t="n">
        <f aca="false">IF($C53="","",MAX(0,N($V53)-N($K53)-N($W53)))</f>
        <v>0</v>
      </c>
      <c r="Y53" s="147" t="n">
        <f aca="false">IF($C53="","",IF(N($X53)&lt;=0,0,CEILING($X53/MAX(1,N($G53)),MAX(1,N($J53)))))</f>
        <v>0</v>
      </c>
      <c r="Z53" s="138" t="str">
        <f aca="false">IF($C53="","",IF(N($Y53)&gt;0,"要発注","正常"))</f>
        <v>正常</v>
      </c>
      <c r="AA53" s="71" t="n">
        <f aca="false">IF($C53="","",N($K53)*N($H53))</f>
        <v>66442</v>
      </c>
      <c r="AB53" s="66" t="str">
        <f aca="false">IF($C53="","",_xlfn.TEXTJOIN(" / ",TRUE(),IF(COUNTIF(商品マスタ!$B$6:$B$1005,$C53)=0,"マスタ未登録",""),IF(COUNTIFS(月1回_前回の在庫を貼る!$B$6:$B$10005,'設定（最初に1回）'!$C$4,月1回_前回の在庫を貼る!$I$6:$I$10005,$C53)=0,"新商品",""),IF(COUNTIFS(①今日の在庫を貼る!$B$6:$B$10005,'設定（最初に1回）'!$C$4,①今日の在庫を貼る!$I$6:$I$10005,$C53)=0,"終売候補",""),IF(N($K53)&lt;0,"在庫マイナス",""),IF(AND('設定（最初に1回）'!$C$9="PI値予測",$P53=""),"PI値未設定","")))</f>
        <v/>
      </c>
      <c r="AC53" s="71" t="n">
        <f aca="false">N($Y53)*N($H53)</f>
        <v>0</v>
      </c>
      <c r="AD53" s="66" t="str">
        <f aca="false">IF($C53="","",IFERROR(INDEX(商品マスタ!$K$6:$K$1005,MATCH($C53,商品マスタ!$B$6:$B$1005,0)),"常温"))</f>
        <v>冷凍</v>
      </c>
      <c r="AE53" s="69" t="n">
        <f aca="false">IF($C53="","",MAX(0,ROUNDUP(N($K53)/MAX(1,N($G53)),0)))</f>
        <v>3</v>
      </c>
      <c r="AF53" s="66" t="str">
        <f aca="false">IF($C53="","",IFERROR(INDEX(商品マスタ!$L$6:$L$1005,MATCH($C53,商品マスタ!$B$6:$B$1005,0)),""))</f>
        <v>冷凍品</v>
      </c>
      <c r="AG53" s="143" t="n">
        <f aca="false">IF($C53="","",IFERROR(INDEX(定数マスタ!$S$110:$S$119,MATCH($AF53,定数マスタ!$J$110:$J$119,0)),N('設定（最初に1回）'!$C$13)))</f>
        <v>2.3</v>
      </c>
      <c r="AH53" s="66" t="n">
        <f aca="false">IF(AND(N($K53)&gt;0,N($Y53)&gt;0),N($Y53),0)</f>
        <v>0</v>
      </c>
    </row>
    <row r="54" customFormat="false" ht="15" hidden="false" customHeight="false" outlineLevel="0" collapsed="false">
      <c r="B54" s="66" t="n">
        <v>49</v>
      </c>
      <c r="C54" s="66" t="str">
        <f aca="false">IFERROR(IF($B54&lt;=MAX(①今日の在庫を貼る!$U$6:$U$10005),INDEX(①今日の在庫を貼る!$I$6:$I$10005,MATCH($B54,①今日の在庫を貼る!$U$6:$U$10005,0)),INDEX(月1回_前回の在庫を貼る!$I$6:$I$10005,MATCH($B54-MAX(①今日の在庫を貼る!$U$6:$U$10005),月1回_前回の在庫を貼る!$U$6:$U$10005,0))),"")</f>
        <v>1812000012421</v>
      </c>
      <c r="D54" s="66" t="str">
        <f aca="false">IF($C54="","",IFERROR(INDEX(商品マスタ!$C$6:$C$1005,MATCH($C54,商品マスタ!$B$6:$B$1005,0)),IFERROR(INDEX(①今日の在庫を貼る!$J$6:$J$10005,MATCH($C54,①今日の在庫を貼る!$I$6:$I$10005,0)),IFERROR(INDEX(月1回_前回の在庫を貼る!$J$6:$J$10005,MATCH($C54,月1回_前回の在庫を貼る!$I$6:$I$10005,0)),""))))</f>
        <v>プレミアムホットドッグガリポテ</v>
      </c>
      <c r="E54" s="66" t="str">
        <f aca="false">IF($C54="","",IFERROR(INDEX(商品マスタ!$D$6:$D$1005,MATCH($C54,商品マスタ!$B$6:$B$1005,0)),IFERROR(INDEX(①今日の在庫を貼る!$H$6:$H$10005,MATCH($C54,①今日の在庫を貼る!$I$6:$I$10005,0)),IFERROR(INDEX(月1回_前回の在庫を貼る!$H$6:$H$10005,MATCH($C54,月1回_前回の在庫を貼る!$I$6:$I$10005,0)),""))))</f>
        <v>ホットドッグ</v>
      </c>
      <c r="F54" s="66" t="str">
        <f aca="false">IF($C54="","",IFERROR(INDEX(商品マスタ!$E$6:$E$1005,MATCH($C54,商品マスタ!$B$6:$B$1005,0)),IFERROR(INDEX(①今日の在庫を貼る!$E$6:$E$10005,MATCH($C54,①今日の在庫を貼る!$I$6:$I$10005,0)),IFERROR(INDEX(月1回_前回の在庫を貼る!$E$6:$E$10005,MATCH($C54,月1回_前回の在庫を貼る!$I$6:$I$10005,0)),""))))</f>
        <v>オザックス株式会社</v>
      </c>
      <c r="G54" s="69" t="n">
        <f aca="false">IF($C54="","",IFERROR(INDEX(商品マスタ!$F$6:$F$1005,MATCH($C54,商品マスタ!$B$6:$B$1005,0)),IFERROR(INDEX(①今日の在庫を貼る!$K$6:$K$10005,MATCH($C54,①今日の在庫を貼る!$I$6:$I$10005,0)),IFERROR(INDEX(月1回_前回の在庫を貼る!$K$6:$K$10005,MATCH($C54,月1回_前回の在庫を貼る!$I$6:$I$10005,0)),""))))</f>
        <v>96</v>
      </c>
      <c r="H54" s="71" t="n">
        <f aca="false">IF($C54="","",IFERROR(INDEX(商品マスタ!$G$6:$G$1005,MATCH($C54,商品マスタ!$B$6:$B$1005,0)),IFERROR(INDEX(①今日の在庫を貼る!$Q$6:$Q$10005,MATCH($C54,①今日の在庫を貼る!$I$6:$I$10005,0)),IFERROR(INDEX(月1回_前回の在庫を貼る!$Q$6:$Q$10005,MATCH($C54,月1回_前回の在庫を貼る!$I$6:$I$10005,0)),""))))</f>
        <v>244</v>
      </c>
      <c r="I54" s="66" t="n">
        <f aca="false">IF($C54="","",IFERROR(INDEX(商品マスタ!$H$6:$H$1005,MATCH($C54,商品マスタ!$B$6:$B$1005,0)),3))</f>
        <v>3</v>
      </c>
      <c r="J54" s="66" t="n">
        <f aca="false">IF($C54="","",MAX(1,IFERROR(INDEX(商品マスタ!$I$6:$I$1005,MATCH($C54,商品マスタ!$B$6:$B$1005,0)),1)))</f>
        <v>1</v>
      </c>
      <c r="K54" s="69" t="n">
        <f aca="false">IF($C54="","",SUMIFS(①今日の在庫を貼る!$N$6:$N$10005,①今日の在庫を貼る!$B$6:$B$10005,'設定（最初に1回）'!$C$4,①今日の在庫を貼る!$I$6:$I$10005,$C54))</f>
        <v>14</v>
      </c>
      <c r="L54" s="69" t="n">
        <f aca="false">IF($C54="","",SUMIFS(月1回_前回の在庫を貼る!$N$6:$N$10005,月1回_前回の在庫を貼る!$B$6:$B$10005,'設定（最初に1回）'!$C$4,月1回_前回の在庫を貼る!$I$6:$I$10005,$C54))</f>
        <v>583</v>
      </c>
      <c r="M54" s="69" t="n">
        <f aca="false">IF($C54="","",IF(OR('設定（最初に1回）'!$C$6="",'設定（最初に1回）'!$C$7=""),0,SUMIFS(発注管理!$S$6:$S$1005,発注管理!$C$6:$C$1005,'設定（最初に1回）'!$C$4,発注管理!$F$6:$F$1005,$C54,発注管理!$R$6:$R$1005,"&gt;="&amp;'設定（最初に1回）'!$C$7,発注管理!$R$6:$R$1005,"&lt;="&amp;'設定（最初に1回）'!$C$6)))</f>
        <v>0</v>
      </c>
      <c r="N54" s="69" t="n">
        <f aca="false">IF(OR($C54="",'設定（最初に1回）'!$C$15=0),"",$L54+$M54-$K54)</f>
        <v>569</v>
      </c>
      <c r="O54" s="143" t="n">
        <f aca="false">IF(OR($N54="",'設定（最初に1回）'!$C$8="",'設定（最初に1回）'!$C$8&lt;=0),"",MAX(0,$N54)/'設定（最初に1回）'!$C$8)</f>
        <v>9.32786885245902</v>
      </c>
      <c r="P54" s="143" t="n">
        <f aca="false">IF($C54="","",IFERROR(INDEX(商品マスタ!$M$6:$N$1005,MATCH($C54,商品マスタ!$B$6:$B$1005,0),MATCH("PI値 "&amp;'設定（最初に1回）'!$C$11,商品マスタ!$M$5:$N$5,0)),""))</f>
        <v>1.6</v>
      </c>
      <c r="Q54" s="143" t="n">
        <f aca="false">IF(OR($C54="",$P54="",$P54=0,(N($I54)+N($AG54))&lt;=0),"",IFERROR(SUMIFS(随時_動員を入れる!$G$8:$G$97,随時_動員を入れる!$B$8:$B$97,"&gt;="&amp;'設定（最初に1回）'!$C$6,随時_動員を入れる!$B$8:$B$97,"&lt;="&amp;'設定（最初に1回）'!$C$6+(N($I54)+N($AG54))-1)/(N($I54)+N($AG54)),0)*$P54/100)</f>
        <v>84.6732075471698</v>
      </c>
      <c r="R54" s="69" t="n">
        <f aca="false">IF($C54="","",SUMIFS(①今日の在庫を貼る!$O$6:$O$10005,①今日の在庫を貼る!$B$6:$B$10005,'設定（最初に1回）'!$C$4,①今日の在庫を貼る!$I$6:$I$10005,$C54))</f>
        <v>0</v>
      </c>
      <c r="S54" s="143" t="n">
        <f aca="false">IF($C54="","",IF('設定（最初に1回）'!$C$9="実績消費",N($O54),IF('設定（最初に1回）'!$C$9="PI値予測",N($Q54),MAX(N($O54),N($Q54)))))</f>
        <v>9.32786885245902</v>
      </c>
      <c r="T54" s="67" t="n">
        <f aca="false">IF(OR($S54="",$S54&lt;=0),"",$K54/$S54)</f>
        <v>1.50087873462214</v>
      </c>
      <c r="U54" s="69" t="n">
        <f aca="false">IF($S54="","",ROUNDUP(N($S54)*'設定（最初に1回）'!$C$12,0))</f>
        <v>38</v>
      </c>
      <c r="V54" s="69" t="n">
        <f aca="false">IF($C54="","",ROUNDUP(N($S54)*(N($I54)+N($AG54))+N($U54),0))</f>
        <v>88</v>
      </c>
      <c r="W54" s="69" t="n">
        <f aca="false">IF($C54="","",SUMIFS(発注管理!$L$6:$L$1005,発注管理!$C$6:$C$1005,'設定（最初に1回）'!$C$4,発注管理!$F$6:$F$1005,$C54,発注管理!$Q$6:$Q$1005,"発注済"))</f>
        <v>0</v>
      </c>
      <c r="X54" s="69" t="n">
        <f aca="false">IF($C54="","",MAX(0,N($V54)-N($K54)-N($W54)))</f>
        <v>74</v>
      </c>
      <c r="Y54" s="147" t="n">
        <f aca="false">IF($C54="","",IF(N($X54)&lt;=0,0,CEILING($X54/MAX(1,N($G54)),MAX(1,N($J54)))))</f>
        <v>1</v>
      </c>
      <c r="Z54" s="138" t="str">
        <f aca="false">IF($C54="","",IF(N($Y54)&gt;0,"要発注","正常"))</f>
        <v>要発注</v>
      </c>
      <c r="AA54" s="71" t="n">
        <f aca="false">IF($C54="","",N($K54)*N($H54))</f>
        <v>3416</v>
      </c>
      <c r="AB54" s="66" t="str">
        <f aca="false">IF($C54="","",_xlfn.TEXTJOIN(" / ",TRUE(),IF(COUNTIF(商品マスタ!$B$6:$B$1005,$C54)=0,"マスタ未登録",""),IF(COUNTIFS(月1回_前回の在庫を貼る!$B$6:$B$10005,'設定（最初に1回）'!$C$4,月1回_前回の在庫を貼る!$I$6:$I$10005,$C54)=0,"新商品",""),IF(COUNTIFS(①今日の在庫を貼る!$B$6:$B$10005,'設定（最初に1回）'!$C$4,①今日の在庫を貼る!$I$6:$I$10005,$C54)=0,"終売候補",""),IF(N($K54)&lt;0,"在庫マイナス",""),IF(AND('設定（最初に1回）'!$C$9="PI値予測",$P54=""),"PI値未設定","")))</f>
        <v/>
      </c>
      <c r="AC54" s="71" t="n">
        <f aca="false">N($Y54)*N($H54)</f>
        <v>244</v>
      </c>
      <c r="AD54" s="66" t="str">
        <f aca="false">IF($C54="","",IFERROR(INDEX(商品マスタ!$K$6:$K$1005,MATCH($C54,商品マスタ!$B$6:$B$1005,0)),"常温"))</f>
        <v>冷凍</v>
      </c>
      <c r="AE54" s="69" t="n">
        <f aca="false">IF($C54="","",MAX(0,ROUNDUP(N($K54)/MAX(1,N($G54)),0)))</f>
        <v>1</v>
      </c>
      <c r="AF54" s="66" t="str">
        <f aca="false">IF($C54="","",IFERROR(INDEX(商品マスタ!$L$6:$L$1005,MATCH($C54,商品マスタ!$B$6:$B$1005,0)),""))</f>
        <v>冷凍品</v>
      </c>
      <c r="AG54" s="143" t="n">
        <f aca="false">IF($C54="","",IFERROR(INDEX(定数マスタ!$S$110:$S$119,MATCH($AF54,定数マスタ!$J$110:$J$119,0)),N('設定（最初に1回）'!$C$13)))</f>
        <v>2.3</v>
      </c>
      <c r="AH54" s="66" t="n">
        <f aca="false">IF(AND(N($K54)&gt;0,N($Y54)&gt;0),N($Y54),0)</f>
        <v>1</v>
      </c>
    </row>
    <row r="55" customFormat="false" ht="15" hidden="false" customHeight="false" outlineLevel="0" collapsed="false">
      <c r="B55" s="66" t="n">
        <v>50</v>
      </c>
      <c r="C55" s="66" t="str">
        <f aca="false">IFERROR(IF($B55&lt;=MAX(①今日の在庫を貼る!$U$6:$U$10005),INDEX(①今日の在庫を貼る!$I$6:$I$10005,MATCH($B55,①今日の在庫を貼る!$U$6:$U$10005,0)),INDEX(月1回_前回の在庫を貼る!$I$6:$I$10005,MATCH($B55-MAX(①今日の在庫を貼る!$U$6:$U$10005),月1回_前回の在庫を貼る!$U$6:$U$10005,0))),"")</f>
        <v>1812000010274</v>
      </c>
      <c r="D55" s="66" t="str">
        <f aca="false">IF($C55="","",IFERROR(INDEX(商品マスタ!$C$6:$C$1005,MATCH($C55,商品マスタ!$B$6:$B$1005,0)),IFERROR(INDEX(①今日の在庫を貼る!$J$6:$J$10005,MATCH($C55,①今日の在庫を貼る!$I$6:$I$10005,0)),IFERROR(INDEX(月1回_前回の在庫を貼る!$J$6:$J$10005,MATCH($C55,月1回_前回の在庫を貼る!$I$6:$I$10005,0)),""))))</f>
        <v>シチリア岩塩＆クワトロハーブ</v>
      </c>
      <c r="E55" s="66" t="str">
        <f aca="false">IF($C55="","",IFERROR(INDEX(商品マスタ!$D$6:$D$1005,MATCH($C55,商品マスタ!$B$6:$B$1005,0)),IFERROR(INDEX(①今日の在庫を貼る!$H$6:$H$10005,MATCH($C55,①今日の在庫を貼る!$I$6:$I$10005,0)),IFERROR(INDEX(月1回_前回の在庫を貼る!$H$6:$H$10005,MATCH($C55,月1回_前回の在庫を貼る!$I$6:$I$10005,0)),""))))</f>
        <v>軽食系フード</v>
      </c>
      <c r="F55" s="66" t="str">
        <f aca="false">IF($C55="","",IFERROR(INDEX(商品マスタ!$E$6:$E$1005,MATCH($C55,商品マスタ!$B$6:$B$1005,0)),IFERROR(INDEX(①今日の在庫を貼る!$E$6:$E$10005,MATCH($C55,①今日の在庫を貼る!$I$6:$I$10005,0)),IFERROR(INDEX(月1回_前回の在庫を貼る!$E$6:$E$10005,MATCH($C55,月1回_前回の在庫を貼る!$I$6:$I$10005,0)),""))))</f>
        <v>オザックス株式会社</v>
      </c>
      <c r="G55" s="69" t="n">
        <f aca="false">IF($C55="","",IFERROR(INDEX(商品マスタ!$F$6:$F$1005,MATCH($C55,商品マスタ!$B$6:$B$1005,0)),IFERROR(INDEX(①今日の在庫を貼る!$K$6:$K$10005,MATCH($C55,①今日の在庫を貼る!$I$6:$I$10005,0)),IFERROR(INDEX(月1回_前回の在庫を貼る!$K$6:$K$10005,MATCH($C55,月1回_前回の在庫を貼る!$I$6:$I$10005,0)),""))))</f>
        <v>1</v>
      </c>
      <c r="H55" s="71" t="n">
        <f aca="false">IF($C55="","",IFERROR(INDEX(商品マスタ!$G$6:$G$1005,MATCH($C55,商品マスタ!$B$6:$B$1005,0)),IFERROR(INDEX(①今日の在庫を貼る!$Q$6:$Q$10005,MATCH($C55,①今日の在庫を貼る!$I$6:$I$10005,0)),IFERROR(INDEX(月1回_前回の在庫を貼る!$Q$6:$Q$10005,MATCH($C55,月1回_前回の在庫を貼る!$I$6:$I$10005,0)),""))))</f>
        <v>1755</v>
      </c>
      <c r="I55" s="66" t="n">
        <f aca="false">IF($C55="","",IFERROR(INDEX(商品マスタ!$H$6:$H$1005,MATCH($C55,商品マスタ!$B$6:$B$1005,0)),3))</f>
        <v>5</v>
      </c>
      <c r="J55" s="66" t="n">
        <f aca="false">IF($C55="","",MAX(1,IFERROR(INDEX(商品マスタ!$I$6:$I$1005,MATCH($C55,商品マスタ!$B$6:$B$1005,0)),1)))</f>
        <v>2</v>
      </c>
      <c r="K55" s="69" t="n">
        <f aca="false">IF($C55="","",SUMIFS(①今日の在庫を貼る!$N$6:$N$10005,①今日の在庫を貼る!$B$6:$B$10005,'設定（最初に1回）'!$C$4,①今日の在庫を貼る!$I$6:$I$10005,$C55))</f>
        <v>1</v>
      </c>
      <c r="L55" s="69" t="n">
        <f aca="false">IF($C55="","",SUMIFS(月1回_前回の在庫を貼る!$N$6:$N$10005,月1回_前回の在庫を貼る!$B$6:$B$10005,'設定（最初に1回）'!$C$4,月1回_前回の在庫を貼る!$I$6:$I$10005,$C55))</f>
        <v>2</v>
      </c>
      <c r="M55" s="69" t="n">
        <f aca="false">IF($C55="","",IF(OR('設定（最初に1回）'!$C$6="",'設定（最初に1回）'!$C$7=""),0,SUMIFS(発注管理!$S$6:$S$1005,発注管理!$C$6:$C$1005,'設定（最初に1回）'!$C$4,発注管理!$F$6:$F$1005,$C55,発注管理!$R$6:$R$1005,"&gt;="&amp;'設定（最初に1回）'!$C$7,発注管理!$R$6:$R$1005,"&lt;="&amp;'設定（最初に1回）'!$C$6)))</f>
        <v>0</v>
      </c>
      <c r="N55" s="69" t="n">
        <f aca="false">IF(OR($C55="",'設定（最初に1回）'!$C$15=0),"",$L55+$M55-$K55)</f>
        <v>1</v>
      </c>
      <c r="O55" s="143" t="n">
        <f aca="false">IF(OR($N55="",'設定（最初に1回）'!$C$8="",'設定（最初に1回）'!$C$8&lt;=0),"",MAX(0,$N55)/'設定（最初に1回）'!$C$8)</f>
        <v>0.0163934426229508</v>
      </c>
      <c r="P55" s="143" t="n">
        <f aca="false">IF($C55="","",IFERROR(INDEX(商品マスタ!$M$6:$N$1005,MATCH($C55,商品マスタ!$B$6:$B$1005,0),MATCH("PI値 "&amp;'設定（最初に1回）'!$C$11,商品マスタ!$M$5:$N$5,0)),""))</f>
        <v>0.9</v>
      </c>
      <c r="Q55" s="143" t="n">
        <f aca="false">IF(OR($C55="",$P55="",$P55=0,(N($I55)+N($AG55))&lt;=0),"",IFERROR(SUMIFS(随時_動員を入れる!$G$8:$G$97,随時_動員を入れる!$B$8:$B$97,"&gt;="&amp;'設定（最初に1回）'!$C$6,随時_動員を入れる!$B$8:$B$97,"&lt;="&amp;'設定（最初に1回）'!$C$6+(N($I55)+N($AG55))-1)/(N($I55)+N($AG55)),0)*$P55/100)</f>
        <v>38.1119178082192</v>
      </c>
      <c r="R55" s="69" t="n">
        <f aca="false">IF($C55="","",SUMIFS(①今日の在庫を貼る!$O$6:$O$10005,①今日の在庫を貼る!$B$6:$B$10005,'設定（最初に1回）'!$C$4,①今日の在庫を貼る!$I$6:$I$10005,$C55))</f>
        <v>0</v>
      </c>
      <c r="S55" s="143" t="n">
        <f aca="false">IF($C55="","",IF('設定（最初に1回）'!$C$9="実績消費",N($O55),IF('設定（最初に1回）'!$C$9="PI値予測",N($Q55),MAX(N($O55),N($Q55)))))</f>
        <v>0.0163934426229508</v>
      </c>
      <c r="T55" s="67" t="n">
        <f aca="false">IF(OR($S55="",$S55&lt;=0),"",$K55/$S55)</f>
        <v>61</v>
      </c>
      <c r="U55" s="69" t="n">
        <f aca="false">IF($S55="","",ROUNDUP(N($S55)*'設定（最初に1回）'!$C$12,0))</f>
        <v>1</v>
      </c>
      <c r="V55" s="69" t="n">
        <f aca="false">IF($C55="","",ROUNDUP(N($S55)*(N($I55)+N($AG55))+N($U55),0))</f>
        <v>2</v>
      </c>
      <c r="W55" s="69" t="n">
        <f aca="false">IF($C55="","",SUMIFS(発注管理!$L$6:$L$1005,発注管理!$C$6:$C$1005,'設定（最初に1回）'!$C$4,発注管理!$F$6:$F$1005,$C55,発注管理!$Q$6:$Q$1005,"発注済"))</f>
        <v>0</v>
      </c>
      <c r="X55" s="69" t="n">
        <f aca="false">IF($C55="","",MAX(0,N($V55)-N($K55)-N($W55)))</f>
        <v>1</v>
      </c>
      <c r="Y55" s="147" t="n">
        <f aca="false">IF($C55="","",IF(N($X55)&lt;=0,0,CEILING($X55/MAX(1,N($G55)),MAX(1,N($J55)))))</f>
        <v>2</v>
      </c>
      <c r="Z55" s="138" t="str">
        <f aca="false">IF($C55="","",IF(N($Y55)&gt;0,"要発注","正常"))</f>
        <v>要発注</v>
      </c>
      <c r="AA55" s="71" t="n">
        <f aca="false">IF($C55="","",N($K55)*N($H55))</f>
        <v>1755</v>
      </c>
      <c r="AB55" s="66" t="str">
        <f aca="false">IF($C55="","",_xlfn.TEXTJOIN(" / ",TRUE(),IF(COUNTIF(商品マスタ!$B$6:$B$1005,$C55)=0,"マスタ未登録",""),IF(COUNTIFS(月1回_前回の在庫を貼る!$B$6:$B$10005,'設定（最初に1回）'!$C$4,月1回_前回の在庫を貼る!$I$6:$I$10005,$C55)=0,"新商品",""),IF(COUNTIFS(①今日の在庫を貼る!$B$6:$B$10005,'設定（最初に1回）'!$C$4,①今日の在庫を貼る!$I$6:$I$10005,$C55)=0,"終売候補",""),IF(N($K55)&lt;0,"在庫マイナス",""),IF(AND('設定（最初に1回）'!$C$9="PI値予測",$P55=""),"PI値未設定","")))</f>
        <v/>
      </c>
      <c r="AC55" s="71" t="n">
        <f aca="false">N($Y55)*N($H55)</f>
        <v>3510</v>
      </c>
      <c r="AD55" s="66" t="str">
        <f aca="false">IF($C55="","",IFERROR(INDEX(商品マスタ!$K$6:$K$1005,MATCH($C55,商品マスタ!$B$6:$B$1005,0)),"常温"))</f>
        <v>冷凍</v>
      </c>
      <c r="AE55" s="69" t="n">
        <f aca="false">IF($C55="","",MAX(0,ROUNDUP(N($K55)/MAX(1,N($G55)),0)))</f>
        <v>1</v>
      </c>
      <c r="AF55" s="66" t="str">
        <f aca="false">IF($C55="","",IFERROR(INDEX(商品マスタ!$L$6:$L$1005,MATCH($C55,商品マスタ!$B$6:$B$1005,0)),""))</f>
        <v>冷凍品</v>
      </c>
      <c r="AG55" s="143" t="n">
        <f aca="false">IF($C55="","",IFERROR(INDEX(定数マスタ!$S$110:$S$119,MATCH($AF55,定数マスタ!$J$110:$J$119,0)),N('設定（最初に1回）'!$C$13)))</f>
        <v>2.3</v>
      </c>
      <c r="AH55" s="66" t="n">
        <f aca="false">IF(AND(N($K55)&gt;0,N($Y55)&gt;0),N($Y55),0)</f>
        <v>2</v>
      </c>
    </row>
    <row r="56" customFormat="false" ht="15" hidden="false" customHeight="false" outlineLevel="0" collapsed="false">
      <c r="B56" s="66" t="n">
        <v>51</v>
      </c>
      <c r="C56" s="66" t="str">
        <f aca="false">IFERROR(IF($B56&lt;=MAX(①今日の在庫を貼る!$U$6:$U$10005),INDEX(①今日の在庫を貼る!$I$6:$I$10005,MATCH($B56,①今日の在庫を貼る!$U$6:$U$10005,0)),INDEX(月1回_前回の在庫を貼る!$I$6:$I$10005,MATCH($B56-MAX(①今日の在庫を貼る!$U$6:$U$10005),月1回_前回の在庫を貼る!$U$6:$U$10005,0))),"")</f>
        <v>1812000010533</v>
      </c>
      <c r="D56" s="66" t="str">
        <f aca="false">IF($C56="","",IFERROR(INDEX(商品マスタ!$C$6:$C$1005,MATCH($C56,商品マスタ!$B$6:$B$1005,0)),IFERROR(INDEX(①今日の在庫を貼る!$J$6:$J$10005,MATCH($C56,①今日の在庫を貼る!$I$6:$I$10005,0)),IFERROR(INDEX(月1回_前回の在庫を貼る!$J$6:$J$10005,MATCH($C56,月1回_前回の在庫を貼る!$I$6:$I$10005,0)),""))))</f>
        <v>レンジポテト（個包装）</v>
      </c>
      <c r="E56" s="66" t="str">
        <f aca="false">IF($C56="","",IFERROR(INDEX(商品マスタ!$D$6:$D$1005,MATCH($C56,商品マスタ!$B$6:$B$1005,0)),IFERROR(INDEX(①今日の在庫を貼る!$H$6:$H$10005,MATCH($C56,①今日の在庫を貼る!$I$6:$I$10005,0)),IFERROR(INDEX(月1回_前回の在庫を貼る!$H$6:$H$10005,MATCH($C56,月1回_前回の在庫を貼る!$I$6:$I$10005,0)),""))))</f>
        <v>軽食系フード</v>
      </c>
      <c r="F56" s="66" t="str">
        <f aca="false">IF($C56="","",IFERROR(INDEX(商品マスタ!$E$6:$E$1005,MATCH($C56,商品マスタ!$B$6:$B$1005,0)),IFERROR(INDEX(①今日の在庫を貼る!$E$6:$E$10005,MATCH($C56,①今日の在庫を貼る!$I$6:$I$10005,0)),IFERROR(INDEX(月1回_前回の在庫を貼る!$E$6:$E$10005,MATCH($C56,月1回_前回の在庫を貼る!$I$6:$I$10005,0)),""))))</f>
        <v>オザックス株式会社</v>
      </c>
      <c r="G56" s="69" t="n">
        <f aca="false">IF($C56="","",IFERROR(INDEX(商品マスタ!$F$6:$F$1005,MATCH($C56,商品マスタ!$B$6:$B$1005,0)),IFERROR(INDEX(①今日の在庫を貼る!$K$6:$K$10005,MATCH($C56,①今日の在庫を貼る!$I$6:$I$10005,0)),IFERROR(INDEX(月1回_前回の在庫を貼る!$K$6:$K$10005,MATCH($C56,月1回_前回の在庫を貼る!$I$6:$I$10005,0)),""))))</f>
        <v>40</v>
      </c>
      <c r="H56" s="71" t="n">
        <f aca="false">IF($C56="","",IFERROR(INDEX(商品マスタ!$G$6:$G$1005,MATCH($C56,商品マスタ!$B$6:$B$1005,0)),IFERROR(INDEX(①今日の在庫を貼る!$Q$6:$Q$10005,MATCH($C56,①今日の在庫を貼る!$I$6:$I$10005,0)),IFERROR(INDEX(月1回_前回の在庫を貼る!$Q$6:$Q$10005,MATCH($C56,月1回_前回の在庫を貼る!$I$6:$I$10005,0)),""))))</f>
        <v>96.25</v>
      </c>
      <c r="I56" s="66" t="n">
        <f aca="false">IF($C56="","",IFERROR(INDEX(商品マスタ!$H$6:$H$1005,MATCH($C56,商品マスタ!$B$6:$B$1005,0)),3))</f>
        <v>7</v>
      </c>
      <c r="J56" s="66" t="n">
        <f aca="false">IF($C56="","",MAX(1,IFERROR(INDEX(商品マスタ!$I$6:$I$1005,MATCH($C56,商品マスタ!$B$6:$B$1005,0)),1)))</f>
        <v>1</v>
      </c>
      <c r="K56" s="69" t="n">
        <f aca="false">IF($C56="","",SUMIFS(①今日の在庫を貼る!$N$6:$N$10005,①今日の在庫を貼る!$B$6:$B$10005,'設定（最初に1回）'!$C$4,①今日の在庫を貼る!$I$6:$I$10005,$C56))</f>
        <v>1191</v>
      </c>
      <c r="L56" s="69" t="n">
        <f aca="false">IF($C56="","",SUMIFS(月1回_前回の在庫を貼る!$N$6:$N$10005,月1回_前回の在庫を貼る!$B$6:$B$10005,'設定（最初に1回）'!$C$4,月1回_前回の在庫を貼る!$I$6:$I$10005,$C56))</f>
        <v>1985</v>
      </c>
      <c r="M56" s="69" t="n">
        <f aca="false">IF($C56="","",IF(OR('設定（最初に1回）'!$C$6="",'設定（最初に1回）'!$C$7=""),0,SUMIFS(発注管理!$S$6:$S$1005,発注管理!$C$6:$C$1005,'設定（最初に1回）'!$C$4,発注管理!$F$6:$F$1005,$C56,発注管理!$R$6:$R$1005,"&gt;="&amp;'設定（最初に1回）'!$C$7,発注管理!$R$6:$R$1005,"&lt;="&amp;'設定（最初に1回）'!$C$6)))</f>
        <v>0</v>
      </c>
      <c r="N56" s="69" t="n">
        <f aca="false">IF(OR($C56="",'設定（最初に1回）'!$C$15=0),"",$L56+$M56-$K56)</f>
        <v>794</v>
      </c>
      <c r="O56" s="143" t="n">
        <f aca="false">IF(OR($N56="",'設定（最初に1回）'!$C$8="",'設定（最初に1回）'!$C$8&lt;=0),"",MAX(0,$N56)/'設定（最初に1回）'!$C$8)</f>
        <v>13.016393442623</v>
      </c>
      <c r="P56" s="143" t="n">
        <f aca="false">IF($C56="","",IFERROR(INDEX(商品マスタ!$M$6:$N$1005,MATCH($C56,商品マスタ!$B$6:$B$1005,0),MATCH("PI値 "&amp;'設定（最初に1回）'!$C$11,商品マスタ!$M$5:$N$5,0)),""))</f>
        <v>1</v>
      </c>
      <c r="Q56" s="143" t="n">
        <f aca="false">IF(OR($C56="",$P56="",$P56=0,(N($I56)+N($AG56))&lt;=0),"",IFERROR(SUMIFS(随時_動員を入れる!$G$8:$G$97,随時_動員を入れる!$B$8:$B$97,"&gt;="&amp;'設定（最初に1回）'!$C$6,随時_動員を入れる!$B$8:$B$97,"&lt;="&amp;'設定（最初に1回）'!$C$6+(N($I56)+N($AG56))-1)/(N($I56)+N($AG56)),0)*$P56/100)</f>
        <v>37.1731182795699</v>
      </c>
      <c r="R56" s="69" t="n">
        <f aca="false">IF($C56="","",SUMIFS(①今日の在庫を貼る!$O$6:$O$10005,①今日の在庫を貼る!$B$6:$B$10005,'設定（最初に1回）'!$C$4,①今日の在庫を貼る!$I$6:$I$10005,$C56))</f>
        <v>0</v>
      </c>
      <c r="S56" s="143" t="n">
        <f aca="false">IF($C56="","",IF('設定（最初に1回）'!$C$9="実績消費",N($O56),IF('設定（最初に1回）'!$C$9="PI値予測",N($Q56),MAX(N($O56),N($Q56)))))</f>
        <v>13.016393442623</v>
      </c>
      <c r="T56" s="67" t="n">
        <f aca="false">IF(OR($S56="",$S56&lt;=0),"",$K56/$S56)</f>
        <v>91.5</v>
      </c>
      <c r="U56" s="69" t="n">
        <f aca="false">IF($S56="","",ROUNDUP(N($S56)*'設定（最初に1回）'!$C$12,0))</f>
        <v>53</v>
      </c>
      <c r="V56" s="69" t="n">
        <f aca="false">IF($C56="","",ROUNDUP(N($S56)*(N($I56)+N($AG56))+N($U56),0))</f>
        <v>175</v>
      </c>
      <c r="W56" s="69" t="n">
        <f aca="false">IF($C56="","",SUMIFS(発注管理!$L$6:$L$1005,発注管理!$C$6:$C$1005,'設定（最初に1回）'!$C$4,発注管理!$F$6:$F$1005,$C56,発注管理!$Q$6:$Q$1005,"発注済"))</f>
        <v>0</v>
      </c>
      <c r="X56" s="69" t="n">
        <f aca="false">IF($C56="","",MAX(0,N($V56)-N($K56)-N($W56)))</f>
        <v>0</v>
      </c>
      <c r="Y56" s="147" t="n">
        <f aca="false">IF($C56="","",IF(N($X56)&lt;=0,0,CEILING($X56/MAX(1,N($G56)),MAX(1,N($J56)))))</f>
        <v>0</v>
      </c>
      <c r="Z56" s="138" t="str">
        <f aca="false">IF($C56="","",IF(N($Y56)&gt;0,"要発注","正常"))</f>
        <v>正常</v>
      </c>
      <c r="AA56" s="71" t="n">
        <f aca="false">IF($C56="","",N($K56)*N($H56))</f>
        <v>114633.75</v>
      </c>
      <c r="AB56" s="66" t="str">
        <f aca="false">IF($C56="","",_xlfn.TEXTJOIN(" / ",TRUE(),IF(COUNTIF(商品マスタ!$B$6:$B$1005,$C56)=0,"マスタ未登録",""),IF(COUNTIFS(月1回_前回の在庫を貼る!$B$6:$B$10005,'設定（最初に1回）'!$C$4,月1回_前回の在庫を貼る!$I$6:$I$10005,$C56)=0,"新商品",""),IF(COUNTIFS(①今日の在庫を貼る!$B$6:$B$10005,'設定（最初に1回）'!$C$4,①今日の在庫を貼る!$I$6:$I$10005,$C56)=0,"終売候補",""),IF(N($K56)&lt;0,"在庫マイナス",""),IF(AND('設定（最初に1回）'!$C$9="PI値予測",$P56=""),"PI値未設定","")))</f>
        <v/>
      </c>
      <c r="AC56" s="71" t="n">
        <f aca="false">N($Y56)*N($H56)</f>
        <v>0</v>
      </c>
      <c r="AD56" s="66" t="str">
        <f aca="false">IF($C56="","",IFERROR(INDEX(商品マスタ!$K$6:$K$1005,MATCH($C56,商品マスタ!$B$6:$B$1005,0)),"常温"))</f>
        <v>冷凍</v>
      </c>
      <c r="AE56" s="69" t="n">
        <f aca="false">IF($C56="","",MAX(0,ROUNDUP(N($K56)/MAX(1,N($G56)),0)))</f>
        <v>30</v>
      </c>
      <c r="AF56" s="66" t="str">
        <f aca="false">IF($C56="","",IFERROR(INDEX(商品マスタ!$L$6:$L$1005,MATCH($C56,商品マスタ!$B$6:$B$1005,0)),""))</f>
        <v>冷凍品</v>
      </c>
      <c r="AG56" s="143" t="n">
        <f aca="false">IF($C56="","",IFERROR(INDEX(定数マスタ!$S$110:$S$119,MATCH($AF56,定数マスタ!$J$110:$J$119,0)),N('設定（最初に1回）'!$C$13)))</f>
        <v>2.3</v>
      </c>
      <c r="AH56" s="66" t="n">
        <f aca="false">IF(AND(N($K56)&gt;0,N($Y56)&gt;0),N($Y56),0)</f>
        <v>0</v>
      </c>
    </row>
    <row r="57" customFormat="false" ht="15" hidden="false" customHeight="false" outlineLevel="0" collapsed="false">
      <c r="B57" s="66" t="n">
        <v>52</v>
      </c>
      <c r="C57" s="66" t="str">
        <f aca="false">IFERROR(IF($B57&lt;=MAX(①今日の在庫を貼る!$U$6:$U$10005),INDEX(①今日の在庫を貼る!$I$6:$I$10005,MATCH($B57,①今日の在庫を貼る!$U$6:$U$10005,0)),INDEX(月1回_前回の在庫を貼る!$I$6:$I$10005,MATCH($B57-MAX(①今日の在庫を貼る!$U$6:$U$10005),月1回_前回の在庫を貼る!$U$6:$U$10005,0))),"")</f>
        <v>1812000010755</v>
      </c>
      <c r="D57" s="66" t="str">
        <f aca="false">IF($C57="","",IFERROR(INDEX(商品マスタ!$C$6:$C$1005,MATCH($C57,商品マスタ!$B$6:$B$1005,0)),IFERROR(INDEX(①今日の在庫を貼る!$J$6:$J$10005,MATCH($C57,①今日の在庫を貼る!$I$6:$I$10005,0)),IFERROR(INDEX(月1回_前回の在庫を貼る!$J$6:$J$10005,MATCH($C57,月1回_前回の在庫を貼る!$I$6:$I$10005,0)),""))))</f>
        <v>スパイシー！ポップチキン（個包装</v>
      </c>
      <c r="E57" s="66" t="str">
        <f aca="false">IF($C57="","",IFERROR(INDEX(商品マスタ!$D$6:$D$1005,MATCH($C57,商品マスタ!$B$6:$B$1005,0)),IFERROR(INDEX(①今日の在庫を貼る!$H$6:$H$10005,MATCH($C57,①今日の在庫を貼る!$I$6:$I$10005,0)),IFERROR(INDEX(月1回_前回の在庫を貼る!$H$6:$H$10005,MATCH($C57,月1回_前回の在庫を貼る!$I$6:$I$10005,0)),""))))</f>
        <v>軽食系フード</v>
      </c>
      <c r="F57" s="66" t="str">
        <f aca="false">IF($C57="","",IFERROR(INDEX(商品マスタ!$E$6:$E$1005,MATCH($C57,商品マスタ!$B$6:$B$1005,0)),IFERROR(INDEX(①今日の在庫を貼る!$E$6:$E$10005,MATCH($C57,①今日の在庫を貼る!$I$6:$I$10005,0)),IFERROR(INDEX(月1回_前回の在庫を貼る!$E$6:$E$10005,MATCH($C57,月1回_前回の在庫を貼る!$I$6:$I$10005,0)),""))))</f>
        <v>オザックス株式会社</v>
      </c>
      <c r="G57" s="69" t="n">
        <f aca="false">IF($C57="","",IFERROR(INDEX(商品マスタ!$F$6:$F$1005,MATCH($C57,商品マスタ!$B$6:$B$1005,0)),IFERROR(INDEX(①今日の在庫を貼る!$K$6:$K$10005,MATCH($C57,①今日の在庫を貼る!$I$6:$I$10005,0)),IFERROR(INDEX(月1回_前回の在庫を貼る!$K$6:$K$10005,MATCH($C57,月1回_前回の在庫を貼る!$I$6:$I$10005,0)),""))))</f>
        <v>96</v>
      </c>
      <c r="H57" s="71" t="n">
        <f aca="false">IF($C57="","",IFERROR(INDEX(商品マスタ!$G$6:$G$1005,MATCH($C57,商品マスタ!$B$6:$B$1005,0)),IFERROR(INDEX(①今日の在庫を貼る!$Q$6:$Q$10005,MATCH($C57,①今日の在庫を貼る!$I$6:$I$10005,0)),IFERROR(INDEX(月1回_前回の在庫を貼る!$Q$6:$Q$10005,MATCH($C57,月1回_前回の在庫を貼る!$I$6:$I$10005,0)),""))))</f>
        <v>164</v>
      </c>
      <c r="I57" s="66" t="n">
        <f aca="false">IF($C57="","",IFERROR(INDEX(商品マスタ!$H$6:$H$1005,MATCH($C57,商品マスタ!$B$6:$B$1005,0)),3))</f>
        <v>4</v>
      </c>
      <c r="J57" s="66" t="n">
        <f aca="false">IF($C57="","",MAX(1,IFERROR(INDEX(商品マスタ!$I$6:$I$1005,MATCH($C57,商品マスタ!$B$6:$B$1005,0)),1)))</f>
        <v>1</v>
      </c>
      <c r="K57" s="69" t="n">
        <f aca="false">IF($C57="","",SUMIFS(①今日の在庫を貼る!$N$6:$N$10005,①今日の在庫を貼る!$B$6:$B$10005,'設定（最初に1回）'!$C$4,①今日の在庫を貼る!$I$6:$I$10005,$C57))</f>
        <v>571</v>
      </c>
      <c r="L57" s="69" t="n">
        <f aca="false">IF($C57="","",SUMIFS(月1回_前回の在庫を貼る!$N$6:$N$10005,月1回_前回の在庫を貼る!$B$6:$B$10005,'設定（最初に1回）'!$C$4,月1回_前回の在庫を貼る!$I$6:$I$10005,$C57))</f>
        <v>1918</v>
      </c>
      <c r="M57" s="69" t="n">
        <f aca="false">IF($C57="","",IF(OR('設定（最初に1回）'!$C$6="",'設定（最初に1回）'!$C$7=""),0,SUMIFS(発注管理!$S$6:$S$1005,発注管理!$C$6:$C$1005,'設定（最初に1回）'!$C$4,発注管理!$F$6:$F$1005,$C57,発注管理!$R$6:$R$1005,"&gt;="&amp;'設定（最初に1回）'!$C$7,発注管理!$R$6:$R$1005,"&lt;="&amp;'設定（最初に1回）'!$C$6)))</f>
        <v>0</v>
      </c>
      <c r="N57" s="69" t="n">
        <f aca="false">IF(OR($C57="",'設定（最初に1回）'!$C$15=0),"",$L57+$M57-$K57)</f>
        <v>1347</v>
      </c>
      <c r="O57" s="143" t="n">
        <f aca="false">IF(OR($N57="",'設定（最初に1回）'!$C$8="",'設定（最初に1回）'!$C$8&lt;=0),"",MAX(0,$N57)/'設定（最初に1回）'!$C$8)</f>
        <v>22.0819672131148</v>
      </c>
      <c r="P57" s="143" t="n">
        <f aca="false">IF($C57="","",IFERROR(INDEX(商品マスタ!$M$6:$N$1005,MATCH($C57,商品マスタ!$B$6:$B$1005,0),MATCH("PI値 "&amp;'設定（最初に1回）'!$C$11,商品マスタ!$M$5:$N$5,0)),""))</f>
        <v>1.5</v>
      </c>
      <c r="Q57" s="143" t="n">
        <f aca="false">IF(OR($C57="",$P57="",$P57=0,(N($I57)+N($AG57))&lt;=0),"",IFERROR(SUMIFS(随時_動員を入れる!$G$8:$G$97,随時_動員を入れる!$B$8:$B$97,"&gt;="&amp;'設定（最初に1回）'!$C$6,随時_動員を入れる!$B$8:$B$97,"&lt;="&amp;'設定（最初に1回）'!$C$6+(N($I57)+N($AG57))-1)/(N($I57)+N($AG57)),0)*$P57/100)</f>
        <v>69.9714285714286</v>
      </c>
      <c r="R57" s="69" t="n">
        <f aca="false">IF($C57="","",SUMIFS(①今日の在庫を貼る!$O$6:$O$10005,①今日の在庫を貼る!$B$6:$B$10005,'設定（最初に1回）'!$C$4,①今日の在庫を貼る!$I$6:$I$10005,$C57))</f>
        <v>0</v>
      </c>
      <c r="S57" s="143" t="n">
        <f aca="false">IF($C57="","",IF('設定（最初に1回）'!$C$9="実績消費",N($O57),IF('設定（最初に1回）'!$C$9="PI値予測",N($Q57),MAX(N($O57),N($Q57)))))</f>
        <v>22.0819672131148</v>
      </c>
      <c r="T57" s="67" t="n">
        <f aca="false">IF(OR($S57="",$S57&lt;=0),"",$K57/$S57)</f>
        <v>25.8582034149963</v>
      </c>
      <c r="U57" s="69" t="n">
        <f aca="false">IF($S57="","",ROUNDUP(N($S57)*'設定（最初に1回）'!$C$12,0))</f>
        <v>89</v>
      </c>
      <c r="V57" s="69" t="n">
        <f aca="false">IF($C57="","",ROUNDUP(N($S57)*(N($I57)+N($AG57))+N($U57),0))</f>
        <v>229</v>
      </c>
      <c r="W57" s="69" t="n">
        <f aca="false">IF($C57="","",SUMIFS(発注管理!$L$6:$L$1005,発注管理!$C$6:$C$1005,'設定（最初に1回）'!$C$4,発注管理!$F$6:$F$1005,$C57,発注管理!$Q$6:$Q$1005,"発注済"))</f>
        <v>0</v>
      </c>
      <c r="X57" s="69" t="n">
        <f aca="false">IF($C57="","",MAX(0,N($V57)-N($K57)-N($W57)))</f>
        <v>0</v>
      </c>
      <c r="Y57" s="147" t="n">
        <f aca="false">IF($C57="","",IF(N($X57)&lt;=0,0,CEILING($X57/MAX(1,N($G57)),MAX(1,N($J57)))))</f>
        <v>0</v>
      </c>
      <c r="Z57" s="138" t="str">
        <f aca="false">IF($C57="","",IF(N($Y57)&gt;0,"要発注","正常"))</f>
        <v>正常</v>
      </c>
      <c r="AA57" s="71" t="n">
        <f aca="false">IF($C57="","",N($K57)*N($H57))</f>
        <v>93644</v>
      </c>
      <c r="AB57" s="66" t="str">
        <f aca="false">IF($C57="","",_xlfn.TEXTJOIN(" / ",TRUE(),IF(COUNTIF(商品マスタ!$B$6:$B$1005,$C57)=0,"マスタ未登録",""),IF(COUNTIFS(月1回_前回の在庫を貼る!$B$6:$B$10005,'設定（最初に1回）'!$C$4,月1回_前回の在庫を貼る!$I$6:$I$10005,$C57)=0,"新商品",""),IF(COUNTIFS(①今日の在庫を貼る!$B$6:$B$10005,'設定（最初に1回）'!$C$4,①今日の在庫を貼る!$I$6:$I$10005,$C57)=0,"終売候補",""),IF(N($K57)&lt;0,"在庫マイナス",""),IF(AND('設定（最初に1回）'!$C$9="PI値予測",$P57=""),"PI値未設定","")))</f>
        <v/>
      </c>
      <c r="AC57" s="71" t="n">
        <f aca="false">N($Y57)*N($H57)</f>
        <v>0</v>
      </c>
      <c r="AD57" s="66" t="str">
        <f aca="false">IF($C57="","",IFERROR(INDEX(商品マスタ!$K$6:$K$1005,MATCH($C57,商品マスタ!$B$6:$B$1005,0)),"常温"))</f>
        <v>冷凍</v>
      </c>
      <c r="AE57" s="69" t="n">
        <f aca="false">IF($C57="","",MAX(0,ROUNDUP(N($K57)/MAX(1,N($G57)),0)))</f>
        <v>6</v>
      </c>
      <c r="AF57" s="66" t="str">
        <f aca="false">IF($C57="","",IFERROR(INDEX(商品マスタ!$L$6:$L$1005,MATCH($C57,商品マスタ!$B$6:$B$1005,0)),""))</f>
        <v>冷凍品</v>
      </c>
      <c r="AG57" s="143" t="n">
        <f aca="false">IF($C57="","",IFERROR(INDEX(定数マスタ!$S$110:$S$119,MATCH($AF57,定数マスタ!$J$110:$J$119,0)),N('設定（最初に1回）'!$C$13)))</f>
        <v>2.3</v>
      </c>
      <c r="AH57" s="66" t="n">
        <f aca="false">IF(AND(N($K57)&gt;0,N($Y57)&gt;0),N($Y57),0)</f>
        <v>0</v>
      </c>
    </row>
    <row r="58" customFormat="false" ht="15" hidden="false" customHeight="false" outlineLevel="0" collapsed="false">
      <c r="B58" s="66" t="n">
        <v>53</v>
      </c>
      <c r="C58" s="66" t="str">
        <f aca="false">IFERROR(IF($B58&lt;=MAX(①今日の在庫を貼る!$U$6:$U$10005),INDEX(①今日の在庫を貼る!$I$6:$I$10005,MATCH($B58,①今日の在庫を貼る!$U$6:$U$10005,0)),INDEX(月1回_前回の在庫を貼る!$I$6:$I$10005,MATCH($B58-MAX(①今日の在庫を貼る!$U$6:$U$10005),月1回_前回の在庫を貼る!$U$6:$U$10005,0))),"")</f>
        <v>1812000006963</v>
      </c>
      <c r="D58" s="66" t="str">
        <f aca="false">IF($C58="","",IFERROR(INDEX(商品マスタ!$C$6:$C$1005,MATCH($C58,商品マスタ!$B$6:$B$1005,0)),IFERROR(INDEX(①今日の在庫を貼る!$J$6:$J$10005,MATCH($C58,①今日の在庫を貼る!$I$6:$I$10005,0)),IFERROR(INDEX(月1回_前回の在庫を貼る!$J$6:$J$10005,MATCH($C58,月1回_前回の在庫を貼る!$I$6:$I$10005,0)),""))))</f>
        <v>チュリトス（プレーン）</v>
      </c>
      <c r="E58" s="66" t="str">
        <f aca="false">IF($C58="","",IFERROR(INDEX(商品マスタ!$D$6:$D$1005,MATCH($C58,商品マスタ!$B$6:$B$1005,0)),IFERROR(INDEX(①今日の在庫を貼る!$H$6:$H$10005,MATCH($C58,①今日の在庫を貼る!$I$6:$I$10005,0)),IFERROR(INDEX(月1回_前回の在庫を貼る!$H$6:$H$10005,MATCH($C58,月1回_前回の在庫を貼る!$I$6:$I$10005,0)),""))))</f>
        <v>調理系スイーツ</v>
      </c>
      <c r="F58" s="66" t="str">
        <f aca="false">IF($C58="","",IFERROR(INDEX(商品マスタ!$E$6:$E$1005,MATCH($C58,商品マスタ!$B$6:$B$1005,0)),IFERROR(INDEX(①今日の在庫を貼る!$E$6:$E$10005,MATCH($C58,①今日の在庫を貼る!$I$6:$I$10005,0)),IFERROR(INDEX(月1回_前回の在庫を貼る!$E$6:$E$10005,MATCH($C58,月1回_前回の在庫を貼る!$I$6:$I$10005,0)),""))))</f>
        <v>オザックス株式会社</v>
      </c>
      <c r="G58" s="69" t="n">
        <f aca="false">IF($C58="","",IFERROR(INDEX(商品マスタ!$F$6:$F$1005,MATCH($C58,商品マスタ!$B$6:$B$1005,0)),IFERROR(INDEX(①今日の在庫を貼る!$K$6:$K$10005,MATCH($C58,①今日の在庫を貼る!$I$6:$I$10005,0)),IFERROR(INDEX(月1回_前回の在庫を貼る!$K$6:$K$10005,MATCH($C58,月1回_前回の在庫を貼る!$I$6:$I$10005,0)),""))))</f>
        <v>100</v>
      </c>
      <c r="H58" s="71" t="n">
        <f aca="false">IF($C58="","",IFERROR(INDEX(商品マスタ!$G$6:$G$1005,MATCH($C58,商品マスタ!$B$6:$B$1005,0)),IFERROR(INDEX(①今日の在庫を貼る!$Q$6:$Q$10005,MATCH($C58,①今日の在庫を貼る!$I$6:$I$10005,0)),IFERROR(INDEX(月1回_前回の在庫を貼る!$Q$6:$Q$10005,MATCH($C58,月1回_前回の在庫を貼る!$I$6:$I$10005,0)),""))))</f>
        <v>109</v>
      </c>
      <c r="I58" s="66" t="n">
        <f aca="false">IF($C58="","",IFERROR(INDEX(商品マスタ!$H$6:$H$1005,MATCH($C58,商品マスタ!$B$6:$B$1005,0)),3))</f>
        <v>3</v>
      </c>
      <c r="J58" s="66" t="n">
        <f aca="false">IF($C58="","",MAX(1,IFERROR(INDEX(商品マスタ!$I$6:$I$1005,MATCH($C58,商品マスタ!$B$6:$B$1005,0)),1)))</f>
        <v>1</v>
      </c>
      <c r="K58" s="69" t="n">
        <f aca="false">IF($C58="","",SUMIFS(①今日の在庫を貼る!$N$6:$N$10005,①今日の在庫を貼る!$B$6:$B$10005,'設定（最初に1回）'!$C$4,①今日の在庫を貼る!$I$6:$I$10005,$C58))</f>
        <v>464</v>
      </c>
      <c r="L58" s="69" t="n">
        <f aca="false">IF($C58="","",SUMIFS(月1回_前回の在庫を貼る!$N$6:$N$10005,月1回_前回の在庫を貼る!$B$6:$B$10005,'設定（最初に1回）'!$C$4,月1回_前回の在庫を貼る!$I$6:$I$10005,$C58))</f>
        <v>2569</v>
      </c>
      <c r="M58" s="69" t="n">
        <f aca="false">IF($C58="","",IF(OR('設定（最初に1回）'!$C$6="",'設定（最初に1回）'!$C$7=""),0,SUMIFS(発注管理!$S$6:$S$1005,発注管理!$C$6:$C$1005,'設定（最初に1回）'!$C$4,発注管理!$F$6:$F$1005,$C58,発注管理!$R$6:$R$1005,"&gt;="&amp;'設定（最初に1回）'!$C$7,発注管理!$R$6:$R$1005,"&lt;="&amp;'設定（最初に1回）'!$C$6)))</f>
        <v>0</v>
      </c>
      <c r="N58" s="69" t="n">
        <f aca="false">IF(OR($C58="",'設定（最初に1回）'!$C$15=0),"",$L58+$M58-$K58)</f>
        <v>2105</v>
      </c>
      <c r="O58" s="143" t="n">
        <f aca="false">IF(OR($N58="",'設定（最初に1回）'!$C$8="",'設定（最初に1回）'!$C$8&lt;=0),"",MAX(0,$N58)/'設定（最初に1回）'!$C$8)</f>
        <v>34.5081967213115</v>
      </c>
      <c r="P58" s="143" t="n">
        <f aca="false">IF($C58="","",IFERROR(INDEX(商品マスタ!$M$6:$N$1005,MATCH($C58,商品マスタ!$B$6:$B$1005,0),MATCH("PI値 "&amp;'設定（最初に1回）'!$C$11,商品マスタ!$M$5:$N$5,0)),""))</f>
        <v>1.5</v>
      </c>
      <c r="Q58" s="143" t="n">
        <f aca="false">IF(OR($C58="",$P58="",$P58=0,(N($I58)+N($AG58))&lt;=0),"",IFERROR(SUMIFS(随時_動員を入れる!$G$8:$G$97,随時_動員を入れる!$B$8:$B$97,"&gt;="&amp;'設定（最初に1回）'!$C$6,随時_動員を入れる!$B$8:$B$97,"&lt;="&amp;'設定（最初に1回）'!$C$6+(N($I58)+N($AG58))-1)/(N($I58)+N($AG58)),0)*$P58/100)</f>
        <v>79.3811320754717</v>
      </c>
      <c r="R58" s="69" t="n">
        <f aca="false">IF($C58="","",SUMIFS(①今日の在庫を貼る!$O$6:$O$10005,①今日の在庫を貼る!$B$6:$B$10005,'設定（最初に1回）'!$C$4,①今日の在庫を貼る!$I$6:$I$10005,$C58))</f>
        <v>0</v>
      </c>
      <c r="S58" s="143" t="n">
        <f aca="false">IF($C58="","",IF('設定（最初に1回）'!$C$9="実績消費",N($O58),IF('設定（最初に1回）'!$C$9="PI値予測",N($Q58),MAX(N($O58),N($Q58)))))</f>
        <v>34.5081967213115</v>
      </c>
      <c r="T58" s="67" t="n">
        <f aca="false">IF(OR($S58="",$S58&lt;=0),"",$K58/$S58)</f>
        <v>13.446080760095</v>
      </c>
      <c r="U58" s="69" t="n">
        <f aca="false">IF($S58="","",ROUNDUP(N($S58)*'設定（最初に1回）'!$C$12,0))</f>
        <v>139</v>
      </c>
      <c r="V58" s="69" t="n">
        <f aca="false">IF($C58="","",ROUNDUP(N($S58)*(N($I58)+N($AG58))+N($U58),0))</f>
        <v>322</v>
      </c>
      <c r="W58" s="69" t="n">
        <f aca="false">IF($C58="","",SUMIFS(発注管理!$L$6:$L$1005,発注管理!$C$6:$C$1005,'設定（最初に1回）'!$C$4,発注管理!$F$6:$F$1005,$C58,発注管理!$Q$6:$Q$1005,"発注済"))</f>
        <v>0</v>
      </c>
      <c r="X58" s="69" t="n">
        <f aca="false">IF($C58="","",MAX(0,N($V58)-N($K58)-N($W58)))</f>
        <v>0</v>
      </c>
      <c r="Y58" s="147" t="n">
        <f aca="false">IF($C58="","",IF(N($X58)&lt;=0,0,CEILING($X58/MAX(1,N($G58)),MAX(1,N($J58)))))</f>
        <v>0</v>
      </c>
      <c r="Z58" s="138" t="str">
        <f aca="false">IF($C58="","",IF(N($Y58)&gt;0,"要発注","正常"))</f>
        <v>正常</v>
      </c>
      <c r="AA58" s="71" t="n">
        <f aca="false">IF($C58="","",N($K58)*N($H58))</f>
        <v>50576</v>
      </c>
      <c r="AB58" s="66" t="str">
        <f aca="false">IF($C58="","",_xlfn.TEXTJOIN(" / ",TRUE(),IF(COUNTIF(商品マスタ!$B$6:$B$1005,$C58)=0,"マスタ未登録",""),IF(COUNTIFS(月1回_前回の在庫を貼る!$B$6:$B$10005,'設定（最初に1回）'!$C$4,月1回_前回の在庫を貼る!$I$6:$I$10005,$C58)=0,"新商品",""),IF(COUNTIFS(①今日の在庫を貼る!$B$6:$B$10005,'設定（最初に1回）'!$C$4,①今日の在庫を貼る!$I$6:$I$10005,$C58)=0,"終売候補",""),IF(N($K58)&lt;0,"在庫マイナス",""),IF(AND('設定（最初に1回）'!$C$9="PI値予測",$P58=""),"PI値未設定","")))</f>
        <v/>
      </c>
      <c r="AC58" s="71" t="n">
        <f aca="false">N($Y58)*N($H58)</f>
        <v>0</v>
      </c>
      <c r="AD58" s="66" t="str">
        <f aca="false">IF($C58="","",IFERROR(INDEX(商品マスタ!$K$6:$K$1005,MATCH($C58,商品マスタ!$B$6:$B$1005,0)),"常温"))</f>
        <v>冷凍</v>
      </c>
      <c r="AE58" s="69" t="n">
        <f aca="false">IF($C58="","",MAX(0,ROUNDUP(N($K58)/MAX(1,N($G58)),0)))</f>
        <v>5</v>
      </c>
      <c r="AF58" s="66" t="str">
        <f aca="false">IF($C58="","",IFERROR(INDEX(商品マスタ!$L$6:$L$1005,MATCH($C58,商品マスタ!$B$6:$B$1005,0)),""))</f>
        <v>冷凍品</v>
      </c>
      <c r="AG58" s="143" t="n">
        <f aca="false">IF($C58="","",IFERROR(INDEX(定数マスタ!$S$110:$S$119,MATCH($AF58,定数マスタ!$J$110:$J$119,0)),N('設定（最初に1回）'!$C$13)))</f>
        <v>2.3</v>
      </c>
      <c r="AH58" s="66" t="n">
        <f aca="false">IF(AND(N($K58)&gt;0,N($Y58)&gt;0),N($Y58),0)</f>
        <v>0</v>
      </c>
    </row>
    <row r="59" customFormat="false" ht="15" hidden="false" customHeight="false" outlineLevel="0" collapsed="false">
      <c r="B59" s="66" t="n">
        <v>54</v>
      </c>
      <c r="C59" s="66" t="str">
        <f aca="false">IFERROR(IF($B59&lt;=MAX(①今日の在庫を貼る!$U$6:$U$10005),INDEX(①今日の在庫を貼る!$I$6:$I$10005,MATCH($B59,①今日の在庫を貼る!$U$6:$U$10005,0)),INDEX(月1回_前回の在庫を貼る!$I$6:$I$10005,MATCH($B59-MAX(①今日の在庫を貼る!$U$6:$U$10005),月1回_前回の在庫を貼る!$U$6:$U$10005,0))),"")</f>
        <v>1812000009643</v>
      </c>
      <c r="D59" s="66" t="str">
        <f aca="false">IF($C59="","",IFERROR(INDEX(商品マスタ!$C$6:$C$1005,MATCH($C59,商品マスタ!$B$6:$B$1005,0)),IFERROR(INDEX(①今日の在庫を貼る!$J$6:$J$10005,MATCH($C59,①今日の在庫を貼る!$I$6:$I$10005,0)),IFERROR(INDEX(月1回_前回の在庫を貼る!$J$6:$J$10005,MATCH($C59,月1回_前回の在庫を貼る!$I$6:$I$10005,0)),""))))</f>
        <v>チョコレートクリームチュリトス</v>
      </c>
      <c r="E59" s="66" t="str">
        <f aca="false">IF($C59="","",IFERROR(INDEX(商品マスタ!$D$6:$D$1005,MATCH($C59,商品マスタ!$B$6:$B$1005,0)),IFERROR(INDEX(①今日の在庫を貼る!$H$6:$H$10005,MATCH($C59,①今日の在庫を貼る!$I$6:$I$10005,0)),IFERROR(INDEX(月1回_前回の在庫を貼る!$H$6:$H$10005,MATCH($C59,月1回_前回の在庫を貼る!$I$6:$I$10005,0)),""))))</f>
        <v>調理系スイーツ</v>
      </c>
      <c r="F59" s="66" t="str">
        <f aca="false">IF($C59="","",IFERROR(INDEX(商品マスタ!$E$6:$E$1005,MATCH($C59,商品マスタ!$B$6:$B$1005,0)),IFERROR(INDEX(①今日の在庫を貼る!$E$6:$E$10005,MATCH($C59,①今日の在庫を貼る!$I$6:$I$10005,0)),IFERROR(INDEX(月1回_前回の在庫を貼る!$E$6:$E$10005,MATCH($C59,月1回_前回の在庫を貼る!$I$6:$I$10005,0)),""))))</f>
        <v>オザックス株式会社</v>
      </c>
      <c r="G59" s="69" t="n">
        <f aca="false">IF($C59="","",IFERROR(INDEX(商品マスタ!$F$6:$F$1005,MATCH($C59,商品マスタ!$B$6:$B$1005,0)),IFERROR(INDEX(①今日の在庫を貼る!$K$6:$K$10005,MATCH($C59,①今日の在庫を貼る!$I$6:$I$10005,0)),IFERROR(INDEX(月1回_前回の在庫を貼る!$K$6:$K$10005,MATCH($C59,月1回_前回の在庫を貼る!$I$6:$I$10005,0)),""))))</f>
        <v>100</v>
      </c>
      <c r="H59" s="71" t="n">
        <f aca="false">IF($C59="","",IFERROR(INDEX(商品マスタ!$G$6:$G$1005,MATCH($C59,商品マスタ!$B$6:$B$1005,0)),IFERROR(INDEX(①今日の在庫を貼る!$Q$6:$Q$10005,MATCH($C59,①今日の在庫を貼る!$I$6:$I$10005,0)),IFERROR(INDEX(月1回_前回の在庫を貼る!$Q$6:$Q$10005,MATCH($C59,月1回_前回の在庫を貼る!$I$6:$I$10005,0)),""))))</f>
        <v>107</v>
      </c>
      <c r="I59" s="66" t="n">
        <f aca="false">IF($C59="","",IFERROR(INDEX(商品マスタ!$H$6:$H$1005,MATCH($C59,商品マスタ!$B$6:$B$1005,0)),3))</f>
        <v>3</v>
      </c>
      <c r="J59" s="66" t="n">
        <f aca="false">IF($C59="","",MAX(1,IFERROR(INDEX(商品マスタ!$I$6:$I$1005,MATCH($C59,商品マスタ!$B$6:$B$1005,0)),1)))</f>
        <v>1</v>
      </c>
      <c r="K59" s="69" t="n">
        <f aca="false">IF($C59="","",SUMIFS(①今日の在庫を貼る!$N$6:$N$10005,①今日の在庫を貼る!$B$6:$B$10005,'設定（最初に1回）'!$C$4,①今日の在庫を貼る!$I$6:$I$10005,$C59))</f>
        <v>1035</v>
      </c>
      <c r="L59" s="69" t="n">
        <f aca="false">IF($C59="","",SUMIFS(月1回_前回の在庫を貼る!$N$6:$N$10005,月1回_前回の在庫を貼る!$B$6:$B$10005,'設定（最初に1回）'!$C$4,月1回_前回の在庫を貼る!$I$6:$I$10005,$C59))</f>
        <v>2316</v>
      </c>
      <c r="M59" s="69" t="n">
        <f aca="false">IF($C59="","",IF(OR('設定（最初に1回）'!$C$6="",'設定（最初に1回）'!$C$7=""),0,SUMIFS(発注管理!$S$6:$S$1005,発注管理!$C$6:$C$1005,'設定（最初に1回）'!$C$4,発注管理!$F$6:$F$1005,$C59,発注管理!$R$6:$R$1005,"&gt;="&amp;'設定（最初に1回）'!$C$7,発注管理!$R$6:$R$1005,"&lt;="&amp;'設定（最初に1回）'!$C$6)))</f>
        <v>0</v>
      </c>
      <c r="N59" s="69" t="n">
        <f aca="false">IF(OR($C59="",'設定（最初に1回）'!$C$15=0),"",$L59+$M59-$K59)</f>
        <v>1281</v>
      </c>
      <c r="O59" s="143" t="n">
        <f aca="false">IF(OR($N59="",'設定（最初に1回）'!$C$8="",'設定（最初に1回）'!$C$8&lt;=0),"",MAX(0,$N59)/'設定（最初に1回）'!$C$8)</f>
        <v>21</v>
      </c>
      <c r="P59" s="143" t="n">
        <f aca="false">IF($C59="","",IFERROR(INDEX(商品マスタ!$M$6:$N$1005,MATCH($C59,商品マスタ!$B$6:$B$1005,0),MATCH("PI値 "&amp;'設定（最初に1回）'!$C$11,商品マスタ!$M$5:$N$5,0)),""))</f>
        <v>1.5</v>
      </c>
      <c r="Q59" s="143" t="n">
        <f aca="false">IF(OR($C59="",$P59="",$P59=0,(N($I59)+N($AG59))&lt;=0),"",IFERROR(SUMIFS(随時_動員を入れる!$G$8:$G$97,随時_動員を入れる!$B$8:$B$97,"&gt;="&amp;'設定（最初に1回）'!$C$6,随時_動員を入れる!$B$8:$B$97,"&lt;="&amp;'設定（最初に1回）'!$C$6+(N($I59)+N($AG59))-1)/(N($I59)+N($AG59)),0)*$P59/100)</f>
        <v>79.3811320754717</v>
      </c>
      <c r="R59" s="69" t="n">
        <f aca="false">IF($C59="","",SUMIFS(①今日の在庫を貼る!$O$6:$O$10005,①今日の在庫を貼る!$B$6:$B$10005,'設定（最初に1回）'!$C$4,①今日の在庫を貼る!$I$6:$I$10005,$C59))</f>
        <v>0</v>
      </c>
      <c r="S59" s="143" t="n">
        <f aca="false">IF($C59="","",IF('設定（最初に1回）'!$C$9="実績消費",N($O59),IF('設定（最初に1回）'!$C$9="PI値予測",N($Q59),MAX(N($O59),N($Q59)))))</f>
        <v>21</v>
      </c>
      <c r="T59" s="67" t="n">
        <f aca="false">IF(OR($S59="",$S59&lt;=0),"",$K59/$S59)</f>
        <v>49.2857142857143</v>
      </c>
      <c r="U59" s="69" t="n">
        <f aca="false">IF($S59="","",ROUNDUP(N($S59)*'設定（最初に1回）'!$C$12,0))</f>
        <v>84</v>
      </c>
      <c r="V59" s="69" t="n">
        <f aca="false">IF($C59="","",ROUNDUP(N($S59)*(N($I59)+N($AG59))+N($U59),0))</f>
        <v>196</v>
      </c>
      <c r="W59" s="69" t="n">
        <f aca="false">IF($C59="","",SUMIFS(発注管理!$L$6:$L$1005,発注管理!$C$6:$C$1005,'設定（最初に1回）'!$C$4,発注管理!$F$6:$F$1005,$C59,発注管理!$Q$6:$Q$1005,"発注済"))</f>
        <v>0</v>
      </c>
      <c r="X59" s="69" t="n">
        <f aca="false">IF($C59="","",MAX(0,N($V59)-N($K59)-N($W59)))</f>
        <v>0</v>
      </c>
      <c r="Y59" s="147" t="n">
        <f aca="false">IF($C59="","",IF(N($X59)&lt;=0,0,CEILING($X59/MAX(1,N($G59)),MAX(1,N($J59)))))</f>
        <v>0</v>
      </c>
      <c r="Z59" s="138" t="str">
        <f aca="false">IF($C59="","",IF(N($Y59)&gt;0,"要発注","正常"))</f>
        <v>正常</v>
      </c>
      <c r="AA59" s="71" t="n">
        <f aca="false">IF($C59="","",N($K59)*N($H59))</f>
        <v>110745</v>
      </c>
      <c r="AB59" s="66" t="str">
        <f aca="false">IF($C59="","",_xlfn.TEXTJOIN(" / ",TRUE(),IF(COUNTIF(商品マスタ!$B$6:$B$1005,$C59)=0,"マスタ未登録",""),IF(COUNTIFS(月1回_前回の在庫を貼る!$B$6:$B$10005,'設定（最初に1回）'!$C$4,月1回_前回の在庫を貼る!$I$6:$I$10005,$C59)=0,"新商品",""),IF(COUNTIFS(①今日の在庫を貼る!$B$6:$B$10005,'設定（最初に1回）'!$C$4,①今日の在庫を貼る!$I$6:$I$10005,$C59)=0,"終売候補",""),IF(N($K59)&lt;0,"在庫マイナス",""),IF(AND('設定（最初に1回）'!$C$9="PI値予測",$P59=""),"PI値未設定","")))</f>
        <v/>
      </c>
      <c r="AC59" s="71" t="n">
        <f aca="false">N($Y59)*N($H59)</f>
        <v>0</v>
      </c>
      <c r="AD59" s="66" t="str">
        <f aca="false">IF($C59="","",IFERROR(INDEX(商品マスタ!$K$6:$K$1005,MATCH($C59,商品マスタ!$B$6:$B$1005,0)),"常温"))</f>
        <v>冷凍</v>
      </c>
      <c r="AE59" s="69" t="n">
        <f aca="false">IF($C59="","",MAX(0,ROUNDUP(N($K59)/MAX(1,N($G59)),0)))</f>
        <v>11</v>
      </c>
      <c r="AF59" s="66" t="str">
        <f aca="false">IF($C59="","",IFERROR(INDEX(商品マスタ!$L$6:$L$1005,MATCH($C59,商品マスタ!$B$6:$B$1005,0)),""))</f>
        <v>冷凍品</v>
      </c>
      <c r="AG59" s="143" t="n">
        <f aca="false">IF($C59="","",IFERROR(INDEX(定数マスタ!$S$110:$S$119,MATCH($AF59,定数マスタ!$J$110:$J$119,0)),N('設定（最初に1回）'!$C$13)))</f>
        <v>2.3</v>
      </c>
      <c r="AH59" s="66" t="n">
        <f aca="false">IF(AND(N($K59)&gt;0,N($Y59)&gt;0),N($Y59),0)</f>
        <v>0</v>
      </c>
    </row>
    <row r="60" customFormat="false" ht="15" hidden="false" customHeight="false" outlineLevel="0" collapsed="false">
      <c r="B60" s="66" t="n">
        <v>55</v>
      </c>
      <c r="C60" s="66" t="str">
        <f aca="false">IFERROR(IF($B60&lt;=MAX(①今日の在庫を貼る!$U$6:$U$10005),INDEX(①今日の在庫を貼る!$I$6:$I$10005,MATCH($B60,①今日の在庫を貼る!$U$6:$U$10005,0)),INDEX(月1回_前回の在庫を貼る!$I$6:$I$10005,MATCH($B60-MAX(①今日の在庫を貼る!$U$6:$U$10005),月1回_前回の在庫を貼る!$U$6:$U$10005,0))),"")</f>
        <v>1812000009827</v>
      </c>
      <c r="D60" s="66" t="str">
        <f aca="false">IF($C60="","",IFERROR(INDEX(商品マスタ!$C$6:$C$1005,MATCH($C60,商品マスタ!$B$6:$B$1005,0)),IFERROR(INDEX(①今日の在庫を貼る!$J$6:$J$10005,MATCH($C60,①今日の在庫を貼る!$I$6:$I$10005,0)),IFERROR(INDEX(月1回_前回の在庫を貼る!$J$6:$J$10005,MATCH($C60,月1回_前回の在庫を貼る!$I$6:$I$10005,0)),""))))</f>
        <v>カラーシュガー　ホワイト</v>
      </c>
      <c r="E60" s="66" t="str">
        <f aca="false">IF($C60="","",IFERROR(INDEX(商品マスタ!$D$6:$D$1005,MATCH($C60,商品マスタ!$B$6:$B$1005,0)),IFERROR(INDEX(①今日の在庫を貼る!$H$6:$H$10005,MATCH($C60,①今日の在庫を貼る!$I$6:$I$10005,0)),IFERROR(INDEX(月1回_前回の在庫を貼る!$H$6:$H$10005,MATCH($C60,月1回_前回の在庫を貼る!$I$6:$I$10005,0)),""))))</f>
        <v>調理系スイーツ</v>
      </c>
      <c r="F60" s="66" t="str">
        <f aca="false">IF($C60="","",IFERROR(INDEX(商品マスタ!$E$6:$E$1005,MATCH($C60,商品マスタ!$B$6:$B$1005,0)),IFERROR(INDEX(①今日の在庫を貼る!$E$6:$E$10005,MATCH($C60,①今日の在庫を貼る!$I$6:$I$10005,0)),IFERROR(INDEX(月1回_前回の在庫を貼る!$E$6:$E$10005,MATCH($C60,月1回_前回の在庫を貼る!$I$6:$I$10005,0)),""))))</f>
        <v>オザックス株式会社</v>
      </c>
      <c r="G60" s="69" t="n">
        <f aca="false">IF($C60="","",IFERROR(INDEX(商品マスタ!$F$6:$F$1005,MATCH($C60,商品マスタ!$B$6:$B$1005,0)),IFERROR(INDEX(①今日の在庫を貼る!$K$6:$K$10005,MATCH($C60,①今日の在庫を貼る!$I$6:$I$10005,0)),IFERROR(INDEX(月1回_前回の在庫を貼る!$K$6:$K$10005,MATCH($C60,月1回_前回の在庫を貼る!$I$6:$I$10005,0)),""))))</f>
        <v>1</v>
      </c>
      <c r="H60" s="71" t="n">
        <f aca="false">IF($C60="","",IFERROR(INDEX(商品マスタ!$G$6:$G$1005,MATCH($C60,商品マスタ!$B$6:$B$1005,0)),IFERROR(INDEX(①今日の在庫を貼る!$Q$6:$Q$10005,MATCH($C60,①今日の在庫を貼る!$I$6:$I$10005,0)),IFERROR(INDEX(月1回_前回の在庫を貼る!$Q$6:$Q$10005,MATCH($C60,月1回_前回の在庫を貼る!$I$6:$I$10005,0)),""))))</f>
        <v>1181</v>
      </c>
      <c r="I60" s="66" t="n">
        <f aca="false">IF($C60="","",IFERROR(INDEX(商品マスタ!$H$6:$H$1005,MATCH($C60,商品マスタ!$B$6:$B$1005,0)),3))</f>
        <v>3</v>
      </c>
      <c r="J60" s="66" t="n">
        <f aca="false">IF($C60="","",MAX(1,IFERROR(INDEX(商品マスタ!$I$6:$I$1005,MATCH($C60,商品マスタ!$B$6:$B$1005,0)),1)))</f>
        <v>1</v>
      </c>
      <c r="K60" s="69" t="n">
        <f aca="false">IF($C60="","",SUMIFS(①今日の在庫を貼る!$N$6:$N$10005,①今日の在庫を貼る!$B$6:$B$10005,'設定（最初に1回）'!$C$4,①今日の在庫を貼る!$I$6:$I$10005,$C60))</f>
        <v>3</v>
      </c>
      <c r="L60" s="69" t="n">
        <f aca="false">IF($C60="","",SUMIFS(月1回_前回の在庫を貼る!$N$6:$N$10005,月1回_前回の在庫を貼る!$B$6:$B$10005,'設定（最初に1回）'!$C$4,月1回_前回の在庫を貼る!$I$6:$I$10005,$C60))</f>
        <v>8</v>
      </c>
      <c r="M60" s="69" t="n">
        <f aca="false">IF($C60="","",IF(OR('設定（最初に1回）'!$C$6="",'設定（最初に1回）'!$C$7=""),0,SUMIFS(発注管理!$S$6:$S$1005,発注管理!$C$6:$C$1005,'設定（最初に1回）'!$C$4,発注管理!$F$6:$F$1005,$C60,発注管理!$R$6:$R$1005,"&gt;="&amp;'設定（最初に1回）'!$C$7,発注管理!$R$6:$R$1005,"&lt;="&amp;'設定（最初に1回）'!$C$6)))</f>
        <v>0</v>
      </c>
      <c r="N60" s="69" t="n">
        <f aca="false">IF(OR($C60="",'設定（最初に1回）'!$C$15=0),"",$L60+$M60-$K60)</f>
        <v>5</v>
      </c>
      <c r="O60" s="143" t="n">
        <f aca="false">IF(OR($N60="",'設定（最初に1回）'!$C$8="",'設定（最初に1回）'!$C$8&lt;=0),"",MAX(0,$N60)/'設定（最初に1回）'!$C$8)</f>
        <v>0.0819672131147541</v>
      </c>
      <c r="P60" s="143" t="n">
        <f aca="false">IF($C60="","",IFERROR(INDEX(商品マスタ!$M$6:$N$1005,MATCH($C60,商品マスタ!$B$6:$B$1005,0),MATCH("PI値 "&amp;'設定（最初に1回）'!$C$11,商品マスタ!$M$5:$N$5,0)),""))</f>
        <v>1</v>
      </c>
      <c r="Q60" s="143" t="n">
        <f aca="false">IF(OR($C60="",$P60="",$P60=0,(N($I60)+N($AG60))&lt;=0),"",IFERROR(SUMIFS(随時_動員を入れる!$G$8:$G$97,随時_動員を入れる!$B$8:$B$97,"&gt;="&amp;'設定（最初に1回）'!$C$6,随時_動員を入れる!$B$8:$B$97,"&lt;="&amp;'設定（最初に1回）'!$C$6+(N($I60)+N($AG60))-1)/(N($I60)+N($AG60)),0)*$P60/100)</f>
        <v>52.9207547169811</v>
      </c>
      <c r="R60" s="69" t="n">
        <f aca="false">IF($C60="","",SUMIFS(①今日の在庫を貼る!$O$6:$O$10005,①今日の在庫を貼る!$B$6:$B$10005,'設定（最初に1回）'!$C$4,①今日の在庫を貼る!$I$6:$I$10005,$C60))</f>
        <v>0</v>
      </c>
      <c r="S60" s="143" t="n">
        <f aca="false">IF($C60="","",IF('設定（最初に1回）'!$C$9="実績消費",N($O60),IF('設定（最初に1回）'!$C$9="PI値予測",N($Q60),MAX(N($O60),N($Q60)))))</f>
        <v>0.0819672131147541</v>
      </c>
      <c r="T60" s="67" t="n">
        <f aca="false">IF(OR($S60="",$S60&lt;=0),"",$K60/$S60)</f>
        <v>36.6</v>
      </c>
      <c r="U60" s="69" t="n">
        <f aca="false">IF($S60="","",ROUNDUP(N($S60)*'設定（最初に1回）'!$C$12,0))</f>
        <v>1</v>
      </c>
      <c r="V60" s="69" t="n">
        <f aca="false">IF($C60="","",ROUNDUP(N($S60)*(N($I60)+N($AG60))+N($U60),0))</f>
        <v>2</v>
      </c>
      <c r="W60" s="69" t="n">
        <f aca="false">IF($C60="","",SUMIFS(発注管理!$L$6:$L$1005,発注管理!$C$6:$C$1005,'設定（最初に1回）'!$C$4,発注管理!$F$6:$F$1005,$C60,発注管理!$Q$6:$Q$1005,"発注済"))</f>
        <v>0</v>
      </c>
      <c r="X60" s="69" t="n">
        <f aca="false">IF($C60="","",MAX(0,N($V60)-N($K60)-N($W60)))</f>
        <v>0</v>
      </c>
      <c r="Y60" s="147" t="n">
        <f aca="false">IF($C60="","",IF(N($X60)&lt;=0,0,CEILING($X60/MAX(1,N($G60)),MAX(1,N($J60)))))</f>
        <v>0</v>
      </c>
      <c r="Z60" s="138" t="str">
        <f aca="false">IF($C60="","",IF(N($Y60)&gt;0,"要発注","正常"))</f>
        <v>正常</v>
      </c>
      <c r="AA60" s="71" t="n">
        <f aca="false">IF($C60="","",N($K60)*N($H60))</f>
        <v>3543</v>
      </c>
      <c r="AB60" s="66" t="str">
        <f aca="false">IF($C60="","",_xlfn.TEXTJOIN(" / ",TRUE(),IF(COUNTIF(商品マスタ!$B$6:$B$1005,$C60)=0,"マスタ未登録",""),IF(COUNTIFS(月1回_前回の在庫を貼る!$B$6:$B$10005,'設定（最初に1回）'!$C$4,月1回_前回の在庫を貼る!$I$6:$I$10005,$C60)=0,"新商品",""),IF(COUNTIFS(①今日の在庫を貼る!$B$6:$B$10005,'設定（最初に1回）'!$C$4,①今日の在庫を貼る!$I$6:$I$10005,$C60)=0,"終売候補",""),IF(N($K60)&lt;0,"在庫マイナス",""),IF(AND('設定（最初に1回）'!$C$9="PI値予測",$P60=""),"PI値未設定","")))</f>
        <v/>
      </c>
      <c r="AC60" s="71" t="n">
        <f aca="false">N($Y60)*N($H60)</f>
        <v>0</v>
      </c>
      <c r="AD60" s="66" t="str">
        <f aca="false">IF($C60="","",IFERROR(INDEX(商品マスタ!$K$6:$K$1005,MATCH($C60,商品マスタ!$B$6:$B$1005,0)),"常温"))</f>
        <v>冷凍</v>
      </c>
      <c r="AE60" s="69" t="n">
        <f aca="false">IF($C60="","",MAX(0,ROUNDUP(N($K60)/MAX(1,N($G60)),0)))</f>
        <v>3</v>
      </c>
      <c r="AF60" s="66" t="str">
        <f aca="false">IF($C60="","",IFERROR(INDEX(商品マスタ!$L$6:$L$1005,MATCH($C60,商品マスタ!$B$6:$B$1005,0)),""))</f>
        <v>冷凍品</v>
      </c>
      <c r="AG60" s="143" t="n">
        <f aca="false">IF($C60="","",IFERROR(INDEX(定数マスタ!$S$110:$S$119,MATCH($AF60,定数マスタ!$J$110:$J$119,0)),N('設定（最初に1回）'!$C$13)))</f>
        <v>2.3</v>
      </c>
      <c r="AH60" s="66" t="n">
        <f aca="false">IF(AND(N($K60)&gt;0,N($Y60)&gt;0),N($Y60),0)</f>
        <v>0</v>
      </c>
    </row>
    <row r="61" customFormat="false" ht="15" hidden="false" customHeight="false" outlineLevel="0" collapsed="false">
      <c r="B61" s="66" t="n">
        <v>56</v>
      </c>
      <c r="C61" s="66" t="str">
        <f aca="false">IFERROR(IF($B61&lt;=MAX(①今日の在庫を貼る!$U$6:$U$10005),INDEX(①今日の在庫を貼る!$I$6:$I$10005,MATCH($B61,①今日の在庫を貼る!$U$6:$U$10005,0)),INDEX(月1回_前回の在庫を貼る!$I$6:$I$10005,MATCH($B61-MAX(①今日の在庫を貼る!$U$6:$U$10005),月1回_前回の在庫を貼る!$U$6:$U$10005,0))),"")</f>
        <v>1812000009834</v>
      </c>
      <c r="D61" s="66" t="str">
        <f aca="false">IF($C61="","",IFERROR(INDEX(商品マスタ!$C$6:$C$1005,MATCH($C61,商品マスタ!$B$6:$B$1005,0)),IFERROR(INDEX(①今日の在庫を貼る!$J$6:$J$10005,MATCH($C61,①今日の在庫を貼る!$I$6:$I$10005,0)),IFERROR(INDEX(月1回_前回の在庫を貼る!$J$6:$J$10005,MATCH($C61,月1回_前回の在庫を貼る!$I$6:$I$10005,0)),""))))</f>
        <v>カラーシュガー　ピンク</v>
      </c>
      <c r="E61" s="66" t="str">
        <f aca="false">IF($C61="","",IFERROR(INDEX(商品マスタ!$D$6:$D$1005,MATCH($C61,商品マスタ!$B$6:$B$1005,0)),IFERROR(INDEX(①今日の在庫を貼る!$H$6:$H$10005,MATCH($C61,①今日の在庫を貼る!$I$6:$I$10005,0)),IFERROR(INDEX(月1回_前回の在庫を貼る!$H$6:$H$10005,MATCH($C61,月1回_前回の在庫を貼る!$I$6:$I$10005,0)),""))))</f>
        <v>調理系スイーツ</v>
      </c>
      <c r="F61" s="66" t="str">
        <f aca="false">IF($C61="","",IFERROR(INDEX(商品マスタ!$E$6:$E$1005,MATCH($C61,商品マスタ!$B$6:$B$1005,0)),IFERROR(INDEX(①今日の在庫を貼る!$E$6:$E$10005,MATCH($C61,①今日の在庫を貼る!$I$6:$I$10005,0)),IFERROR(INDEX(月1回_前回の在庫を貼る!$E$6:$E$10005,MATCH($C61,月1回_前回の在庫を貼る!$I$6:$I$10005,0)),""))))</f>
        <v>オザックス株式会社</v>
      </c>
      <c r="G61" s="69" t="n">
        <f aca="false">IF($C61="","",IFERROR(INDEX(商品マスタ!$F$6:$F$1005,MATCH($C61,商品マスタ!$B$6:$B$1005,0)),IFERROR(INDEX(①今日の在庫を貼る!$K$6:$K$10005,MATCH($C61,①今日の在庫を貼る!$I$6:$I$10005,0)),IFERROR(INDEX(月1回_前回の在庫を貼る!$K$6:$K$10005,MATCH($C61,月1回_前回の在庫を貼る!$I$6:$I$10005,0)),""))))</f>
        <v>1</v>
      </c>
      <c r="H61" s="71" t="n">
        <f aca="false">IF($C61="","",IFERROR(INDEX(商品マスタ!$G$6:$G$1005,MATCH($C61,商品マスタ!$B$6:$B$1005,0)),IFERROR(INDEX(①今日の在庫を貼る!$Q$6:$Q$10005,MATCH($C61,①今日の在庫を貼る!$I$6:$I$10005,0)),IFERROR(INDEX(月1回_前回の在庫を貼る!$Q$6:$Q$10005,MATCH($C61,月1回_前回の在庫を貼る!$I$6:$I$10005,0)),""))))</f>
        <v>1181</v>
      </c>
      <c r="I61" s="66" t="n">
        <f aca="false">IF($C61="","",IFERROR(INDEX(商品マスタ!$H$6:$H$1005,MATCH($C61,商品マスタ!$B$6:$B$1005,0)),3))</f>
        <v>5</v>
      </c>
      <c r="J61" s="66" t="n">
        <f aca="false">IF($C61="","",MAX(1,IFERROR(INDEX(商品マスタ!$I$6:$I$1005,MATCH($C61,商品マスタ!$B$6:$B$1005,0)),1)))</f>
        <v>1</v>
      </c>
      <c r="K61" s="69" t="n">
        <f aca="false">IF($C61="","",SUMIFS(①今日の在庫を貼る!$N$6:$N$10005,①今日の在庫を貼る!$B$6:$B$10005,'設定（最初に1回）'!$C$4,①今日の在庫を貼る!$I$6:$I$10005,$C61))</f>
        <v>15</v>
      </c>
      <c r="L61" s="69" t="n">
        <f aca="false">IF($C61="","",SUMIFS(月1回_前回の在庫を貼る!$N$6:$N$10005,月1回_前回の在庫を貼る!$B$6:$B$10005,'設定（最初に1回）'!$C$4,月1回_前回の在庫を貼る!$I$6:$I$10005,$C61))</f>
        <v>36</v>
      </c>
      <c r="M61" s="69" t="n">
        <f aca="false">IF($C61="","",IF(OR('設定（最初に1回）'!$C$6="",'設定（最初に1回）'!$C$7=""),0,SUMIFS(発注管理!$S$6:$S$1005,発注管理!$C$6:$C$1005,'設定（最初に1回）'!$C$4,発注管理!$F$6:$F$1005,$C61,発注管理!$R$6:$R$1005,"&gt;="&amp;'設定（最初に1回）'!$C$7,発注管理!$R$6:$R$1005,"&lt;="&amp;'設定（最初に1回）'!$C$6)))</f>
        <v>0</v>
      </c>
      <c r="N61" s="69" t="n">
        <f aca="false">IF(OR($C61="",'設定（最初に1回）'!$C$15=0),"",$L61+$M61-$K61)</f>
        <v>21</v>
      </c>
      <c r="O61" s="143" t="n">
        <f aca="false">IF(OR($N61="",'設定（最初に1回）'!$C$8="",'設定（最初に1回）'!$C$8&lt;=0),"",MAX(0,$N61)/'設定（最初に1回）'!$C$8)</f>
        <v>0.344262295081967</v>
      </c>
      <c r="P61" s="143" t="n">
        <f aca="false">IF($C61="","",IFERROR(INDEX(商品マスタ!$M$6:$N$1005,MATCH($C61,商品マスタ!$B$6:$B$1005,0),MATCH("PI値 "&amp;'設定（最初に1回）'!$C$11,商品マスタ!$M$5:$N$5,0)),""))</f>
        <v>1.2</v>
      </c>
      <c r="Q61" s="143" t="n">
        <f aca="false">IF(OR($C61="",$P61="",$P61=0,(N($I61)+N($AG61))&lt;=0),"",IFERROR(SUMIFS(随時_動員を入れる!$G$8:$G$97,随時_動員を入れる!$B$8:$B$97,"&gt;="&amp;'設定（最初に1回）'!$C$6,随時_動員を入れる!$B$8:$B$97,"&lt;="&amp;'設定（最初に1回）'!$C$6+(N($I61)+N($AG61))-1)/(N($I61)+N($AG61)),0)*$P61/100)</f>
        <v>50.8158904109589</v>
      </c>
      <c r="R61" s="69" t="n">
        <f aca="false">IF($C61="","",SUMIFS(①今日の在庫を貼る!$O$6:$O$10005,①今日の在庫を貼る!$B$6:$B$10005,'設定（最初に1回）'!$C$4,①今日の在庫を貼る!$I$6:$I$10005,$C61))</f>
        <v>0</v>
      </c>
      <c r="S61" s="143" t="n">
        <f aca="false">IF($C61="","",IF('設定（最初に1回）'!$C$9="実績消費",N($O61),IF('設定（最初に1回）'!$C$9="PI値予測",N($Q61),MAX(N($O61),N($Q61)))))</f>
        <v>0.344262295081967</v>
      </c>
      <c r="T61" s="67" t="n">
        <f aca="false">IF(OR($S61="",$S61&lt;=0),"",$K61/$S61)</f>
        <v>43.5714285714286</v>
      </c>
      <c r="U61" s="69" t="n">
        <f aca="false">IF($S61="","",ROUNDUP(N($S61)*'設定（最初に1回）'!$C$12,0))</f>
        <v>2</v>
      </c>
      <c r="V61" s="69" t="n">
        <f aca="false">IF($C61="","",ROUNDUP(N($S61)*(N($I61)+N($AG61))+N($U61),0))</f>
        <v>5</v>
      </c>
      <c r="W61" s="69" t="n">
        <f aca="false">IF($C61="","",SUMIFS(発注管理!$L$6:$L$1005,発注管理!$C$6:$C$1005,'設定（最初に1回）'!$C$4,発注管理!$F$6:$F$1005,$C61,発注管理!$Q$6:$Q$1005,"発注済"))</f>
        <v>0</v>
      </c>
      <c r="X61" s="69" t="n">
        <f aca="false">IF($C61="","",MAX(0,N($V61)-N($K61)-N($W61)))</f>
        <v>0</v>
      </c>
      <c r="Y61" s="147" t="n">
        <f aca="false">IF($C61="","",IF(N($X61)&lt;=0,0,CEILING($X61/MAX(1,N($G61)),MAX(1,N($J61)))))</f>
        <v>0</v>
      </c>
      <c r="Z61" s="138" t="str">
        <f aca="false">IF($C61="","",IF(N($Y61)&gt;0,"要発注","正常"))</f>
        <v>正常</v>
      </c>
      <c r="AA61" s="71" t="n">
        <f aca="false">IF($C61="","",N($K61)*N($H61))</f>
        <v>17715</v>
      </c>
      <c r="AB61" s="66" t="str">
        <f aca="false">IF($C61="","",_xlfn.TEXTJOIN(" / ",TRUE(),IF(COUNTIF(商品マスタ!$B$6:$B$1005,$C61)=0,"マスタ未登録",""),IF(COUNTIFS(月1回_前回の在庫を貼る!$B$6:$B$10005,'設定（最初に1回）'!$C$4,月1回_前回の在庫を貼る!$I$6:$I$10005,$C61)=0,"新商品",""),IF(COUNTIFS(①今日の在庫を貼る!$B$6:$B$10005,'設定（最初に1回）'!$C$4,①今日の在庫を貼る!$I$6:$I$10005,$C61)=0,"終売候補",""),IF(N($K61)&lt;0,"在庫マイナス",""),IF(AND('設定（最初に1回）'!$C$9="PI値予測",$P61=""),"PI値未設定","")))</f>
        <v/>
      </c>
      <c r="AC61" s="71" t="n">
        <f aca="false">N($Y61)*N($H61)</f>
        <v>0</v>
      </c>
      <c r="AD61" s="66" t="str">
        <f aca="false">IF($C61="","",IFERROR(INDEX(商品マスタ!$K$6:$K$1005,MATCH($C61,商品マスタ!$B$6:$B$1005,0)),"常温"))</f>
        <v>冷凍</v>
      </c>
      <c r="AE61" s="69" t="n">
        <f aca="false">IF($C61="","",MAX(0,ROUNDUP(N($K61)/MAX(1,N($G61)),0)))</f>
        <v>15</v>
      </c>
      <c r="AF61" s="66" t="str">
        <f aca="false">IF($C61="","",IFERROR(INDEX(商品マスタ!$L$6:$L$1005,MATCH($C61,商品マスタ!$B$6:$B$1005,0)),""))</f>
        <v>冷凍品</v>
      </c>
      <c r="AG61" s="143" t="n">
        <f aca="false">IF($C61="","",IFERROR(INDEX(定数マスタ!$S$110:$S$119,MATCH($AF61,定数マスタ!$J$110:$J$119,0)),N('設定（最初に1回）'!$C$13)))</f>
        <v>2.3</v>
      </c>
      <c r="AH61" s="66" t="n">
        <f aca="false">IF(AND(N($K61)&gt;0,N($Y61)&gt;0),N($Y61),0)</f>
        <v>0</v>
      </c>
    </row>
    <row r="62" customFormat="false" ht="15" hidden="false" customHeight="false" outlineLevel="0" collapsed="false">
      <c r="B62" s="66" t="n">
        <v>57</v>
      </c>
      <c r="C62" s="66" t="str">
        <f aca="false">IFERROR(IF($B62&lt;=MAX(①今日の在庫を貼る!$U$6:$U$10005),INDEX(①今日の在庫を貼る!$I$6:$I$10005,MATCH($B62,①今日の在庫を貼る!$U$6:$U$10005,0)),INDEX(月1回_前回の在庫を貼る!$I$6:$I$10005,MATCH($B62-MAX(①今日の在庫を貼る!$U$6:$U$10005),月1回_前回の在庫を貼る!$U$6:$U$10005,0))),"")</f>
        <v>1812000009841</v>
      </c>
      <c r="D62" s="66" t="str">
        <f aca="false">IF($C62="","",IFERROR(INDEX(商品マスタ!$C$6:$C$1005,MATCH($C62,商品マスタ!$B$6:$B$1005,0)),IFERROR(INDEX(①今日の在庫を貼る!$J$6:$J$10005,MATCH($C62,①今日の在庫を貼る!$I$6:$I$10005,0)),IFERROR(INDEX(月1回_前回の在庫を貼る!$J$6:$J$10005,MATCH($C62,月1回_前回の在庫を貼る!$I$6:$I$10005,0)),""))))</f>
        <v>カラーシュガー　パープル</v>
      </c>
      <c r="E62" s="66" t="str">
        <f aca="false">IF($C62="","",IFERROR(INDEX(商品マスタ!$D$6:$D$1005,MATCH($C62,商品マスタ!$B$6:$B$1005,0)),IFERROR(INDEX(①今日の在庫を貼る!$H$6:$H$10005,MATCH($C62,①今日の在庫を貼る!$I$6:$I$10005,0)),IFERROR(INDEX(月1回_前回の在庫を貼る!$H$6:$H$10005,MATCH($C62,月1回_前回の在庫を貼る!$I$6:$I$10005,0)),""))))</f>
        <v>調理系スイーツ</v>
      </c>
      <c r="F62" s="66" t="str">
        <f aca="false">IF($C62="","",IFERROR(INDEX(商品マスタ!$E$6:$E$1005,MATCH($C62,商品マスタ!$B$6:$B$1005,0)),IFERROR(INDEX(①今日の在庫を貼る!$E$6:$E$10005,MATCH($C62,①今日の在庫を貼る!$I$6:$I$10005,0)),IFERROR(INDEX(月1回_前回の在庫を貼る!$E$6:$E$10005,MATCH($C62,月1回_前回の在庫を貼る!$I$6:$I$10005,0)),""))))</f>
        <v>オザックス株式会社</v>
      </c>
      <c r="G62" s="69" t="n">
        <f aca="false">IF($C62="","",IFERROR(INDEX(商品マスタ!$F$6:$F$1005,MATCH($C62,商品マスタ!$B$6:$B$1005,0)),IFERROR(INDEX(①今日の在庫を貼る!$K$6:$K$10005,MATCH($C62,①今日の在庫を貼る!$I$6:$I$10005,0)),IFERROR(INDEX(月1回_前回の在庫を貼る!$K$6:$K$10005,MATCH($C62,月1回_前回の在庫を貼る!$I$6:$I$10005,0)),""))))</f>
        <v>1</v>
      </c>
      <c r="H62" s="71" t="n">
        <f aca="false">IF($C62="","",IFERROR(INDEX(商品マスタ!$G$6:$G$1005,MATCH($C62,商品マスタ!$B$6:$B$1005,0)),IFERROR(INDEX(①今日の在庫を貼る!$Q$6:$Q$10005,MATCH($C62,①今日の在庫を貼る!$I$6:$I$10005,0)),IFERROR(INDEX(月1回_前回の在庫を貼る!$Q$6:$Q$10005,MATCH($C62,月1回_前回の在庫を貼る!$I$6:$I$10005,0)),""))))</f>
        <v>1181</v>
      </c>
      <c r="I62" s="66" t="n">
        <f aca="false">IF($C62="","",IFERROR(INDEX(商品マスタ!$H$6:$H$1005,MATCH($C62,商品マスタ!$B$6:$B$1005,0)),3))</f>
        <v>7</v>
      </c>
      <c r="J62" s="66" t="n">
        <f aca="false">IF($C62="","",MAX(1,IFERROR(INDEX(商品マスタ!$I$6:$I$1005,MATCH($C62,商品マスタ!$B$6:$B$1005,0)),1)))</f>
        <v>5</v>
      </c>
      <c r="K62" s="69" t="n">
        <f aca="false">IF($C62="","",SUMIFS(①今日の在庫を貼る!$N$6:$N$10005,①今日の在庫を貼る!$B$6:$B$10005,'設定（最初に1回）'!$C$4,①今日の在庫を貼る!$I$6:$I$10005,$C62))</f>
        <v>0</v>
      </c>
      <c r="L62" s="69" t="n">
        <f aca="false">IF($C62="","",SUMIFS(月1回_前回の在庫を貼る!$N$6:$N$10005,月1回_前回の在庫を貼る!$B$6:$B$10005,'設定（最初に1回）'!$C$4,月1回_前回の在庫を貼る!$I$6:$I$10005,$C62))</f>
        <v>8</v>
      </c>
      <c r="M62" s="69" t="n">
        <f aca="false">IF($C62="","",IF(OR('設定（最初に1回）'!$C$6="",'設定（最初に1回）'!$C$7=""),0,SUMIFS(発注管理!$S$6:$S$1005,発注管理!$C$6:$C$1005,'設定（最初に1回）'!$C$4,発注管理!$F$6:$F$1005,$C62,発注管理!$R$6:$R$1005,"&gt;="&amp;'設定（最初に1回）'!$C$7,発注管理!$R$6:$R$1005,"&lt;="&amp;'設定（最初に1回）'!$C$6)))</f>
        <v>0</v>
      </c>
      <c r="N62" s="69" t="n">
        <f aca="false">IF(OR($C62="",'設定（最初に1回）'!$C$15=0),"",$L62+$M62-$K62)</f>
        <v>8</v>
      </c>
      <c r="O62" s="143" t="n">
        <f aca="false">IF(OR($N62="",'設定（最初に1回）'!$C$8="",'設定（最初に1回）'!$C$8&lt;=0),"",MAX(0,$N62)/'設定（最初に1回）'!$C$8)</f>
        <v>0.131147540983607</v>
      </c>
      <c r="P62" s="143" t="n">
        <f aca="false">IF($C62="","",IFERROR(INDEX(商品マスタ!$M$6:$N$1005,MATCH($C62,商品マスタ!$B$6:$B$1005,0),MATCH("PI値 "&amp;'設定（最初に1回）'!$C$11,商品マスタ!$M$5:$N$5,0)),""))</f>
        <v>1.5</v>
      </c>
      <c r="Q62" s="143" t="n">
        <f aca="false">IF(OR($C62="",$P62="",$P62=0,(N($I62)+N($AG62))&lt;=0),"",IFERROR(SUMIFS(随時_動員を入れる!$G$8:$G$97,随時_動員を入れる!$B$8:$B$97,"&gt;="&amp;'設定（最初に1回）'!$C$6,随時_動員を入れる!$B$8:$B$97,"&lt;="&amp;'設定（最初に1回）'!$C$6+(N($I62)+N($AG62))-1)/(N($I62)+N($AG62)),0)*$P62/100)</f>
        <v>55.7596774193548</v>
      </c>
      <c r="R62" s="69" t="n">
        <f aca="false">IF($C62="","",SUMIFS(①今日の在庫を貼る!$O$6:$O$10005,①今日の在庫を貼る!$B$6:$B$10005,'設定（最初に1回）'!$C$4,①今日の在庫を貼る!$I$6:$I$10005,$C62))</f>
        <v>0</v>
      </c>
      <c r="S62" s="143" t="n">
        <f aca="false">IF($C62="","",IF('設定（最初に1回）'!$C$9="実績消費",N($O62),IF('設定（最初に1回）'!$C$9="PI値予測",N($Q62),MAX(N($O62),N($Q62)))))</f>
        <v>0.131147540983607</v>
      </c>
      <c r="T62" s="67" t="n">
        <f aca="false">IF(OR($S62="",$S62&lt;=0),"",$K62/$S62)</f>
        <v>0</v>
      </c>
      <c r="U62" s="69" t="n">
        <f aca="false">IF($S62="","",ROUNDUP(N($S62)*'設定（最初に1回）'!$C$12,0))</f>
        <v>1</v>
      </c>
      <c r="V62" s="69" t="n">
        <f aca="false">IF($C62="","",ROUNDUP(N($S62)*(N($I62)+N($AG62))+N($U62),0))</f>
        <v>3</v>
      </c>
      <c r="W62" s="69" t="n">
        <f aca="false">IF($C62="","",SUMIFS(発注管理!$L$6:$L$1005,発注管理!$C$6:$C$1005,'設定（最初に1回）'!$C$4,発注管理!$F$6:$F$1005,$C62,発注管理!$Q$6:$Q$1005,"発注済"))</f>
        <v>0</v>
      </c>
      <c r="X62" s="69" t="n">
        <f aca="false">IF($C62="","",MAX(0,N($V62)-N($K62)-N($W62)))</f>
        <v>3</v>
      </c>
      <c r="Y62" s="147" t="n">
        <f aca="false">IF($C62="","",IF(N($X62)&lt;=0,0,CEILING($X62/MAX(1,N($G62)),MAX(1,N($J62)))))</f>
        <v>5</v>
      </c>
      <c r="Z62" s="138" t="str">
        <f aca="false">IF($C62="","",IF(N($Y62)&gt;0,"要発注","正常"))</f>
        <v>要発注</v>
      </c>
      <c r="AA62" s="71" t="n">
        <f aca="false">IF($C62="","",N($K62)*N($H62))</f>
        <v>0</v>
      </c>
      <c r="AB62" s="66" t="str">
        <f aca="false">IF($C62="","",_xlfn.TEXTJOIN(" / ",TRUE(),IF(COUNTIF(商品マスタ!$B$6:$B$1005,$C62)=0,"マスタ未登録",""),IF(COUNTIFS(月1回_前回の在庫を貼る!$B$6:$B$10005,'設定（最初に1回）'!$C$4,月1回_前回の在庫を貼る!$I$6:$I$10005,$C62)=0,"新商品",""),IF(COUNTIFS(①今日の在庫を貼る!$B$6:$B$10005,'設定（最初に1回）'!$C$4,①今日の在庫を貼る!$I$6:$I$10005,$C62)=0,"終売候補",""),IF(N($K62)&lt;0,"在庫マイナス",""),IF(AND('設定（最初に1回）'!$C$9="PI値予測",$P62=""),"PI値未設定","")))</f>
        <v/>
      </c>
      <c r="AC62" s="71" t="n">
        <f aca="false">N($Y62)*N($H62)</f>
        <v>5905</v>
      </c>
      <c r="AD62" s="66" t="str">
        <f aca="false">IF($C62="","",IFERROR(INDEX(商品マスタ!$K$6:$K$1005,MATCH($C62,商品マスタ!$B$6:$B$1005,0)),"常温"))</f>
        <v>冷凍</v>
      </c>
      <c r="AE62" s="69" t="n">
        <f aca="false">IF($C62="","",MAX(0,ROUNDUP(N($K62)/MAX(1,N($G62)),0)))</f>
        <v>0</v>
      </c>
      <c r="AF62" s="66" t="str">
        <f aca="false">IF($C62="","",IFERROR(INDEX(商品マスタ!$L$6:$L$1005,MATCH($C62,商品マスタ!$B$6:$B$1005,0)),""))</f>
        <v>冷凍品</v>
      </c>
      <c r="AG62" s="143" t="n">
        <f aca="false">IF($C62="","",IFERROR(INDEX(定数マスタ!$S$110:$S$119,MATCH($AF62,定数マスタ!$J$110:$J$119,0)),N('設定（最初に1回）'!$C$13)))</f>
        <v>2.3</v>
      </c>
      <c r="AH62" s="66" t="n">
        <f aca="false">IF(AND(N($K62)&gt;0,N($Y62)&gt;0),N($Y62),0)</f>
        <v>0</v>
      </c>
    </row>
    <row r="63" customFormat="false" ht="15" hidden="false" customHeight="false" outlineLevel="0" collapsed="false">
      <c r="B63" s="66" t="n">
        <v>58</v>
      </c>
      <c r="C63" s="66" t="str">
        <f aca="false">IFERROR(IF($B63&lt;=MAX(①今日の在庫を貼る!$U$6:$U$10005),INDEX(①今日の在庫を貼る!$I$6:$I$10005,MATCH($B63,①今日の在庫を貼る!$U$6:$U$10005,0)),INDEX(月1回_前回の在庫を貼る!$I$6:$I$10005,MATCH($B63-MAX(①今日の在庫を貼る!$U$6:$U$10005),月1回_前回の在庫を貼る!$U$6:$U$10005,0))),"")</f>
        <v>1812000009858</v>
      </c>
      <c r="D63" s="66" t="str">
        <f aca="false">IF($C63="","",IFERROR(INDEX(商品マスタ!$C$6:$C$1005,MATCH($C63,商品マスタ!$B$6:$B$1005,0)),IFERROR(INDEX(①今日の在庫を貼る!$J$6:$J$10005,MATCH($C63,①今日の在庫を貼る!$I$6:$I$10005,0)),IFERROR(INDEX(月1回_前回の在庫を貼る!$J$6:$J$10005,MATCH($C63,月1回_前回の在庫を貼る!$I$6:$I$10005,0)),""))))</f>
        <v>カラーシュガー　ブルー</v>
      </c>
      <c r="E63" s="66" t="str">
        <f aca="false">IF($C63="","",IFERROR(INDEX(商品マスタ!$D$6:$D$1005,MATCH($C63,商品マスタ!$B$6:$B$1005,0)),IFERROR(INDEX(①今日の在庫を貼る!$H$6:$H$10005,MATCH($C63,①今日の在庫を貼る!$I$6:$I$10005,0)),IFERROR(INDEX(月1回_前回の在庫を貼る!$H$6:$H$10005,MATCH($C63,月1回_前回の在庫を貼る!$I$6:$I$10005,0)),""))))</f>
        <v>調理系スイーツ</v>
      </c>
      <c r="F63" s="66" t="str">
        <f aca="false">IF($C63="","",IFERROR(INDEX(商品マスタ!$E$6:$E$1005,MATCH($C63,商品マスタ!$B$6:$B$1005,0)),IFERROR(INDEX(①今日の在庫を貼る!$E$6:$E$10005,MATCH($C63,①今日の在庫を貼る!$I$6:$I$10005,0)),IFERROR(INDEX(月1回_前回の在庫を貼る!$E$6:$E$10005,MATCH($C63,月1回_前回の在庫を貼る!$I$6:$I$10005,0)),""))))</f>
        <v>オザックス株式会社</v>
      </c>
      <c r="G63" s="69" t="n">
        <f aca="false">IF($C63="","",IFERROR(INDEX(商品マスタ!$F$6:$F$1005,MATCH($C63,商品マスタ!$B$6:$B$1005,0)),IFERROR(INDEX(①今日の在庫を貼る!$K$6:$K$10005,MATCH($C63,①今日の在庫を貼る!$I$6:$I$10005,0)),IFERROR(INDEX(月1回_前回の在庫を貼る!$K$6:$K$10005,MATCH($C63,月1回_前回の在庫を貼る!$I$6:$I$10005,0)),""))))</f>
        <v>1</v>
      </c>
      <c r="H63" s="71" t="n">
        <f aca="false">IF($C63="","",IFERROR(INDEX(商品マスタ!$G$6:$G$1005,MATCH($C63,商品マスタ!$B$6:$B$1005,0)),IFERROR(INDEX(①今日の在庫を貼る!$Q$6:$Q$10005,MATCH($C63,①今日の在庫を貼る!$I$6:$I$10005,0)),IFERROR(INDEX(月1回_前回の在庫を貼る!$Q$6:$Q$10005,MATCH($C63,月1回_前回の在庫を貼る!$I$6:$I$10005,0)),""))))</f>
        <v>1181</v>
      </c>
      <c r="I63" s="66" t="n">
        <f aca="false">IF($C63="","",IFERROR(INDEX(商品マスタ!$H$6:$H$1005,MATCH($C63,商品マスタ!$B$6:$B$1005,0)),3))</f>
        <v>7</v>
      </c>
      <c r="J63" s="66" t="n">
        <f aca="false">IF($C63="","",MAX(1,IFERROR(INDEX(商品マスタ!$I$6:$I$1005,MATCH($C63,商品マスタ!$B$6:$B$1005,0)),1)))</f>
        <v>1</v>
      </c>
      <c r="K63" s="69" t="n">
        <f aca="false">IF($C63="","",SUMIFS(①今日の在庫を貼る!$N$6:$N$10005,①今日の在庫を貼る!$B$6:$B$10005,'設定（最初に1回）'!$C$4,①今日の在庫を貼る!$I$6:$I$10005,$C63))</f>
        <v>48</v>
      </c>
      <c r="L63" s="69" t="n">
        <f aca="false">IF($C63="","",SUMIFS(月1回_前回の在庫を貼る!$N$6:$N$10005,月1回_前回の在庫を貼る!$B$6:$B$10005,'設定（最初に1回）'!$C$4,月1回_前回の在庫を貼る!$I$6:$I$10005,$C63))</f>
        <v>77</v>
      </c>
      <c r="M63" s="69" t="n">
        <f aca="false">IF($C63="","",IF(OR('設定（最初に1回）'!$C$6="",'設定（最初に1回）'!$C$7=""),0,SUMIFS(発注管理!$S$6:$S$1005,発注管理!$C$6:$C$1005,'設定（最初に1回）'!$C$4,発注管理!$F$6:$F$1005,$C63,発注管理!$R$6:$R$1005,"&gt;="&amp;'設定（最初に1回）'!$C$7,発注管理!$R$6:$R$1005,"&lt;="&amp;'設定（最初に1回）'!$C$6)))</f>
        <v>0</v>
      </c>
      <c r="N63" s="69" t="n">
        <f aca="false">IF(OR($C63="",'設定（最初に1回）'!$C$15=0),"",$L63+$M63-$K63)</f>
        <v>29</v>
      </c>
      <c r="O63" s="143" t="n">
        <f aca="false">IF(OR($N63="",'設定（最初に1回）'!$C$8="",'設定（最初に1回）'!$C$8&lt;=0),"",MAX(0,$N63)/'設定（最初に1回）'!$C$8)</f>
        <v>0.475409836065574</v>
      </c>
      <c r="P63" s="143" t="n">
        <f aca="false">IF($C63="","",IFERROR(INDEX(商品マスタ!$M$6:$N$1005,MATCH($C63,商品マスタ!$B$6:$B$1005,0),MATCH("PI値 "&amp;'設定（最初に1回）'!$C$11,商品マスタ!$M$5:$N$5,0)),""))</f>
        <v>2.2</v>
      </c>
      <c r="Q63" s="143" t="n">
        <f aca="false">IF(OR($C63="",$P63="",$P63=0,(N($I63)+N($AG63))&lt;=0),"",IFERROR(SUMIFS(随時_動員を入れる!$G$8:$G$97,随時_動員を入れる!$B$8:$B$97,"&gt;="&amp;'設定（最初に1回）'!$C$6,随時_動員を入れる!$B$8:$B$97,"&lt;="&amp;'設定（最初に1回）'!$C$6+(N($I63)+N($AG63))-1)/(N($I63)+N($AG63)),0)*$P63/100)</f>
        <v>81.7808602150538</v>
      </c>
      <c r="R63" s="69" t="n">
        <f aca="false">IF($C63="","",SUMIFS(①今日の在庫を貼る!$O$6:$O$10005,①今日の在庫を貼る!$B$6:$B$10005,'設定（最初に1回）'!$C$4,①今日の在庫を貼る!$I$6:$I$10005,$C63))</f>
        <v>0</v>
      </c>
      <c r="S63" s="143" t="n">
        <f aca="false">IF($C63="","",IF('設定（最初に1回）'!$C$9="実績消費",N($O63),IF('設定（最初に1回）'!$C$9="PI値予測",N($Q63),MAX(N($O63),N($Q63)))))</f>
        <v>0.475409836065574</v>
      </c>
      <c r="T63" s="67" t="n">
        <f aca="false">IF(OR($S63="",$S63&lt;=0),"",$K63/$S63)</f>
        <v>100.965517241379</v>
      </c>
      <c r="U63" s="69" t="n">
        <f aca="false">IF($S63="","",ROUNDUP(N($S63)*'設定（最初に1回）'!$C$12,0))</f>
        <v>2</v>
      </c>
      <c r="V63" s="69" t="n">
        <f aca="false">IF($C63="","",ROUNDUP(N($S63)*(N($I63)+N($AG63))+N($U63),0))</f>
        <v>7</v>
      </c>
      <c r="W63" s="69" t="n">
        <f aca="false">IF($C63="","",SUMIFS(発注管理!$L$6:$L$1005,発注管理!$C$6:$C$1005,'設定（最初に1回）'!$C$4,発注管理!$F$6:$F$1005,$C63,発注管理!$Q$6:$Q$1005,"発注済"))</f>
        <v>0</v>
      </c>
      <c r="X63" s="69" t="n">
        <f aca="false">IF($C63="","",MAX(0,N($V63)-N($K63)-N($W63)))</f>
        <v>0</v>
      </c>
      <c r="Y63" s="147" t="n">
        <f aca="false">IF($C63="","",IF(N($X63)&lt;=0,0,CEILING($X63/MAX(1,N($G63)),MAX(1,N($J63)))))</f>
        <v>0</v>
      </c>
      <c r="Z63" s="138" t="str">
        <f aca="false">IF($C63="","",IF(N($Y63)&gt;0,"要発注","正常"))</f>
        <v>正常</v>
      </c>
      <c r="AA63" s="71" t="n">
        <f aca="false">IF($C63="","",N($K63)*N($H63))</f>
        <v>56688</v>
      </c>
      <c r="AB63" s="66" t="str">
        <f aca="false">IF($C63="","",_xlfn.TEXTJOIN(" / ",TRUE(),IF(COUNTIF(商品マスタ!$B$6:$B$1005,$C63)=0,"マスタ未登録",""),IF(COUNTIFS(月1回_前回の在庫を貼る!$B$6:$B$10005,'設定（最初に1回）'!$C$4,月1回_前回の在庫を貼る!$I$6:$I$10005,$C63)=0,"新商品",""),IF(COUNTIFS(①今日の在庫を貼る!$B$6:$B$10005,'設定（最初に1回）'!$C$4,①今日の在庫を貼る!$I$6:$I$10005,$C63)=0,"終売候補",""),IF(N($K63)&lt;0,"在庫マイナス",""),IF(AND('設定（最初に1回）'!$C$9="PI値予測",$P63=""),"PI値未設定","")))</f>
        <v/>
      </c>
      <c r="AC63" s="71" t="n">
        <f aca="false">N($Y63)*N($H63)</f>
        <v>0</v>
      </c>
      <c r="AD63" s="66" t="str">
        <f aca="false">IF($C63="","",IFERROR(INDEX(商品マスタ!$K$6:$K$1005,MATCH($C63,商品マスタ!$B$6:$B$1005,0)),"常温"))</f>
        <v>冷凍</v>
      </c>
      <c r="AE63" s="69" t="n">
        <f aca="false">IF($C63="","",MAX(0,ROUNDUP(N($K63)/MAX(1,N($G63)),0)))</f>
        <v>48</v>
      </c>
      <c r="AF63" s="66" t="str">
        <f aca="false">IF($C63="","",IFERROR(INDEX(商品マスタ!$L$6:$L$1005,MATCH($C63,商品マスタ!$B$6:$B$1005,0)),""))</f>
        <v>冷凍品</v>
      </c>
      <c r="AG63" s="143" t="n">
        <f aca="false">IF($C63="","",IFERROR(INDEX(定数マスタ!$S$110:$S$119,MATCH($AF63,定数マスタ!$J$110:$J$119,0)),N('設定（最初に1回）'!$C$13)))</f>
        <v>2.3</v>
      </c>
      <c r="AH63" s="66" t="n">
        <f aca="false">IF(AND(N($K63)&gt;0,N($Y63)&gt;0),N($Y63),0)</f>
        <v>0</v>
      </c>
    </row>
    <row r="64" customFormat="false" ht="15" hidden="false" customHeight="false" outlineLevel="0" collapsed="false">
      <c r="B64" s="66" t="n">
        <v>59</v>
      </c>
      <c r="C64" s="66" t="str">
        <f aca="false">IFERROR(IF($B64&lt;=MAX(①今日の在庫を貼る!$U$6:$U$10005),INDEX(①今日の在庫を貼る!$I$6:$I$10005,MATCH($B64,①今日の在庫を貼る!$U$6:$U$10005,0)),INDEX(月1回_前回の在庫を貼る!$I$6:$I$10005,MATCH($B64-MAX(①今日の在庫を貼る!$U$6:$U$10005),月1回_前回の在庫を貼る!$U$6:$U$10005,0))),"")</f>
        <v>1812000009865</v>
      </c>
      <c r="D64" s="66" t="str">
        <f aca="false">IF($C64="","",IFERROR(INDEX(商品マスタ!$C$6:$C$1005,MATCH($C64,商品マスタ!$B$6:$B$1005,0)),IFERROR(INDEX(①今日の在庫を貼る!$J$6:$J$10005,MATCH($C64,①今日の在庫を貼る!$I$6:$I$10005,0)),IFERROR(INDEX(月1回_前回の在庫を貼る!$J$6:$J$10005,MATCH($C64,月1回_前回の在庫を貼る!$I$6:$I$10005,0)),""))))</f>
        <v>カラーシュガー　グリーン</v>
      </c>
      <c r="E64" s="66" t="str">
        <f aca="false">IF($C64="","",IFERROR(INDEX(商品マスタ!$D$6:$D$1005,MATCH($C64,商品マスタ!$B$6:$B$1005,0)),IFERROR(INDEX(①今日の在庫を貼る!$H$6:$H$10005,MATCH($C64,①今日の在庫を貼る!$I$6:$I$10005,0)),IFERROR(INDEX(月1回_前回の在庫を貼る!$H$6:$H$10005,MATCH($C64,月1回_前回の在庫を貼る!$I$6:$I$10005,0)),""))))</f>
        <v>調理系スイーツ</v>
      </c>
      <c r="F64" s="66" t="str">
        <f aca="false">IF($C64="","",IFERROR(INDEX(商品マスタ!$E$6:$E$1005,MATCH($C64,商品マスタ!$B$6:$B$1005,0)),IFERROR(INDEX(①今日の在庫を貼る!$E$6:$E$10005,MATCH($C64,①今日の在庫を貼る!$I$6:$I$10005,0)),IFERROR(INDEX(月1回_前回の在庫を貼る!$E$6:$E$10005,MATCH($C64,月1回_前回の在庫を貼る!$I$6:$I$10005,0)),""))))</f>
        <v>オザックス株式会社</v>
      </c>
      <c r="G64" s="69" t="n">
        <f aca="false">IF($C64="","",IFERROR(INDEX(商品マスタ!$F$6:$F$1005,MATCH($C64,商品マスタ!$B$6:$B$1005,0)),IFERROR(INDEX(①今日の在庫を貼る!$K$6:$K$10005,MATCH($C64,①今日の在庫を貼る!$I$6:$I$10005,0)),IFERROR(INDEX(月1回_前回の在庫を貼る!$K$6:$K$10005,MATCH($C64,月1回_前回の在庫を貼る!$I$6:$I$10005,0)),""))))</f>
        <v>1</v>
      </c>
      <c r="H64" s="71" t="n">
        <f aca="false">IF($C64="","",IFERROR(INDEX(商品マスタ!$G$6:$G$1005,MATCH($C64,商品マスタ!$B$6:$B$1005,0)),IFERROR(INDEX(①今日の在庫を貼る!$Q$6:$Q$10005,MATCH($C64,①今日の在庫を貼る!$I$6:$I$10005,0)),IFERROR(INDEX(月1回_前回の在庫を貼る!$Q$6:$Q$10005,MATCH($C64,月1回_前回の在庫を貼る!$I$6:$I$10005,0)),""))))</f>
        <v>1181</v>
      </c>
      <c r="I64" s="66" t="n">
        <f aca="false">IF($C64="","",IFERROR(INDEX(商品マスタ!$H$6:$H$1005,MATCH($C64,商品マスタ!$B$6:$B$1005,0)),3))</f>
        <v>7</v>
      </c>
      <c r="J64" s="66" t="n">
        <f aca="false">IF($C64="","",MAX(1,IFERROR(INDEX(商品マスタ!$I$6:$I$1005,MATCH($C64,商品マスタ!$B$6:$B$1005,0)),1)))</f>
        <v>5</v>
      </c>
      <c r="K64" s="69" t="n">
        <f aca="false">IF($C64="","",SUMIFS(①今日の在庫を貼る!$N$6:$N$10005,①今日の在庫を貼る!$B$6:$B$10005,'設定（最初に1回）'!$C$4,①今日の在庫を貼る!$I$6:$I$10005,$C64))</f>
        <v>34</v>
      </c>
      <c r="L64" s="69" t="n">
        <f aca="false">IF($C64="","",SUMIFS(月1回_前回の在庫を貼る!$N$6:$N$10005,月1回_前回の在庫を貼る!$B$6:$B$10005,'設定（最初に1回）'!$C$4,月1回_前回の在庫を貼る!$I$6:$I$10005,$C64))</f>
        <v>82</v>
      </c>
      <c r="M64" s="69" t="n">
        <f aca="false">IF($C64="","",IF(OR('設定（最初に1回）'!$C$6="",'設定（最初に1回）'!$C$7=""),0,SUMIFS(発注管理!$S$6:$S$1005,発注管理!$C$6:$C$1005,'設定（最初に1回）'!$C$4,発注管理!$F$6:$F$1005,$C64,発注管理!$R$6:$R$1005,"&gt;="&amp;'設定（最初に1回）'!$C$7,発注管理!$R$6:$R$1005,"&lt;="&amp;'設定（最初に1回）'!$C$6)))</f>
        <v>0</v>
      </c>
      <c r="N64" s="69" t="n">
        <f aca="false">IF(OR($C64="",'設定（最初に1回）'!$C$15=0),"",$L64+$M64-$K64)</f>
        <v>48</v>
      </c>
      <c r="O64" s="143" t="n">
        <f aca="false">IF(OR($N64="",'設定（最初に1回）'!$C$8="",'設定（最初に1回）'!$C$8&lt;=0),"",MAX(0,$N64)/'設定（最初に1回）'!$C$8)</f>
        <v>0.786885245901639</v>
      </c>
      <c r="P64" s="143" t="n">
        <f aca="false">IF($C64="","",IFERROR(INDEX(商品マスタ!$M$6:$N$1005,MATCH($C64,商品マスタ!$B$6:$B$1005,0),MATCH("PI値 "&amp;'設定（最初に1回）'!$C$11,商品マスタ!$M$5:$N$5,0)),""))</f>
        <v>1.7</v>
      </c>
      <c r="Q64" s="143" t="n">
        <f aca="false">IF(OR($C64="",$P64="",$P64=0,(N($I64)+N($AG64))&lt;=0),"",IFERROR(SUMIFS(随時_動員を入れる!$G$8:$G$97,随時_動員を入れる!$B$8:$B$97,"&gt;="&amp;'設定（最初に1回）'!$C$6,随時_動員を入れる!$B$8:$B$97,"&lt;="&amp;'設定（最初に1回）'!$C$6+(N($I64)+N($AG64))-1)/(N($I64)+N($AG64)),0)*$P64/100)</f>
        <v>63.1943010752688</v>
      </c>
      <c r="R64" s="69" t="n">
        <f aca="false">IF($C64="","",SUMIFS(①今日の在庫を貼る!$O$6:$O$10005,①今日の在庫を貼る!$B$6:$B$10005,'設定（最初に1回）'!$C$4,①今日の在庫を貼る!$I$6:$I$10005,$C64))</f>
        <v>0</v>
      </c>
      <c r="S64" s="143" t="n">
        <f aca="false">IF($C64="","",IF('設定（最初に1回）'!$C$9="実績消費",N($O64),IF('設定（最初に1回）'!$C$9="PI値予測",N($Q64),MAX(N($O64),N($Q64)))))</f>
        <v>0.786885245901639</v>
      </c>
      <c r="T64" s="67" t="n">
        <f aca="false">IF(OR($S64="",$S64&lt;=0),"",$K64/$S64)</f>
        <v>43.2083333333333</v>
      </c>
      <c r="U64" s="69" t="n">
        <f aca="false">IF($S64="","",ROUNDUP(N($S64)*'設定（最初に1回）'!$C$12,0))</f>
        <v>4</v>
      </c>
      <c r="V64" s="69" t="n">
        <f aca="false">IF($C64="","",ROUNDUP(N($S64)*(N($I64)+N($AG64))+N($U64),0))</f>
        <v>12</v>
      </c>
      <c r="W64" s="69" t="n">
        <f aca="false">IF($C64="","",SUMIFS(発注管理!$L$6:$L$1005,発注管理!$C$6:$C$1005,'設定（最初に1回）'!$C$4,発注管理!$F$6:$F$1005,$C64,発注管理!$Q$6:$Q$1005,"発注済"))</f>
        <v>0</v>
      </c>
      <c r="X64" s="69" t="n">
        <f aca="false">IF($C64="","",MAX(0,N($V64)-N($K64)-N($W64)))</f>
        <v>0</v>
      </c>
      <c r="Y64" s="147" t="n">
        <f aca="false">IF($C64="","",IF(N($X64)&lt;=0,0,CEILING($X64/MAX(1,N($G64)),MAX(1,N($J64)))))</f>
        <v>0</v>
      </c>
      <c r="Z64" s="138" t="str">
        <f aca="false">IF($C64="","",IF(N($Y64)&gt;0,"要発注","正常"))</f>
        <v>正常</v>
      </c>
      <c r="AA64" s="71" t="n">
        <f aca="false">IF($C64="","",N($K64)*N($H64))</f>
        <v>40154</v>
      </c>
      <c r="AB64" s="66" t="str">
        <f aca="false">IF($C64="","",_xlfn.TEXTJOIN(" / ",TRUE(),IF(COUNTIF(商品マスタ!$B$6:$B$1005,$C64)=0,"マスタ未登録",""),IF(COUNTIFS(月1回_前回の在庫を貼る!$B$6:$B$10005,'設定（最初に1回）'!$C$4,月1回_前回の在庫を貼る!$I$6:$I$10005,$C64)=0,"新商品",""),IF(COUNTIFS(①今日の在庫を貼る!$B$6:$B$10005,'設定（最初に1回）'!$C$4,①今日の在庫を貼る!$I$6:$I$10005,$C64)=0,"終売候補",""),IF(N($K64)&lt;0,"在庫マイナス",""),IF(AND('設定（最初に1回）'!$C$9="PI値予測",$P64=""),"PI値未設定","")))</f>
        <v/>
      </c>
      <c r="AC64" s="71" t="n">
        <f aca="false">N($Y64)*N($H64)</f>
        <v>0</v>
      </c>
      <c r="AD64" s="66" t="str">
        <f aca="false">IF($C64="","",IFERROR(INDEX(商品マスタ!$K$6:$K$1005,MATCH($C64,商品マスタ!$B$6:$B$1005,0)),"常温"))</f>
        <v>冷凍</v>
      </c>
      <c r="AE64" s="69" t="n">
        <f aca="false">IF($C64="","",MAX(0,ROUNDUP(N($K64)/MAX(1,N($G64)),0)))</f>
        <v>34</v>
      </c>
      <c r="AF64" s="66" t="str">
        <f aca="false">IF($C64="","",IFERROR(INDEX(商品マスタ!$L$6:$L$1005,MATCH($C64,商品マスタ!$B$6:$B$1005,0)),""))</f>
        <v>冷凍品</v>
      </c>
      <c r="AG64" s="143" t="n">
        <f aca="false">IF($C64="","",IFERROR(INDEX(定数マスタ!$S$110:$S$119,MATCH($AF64,定数マスタ!$J$110:$J$119,0)),N('設定（最初に1回）'!$C$13)))</f>
        <v>2.3</v>
      </c>
      <c r="AH64" s="66" t="n">
        <f aca="false">IF(AND(N($K64)&gt;0,N($Y64)&gt;0),N($Y64),0)</f>
        <v>0</v>
      </c>
    </row>
    <row r="65" customFormat="false" ht="15" hidden="false" customHeight="false" outlineLevel="0" collapsed="false">
      <c r="B65" s="66" t="n">
        <v>60</v>
      </c>
      <c r="C65" s="66" t="str">
        <f aca="false">IFERROR(IF($B65&lt;=MAX(①今日の在庫を貼る!$U$6:$U$10005),INDEX(①今日の在庫を貼る!$I$6:$I$10005,MATCH($B65,①今日の在庫を貼る!$U$6:$U$10005,0)),INDEX(月1回_前回の在庫を貼る!$I$6:$I$10005,MATCH($B65-MAX(①今日の在庫を貼る!$U$6:$U$10005),月1回_前回の在庫を貼る!$U$6:$U$10005,0))),"")</f>
        <v>1812000009872</v>
      </c>
      <c r="D65" s="66" t="str">
        <f aca="false">IF($C65="","",IFERROR(INDEX(商品マスタ!$C$6:$C$1005,MATCH($C65,商品マスタ!$B$6:$B$1005,0)),IFERROR(INDEX(①今日の在庫を貼る!$J$6:$J$10005,MATCH($C65,①今日の在庫を貼る!$I$6:$I$10005,0)),IFERROR(INDEX(月1回_前回の在庫を貼る!$J$6:$J$10005,MATCH($C65,月1回_前回の在庫を貼る!$I$6:$I$10005,0)),""))))</f>
        <v>カラーシュガー　イエロー</v>
      </c>
      <c r="E65" s="66" t="str">
        <f aca="false">IF($C65="","",IFERROR(INDEX(商品マスタ!$D$6:$D$1005,MATCH($C65,商品マスタ!$B$6:$B$1005,0)),IFERROR(INDEX(①今日の在庫を貼る!$H$6:$H$10005,MATCH($C65,①今日の在庫を貼る!$I$6:$I$10005,0)),IFERROR(INDEX(月1回_前回の在庫を貼る!$H$6:$H$10005,MATCH($C65,月1回_前回の在庫を貼る!$I$6:$I$10005,0)),""))))</f>
        <v>調理系スイーツ</v>
      </c>
      <c r="F65" s="66" t="str">
        <f aca="false">IF($C65="","",IFERROR(INDEX(商品マスタ!$E$6:$E$1005,MATCH($C65,商品マスタ!$B$6:$B$1005,0)),IFERROR(INDEX(①今日の在庫を貼る!$E$6:$E$10005,MATCH($C65,①今日の在庫を貼る!$I$6:$I$10005,0)),IFERROR(INDEX(月1回_前回の在庫を貼る!$E$6:$E$10005,MATCH($C65,月1回_前回の在庫を貼る!$I$6:$I$10005,0)),""))))</f>
        <v>オザックス株式会社</v>
      </c>
      <c r="G65" s="69" t="n">
        <f aca="false">IF($C65="","",IFERROR(INDEX(商品マスタ!$F$6:$F$1005,MATCH($C65,商品マスタ!$B$6:$B$1005,0)),IFERROR(INDEX(①今日の在庫を貼る!$K$6:$K$10005,MATCH($C65,①今日の在庫を貼る!$I$6:$I$10005,0)),IFERROR(INDEX(月1回_前回の在庫を貼る!$K$6:$K$10005,MATCH($C65,月1回_前回の在庫を貼る!$I$6:$I$10005,0)),""))))</f>
        <v>1</v>
      </c>
      <c r="H65" s="71" t="n">
        <f aca="false">IF($C65="","",IFERROR(INDEX(商品マスタ!$G$6:$G$1005,MATCH($C65,商品マスタ!$B$6:$B$1005,0)),IFERROR(INDEX(①今日の在庫を貼る!$Q$6:$Q$10005,MATCH($C65,①今日の在庫を貼る!$I$6:$I$10005,0)),IFERROR(INDEX(月1回_前回の在庫を貼る!$Q$6:$Q$10005,MATCH($C65,月1回_前回の在庫を貼る!$I$6:$I$10005,0)),""))))</f>
        <v>1181</v>
      </c>
      <c r="I65" s="66" t="n">
        <f aca="false">IF($C65="","",IFERROR(INDEX(商品マスタ!$H$6:$H$1005,MATCH($C65,商品マスタ!$B$6:$B$1005,0)),3))</f>
        <v>3</v>
      </c>
      <c r="J65" s="66" t="n">
        <f aca="false">IF($C65="","",MAX(1,IFERROR(INDEX(商品マスタ!$I$6:$I$1005,MATCH($C65,商品マスタ!$B$6:$B$1005,0)),1)))</f>
        <v>1</v>
      </c>
      <c r="K65" s="69" t="n">
        <f aca="false">IF($C65="","",SUMIFS(①今日の在庫を貼る!$N$6:$N$10005,①今日の在庫を貼る!$B$6:$B$10005,'設定（最初に1回）'!$C$4,①今日の在庫を貼る!$I$6:$I$10005,$C65))</f>
        <v>2</v>
      </c>
      <c r="L65" s="69" t="n">
        <f aca="false">IF($C65="","",SUMIFS(月1回_前回の在庫を貼る!$N$6:$N$10005,月1回_前回の在庫を貼る!$B$6:$B$10005,'設定（最初に1回）'!$C$4,月1回_前回の在庫を貼る!$I$6:$I$10005,$C65))</f>
        <v>8</v>
      </c>
      <c r="M65" s="69" t="n">
        <f aca="false">IF($C65="","",IF(OR('設定（最初に1回）'!$C$6="",'設定（最初に1回）'!$C$7=""),0,SUMIFS(発注管理!$S$6:$S$1005,発注管理!$C$6:$C$1005,'設定（最初に1回）'!$C$4,発注管理!$F$6:$F$1005,$C65,発注管理!$R$6:$R$1005,"&gt;="&amp;'設定（最初に1回）'!$C$7,発注管理!$R$6:$R$1005,"&lt;="&amp;'設定（最初に1回）'!$C$6)))</f>
        <v>0</v>
      </c>
      <c r="N65" s="69" t="n">
        <f aca="false">IF(OR($C65="",'設定（最初に1回）'!$C$15=0),"",$L65+$M65-$K65)</f>
        <v>6</v>
      </c>
      <c r="O65" s="143" t="n">
        <f aca="false">IF(OR($N65="",'設定（最初に1回）'!$C$8="",'設定（最初に1回）'!$C$8&lt;=0),"",MAX(0,$N65)/'設定（最初に1回）'!$C$8)</f>
        <v>0.0983606557377049</v>
      </c>
      <c r="P65" s="143" t="n">
        <f aca="false">IF($C65="","",IFERROR(INDEX(商品マスタ!$M$6:$N$1005,MATCH($C65,商品マスタ!$B$6:$B$1005,0),MATCH("PI値 "&amp;'設定（最初に1回）'!$C$11,商品マスタ!$M$5:$N$5,0)),""))</f>
        <v>1.3</v>
      </c>
      <c r="Q65" s="143" t="n">
        <f aca="false">IF(OR($C65="",$P65="",$P65=0,(N($I65)+N($AG65))&lt;=0),"",IFERROR(SUMIFS(随時_動員を入れる!$G$8:$G$97,随時_動員を入れる!$B$8:$B$97,"&gt;="&amp;'設定（最初に1回）'!$C$6,随時_動員を入れる!$B$8:$B$97,"&lt;="&amp;'設定（最初に1回）'!$C$6+(N($I65)+N($AG65))-1)/(N($I65)+N($AG65)),0)*$P65/100)</f>
        <v>68.7969811320755</v>
      </c>
      <c r="R65" s="69" t="n">
        <f aca="false">IF($C65="","",SUMIFS(①今日の在庫を貼る!$O$6:$O$10005,①今日の在庫を貼る!$B$6:$B$10005,'設定（最初に1回）'!$C$4,①今日の在庫を貼る!$I$6:$I$10005,$C65))</f>
        <v>0</v>
      </c>
      <c r="S65" s="143" t="n">
        <f aca="false">IF($C65="","",IF('設定（最初に1回）'!$C$9="実績消費",N($O65),IF('設定（最初に1回）'!$C$9="PI値予測",N($Q65),MAX(N($O65),N($Q65)))))</f>
        <v>0.0983606557377049</v>
      </c>
      <c r="T65" s="67" t="n">
        <f aca="false">IF(OR($S65="",$S65&lt;=0),"",$K65/$S65)</f>
        <v>20.3333333333333</v>
      </c>
      <c r="U65" s="69" t="n">
        <f aca="false">IF($S65="","",ROUNDUP(N($S65)*'設定（最初に1回）'!$C$12,0))</f>
        <v>1</v>
      </c>
      <c r="V65" s="69" t="n">
        <f aca="false">IF($C65="","",ROUNDUP(N($S65)*(N($I65)+N($AG65))+N($U65),0))</f>
        <v>2</v>
      </c>
      <c r="W65" s="69" t="n">
        <f aca="false">IF($C65="","",SUMIFS(発注管理!$L$6:$L$1005,発注管理!$C$6:$C$1005,'設定（最初に1回）'!$C$4,発注管理!$F$6:$F$1005,$C65,発注管理!$Q$6:$Q$1005,"発注済"))</f>
        <v>0</v>
      </c>
      <c r="X65" s="69" t="n">
        <f aca="false">IF($C65="","",MAX(0,N($V65)-N($K65)-N($W65)))</f>
        <v>0</v>
      </c>
      <c r="Y65" s="147" t="n">
        <f aca="false">IF($C65="","",IF(N($X65)&lt;=0,0,CEILING($X65/MAX(1,N($G65)),MAX(1,N($J65)))))</f>
        <v>0</v>
      </c>
      <c r="Z65" s="138" t="str">
        <f aca="false">IF($C65="","",IF(N($Y65)&gt;0,"要発注","正常"))</f>
        <v>正常</v>
      </c>
      <c r="AA65" s="71" t="n">
        <f aca="false">IF($C65="","",N($K65)*N($H65))</f>
        <v>2362</v>
      </c>
      <c r="AB65" s="66" t="str">
        <f aca="false">IF($C65="","",_xlfn.TEXTJOIN(" / ",TRUE(),IF(COUNTIF(商品マスタ!$B$6:$B$1005,$C65)=0,"マスタ未登録",""),IF(COUNTIFS(月1回_前回の在庫を貼る!$B$6:$B$10005,'設定（最初に1回）'!$C$4,月1回_前回の在庫を貼る!$I$6:$I$10005,$C65)=0,"新商品",""),IF(COUNTIFS(①今日の在庫を貼る!$B$6:$B$10005,'設定（最初に1回）'!$C$4,①今日の在庫を貼る!$I$6:$I$10005,$C65)=0,"終売候補",""),IF(N($K65)&lt;0,"在庫マイナス",""),IF(AND('設定（最初に1回）'!$C$9="PI値予測",$P65=""),"PI値未設定","")))</f>
        <v/>
      </c>
      <c r="AC65" s="71" t="n">
        <f aca="false">N($Y65)*N($H65)</f>
        <v>0</v>
      </c>
      <c r="AD65" s="66" t="str">
        <f aca="false">IF($C65="","",IFERROR(INDEX(商品マスタ!$K$6:$K$1005,MATCH($C65,商品マスタ!$B$6:$B$1005,0)),"常温"))</f>
        <v>冷凍</v>
      </c>
      <c r="AE65" s="69" t="n">
        <f aca="false">IF($C65="","",MAX(0,ROUNDUP(N($K65)/MAX(1,N($G65)),0)))</f>
        <v>2</v>
      </c>
      <c r="AF65" s="66" t="str">
        <f aca="false">IF($C65="","",IFERROR(INDEX(商品マスタ!$L$6:$L$1005,MATCH($C65,商品マスタ!$B$6:$B$1005,0)),""))</f>
        <v>冷凍品</v>
      </c>
      <c r="AG65" s="143" t="n">
        <f aca="false">IF($C65="","",IFERROR(INDEX(定数マスタ!$S$110:$S$119,MATCH($AF65,定数マスタ!$J$110:$J$119,0)),N('設定（最初に1回）'!$C$13)))</f>
        <v>2.3</v>
      </c>
      <c r="AH65" s="66" t="n">
        <f aca="false">IF(AND(N($K65)&gt;0,N($Y65)&gt;0),N($Y65),0)</f>
        <v>0</v>
      </c>
    </row>
    <row r="66" customFormat="false" ht="15" hidden="false" customHeight="false" outlineLevel="0" collapsed="false">
      <c r="B66" s="66" t="n">
        <v>61</v>
      </c>
      <c r="C66" s="66" t="str">
        <f aca="false">IFERROR(IF($B66&lt;=MAX(①今日の在庫を貼る!$U$6:$U$10005),INDEX(①今日の在庫を貼る!$I$6:$I$10005,MATCH($B66,①今日の在庫を貼る!$U$6:$U$10005,0)),INDEX(月1回_前回の在庫を貼る!$I$6:$I$10005,MATCH($B66-MAX(①今日の在庫を貼る!$U$6:$U$10005),月1回_前回の在庫を貼る!$U$6:$U$10005,0))),"")</f>
        <v>1812000009889</v>
      </c>
      <c r="D66" s="66" t="str">
        <f aca="false">IF($C66="","",IFERROR(INDEX(商品マスタ!$C$6:$C$1005,MATCH($C66,商品マスタ!$B$6:$B$1005,0)),IFERROR(INDEX(①今日の在庫を貼る!$J$6:$J$10005,MATCH($C66,①今日の在庫を貼る!$I$6:$I$10005,0)),IFERROR(INDEX(月1回_前回の在庫を貼る!$J$6:$J$10005,MATCH($C66,月1回_前回の在庫を貼る!$I$6:$I$10005,0)),""))))</f>
        <v>カラーシュガー　オレンジ</v>
      </c>
      <c r="E66" s="66" t="str">
        <f aca="false">IF($C66="","",IFERROR(INDEX(商品マスタ!$D$6:$D$1005,MATCH($C66,商品マスタ!$B$6:$B$1005,0)),IFERROR(INDEX(①今日の在庫を貼る!$H$6:$H$10005,MATCH($C66,①今日の在庫を貼る!$I$6:$I$10005,0)),IFERROR(INDEX(月1回_前回の在庫を貼る!$H$6:$H$10005,MATCH($C66,月1回_前回の在庫を貼る!$I$6:$I$10005,0)),""))))</f>
        <v>調理系スイーツ</v>
      </c>
      <c r="F66" s="66" t="str">
        <f aca="false">IF($C66="","",IFERROR(INDEX(商品マスタ!$E$6:$E$1005,MATCH($C66,商品マスタ!$B$6:$B$1005,0)),IFERROR(INDEX(①今日の在庫を貼る!$E$6:$E$10005,MATCH($C66,①今日の在庫を貼る!$I$6:$I$10005,0)),IFERROR(INDEX(月1回_前回の在庫を貼る!$E$6:$E$10005,MATCH($C66,月1回_前回の在庫を貼る!$I$6:$I$10005,0)),""))))</f>
        <v>オザックス株式会社</v>
      </c>
      <c r="G66" s="69" t="n">
        <f aca="false">IF($C66="","",IFERROR(INDEX(商品マスタ!$F$6:$F$1005,MATCH($C66,商品マスタ!$B$6:$B$1005,0)),IFERROR(INDEX(①今日の在庫を貼る!$K$6:$K$10005,MATCH($C66,①今日の在庫を貼る!$I$6:$I$10005,0)),IFERROR(INDEX(月1回_前回の在庫を貼る!$K$6:$K$10005,MATCH($C66,月1回_前回の在庫を貼る!$I$6:$I$10005,0)),""))))</f>
        <v>1</v>
      </c>
      <c r="H66" s="71" t="n">
        <f aca="false">IF($C66="","",IFERROR(INDEX(商品マスタ!$G$6:$G$1005,MATCH($C66,商品マスタ!$B$6:$B$1005,0)),IFERROR(INDEX(①今日の在庫を貼る!$Q$6:$Q$10005,MATCH($C66,①今日の在庫を貼る!$I$6:$I$10005,0)),IFERROR(INDEX(月1回_前回の在庫を貼る!$Q$6:$Q$10005,MATCH($C66,月1回_前回の在庫を貼る!$I$6:$I$10005,0)),""))))</f>
        <v>1181</v>
      </c>
      <c r="I66" s="66" t="n">
        <f aca="false">IF($C66="","",IFERROR(INDEX(商品マスタ!$H$6:$H$1005,MATCH($C66,商品マスタ!$B$6:$B$1005,0)),3))</f>
        <v>5</v>
      </c>
      <c r="J66" s="66" t="n">
        <f aca="false">IF($C66="","",MAX(1,IFERROR(INDEX(商品マスタ!$I$6:$I$1005,MATCH($C66,商品マスタ!$B$6:$B$1005,0)),1)))</f>
        <v>1</v>
      </c>
      <c r="K66" s="69" t="n">
        <f aca="false">IF($C66="","",SUMIFS(①今日の在庫を貼る!$N$6:$N$10005,①今日の在庫を貼る!$B$6:$B$10005,'設定（最初に1回）'!$C$4,①今日の在庫を貼る!$I$6:$I$10005,$C66))</f>
        <v>0</v>
      </c>
      <c r="L66" s="69" t="n">
        <f aca="false">IF($C66="","",SUMIFS(月1回_前回の在庫を貼る!$N$6:$N$10005,月1回_前回の在庫を貼る!$B$6:$B$10005,'設定（最初に1回）'!$C$4,月1回_前回の在庫を貼る!$I$6:$I$10005,$C66))</f>
        <v>5</v>
      </c>
      <c r="M66" s="69" t="n">
        <f aca="false">IF($C66="","",IF(OR('設定（最初に1回）'!$C$6="",'設定（最初に1回）'!$C$7=""),0,SUMIFS(発注管理!$S$6:$S$1005,発注管理!$C$6:$C$1005,'設定（最初に1回）'!$C$4,発注管理!$F$6:$F$1005,$C66,発注管理!$R$6:$R$1005,"&gt;="&amp;'設定（最初に1回）'!$C$7,発注管理!$R$6:$R$1005,"&lt;="&amp;'設定（最初に1回）'!$C$6)))</f>
        <v>0</v>
      </c>
      <c r="N66" s="69" t="n">
        <f aca="false">IF(OR($C66="",'設定（最初に1回）'!$C$15=0),"",$L66+$M66-$K66)</f>
        <v>5</v>
      </c>
      <c r="O66" s="143" t="n">
        <f aca="false">IF(OR($N66="",'設定（最初に1回）'!$C$8="",'設定（最初に1回）'!$C$8&lt;=0),"",MAX(0,$N66)/'設定（最初に1回）'!$C$8)</f>
        <v>0.0819672131147541</v>
      </c>
      <c r="P66" s="143" t="n">
        <f aca="false">IF($C66="","",IFERROR(INDEX(商品マスタ!$M$6:$N$1005,MATCH($C66,商品マスタ!$B$6:$B$1005,0),MATCH("PI値 "&amp;'設定（最初に1回）'!$C$11,商品マスタ!$M$5:$N$5,0)),""))</f>
        <v>2.2</v>
      </c>
      <c r="Q66" s="143" t="n">
        <f aca="false">IF(OR($C66="",$P66="",$P66=0,(N($I66)+N($AG66))&lt;=0),"",IFERROR(SUMIFS(随時_動員を入れる!$G$8:$G$97,随時_動員を入れる!$B$8:$B$97,"&gt;="&amp;'設定（最初に1回）'!$C$6,随時_動員を入れる!$B$8:$B$97,"&lt;="&amp;'設定（最初に1回）'!$C$6+(N($I66)+N($AG66))-1)/(N($I66)+N($AG66)),0)*$P66/100)</f>
        <v>93.1624657534247</v>
      </c>
      <c r="R66" s="69" t="n">
        <f aca="false">IF($C66="","",SUMIFS(①今日の在庫を貼る!$O$6:$O$10005,①今日の在庫を貼る!$B$6:$B$10005,'設定（最初に1回）'!$C$4,①今日の在庫を貼る!$I$6:$I$10005,$C66))</f>
        <v>0</v>
      </c>
      <c r="S66" s="143" t="n">
        <f aca="false">IF($C66="","",IF('設定（最初に1回）'!$C$9="実績消費",N($O66),IF('設定（最初に1回）'!$C$9="PI値予測",N($Q66),MAX(N($O66),N($Q66)))))</f>
        <v>0.0819672131147541</v>
      </c>
      <c r="T66" s="67" t="n">
        <f aca="false">IF(OR($S66="",$S66&lt;=0),"",$K66/$S66)</f>
        <v>0</v>
      </c>
      <c r="U66" s="69" t="n">
        <f aca="false">IF($S66="","",ROUNDUP(N($S66)*'設定（最初に1回）'!$C$12,0))</f>
        <v>1</v>
      </c>
      <c r="V66" s="69" t="n">
        <f aca="false">IF($C66="","",ROUNDUP(N($S66)*(N($I66)+N($AG66))+N($U66),0))</f>
        <v>2</v>
      </c>
      <c r="W66" s="69" t="n">
        <f aca="false">IF($C66="","",SUMIFS(発注管理!$L$6:$L$1005,発注管理!$C$6:$C$1005,'設定（最初に1回）'!$C$4,発注管理!$F$6:$F$1005,$C66,発注管理!$Q$6:$Q$1005,"発注済"))</f>
        <v>0</v>
      </c>
      <c r="X66" s="69" t="n">
        <f aca="false">IF($C66="","",MAX(0,N($V66)-N($K66)-N($W66)))</f>
        <v>2</v>
      </c>
      <c r="Y66" s="147" t="n">
        <f aca="false">IF($C66="","",IF(N($X66)&lt;=0,0,CEILING($X66/MAX(1,N($G66)),MAX(1,N($J66)))))</f>
        <v>2</v>
      </c>
      <c r="Z66" s="138" t="str">
        <f aca="false">IF($C66="","",IF(N($Y66)&gt;0,"要発注","正常"))</f>
        <v>要発注</v>
      </c>
      <c r="AA66" s="71" t="n">
        <f aca="false">IF($C66="","",N($K66)*N($H66))</f>
        <v>0</v>
      </c>
      <c r="AB66" s="66" t="str">
        <f aca="false">IF($C66="","",_xlfn.TEXTJOIN(" / ",TRUE(),IF(COUNTIF(商品マスタ!$B$6:$B$1005,$C66)=0,"マスタ未登録",""),IF(COUNTIFS(月1回_前回の在庫を貼る!$B$6:$B$10005,'設定（最初に1回）'!$C$4,月1回_前回の在庫を貼る!$I$6:$I$10005,$C66)=0,"新商品",""),IF(COUNTIFS(①今日の在庫を貼る!$B$6:$B$10005,'設定（最初に1回）'!$C$4,①今日の在庫を貼る!$I$6:$I$10005,$C66)=0,"終売候補",""),IF(N($K66)&lt;0,"在庫マイナス",""),IF(AND('設定（最初に1回）'!$C$9="PI値予測",$P66=""),"PI値未設定","")))</f>
        <v/>
      </c>
      <c r="AC66" s="71" t="n">
        <f aca="false">N($Y66)*N($H66)</f>
        <v>2362</v>
      </c>
      <c r="AD66" s="66" t="str">
        <f aca="false">IF($C66="","",IFERROR(INDEX(商品マスタ!$K$6:$K$1005,MATCH($C66,商品マスタ!$B$6:$B$1005,0)),"常温"))</f>
        <v>冷凍</v>
      </c>
      <c r="AE66" s="69" t="n">
        <f aca="false">IF($C66="","",MAX(0,ROUNDUP(N($K66)/MAX(1,N($G66)),0)))</f>
        <v>0</v>
      </c>
      <c r="AF66" s="66" t="str">
        <f aca="false">IF($C66="","",IFERROR(INDEX(商品マスタ!$L$6:$L$1005,MATCH($C66,商品マスタ!$B$6:$B$1005,0)),""))</f>
        <v>冷凍品</v>
      </c>
      <c r="AG66" s="143" t="n">
        <f aca="false">IF($C66="","",IFERROR(INDEX(定数マスタ!$S$110:$S$119,MATCH($AF66,定数マスタ!$J$110:$J$119,0)),N('設定（最初に1回）'!$C$13)))</f>
        <v>2.3</v>
      </c>
      <c r="AH66" s="66" t="n">
        <f aca="false">IF(AND(N($K66)&gt;0,N($Y66)&gt;0),N($Y66),0)</f>
        <v>0</v>
      </c>
    </row>
    <row r="67" customFormat="false" ht="15" hidden="false" customHeight="false" outlineLevel="0" collapsed="false">
      <c r="B67" s="66" t="n">
        <v>62</v>
      </c>
      <c r="C67" s="66" t="str">
        <f aca="false">IFERROR(IF($B67&lt;=MAX(①今日の在庫を貼る!$U$6:$U$10005),INDEX(①今日の在庫を貼る!$I$6:$I$10005,MATCH($B67,①今日の在庫を貼る!$U$6:$U$10005,0)),INDEX(月1回_前回の在庫を貼る!$I$6:$I$10005,MATCH($B67-MAX(①今日の在庫を貼る!$U$6:$U$10005),月1回_前回の在庫を貼る!$U$6:$U$10005,0))),"")</f>
        <v>1812000010175</v>
      </c>
      <c r="D67" s="66" t="str">
        <f aca="false">IF($C67="","",IFERROR(INDEX(商品マスタ!$C$6:$C$1005,MATCH($C67,商品マスタ!$B$6:$B$1005,0)),IFERROR(INDEX(①今日の在庫を貼る!$J$6:$J$10005,MATCH($C67,①今日の在庫を貼る!$I$6:$I$10005,0)),IFERROR(INDEX(月1回_前回の在庫を貼る!$J$6:$J$10005,MATCH($C67,月1回_前回の在庫を貼る!$I$6:$I$10005,0)),""))))</f>
        <v>新シナモンシュガー</v>
      </c>
      <c r="E67" s="66" t="str">
        <f aca="false">IF($C67="","",IFERROR(INDEX(商品マスタ!$D$6:$D$1005,MATCH($C67,商品マスタ!$B$6:$B$1005,0)),IFERROR(INDEX(①今日の在庫を貼る!$H$6:$H$10005,MATCH($C67,①今日の在庫を貼る!$I$6:$I$10005,0)),IFERROR(INDEX(月1回_前回の在庫を貼る!$H$6:$H$10005,MATCH($C67,月1回_前回の在庫を貼る!$I$6:$I$10005,0)),""))))</f>
        <v>調理系スイーツ</v>
      </c>
      <c r="F67" s="66" t="str">
        <f aca="false">IF($C67="","",IFERROR(INDEX(商品マスタ!$E$6:$E$1005,MATCH($C67,商品マスタ!$B$6:$B$1005,0)),IFERROR(INDEX(①今日の在庫を貼る!$E$6:$E$10005,MATCH($C67,①今日の在庫を貼る!$I$6:$I$10005,0)),IFERROR(INDEX(月1回_前回の在庫を貼る!$E$6:$E$10005,MATCH($C67,月1回_前回の在庫を貼る!$I$6:$I$10005,0)),""))))</f>
        <v>オザックス株式会社</v>
      </c>
      <c r="G67" s="69" t="n">
        <f aca="false">IF($C67="","",IFERROR(INDEX(商品マスタ!$F$6:$F$1005,MATCH($C67,商品マスタ!$B$6:$B$1005,0)),IFERROR(INDEX(①今日の在庫を貼る!$K$6:$K$10005,MATCH($C67,①今日の在庫を貼る!$I$6:$I$10005,0)),IFERROR(INDEX(月1回_前回の在庫を貼る!$K$6:$K$10005,MATCH($C67,月1回_前回の在庫を貼る!$I$6:$I$10005,0)),""))))</f>
        <v>1</v>
      </c>
      <c r="H67" s="71" t="n">
        <f aca="false">IF($C67="","",IFERROR(INDEX(商品マスタ!$G$6:$G$1005,MATCH($C67,商品マスタ!$B$6:$B$1005,0)),IFERROR(INDEX(①今日の在庫を貼る!$Q$6:$Q$10005,MATCH($C67,①今日の在庫を貼る!$I$6:$I$10005,0)),IFERROR(INDEX(月1回_前回の在庫を貼る!$Q$6:$Q$10005,MATCH($C67,月1回_前回の在庫を貼る!$I$6:$I$10005,0)),""))))</f>
        <v>730</v>
      </c>
      <c r="I67" s="66" t="n">
        <f aca="false">IF($C67="","",IFERROR(INDEX(商品マスタ!$H$6:$H$1005,MATCH($C67,商品マスタ!$B$6:$B$1005,0)),3))</f>
        <v>7</v>
      </c>
      <c r="J67" s="66" t="n">
        <f aca="false">IF($C67="","",MAX(1,IFERROR(INDEX(商品マスタ!$I$6:$I$1005,MATCH($C67,商品マスタ!$B$6:$B$1005,0)),1)))</f>
        <v>1</v>
      </c>
      <c r="K67" s="69" t="n">
        <f aca="false">IF($C67="","",SUMIFS(①今日の在庫を貼る!$N$6:$N$10005,①今日の在庫を貼る!$B$6:$B$10005,'設定（最初に1回）'!$C$4,①今日の在庫を貼る!$I$6:$I$10005,$C67))</f>
        <v>73</v>
      </c>
      <c r="L67" s="69" t="n">
        <f aca="false">IF($C67="","",SUMIFS(月1回_前回の在庫を貼る!$N$6:$N$10005,月1回_前回の在庫を貼る!$B$6:$B$10005,'設定（最初に1回）'!$C$4,月1回_前回の在庫を貼る!$I$6:$I$10005,$C67))</f>
        <v>148</v>
      </c>
      <c r="M67" s="69" t="n">
        <f aca="false">IF($C67="","",IF(OR('設定（最初に1回）'!$C$6="",'設定（最初に1回）'!$C$7=""),0,SUMIFS(発注管理!$S$6:$S$1005,発注管理!$C$6:$C$1005,'設定（最初に1回）'!$C$4,発注管理!$F$6:$F$1005,$C67,発注管理!$R$6:$R$1005,"&gt;="&amp;'設定（最初に1回）'!$C$7,発注管理!$R$6:$R$1005,"&lt;="&amp;'設定（最初に1回）'!$C$6)))</f>
        <v>0</v>
      </c>
      <c r="N67" s="69" t="n">
        <f aca="false">IF(OR($C67="",'設定（最初に1回）'!$C$15=0),"",$L67+$M67-$K67)</f>
        <v>75</v>
      </c>
      <c r="O67" s="143" t="n">
        <f aca="false">IF(OR($N67="",'設定（最初に1回）'!$C$8="",'設定（最初に1回）'!$C$8&lt;=0),"",MAX(0,$N67)/'設定（最初に1回）'!$C$8)</f>
        <v>1.22950819672131</v>
      </c>
      <c r="P67" s="143" t="n">
        <f aca="false">IF($C67="","",IFERROR(INDEX(商品マスタ!$M$6:$N$1005,MATCH($C67,商品マスタ!$B$6:$B$1005,0),MATCH("PI値 "&amp;'設定（最初に1回）'!$C$11,商品マスタ!$M$5:$N$5,0)),""))</f>
        <v>2.1</v>
      </c>
      <c r="Q67" s="143" t="n">
        <f aca="false">IF(OR($C67="",$P67="",$P67=0,(N($I67)+N($AG67))&lt;=0),"",IFERROR(SUMIFS(随時_動員を入れる!$G$8:$G$97,随時_動員を入れる!$B$8:$B$97,"&gt;="&amp;'設定（最初に1回）'!$C$6,随時_動員を入れる!$B$8:$B$97,"&lt;="&amp;'設定（最初に1回）'!$C$6+(N($I67)+N($AG67))-1)/(N($I67)+N($AG67)),0)*$P67/100)</f>
        <v>78.0635483870968</v>
      </c>
      <c r="R67" s="69" t="n">
        <f aca="false">IF($C67="","",SUMIFS(①今日の在庫を貼る!$O$6:$O$10005,①今日の在庫を貼る!$B$6:$B$10005,'設定（最初に1回）'!$C$4,①今日の在庫を貼る!$I$6:$I$10005,$C67))</f>
        <v>0</v>
      </c>
      <c r="S67" s="143" t="n">
        <f aca="false">IF($C67="","",IF('設定（最初に1回）'!$C$9="実績消費",N($O67),IF('設定（最初に1回）'!$C$9="PI値予測",N($Q67),MAX(N($O67),N($Q67)))))</f>
        <v>1.22950819672131</v>
      </c>
      <c r="T67" s="67" t="n">
        <f aca="false">IF(OR($S67="",$S67&lt;=0),"",$K67/$S67)</f>
        <v>59.3733333333333</v>
      </c>
      <c r="U67" s="69" t="n">
        <f aca="false">IF($S67="","",ROUNDUP(N($S67)*'設定（最初に1回）'!$C$12,0))</f>
        <v>5</v>
      </c>
      <c r="V67" s="69" t="n">
        <f aca="false">IF($C67="","",ROUNDUP(N($S67)*(N($I67)+N($AG67))+N($U67),0))</f>
        <v>17</v>
      </c>
      <c r="W67" s="69" t="n">
        <f aca="false">IF($C67="","",SUMIFS(発注管理!$L$6:$L$1005,発注管理!$C$6:$C$1005,'設定（最初に1回）'!$C$4,発注管理!$F$6:$F$1005,$C67,発注管理!$Q$6:$Q$1005,"発注済"))</f>
        <v>0</v>
      </c>
      <c r="X67" s="69" t="n">
        <f aca="false">IF($C67="","",MAX(0,N($V67)-N($K67)-N($W67)))</f>
        <v>0</v>
      </c>
      <c r="Y67" s="147" t="n">
        <f aca="false">IF($C67="","",IF(N($X67)&lt;=0,0,CEILING($X67/MAX(1,N($G67)),MAX(1,N($J67)))))</f>
        <v>0</v>
      </c>
      <c r="Z67" s="138" t="str">
        <f aca="false">IF($C67="","",IF(N($Y67)&gt;0,"要発注","正常"))</f>
        <v>正常</v>
      </c>
      <c r="AA67" s="71" t="n">
        <f aca="false">IF($C67="","",N($K67)*N($H67))</f>
        <v>53290</v>
      </c>
      <c r="AB67" s="66" t="str">
        <f aca="false">IF($C67="","",_xlfn.TEXTJOIN(" / ",TRUE(),IF(COUNTIF(商品マスタ!$B$6:$B$1005,$C67)=0,"マスタ未登録",""),IF(COUNTIFS(月1回_前回の在庫を貼る!$B$6:$B$10005,'設定（最初に1回）'!$C$4,月1回_前回の在庫を貼る!$I$6:$I$10005,$C67)=0,"新商品",""),IF(COUNTIFS(①今日の在庫を貼る!$B$6:$B$10005,'設定（最初に1回）'!$C$4,①今日の在庫を貼る!$I$6:$I$10005,$C67)=0,"終売候補",""),IF(N($K67)&lt;0,"在庫マイナス",""),IF(AND('設定（最初に1回）'!$C$9="PI値予測",$P67=""),"PI値未設定","")))</f>
        <v/>
      </c>
      <c r="AC67" s="71" t="n">
        <f aca="false">N($Y67)*N($H67)</f>
        <v>0</v>
      </c>
      <c r="AD67" s="66" t="str">
        <f aca="false">IF($C67="","",IFERROR(INDEX(商品マスタ!$K$6:$K$1005,MATCH($C67,商品マスタ!$B$6:$B$1005,0)),"常温"))</f>
        <v>冷凍</v>
      </c>
      <c r="AE67" s="69" t="n">
        <f aca="false">IF($C67="","",MAX(0,ROUNDUP(N($K67)/MAX(1,N($G67)),0)))</f>
        <v>73</v>
      </c>
      <c r="AF67" s="66" t="str">
        <f aca="false">IF($C67="","",IFERROR(INDEX(商品マスタ!$L$6:$L$1005,MATCH($C67,商品マスタ!$B$6:$B$1005,0)),""))</f>
        <v>冷凍品</v>
      </c>
      <c r="AG67" s="143" t="n">
        <f aca="false">IF($C67="","",IFERROR(INDEX(定数マスタ!$S$110:$S$119,MATCH($AF67,定数マスタ!$J$110:$J$119,0)),N('設定（最初に1回）'!$C$13)))</f>
        <v>2.3</v>
      </c>
      <c r="AH67" s="66" t="n">
        <f aca="false">IF(AND(N($K67)&gt;0,N($Y67)&gt;0),N($Y67),0)</f>
        <v>0</v>
      </c>
    </row>
    <row r="68" customFormat="false" ht="15" hidden="false" customHeight="false" outlineLevel="0" collapsed="false">
      <c r="B68" s="66" t="n">
        <v>63</v>
      </c>
      <c r="C68" s="66" t="str">
        <f aca="false">IFERROR(IF($B68&lt;=MAX(①今日の在庫を貼る!$U$6:$U$10005),INDEX(①今日の在庫を貼る!$I$6:$I$10005,MATCH($B68,①今日の在庫を貼る!$U$6:$U$10005,0)),INDEX(月1回_前回の在庫を貼る!$I$6:$I$10005,MATCH($B68-MAX(①今日の在庫を貼る!$U$6:$U$10005),月1回_前回の在庫を貼る!$U$6:$U$10005,0))),"")</f>
        <v>1812000012131</v>
      </c>
      <c r="D68" s="66" t="str">
        <f aca="false">IF($C68="","",IFERROR(INDEX(商品マスタ!$C$6:$C$1005,MATCH($C68,商品マスタ!$B$6:$B$1005,0)),IFERROR(INDEX(①今日の在庫を貼る!$J$6:$J$10005,MATCH($C68,①今日の在庫を貼る!$I$6:$I$10005,0)),IFERROR(INDEX(月1回_前回の在庫を貼る!$J$6:$J$10005,MATCH($C68,月1回_前回の在庫を貼る!$I$6:$I$10005,0)),""))))</f>
        <v>ココアシュガー２％</v>
      </c>
      <c r="E68" s="66" t="str">
        <f aca="false">IF($C68="","",IFERROR(INDEX(商品マスタ!$D$6:$D$1005,MATCH($C68,商品マスタ!$B$6:$B$1005,0)),IFERROR(INDEX(①今日の在庫を貼る!$H$6:$H$10005,MATCH($C68,①今日の在庫を貼る!$I$6:$I$10005,0)),IFERROR(INDEX(月1回_前回の在庫を貼る!$H$6:$H$10005,MATCH($C68,月1回_前回の在庫を貼る!$I$6:$I$10005,0)),""))))</f>
        <v>調理系スイーツ</v>
      </c>
      <c r="F68" s="66" t="str">
        <f aca="false">IF($C68="","",IFERROR(INDEX(商品マスタ!$E$6:$E$1005,MATCH($C68,商品マスタ!$B$6:$B$1005,0)),IFERROR(INDEX(①今日の在庫を貼る!$E$6:$E$10005,MATCH($C68,①今日の在庫を貼る!$I$6:$I$10005,0)),IFERROR(INDEX(月1回_前回の在庫を貼る!$E$6:$E$10005,MATCH($C68,月1回_前回の在庫を貼る!$I$6:$I$10005,0)),""))))</f>
        <v>オザックス株式会社</v>
      </c>
      <c r="G68" s="69" t="n">
        <f aca="false">IF($C68="","",IFERROR(INDEX(商品マスタ!$F$6:$F$1005,MATCH($C68,商品マスタ!$B$6:$B$1005,0)),IFERROR(INDEX(①今日の在庫を貼る!$K$6:$K$10005,MATCH($C68,①今日の在庫を貼る!$I$6:$I$10005,0)),IFERROR(INDEX(月1回_前回の在庫を貼る!$K$6:$K$10005,MATCH($C68,月1回_前回の在庫を貼る!$I$6:$I$10005,0)),""))))</f>
        <v>1</v>
      </c>
      <c r="H68" s="71" t="n">
        <f aca="false">IF($C68="","",IFERROR(INDEX(商品マスタ!$G$6:$G$1005,MATCH($C68,商品マスタ!$B$6:$B$1005,0)),IFERROR(INDEX(①今日の在庫を貼る!$Q$6:$Q$10005,MATCH($C68,①今日の在庫を貼る!$I$6:$I$10005,0)),IFERROR(INDEX(月1回_前回の在庫を貼る!$Q$6:$Q$10005,MATCH($C68,月1回_前回の在庫を貼る!$I$6:$I$10005,0)),""))))</f>
        <v>804</v>
      </c>
      <c r="I68" s="66" t="n">
        <f aca="false">IF($C68="","",IFERROR(INDEX(商品マスタ!$H$6:$H$1005,MATCH($C68,商品マスタ!$B$6:$B$1005,0)),3))</f>
        <v>2</v>
      </c>
      <c r="J68" s="66" t="n">
        <f aca="false">IF($C68="","",MAX(1,IFERROR(INDEX(商品マスタ!$I$6:$I$1005,MATCH($C68,商品マスタ!$B$6:$B$1005,0)),1)))</f>
        <v>1</v>
      </c>
      <c r="K68" s="69" t="n">
        <f aca="false">IF($C68="","",SUMIFS(①今日の在庫を貼る!$N$6:$N$10005,①今日の在庫を貼る!$B$6:$B$10005,'設定（最初に1回）'!$C$4,①今日の在庫を貼る!$I$6:$I$10005,$C68))</f>
        <v>30</v>
      </c>
      <c r="L68" s="69" t="n">
        <f aca="false">IF($C68="","",SUMIFS(月1回_前回の在庫を貼る!$N$6:$N$10005,月1回_前回の在庫を貼る!$B$6:$B$10005,'設定（最初に1回）'!$C$4,月1回_前回の在庫を貼る!$I$6:$I$10005,$C68))</f>
        <v>98</v>
      </c>
      <c r="M68" s="69" t="n">
        <f aca="false">IF($C68="","",IF(OR('設定（最初に1回）'!$C$6="",'設定（最初に1回）'!$C$7=""),0,SUMIFS(発注管理!$S$6:$S$1005,発注管理!$C$6:$C$1005,'設定（最初に1回）'!$C$4,発注管理!$F$6:$F$1005,$C68,発注管理!$R$6:$R$1005,"&gt;="&amp;'設定（最初に1回）'!$C$7,発注管理!$R$6:$R$1005,"&lt;="&amp;'設定（最初に1回）'!$C$6)))</f>
        <v>0</v>
      </c>
      <c r="N68" s="69" t="n">
        <f aca="false">IF(OR($C68="",'設定（最初に1回）'!$C$15=0),"",$L68+$M68-$K68)</f>
        <v>68</v>
      </c>
      <c r="O68" s="143" t="n">
        <f aca="false">IF(OR($N68="",'設定（最初に1回）'!$C$8="",'設定（最初に1回）'!$C$8&lt;=0),"",MAX(0,$N68)/'設定（最初に1回）'!$C$8)</f>
        <v>1.11475409836066</v>
      </c>
      <c r="P68" s="143" t="n">
        <f aca="false">IF($C68="","",IFERROR(INDEX(商品マスタ!$M$6:$N$1005,MATCH($C68,商品マスタ!$B$6:$B$1005,0),MATCH("PI値 "&amp;'設定（最初に1回）'!$C$11,商品マスタ!$M$5:$N$5,0)),""))</f>
        <v>1.8</v>
      </c>
      <c r="Q68" s="143" t="n">
        <f aca="false">IF(OR($C68="",$P68="",$P68=0,(N($I68)+N($AG68))&lt;=0),"",IFERROR(SUMIFS(随時_動員を入れる!$G$8:$G$97,随時_動員を入れる!$B$8:$B$97,"&gt;="&amp;'設定（最初に1回）'!$C$6,随時_動員を入れる!$B$8:$B$97,"&lt;="&amp;'設定（最初に1回）'!$C$6+(N($I68)+N($AG68))-1)/(N($I68)+N($AG68)),0)*$P68/100)</f>
        <v>106.781860465116</v>
      </c>
      <c r="R68" s="69" t="n">
        <f aca="false">IF($C68="","",SUMIFS(①今日の在庫を貼る!$O$6:$O$10005,①今日の在庫を貼る!$B$6:$B$10005,'設定（最初に1回）'!$C$4,①今日の在庫を貼る!$I$6:$I$10005,$C68))</f>
        <v>0</v>
      </c>
      <c r="S68" s="143" t="n">
        <f aca="false">IF($C68="","",IF('設定（最初に1回）'!$C$9="実績消費",N($O68),IF('設定（最初に1回）'!$C$9="PI値予測",N($Q68),MAX(N($O68),N($Q68)))))</f>
        <v>1.11475409836066</v>
      </c>
      <c r="T68" s="67" t="n">
        <f aca="false">IF(OR($S68="",$S68&lt;=0),"",$K68/$S68)</f>
        <v>26.9117647058824</v>
      </c>
      <c r="U68" s="69" t="n">
        <f aca="false">IF($S68="","",ROUNDUP(N($S68)*'設定（最初に1回）'!$C$12,0))</f>
        <v>5</v>
      </c>
      <c r="V68" s="69" t="n">
        <f aca="false">IF($C68="","",ROUNDUP(N($S68)*(N($I68)+N($AG68))+N($U68),0))</f>
        <v>10</v>
      </c>
      <c r="W68" s="69" t="n">
        <f aca="false">IF($C68="","",SUMIFS(発注管理!$L$6:$L$1005,発注管理!$C$6:$C$1005,'設定（最初に1回）'!$C$4,発注管理!$F$6:$F$1005,$C68,発注管理!$Q$6:$Q$1005,"発注済"))</f>
        <v>0</v>
      </c>
      <c r="X68" s="69" t="n">
        <f aca="false">IF($C68="","",MAX(0,N($V68)-N($K68)-N($W68)))</f>
        <v>0</v>
      </c>
      <c r="Y68" s="147" t="n">
        <f aca="false">IF($C68="","",IF(N($X68)&lt;=0,0,CEILING($X68/MAX(1,N($G68)),MAX(1,N($J68)))))</f>
        <v>0</v>
      </c>
      <c r="Z68" s="138" t="str">
        <f aca="false">IF($C68="","",IF(N($Y68)&gt;0,"要発注","正常"))</f>
        <v>正常</v>
      </c>
      <c r="AA68" s="71" t="n">
        <f aca="false">IF($C68="","",N($K68)*N($H68))</f>
        <v>24120</v>
      </c>
      <c r="AB68" s="66" t="str">
        <f aca="false">IF($C68="","",_xlfn.TEXTJOIN(" / ",TRUE(),IF(COUNTIF(商品マスタ!$B$6:$B$1005,$C68)=0,"マスタ未登録",""),IF(COUNTIFS(月1回_前回の在庫を貼る!$B$6:$B$10005,'設定（最初に1回）'!$C$4,月1回_前回の在庫を貼る!$I$6:$I$10005,$C68)=0,"新商品",""),IF(COUNTIFS(①今日の在庫を貼る!$B$6:$B$10005,'設定（最初に1回）'!$C$4,①今日の在庫を貼る!$I$6:$I$10005,$C68)=0,"終売候補",""),IF(N($K68)&lt;0,"在庫マイナス",""),IF(AND('設定（最初に1回）'!$C$9="PI値予測",$P68=""),"PI値未設定","")))</f>
        <v/>
      </c>
      <c r="AC68" s="71" t="n">
        <f aca="false">N($Y68)*N($H68)</f>
        <v>0</v>
      </c>
      <c r="AD68" s="66" t="str">
        <f aca="false">IF($C68="","",IFERROR(INDEX(商品マスタ!$K$6:$K$1005,MATCH($C68,商品マスタ!$B$6:$B$1005,0)),"常温"))</f>
        <v>冷凍</v>
      </c>
      <c r="AE68" s="69" t="n">
        <f aca="false">IF($C68="","",MAX(0,ROUNDUP(N($K68)/MAX(1,N($G68)),0)))</f>
        <v>30</v>
      </c>
      <c r="AF68" s="66" t="str">
        <f aca="false">IF($C68="","",IFERROR(INDEX(商品マスタ!$L$6:$L$1005,MATCH($C68,商品マスタ!$B$6:$B$1005,0)),""))</f>
        <v>冷凍品</v>
      </c>
      <c r="AG68" s="143" t="n">
        <f aca="false">IF($C68="","",IFERROR(INDEX(定数マスタ!$S$110:$S$119,MATCH($AF68,定数マスタ!$J$110:$J$119,0)),N('設定（最初に1回）'!$C$13)))</f>
        <v>2.3</v>
      </c>
      <c r="AH68" s="66" t="n">
        <f aca="false">IF(AND(N($K68)&gt;0,N($Y68)&gt;0),N($Y68),0)</f>
        <v>0</v>
      </c>
    </row>
    <row r="69" customFormat="false" ht="15" hidden="false" customHeight="false" outlineLevel="0" collapsed="false">
      <c r="B69" s="66" t="n">
        <v>64</v>
      </c>
      <c r="C69" s="66" t="str">
        <f aca="false">IFERROR(IF($B69&lt;=MAX(①今日の在庫を貼る!$U$6:$U$10005),INDEX(①今日の在庫を貼る!$I$6:$I$10005,MATCH($B69,①今日の在庫を貼る!$U$6:$U$10005,0)),INDEX(月1回_前回の在庫を貼る!$I$6:$I$10005,MATCH($B69-MAX(①今日の在庫を貼る!$U$6:$U$10005),月1回_前回の在庫を貼る!$U$6:$U$10005,0))),"")</f>
        <v>1812000013503</v>
      </c>
      <c r="D69" s="66" t="str">
        <f aca="false">IF($C69="","",IFERROR(INDEX(商品マスタ!$C$6:$C$1005,MATCH($C69,商品マスタ!$B$6:$B$1005,0)),IFERROR(INDEX(①今日の在庫を貼る!$J$6:$J$10005,MATCH($C69,①今日の在庫を貼る!$I$6:$I$10005,0)),IFERROR(INDEX(月1回_前回の在庫を貼る!$J$6:$J$10005,MATCH($C69,月1回_前回の在庫を貼る!$I$6:$I$10005,0)),""))))</f>
        <v>カラーシュガーレッドストロベリー</v>
      </c>
      <c r="E69" s="66" t="str">
        <f aca="false">IF($C69="","",IFERROR(INDEX(商品マスタ!$D$6:$D$1005,MATCH($C69,商品マスタ!$B$6:$B$1005,0)),IFERROR(INDEX(①今日の在庫を貼る!$H$6:$H$10005,MATCH($C69,①今日の在庫を貼る!$I$6:$I$10005,0)),IFERROR(INDEX(月1回_前回の在庫を貼る!$H$6:$H$10005,MATCH($C69,月1回_前回の在庫を貼る!$I$6:$I$10005,0)),""))))</f>
        <v>調理系スイーツ</v>
      </c>
      <c r="F69" s="66" t="str">
        <f aca="false">IF($C69="","",IFERROR(INDEX(商品マスタ!$E$6:$E$1005,MATCH($C69,商品マスタ!$B$6:$B$1005,0)),IFERROR(INDEX(①今日の在庫を貼る!$E$6:$E$10005,MATCH($C69,①今日の在庫を貼る!$I$6:$I$10005,0)),IFERROR(INDEX(月1回_前回の在庫を貼る!$E$6:$E$10005,MATCH($C69,月1回_前回の在庫を貼る!$I$6:$I$10005,0)),""))))</f>
        <v>オザックス株式会社</v>
      </c>
      <c r="G69" s="69" t="n">
        <f aca="false">IF($C69="","",IFERROR(INDEX(商品マスタ!$F$6:$F$1005,MATCH($C69,商品マスタ!$B$6:$B$1005,0)),IFERROR(INDEX(①今日の在庫を貼る!$K$6:$K$10005,MATCH($C69,①今日の在庫を貼る!$I$6:$I$10005,0)),IFERROR(INDEX(月1回_前回の在庫を貼る!$K$6:$K$10005,MATCH($C69,月1回_前回の在庫を貼る!$I$6:$I$10005,0)),""))))</f>
        <v>1</v>
      </c>
      <c r="H69" s="71" t="n">
        <f aca="false">IF($C69="","",IFERROR(INDEX(商品マスタ!$G$6:$G$1005,MATCH($C69,商品マスタ!$B$6:$B$1005,0)),IFERROR(INDEX(①今日の在庫を貼る!$Q$6:$Q$10005,MATCH($C69,①今日の在庫を貼る!$I$6:$I$10005,0)),IFERROR(INDEX(月1回_前回の在庫を貼る!$Q$6:$Q$10005,MATCH($C69,月1回_前回の在庫を貼る!$I$6:$I$10005,0)),""))))</f>
        <v>1181</v>
      </c>
      <c r="I69" s="66" t="n">
        <f aca="false">IF($C69="","",IFERROR(INDEX(商品マスタ!$H$6:$H$1005,MATCH($C69,商品マスタ!$B$6:$B$1005,0)),3))</f>
        <v>3</v>
      </c>
      <c r="J69" s="66" t="n">
        <f aca="false">IF($C69="","",MAX(1,IFERROR(INDEX(商品マスタ!$I$6:$I$1005,MATCH($C69,商品マスタ!$B$6:$B$1005,0)),1)))</f>
        <v>1</v>
      </c>
      <c r="K69" s="69" t="n">
        <f aca="false">IF($C69="","",SUMIFS(①今日の在庫を貼る!$N$6:$N$10005,①今日の在庫を貼る!$B$6:$B$10005,'設定（最初に1回）'!$C$4,①今日の在庫を貼る!$I$6:$I$10005,$C69))</f>
        <v>15</v>
      </c>
      <c r="L69" s="69" t="n">
        <f aca="false">IF($C69="","",SUMIFS(月1回_前回の在庫を貼る!$N$6:$N$10005,月1回_前回の在庫を貼る!$B$6:$B$10005,'設定（最初に1回）'!$C$4,月1回_前回の在庫を貼る!$I$6:$I$10005,$C69))</f>
        <v>39</v>
      </c>
      <c r="M69" s="69" t="n">
        <f aca="false">IF($C69="","",IF(OR('設定（最初に1回）'!$C$6="",'設定（最初に1回）'!$C$7=""),0,SUMIFS(発注管理!$S$6:$S$1005,発注管理!$C$6:$C$1005,'設定（最初に1回）'!$C$4,発注管理!$F$6:$F$1005,$C69,発注管理!$R$6:$R$1005,"&gt;="&amp;'設定（最初に1回）'!$C$7,発注管理!$R$6:$R$1005,"&lt;="&amp;'設定（最初に1回）'!$C$6)))</f>
        <v>0</v>
      </c>
      <c r="N69" s="69" t="n">
        <f aca="false">IF(OR($C69="",'設定（最初に1回）'!$C$15=0),"",$L69+$M69-$K69)</f>
        <v>24</v>
      </c>
      <c r="O69" s="143" t="n">
        <f aca="false">IF(OR($N69="",'設定（最初に1回）'!$C$8="",'設定（最初に1回）'!$C$8&lt;=0),"",MAX(0,$N69)/'設定（最初に1回）'!$C$8)</f>
        <v>0.39344262295082</v>
      </c>
      <c r="P69" s="143" t="n">
        <f aca="false">IF($C69="","",IFERROR(INDEX(商品マスタ!$M$6:$N$1005,MATCH($C69,商品マスタ!$B$6:$B$1005,0),MATCH("PI値 "&amp;'設定（最初に1回）'!$C$11,商品マスタ!$M$5:$N$5,0)),""))</f>
        <v>2.2</v>
      </c>
      <c r="Q69" s="143" t="n">
        <f aca="false">IF(OR($C69="",$P69="",$P69=0,(N($I69)+N($AG69))&lt;=0),"",IFERROR(SUMIFS(随時_動員を入れる!$G$8:$G$97,随時_動員を入れる!$B$8:$B$97,"&gt;="&amp;'設定（最初に1回）'!$C$6,随時_動員を入れる!$B$8:$B$97,"&lt;="&amp;'設定（最初に1回）'!$C$6+(N($I69)+N($AG69))-1)/(N($I69)+N($AG69)),0)*$P69/100)</f>
        <v>116.425660377359</v>
      </c>
      <c r="R69" s="69" t="n">
        <f aca="false">IF($C69="","",SUMIFS(①今日の在庫を貼る!$O$6:$O$10005,①今日の在庫を貼る!$B$6:$B$10005,'設定（最初に1回）'!$C$4,①今日の在庫を貼る!$I$6:$I$10005,$C69))</f>
        <v>0</v>
      </c>
      <c r="S69" s="143" t="n">
        <f aca="false">IF($C69="","",IF('設定（最初に1回）'!$C$9="実績消費",N($O69),IF('設定（最初に1回）'!$C$9="PI値予測",N($Q69),MAX(N($O69),N($Q69)))))</f>
        <v>0.39344262295082</v>
      </c>
      <c r="T69" s="67" t="n">
        <f aca="false">IF(OR($S69="",$S69&lt;=0),"",$K69/$S69)</f>
        <v>38.125</v>
      </c>
      <c r="U69" s="69" t="n">
        <f aca="false">IF($S69="","",ROUNDUP(N($S69)*'設定（最初に1回）'!$C$12,0))</f>
        <v>2</v>
      </c>
      <c r="V69" s="69" t="n">
        <f aca="false">IF($C69="","",ROUNDUP(N($S69)*(N($I69)+N($AG69))+N($U69),0))</f>
        <v>5</v>
      </c>
      <c r="W69" s="69" t="n">
        <f aca="false">IF($C69="","",SUMIFS(発注管理!$L$6:$L$1005,発注管理!$C$6:$C$1005,'設定（最初に1回）'!$C$4,発注管理!$F$6:$F$1005,$C69,発注管理!$Q$6:$Q$1005,"発注済"))</f>
        <v>0</v>
      </c>
      <c r="X69" s="69" t="n">
        <f aca="false">IF($C69="","",MAX(0,N($V69)-N($K69)-N($W69)))</f>
        <v>0</v>
      </c>
      <c r="Y69" s="147" t="n">
        <f aca="false">IF($C69="","",IF(N($X69)&lt;=0,0,CEILING($X69/MAX(1,N($G69)),MAX(1,N($J69)))))</f>
        <v>0</v>
      </c>
      <c r="Z69" s="138" t="str">
        <f aca="false">IF($C69="","",IF(N($Y69)&gt;0,"要発注","正常"))</f>
        <v>正常</v>
      </c>
      <c r="AA69" s="71" t="n">
        <f aca="false">IF($C69="","",N($K69)*N($H69))</f>
        <v>17715</v>
      </c>
      <c r="AB69" s="66" t="str">
        <f aca="false">IF($C69="","",_xlfn.TEXTJOIN(" / ",TRUE(),IF(COUNTIF(商品マスタ!$B$6:$B$1005,$C69)=0,"マスタ未登録",""),IF(COUNTIFS(月1回_前回の在庫を貼る!$B$6:$B$10005,'設定（最初に1回）'!$C$4,月1回_前回の在庫を貼る!$I$6:$I$10005,$C69)=0,"新商品",""),IF(COUNTIFS(①今日の在庫を貼る!$B$6:$B$10005,'設定（最初に1回）'!$C$4,①今日の在庫を貼る!$I$6:$I$10005,$C69)=0,"終売候補",""),IF(N($K69)&lt;0,"在庫マイナス",""),IF(AND('設定（最初に1回）'!$C$9="PI値予測",$P69=""),"PI値未設定","")))</f>
        <v/>
      </c>
      <c r="AC69" s="71" t="n">
        <f aca="false">N($Y69)*N($H69)</f>
        <v>0</v>
      </c>
      <c r="AD69" s="66" t="str">
        <f aca="false">IF($C69="","",IFERROR(INDEX(商品マスタ!$K$6:$K$1005,MATCH($C69,商品マスタ!$B$6:$B$1005,0)),"常温"))</f>
        <v>冷凍</v>
      </c>
      <c r="AE69" s="69" t="n">
        <f aca="false">IF($C69="","",MAX(0,ROUNDUP(N($K69)/MAX(1,N($G69)),0)))</f>
        <v>15</v>
      </c>
      <c r="AF69" s="66" t="str">
        <f aca="false">IF($C69="","",IFERROR(INDEX(商品マスタ!$L$6:$L$1005,MATCH($C69,商品マスタ!$B$6:$B$1005,0)),""))</f>
        <v>冷凍品</v>
      </c>
      <c r="AG69" s="143" t="n">
        <f aca="false">IF($C69="","",IFERROR(INDEX(定数マスタ!$S$110:$S$119,MATCH($AF69,定数マスタ!$J$110:$J$119,0)),N('設定（最初に1回）'!$C$13)))</f>
        <v>2.3</v>
      </c>
      <c r="AH69" s="66" t="n">
        <f aca="false">IF(AND(N($K69)&gt;0,N($Y69)&gt;0),N($Y69),0)</f>
        <v>0</v>
      </c>
    </row>
    <row r="70" customFormat="false" ht="15" hidden="false" customHeight="false" outlineLevel="0" collapsed="false">
      <c r="B70" s="66" t="n">
        <v>65</v>
      </c>
      <c r="C70" s="66" t="str">
        <f aca="false">IFERROR(IF($B70&lt;=MAX(①今日の在庫を貼る!$U$6:$U$10005),INDEX(①今日の在庫を貼る!$I$6:$I$10005,MATCH($B70,①今日の在庫を貼る!$U$6:$U$10005,0)),INDEX(月1回_前回の在庫を貼る!$I$6:$I$10005,MATCH($B70-MAX(①今日の在庫を貼る!$U$6:$U$10005),月1回_前回の在庫を貼る!$U$6:$U$10005,0))),"")</f>
        <v>1812000010687</v>
      </c>
      <c r="D70" s="66" t="str">
        <f aca="false">IF($C70="","",IFERROR(INDEX(商品マスタ!$C$6:$C$1005,MATCH($C70,商品マスタ!$B$6:$B$1005,0)),IFERROR(INDEX(①今日の在庫を貼る!$J$6:$J$10005,MATCH($C70,①今日の在庫を貼る!$I$6:$I$10005,0)),IFERROR(INDEX(月1回_前回の在庫を貼る!$J$6:$J$10005,MATCH($C70,月1回_前回の在庫を貼る!$I$6:$I$10005,0)),""))))</f>
        <v>アイスクレープ　バナナ＆チョコ</v>
      </c>
      <c r="E70" s="66" t="str">
        <f aca="false">IF($C70="","",IFERROR(INDEX(商品マスタ!$D$6:$D$1005,MATCH($C70,商品マスタ!$B$6:$B$1005,0)),IFERROR(INDEX(①今日の在庫を貼る!$H$6:$H$10005,MATCH($C70,①今日の在庫を貼る!$I$6:$I$10005,0)),IFERROR(INDEX(月1回_前回の在庫を貼る!$H$6:$H$10005,MATCH($C70,月1回_前回の在庫を貼る!$I$6:$I$10005,0)),""))))</f>
        <v>その他フード</v>
      </c>
      <c r="F70" s="66" t="str">
        <f aca="false">IF($C70="","",IFERROR(INDEX(商品マスタ!$E$6:$E$1005,MATCH($C70,商品マスタ!$B$6:$B$1005,0)),IFERROR(INDEX(①今日の在庫を貼る!$E$6:$E$10005,MATCH($C70,①今日の在庫を貼る!$I$6:$I$10005,0)),IFERROR(INDEX(月1回_前回の在庫を貼る!$E$6:$E$10005,MATCH($C70,月1回_前回の在庫を貼る!$I$6:$I$10005,0)),""))))</f>
        <v>オザックス株式会社</v>
      </c>
      <c r="G70" s="69" t="n">
        <f aca="false">IF($C70="","",IFERROR(INDEX(商品マスタ!$F$6:$F$1005,MATCH($C70,商品マスタ!$B$6:$B$1005,0)),IFERROR(INDEX(①今日の在庫を貼る!$K$6:$K$10005,MATCH($C70,①今日の在庫を貼る!$I$6:$I$10005,0)),IFERROR(INDEX(月1回_前回の在庫を貼る!$K$6:$K$10005,MATCH($C70,月1回_前回の在庫を貼る!$I$6:$I$10005,0)),""))))</f>
        <v>120</v>
      </c>
      <c r="H70" s="71" t="n">
        <f aca="false">IF($C70="","",IFERROR(INDEX(商品マスタ!$G$6:$G$1005,MATCH($C70,商品マスタ!$B$6:$B$1005,0)),IFERROR(INDEX(①今日の在庫を貼る!$Q$6:$Q$10005,MATCH($C70,①今日の在庫を貼る!$I$6:$I$10005,0)),IFERROR(INDEX(月1回_前回の在庫を貼る!$Q$6:$Q$10005,MATCH($C70,月1回_前回の在庫を貼る!$I$6:$I$10005,0)),""))))</f>
        <v>174</v>
      </c>
      <c r="I70" s="66" t="n">
        <f aca="false">IF($C70="","",IFERROR(INDEX(商品マスタ!$H$6:$H$1005,MATCH($C70,商品マスタ!$B$6:$B$1005,0)),3))</f>
        <v>5</v>
      </c>
      <c r="J70" s="66" t="n">
        <f aca="false">IF($C70="","",MAX(1,IFERROR(INDEX(商品マスタ!$I$6:$I$1005,MATCH($C70,商品マスタ!$B$6:$B$1005,0)),1)))</f>
        <v>1</v>
      </c>
      <c r="K70" s="69" t="n">
        <f aca="false">IF($C70="","",SUMIFS(①今日の在庫を貼る!$N$6:$N$10005,①今日の在庫を貼る!$B$6:$B$10005,'設定（最初に1回）'!$C$4,①今日の在庫を貼る!$I$6:$I$10005,$C70))</f>
        <v>14</v>
      </c>
      <c r="L70" s="69" t="n">
        <f aca="false">IF($C70="","",SUMIFS(月1回_前回の在庫を貼る!$N$6:$N$10005,月1回_前回の在庫を貼る!$B$6:$B$10005,'設定（最初に1回）'!$C$4,月1回_前回の在庫を貼る!$I$6:$I$10005,$C70))</f>
        <v>256</v>
      </c>
      <c r="M70" s="69" t="n">
        <f aca="false">IF($C70="","",IF(OR('設定（最初に1回）'!$C$6="",'設定（最初に1回）'!$C$7=""),0,SUMIFS(発注管理!$S$6:$S$1005,発注管理!$C$6:$C$1005,'設定（最初に1回）'!$C$4,発注管理!$F$6:$F$1005,$C70,発注管理!$R$6:$R$1005,"&gt;="&amp;'設定（最初に1回）'!$C$7,発注管理!$R$6:$R$1005,"&lt;="&amp;'設定（最初に1回）'!$C$6)))</f>
        <v>0</v>
      </c>
      <c r="N70" s="69" t="n">
        <f aca="false">IF(OR($C70="",'設定（最初に1回）'!$C$15=0),"",$L70+$M70-$K70)</f>
        <v>242</v>
      </c>
      <c r="O70" s="143" t="n">
        <f aca="false">IF(OR($N70="",'設定（最初に1回）'!$C$8="",'設定（最初に1回）'!$C$8&lt;=0),"",MAX(0,$N70)/'設定（最初に1回）'!$C$8)</f>
        <v>3.9672131147541</v>
      </c>
      <c r="P70" s="143" t="n">
        <f aca="false">IF($C70="","",IFERROR(INDEX(商品マスタ!$M$6:$N$1005,MATCH($C70,商品マスタ!$B$6:$B$1005,0),MATCH("PI値 "&amp;'設定（最初に1回）'!$C$11,商品マスタ!$M$5:$N$5,0)),""))</f>
        <v>0.8</v>
      </c>
      <c r="Q70" s="143" t="n">
        <f aca="false">IF(OR($C70="",$P70="",$P70=0,(N($I70)+N($AG70))&lt;=0),"",IFERROR(SUMIFS(随時_動員を入れる!$G$8:$G$97,随時_動員を入れる!$B$8:$B$97,"&gt;="&amp;'設定（最初に1回）'!$C$6,随時_動員を入れる!$B$8:$B$97,"&lt;="&amp;'設定（最初に1回）'!$C$6+(N($I70)+N($AG70))-1)/(N($I70)+N($AG70)),0)*$P70/100)</f>
        <v>28.314</v>
      </c>
      <c r="R70" s="69" t="n">
        <f aca="false">IF($C70="","",SUMIFS(①今日の在庫を貼る!$O$6:$O$10005,①今日の在庫を貼る!$B$6:$B$10005,'設定（最初に1回）'!$C$4,①今日の在庫を貼る!$I$6:$I$10005,$C70))</f>
        <v>0</v>
      </c>
      <c r="S70" s="143" t="n">
        <f aca="false">IF($C70="","",IF('設定（最初に1回）'!$C$9="実績消費",N($O70),IF('設定（最初に1回）'!$C$9="PI値予測",N($Q70),MAX(N($O70),N($Q70)))))</f>
        <v>3.9672131147541</v>
      </c>
      <c r="T70" s="67" t="n">
        <f aca="false">IF(OR($S70="",$S70&lt;=0),"",$K70/$S70)</f>
        <v>3.52892561983471</v>
      </c>
      <c r="U70" s="69" t="n">
        <f aca="false">IF($S70="","",ROUNDUP(N($S70)*'設定（最初に1回）'!$C$12,0))</f>
        <v>16</v>
      </c>
      <c r="V70" s="69" t="n">
        <f aca="false">IF($C70="","",ROUNDUP(N($S70)*(N($I70)+N($AG70))+N($U70),0))</f>
        <v>64</v>
      </c>
      <c r="W70" s="69" t="n">
        <f aca="false">IF($C70="","",SUMIFS(発注管理!$L$6:$L$1005,発注管理!$C$6:$C$1005,'設定（最初に1回）'!$C$4,発注管理!$F$6:$F$1005,$C70,発注管理!$Q$6:$Q$1005,"発注済"))</f>
        <v>0</v>
      </c>
      <c r="X70" s="69" t="n">
        <f aca="false">IF($C70="","",MAX(0,N($V70)-N($K70)-N($W70)))</f>
        <v>50</v>
      </c>
      <c r="Y70" s="147" t="n">
        <f aca="false">IF($C70="","",IF(N($X70)&lt;=0,0,CEILING($X70/MAX(1,N($G70)),MAX(1,N($J70)))))</f>
        <v>1</v>
      </c>
      <c r="Z70" s="138" t="str">
        <f aca="false">IF($C70="","",IF(N($Y70)&gt;0,"要発注","正常"))</f>
        <v>要発注</v>
      </c>
      <c r="AA70" s="71" t="n">
        <f aca="false">IF($C70="","",N($K70)*N($H70))</f>
        <v>2436</v>
      </c>
      <c r="AB70" s="66" t="str">
        <f aca="false">IF($C70="","",_xlfn.TEXTJOIN(" / ",TRUE(),IF(COUNTIF(商品マスタ!$B$6:$B$1005,$C70)=0,"マスタ未登録",""),IF(COUNTIFS(月1回_前回の在庫を貼る!$B$6:$B$10005,'設定（最初に1回）'!$C$4,月1回_前回の在庫を貼る!$I$6:$I$10005,$C70)=0,"新商品",""),IF(COUNTIFS(①今日の在庫を貼る!$B$6:$B$10005,'設定（最初に1回）'!$C$4,①今日の在庫を貼る!$I$6:$I$10005,$C70)=0,"終売候補",""),IF(N($K70)&lt;0,"在庫マイナス",""),IF(AND('設定（最初に1回）'!$C$9="PI値予測",$P70=""),"PI値未設定","")))</f>
        <v/>
      </c>
      <c r="AC70" s="71" t="n">
        <f aca="false">N($Y70)*N($H70)</f>
        <v>174</v>
      </c>
      <c r="AD70" s="66" t="str">
        <f aca="false">IF($C70="","",IFERROR(INDEX(商品マスタ!$K$6:$K$1005,MATCH($C70,商品マスタ!$B$6:$B$1005,0)),"常温"))</f>
        <v>常温</v>
      </c>
      <c r="AE70" s="69" t="n">
        <f aca="false">IF($C70="","",MAX(0,ROUNDUP(N($K70)/MAX(1,N($G70)),0)))</f>
        <v>1</v>
      </c>
      <c r="AF70" s="66" t="str">
        <f aca="false">IF($C70="","",IFERROR(INDEX(商品マスタ!$L$6:$L$1005,MATCH($C70,商品マスタ!$B$6:$B$1005,0)),""))</f>
        <v>その他常温</v>
      </c>
      <c r="AG70" s="143" t="n">
        <f aca="false">IF($C70="","",IFERROR(INDEX(定数マスタ!$S$110:$S$119,MATCH($AF70,定数マスタ!$J$110:$J$119,0)),N('設定（最初に1回）'!$C$13)))</f>
        <v>7</v>
      </c>
      <c r="AH70" s="66" t="n">
        <f aca="false">IF(AND(N($K70)&gt;0,N($Y70)&gt;0),N($Y70),0)</f>
        <v>1</v>
      </c>
    </row>
    <row r="71" customFormat="false" ht="15" hidden="false" customHeight="false" outlineLevel="0" collapsed="false">
      <c r="B71" s="66" t="n">
        <v>66</v>
      </c>
      <c r="C71" s="66" t="str">
        <f aca="false">IFERROR(IF($B71&lt;=MAX(①今日の在庫を貼る!$U$6:$U$10005),INDEX(①今日の在庫を貼る!$I$6:$I$10005,MATCH($B71,①今日の在庫を貼る!$U$6:$U$10005,0)),INDEX(月1回_前回の在庫を貼る!$I$6:$I$10005,MATCH($B71-MAX(①今日の在庫を貼る!$U$6:$U$10005),月1回_前回の在庫を貼る!$U$6:$U$10005,0))),"")</f>
        <v>1812000011714</v>
      </c>
      <c r="D71" s="66" t="str">
        <f aca="false">IF($C71="","",IFERROR(INDEX(商品マスタ!$C$6:$C$1005,MATCH($C71,商品マスタ!$B$6:$B$1005,0)),IFERROR(INDEX(①今日の在庫を貼る!$J$6:$J$10005,MATCH($C71,①今日の在庫を貼る!$I$6:$I$10005,0)),IFERROR(INDEX(月1回_前回の在庫を貼る!$J$6:$J$10005,MATCH($C71,月1回_前回の在庫を貼る!$I$6:$I$10005,0)),""))))</f>
        <v>アイスクレープ　贅沢いちご</v>
      </c>
      <c r="E71" s="66" t="str">
        <f aca="false">IF($C71="","",IFERROR(INDEX(商品マスタ!$D$6:$D$1005,MATCH($C71,商品マスタ!$B$6:$B$1005,0)),IFERROR(INDEX(①今日の在庫を貼る!$H$6:$H$10005,MATCH($C71,①今日の在庫を貼る!$I$6:$I$10005,0)),IFERROR(INDEX(月1回_前回の在庫を貼る!$H$6:$H$10005,MATCH($C71,月1回_前回の在庫を貼る!$I$6:$I$10005,0)),""))))</f>
        <v>その他フード</v>
      </c>
      <c r="F71" s="66" t="str">
        <f aca="false">IF($C71="","",IFERROR(INDEX(商品マスタ!$E$6:$E$1005,MATCH($C71,商品マスタ!$B$6:$B$1005,0)),IFERROR(INDEX(①今日の在庫を貼る!$E$6:$E$10005,MATCH($C71,①今日の在庫を貼る!$I$6:$I$10005,0)),IFERROR(INDEX(月1回_前回の在庫を貼る!$E$6:$E$10005,MATCH($C71,月1回_前回の在庫を貼る!$I$6:$I$10005,0)),""))))</f>
        <v>オザックス株式会社</v>
      </c>
      <c r="G71" s="69" t="n">
        <f aca="false">IF($C71="","",IFERROR(INDEX(商品マスタ!$F$6:$F$1005,MATCH($C71,商品マスタ!$B$6:$B$1005,0)),IFERROR(INDEX(①今日の在庫を貼る!$K$6:$K$10005,MATCH($C71,①今日の在庫を貼る!$I$6:$I$10005,0)),IFERROR(INDEX(月1回_前回の在庫を貼る!$K$6:$K$10005,MATCH($C71,月1回_前回の在庫を貼る!$I$6:$I$10005,0)),""))))</f>
        <v>120</v>
      </c>
      <c r="H71" s="71" t="n">
        <f aca="false">IF($C71="","",IFERROR(INDEX(商品マスタ!$G$6:$G$1005,MATCH($C71,商品マスタ!$B$6:$B$1005,0)),IFERROR(INDEX(①今日の在庫を貼る!$Q$6:$Q$10005,MATCH($C71,①今日の在庫を貼る!$I$6:$I$10005,0)),IFERROR(INDEX(月1回_前回の在庫を貼る!$Q$6:$Q$10005,MATCH($C71,月1回_前回の在庫を貼る!$I$6:$I$10005,0)),""))))</f>
        <v>162</v>
      </c>
      <c r="I71" s="66" t="n">
        <f aca="false">IF($C71="","",IFERROR(INDEX(商品マスタ!$H$6:$H$1005,MATCH($C71,商品マスタ!$B$6:$B$1005,0)),3))</f>
        <v>3</v>
      </c>
      <c r="J71" s="66" t="n">
        <f aca="false">IF($C71="","",MAX(1,IFERROR(INDEX(商品マスタ!$I$6:$I$1005,MATCH($C71,商品マスタ!$B$6:$B$1005,0)),1)))</f>
        <v>5</v>
      </c>
      <c r="K71" s="69" t="n">
        <f aca="false">IF($C71="","",SUMIFS(①今日の在庫を貼る!$N$6:$N$10005,①今日の在庫を貼る!$B$6:$B$10005,'設定（最初に1回）'!$C$4,①今日の在庫を貼る!$I$6:$I$10005,$C71))</f>
        <v>594</v>
      </c>
      <c r="L71" s="69" t="n">
        <f aca="false">IF($C71="","",SUMIFS(月1回_前回の在庫を貼る!$N$6:$N$10005,月1回_前回の在庫を貼る!$B$6:$B$10005,'設定（最初に1回）'!$C$4,月1回_前回の在庫を貼る!$I$6:$I$10005,$C71))</f>
        <v>1380</v>
      </c>
      <c r="M71" s="69" t="n">
        <f aca="false">IF($C71="","",IF(OR('設定（最初に1回）'!$C$6="",'設定（最初に1回）'!$C$7=""),0,SUMIFS(発注管理!$S$6:$S$1005,発注管理!$C$6:$C$1005,'設定（最初に1回）'!$C$4,発注管理!$F$6:$F$1005,$C71,発注管理!$R$6:$R$1005,"&gt;="&amp;'設定（最初に1回）'!$C$7,発注管理!$R$6:$R$1005,"&lt;="&amp;'設定（最初に1回）'!$C$6)))</f>
        <v>0</v>
      </c>
      <c r="N71" s="69" t="n">
        <f aca="false">IF(OR($C71="",'設定（最初に1回）'!$C$15=0),"",$L71+$M71-$K71)</f>
        <v>786</v>
      </c>
      <c r="O71" s="143" t="n">
        <f aca="false">IF(OR($N71="",'設定（最初に1回）'!$C$8="",'設定（最初に1回）'!$C$8&lt;=0),"",MAX(0,$N71)/'設定（最初に1回）'!$C$8)</f>
        <v>12.8852459016393</v>
      </c>
      <c r="P71" s="143" t="n">
        <f aca="false">IF($C71="","",IFERROR(INDEX(商品マスタ!$M$6:$N$1005,MATCH($C71,商品マスタ!$B$6:$B$1005,0),MATCH("PI値 "&amp;'設定（最初に1回）'!$C$11,商品マスタ!$M$5:$N$5,0)),""))</f>
        <v>0.6</v>
      </c>
      <c r="Q71" s="143" t="n">
        <f aca="false">IF(OR($C71="",$P71="",$P71=0,(N($I71)+N($AG71))&lt;=0),"",IFERROR(SUMIFS(随時_動員を入れる!$G$8:$G$97,随時_動員を入れる!$B$8:$B$97,"&gt;="&amp;'設定（最初に1回）'!$C$6,随時_動員を入れる!$B$8:$B$97,"&lt;="&amp;'設定（最初に1回）'!$C$6+(N($I71)+N($AG71))-1)/(N($I71)+N($AG71)),0)*$P71/100)</f>
        <v>22.8372</v>
      </c>
      <c r="R71" s="69" t="n">
        <f aca="false">IF($C71="","",SUMIFS(①今日の在庫を貼る!$O$6:$O$10005,①今日の在庫を貼る!$B$6:$B$10005,'設定（最初に1回）'!$C$4,①今日の在庫を貼る!$I$6:$I$10005,$C71))</f>
        <v>0</v>
      </c>
      <c r="S71" s="143" t="n">
        <f aca="false">IF($C71="","",IF('設定（最初に1回）'!$C$9="実績消費",N($O71),IF('設定（最初に1回）'!$C$9="PI値予測",N($Q71),MAX(N($O71),N($Q71)))))</f>
        <v>12.8852459016393</v>
      </c>
      <c r="T71" s="67" t="n">
        <f aca="false">IF(OR($S71="",$S71&lt;=0),"",$K71/$S71)</f>
        <v>46.0992366412214</v>
      </c>
      <c r="U71" s="69" t="n">
        <f aca="false">IF($S71="","",ROUNDUP(N($S71)*'設定（最初に1回）'!$C$12,0))</f>
        <v>52</v>
      </c>
      <c r="V71" s="69" t="n">
        <f aca="false">IF($C71="","",ROUNDUP(N($S71)*(N($I71)+N($AG71))+N($U71),0))</f>
        <v>181</v>
      </c>
      <c r="W71" s="69" t="n">
        <f aca="false">IF($C71="","",SUMIFS(発注管理!$L$6:$L$1005,発注管理!$C$6:$C$1005,'設定（最初に1回）'!$C$4,発注管理!$F$6:$F$1005,$C71,発注管理!$Q$6:$Q$1005,"発注済"))</f>
        <v>0</v>
      </c>
      <c r="X71" s="69" t="n">
        <f aca="false">IF($C71="","",MAX(0,N($V71)-N($K71)-N($W71)))</f>
        <v>0</v>
      </c>
      <c r="Y71" s="147" t="n">
        <f aca="false">IF($C71="","",IF(N($X71)&lt;=0,0,CEILING($X71/MAX(1,N($G71)),MAX(1,N($J71)))))</f>
        <v>0</v>
      </c>
      <c r="Z71" s="138" t="str">
        <f aca="false">IF($C71="","",IF(N($Y71)&gt;0,"要発注","正常"))</f>
        <v>正常</v>
      </c>
      <c r="AA71" s="71" t="n">
        <f aca="false">IF($C71="","",N($K71)*N($H71))</f>
        <v>96228</v>
      </c>
      <c r="AB71" s="66" t="str">
        <f aca="false">IF($C71="","",_xlfn.TEXTJOIN(" / ",TRUE(),IF(COUNTIF(商品マスタ!$B$6:$B$1005,$C71)=0,"マスタ未登録",""),IF(COUNTIFS(月1回_前回の在庫を貼る!$B$6:$B$10005,'設定（最初に1回）'!$C$4,月1回_前回の在庫を貼る!$I$6:$I$10005,$C71)=0,"新商品",""),IF(COUNTIFS(①今日の在庫を貼る!$B$6:$B$10005,'設定（最初に1回）'!$C$4,①今日の在庫を貼る!$I$6:$I$10005,$C71)=0,"終売候補",""),IF(N($K71)&lt;0,"在庫マイナス",""),IF(AND('設定（最初に1回）'!$C$9="PI値予測",$P71=""),"PI値未設定","")))</f>
        <v/>
      </c>
      <c r="AC71" s="71" t="n">
        <f aca="false">N($Y71)*N($H71)</f>
        <v>0</v>
      </c>
      <c r="AD71" s="66" t="str">
        <f aca="false">IF($C71="","",IFERROR(INDEX(商品マスタ!$K$6:$K$1005,MATCH($C71,商品マスタ!$B$6:$B$1005,0)),"常温"))</f>
        <v>常温</v>
      </c>
      <c r="AE71" s="69" t="n">
        <f aca="false">IF($C71="","",MAX(0,ROUNDUP(N($K71)/MAX(1,N($G71)),0)))</f>
        <v>5</v>
      </c>
      <c r="AF71" s="66" t="str">
        <f aca="false">IF($C71="","",IFERROR(INDEX(商品マスタ!$L$6:$L$1005,MATCH($C71,商品マスタ!$B$6:$B$1005,0)),""))</f>
        <v>その他常温</v>
      </c>
      <c r="AG71" s="143" t="n">
        <f aca="false">IF($C71="","",IFERROR(INDEX(定数マスタ!$S$110:$S$119,MATCH($AF71,定数マスタ!$J$110:$J$119,0)),N('設定（最初に1回）'!$C$13)))</f>
        <v>7</v>
      </c>
      <c r="AH71" s="66" t="n">
        <f aca="false">IF(AND(N($K71)&gt;0,N($Y71)&gt;0),N($Y71),0)</f>
        <v>0</v>
      </c>
    </row>
    <row r="72" customFormat="false" ht="15" hidden="false" customHeight="false" outlineLevel="0" collapsed="false">
      <c r="B72" s="66" t="n">
        <v>67</v>
      </c>
      <c r="C72" s="66" t="str">
        <f aca="false">IFERROR(IF($B72&lt;=MAX(①今日の在庫を貼る!$U$6:$U$10005),INDEX(①今日の在庫を貼る!$I$6:$I$10005,MATCH($B72,①今日の在庫を貼る!$U$6:$U$10005,0)),INDEX(月1回_前回の在庫を貼る!$I$6:$I$10005,MATCH($B72-MAX(①今日の在庫を貼る!$U$6:$U$10005),月1回_前回の在庫を貼る!$U$6:$U$10005,0))),"")</f>
        <v>1812000007564</v>
      </c>
      <c r="D72" s="66" t="str">
        <f aca="false">IF($C72="","",IFERROR(INDEX(商品マスタ!$C$6:$C$1005,MATCH($C72,商品マスタ!$B$6:$B$1005,0)),IFERROR(INDEX(①今日の在庫を貼る!$J$6:$J$10005,MATCH($C72,①今日の在庫を貼る!$I$6:$I$10005,0)),IFERROR(INDEX(月1回_前回の在庫を貼る!$J$6:$J$10005,MATCH($C72,月1回_前回の在庫を貼る!$I$6:$I$10005,0)),""))))</f>
        <v>いり塩パウダー（１Ｋｇ）</v>
      </c>
      <c r="E72" s="66" t="str">
        <f aca="false">IF($C72="","",IFERROR(INDEX(商品マスタ!$D$6:$D$1005,MATCH($C72,商品マスタ!$B$6:$B$1005,0)),IFERROR(INDEX(①今日の在庫を貼る!$H$6:$H$10005,MATCH($C72,①今日の在庫を貼る!$I$6:$I$10005,0)),IFERROR(INDEX(月1回_前回の在庫を貼る!$H$6:$H$10005,MATCH($C72,月1回_前回の在庫を貼る!$I$6:$I$10005,0)),""))))</f>
        <v>フード調味料</v>
      </c>
      <c r="F72" s="66" t="str">
        <f aca="false">IF($C72="","",IFERROR(INDEX(商品マスタ!$E$6:$E$1005,MATCH($C72,商品マスタ!$B$6:$B$1005,0)),IFERROR(INDEX(①今日の在庫を貼る!$E$6:$E$10005,MATCH($C72,①今日の在庫を貼る!$I$6:$I$10005,0)),IFERROR(INDEX(月1回_前回の在庫を貼る!$E$6:$E$10005,MATCH($C72,月1回_前回の在庫を貼る!$I$6:$I$10005,0)),""))))</f>
        <v>オザックス株式会社</v>
      </c>
      <c r="G72" s="69" t="n">
        <f aca="false">IF($C72="","",IFERROR(INDEX(商品マスタ!$F$6:$F$1005,MATCH($C72,商品マスタ!$B$6:$B$1005,0)),IFERROR(INDEX(①今日の在庫を貼る!$K$6:$K$10005,MATCH($C72,①今日の在庫を貼る!$I$6:$I$10005,0)),IFERROR(INDEX(月1回_前回の在庫を貼る!$K$6:$K$10005,MATCH($C72,月1回_前回の在庫を貼る!$I$6:$I$10005,0)),""))))</f>
        <v>1</v>
      </c>
      <c r="H72" s="71" t="n">
        <f aca="false">IF($C72="","",IFERROR(INDEX(商品マスタ!$G$6:$G$1005,MATCH($C72,商品マスタ!$B$6:$B$1005,0)),IFERROR(INDEX(①今日の在庫を貼る!$Q$6:$Q$10005,MATCH($C72,①今日の在庫を貼る!$I$6:$I$10005,0)),IFERROR(INDEX(月1回_前回の在庫を貼る!$Q$6:$Q$10005,MATCH($C72,月1回_前回の在庫を貼る!$I$6:$I$10005,0)),""))))</f>
        <v>458</v>
      </c>
      <c r="I72" s="66" t="n">
        <f aca="false">IF($C72="","",IFERROR(INDEX(商品マスタ!$H$6:$H$1005,MATCH($C72,商品マスタ!$B$6:$B$1005,0)),3))</f>
        <v>7</v>
      </c>
      <c r="J72" s="66" t="n">
        <f aca="false">IF($C72="","",MAX(1,IFERROR(INDEX(商品マスタ!$I$6:$I$1005,MATCH($C72,商品マスタ!$B$6:$B$1005,0)),1)))</f>
        <v>5</v>
      </c>
      <c r="K72" s="69" t="n">
        <f aca="false">IF($C72="","",SUMIFS(①今日の在庫を貼る!$N$6:$N$10005,①今日の在庫を貼る!$B$6:$B$10005,'設定（最初に1回）'!$C$4,①今日の在庫を貼る!$I$6:$I$10005,$C72))</f>
        <v>75</v>
      </c>
      <c r="L72" s="69" t="n">
        <f aca="false">IF($C72="","",SUMIFS(月1回_前回の在庫を貼る!$N$6:$N$10005,月1回_前回の在庫を貼る!$B$6:$B$10005,'設定（最初に1回）'!$C$4,月1回_前回の在庫を貼る!$I$6:$I$10005,$C72))</f>
        <v>161</v>
      </c>
      <c r="M72" s="69" t="n">
        <f aca="false">IF($C72="","",IF(OR('設定（最初に1回）'!$C$6="",'設定（最初に1回）'!$C$7=""),0,SUMIFS(発注管理!$S$6:$S$1005,発注管理!$C$6:$C$1005,'設定（最初に1回）'!$C$4,発注管理!$F$6:$F$1005,$C72,発注管理!$R$6:$R$1005,"&gt;="&amp;'設定（最初に1回）'!$C$7,発注管理!$R$6:$R$1005,"&lt;="&amp;'設定（最初に1回）'!$C$6)))</f>
        <v>0</v>
      </c>
      <c r="N72" s="69" t="n">
        <f aca="false">IF(OR($C72="",'設定（最初に1回）'!$C$15=0),"",$L72+$M72-$K72)</f>
        <v>86</v>
      </c>
      <c r="O72" s="143" t="n">
        <f aca="false">IF(OR($N72="",'設定（最初に1回）'!$C$8="",'設定（最初に1回）'!$C$8&lt;=0),"",MAX(0,$N72)/'設定（最初に1回）'!$C$8)</f>
        <v>1.40983606557377</v>
      </c>
      <c r="P72" s="143" t="n">
        <f aca="false">IF($C72="","",IFERROR(INDEX(商品マスタ!$M$6:$N$1005,MATCH($C72,商品マスタ!$B$6:$B$1005,0),MATCH("PI値 "&amp;'設定（最初に1回）'!$C$11,商品マスタ!$M$5:$N$5,0)),""))</f>
        <v>2.7</v>
      </c>
      <c r="Q72" s="143" t="n">
        <f aca="false">IF(OR($C72="",$P72="",$P72=0,(N($I72)+N($AG72))&lt;=0),"",IFERROR(SUMIFS(随時_動員を入れる!$G$8:$G$97,随時_動員を入れる!$B$8:$B$97,"&gt;="&amp;'設定（最初に1回）'!$C$6,随時_動員を入れる!$B$8:$B$97,"&lt;="&amp;'設定（最初に1回）'!$C$6+(N($I72)+N($AG72))-1)/(N($I72)+N($AG72)),0)*$P72/100)</f>
        <v>86.967</v>
      </c>
      <c r="R72" s="69" t="n">
        <f aca="false">IF($C72="","",SUMIFS(①今日の在庫を貼る!$O$6:$O$10005,①今日の在庫を貼る!$B$6:$B$10005,'設定（最初に1回）'!$C$4,①今日の在庫を貼る!$I$6:$I$10005,$C72))</f>
        <v>0</v>
      </c>
      <c r="S72" s="143" t="n">
        <f aca="false">IF($C72="","",IF('設定（最初に1回）'!$C$9="実績消費",N($O72),IF('設定（最初に1回）'!$C$9="PI値予測",N($Q72),MAX(N($O72),N($Q72)))))</f>
        <v>1.40983606557377</v>
      </c>
      <c r="T72" s="67" t="n">
        <f aca="false">IF(OR($S72="",$S72&lt;=0),"",$K72/$S72)</f>
        <v>53.1976744186047</v>
      </c>
      <c r="U72" s="69" t="n">
        <f aca="false">IF($S72="","",ROUNDUP(N($S72)*'設定（最初に1回）'!$C$12,0))</f>
        <v>6</v>
      </c>
      <c r="V72" s="69" t="n">
        <f aca="false">IF($C72="","",ROUNDUP(N($S72)*(N($I72)+N($AG72))+N($U72),0))</f>
        <v>26</v>
      </c>
      <c r="W72" s="69" t="n">
        <f aca="false">IF($C72="","",SUMIFS(発注管理!$L$6:$L$1005,発注管理!$C$6:$C$1005,'設定（最初に1回）'!$C$4,発注管理!$F$6:$F$1005,$C72,発注管理!$Q$6:$Q$1005,"発注済"))</f>
        <v>0</v>
      </c>
      <c r="X72" s="69" t="n">
        <f aca="false">IF($C72="","",MAX(0,N($V72)-N($K72)-N($W72)))</f>
        <v>0</v>
      </c>
      <c r="Y72" s="147" t="n">
        <f aca="false">IF($C72="","",IF(N($X72)&lt;=0,0,CEILING($X72/MAX(1,N($G72)),MAX(1,N($J72)))))</f>
        <v>0</v>
      </c>
      <c r="Z72" s="138" t="str">
        <f aca="false">IF($C72="","",IF(N($Y72)&gt;0,"要発注","正常"))</f>
        <v>正常</v>
      </c>
      <c r="AA72" s="71" t="n">
        <f aca="false">IF($C72="","",N($K72)*N($H72))</f>
        <v>34350</v>
      </c>
      <c r="AB72" s="66" t="str">
        <f aca="false">IF($C72="","",_xlfn.TEXTJOIN(" / ",TRUE(),IF(COUNTIF(商品マスタ!$B$6:$B$1005,$C72)=0,"マスタ未登録",""),IF(COUNTIFS(月1回_前回の在庫を貼る!$B$6:$B$10005,'設定（最初に1回）'!$C$4,月1回_前回の在庫を貼る!$I$6:$I$10005,$C72)=0,"新商品",""),IF(COUNTIFS(①今日の在庫を貼る!$B$6:$B$10005,'設定（最初に1回）'!$C$4,①今日の在庫を貼る!$I$6:$I$10005,$C72)=0,"終売候補",""),IF(N($K72)&lt;0,"在庫マイナス",""),IF(AND('設定（最初に1回）'!$C$9="PI値予測",$P72=""),"PI値未設定","")))</f>
        <v/>
      </c>
      <c r="AC72" s="71" t="n">
        <f aca="false">N($Y72)*N($H72)</f>
        <v>0</v>
      </c>
      <c r="AD72" s="66" t="str">
        <f aca="false">IF($C72="","",IFERROR(INDEX(商品マスタ!$K$6:$K$1005,MATCH($C72,商品マスタ!$B$6:$B$1005,0)),"常温"))</f>
        <v>常温</v>
      </c>
      <c r="AE72" s="69" t="n">
        <f aca="false">IF($C72="","",MAX(0,ROUNDUP(N($K72)/MAX(1,N($G72)),0)))</f>
        <v>75</v>
      </c>
      <c r="AF72" s="66" t="str">
        <f aca="false">IF($C72="","",IFERROR(INDEX(商品マスタ!$L$6:$L$1005,MATCH($C72,商品マスタ!$B$6:$B$1005,0)),""))</f>
        <v>その他常温</v>
      </c>
      <c r="AG72" s="143" t="n">
        <f aca="false">IF($C72="","",IFERROR(INDEX(定数マスタ!$S$110:$S$119,MATCH($AF72,定数マスタ!$J$110:$J$119,0)),N('設定（最初に1回）'!$C$13)))</f>
        <v>7</v>
      </c>
      <c r="AH72" s="66" t="n">
        <f aca="false">IF(AND(N($K72)&gt;0,N($Y72)&gt;0),N($Y72),0)</f>
        <v>0</v>
      </c>
    </row>
    <row r="73" customFormat="false" ht="15" hidden="false" customHeight="false" outlineLevel="0" collapsed="false">
      <c r="B73" s="66" t="n">
        <v>68</v>
      </c>
      <c r="C73" s="66" t="str">
        <f aca="false">IFERROR(IF($B73&lt;=MAX(①今日の在庫を貼る!$U$6:$U$10005),INDEX(①今日の在庫を貼る!$I$6:$I$10005,MATCH($B73,①今日の在庫を貼る!$U$6:$U$10005,0)),INDEX(月1回_前回の在庫を貼る!$I$6:$I$10005,MATCH($B73-MAX(①今日の在庫を貼る!$U$6:$U$10005),月1回_前回の在庫を貼る!$U$6:$U$10005,0))),"")</f>
        <v>1812000008837</v>
      </c>
      <c r="D73" s="66" t="str">
        <f aca="false">IF($C73="","",IFERROR(INDEX(商品マスタ!$C$6:$C$1005,MATCH($C73,商品マスタ!$B$6:$B$1005,0)),IFERROR(INDEX(①今日の在庫を貼る!$J$6:$J$10005,MATCH($C73,①今日の在庫を貼る!$I$6:$I$10005,0)),IFERROR(INDEX(月1回_前回の在庫を貼る!$J$6:$J$10005,MATCH($C73,月1回_前回の在庫を貼る!$I$6:$I$10005,0)),""))))</f>
        <v>マスタードソース（ピース出荷）</v>
      </c>
      <c r="E73" s="66" t="str">
        <f aca="false">IF($C73="","",IFERROR(INDEX(商品マスタ!$D$6:$D$1005,MATCH($C73,商品マスタ!$B$6:$B$1005,0)),IFERROR(INDEX(①今日の在庫を貼る!$H$6:$H$10005,MATCH($C73,①今日の在庫を貼る!$I$6:$I$10005,0)),IFERROR(INDEX(月1回_前回の在庫を貼る!$H$6:$H$10005,MATCH($C73,月1回_前回の在庫を貼る!$I$6:$I$10005,0)),""))))</f>
        <v>フード調味料</v>
      </c>
      <c r="F73" s="66" t="str">
        <f aca="false">IF($C73="","",IFERROR(INDEX(商品マスタ!$E$6:$E$1005,MATCH($C73,商品マスタ!$B$6:$B$1005,0)),IFERROR(INDEX(①今日の在庫を貼る!$E$6:$E$10005,MATCH($C73,①今日の在庫を貼る!$I$6:$I$10005,0)),IFERROR(INDEX(月1回_前回の在庫を貼る!$E$6:$E$10005,MATCH($C73,月1回_前回の在庫を貼る!$I$6:$I$10005,0)),""))))</f>
        <v>オザックス株式会社</v>
      </c>
      <c r="G73" s="69" t="n">
        <f aca="false">IF($C73="","",IFERROR(INDEX(商品マスタ!$F$6:$F$1005,MATCH($C73,商品マスタ!$B$6:$B$1005,0)),IFERROR(INDEX(①今日の在庫を貼る!$K$6:$K$10005,MATCH($C73,①今日の在庫を貼る!$I$6:$I$10005,0)),IFERROR(INDEX(月1回_前回の在庫を貼る!$K$6:$K$10005,MATCH($C73,月1回_前回の在庫を貼る!$I$6:$I$10005,0)),""))))</f>
        <v>1</v>
      </c>
      <c r="H73" s="71" t="n">
        <f aca="false">IF($C73="","",IFERROR(INDEX(商品マスタ!$G$6:$G$1005,MATCH($C73,商品マスタ!$B$6:$B$1005,0)),IFERROR(INDEX(①今日の在庫を貼る!$Q$6:$Q$10005,MATCH($C73,①今日の在庫を貼る!$I$6:$I$10005,0)),IFERROR(INDEX(月1回_前回の在庫を貼る!$Q$6:$Q$10005,MATCH($C73,月1回_前回の在庫を貼る!$I$6:$I$10005,0)),""))))</f>
        <v>452</v>
      </c>
      <c r="I73" s="66" t="n">
        <f aca="false">IF($C73="","",IFERROR(INDEX(商品マスタ!$H$6:$H$1005,MATCH($C73,商品マスタ!$B$6:$B$1005,0)),3))</f>
        <v>3</v>
      </c>
      <c r="J73" s="66" t="n">
        <f aca="false">IF($C73="","",MAX(1,IFERROR(INDEX(商品マスタ!$I$6:$I$1005,MATCH($C73,商品マスタ!$B$6:$B$1005,0)),1)))</f>
        <v>2</v>
      </c>
      <c r="K73" s="69" t="n">
        <f aca="false">IF($C73="","",SUMIFS(①今日の在庫を貼る!$N$6:$N$10005,①今日の在庫を貼る!$B$6:$B$10005,'設定（最初に1回）'!$C$4,①今日の在庫を貼る!$I$6:$I$10005,$C73))</f>
        <v>4</v>
      </c>
      <c r="L73" s="69" t="n">
        <f aca="false">IF($C73="","",SUMIFS(月1回_前回の在庫を貼る!$N$6:$N$10005,月1回_前回の在庫を貼る!$B$6:$B$10005,'設定（最初に1回）'!$C$4,月1回_前回の在庫を貼る!$I$6:$I$10005,$C73))</f>
        <v>16</v>
      </c>
      <c r="M73" s="69" t="n">
        <f aca="false">IF($C73="","",IF(OR('設定（最初に1回）'!$C$6="",'設定（最初に1回）'!$C$7=""),0,SUMIFS(発注管理!$S$6:$S$1005,発注管理!$C$6:$C$1005,'設定（最初に1回）'!$C$4,発注管理!$F$6:$F$1005,$C73,発注管理!$R$6:$R$1005,"&gt;="&amp;'設定（最初に1回）'!$C$7,発注管理!$R$6:$R$1005,"&lt;="&amp;'設定（最初に1回）'!$C$6)))</f>
        <v>0</v>
      </c>
      <c r="N73" s="69" t="n">
        <f aca="false">IF(OR($C73="",'設定（最初に1回）'!$C$15=0),"",$L73+$M73-$K73)</f>
        <v>12</v>
      </c>
      <c r="O73" s="143" t="n">
        <f aca="false">IF(OR($N73="",'設定（最初に1回）'!$C$8="",'設定（最初に1回）'!$C$8&lt;=0),"",MAX(0,$N73)/'設定（最初に1回）'!$C$8)</f>
        <v>0.19672131147541</v>
      </c>
      <c r="P73" s="143" t="n">
        <f aca="false">IF($C73="","",IFERROR(INDEX(商品マスタ!$M$6:$N$1005,MATCH($C73,商品マスタ!$B$6:$B$1005,0),MATCH("PI値 "&amp;'設定（最初に1回）'!$C$11,商品マスタ!$M$5:$N$5,0)),""))</f>
        <v>1.5</v>
      </c>
      <c r="Q73" s="143" t="n">
        <f aca="false">IF(OR($C73="",$P73="",$P73=0,(N($I73)+N($AG73))&lt;=0),"",IFERROR(SUMIFS(随時_動員を入れる!$G$8:$G$97,随時_動員を入れる!$B$8:$B$97,"&gt;="&amp;'設定（最初に1回）'!$C$6,随時_動員を入れる!$B$8:$B$97,"&lt;="&amp;'設定（最初に1回）'!$C$6+(N($I73)+N($AG73))-1)/(N($I73)+N($AG73)),0)*$P73/100)</f>
        <v>57.093</v>
      </c>
      <c r="R73" s="69" t="n">
        <f aca="false">IF($C73="","",SUMIFS(①今日の在庫を貼る!$O$6:$O$10005,①今日の在庫を貼る!$B$6:$B$10005,'設定（最初に1回）'!$C$4,①今日の在庫を貼る!$I$6:$I$10005,$C73))</f>
        <v>0</v>
      </c>
      <c r="S73" s="143" t="n">
        <f aca="false">IF($C73="","",IF('設定（最初に1回）'!$C$9="実績消費",N($O73),IF('設定（最初に1回）'!$C$9="PI値予測",N($Q73),MAX(N($O73),N($Q73)))))</f>
        <v>0.19672131147541</v>
      </c>
      <c r="T73" s="67" t="n">
        <f aca="false">IF(OR($S73="",$S73&lt;=0),"",$K73/$S73)</f>
        <v>20.3333333333333</v>
      </c>
      <c r="U73" s="69" t="n">
        <f aca="false">IF($S73="","",ROUNDUP(N($S73)*'設定（最初に1回）'!$C$12,0))</f>
        <v>1</v>
      </c>
      <c r="V73" s="69" t="n">
        <f aca="false">IF($C73="","",ROUNDUP(N($S73)*(N($I73)+N($AG73))+N($U73),0))</f>
        <v>3</v>
      </c>
      <c r="W73" s="69" t="n">
        <f aca="false">IF($C73="","",SUMIFS(発注管理!$L$6:$L$1005,発注管理!$C$6:$C$1005,'設定（最初に1回）'!$C$4,発注管理!$F$6:$F$1005,$C73,発注管理!$Q$6:$Q$1005,"発注済"))</f>
        <v>0</v>
      </c>
      <c r="X73" s="69" t="n">
        <f aca="false">IF($C73="","",MAX(0,N($V73)-N($K73)-N($W73)))</f>
        <v>0</v>
      </c>
      <c r="Y73" s="147" t="n">
        <f aca="false">IF($C73="","",IF(N($X73)&lt;=0,0,CEILING($X73/MAX(1,N($G73)),MAX(1,N($J73)))))</f>
        <v>0</v>
      </c>
      <c r="Z73" s="138" t="str">
        <f aca="false">IF($C73="","",IF(N($Y73)&gt;0,"要発注","正常"))</f>
        <v>正常</v>
      </c>
      <c r="AA73" s="71" t="n">
        <f aca="false">IF($C73="","",N($K73)*N($H73))</f>
        <v>1808</v>
      </c>
      <c r="AB73" s="66" t="str">
        <f aca="false">IF($C73="","",_xlfn.TEXTJOIN(" / ",TRUE(),IF(COUNTIF(商品マスタ!$B$6:$B$1005,$C73)=0,"マスタ未登録",""),IF(COUNTIFS(月1回_前回の在庫を貼る!$B$6:$B$10005,'設定（最初に1回）'!$C$4,月1回_前回の在庫を貼る!$I$6:$I$10005,$C73)=0,"新商品",""),IF(COUNTIFS(①今日の在庫を貼る!$B$6:$B$10005,'設定（最初に1回）'!$C$4,①今日の在庫を貼る!$I$6:$I$10005,$C73)=0,"終売候補",""),IF(N($K73)&lt;0,"在庫マイナス",""),IF(AND('設定（最初に1回）'!$C$9="PI値予測",$P73=""),"PI値未設定","")))</f>
        <v/>
      </c>
      <c r="AC73" s="71" t="n">
        <f aca="false">N($Y73)*N($H73)</f>
        <v>0</v>
      </c>
      <c r="AD73" s="66" t="str">
        <f aca="false">IF($C73="","",IFERROR(INDEX(商品マスタ!$K$6:$K$1005,MATCH($C73,商品マスタ!$B$6:$B$1005,0)),"常温"))</f>
        <v>常温</v>
      </c>
      <c r="AE73" s="69" t="n">
        <f aca="false">IF($C73="","",MAX(0,ROUNDUP(N($K73)/MAX(1,N($G73)),0)))</f>
        <v>4</v>
      </c>
      <c r="AF73" s="66" t="str">
        <f aca="false">IF($C73="","",IFERROR(INDEX(商品マスタ!$L$6:$L$1005,MATCH($C73,商品マスタ!$B$6:$B$1005,0)),""))</f>
        <v>その他常温</v>
      </c>
      <c r="AG73" s="143" t="n">
        <f aca="false">IF($C73="","",IFERROR(INDEX(定数マスタ!$S$110:$S$119,MATCH($AF73,定数マスタ!$J$110:$J$119,0)),N('設定（最初に1回）'!$C$13)))</f>
        <v>7</v>
      </c>
      <c r="AH73" s="66" t="n">
        <f aca="false">IF(AND(N($K73)&gt;0,N($Y73)&gt;0),N($Y73),0)</f>
        <v>0</v>
      </c>
    </row>
    <row r="74" customFormat="false" ht="15" hidden="false" customHeight="false" outlineLevel="0" collapsed="false">
      <c r="B74" s="66" t="n">
        <v>69</v>
      </c>
      <c r="C74" s="66" t="str">
        <f aca="false">IFERROR(IF($B74&lt;=MAX(①今日の在庫を貼る!$U$6:$U$10005),INDEX(①今日の在庫を貼る!$I$6:$I$10005,MATCH($B74,①今日の在庫を貼る!$U$6:$U$10005,0)),INDEX(月1回_前回の在庫を貼る!$I$6:$I$10005,MATCH($B74-MAX(①今日の在庫を貼る!$U$6:$U$10005),月1回_前回の在庫を貼る!$U$6:$U$10005,0))),"")</f>
        <v>1812000011066</v>
      </c>
      <c r="D74" s="66" t="str">
        <f aca="false">IF($C74="","",IFERROR(INDEX(商品マスタ!$C$6:$C$1005,MATCH($C74,商品マスタ!$B$6:$B$1005,0)),IFERROR(INDEX(①今日の在庫を貼る!$J$6:$J$10005,MATCH($C74,①今日の在庫を貼る!$I$6:$I$10005,0)),IFERROR(INDEX(月1回_前回の在庫を貼る!$J$6:$J$10005,MATCH($C74,月1回_前回の在庫を貼る!$I$6:$I$10005,0)),""))))</f>
        <v>ケチャップソース３００Ｇ</v>
      </c>
      <c r="E74" s="66" t="str">
        <f aca="false">IF($C74="","",IFERROR(INDEX(商品マスタ!$D$6:$D$1005,MATCH($C74,商品マスタ!$B$6:$B$1005,0)),IFERROR(INDEX(①今日の在庫を貼る!$H$6:$H$10005,MATCH($C74,①今日の在庫を貼る!$I$6:$I$10005,0)),IFERROR(INDEX(月1回_前回の在庫を貼る!$H$6:$H$10005,MATCH($C74,月1回_前回の在庫を貼る!$I$6:$I$10005,0)),""))))</f>
        <v>フード調味料</v>
      </c>
      <c r="F74" s="66" t="str">
        <f aca="false">IF($C74="","",IFERROR(INDEX(商品マスタ!$E$6:$E$1005,MATCH($C74,商品マスタ!$B$6:$B$1005,0)),IFERROR(INDEX(①今日の在庫を貼る!$E$6:$E$10005,MATCH($C74,①今日の在庫を貼る!$I$6:$I$10005,0)),IFERROR(INDEX(月1回_前回の在庫を貼る!$E$6:$E$10005,MATCH($C74,月1回_前回の在庫を貼る!$I$6:$I$10005,0)),""))))</f>
        <v>オザックス株式会社</v>
      </c>
      <c r="G74" s="69" t="n">
        <f aca="false">IF($C74="","",IFERROR(INDEX(商品マスタ!$F$6:$F$1005,MATCH($C74,商品マスタ!$B$6:$B$1005,0)),IFERROR(INDEX(①今日の在庫を貼る!$K$6:$K$10005,MATCH($C74,①今日の在庫を貼る!$I$6:$I$10005,0)),IFERROR(INDEX(月1回_前回の在庫を貼る!$K$6:$K$10005,MATCH($C74,月1回_前回の在庫を貼る!$I$6:$I$10005,0)),""))))</f>
        <v>1</v>
      </c>
      <c r="H74" s="71" t="n">
        <f aca="false">IF($C74="","",IFERROR(INDEX(商品マスタ!$G$6:$G$1005,MATCH($C74,商品マスタ!$B$6:$B$1005,0)),IFERROR(INDEX(①今日の在庫を貼る!$Q$6:$Q$10005,MATCH($C74,①今日の在庫を貼る!$I$6:$I$10005,0)),IFERROR(INDEX(月1回_前回の在庫を貼る!$Q$6:$Q$10005,MATCH($C74,月1回_前回の在庫を貼る!$I$6:$I$10005,0)),""))))</f>
        <v>371</v>
      </c>
      <c r="I74" s="66" t="n">
        <f aca="false">IF($C74="","",IFERROR(INDEX(商品マスタ!$H$6:$H$1005,MATCH($C74,商品マスタ!$B$6:$B$1005,0)),3))</f>
        <v>2</v>
      </c>
      <c r="J74" s="66" t="n">
        <f aca="false">IF($C74="","",MAX(1,IFERROR(INDEX(商品マスタ!$I$6:$I$1005,MATCH($C74,商品マスタ!$B$6:$B$1005,0)),1)))</f>
        <v>5</v>
      </c>
      <c r="K74" s="69" t="n">
        <f aca="false">IF($C74="","",SUMIFS(①今日の在庫を貼る!$N$6:$N$10005,①今日の在庫を貼る!$B$6:$B$10005,'設定（最初に1回）'!$C$4,①今日の在庫を貼る!$I$6:$I$10005,$C74))</f>
        <v>15</v>
      </c>
      <c r="L74" s="69" t="n">
        <f aca="false">IF($C74="","",SUMIFS(月1回_前回の在庫を貼る!$N$6:$N$10005,月1回_前回の在庫を貼る!$B$6:$B$10005,'設定（最初に1回）'!$C$4,月1回_前回の在庫を貼る!$I$6:$I$10005,$C74))</f>
        <v>72</v>
      </c>
      <c r="M74" s="69" t="n">
        <f aca="false">IF($C74="","",IF(OR('設定（最初に1回）'!$C$6="",'設定（最初に1回）'!$C$7=""),0,SUMIFS(発注管理!$S$6:$S$1005,発注管理!$C$6:$C$1005,'設定（最初に1回）'!$C$4,発注管理!$F$6:$F$1005,$C74,発注管理!$R$6:$R$1005,"&gt;="&amp;'設定（最初に1回）'!$C$7,発注管理!$R$6:$R$1005,"&lt;="&amp;'設定（最初に1回）'!$C$6)))</f>
        <v>0</v>
      </c>
      <c r="N74" s="69" t="n">
        <f aca="false">IF(OR($C74="",'設定（最初に1回）'!$C$15=0),"",$L74+$M74-$K74)</f>
        <v>57</v>
      </c>
      <c r="O74" s="143" t="n">
        <f aca="false">IF(OR($N74="",'設定（最初に1回）'!$C$8="",'設定（最初に1回）'!$C$8&lt;=0),"",MAX(0,$N74)/'設定（最初に1回）'!$C$8)</f>
        <v>0.934426229508197</v>
      </c>
      <c r="P74" s="143" t="n">
        <f aca="false">IF($C74="","",IFERROR(INDEX(商品マスタ!$M$6:$N$1005,MATCH($C74,商品マスタ!$B$6:$B$1005,0),MATCH("PI値 "&amp;'設定（最初に1回）'!$C$11,商品マスタ!$M$5:$N$5,0)),""))</f>
        <v>2.2</v>
      </c>
      <c r="Q74" s="143" t="n">
        <f aca="false">IF(OR($C74="",$P74="",$P74=0,(N($I74)+N($AG74))&lt;=0),"",IFERROR(SUMIFS(随時_動員を入れる!$G$8:$G$97,随時_動員を入れる!$B$8:$B$97,"&gt;="&amp;'設定（最初に1回）'!$C$6,随時_動員を入れる!$B$8:$B$97,"&lt;="&amp;'設定（最初に1回）'!$C$6+(N($I74)+N($AG74))-1)/(N($I74)+N($AG74)),0)*$P74/100)</f>
        <v>84.5068888888889</v>
      </c>
      <c r="R74" s="69" t="n">
        <f aca="false">IF($C74="","",SUMIFS(①今日の在庫を貼る!$O$6:$O$10005,①今日の在庫を貼る!$B$6:$B$10005,'設定（最初に1回）'!$C$4,①今日の在庫を貼る!$I$6:$I$10005,$C74))</f>
        <v>0</v>
      </c>
      <c r="S74" s="143" t="n">
        <f aca="false">IF($C74="","",IF('設定（最初に1回）'!$C$9="実績消費",N($O74),IF('設定（最初に1回）'!$C$9="PI値予測",N($Q74),MAX(N($O74),N($Q74)))))</f>
        <v>0.934426229508197</v>
      </c>
      <c r="T74" s="67" t="n">
        <f aca="false">IF(OR($S74="",$S74&lt;=0),"",$K74/$S74)</f>
        <v>16.0526315789474</v>
      </c>
      <c r="U74" s="69" t="n">
        <f aca="false">IF($S74="","",ROUNDUP(N($S74)*'設定（最初に1回）'!$C$12,0))</f>
        <v>4</v>
      </c>
      <c r="V74" s="69" t="n">
        <f aca="false">IF($C74="","",ROUNDUP(N($S74)*(N($I74)+N($AG74))+N($U74),0))</f>
        <v>13</v>
      </c>
      <c r="W74" s="69" t="n">
        <f aca="false">IF($C74="","",SUMIFS(発注管理!$L$6:$L$1005,発注管理!$C$6:$C$1005,'設定（最初に1回）'!$C$4,発注管理!$F$6:$F$1005,$C74,発注管理!$Q$6:$Q$1005,"発注済"))</f>
        <v>0</v>
      </c>
      <c r="X74" s="69" t="n">
        <f aca="false">IF($C74="","",MAX(0,N($V74)-N($K74)-N($W74)))</f>
        <v>0</v>
      </c>
      <c r="Y74" s="147" t="n">
        <f aca="false">IF($C74="","",IF(N($X74)&lt;=0,0,CEILING($X74/MAX(1,N($G74)),MAX(1,N($J74)))))</f>
        <v>0</v>
      </c>
      <c r="Z74" s="138" t="str">
        <f aca="false">IF($C74="","",IF(N($Y74)&gt;0,"要発注","正常"))</f>
        <v>正常</v>
      </c>
      <c r="AA74" s="71" t="n">
        <f aca="false">IF($C74="","",N($K74)*N($H74))</f>
        <v>5565</v>
      </c>
      <c r="AB74" s="66" t="str">
        <f aca="false">IF($C74="","",_xlfn.TEXTJOIN(" / ",TRUE(),IF(COUNTIF(商品マスタ!$B$6:$B$1005,$C74)=0,"マスタ未登録",""),IF(COUNTIFS(月1回_前回の在庫を貼る!$B$6:$B$10005,'設定（最初に1回）'!$C$4,月1回_前回の在庫を貼る!$I$6:$I$10005,$C74)=0,"新商品",""),IF(COUNTIFS(①今日の在庫を貼る!$B$6:$B$10005,'設定（最初に1回）'!$C$4,①今日の在庫を貼る!$I$6:$I$10005,$C74)=0,"終売候補",""),IF(N($K74)&lt;0,"在庫マイナス",""),IF(AND('設定（最初に1回）'!$C$9="PI値予測",$P74=""),"PI値未設定","")))</f>
        <v/>
      </c>
      <c r="AC74" s="71" t="n">
        <f aca="false">N($Y74)*N($H74)</f>
        <v>0</v>
      </c>
      <c r="AD74" s="66" t="str">
        <f aca="false">IF($C74="","",IFERROR(INDEX(商品マスタ!$K$6:$K$1005,MATCH($C74,商品マスタ!$B$6:$B$1005,0)),"常温"))</f>
        <v>常温</v>
      </c>
      <c r="AE74" s="69" t="n">
        <f aca="false">IF($C74="","",MAX(0,ROUNDUP(N($K74)/MAX(1,N($G74)),0)))</f>
        <v>15</v>
      </c>
      <c r="AF74" s="66" t="str">
        <f aca="false">IF($C74="","",IFERROR(INDEX(商品マスタ!$L$6:$L$1005,MATCH($C74,商品マスタ!$B$6:$B$1005,0)),""))</f>
        <v>その他常温</v>
      </c>
      <c r="AG74" s="143" t="n">
        <f aca="false">IF($C74="","",IFERROR(INDEX(定数マスタ!$S$110:$S$119,MATCH($AF74,定数マスタ!$J$110:$J$119,0)),N('設定（最初に1回）'!$C$13)))</f>
        <v>7</v>
      </c>
      <c r="AH74" s="66" t="n">
        <f aca="false">IF(AND(N($K74)&gt;0,N($Y74)&gt;0),N($Y74),0)</f>
        <v>0</v>
      </c>
    </row>
    <row r="75" customFormat="false" ht="15" hidden="false" customHeight="false" outlineLevel="0" collapsed="false">
      <c r="B75" s="66" t="n">
        <v>70</v>
      </c>
      <c r="C75" s="66" t="str">
        <f aca="false">IFERROR(IF($B75&lt;=MAX(①今日の在庫を貼る!$U$6:$U$10005),INDEX(①今日の在庫を貼る!$I$6:$I$10005,MATCH($B75,①今日の在庫を貼る!$U$6:$U$10005,0)),INDEX(月1回_前回の在庫を貼る!$I$6:$I$10005,MATCH($B75-MAX(①今日の在庫を貼る!$U$6:$U$10005),月1回_前回の在庫を貼る!$U$6:$U$10005,0))),"")</f>
        <v>1812000011721</v>
      </c>
      <c r="D75" s="66" t="str">
        <f aca="false">IF($C75="","",IFERROR(INDEX(商品マスタ!$C$6:$C$1005,MATCH($C75,商品マスタ!$B$6:$B$1005,0)),IFERROR(INDEX(①今日の在庫を貼る!$J$6:$J$10005,MATCH($C75,①今日の在庫を貼る!$I$6:$I$10005,0)),IFERROR(INDEX(月1回_前回の在庫を貼る!$J$6:$J$10005,MATCH($C75,月1回_前回の在庫を貼る!$I$6:$I$10005,0)),""))))</f>
        <v>ＴＨ　４種のチーズソース</v>
      </c>
      <c r="E75" s="66" t="str">
        <f aca="false">IF($C75="","",IFERROR(INDEX(商品マスタ!$D$6:$D$1005,MATCH($C75,商品マスタ!$B$6:$B$1005,0)),IFERROR(INDEX(①今日の在庫を貼る!$H$6:$H$10005,MATCH($C75,①今日の在庫を貼る!$I$6:$I$10005,0)),IFERROR(INDEX(月1回_前回の在庫を貼る!$H$6:$H$10005,MATCH($C75,月1回_前回の在庫を貼る!$I$6:$I$10005,0)),""))))</f>
        <v>フード調味料</v>
      </c>
      <c r="F75" s="66" t="str">
        <f aca="false">IF($C75="","",IFERROR(INDEX(商品マスタ!$E$6:$E$1005,MATCH($C75,商品マスタ!$B$6:$B$1005,0)),IFERROR(INDEX(①今日の在庫を貼る!$E$6:$E$10005,MATCH($C75,①今日の在庫を貼る!$I$6:$I$10005,0)),IFERROR(INDEX(月1回_前回の在庫を貼る!$E$6:$E$10005,MATCH($C75,月1回_前回の在庫を貼る!$I$6:$I$10005,0)),""))))</f>
        <v>オザックス株式会社</v>
      </c>
      <c r="G75" s="69" t="n">
        <f aca="false">IF($C75="","",IFERROR(INDEX(商品マスタ!$F$6:$F$1005,MATCH($C75,商品マスタ!$B$6:$B$1005,0)),IFERROR(INDEX(①今日の在庫を貼る!$K$6:$K$10005,MATCH($C75,①今日の在庫を貼る!$I$6:$I$10005,0)),IFERROR(INDEX(月1回_前回の在庫を貼る!$K$6:$K$10005,MATCH($C75,月1回_前回の在庫を貼る!$I$6:$I$10005,0)),""))))</f>
        <v>1</v>
      </c>
      <c r="H75" s="71" t="n">
        <f aca="false">IF($C75="","",IFERROR(INDEX(商品マスタ!$G$6:$G$1005,MATCH($C75,商品マスタ!$B$6:$B$1005,0)),IFERROR(INDEX(①今日の在庫を貼る!$Q$6:$Q$10005,MATCH($C75,①今日の在庫を貼る!$I$6:$I$10005,0)),IFERROR(INDEX(月1回_前回の在庫を貼る!$Q$6:$Q$10005,MATCH($C75,月1回_前回の在庫を貼る!$I$6:$I$10005,0)),""))))</f>
        <v>822</v>
      </c>
      <c r="I75" s="66" t="n">
        <f aca="false">IF($C75="","",IFERROR(INDEX(商品マスタ!$H$6:$H$1005,MATCH($C75,商品マスタ!$B$6:$B$1005,0)),3))</f>
        <v>3</v>
      </c>
      <c r="J75" s="66" t="n">
        <f aca="false">IF($C75="","",MAX(1,IFERROR(INDEX(商品マスタ!$I$6:$I$1005,MATCH($C75,商品マスタ!$B$6:$B$1005,0)),1)))</f>
        <v>1</v>
      </c>
      <c r="K75" s="69" t="n">
        <f aca="false">IF($C75="","",SUMIFS(①今日の在庫を貼る!$N$6:$N$10005,①今日の在庫を貼る!$B$6:$B$10005,'設定（最初に1回）'!$C$4,①今日の在庫を貼る!$I$6:$I$10005,$C75))</f>
        <v>38</v>
      </c>
      <c r="L75" s="69" t="n">
        <f aca="false">IF($C75="","",SUMIFS(月1回_前回の在庫を貼る!$N$6:$N$10005,月1回_前回の在庫を貼る!$B$6:$B$10005,'設定（最初に1回）'!$C$4,月1回_前回の在庫を貼る!$I$6:$I$10005,$C75))</f>
        <v>69</v>
      </c>
      <c r="M75" s="69" t="n">
        <f aca="false">IF($C75="","",IF(OR('設定（最初に1回）'!$C$6="",'設定（最初に1回）'!$C$7=""),0,SUMIFS(発注管理!$S$6:$S$1005,発注管理!$C$6:$C$1005,'設定（最初に1回）'!$C$4,発注管理!$F$6:$F$1005,$C75,発注管理!$R$6:$R$1005,"&gt;="&amp;'設定（最初に1回）'!$C$7,発注管理!$R$6:$R$1005,"&lt;="&amp;'設定（最初に1回）'!$C$6)))</f>
        <v>0</v>
      </c>
      <c r="N75" s="69" t="n">
        <f aca="false">IF(OR($C75="",'設定（最初に1回）'!$C$15=0),"",$L75+$M75-$K75)</f>
        <v>31</v>
      </c>
      <c r="O75" s="143" t="n">
        <f aca="false">IF(OR($N75="",'設定（最初に1回）'!$C$8="",'設定（最初に1回）'!$C$8&lt;=0),"",MAX(0,$N75)/'設定（最初に1回）'!$C$8)</f>
        <v>0.508196721311475</v>
      </c>
      <c r="P75" s="143" t="n">
        <f aca="false">IF($C75="","",IFERROR(INDEX(商品マスタ!$M$6:$N$1005,MATCH($C75,商品マスタ!$B$6:$B$1005,0),MATCH("PI値 "&amp;'設定（最初に1回）'!$C$11,商品マスタ!$M$5:$N$5,0)),""))</f>
        <v>2.1</v>
      </c>
      <c r="Q75" s="143" t="n">
        <f aca="false">IF(OR($C75="",$P75="",$P75=0,(N($I75)+N($AG75))&lt;=0),"",IFERROR(SUMIFS(随時_動員を入れる!$G$8:$G$97,随時_動員を入れる!$B$8:$B$97,"&gt;="&amp;'設定（最初に1回）'!$C$6,随時_動員を入れる!$B$8:$B$97,"&lt;="&amp;'設定（最初に1回）'!$C$6+(N($I75)+N($AG75))-1)/(N($I75)+N($AG75)),0)*$P75/100)</f>
        <v>79.9302</v>
      </c>
      <c r="R75" s="69" t="n">
        <f aca="false">IF($C75="","",SUMIFS(①今日の在庫を貼る!$O$6:$O$10005,①今日の在庫を貼る!$B$6:$B$10005,'設定（最初に1回）'!$C$4,①今日の在庫を貼る!$I$6:$I$10005,$C75))</f>
        <v>0</v>
      </c>
      <c r="S75" s="143" t="n">
        <f aca="false">IF($C75="","",IF('設定（最初に1回）'!$C$9="実績消費",N($O75),IF('設定（最初に1回）'!$C$9="PI値予測",N($Q75),MAX(N($O75),N($Q75)))))</f>
        <v>0.508196721311475</v>
      </c>
      <c r="T75" s="67" t="n">
        <f aca="false">IF(OR($S75="",$S75&lt;=0),"",$K75/$S75)</f>
        <v>74.7741935483871</v>
      </c>
      <c r="U75" s="69" t="n">
        <f aca="false">IF($S75="","",ROUNDUP(N($S75)*'設定（最初に1回）'!$C$12,0))</f>
        <v>3</v>
      </c>
      <c r="V75" s="69" t="n">
        <f aca="false">IF($C75="","",ROUNDUP(N($S75)*(N($I75)+N($AG75))+N($U75),0))</f>
        <v>9</v>
      </c>
      <c r="W75" s="69" t="n">
        <f aca="false">IF($C75="","",SUMIFS(発注管理!$L$6:$L$1005,発注管理!$C$6:$C$1005,'設定（最初に1回）'!$C$4,発注管理!$F$6:$F$1005,$C75,発注管理!$Q$6:$Q$1005,"発注済"))</f>
        <v>0</v>
      </c>
      <c r="X75" s="69" t="n">
        <f aca="false">IF($C75="","",MAX(0,N($V75)-N($K75)-N($W75)))</f>
        <v>0</v>
      </c>
      <c r="Y75" s="147" t="n">
        <f aca="false">IF($C75="","",IF(N($X75)&lt;=0,0,CEILING($X75/MAX(1,N($G75)),MAX(1,N($J75)))))</f>
        <v>0</v>
      </c>
      <c r="Z75" s="138" t="str">
        <f aca="false">IF($C75="","",IF(N($Y75)&gt;0,"要発注","正常"))</f>
        <v>正常</v>
      </c>
      <c r="AA75" s="71" t="n">
        <f aca="false">IF($C75="","",N($K75)*N($H75))</f>
        <v>31236</v>
      </c>
      <c r="AB75" s="66" t="str">
        <f aca="false">IF($C75="","",_xlfn.TEXTJOIN(" / ",TRUE(),IF(COUNTIF(商品マスタ!$B$6:$B$1005,$C75)=0,"マスタ未登録",""),IF(COUNTIFS(月1回_前回の在庫を貼る!$B$6:$B$10005,'設定（最初に1回）'!$C$4,月1回_前回の在庫を貼る!$I$6:$I$10005,$C75)=0,"新商品",""),IF(COUNTIFS(①今日の在庫を貼る!$B$6:$B$10005,'設定（最初に1回）'!$C$4,①今日の在庫を貼る!$I$6:$I$10005,$C75)=0,"終売候補",""),IF(N($K75)&lt;0,"在庫マイナス",""),IF(AND('設定（最初に1回）'!$C$9="PI値予測",$P75=""),"PI値未設定","")))</f>
        <v/>
      </c>
      <c r="AC75" s="71" t="n">
        <f aca="false">N($Y75)*N($H75)</f>
        <v>0</v>
      </c>
      <c r="AD75" s="66" t="str">
        <f aca="false">IF($C75="","",IFERROR(INDEX(商品マスタ!$K$6:$K$1005,MATCH($C75,商品マスタ!$B$6:$B$1005,0)),"常温"))</f>
        <v>常温</v>
      </c>
      <c r="AE75" s="69" t="n">
        <f aca="false">IF($C75="","",MAX(0,ROUNDUP(N($K75)/MAX(1,N($G75)),0)))</f>
        <v>38</v>
      </c>
      <c r="AF75" s="66" t="str">
        <f aca="false">IF($C75="","",IFERROR(INDEX(商品マスタ!$L$6:$L$1005,MATCH($C75,商品マスタ!$B$6:$B$1005,0)),""))</f>
        <v>その他常温</v>
      </c>
      <c r="AG75" s="143" t="n">
        <f aca="false">IF($C75="","",IFERROR(INDEX(定数マスタ!$S$110:$S$119,MATCH($AF75,定数マスタ!$J$110:$J$119,0)),N('設定（最初に1回）'!$C$13)))</f>
        <v>7</v>
      </c>
      <c r="AH75" s="66" t="n">
        <f aca="false">IF(AND(N($K75)&gt;0,N($Y75)&gt;0),N($Y75),0)</f>
        <v>0</v>
      </c>
    </row>
    <row r="76" customFormat="false" ht="15" hidden="false" customHeight="false" outlineLevel="0" collapsed="false">
      <c r="B76" s="66" t="n">
        <v>71</v>
      </c>
      <c r="C76" s="66" t="str">
        <f aca="false">IFERROR(IF($B76&lt;=MAX(①今日の在庫を貼る!$U$6:$U$10005),INDEX(①今日の在庫を貼る!$I$6:$I$10005,MATCH($B76,①今日の在庫を貼る!$U$6:$U$10005,0)),INDEX(月1回_前回の在庫を貼る!$I$6:$I$10005,MATCH($B76-MAX(①今日の在庫を貼る!$U$6:$U$10005),月1回_前回の在庫を貼る!$U$6:$U$10005,0))),"")</f>
        <v>1812000013312</v>
      </c>
      <c r="D76" s="66" t="str">
        <f aca="false">IF($C76="","",IFERROR(INDEX(商品マスタ!$C$6:$C$1005,MATCH($C76,商品マスタ!$B$6:$B$1005,0)),IFERROR(INDEX(①今日の在庫を貼る!$J$6:$J$10005,MATCH($C76,①今日の在庫を貼る!$I$6:$I$10005,0)),IFERROR(INDEX(月1回_前回の在庫を貼る!$J$6:$J$10005,MATCH($C76,月1回_前回の在庫を貼る!$I$6:$I$10005,0)),""))))</f>
        <v>ビーバー　ドリンクカップ　仕入</v>
      </c>
      <c r="E76" s="66" t="str">
        <f aca="false">IF($C76="","",IFERROR(INDEX(商品マスタ!$D$6:$D$1005,MATCH($C76,商品マスタ!$B$6:$B$1005,0)),IFERROR(INDEX(①今日の在庫を貼る!$H$6:$H$10005,MATCH($C76,①今日の在庫を貼る!$I$6:$I$10005,0)),IFERROR(INDEX(月1回_前回の在庫を貼る!$H$6:$H$10005,MATCH($C76,月1回_前回の在庫を貼る!$I$6:$I$10005,0)),""))))</f>
        <v>ＳＥＴ作品コンボ</v>
      </c>
      <c r="F76" s="66" t="str">
        <f aca="false">IF($C76="","",IFERROR(INDEX(商品マスタ!$E$6:$E$1005,MATCH($C76,商品マスタ!$B$6:$B$1005,0)),IFERROR(INDEX(①今日の在庫を貼る!$E$6:$E$10005,MATCH($C76,①今日の在庫を貼る!$I$6:$I$10005,0)),IFERROR(INDEX(月1回_前回の在庫を貼る!$E$6:$E$10005,MATCH($C76,月1回_前回の在庫を貼る!$I$6:$I$10005,0)),""))))</f>
        <v>オザックス株式会社</v>
      </c>
      <c r="G76" s="69" t="n">
        <f aca="false">IF($C76="","",IFERROR(INDEX(商品マスタ!$F$6:$F$1005,MATCH($C76,商品マスタ!$B$6:$B$1005,0)),IFERROR(INDEX(①今日の在庫を貼る!$K$6:$K$10005,MATCH($C76,①今日の在庫を貼る!$I$6:$I$10005,0)),IFERROR(INDEX(月1回_前回の在庫を貼る!$K$6:$K$10005,MATCH($C76,月1回_前回の在庫を貼る!$I$6:$I$10005,0)),""))))</f>
        <v>50</v>
      </c>
      <c r="H76" s="71" t="n">
        <f aca="false">IF($C76="","",IFERROR(INDEX(商品マスタ!$G$6:$G$1005,MATCH($C76,商品マスタ!$B$6:$B$1005,0)),IFERROR(INDEX(①今日の在庫を貼る!$Q$6:$Q$10005,MATCH($C76,①今日の在庫を貼る!$I$6:$I$10005,0)),IFERROR(INDEX(月1回_前回の在庫を貼る!$Q$6:$Q$10005,MATCH($C76,月1回_前回の在庫を貼る!$I$6:$I$10005,0)),""))))</f>
        <v>274</v>
      </c>
      <c r="I76" s="66" t="n">
        <f aca="false">IF($C76="","",IFERROR(INDEX(商品マスタ!$H$6:$H$1005,MATCH($C76,商品マスタ!$B$6:$B$1005,0)),3))</f>
        <v>3</v>
      </c>
      <c r="J76" s="66" t="n">
        <f aca="false">IF($C76="","",MAX(1,IFERROR(INDEX(商品マスタ!$I$6:$I$1005,MATCH($C76,商品マスタ!$B$6:$B$1005,0)),1)))</f>
        <v>1</v>
      </c>
      <c r="K76" s="69" t="n">
        <f aca="false">IF($C76="","",SUMIFS(①今日の在庫を貼る!$N$6:$N$10005,①今日の在庫を貼る!$B$6:$B$10005,'設定（最初に1回）'!$C$4,①今日の在庫を貼る!$I$6:$I$10005,$C76))</f>
        <v>2</v>
      </c>
      <c r="L76" s="69" t="n">
        <f aca="false">IF($C76="","",SUMIFS(月1回_前回の在庫を貼る!$N$6:$N$10005,月1回_前回の在庫を貼る!$B$6:$B$10005,'設定（最初に1回）'!$C$4,月1回_前回の在庫を貼る!$I$6:$I$10005,$C76))</f>
        <v>8</v>
      </c>
      <c r="M76" s="69" t="n">
        <f aca="false">IF($C76="","",IF(OR('設定（最初に1回）'!$C$6="",'設定（最初に1回）'!$C$7=""),0,SUMIFS(発注管理!$S$6:$S$1005,発注管理!$C$6:$C$1005,'設定（最初に1回）'!$C$4,発注管理!$F$6:$F$1005,$C76,発注管理!$R$6:$R$1005,"&gt;="&amp;'設定（最初に1回）'!$C$7,発注管理!$R$6:$R$1005,"&lt;="&amp;'設定（最初に1回）'!$C$6)))</f>
        <v>0</v>
      </c>
      <c r="N76" s="69" t="n">
        <f aca="false">IF(OR($C76="",'設定（最初に1回）'!$C$15=0),"",$L76+$M76-$K76)</f>
        <v>6</v>
      </c>
      <c r="O76" s="143" t="n">
        <f aca="false">IF(OR($N76="",'設定（最初に1回）'!$C$8="",'設定（最初に1回）'!$C$8&lt;=0),"",MAX(0,$N76)/'設定（最初に1回）'!$C$8)</f>
        <v>0.0983606557377049</v>
      </c>
      <c r="P76" s="143" t="n">
        <f aca="false">IF($C76="","",IFERROR(INDEX(商品マスタ!$M$6:$N$1005,MATCH($C76,商品マスタ!$B$6:$B$1005,0),MATCH("PI値 "&amp;'設定（最初に1回）'!$C$11,商品マスタ!$M$5:$N$5,0)),""))</f>
        <v>0.9</v>
      </c>
      <c r="Q76" s="143" t="n">
        <f aca="false">IF(OR($C76="",$P76="",$P76=0,(N($I76)+N($AG76))&lt;=0),"",IFERROR(SUMIFS(随時_動員を入れる!$G$8:$G$97,随時_動員を入れる!$B$8:$B$97,"&gt;="&amp;'設定（最初に1回）'!$C$6,随時_動員を入れる!$B$8:$B$97,"&lt;="&amp;'設定（最初に1回）'!$C$6+(N($I76)+N($AG76))-1)/(N($I76)+N($AG76)),0)*$P76/100)</f>
        <v>34.2558</v>
      </c>
      <c r="R76" s="69" t="n">
        <f aca="false">IF($C76="","",SUMIFS(①今日の在庫を貼る!$O$6:$O$10005,①今日の在庫を貼る!$B$6:$B$10005,'設定（最初に1回）'!$C$4,①今日の在庫を貼る!$I$6:$I$10005,$C76))</f>
        <v>0</v>
      </c>
      <c r="S76" s="143" t="n">
        <f aca="false">IF($C76="","",IF('設定（最初に1回）'!$C$9="実績消費",N($O76),IF('設定（最初に1回）'!$C$9="PI値予測",N($Q76),MAX(N($O76),N($Q76)))))</f>
        <v>0.0983606557377049</v>
      </c>
      <c r="T76" s="67" t="n">
        <f aca="false">IF(OR($S76="",$S76&lt;=0),"",$K76/$S76)</f>
        <v>20.3333333333333</v>
      </c>
      <c r="U76" s="69" t="n">
        <f aca="false">IF($S76="","",ROUNDUP(N($S76)*'設定（最初に1回）'!$C$12,0))</f>
        <v>1</v>
      </c>
      <c r="V76" s="69" t="n">
        <f aca="false">IF($C76="","",ROUNDUP(N($S76)*(N($I76)+N($AG76))+N($U76),0))</f>
        <v>2</v>
      </c>
      <c r="W76" s="69" t="n">
        <f aca="false">IF($C76="","",SUMIFS(発注管理!$L$6:$L$1005,発注管理!$C$6:$C$1005,'設定（最初に1回）'!$C$4,発注管理!$F$6:$F$1005,$C76,発注管理!$Q$6:$Q$1005,"発注済"))</f>
        <v>0</v>
      </c>
      <c r="X76" s="69" t="n">
        <f aca="false">IF($C76="","",MAX(0,N($V76)-N($K76)-N($W76)))</f>
        <v>0</v>
      </c>
      <c r="Y76" s="147" t="n">
        <f aca="false">IF($C76="","",IF(N($X76)&lt;=0,0,CEILING($X76/MAX(1,N($G76)),MAX(1,N($J76)))))</f>
        <v>0</v>
      </c>
      <c r="Z76" s="138" t="str">
        <f aca="false">IF($C76="","",IF(N($Y76)&gt;0,"要発注","正常"))</f>
        <v>正常</v>
      </c>
      <c r="AA76" s="71" t="n">
        <f aca="false">IF($C76="","",N($K76)*N($H76))</f>
        <v>548</v>
      </c>
      <c r="AB76" s="66" t="str">
        <f aca="false">IF($C76="","",_xlfn.TEXTJOIN(" / ",TRUE(),IF(COUNTIF(商品マスタ!$B$6:$B$1005,$C76)=0,"マスタ未登録",""),IF(COUNTIFS(月1回_前回の在庫を貼る!$B$6:$B$10005,'設定（最初に1回）'!$C$4,月1回_前回の在庫を貼る!$I$6:$I$10005,$C76)=0,"新商品",""),IF(COUNTIFS(①今日の在庫を貼る!$B$6:$B$10005,'設定（最初に1回）'!$C$4,①今日の在庫を貼る!$I$6:$I$10005,$C76)=0,"終売候補",""),IF(N($K76)&lt;0,"在庫マイナス",""),IF(AND('設定（最初に1回）'!$C$9="PI値予測",$P76=""),"PI値未設定","")))</f>
        <v/>
      </c>
      <c r="AC76" s="71" t="n">
        <f aca="false">N($Y76)*N($H76)</f>
        <v>0</v>
      </c>
      <c r="AD76" s="66" t="str">
        <f aca="false">IF($C76="","",IFERROR(INDEX(商品マスタ!$K$6:$K$1005,MATCH($C76,商品マスタ!$B$6:$B$1005,0)),"常温"))</f>
        <v>常温</v>
      </c>
      <c r="AE76" s="69" t="n">
        <f aca="false">IF($C76="","",MAX(0,ROUNDUP(N($K76)/MAX(1,N($G76)),0)))</f>
        <v>1</v>
      </c>
      <c r="AF76" s="66" t="str">
        <f aca="false">IF($C76="","",IFERROR(INDEX(商品マスタ!$L$6:$L$1005,MATCH($C76,商品マスタ!$B$6:$B$1005,0)),""))</f>
        <v>その他常温</v>
      </c>
      <c r="AG76" s="143" t="n">
        <f aca="false">IF($C76="","",IFERROR(INDEX(定数マスタ!$S$110:$S$119,MATCH($AF76,定数マスタ!$J$110:$J$119,0)),N('設定（最初に1回）'!$C$13)))</f>
        <v>7</v>
      </c>
      <c r="AH76" s="66" t="n">
        <f aca="false">IF(AND(N($K76)&gt;0,N($Y76)&gt;0),N($Y76),0)</f>
        <v>0</v>
      </c>
    </row>
    <row r="77" customFormat="false" ht="15" hidden="false" customHeight="false" outlineLevel="0" collapsed="false">
      <c r="B77" s="66" t="n">
        <v>72</v>
      </c>
      <c r="C77" s="66" t="str">
        <f aca="false">IFERROR(IF($B77&lt;=MAX(①今日の在庫を貼る!$U$6:$U$10005),INDEX(①今日の在庫を貼る!$I$6:$I$10005,MATCH($B77,①今日の在庫を貼る!$U$6:$U$10005,0)),INDEX(月1回_前回の在庫を貼る!$I$6:$I$10005,MATCH($B77-MAX(①今日の在庫を貼る!$U$6:$U$10005),月1回_前回の在庫を貼る!$U$6:$U$10005,0))),"")</f>
        <v>1812000013329</v>
      </c>
      <c r="D77" s="66" t="str">
        <f aca="false">IF($C77="","",IFERROR(INDEX(商品マスタ!$C$6:$C$1005,MATCH($C77,商品マスタ!$B$6:$B$1005,0)),IFERROR(INDEX(①今日の在庫を貼る!$J$6:$J$10005,MATCH($C77,①今日の在庫を貼る!$I$6:$I$10005,0)),IFERROR(INDEX(月1回_前回の在庫を貼る!$J$6:$J$10005,MATCH($C77,月1回_前回の在庫を貼る!$I$6:$I$10005,0)),""))))</f>
        <v>ビーバー　トッパー　仕入</v>
      </c>
      <c r="E77" s="66" t="str">
        <f aca="false">IF($C77="","",IFERROR(INDEX(商品マスタ!$D$6:$D$1005,MATCH($C77,商品マスタ!$B$6:$B$1005,0)),IFERROR(INDEX(①今日の在庫を貼る!$H$6:$H$10005,MATCH($C77,①今日の在庫を貼る!$I$6:$I$10005,0)),IFERROR(INDEX(月1回_前回の在庫を貼る!$H$6:$H$10005,MATCH($C77,月1回_前回の在庫を貼る!$I$6:$I$10005,0)),""))))</f>
        <v>ＳＥＴ作品コンボ</v>
      </c>
      <c r="F77" s="66" t="str">
        <f aca="false">IF($C77="","",IFERROR(INDEX(商品マスタ!$E$6:$E$1005,MATCH($C77,商品マスタ!$B$6:$B$1005,0)),IFERROR(INDEX(①今日の在庫を貼る!$E$6:$E$10005,MATCH($C77,①今日の在庫を貼る!$I$6:$I$10005,0)),IFERROR(INDEX(月1回_前回の在庫を貼る!$E$6:$E$10005,MATCH($C77,月1回_前回の在庫を貼る!$I$6:$I$10005,0)),""))))</f>
        <v>オザックス株式会社</v>
      </c>
      <c r="G77" s="69" t="n">
        <f aca="false">IF($C77="","",IFERROR(INDEX(商品マスタ!$F$6:$F$1005,MATCH($C77,商品マスタ!$B$6:$B$1005,0)),IFERROR(INDEX(①今日の在庫を貼る!$K$6:$K$10005,MATCH($C77,①今日の在庫を貼る!$I$6:$I$10005,0)),IFERROR(INDEX(月1回_前回の在庫を貼る!$K$6:$K$10005,MATCH($C77,月1回_前回の在庫を貼る!$I$6:$I$10005,0)),""))))</f>
        <v>50</v>
      </c>
      <c r="H77" s="71" t="n">
        <f aca="false">IF($C77="","",IFERROR(INDEX(商品マスタ!$G$6:$G$1005,MATCH($C77,商品マスタ!$B$6:$B$1005,0)),IFERROR(INDEX(①今日の在庫を貼る!$Q$6:$Q$10005,MATCH($C77,①今日の在庫を貼る!$I$6:$I$10005,0)),IFERROR(INDEX(月1回_前回の在庫を貼る!$Q$6:$Q$10005,MATCH($C77,月1回_前回の在庫を貼る!$I$6:$I$10005,0)),""))))</f>
        <v>393</v>
      </c>
      <c r="I77" s="66" t="n">
        <f aca="false">IF($C77="","",IFERROR(INDEX(商品マスタ!$H$6:$H$1005,MATCH($C77,商品マスタ!$B$6:$B$1005,0)),3))</f>
        <v>3</v>
      </c>
      <c r="J77" s="66" t="n">
        <f aca="false">IF($C77="","",MAX(1,IFERROR(INDEX(商品マスタ!$I$6:$I$1005,MATCH($C77,商品マスタ!$B$6:$B$1005,0)),1)))</f>
        <v>2</v>
      </c>
      <c r="K77" s="69" t="n">
        <f aca="false">IF($C77="","",SUMIFS(①今日の在庫を貼る!$N$6:$N$10005,①今日の在庫を貼る!$B$6:$B$10005,'設定（最初に1回）'!$C$4,①今日の在庫を貼る!$I$6:$I$10005,$C77))</f>
        <v>0</v>
      </c>
      <c r="L77" s="69" t="n">
        <f aca="false">IF($C77="","",SUMIFS(月1回_前回の在庫を貼る!$N$6:$N$10005,月1回_前回の在庫を貼る!$B$6:$B$10005,'設定（最初に1回）'!$C$4,月1回_前回の在庫を貼る!$I$6:$I$10005,$C77))</f>
        <v>3</v>
      </c>
      <c r="M77" s="69" t="n">
        <f aca="false">IF($C77="","",IF(OR('設定（最初に1回）'!$C$6="",'設定（最初に1回）'!$C$7=""),0,SUMIFS(発注管理!$S$6:$S$1005,発注管理!$C$6:$C$1005,'設定（最初に1回）'!$C$4,発注管理!$F$6:$F$1005,$C77,発注管理!$R$6:$R$1005,"&gt;="&amp;'設定（最初に1回）'!$C$7,発注管理!$R$6:$R$1005,"&lt;="&amp;'設定（最初に1回）'!$C$6)))</f>
        <v>0</v>
      </c>
      <c r="N77" s="69" t="n">
        <f aca="false">IF(OR($C77="",'設定（最初に1回）'!$C$15=0),"",$L77+$M77-$K77)</f>
        <v>3</v>
      </c>
      <c r="O77" s="143" t="n">
        <f aca="false">IF(OR($N77="",'設定（最初に1回）'!$C$8="",'設定（最初に1回）'!$C$8&lt;=0),"",MAX(0,$N77)/'設定（最初に1回）'!$C$8)</f>
        <v>0.0491803278688525</v>
      </c>
      <c r="P77" s="143" t="n">
        <f aca="false">IF($C77="","",IFERROR(INDEX(商品マスタ!$M$6:$N$1005,MATCH($C77,商品マスタ!$B$6:$B$1005,0),MATCH("PI値 "&amp;'設定（最初に1回）'!$C$11,商品マスタ!$M$5:$N$5,0)),""))</f>
        <v>1.3</v>
      </c>
      <c r="Q77" s="143" t="n">
        <f aca="false">IF(OR($C77="",$P77="",$P77=0,(N($I77)+N($AG77))&lt;=0),"",IFERROR(SUMIFS(随時_動員を入れる!$G$8:$G$97,随時_動員を入れる!$B$8:$B$97,"&gt;="&amp;'設定（最初に1回）'!$C$6,随時_動員を入れる!$B$8:$B$97,"&lt;="&amp;'設定（最初に1回）'!$C$6+(N($I77)+N($AG77))-1)/(N($I77)+N($AG77)),0)*$P77/100)</f>
        <v>49.4806</v>
      </c>
      <c r="R77" s="69" t="n">
        <f aca="false">IF($C77="","",SUMIFS(①今日の在庫を貼る!$O$6:$O$10005,①今日の在庫を貼る!$B$6:$B$10005,'設定（最初に1回）'!$C$4,①今日の在庫を貼る!$I$6:$I$10005,$C77))</f>
        <v>0</v>
      </c>
      <c r="S77" s="143" t="n">
        <f aca="false">IF($C77="","",IF('設定（最初に1回）'!$C$9="実績消費",N($O77),IF('設定（最初に1回）'!$C$9="PI値予測",N($Q77),MAX(N($O77),N($Q77)))))</f>
        <v>0.0491803278688525</v>
      </c>
      <c r="T77" s="67" t="n">
        <f aca="false">IF(OR($S77="",$S77&lt;=0),"",$K77/$S77)</f>
        <v>0</v>
      </c>
      <c r="U77" s="69" t="n">
        <f aca="false">IF($S77="","",ROUNDUP(N($S77)*'設定（最初に1回）'!$C$12,0))</f>
        <v>1</v>
      </c>
      <c r="V77" s="69" t="n">
        <f aca="false">IF($C77="","",ROUNDUP(N($S77)*(N($I77)+N($AG77))+N($U77),0))</f>
        <v>2</v>
      </c>
      <c r="W77" s="69" t="n">
        <f aca="false">IF($C77="","",SUMIFS(発注管理!$L$6:$L$1005,発注管理!$C$6:$C$1005,'設定（最初に1回）'!$C$4,発注管理!$F$6:$F$1005,$C77,発注管理!$Q$6:$Q$1005,"発注済"))</f>
        <v>0</v>
      </c>
      <c r="X77" s="69" t="n">
        <f aca="false">IF($C77="","",MAX(0,N($V77)-N($K77)-N($W77)))</f>
        <v>2</v>
      </c>
      <c r="Y77" s="147" t="n">
        <f aca="false">IF($C77="","",IF(N($X77)&lt;=0,0,CEILING($X77/MAX(1,N($G77)),MAX(1,N($J77)))))</f>
        <v>2</v>
      </c>
      <c r="Z77" s="138" t="str">
        <f aca="false">IF($C77="","",IF(N($Y77)&gt;0,"要発注","正常"))</f>
        <v>要発注</v>
      </c>
      <c r="AA77" s="71" t="n">
        <f aca="false">IF($C77="","",N($K77)*N($H77))</f>
        <v>0</v>
      </c>
      <c r="AB77" s="66" t="str">
        <f aca="false">IF($C77="","",_xlfn.TEXTJOIN(" / ",TRUE(),IF(COUNTIF(商品マスタ!$B$6:$B$1005,$C77)=0,"マスタ未登録",""),IF(COUNTIFS(月1回_前回の在庫を貼る!$B$6:$B$10005,'設定（最初に1回）'!$C$4,月1回_前回の在庫を貼る!$I$6:$I$10005,$C77)=0,"新商品",""),IF(COUNTIFS(①今日の在庫を貼る!$B$6:$B$10005,'設定（最初に1回）'!$C$4,①今日の在庫を貼る!$I$6:$I$10005,$C77)=0,"終売候補",""),IF(N($K77)&lt;0,"在庫マイナス",""),IF(AND('設定（最初に1回）'!$C$9="PI値予測",$P77=""),"PI値未設定","")))</f>
        <v/>
      </c>
      <c r="AC77" s="71" t="n">
        <f aca="false">N($Y77)*N($H77)</f>
        <v>786</v>
      </c>
      <c r="AD77" s="66" t="str">
        <f aca="false">IF($C77="","",IFERROR(INDEX(商品マスタ!$K$6:$K$1005,MATCH($C77,商品マスタ!$B$6:$B$1005,0)),"常温"))</f>
        <v>常温</v>
      </c>
      <c r="AE77" s="69" t="n">
        <f aca="false">IF($C77="","",MAX(0,ROUNDUP(N($K77)/MAX(1,N($G77)),0)))</f>
        <v>0</v>
      </c>
      <c r="AF77" s="66" t="str">
        <f aca="false">IF($C77="","",IFERROR(INDEX(商品マスタ!$L$6:$L$1005,MATCH($C77,商品マスタ!$B$6:$B$1005,0)),""))</f>
        <v>その他常温</v>
      </c>
      <c r="AG77" s="143" t="n">
        <f aca="false">IF($C77="","",IFERROR(INDEX(定数マスタ!$S$110:$S$119,MATCH($AF77,定数マスタ!$J$110:$J$119,0)),N('設定（最初に1回）'!$C$13)))</f>
        <v>7</v>
      </c>
      <c r="AH77" s="66" t="n">
        <f aca="false">IF(AND(N($K77)&gt;0,N($Y77)&gt;0),N($Y77),0)</f>
        <v>0</v>
      </c>
    </row>
    <row r="78" customFormat="false" ht="15" hidden="false" customHeight="false" outlineLevel="0" collapsed="false">
      <c r="B78" s="66" t="n">
        <v>73</v>
      </c>
      <c r="C78" s="66" t="str">
        <f aca="false">IFERROR(IF($B78&lt;=MAX(①今日の在庫を貼る!$U$6:$U$10005),INDEX(①今日の在庫を貼る!$I$6:$I$10005,MATCH($B78,①今日の在庫を貼る!$U$6:$U$10005,0)),INDEX(月1回_前回の在庫を貼る!$I$6:$I$10005,MATCH($B78-MAX(①今日の在庫を貼る!$U$6:$U$10005),月1回_前回の在庫を貼る!$U$6:$U$10005,0))),"")</f>
        <v>1812000010083</v>
      </c>
      <c r="D78" s="66" t="str">
        <f aca="false">IF($C78="","",IFERROR(INDEX(商品マスタ!$C$6:$C$1005,MATCH($C78,商品マスタ!$B$6:$B$1005,0)),IFERROR(INDEX(①今日の在庫を貼る!$J$6:$J$10005,MATCH($C78,①今日の在庫を貼る!$I$6:$I$10005,0)),IFERROR(INDEX(月1回_前回の在庫を貼る!$J$6:$J$10005,MATCH($C78,月1回_前回の在庫を貼る!$I$6:$I$10005,0)),""))))</f>
        <v>（コスタ）１２ｏｚプラカップ</v>
      </c>
      <c r="E78" s="66" t="str">
        <f aca="false">IF($C78="","",IFERROR(INDEX(商品マスタ!$D$6:$D$1005,MATCH($C78,商品マスタ!$B$6:$B$1005,0)),IFERROR(INDEX(①今日の在庫を貼る!$H$6:$H$10005,MATCH($C78,①今日の在庫を貼る!$I$6:$I$10005,0)),IFERROR(INDEX(月1回_前回の在庫を貼る!$H$6:$H$10005,MATCH($C78,月1回_前回の在庫を貼る!$I$6:$I$10005,0)),""))))</f>
        <v>コンセ包材</v>
      </c>
      <c r="F78" s="66" t="str">
        <f aca="false">IF($C78="","",IFERROR(INDEX(商品マスタ!$E$6:$E$1005,MATCH($C78,商品マスタ!$B$6:$B$1005,0)),IFERROR(INDEX(①今日の在庫を貼る!$E$6:$E$10005,MATCH($C78,①今日の在庫を貼る!$I$6:$I$10005,0)),IFERROR(INDEX(月1回_前回の在庫を貼る!$E$6:$E$10005,MATCH($C78,月1回_前回の在庫を貼る!$I$6:$I$10005,0)),""))))</f>
        <v>オザックス株式会社</v>
      </c>
      <c r="G78" s="69" t="n">
        <f aca="false">IF($C78="","",IFERROR(INDEX(商品マスタ!$F$6:$F$1005,MATCH($C78,商品マスタ!$B$6:$B$1005,0)),IFERROR(INDEX(①今日の在庫を貼る!$K$6:$K$10005,MATCH($C78,①今日の在庫を貼る!$I$6:$I$10005,0)),IFERROR(INDEX(月1回_前回の在庫を貼る!$K$6:$K$10005,MATCH($C78,月1回_前回の在庫を貼る!$I$6:$I$10005,0)),""))))</f>
        <v>1000</v>
      </c>
      <c r="H78" s="71" t="n">
        <f aca="false">IF($C78="","",IFERROR(INDEX(商品マスタ!$G$6:$G$1005,MATCH($C78,商品マスタ!$B$6:$B$1005,0)),IFERROR(INDEX(①今日の在庫を貼る!$Q$6:$Q$10005,MATCH($C78,①今日の在庫を貼る!$I$6:$I$10005,0)),IFERROR(INDEX(月1回_前回の在庫を貼る!$Q$6:$Q$10005,MATCH($C78,月1回_前回の在庫を貼る!$I$6:$I$10005,0)),""))))</f>
        <v>9</v>
      </c>
      <c r="I78" s="66" t="n">
        <f aca="false">IF($C78="","",IFERROR(INDEX(商品マスタ!$H$6:$H$1005,MATCH($C78,商品マスタ!$B$6:$B$1005,0)),3))</f>
        <v>2</v>
      </c>
      <c r="J78" s="66" t="n">
        <f aca="false">IF($C78="","",MAX(1,IFERROR(INDEX(商品マスタ!$I$6:$I$1005,MATCH($C78,商品マスタ!$B$6:$B$1005,0)),1)))</f>
        <v>1</v>
      </c>
      <c r="K78" s="69" t="n">
        <f aca="false">IF($C78="","",SUMIFS(①今日の在庫を貼る!$N$6:$N$10005,①今日の在庫を貼る!$B$6:$B$10005,'設定（最初に1回）'!$C$4,①今日の在庫を貼る!$I$6:$I$10005,$C78))</f>
        <v>1857</v>
      </c>
      <c r="L78" s="69" t="n">
        <f aca="false">IF($C78="","",SUMIFS(月1回_前回の在庫を貼る!$N$6:$N$10005,月1回_前回の在庫を貼る!$B$6:$B$10005,'設定（最初に1回）'!$C$4,月1回_前回の在庫を貼る!$I$6:$I$10005,$C78))</f>
        <v>8636</v>
      </c>
      <c r="M78" s="69" t="n">
        <f aca="false">IF($C78="","",IF(OR('設定（最初に1回）'!$C$6="",'設定（最初に1回）'!$C$7=""),0,SUMIFS(発注管理!$S$6:$S$1005,発注管理!$C$6:$C$1005,'設定（最初に1回）'!$C$4,発注管理!$F$6:$F$1005,$C78,発注管理!$R$6:$R$1005,"&gt;="&amp;'設定（最初に1回）'!$C$7,発注管理!$R$6:$R$1005,"&lt;="&amp;'設定（最初に1回）'!$C$6)))</f>
        <v>0</v>
      </c>
      <c r="N78" s="69" t="n">
        <f aca="false">IF(OR($C78="",'設定（最初に1回）'!$C$15=0),"",$L78+$M78-$K78)</f>
        <v>6779</v>
      </c>
      <c r="O78" s="143" t="n">
        <f aca="false">IF(OR($N78="",'設定（最初に1回）'!$C$8="",'設定（最初に1回）'!$C$8&lt;=0),"",MAX(0,$N78)/'設定（最初に1回）'!$C$8)</f>
        <v>111.131147540984</v>
      </c>
      <c r="P78" s="143" t="n">
        <f aca="false">IF($C78="","",IFERROR(INDEX(商品マスタ!$M$6:$N$1005,MATCH($C78,商品マスタ!$B$6:$B$1005,0),MATCH("PI値 "&amp;'設定（最初に1回）'!$C$11,商品マスタ!$M$5:$N$5,0)),""))</f>
        <v>6.3</v>
      </c>
      <c r="Q78" s="143" t="n">
        <f aca="false">IF(OR($C78="",$P78="",$P78=0,(N($I78)+N($AG78))&lt;=0),"",IFERROR(SUMIFS(随時_動員を入れる!$G$8:$G$97,随時_動員を入れる!$B$8:$B$97,"&gt;="&amp;'設定（最初に1回）'!$C$6,随時_動員を入れる!$B$8:$B$97,"&lt;="&amp;'設定（最初に1回）'!$C$6+(N($I78)+N($AG78))-1)/(N($I78)+N($AG78)),0)*$P78/100)</f>
        <v>241.997</v>
      </c>
      <c r="R78" s="69" t="n">
        <f aca="false">IF($C78="","",SUMIFS(①今日の在庫を貼る!$O$6:$O$10005,①今日の在庫を貼る!$B$6:$B$10005,'設定（最初に1回）'!$C$4,①今日の在庫を貼る!$I$6:$I$10005,$C78))</f>
        <v>0</v>
      </c>
      <c r="S78" s="143" t="n">
        <f aca="false">IF($C78="","",IF('設定（最初に1回）'!$C$9="実績消費",N($O78),IF('設定（最初に1回）'!$C$9="PI値予測",N($Q78),MAX(N($O78),N($Q78)))))</f>
        <v>111.131147540984</v>
      </c>
      <c r="T78" s="67" t="n">
        <f aca="false">IF(OR($S78="",$S78&lt;=0),"",$K78/$S78)</f>
        <v>16.7099867237056</v>
      </c>
      <c r="U78" s="69" t="n">
        <f aca="false">IF($S78="","",ROUNDUP(N($S78)*'設定（最初に1回）'!$C$12,0))</f>
        <v>445</v>
      </c>
      <c r="V78" s="69" t="n">
        <f aca="false">IF($C78="","",ROUNDUP(N($S78)*(N($I78)+N($AG78))+N($U78),0))</f>
        <v>1446</v>
      </c>
      <c r="W78" s="69" t="n">
        <f aca="false">IF($C78="","",SUMIFS(発注管理!$L$6:$L$1005,発注管理!$C$6:$C$1005,'設定（最初に1回）'!$C$4,発注管理!$F$6:$F$1005,$C78,発注管理!$Q$6:$Q$1005,"発注済"))</f>
        <v>0</v>
      </c>
      <c r="X78" s="69" t="n">
        <f aca="false">IF($C78="","",MAX(0,N($V78)-N($K78)-N($W78)))</f>
        <v>0</v>
      </c>
      <c r="Y78" s="147" t="n">
        <f aca="false">IF($C78="","",IF(N($X78)&lt;=0,0,CEILING($X78/MAX(1,N($G78)),MAX(1,N($J78)))))</f>
        <v>0</v>
      </c>
      <c r="Z78" s="138" t="str">
        <f aca="false">IF($C78="","",IF(N($Y78)&gt;0,"要発注","正常"))</f>
        <v>正常</v>
      </c>
      <c r="AA78" s="71" t="n">
        <f aca="false">IF($C78="","",N($K78)*N($H78))</f>
        <v>16713</v>
      </c>
      <c r="AB78" s="66" t="str">
        <f aca="false">IF($C78="","",_xlfn.TEXTJOIN(" / ",TRUE(),IF(COUNTIF(商品マスタ!$B$6:$B$1005,$C78)=0,"マスタ未登録",""),IF(COUNTIFS(月1回_前回の在庫を貼る!$B$6:$B$10005,'設定（最初に1回）'!$C$4,月1回_前回の在庫を貼る!$I$6:$I$10005,$C78)=0,"新商品",""),IF(COUNTIFS(①今日の在庫を貼る!$B$6:$B$10005,'設定（最初に1回）'!$C$4,①今日の在庫を貼る!$I$6:$I$10005,$C78)=0,"終売候補",""),IF(N($K78)&lt;0,"在庫マイナス",""),IF(AND('設定（最初に1回）'!$C$9="PI値予測",$P78=""),"PI値未設定","")))</f>
        <v/>
      </c>
      <c r="AC78" s="71" t="n">
        <f aca="false">N($Y78)*N($H78)</f>
        <v>0</v>
      </c>
      <c r="AD78" s="66" t="str">
        <f aca="false">IF($C78="","",IFERROR(INDEX(商品マスタ!$K$6:$K$1005,MATCH($C78,商品マスタ!$B$6:$B$1005,0)),"常温"))</f>
        <v>常温</v>
      </c>
      <c r="AE78" s="69" t="n">
        <f aca="false">IF($C78="","",MAX(0,ROUNDUP(N($K78)/MAX(1,N($G78)),0)))</f>
        <v>2</v>
      </c>
      <c r="AF78" s="66" t="str">
        <f aca="false">IF($C78="","",IFERROR(INDEX(商品マスタ!$L$6:$L$1005,MATCH($C78,商品マスタ!$B$6:$B$1005,0)),""))</f>
        <v>常温包材</v>
      </c>
      <c r="AG78" s="143" t="n">
        <f aca="false">IF($C78="","",IFERROR(INDEX(定数マスタ!$S$110:$S$119,MATCH($AF78,定数マスタ!$J$110:$J$119,0)),N('設定（最初に1回）'!$C$13)))</f>
        <v>7</v>
      </c>
      <c r="AH78" s="66" t="n">
        <f aca="false">IF(AND(N($K78)&gt;0,N($Y78)&gt;0),N($Y78),0)</f>
        <v>0</v>
      </c>
    </row>
    <row r="79" customFormat="false" ht="15" hidden="false" customHeight="false" outlineLevel="0" collapsed="false">
      <c r="B79" s="66" t="n">
        <v>74</v>
      </c>
      <c r="C79" s="66" t="str">
        <f aca="false">IFERROR(IF($B79&lt;=MAX(①今日の在庫を貼る!$U$6:$U$10005),INDEX(①今日の在庫を貼る!$I$6:$I$10005,MATCH($B79,①今日の在庫を貼る!$U$6:$U$10005,0)),INDEX(月1回_前回の在庫を貼る!$I$6:$I$10005,MATCH($B79-MAX(①今日の在庫を貼る!$U$6:$U$10005),月1回_前回の在庫を貼る!$U$6:$U$10005,0))),"")</f>
        <v>1812000010090</v>
      </c>
      <c r="D79" s="66" t="str">
        <f aca="false">IF($C79="","",IFERROR(INDEX(商品マスタ!$C$6:$C$1005,MATCH($C79,商品マスタ!$B$6:$B$1005,0)),IFERROR(INDEX(①今日の在庫を貼る!$J$6:$J$10005,MATCH($C79,①今日の在庫を貼る!$I$6:$I$10005,0)),IFERROR(INDEX(月1回_前回の在庫を貼る!$J$6:$J$10005,MATCH($C79,月1回_前回の在庫を貼る!$I$6:$I$10005,0)),""))))</f>
        <v>（コスタ）１２ｏｚプラリッド</v>
      </c>
      <c r="E79" s="66" t="str">
        <f aca="false">IF($C79="","",IFERROR(INDEX(商品マスタ!$D$6:$D$1005,MATCH($C79,商品マスタ!$B$6:$B$1005,0)),IFERROR(INDEX(①今日の在庫を貼る!$H$6:$H$10005,MATCH($C79,①今日の在庫を貼る!$I$6:$I$10005,0)),IFERROR(INDEX(月1回_前回の在庫を貼る!$H$6:$H$10005,MATCH($C79,月1回_前回の在庫を貼る!$I$6:$I$10005,0)),""))))</f>
        <v>コンセ包材</v>
      </c>
      <c r="F79" s="66" t="str">
        <f aca="false">IF($C79="","",IFERROR(INDEX(商品マスタ!$E$6:$E$1005,MATCH($C79,商品マスタ!$B$6:$B$1005,0)),IFERROR(INDEX(①今日の在庫を貼る!$E$6:$E$10005,MATCH($C79,①今日の在庫を貼る!$I$6:$I$10005,0)),IFERROR(INDEX(月1回_前回の在庫を貼る!$E$6:$E$10005,MATCH($C79,月1回_前回の在庫を貼る!$I$6:$I$10005,0)),""))))</f>
        <v>オザックス株式会社</v>
      </c>
      <c r="G79" s="69" t="n">
        <f aca="false">IF($C79="","",IFERROR(INDEX(商品マスタ!$F$6:$F$1005,MATCH($C79,商品マスタ!$B$6:$B$1005,0)),IFERROR(INDEX(①今日の在庫を貼る!$K$6:$K$10005,MATCH($C79,①今日の在庫を貼る!$I$6:$I$10005,0)),IFERROR(INDEX(月1回_前回の在庫を貼る!$K$6:$K$10005,MATCH($C79,月1回_前回の在庫を貼る!$I$6:$I$10005,0)),""))))</f>
        <v>2000</v>
      </c>
      <c r="H79" s="71" t="n">
        <f aca="false">IF($C79="","",IFERROR(INDEX(商品マスタ!$G$6:$G$1005,MATCH($C79,商品マスタ!$B$6:$B$1005,0)),IFERROR(INDEX(①今日の在庫を貼る!$Q$6:$Q$10005,MATCH($C79,①今日の在庫を貼る!$I$6:$I$10005,0)),IFERROR(INDEX(月1回_前回の在庫を貼る!$Q$6:$Q$10005,MATCH($C79,月1回_前回の在庫を貼る!$I$6:$I$10005,0)),""))))</f>
        <v>5.6</v>
      </c>
      <c r="I79" s="66" t="n">
        <f aca="false">IF($C79="","",IFERROR(INDEX(商品マスタ!$H$6:$H$1005,MATCH($C79,商品マスタ!$B$6:$B$1005,0)),3))</f>
        <v>2</v>
      </c>
      <c r="J79" s="66" t="n">
        <f aca="false">IF($C79="","",MAX(1,IFERROR(INDEX(商品マスタ!$I$6:$I$1005,MATCH($C79,商品マスタ!$B$6:$B$1005,0)),1)))</f>
        <v>5</v>
      </c>
      <c r="K79" s="69" t="n">
        <f aca="false">IF($C79="","",SUMIFS(①今日の在庫を貼る!$N$6:$N$10005,①今日の在庫を貼る!$B$6:$B$10005,'設定（最初に1回）'!$C$4,①今日の在庫を貼る!$I$6:$I$10005,$C79))</f>
        <v>11838</v>
      </c>
      <c r="L79" s="69" t="n">
        <f aca="false">IF($C79="","",SUMIFS(月1回_前回の在庫を貼る!$N$6:$N$10005,月1回_前回の在庫を貼る!$B$6:$B$10005,'設定（最初に1回）'!$C$4,月1回_前回の在庫を貼る!$I$6:$I$10005,$C79))</f>
        <v>16913</v>
      </c>
      <c r="M79" s="69" t="n">
        <f aca="false">IF($C79="","",IF(OR('設定（最初に1回）'!$C$6="",'設定（最初に1回）'!$C$7=""),0,SUMIFS(発注管理!$S$6:$S$1005,発注管理!$C$6:$C$1005,'設定（最初に1回）'!$C$4,発注管理!$F$6:$F$1005,$C79,発注管理!$R$6:$R$1005,"&gt;="&amp;'設定（最初に1回）'!$C$7,発注管理!$R$6:$R$1005,"&lt;="&amp;'設定（最初に1回）'!$C$6)))</f>
        <v>0</v>
      </c>
      <c r="N79" s="69" t="n">
        <f aca="false">IF(OR($C79="",'設定（最初に1回）'!$C$15=0),"",$L79+$M79-$K79)</f>
        <v>5075</v>
      </c>
      <c r="O79" s="143" t="n">
        <f aca="false">IF(OR($N79="",'設定（最初に1回）'!$C$8="",'設定（最初に1回）'!$C$8&lt;=0),"",MAX(0,$N79)/'設定（最初に1回）'!$C$8)</f>
        <v>83.1967213114754</v>
      </c>
      <c r="P79" s="143" t="n">
        <f aca="false">IF($C79="","",IFERROR(INDEX(商品マスタ!$M$6:$N$1005,MATCH($C79,商品マスタ!$B$6:$B$1005,0),MATCH("PI値 "&amp;'設定（最初に1回）'!$C$11,商品マスタ!$M$5:$N$5,0)),""))</f>
        <v>9.5</v>
      </c>
      <c r="Q79" s="143" t="n">
        <f aca="false">IF(OR($C79="",$P79="",$P79=0,(N($I79)+N($AG79))&lt;=0),"",IFERROR(SUMIFS(随時_動員を入れる!$G$8:$G$97,随時_動員を入れる!$B$8:$B$97,"&gt;="&amp;'設定（最初に1回）'!$C$6,随時_動員を入れる!$B$8:$B$97,"&lt;="&amp;'設定（最初に1回）'!$C$6+(N($I79)+N($AG79))-1)/(N($I79)+N($AG79)),0)*$P79/100)</f>
        <v>364.916111111111</v>
      </c>
      <c r="R79" s="69" t="n">
        <f aca="false">IF($C79="","",SUMIFS(①今日の在庫を貼る!$O$6:$O$10005,①今日の在庫を貼る!$B$6:$B$10005,'設定（最初に1回）'!$C$4,①今日の在庫を貼る!$I$6:$I$10005,$C79))</f>
        <v>0</v>
      </c>
      <c r="S79" s="143" t="n">
        <f aca="false">IF($C79="","",IF('設定（最初に1回）'!$C$9="実績消費",N($O79),IF('設定（最初に1回）'!$C$9="PI値予測",N($Q79),MAX(N($O79),N($Q79)))))</f>
        <v>83.1967213114754</v>
      </c>
      <c r="T79" s="67" t="n">
        <f aca="false">IF(OR($S79="",$S79&lt;=0),"",$K79/$S79)</f>
        <v>142.289261083744</v>
      </c>
      <c r="U79" s="69" t="n">
        <f aca="false">IF($S79="","",ROUNDUP(N($S79)*'設定（最初に1回）'!$C$12,0))</f>
        <v>333</v>
      </c>
      <c r="V79" s="69" t="n">
        <f aca="false">IF($C79="","",ROUNDUP(N($S79)*(N($I79)+N($AG79))+N($U79),0))</f>
        <v>1082</v>
      </c>
      <c r="W79" s="69" t="n">
        <f aca="false">IF($C79="","",SUMIFS(発注管理!$L$6:$L$1005,発注管理!$C$6:$C$1005,'設定（最初に1回）'!$C$4,発注管理!$F$6:$F$1005,$C79,発注管理!$Q$6:$Q$1005,"発注済"))</f>
        <v>0</v>
      </c>
      <c r="X79" s="69" t="n">
        <f aca="false">IF($C79="","",MAX(0,N($V79)-N($K79)-N($W79)))</f>
        <v>0</v>
      </c>
      <c r="Y79" s="147" t="n">
        <f aca="false">IF($C79="","",IF(N($X79)&lt;=0,0,CEILING($X79/MAX(1,N($G79)),MAX(1,N($J79)))))</f>
        <v>0</v>
      </c>
      <c r="Z79" s="138" t="str">
        <f aca="false">IF($C79="","",IF(N($Y79)&gt;0,"要発注","正常"))</f>
        <v>正常</v>
      </c>
      <c r="AA79" s="71" t="n">
        <f aca="false">IF($C79="","",N($K79)*N($H79))</f>
        <v>66292.8</v>
      </c>
      <c r="AB79" s="66" t="str">
        <f aca="false">IF($C79="","",_xlfn.TEXTJOIN(" / ",TRUE(),IF(COUNTIF(商品マスタ!$B$6:$B$1005,$C79)=0,"マスタ未登録",""),IF(COUNTIFS(月1回_前回の在庫を貼る!$B$6:$B$10005,'設定（最初に1回）'!$C$4,月1回_前回の在庫を貼る!$I$6:$I$10005,$C79)=0,"新商品",""),IF(COUNTIFS(①今日の在庫を貼る!$B$6:$B$10005,'設定（最初に1回）'!$C$4,①今日の在庫を貼る!$I$6:$I$10005,$C79)=0,"終売候補",""),IF(N($K79)&lt;0,"在庫マイナス",""),IF(AND('設定（最初に1回）'!$C$9="PI値予測",$P79=""),"PI値未設定","")))</f>
        <v/>
      </c>
      <c r="AC79" s="71" t="n">
        <f aca="false">N($Y79)*N($H79)</f>
        <v>0</v>
      </c>
      <c r="AD79" s="66" t="str">
        <f aca="false">IF($C79="","",IFERROR(INDEX(商品マスタ!$K$6:$K$1005,MATCH($C79,商品マスタ!$B$6:$B$1005,0)),"常温"))</f>
        <v>常温</v>
      </c>
      <c r="AE79" s="69" t="n">
        <f aca="false">IF($C79="","",MAX(0,ROUNDUP(N($K79)/MAX(1,N($G79)),0)))</f>
        <v>6</v>
      </c>
      <c r="AF79" s="66" t="str">
        <f aca="false">IF($C79="","",IFERROR(INDEX(商品マスタ!$L$6:$L$1005,MATCH($C79,商品マスタ!$B$6:$B$1005,0)),""))</f>
        <v>常温包材</v>
      </c>
      <c r="AG79" s="143" t="n">
        <f aca="false">IF($C79="","",IFERROR(INDEX(定数マスタ!$S$110:$S$119,MATCH($AF79,定数マスタ!$J$110:$J$119,0)),N('設定（最初に1回）'!$C$13)))</f>
        <v>7</v>
      </c>
      <c r="AH79" s="66" t="n">
        <f aca="false">IF(AND(N($K79)&gt;0,N($Y79)&gt;0),N($Y79),0)</f>
        <v>0</v>
      </c>
    </row>
    <row r="80" customFormat="false" ht="15" hidden="false" customHeight="false" outlineLevel="0" collapsed="false">
      <c r="B80" s="66" t="n">
        <v>75</v>
      </c>
      <c r="C80" s="66" t="str">
        <f aca="false">IFERROR(IF($B80&lt;=MAX(①今日の在庫を貼る!$U$6:$U$10005),INDEX(①今日の在庫を貼る!$I$6:$I$10005,MATCH($B80,①今日の在庫を貼る!$U$6:$U$10005,0)),INDEX(月1回_前回の在庫を貼る!$I$6:$I$10005,MATCH($B80-MAX(①今日の在庫を貼る!$U$6:$U$10005),月1回_前回の在庫を貼る!$U$6:$U$10005,0))),"")</f>
        <v>1812000010120</v>
      </c>
      <c r="D80" s="66" t="str">
        <f aca="false">IF($C80="","",IFERROR(INDEX(商品マスタ!$C$6:$C$1005,MATCH($C80,商品マスタ!$B$6:$B$1005,0)),IFERROR(INDEX(①今日の在庫を貼る!$J$6:$J$10005,MATCH($C80,①今日の在庫を貼る!$I$6:$I$10005,0)),IFERROR(INDEX(月1回_前回の在庫を貼る!$J$6:$J$10005,MATCH($C80,月1回_前回の在庫を貼る!$I$6:$I$10005,0)),""))))</f>
        <v>（コスタ）新９ｏｚホットカップ</v>
      </c>
      <c r="E80" s="66" t="str">
        <f aca="false">IF($C80="","",IFERROR(INDEX(商品マスタ!$D$6:$D$1005,MATCH($C80,商品マスタ!$B$6:$B$1005,0)),IFERROR(INDEX(①今日の在庫を貼る!$H$6:$H$10005,MATCH($C80,①今日の在庫を貼る!$I$6:$I$10005,0)),IFERROR(INDEX(月1回_前回の在庫を貼る!$H$6:$H$10005,MATCH($C80,月1回_前回の在庫を貼る!$I$6:$I$10005,0)),""))))</f>
        <v>コンセ包材</v>
      </c>
      <c r="F80" s="66" t="str">
        <f aca="false">IF($C80="","",IFERROR(INDEX(商品マスタ!$E$6:$E$1005,MATCH($C80,商品マスタ!$B$6:$B$1005,0)),IFERROR(INDEX(①今日の在庫を貼る!$E$6:$E$10005,MATCH($C80,①今日の在庫を貼る!$I$6:$I$10005,0)),IFERROR(INDEX(月1回_前回の在庫を貼る!$E$6:$E$10005,MATCH($C80,月1回_前回の在庫を貼る!$I$6:$I$10005,0)),""))))</f>
        <v>オザックス株式会社</v>
      </c>
      <c r="G80" s="69" t="n">
        <f aca="false">IF($C80="","",IFERROR(INDEX(商品マスタ!$F$6:$F$1005,MATCH($C80,商品マスタ!$B$6:$B$1005,0)),IFERROR(INDEX(①今日の在庫を貼る!$K$6:$K$10005,MATCH($C80,①今日の在庫を貼る!$I$6:$I$10005,0)),IFERROR(INDEX(月1回_前回の在庫を貼る!$K$6:$K$10005,MATCH($C80,月1回_前回の在庫を貼る!$I$6:$I$10005,0)),""))))</f>
        <v>1500</v>
      </c>
      <c r="H80" s="71" t="n">
        <f aca="false">IF($C80="","",IFERROR(INDEX(商品マスタ!$G$6:$G$1005,MATCH($C80,商品マスタ!$B$6:$B$1005,0)),IFERROR(INDEX(①今日の在庫を貼る!$Q$6:$Q$10005,MATCH($C80,①今日の在庫を貼る!$I$6:$I$10005,0)),IFERROR(INDEX(月1回_前回の在庫を貼る!$Q$6:$Q$10005,MATCH($C80,月1回_前回の在庫を貼る!$I$6:$I$10005,0)),""))))</f>
        <v>9</v>
      </c>
      <c r="I80" s="66" t="n">
        <f aca="false">IF($C80="","",IFERROR(INDEX(商品マスタ!$H$6:$H$1005,MATCH($C80,商品マスタ!$B$6:$B$1005,0)),3))</f>
        <v>4</v>
      </c>
      <c r="J80" s="66" t="n">
        <f aca="false">IF($C80="","",MAX(1,IFERROR(INDEX(商品マスタ!$I$6:$I$1005,MATCH($C80,商品マスタ!$B$6:$B$1005,0)),1)))</f>
        <v>2</v>
      </c>
      <c r="K80" s="69" t="n">
        <f aca="false">IF($C80="","",SUMIFS(①今日の在庫を貼る!$N$6:$N$10005,①今日の在庫を貼る!$B$6:$B$10005,'設定（最初に1回）'!$C$4,①今日の在庫を貼る!$I$6:$I$10005,$C80))</f>
        <v>2152</v>
      </c>
      <c r="L80" s="69" t="n">
        <f aca="false">IF($C80="","",SUMIFS(月1回_前回の在庫を貼る!$N$6:$N$10005,月1回_前回の在庫を貼る!$B$6:$B$10005,'設定（最初に1回）'!$C$4,月1回_前回の在庫を貼る!$I$6:$I$10005,$C80))</f>
        <v>7685</v>
      </c>
      <c r="M80" s="69" t="n">
        <f aca="false">IF($C80="","",IF(OR('設定（最初に1回）'!$C$6="",'設定（最初に1回）'!$C$7=""),0,SUMIFS(発注管理!$S$6:$S$1005,発注管理!$C$6:$C$1005,'設定（最初に1回）'!$C$4,発注管理!$F$6:$F$1005,$C80,発注管理!$R$6:$R$1005,"&gt;="&amp;'設定（最初に1回）'!$C$7,発注管理!$R$6:$R$1005,"&lt;="&amp;'設定（最初に1回）'!$C$6)))</f>
        <v>0</v>
      </c>
      <c r="N80" s="69" t="n">
        <f aca="false">IF(OR($C80="",'設定（最初に1回）'!$C$15=0),"",$L80+$M80-$K80)</f>
        <v>5533</v>
      </c>
      <c r="O80" s="143" t="n">
        <f aca="false">IF(OR($N80="",'設定（最初に1回）'!$C$8="",'設定（最初に1回）'!$C$8&lt;=0),"",MAX(0,$N80)/'設定（最初に1回）'!$C$8)</f>
        <v>90.7049180327869</v>
      </c>
      <c r="P80" s="143" t="n">
        <f aca="false">IF($C80="","",IFERROR(INDEX(商品マスタ!$M$6:$N$1005,MATCH($C80,商品マスタ!$B$6:$B$1005,0),MATCH("PI値 "&amp;'設定（最初に1回）'!$C$11,商品マスタ!$M$5:$N$5,0)),""))</f>
        <v>9.4</v>
      </c>
      <c r="Q80" s="143" t="n">
        <f aca="false">IF(OR($C80="",$P80="",$P80=0,(N($I80)+N($AG80))&lt;=0),"",IFERROR(SUMIFS(随時_動員を入れる!$G$8:$G$97,随時_動員を入れる!$B$8:$B$97,"&gt;="&amp;'設定（最初に1回）'!$C$6,随時_動員を入れる!$B$8:$B$97,"&lt;="&amp;'設定（最初に1回）'!$C$6+(N($I80)+N($AG80))-1)/(N($I80)+N($AG80)),0)*$P80/100)</f>
        <v>351.611272727273</v>
      </c>
      <c r="R80" s="69" t="n">
        <f aca="false">IF($C80="","",SUMIFS(①今日の在庫を貼る!$O$6:$O$10005,①今日の在庫を貼る!$B$6:$B$10005,'設定（最初に1回）'!$C$4,①今日の在庫を貼る!$I$6:$I$10005,$C80))</f>
        <v>0</v>
      </c>
      <c r="S80" s="143" t="n">
        <f aca="false">IF($C80="","",IF('設定（最初に1回）'!$C$9="実績消費",N($O80),IF('設定（最初に1回）'!$C$9="PI値予測",N($Q80),MAX(N($O80),N($Q80)))))</f>
        <v>90.7049180327869</v>
      </c>
      <c r="T80" s="67" t="n">
        <f aca="false">IF(OR($S80="",$S80&lt;=0),"",$K80/$S80)</f>
        <v>23.7252846557022</v>
      </c>
      <c r="U80" s="69" t="n">
        <f aca="false">IF($S80="","",ROUNDUP(N($S80)*'設定（最初に1回）'!$C$12,0))</f>
        <v>363</v>
      </c>
      <c r="V80" s="69" t="n">
        <f aca="false">IF($C80="","",ROUNDUP(N($S80)*(N($I80)+N($AG80))+N($U80),0))</f>
        <v>1361</v>
      </c>
      <c r="W80" s="69" t="n">
        <f aca="false">IF($C80="","",SUMIFS(発注管理!$L$6:$L$1005,発注管理!$C$6:$C$1005,'設定（最初に1回）'!$C$4,発注管理!$F$6:$F$1005,$C80,発注管理!$Q$6:$Q$1005,"発注済"))</f>
        <v>0</v>
      </c>
      <c r="X80" s="69" t="n">
        <f aca="false">IF($C80="","",MAX(0,N($V80)-N($K80)-N($W80)))</f>
        <v>0</v>
      </c>
      <c r="Y80" s="147" t="n">
        <f aca="false">IF($C80="","",IF(N($X80)&lt;=0,0,CEILING($X80/MAX(1,N($G80)),MAX(1,N($J80)))))</f>
        <v>0</v>
      </c>
      <c r="Z80" s="138" t="str">
        <f aca="false">IF($C80="","",IF(N($Y80)&gt;0,"要発注","正常"))</f>
        <v>正常</v>
      </c>
      <c r="AA80" s="71" t="n">
        <f aca="false">IF($C80="","",N($K80)*N($H80))</f>
        <v>19368</v>
      </c>
      <c r="AB80" s="66" t="str">
        <f aca="false">IF($C80="","",_xlfn.TEXTJOIN(" / ",TRUE(),IF(COUNTIF(商品マスタ!$B$6:$B$1005,$C80)=0,"マスタ未登録",""),IF(COUNTIFS(月1回_前回の在庫を貼る!$B$6:$B$10005,'設定（最初に1回）'!$C$4,月1回_前回の在庫を貼る!$I$6:$I$10005,$C80)=0,"新商品",""),IF(COUNTIFS(①今日の在庫を貼る!$B$6:$B$10005,'設定（最初に1回）'!$C$4,①今日の在庫を貼る!$I$6:$I$10005,$C80)=0,"終売候補",""),IF(N($K80)&lt;0,"在庫マイナス",""),IF(AND('設定（最初に1回）'!$C$9="PI値予測",$P80=""),"PI値未設定","")))</f>
        <v/>
      </c>
      <c r="AC80" s="71" t="n">
        <f aca="false">N($Y80)*N($H80)</f>
        <v>0</v>
      </c>
      <c r="AD80" s="66" t="str">
        <f aca="false">IF($C80="","",IFERROR(INDEX(商品マスタ!$K$6:$K$1005,MATCH($C80,商品マスタ!$B$6:$B$1005,0)),"常温"))</f>
        <v>常温</v>
      </c>
      <c r="AE80" s="69" t="n">
        <f aca="false">IF($C80="","",MAX(0,ROUNDUP(N($K80)/MAX(1,N($G80)),0)))</f>
        <v>2</v>
      </c>
      <c r="AF80" s="66" t="str">
        <f aca="false">IF($C80="","",IFERROR(INDEX(商品マスタ!$L$6:$L$1005,MATCH($C80,商品マスタ!$B$6:$B$1005,0)),""))</f>
        <v>常温包材</v>
      </c>
      <c r="AG80" s="143" t="n">
        <f aca="false">IF($C80="","",IFERROR(INDEX(定数マスタ!$S$110:$S$119,MATCH($AF80,定数マスタ!$J$110:$J$119,0)),N('設定（最初に1回）'!$C$13)))</f>
        <v>7</v>
      </c>
      <c r="AH80" s="66" t="n">
        <f aca="false">IF(AND(N($K80)&gt;0,N($Y80)&gt;0),N($Y80),0)</f>
        <v>0</v>
      </c>
    </row>
    <row r="81" customFormat="false" ht="15" hidden="false" customHeight="false" outlineLevel="0" collapsed="false">
      <c r="B81" s="66" t="n">
        <v>76</v>
      </c>
      <c r="C81" s="66" t="str">
        <f aca="false">IFERROR(IF($B81&lt;=MAX(①今日の在庫を貼る!$U$6:$U$10005),INDEX(①今日の在庫を貼る!$I$6:$I$10005,MATCH($B81,①今日の在庫を貼る!$U$6:$U$10005,0)),INDEX(月1回_前回の在庫を貼る!$I$6:$I$10005,MATCH($B81-MAX(①今日の在庫を貼る!$U$6:$U$10005),月1回_前回の在庫を貼る!$U$6:$U$10005,0))),"")</f>
        <v>1812000010168</v>
      </c>
      <c r="D81" s="66" t="str">
        <f aca="false">IF($C81="","",IFERROR(INDEX(商品マスタ!$C$6:$C$1005,MATCH($C81,商品マスタ!$B$6:$B$1005,0)),IFERROR(INDEX(①今日の在庫を貼る!$J$6:$J$10005,MATCH($C81,①今日の在庫を貼る!$I$6:$I$10005,0)),IFERROR(INDEX(月1回_前回の在庫を貼る!$J$6:$J$10005,MATCH($C81,月1回_前回の在庫を貼る!$I$6:$I$10005,0)),""))))</f>
        <v>（コスタ）新９ｏｚホットリッド</v>
      </c>
      <c r="E81" s="66" t="str">
        <f aca="false">IF($C81="","",IFERROR(INDEX(商品マスタ!$D$6:$D$1005,MATCH($C81,商品マスタ!$B$6:$B$1005,0)),IFERROR(INDEX(①今日の在庫を貼る!$H$6:$H$10005,MATCH($C81,①今日の在庫を貼る!$I$6:$I$10005,0)),IFERROR(INDEX(月1回_前回の在庫を貼る!$H$6:$H$10005,MATCH($C81,月1回_前回の在庫を貼る!$I$6:$I$10005,0)),""))))</f>
        <v>コンセ包材</v>
      </c>
      <c r="F81" s="66" t="str">
        <f aca="false">IF($C81="","",IFERROR(INDEX(商品マスタ!$E$6:$E$1005,MATCH($C81,商品マスタ!$B$6:$B$1005,0)),IFERROR(INDEX(①今日の在庫を貼る!$E$6:$E$10005,MATCH($C81,①今日の在庫を貼る!$I$6:$I$10005,0)),IFERROR(INDEX(月1回_前回の在庫を貼る!$E$6:$E$10005,MATCH($C81,月1回_前回の在庫を貼る!$I$6:$I$10005,0)),""))))</f>
        <v>オザックス株式会社</v>
      </c>
      <c r="G81" s="69" t="n">
        <f aca="false">IF($C81="","",IFERROR(INDEX(商品マスタ!$F$6:$F$1005,MATCH($C81,商品マスタ!$B$6:$B$1005,0)),IFERROR(INDEX(①今日の在庫を貼る!$K$6:$K$10005,MATCH($C81,①今日の在庫を貼る!$I$6:$I$10005,0)),IFERROR(INDEX(月1回_前回の在庫を貼る!$K$6:$K$10005,MATCH($C81,月1回_前回の在庫を貼る!$I$6:$I$10005,0)),""))))</f>
        <v>3000</v>
      </c>
      <c r="H81" s="71" t="n">
        <f aca="false">IF($C81="","",IFERROR(INDEX(商品マスタ!$G$6:$G$1005,MATCH($C81,商品マスタ!$B$6:$B$1005,0)),IFERROR(INDEX(①今日の在庫を貼る!$Q$6:$Q$10005,MATCH($C81,①今日の在庫を貼る!$I$6:$I$10005,0)),IFERROR(INDEX(月1回_前回の在庫を貼る!$Q$6:$Q$10005,MATCH($C81,月1回_前回の在庫を貼る!$I$6:$I$10005,0)),""))))</f>
        <v>3.26</v>
      </c>
      <c r="I81" s="66" t="n">
        <f aca="false">IF($C81="","",IFERROR(INDEX(商品マスタ!$H$6:$H$1005,MATCH($C81,商品マスタ!$B$6:$B$1005,0)),3))</f>
        <v>5</v>
      </c>
      <c r="J81" s="66" t="n">
        <f aca="false">IF($C81="","",MAX(1,IFERROR(INDEX(商品マスタ!$I$6:$I$1005,MATCH($C81,商品マスタ!$B$6:$B$1005,0)),1)))</f>
        <v>2</v>
      </c>
      <c r="K81" s="69" t="n">
        <f aca="false">IF($C81="","",SUMIFS(①今日の在庫を貼る!$N$6:$N$10005,①今日の在庫を貼る!$B$6:$B$10005,'設定（最初に1回）'!$C$4,①今日の在庫を貼る!$I$6:$I$10005,$C81))</f>
        <v>12588</v>
      </c>
      <c r="L81" s="69" t="n">
        <f aca="false">IF($C81="","",SUMIFS(月1回_前回の在庫を貼る!$N$6:$N$10005,月1回_前回の在庫を貼る!$B$6:$B$10005,'設定（最初に1回）'!$C$4,月1回_前回の在庫を貼る!$I$6:$I$10005,$C81))</f>
        <v>30945</v>
      </c>
      <c r="M81" s="69" t="n">
        <f aca="false">IF($C81="","",IF(OR('設定（最初に1回）'!$C$6="",'設定（最初に1回）'!$C$7=""),0,SUMIFS(発注管理!$S$6:$S$1005,発注管理!$C$6:$C$1005,'設定（最初に1回）'!$C$4,発注管理!$F$6:$F$1005,$C81,発注管理!$R$6:$R$1005,"&gt;="&amp;'設定（最初に1回）'!$C$7,発注管理!$R$6:$R$1005,"&lt;="&amp;'設定（最初に1回）'!$C$6)))</f>
        <v>0</v>
      </c>
      <c r="N81" s="69" t="n">
        <f aca="false">IF(OR($C81="",'設定（最初に1回）'!$C$15=0),"",$L81+$M81-$K81)</f>
        <v>18357</v>
      </c>
      <c r="O81" s="143" t="n">
        <f aca="false">IF(OR($N81="",'設定（最初に1回）'!$C$8="",'設定（最初に1回）'!$C$8&lt;=0),"",MAX(0,$N81)/'設定（最初に1回）'!$C$8)</f>
        <v>300.934426229508</v>
      </c>
      <c r="P81" s="143" t="n">
        <f aca="false">IF($C81="","",IFERROR(INDEX(商品マスタ!$M$6:$N$1005,MATCH($C81,商品マスタ!$B$6:$B$1005,0),MATCH("PI値 "&amp;'設定（最初に1回）'!$C$11,商品マスタ!$M$5:$N$5,0)),""))</f>
        <v>8</v>
      </c>
      <c r="Q81" s="143" t="n">
        <f aca="false">IF(OR($C81="",$P81="",$P81=0,(N($I81)+N($AG81))&lt;=0),"",IFERROR(SUMIFS(随時_動員を入れる!$G$8:$G$97,随時_動員を入れる!$B$8:$B$97,"&gt;="&amp;'設定（最初に1回）'!$C$6,随時_動員を入れる!$B$8:$B$97,"&lt;="&amp;'設定（最初に1回）'!$C$6+(N($I81)+N($AG81))-1)/(N($I81)+N($AG81)),0)*$P81/100)</f>
        <v>283.14</v>
      </c>
      <c r="R81" s="69" t="n">
        <f aca="false">IF($C81="","",SUMIFS(①今日の在庫を貼る!$O$6:$O$10005,①今日の在庫を貼る!$B$6:$B$10005,'設定（最初に1回）'!$C$4,①今日の在庫を貼る!$I$6:$I$10005,$C81))</f>
        <v>0</v>
      </c>
      <c r="S81" s="143" t="n">
        <f aca="false">IF($C81="","",IF('設定（最初に1回）'!$C$9="実績消費",N($O81),IF('設定（最初に1回）'!$C$9="PI値予測",N($Q81),MAX(N($O81),N($Q81)))))</f>
        <v>300.934426229508</v>
      </c>
      <c r="T81" s="67" t="n">
        <f aca="false">IF(OR($S81="",$S81&lt;=0),"",$K81/$S81)</f>
        <v>41.8297107370485</v>
      </c>
      <c r="U81" s="69" t="n">
        <f aca="false">IF($S81="","",ROUNDUP(N($S81)*'設定（最初に1回）'!$C$12,0))</f>
        <v>1204</v>
      </c>
      <c r="V81" s="69" t="n">
        <f aca="false">IF($C81="","",ROUNDUP(N($S81)*(N($I81)+N($AG81))+N($U81),0))</f>
        <v>4816</v>
      </c>
      <c r="W81" s="69" t="n">
        <f aca="false">IF($C81="","",SUMIFS(発注管理!$L$6:$L$1005,発注管理!$C$6:$C$1005,'設定（最初に1回）'!$C$4,発注管理!$F$6:$F$1005,$C81,発注管理!$Q$6:$Q$1005,"発注済"))</f>
        <v>0</v>
      </c>
      <c r="X81" s="69" t="n">
        <f aca="false">IF($C81="","",MAX(0,N($V81)-N($K81)-N($W81)))</f>
        <v>0</v>
      </c>
      <c r="Y81" s="147" t="n">
        <f aca="false">IF($C81="","",IF(N($X81)&lt;=0,0,CEILING($X81/MAX(1,N($G81)),MAX(1,N($J81)))))</f>
        <v>0</v>
      </c>
      <c r="Z81" s="138" t="str">
        <f aca="false">IF($C81="","",IF(N($Y81)&gt;0,"要発注","正常"))</f>
        <v>正常</v>
      </c>
      <c r="AA81" s="71" t="n">
        <f aca="false">IF($C81="","",N($K81)*N($H81))</f>
        <v>41036.88</v>
      </c>
      <c r="AB81" s="66" t="str">
        <f aca="false">IF($C81="","",_xlfn.TEXTJOIN(" / ",TRUE(),IF(COUNTIF(商品マスタ!$B$6:$B$1005,$C81)=0,"マスタ未登録",""),IF(COUNTIFS(月1回_前回の在庫を貼る!$B$6:$B$10005,'設定（最初に1回）'!$C$4,月1回_前回の在庫を貼る!$I$6:$I$10005,$C81)=0,"新商品",""),IF(COUNTIFS(①今日の在庫を貼る!$B$6:$B$10005,'設定（最初に1回）'!$C$4,①今日の在庫を貼る!$I$6:$I$10005,$C81)=0,"終売候補",""),IF(N($K81)&lt;0,"在庫マイナス",""),IF(AND('設定（最初に1回）'!$C$9="PI値予測",$P81=""),"PI値未設定","")))</f>
        <v/>
      </c>
      <c r="AC81" s="71" t="n">
        <f aca="false">N($Y81)*N($H81)</f>
        <v>0</v>
      </c>
      <c r="AD81" s="66" t="str">
        <f aca="false">IF($C81="","",IFERROR(INDEX(商品マスタ!$K$6:$K$1005,MATCH($C81,商品マスタ!$B$6:$B$1005,0)),"常温"))</f>
        <v>常温</v>
      </c>
      <c r="AE81" s="69" t="n">
        <f aca="false">IF($C81="","",MAX(0,ROUNDUP(N($K81)/MAX(1,N($G81)),0)))</f>
        <v>5</v>
      </c>
      <c r="AF81" s="66" t="str">
        <f aca="false">IF($C81="","",IFERROR(INDEX(商品マスタ!$L$6:$L$1005,MATCH($C81,商品マスタ!$B$6:$B$1005,0)),""))</f>
        <v>常温包材</v>
      </c>
      <c r="AG81" s="143" t="n">
        <f aca="false">IF($C81="","",IFERROR(INDEX(定数マスタ!$S$110:$S$119,MATCH($AF81,定数マスタ!$J$110:$J$119,0)),N('設定（最初に1回）'!$C$13)))</f>
        <v>7</v>
      </c>
      <c r="AH81" s="66" t="n">
        <f aca="false">IF(AND(N($K81)&gt;0,N($Y81)&gt;0),N($Y81),0)</f>
        <v>0</v>
      </c>
    </row>
    <row r="82" customFormat="false" ht="15" hidden="false" customHeight="false" outlineLevel="0" collapsed="false">
      <c r="B82" s="66" t="n">
        <v>77</v>
      </c>
      <c r="C82" s="66" t="str">
        <f aca="false">IFERROR(IF($B82&lt;=MAX(①今日の在庫を貼る!$U$6:$U$10005),INDEX(①今日の在庫を貼る!$I$6:$I$10005,MATCH($B82,①今日の在庫を貼る!$U$6:$U$10005,0)),INDEX(月1回_前回の在庫を貼る!$I$6:$I$10005,MATCH($B82-MAX(①今日の在庫を貼る!$U$6:$U$10005),月1回_前回の在庫を貼る!$U$6:$U$10005,0))),"")</f>
        <v>1812000010243</v>
      </c>
      <c r="D82" s="66" t="str">
        <f aca="false">IF($C82="","",IFERROR(INDEX(商品マスタ!$C$6:$C$1005,MATCH($C82,商品マスタ!$B$6:$B$1005,0)),IFERROR(INDEX(①今日の在庫を貼る!$J$6:$J$10005,MATCH($C82,①今日の在庫を貼る!$I$6:$I$10005,0)),IFERROR(INDEX(月1回_前回の在庫を貼る!$J$6:$J$10005,MATCH($C82,月1回_前回の在庫を貼る!$I$6:$I$10005,0)),""))))</f>
        <v>バイオマスストロー　（裸）　緑</v>
      </c>
      <c r="E82" s="66" t="str">
        <f aca="false">IF($C82="","",IFERROR(INDEX(商品マスタ!$D$6:$D$1005,MATCH($C82,商品マスタ!$B$6:$B$1005,0)),IFERROR(INDEX(①今日の在庫を貼る!$H$6:$H$10005,MATCH($C82,①今日の在庫を貼る!$I$6:$I$10005,0)),IFERROR(INDEX(月1回_前回の在庫を貼る!$H$6:$H$10005,MATCH($C82,月1回_前回の在庫を貼る!$I$6:$I$10005,0)),""))))</f>
        <v>コンセ包材</v>
      </c>
      <c r="F82" s="66" t="str">
        <f aca="false">IF($C82="","",IFERROR(INDEX(商品マスタ!$E$6:$E$1005,MATCH($C82,商品マスタ!$B$6:$B$1005,0)),IFERROR(INDEX(①今日の在庫を貼る!$E$6:$E$10005,MATCH($C82,①今日の在庫を貼る!$I$6:$I$10005,0)),IFERROR(INDEX(月1回_前回の在庫を貼る!$E$6:$E$10005,MATCH($C82,月1回_前回の在庫を貼る!$I$6:$I$10005,0)),""))))</f>
        <v>オザックス株式会社</v>
      </c>
      <c r="G82" s="69" t="n">
        <f aca="false">IF($C82="","",IFERROR(INDEX(商品マスタ!$F$6:$F$1005,MATCH($C82,商品マスタ!$B$6:$B$1005,0)),IFERROR(INDEX(①今日の在庫を貼る!$K$6:$K$10005,MATCH($C82,①今日の在庫を貼る!$I$6:$I$10005,0)),IFERROR(INDEX(月1回_前回の在庫を貼る!$K$6:$K$10005,MATCH($C82,月1回_前回の在庫を貼る!$I$6:$I$10005,0)),""))))</f>
        <v>10000</v>
      </c>
      <c r="H82" s="71" t="n">
        <f aca="false">IF($C82="","",IFERROR(INDEX(商品マスタ!$G$6:$G$1005,MATCH($C82,商品マスタ!$B$6:$B$1005,0)),IFERROR(INDEX(①今日の在庫を貼る!$Q$6:$Q$10005,MATCH($C82,①今日の在庫を貼る!$I$6:$I$10005,0)),IFERROR(INDEX(月1回_前回の在庫を貼る!$Q$6:$Q$10005,MATCH($C82,月1回_前回の在庫を貼る!$I$6:$I$10005,0)),""))))</f>
        <v>1.05</v>
      </c>
      <c r="I82" s="66" t="n">
        <f aca="false">IF($C82="","",IFERROR(INDEX(商品マスタ!$H$6:$H$1005,MATCH($C82,商品マスタ!$B$6:$B$1005,0)),3))</f>
        <v>3</v>
      </c>
      <c r="J82" s="66" t="n">
        <f aca="false">IF($C82="","",MAX(1,IFERROR(INDEX(商品マスタ!$I$6:$I$1005,MATCH($C82,商品マスタ!$B$6:$B$1005,0)),1)))</f>
        <v>5</v>
      </c>
      <c r="K82" s="69" t="n">
        <f aca="false">IF($C82="","",SUMIFS(①今日の在庫を貼る!$N$6:$N$10005,①今日の在庫を貼る!$B$6:$B$10005,'設定（最初に1回）'!$C$4,①今日の在庫を貼る!$I$6:$I$10005,$C82))</f>
        <v>0</v>
      </c>
      <c r="L82" s="69" t="n">
        <f aca="false">IF($C82="","",SUMIFS(月1回_前回の在庫を貼る!$N$6:$N$10005,月1回_前回の在庫を貼る!$B$6:$B$10005,'設定（最初に1回）'!$C$4,月1回_前回の在庫を貼る!$I$6:$I$10005,$C82))</f>
        <v>2</v>
      </c>
      <c r="M82" s="69" t="n">
        <f aca="false">IF($C82="","",IF(OR('設定（最初に1回）'!$C$6="",'設定（最初に1回）'!$C$7=""),0,SUMIFS(発注管理!$S$6:$S$1005,発注管理!$C$6:$C$1005,'設定（最初に1回）'!$C$4,発注管理!$F$6:$F$1005,$C82,発注管理!$R$6:$R$1005,"&gt;="&amp;'設定（最初に1回）'!$C$7,発注管理!$R$6:$R$1005,"&lt;="&amp;'設定（最初に1回）'!$C$6)))</f>
        <v>0</v>
      </c>
      <c r="N82" s="69" t="n">
        <f aca="false">IF(OR($C82="",'設定（最初に1回）'!$C$15=0),"",$L82+$M82-$K82)</f>
        <v>2</v>
      </c>
      <c r="O82" s="143" t="n">
        <f aca="false">IF(OR($N82="",'設定（最初に1回）'!$C$8="",'設定（最初に1回）'!$C$8&lt;=0),"",MAX(0,$N82)/'設定（最初に1回）'!$C$8)</f>
        <v>0.0327868852459016</v>
      </c>
      <c r="P82" s="143" t="n">
        <f aca="false">IF($C82="","",IFERROR(INDEX(商品マスタ!$M$6:$N$1005,MATCH($C82,商品マスタ!$B$6:$B$1005,0),MATCH("PI値 "&amp;'設定（最初に1回）'!$C$11,商品マスタ!$M$5:$N$5,0)),""))</f>
        <v>5.9</v>
      </c>
      <c r="Q82" s="143" t="n">
        <f aca="false">IF(OR($C82="",$P82="",$P82=0,(N($I82)+N($AG82))&lt;=0),"",IFERROR(SUMIFS(随時_動員を入れる!$G$8:$G$97,随時_動員を入れる!$B$8:$B$97,"&gt;="&amp;'設定（最初に1回）'!$C$6,随時_動員を入れる!$B$8:$B$97,"&lt;="&amp;'設定（最初に1回）'!$C$6+(N($I82)+N($AG82))-1)/(N($I82)+N($AG82)),0)*$P82/100)</f>
        <v>224.5658</v>
      </c>
      <c r="R82" s="69" t="n">
        <f aca="false">IF($C82="","",SUMIFS(①今日の在庫を貼る!$O$6:$O$10005,①今日の在庫を貼る!$B$6:$B$10005,'設定（最初に1回）'!$C$4,①今日の在庫を貼る!$I$6:$I$10005,$C82))</f>
        <v>0</v>
      </c>
      <c r="S82" s="143" t="n">
        <f aca="false">IF($C82="","",IF('設定（最初に1回）'!$C$9="実績消費",N($O82),IF('設定（最初に1回）'!$C$9="PI値予測",N($Q82),MAX(N($O82),N($Q82)))))</f>
        <v>0.0327868852459016</v>
      </c>
      <c r="T82" s="67" t="n">
        <f aca="false">IF(OR($S82="",$S82&lt;=0),"",$K82/$S82)</f>
        <v>0</v>
      </c>
      <c r="U82" s="69" t="n">
        <f aca="false">IF($S82="","",ROUNDUP(N($S82)*'設定（最初に1回）'!$C$12,0))</f>
        <v>1</v>
      </c>
      <c r="V82" s="69" t="n">
        <f aca="false">IF($C82="","",ROUNDUP(N($S82)*(N($I82)+N($AG82))+N($U82),0))</f>
        <v>2</v>
      </c>
      <c r="W82" s="69" t="n">
        <f aca="false">IF($C82="","",SUMIFS(発注管理!$L$6:$L$1005,発注管理!$C$6:$C$1005,'設定（最初に1回）'!$C$4,発注管理!$F$6:$F$1005,$C82,発注管理!$Q$6:$Q$1005,"発注済"))</f>
        <v>0</v>
      </c>
      <c r="X82" s="69" t="n">
        <f aca="false">IF($C82="","",MAX(0,N($V82)-N($K82)-N($W82)))</f>
        <v>2</v>
      </c>
      <c r="Y82" s="147" t="n">
        <f aca="false">IF($C82="","",IF(N($X82)&lt;=0,0,CEILING($X82/MAX(1,N($G82)),MAX(1,N($J82)))))</f>
        <v>5</v>
      </c>
      <c r="Z82" s="138" t="str">
        <f aca="false">IF($C82="","",IF(N($Y82)&gt;0,"要発注","正常"))</f>
        <v>要発注</v>
      </c>
      <c r="AA82" s="71" t="n">
        <f aca="false">IF($C82="","",N($K82)*N($H82))</f>
        <v>0</v>
      </c>
      <c r="AB82" s="66" t="str">
        <f aca="false">IF($C82="","",_xlfn.TEXTJOIN(" / ",TRUE(),IF(COUNTIF(商品マスタ!$B$6:$B$1005,$C82)=0,"マスタ未登録",""),IF(COUNTIFS(月1回_前回の在庫を貼る!$B$6:$B$10005,'設定（最初に1回）'!$C$4,月1回_前回の在庫を貼る!$I$6:$I$10005,$C82)=0,"新商品",""),IF(COUNTIFS(①今日の在庫を貼る!$B$6:$B$10005,'設定（最初に1回）'!$C$4,①今日の在庫を貼る!$I$6:$I$10005,$C82)=0,"終売候補",""),IF(N($K82)&lt;0,"在庫マイナス",""),IF(AND('設定（最初に1回）'!$C$9="PI値予測",$P82=""),"PI値未設定","")))</f>
        <v/>
      </c>
      <c r="AC82" s="71" t="n">
        <f aca="false">N($Y82)*N($H82)</f>
        <v>5.25</v>
      </c>
      <c r="AD82" s="66" t="str">
        <f aca="false">IF($C82="","",IFERROR(INDEX(商品マスタ!$K$6:$K$1005,MATCH($C82,商品マスタ!$B$6:$B$1005,0)),"常温"))</f>
        <v>常温</v>
      </c>
      <c r="AE82" s="69" t="n">
        <f aca="false">IF($C82="","",MAX(0,ROUNDUP(N($K82)/MAX(1,N($G82)),0)))</f>
        <v>0</v>
      </c>
      <c r="AF82" s="66" t="str">
        <f aca="false">IF($C82="","",IFERROR(INDEX(商品マスタ!$L$6:$L$1005,MATCH($C82,商品マスタ!$B$6:$B$1005,0)),""))</f>
        <v>常温包材</v>
      </c>
      <c r="AG82" s="143" t="n">
        <f aca="false">IF($C82="","",IFERROR(INDEX(定数マスタ!$S$110:$S$119,MATCH($AF82,定数マスタ!$J$110:$J$119,0)),N('設定（最初に1回）'!$C$13)))</f>
        <v>7</v>
      </c>
      <c r="AH82" s="66" t="n">
        <f aca="false">IF(AND(N($K82)&gt;0,N($Y82)&gt;0),N($Y82),0)</f>
        <v>0</v>
      </c>
    </row>
    <row r="83" customFormat="false" ht="15" hidden="false" customHeight="false" outlineLevel="0" collapsed="false">
      <c r="B83" s="66" t="n">
        <v>78</v>
      </c>
      <c r="C83" s="66" t="str">
        <f aca="false">IFERROR(IF($B83&lt;=MAX(①今日の在庫を貼る!$U$6:$U$10005),INDEX(①今日の在庫を貼る!$I$6:$I$10005,MATCH($B83,①今日の在庫を貼る!$U$6:$U$10005,0)),INDEX(月1回_前回の在庫を貼る!$I$6:$I$10005,MATCH($B83-MAX(①今日の在庫を貼る!$U$6:$U$10005),月1回_前回の在庫を貼る!$U$6:$U$10005,0))),"")</f>
        <v>1812000010250</v>
      </c>
      <c r="D83" s="66" t="str">
        <f aca="false">IF($C83="","",IFERROR(INDEX(商品マスタ!$C$6:$C$1005,MATCH($C83,商品マスタ!$B$6:$B$1005,0)),IFERROR(INDEX(①今日の在庫を貼る!$J$6:$J$10005,MATCH($C83,①今日の在庫を貼る!$I$6:$I$10005,0)),IFERROR(INDEX(月1回_前回の在庫を貼る!$J$6:$J$10005,MATCH($C83,月1回_前回の在庫を貼る!$I$6:$I$10005,0)),""))))</f>
        <v>バイオマスストロー　（裸）　赤</v>
      </c>
      <c r="E83" s="66" t="str">
        <f aca="false">IF($C83="","",IFERROR(INDEX(商品マスタ!$D$6:$D$1005,MATCH($C83,商品マスタ!$B$6:$B$1005,0)),IFERROR(INDEX(①今日の在庫を貼る!$H$6:$H$10005,MATCH($C83,①今日の在庫を貼る!$I$6:$I$10005,0)),IFERROR(INDEX(月1回_前回の在庫を貼る!$H$6:$H$10005,MATCH($C83,月1回_前回の在庫を貼る!$I$6:$I$10005,0)),""))))</f>
        <v>コンセ包材</v>
      </c>
      <c r="F83" s="66" t="str">
        <f aca="false">IF($C83="","",IFERROR(INDEX(商品マスタ!$E$6:$E$1005,MATCH($C83,商品マスタ!$B$6:$B$1005,0)),IFERROR(INDEX(①今日の在庫を貼る!$E$6:$E$10005,MATCH($C83,①今日の在庫を貼る!$I$6:$I$10005,0)),IFERROR(INDEX(月1回_前回の在庫を貼る!$E$6:$E$10005,MATCH($C83,月1回_前回の在庫を貼る!$I$6:$I$10005,0)),""))))</f>
        <v>オザックス株式会社</v>
      </c>
      <c r="G83" s="69" t="n">
        <f aca="false">IF($C83="","",IFERROR(INDEX(商品マスタ!$F$6:$F$1005,MATCH($C83,商品マスタ!$B$6:$B$1005,0)),IFERROR(INDEX(①今日の在庫を貼る!$K$6:$K$10005,MATCH($C83,①今日の在庫を貼る!$I$6:$I$10005,0)),IFERROR(INDEX(月1回_前回の在庫を貼る!$K$6:$K$10005,MATCH($C83,月1回_前回の在庫を貼る!$I$6:$I$10005,0)),""))))</f>
        <v>10000</v>
      </c>
      <c r="H83" s="71" t="n">
        <f aca="false">IF($C83="","",IFERROR(INDEX(商品マスタ!$G$6:$G$1005,MATCH($C83,商品マスタ!$B$6:$B$1005,0)),IFERROR(INDEX(①今日の在庫を貼る!$Q$6:$Q$10005,MATCH($C83,①今日の在庫を貼る!$I$6:$I$10005,0)),IFERROR(INDEX(月1回_前回の在庫を貼る!$Q$6:$Q$10005,MATCH($C83,月1回_前回の在庫を貼る!$I$6:$I$10005,0)),""))))</f>
        <v>1.05</v>
      </c>
      <c r="I83" s="66" t="n">
        <f aca="false">IF($C83="","",IFERROR(INDEX(商品マスタ!$H$6:$H$1005,MATCH($C83,商品マスタ!$B$6:$B$1005,0)),3))</f>
        <v>7</v>
      </c>
      <c r="J83" s="66" t="n">
        <f aca="false">IF($C83="","",MAX(1,IFERROR(INDEX(商品マスタ!$I$6:$I$1005,MATCH($C83,商品マスタ!$B$6:$B$1005,0)),1)))</f>
        <v>1</v>
      </c>
      <c r="K83" s="69" t="n">
        <f aca="false">IF($C83="","",SUMIFS(①今日の在庫を貼る!$N$6:$N$10005,①今日の在庫を貼る!$B$6:$B$10005,'設定（最初に1回）'!$C$4,①今日の在庫を貼る!$I$6:$I$10005,$C83))</f>
        <v>0</v>
      </c>
      <c r="L83" s="69" t="n">
        <f aca="false">IF($C83="","",SUMIFS(月1回_前回の在庫を貼る!$N$6:$N$10005,月1回_前回の在庫を貼る!$B$6:$B$10005,'設定（最初に1回）'!$C$4,月1回_前回の在庫を貼る!$I$6:$I$10005,$C83))</f>
        <v>1</v>
      </c>
      <c r="M83" s="69" t="n">
        <f aca="false">IF($C83="","",IF(OR('設定（最初に1回）'!$C$6="",'設定（最初に1回）'!$C$7=""),0,SUMIFS(発注管理!$S$6:$S$1005,発注管理!$C$6:$C$1005,'設定（最初に1回）'!$C$4,発注管理!$F$6:$F$1005,$C83,発注管理!$R$6:$R$1005,"&gt;="&amp;'設定（最初に1回）'!$C$7,発注管理!$R$6:$R$1005,"&lt;="&amp;'設定（最初に1回）'!$C$6)))</f>
        <v>0</v>
      </c>
      <c r="N83" s="69" t="n">
        <f aca="false">IF(OR($C83="",'設定（最初に1回）'!$C$15=0),"",$L83+$M83-$K83)</f>
        <v>1</v>
      </c>
      <c r="O83" s="143" t="n">
        <f aca="false">IF(OR($N83="",'設定（最初に1回）'!$C$8="",'設定（最初に1回）'!$C$8&lt;=0),"",MAX(0,$N83)/'設定（最初に1回）'!$C$8)</f>
        <v>0.0163934426229508</v>
      </c>
      <c r="P83" s="143" t="n">
        <f aca="false">IF($C83="","",IFERROR(INDEX(商品マスタ!$M$6:$N$1005,MATCH($C83,商品マスタ!$B$6:$B$1005,0),MATCH("PI値 "&amp;'設定（最初に1回）'!$C$11,商品マスタ!$M$5:$N$5,0)),""))</f>
        <v>7</v>
      </c>
      <c r="Q83" s="143" t="n">
        <f aca="false">IF(OR($C83="",$P83="",$P83=0,(N($I83)+N($AG83))&lt;=0),"",IFERROR(SUMIFS(随時_動員を入れる!$G$8:$G$97,随時_動員を入れる!$B$8:$B$97,"&gt;="&amp;'設定（最初に1回）'!$C$6,随時_動員を入れる!$B$8:$B$97,"&lt;="&amp;'設定（最初に1回）'!$C$6+(N($I83)+N($AG83))-1)/(N($I83)+N($AG83)),0)*$P83/100)</f>
        <v>225.47</v>
      </c>
      <c r="R83" s="69" t="n">
        <f aca="false">IF($C83="","",SUMIFS(①今日の在庫を貼る!$O$6:$O$10005,①今日の在庫を貼る!$B$6:$B$10005,'設定（最初に1回）'!$C$4,①今日の在庫を貼る!$I$6:$I$10005,$C83))</f>
        <v>0</v>
      </c>
      <c r="S83" s="143" t="n">
        <f aca="false">IF($C83="","",IF('設定（最初に1回）'!$C$9="実績消費",N($O83),IF('設定（最初に1回）'!$C$9="PI値予測",N($Q83),MAX(N($O83),N($Q83)))))</f>
        <v>0.0163934426229508</v>
      </c>
      <c r="T83" s="67" t="n">
        <f aca="false">IF(OR($S83="",$S83&lt;=0),"",$K83/$S83)</f>
        <v>0</v>
      </c>
      <c r="U83" s="69" t="n">
        <f aca="false">IF($S83="","",ROUNDUP(N($S83)*'設定（最初に1回）'!$C$12,0))</f>
        <v>1</v>
      </c>
      <c r="V83" s="69" t="n">
        <f aca="false">IF($C83="","",ROUNDUP(N($S83)*(N($I83)+N($AG83))+N($U83),0))</f>
        <v>2</v>
      </c>
      <c r="W83" s="69" t="n">
        <f aca="false">IF($C83="","",SUMIFS(発注管理!$L$6:$L$1005,発注管理!$C$6:$C$1005,'設定（最初に1回）'!$C$4,発注管理!$F$6:$F$1005,$C83,発注管理!$Q$6:$Q$1005,"発注済"))</f>
        <v>0</v>
      </c>
      <c r="X83" s="69" t="n">
        <f aca="false">IF($C83="","",MAX(0,N($V83)-N($K83)-N($W83)))</f>
        <v>2</v>
      </c>
      <c r="Y83" s="147" t="n">
        <f aca="false">IF($C83="","",IF(N($X83)&lt;=0,0,CEILING($X83/MAX(1,N($G83)),MAX(1,N($J83)))))</f>
        <v>1</v>
      </c>
      <c r="Z83" s="138" t="str">
        <f aca="false">IF($C83="","",IF(N($Y83)&gt;0,"要発注","正常"))</f>
        <v>要発注</v>
      </c>
      <c r="AA83" s="71" t="n">
        <f aca="false">IF($C83="","",N($K83)*N($H83))</f>
        <v>0</v>
      </c>
      <c r="AB83" s="66" t="str">
        <f aca="false">IF($C83="","",_xlfn.TEXTJOIN(" / ",TRUE(),IF(COUNTIF(商品マスタ!$B$6:$B$1005,$C83)=0,"マスタ未登録",""),IF(COUNTIFS(月1回_前回の在庫を貼る!$B$6:$B$10005,'設定（最初に1回）'!$C$4,月1回_前回の在庫を貼る!$I$6:$I$10005,$C83)=0,"新商品",""),IF(COUNTIFS(①今日の在庫を貼る!$B$6:$B$10005,'設定（最初に1回）'!$C$4,①今日の在庫を貼る!$I$6:$I$10005,$C83)=0,"終売候補",""),IF(N($K83)&lt;0,"在庫マイナス",""),IF(AND('設定（最初に1回）'!$C$9="PI値予測",$P83=""),"PI値未設定","")))</f>
        <v/>
      </c>
      <c r="AC83" s="71" t="n">
        <f aca="false">N($Y83)*N($H83)</f>
        <v>1.05</v>
      </c>
      <c r="AD83" s="66" t="str">
        <f aca="false">IF($C83="","",IFERROR(INDEX(商品マスタ!$K$6:$K$1005,MATCH($C83,商品マスタ!$B$6:$B$1005,0)),"常温"))</f>
        <v>常温</v>
      </c>
      <c r="AE83" s="69" t="n">
        <f aca="false">IF($C83="","",MAX(0,ROUNDUP(N($K83)/MAX(1,N($G83)),0)))</f>
        <v>0</v>
      </c>
      <c r="AF83" s="66" t="str">
        <f aca="false">IF($C83="","",IFERROR(INDEX(商品マスタ!$L$6:$L$1005,MATCH($C83,商品マスタ!$B$6:$B$1005,0)),""))</f>
        <v>常温包材</v>
      </c>
      <c r="AG83" s="143" t="n">
        <f aca="false">IF($C83="","",IFERROR(INDEX(定数マスタ!$S$110:$S$119,MATCH($AF83,定数マスタ!$J$110:$J$119,0)),N('設定（最初に1回）'!$C$13)))</f>
        <v>7</v>
      </c>
      <c r="AH83" s="66" t="n">
        <f aca="false">IF(AND(N($K83)&gt;0,N($Y83)&gt;0),N($Y83),0)</f>
        <v>0</v>
      </c>
    </row>
    <row r="84" customFormat="false" ht="15" hidden="false" customHeight="false" outlineLevel="0" collapsed="false">
      <c r="B84" s="66" t="n">
        <v>79</v>
      </c>
      <c r="C84" s="66" t="str">
        <f aca="false">IFERROR(IF($B84&lt;=MAX(①今日の在庫を貼る!$U$6:$U$10005),INDEX(①今日の在庫を貼る!$I$6:$I$10005,MATCH($B84,①今日の在庫を貼る!$U$6:$U$10005,0)),INDEX(月1回_前回の在庫を貼る!$I$6:$I$10005,MATCH($B84-MAX(①今日の在庫を貼る!$U$6:$U$10005),月1回_前回の在庫を貼る!$U$6:$U$10005,0))),"")</f>
        <v>1812000010267</v>
      </c>
      <c r="D84" s="66" t="str">
        <f aca="false">IF($C84="","",IFERROR(INDEX(商品マスタ!$C$6:$C$1005,MATCH($C84,商品マスタ!$B$6:$B$1005,0)),IFERROR(INDEX(①今日の在庫を貼る!$J$6:$J$10005,MATCH($C84,①今日の在庫を貼る!$I$6:$I$10005,0)),IFERROR(INDEX(月1回_前回の在庫を貼る!$J$6:$J$10005,MATCH($C84,月1回_前回の在庫を貼る!$I$6:$I$10005,0)),""))))</f>
        <v>バイオマスストロー（裸）タピオカ</v>
      </c>
      <c r="E84" s="66" t="str">
        <f aca="false">IF($C84="","",IFERROR(INDEX(商品マスタ!$D$6:$D$1005,MATCH($C84,商品マスタ!$B$6:$B$1005,0)),IFERROR(INDEX(①今日の在庫を貼る!$H$6:$H$10005,MATCH($C84,①今日の在庫を貼る!$I$6:$I$10005,0)),IFERROR(INDEX(月1回_前回の在庫を貼る!$H$6:$H$10005,MATCH($C84,月1回_前回の在庫を貼る!$I$6:$I$10005,0)),""))))</f>
        <v>コンセ包材</v>
      </c>
      <c r="F84" s="66" t="str">
        <f aca="false">IF($C84="","",IFERROR(INDEX(商品マスタ!$E$6:$E$1005,MATCH($C84,商品マスタ!$B$6:$B$1005,0)),IFERROR(INDEX(①今日の在庫を貼る!$E$6:$E$10005,MATCH($C84,①今日の在庫を貼る!$I$6:$I$10005,0)),IFERROR(INDEX(月1回_前回の在庫を貼る!$E$6:$E$10005,MATCH($C84,月1回_前回の在庫を貼る!$I$6:$I$10005,0)),""))))</f>
        <v>オザックス株式会社</v>
      </c>
      <c r="G84" s="69" t="n">
        <f aca="false">IF($C84="","",IFERROR(INDEX(商品マスタ!$F$6:$F$1005,MATCH($C84,商品マスタ!$B$6:$B$1005,0)),IFERROR(INDEX(①今日の在庫を貼る!$K$6:$K$10005,MATCH($C84,①今日の在庫を貼る!$I$6:$I$10005,0)),IFERROR(INDEX(月1回_前回の在庫を貼る!$K$6:$K$10005,MATCH($C84,月1回_前回の在庫を貼る!$I$6:$I$10005,0)),""))))</f>
        <v>200</v>
      </c>
      <c r="H84" s="71" t="n">
        <f aca="false">IF($C84="","",IFERROR(INDEX(商品マスタ!$G$6:$G$1005,MATCH($C84,商品マスタ!$B$6:$B$1005,0)),IFERROR(INDEX(①今日の在庫を貼る!$Q$6:$Q$10005,MATCH($C84,①今日の在庫を貼る!$I$6:$I$10005,0)),IFERROR(INDEX(月1回_前回の在庫を貼る!$Q$6:$Q$10005,MATCH($C84,月1回_前回の在庫を貼る!$I$6:$I$10005,0)),""))))</f>
        <v>5.03</v>
      </c>
      <c r="I84" s="66" t="n">
        <f aca="false">IF($C84="","",IFERROR(INDEX(商品マスタ!$H$6:$H$1005,MATCH($C84,商品マスタ!$B$6:$B$1005,0)),3))</f>
        <v>4</v>
      </c>
      <c r="J84" s="66" t="n">
        <f aca="false">IF($C84="","",MAX(1,IFERROR(INDEX(商品マスタ!$I$6:$I$1005,MATCH($C84,商品マスタ!$B$6:$B$1005,0)),1)))</f>
        <v>1</v>
      </c>
      <c r="K84" s="69" t="n">
        <f aca="false">IF($C84="","",SUMIFS(①今日の在庫を貼る!$N$6:$N$10005,①今日の在庫を貼る!$B$6:$B$10005,'設定（最初に1回）'!$C$4,①今日の在庫を貼る!$I$6:$I$10005,$C84))</f>
        <v>2134</v>
      </c>
      <c r="L84" s="69" t="n">
        <f aca="false">IF($C84="","",SUMIFS(月1回_前回の在庫を貼る!$N$6:$N$10005,月1回_前回の在庫を貼る!$B$6:$B$10005,'設定（最初に1回）'!$C$4,月1回_前回の在庫を貼る!$I$6:$I$10005,$C84))</f>
        <v>6025</v>
      </c>
      <c r="M84" s="69" t="n">
        <f aca="false">IF($C84="","",IF(OR('設定（最初に1回）'!$C$6="",'設定（最初に1回）'!$C$7=""),0,SUMIFS(発注管理!$S$6:$S$1005,発注管理!$C$6:$C$1005,'設定（最初に1回）'!$C$4,発注管理!$F$6:$F$1005,$C84,発注管理!$R$6:$R$1005,"&gt;="&amp;'設定（最初に1回）'!$C$7,発注管理!$R$6:$R$1005,"&lt;="&amp;'設定（最初に1回）'!$C$6)))</f>
        <v>0</v>
      </c>
      <c r="N84" s="69" t="n">
        <f aca="false">IF(OR($C84="",'設定（最初に1回）'!$C$15=0),"",$L84+$M84-$K84)</f>
        <v>3891</v>
      </c>
      <c r="O84" s="143" t="n">
        <f aca="false">IF(OR($N84="",'設定（最初に1回）'!$C$8="",'設定（最初に1回）'!$C$8&lt;=0),"",MAX(0,$N84)/'設定（最初に1回）'!$C$8)</f>
        <v>63.7868852459016</v>
      </c>
      <c r="P84" s="143" t="n">
        <f aca="false">IF($C84="","",IFERROR(INDEX(商品マスタ!$M$6:$N$1005,MATCH($C84,商品マスタ!$B$6:$B$1005,0),MATCH("PI値 "&amp;'設定（最初に1回）'!$C$11,商品マスタ!$M$5:$N$5,0)),""))</f>
        <v>9.1</v>
      </c>
      <c r="Q84" s="143" t="n">
        <f aca="false">IF(OR($C84="",$P84="",$P84=0,(N($I84)+N($AG84))&lt;=0),"",IFERROR(SUMIFS(随時_動員を入れる!$G$8:$G$97,随時_動員を入れる!$B$8:$B$97,"&gt;="&amp;'設定（最初に1回）'!$C$6,随時_動員を入れる!$B$8:$B$97,"&lt;="&amp;'設定（最初に1回）'!$C$6+(N($I84)+N($AG84))-1)/(N($I84)+N($AG84)),0)*$P84/100)</f>
        <v>340.389636363636</v>
      </c>
      <c r="R84" s="69" t="n">
        <f aca="false">IF($C84="","",SUMIFS(①今日の在庫を貼る!$O$6:$O$10005,①今日の在庫を貼る!$B$6:$B$10005,'設定（最初に1回）'!$C$4,①今日の在庫を貼る!$I$6:$I$10005,$C84))</f>
        <v>0</v>
      </c>
      <c r="S84" s="143" t="n">
        <f aca="false">IF($C84="","",IF('設定（最初に1回）'!$C$9="実績消費",N($O84),IF('設定（最初に1回）'!$C$9="PI値予測",N($Q84),MAX(N($O84),N($Q84)))))</f>
        <v>63.7868852459016</v>
      </c>
      <c r="T84" s="67" t="n">
        <f aca="false">IF(OR($S84="",$S84&lt;=0),"",$K84/$S84)</f>
        <v>33.4551529169879</v>
      </c>
      <c r="U84" s="69" t="n">
        <f aca="false">IF($S84="","",ROUNDUP(N($S84)*'設定（最初に1回）'!$C$12,0))</f>
        <v>256</v>
      </c>
      <c r="V84" s="69" t="n">
        <f aca="false">IF($C84="","",ROUNDUP(N($S84)*(N($I84)+N($AG84))+N($U84),0))</f>
        <v>958</v>
      </c>
      <c r="W84" s="69" t="n">
        <f aca="false">IF($C84="","",SUMIFS(発注管理!$L$6:$L$1005,発注管理!$C$6:$C$1005,'設定（最初に1回）'!$C$4,発注管理!$F$6:$F$1005,$C84,発注管理!$Q$6:$Q$1005,"発注済"))</f>
        <v>0</v>
      </c>
      <c r="X84" s="69" t="n">
        <f aca="false">IF($C84="","",MAX(0,N($V84)-N($K84)-N($W84)))</f>
        <v>0</v>
      </c>
      <c r="Y84" s="147" t="n">
        <f aca="false">IF($C84="","",IF(N($X84)&lt;=0,0,CEILING($X84/MAX(1,N($G84)),MAX(1,N($J84)))))</f>
        <v>0</v>
      </c>
      <c r="Z84" s="138" t="str">
        <f aca="false">IF($C84="","",IF(N($Y84)&gt;0,"要発注","正常"))</f>
        <v>正常</v>
      </c>
      <c r="AA84" s="71" t="n">
        <f aca="false">IF($C84="","",N($K84)*N($H84))</f>
        <v>10734.02</v>
      </c>
      <c r="AB84" s="66" t="str">
        <f aca="false">IF($C84="","",_xlfn.TEXTJOIN(" / ",TRUE(),IF(COUNTIF(商品マスタ!$B$6:$B$1005,$C84)=0,"マスタ未登録",""),IF(COUNTIFS(月1回_前回の在庫を貼る!$B$6:$B$10005,'設定（最初に1回）'!$C$4,月1回_前回の在庫を貼る!$I$6:$I$10005,$C84)=0,"新商品",""),IF(COUNTIFS(①今日の在庫を貼る!$B$6:$B$10005,'設定（最初に1回）'!$C$4,①今日の在庫を貼る!$I$6:$I$10005,$C84)=0,"終売候補",""),IF(N($K84)&lt;0,"在庫マイナス",""),IF(AND('設定（最初に1回）'!$C$9="PI値予測",$P84=""),"PI値未設定","")))</f>
        <v/>
      </c>
      <c r="AC84" s="71" t="n">
        <f aca="false">N($Y84)*N($H84)</f>
        <v>0</v>
      </c>
      <c r="AD84" s="66" t="str">
        <f aca="false">IF($C84="","",IFERROR(INDEX(商品マスタ!$K$6:$K$1005,MATCH($C84,商品マスタ!$B$6:$B$1005,0)),"常温"))</f>
        <v>常温</v>
      </c>
      <c r="AE84" s="69" t="n">
        <f aca="false">IF($C84="","",MAX(0,ROUNDUP(N($K84)/MAX(1,N($G84)),0)))</f>
        <v>11</v>
      </c>
      <c r="AF84" s="66" t="str">
        <f aca="false">IF($C84="","",IFERROR(INDEX(商品マスタ!$L$6:$L$1005,MATCH($C84,商品マスタ!$B$6:$B$1005,0)),""))</f>
        <v>常温包材</v>
      </c>
      <c r="AG84" s="143" t="n">
        <f aca="false">IF($C84="","",IFERROR(INDEX(定数マスタ!$S$110:$S$119,MATCH($AF84,定数マスタ!$J$110:$J$119,0)),N('設定（最初に1回）'!$C$13)))</f>
        <v>7</v>
      </c>
      <c r="AH84" s="66" t="n">
        <f aca="false">IF(AND(N($K84)&gt;0,N($Y84)&gt;0),N($Y84),0)</f>
        <v>0</v>
      </c>
    </row>
    <row r="85" customFormat="false" ht="15" hidden="false" customHeight="false" outlineLevel="0" collapsed="false">
      <c r="B85" s="66" t="n">
        <v>80</v>
      </c>
      <c r="C85" s="66" t="str">
        <f aca="false">IFERROR(IF($B85&lt;=MAX(①今日の在庫を貼る!$U$6:$U$10005),INDEX(①今日の在庫を貼る!$I$6:$I$10005,MATCH($B85,①今日の在庫を貼る!$U$6:$U$10005,0)),INDEX(月1回_前回の在庫を貼る!$I$6:$I$10005,MATCH($B85-MAX(①今日の在庫を貼る!$U$6:$U$10005),月1回_前回の在庫を貼る!$U$6:$U$10005,0))),"")</f>
        <v>1812000010649</v>
      </c>
      <c r="D85" s="66" t="str">
        <f aca="false">IF($C85="","",IFERROR(INDEX(商品マスタ!$C$6:$C$1005,MATCH($C85,商品マスタ!$B$6:$B$1005,0)),IFERROR(INDEX(①今日の在庫を貼る!$J$6:$J$10005,MATCH($C85,①今日の在庫を貼る!$I$6:$I$10005,0)),IFERROR(INDEX(月1回_前回の在庫を貼る!$J$6:$J$10005,MATCH($C85,月1回_前回の在庫を貼る!$I$6:$I$10005,0)),""))))</f>
        <v>ＴＨ（ＦＳ）新チュリトス袋</v>
      </c>
      <c r="E85" s="66" t="str">
        <f aca="false">IF($C85="","",IFERROR(INDEX(商品マスタ!$D$6:$D$1005,MATCH($C85,商品マスタ!$B$6:$B$1005,0)),IFERROR(INDEX(①今日の在庫を貼る!$H$6:$H$10005,MATCH($C85,①今日の在庫を貼る!$I$6:$I$10005,0)),IFERROR(INDEX(月1回_前回の在庫を貼る!$H$6:$H$10005,MATCH($C85,月1回_前回の在庫を貼る!$I$6:$I$10005,0)),""))))</f>
        <v>コンセ包材</v>
      </c>
      <c r="F85" s="66" t="str">
        <f aca="false">IF($C85="","",IFERROR(INDEX(商品マスタ!$E$6:$E$1005,MATCH($C85,商品マスタ!$B$6:$B$1005,0)),IFERROR(INDEX(①今日の在庫を貼る!$E$6:$E$10005,MATCH($C85,①今日の在庫を貼る!$I$6:$I$10005,0)),IFERROR(INDEX(月1回_前回の在庫を貼る!$E$6:$E$10005,MATCH($C85,月1回_前回の在庫を貼る!$I$6:$I$10005,0)),""))))</f>
        <v>オザックス株式会社</v>
      </c>
      <c r="G85" s="69" t="n">
        <f aca="false">IF($C85="","",IFERROR(INDEX(商品マスタ!$F$6:$F$1005,MATCH($C85,商品マスタ!$B$6:$B$1005,0)),IFERROR(INDEX(①今日の在庫を貼る!$K$6:$K$10005,MATCH($C85,①今日の在庫を貼る!$I$6:$I$10005,0)),IFERROR(INDEX(月1回_前回の在庫を貼る!$K$6:$K$10005,MATCH($C85,月1回_前回の在庫を貼る!$I$6:$I$10005,0)),""))))</f>
        <v>1000</v>
      </c>
      <c r="H85" s="71" t="n">
        <f aca="false">IF($C85="","",IFERROR(INDEX(商品マスタ!$G$6:$G$1005,MATCH($C85,商品マスタ!$B$6:$B$1005,0)),IFERROR(INDEX(①今日の在庫を貼る!$Q$6:$Q$10005,MATCH($C85,①今日の在庫を貼る!$I$6:$I$10005,0)),IFERROR(INDEX(月1回_前回の在庫を貼る!$Q$6:$Q$10005,MATCH($C85,月1回_前回の在庫を貼る!$I$6:$I$10005,0)),""))))</f>
        <v>4.56</v>
      </c>
      <c r="I85" s="66" t="n">
        <f aca="false">IF($C85="","",IFERROR(INDEX(商品マスタ!$H$6:$H$1005,MATCH($C85,商品マスタ!$B$6:$B$1005,0)),3))</f>
        <v>4</v>
      </c>
      <c r="J85" s="66" t="n">
        <f aca="false">IF($C85="","",MAX(1,IFERROR(INDEX(商品マスタ!$I$6:$I$1005,MATCH($C85,商品マスタ!$B$6:$B$1005,0)),1)))</f>
        <v>2</v>
      </c>
      <c r="K85" s="69" t="n">
        <f aca="false">IF($C85="","",SUMIFS(①今日の在庫を貼る!$N$6:$N$10005,①今日の在庫を貼る!$B$6:$B$10005,'設定（最初に1回）'!$C$4,①今日の在庫を貼る!$I$6:$I$10005,$C85))</f>
        <v>1300</v>
      </c>
      <c r="L85" s="69" t="n">
        <f aca="false">IF($C85="","",SUMIFS(月1回_前回の在庫を貼る!$N$6:$N$10005,月1回_前回の在庫を貼る!$B$6:$B$10005,'設定（最初に1回）'!$C$4,月1回_前回の在庫を貼る!$I$6:$I$10005,$C85))</f>
        <v>2575</v>
      </c>
      <c r="M85" s="69" t="n">
        <f aca="false">IF($C85="","",IF(OR('設定（最初に1回）'!$C$6="",'設定（最初に1回）'!$C$7=""),0,SUMIFS(発注管理!$S$6:$S$1005,発注管理!$C$6:$C$1005,'設定（最初に1回）'!$C$4,発注管理!$F$6:$F$1005,$C85,発注管理!$R$6:$R$1005,"&gt;="&amp;'設定（最初に1回）'!$C$7,発注管理!$R$6:$R$1005,"&lt;="&amp;'設定（最初に1回）'!$C$6)))</f>
        <v>0</v>
      </c>
      <c r="N85" s="69" t="n">
        <f aca="false">IF(OR($C85="",'設定（最初に1回）'!$C$15=0),"",$L85+$M85-$K85)</f>
        <v>1275</v>
      </c>
      <c r="O85" s="143" t="n">
        <f aca="false">IF(OR($N85="",'設定（最初に1回）'!$C$8="",'設定（最初に1回）'!$C$8&lt;=0),"",MAX(0,$N85)/'設定（最初に1回）'!$C$8)</f>
        <v>20.9016393442623</v>
      </c>
      <c r="P85" s="143" t="n">
        <f aca="false">IF($C85="","",IFERROR(INDEX(商品マスタ!$M$6:$N$1005,MATCH($C85,商品マスタ!$B$6:$B$1005,0),MATCH("PI値 "&amp;'設定（最初に1回）'!$C$11,商品マスタ!$M$5:$N$5,0)),""))</f>
        <v>9.3</v>
      </c>
      <c r="Q85" s="143" t="n">
        <f aca="false">IF(OR($C85="",$P85="",$P85=0,(N($I85)+N($AG85))&lt;=0),"",IFERROR(SUMIFS(随時_動員を入れる!$G$8:$G$97,随時_動員を入れる!$B$8:$B$97,"&gt;="&amp;'設定（最初に1回）'!$C$6,随時_動員を入れる!$B$8:$B$97,"&lt;="&amp;'設定（最初に1回）'!$C$6+(N($I85)+N($AG85))-1)/(N($I85)+N($AG85)),0)*$P85/100)</f>
        <v>347.870727272727</v>
      </c>
      <c r="R85" s="69" t="n">
        <f aca="false">IF($C85="","",SUMIFS(①今日の在庫を貼る!$O$6:$O$10005,①今日の在庫を貼る!$B$6:$B$10005,'設定（最初に1回）'!$C$4,①今日の在庫を貼る!$I$6:$I$10005,$C85))</f>
        <v>0</v>
      </c>
      <c r="S85" s="143" t="n">
        <f aca="false">IF($C85="","",IF('設定（最初に1回）'!$C$9="実績消費",N($O85),IF('設定（最初に1回）'!$C$9="PI値予測",N($Q85),MAX(N($O85),N($Q85)))))</f>
        <v>20.9016393442623</v>
      </c>
      <c r="T85" s="67" t="n">
        <f aca="false">IF(OR($S85="",$S85&lt;=0),"",$K85/$S85)</f>
        <v>62.1960784313726</v>
      </c>
      <c r="U85" s="69" t="n">
        <f aca="false">IF($S85="","",ROUNDUP(N($S85)*'設定（最初に1回）'!$C$12,0))</f>
        <v>84</v>
      </c>
      <c r="V85" s="69" t="n">
        <f aca="false">IF($C85="","",ROUNDUP(N($S85)*(N($I85)+N($AG85))+N($U85),0))</f>
        <v>314</v>
      </c>
      <c r="W85" s="69" t="n">
        <f aca="false">IF($C85="","",SUMIFS(発注管理!$L$6:$L$1005,発注管理!$C$6:$C$1005,'設定（最初に1回）'!$C$4,発注管理!$F$6:$F$1005,$C85,発注管理!$Q$6:$Q$1005,"発注済"))</f>
        <v>0</v>
      </c>
      <c r="X85" s="69" t="n">
        <f aca="false">IF($C85="","",MAX(0,N($V85)-N($K85)-N($W85)))</f>
        <v>0</v>
      </c>
      <c r="Y85" s="147" t="n">
        <f aca="false">IF($C85="","",IF(N($X85)&lt;=0,0,CEILING($X85/MAX(1,N($G85)),MAX(1,N($J85)))))</f>
        <v>0</v>
      </c>
      <c r="Z85" s="138" t="str">
        <f aca="false">IF($C85="","",IF(N($Y85)&gt;0,"要発注","正常"))</f>
        <v>正常</v>
      </c>
      <c r="AA85" s="71" t="n">
        <f aca="false">IF($C85="","",N($K85)*N($H85))</f>
        <v>5928</v>
      </c>
      <c r="AB85" s="66" t="str">
        <f aca="false">IF($C85="","",_xlfn.TEXTJOIN(" / ",TRUE(),IF(COUNTIF(商品マスタ!$B$6:$B$1005,$C85)=0,"マスタ未登録",""),IF(COUNTIFS(月1回_前回の在庫を貼る!$B$6:$B$10005,'設定（最初に1回）'!$C$4,月1回_前回の在庫を貼る!$I$6:$I$10005,$C85)=0,"新商品",""),IF(COUNTIFS(①今日の在庫を貼る!$B$6:$B$10005,'設定（最初に1回）'!$C$4,①今日の在庫を貼る!$I$6:$I$10005,$C85)=0,"終売候補",""),IF(N($K85)&lt;0,"在庫マイナス",""),IF(AND('設定（最初に1回）'!$C$9="PI値予測",$P85=""),"PI値未設定","")))</f>
        <v/>
      </c>
      <c r="AC85" s="71" t="n">
        <f aca="false">N($Y85)*N($H85)</f>
        <v>0</v>
      </c>
      <c r="AD85" s="66" t="str">
        <f aca="false">IF($C85="","",IFERROR(INDEX(商品マスタ!$K$6:$K$1005,MATCH($C85,商品マスタ!$B$6:$B$1005,0)),"常温"))</f>
        <v>常温</v>
      </c>
      <c r="AE85" s="69" t="n">
        <f aca="false">IF($C85="","",MAX(0,ROUNDUP(N($K85)/MAX(1,N($G85)),0)))</f>
        <v>2</v>
      </c>
      <c r="AF85" s="66" t="str">
        <f aca="false">IF($C85="","",IFERROR(INDEX(商品マスタ!$L$6:$L$1005,MATCH($C85,商品マスタ!$B$6:$B$1005,0)),""))</f>
        <v>常温包材</v>
      </c>
      <c r="AG85" s="143" t="n">
        <f aca="false">IF($C85="","",IFERROR(INDEX(定数マスタ!$S$110:$S$119,MATCH($AF85,定数マスタ!$J$110:$J$119,0)),N('設定（最初に1回）'!$C$13)))</f>
        <v>7</v>
      </c>
      <c r="AH85" s="66" t="n">
        <f aca="false">IF(AND(N($K85)&gt;0,N($Y85)&gt;0),N($Y85),0)</f>
        <v>0</v>
      </c>
    </row>
    <row r="86" customFormat="false" ht="15" hidden="false" customHeight="false" outlineLevel="0" collapsed="false">
      <c r="B86" s="66" t="n">
        <v>81</v>
      </c>
      <c r="C86" s="66" t="str">
        <f aca="false">IFERROR(IF($B86&lt;=MAX(①今日の在庫を貼る!$U$6:$U$10005),INDEX(①今日の在庫を貼る!$I$6:$I$10005,MATCH($B86,①今日の在庫を貼る!$U$6:$U$10005,0)),INDEX(月1回_前回の在庫を貼る!$I$6:$I$10005,MATCH($B86-MAX(①今日の在庫を貼る!$U$6:$U$10005),月1回_前回の在庫を貼る!$U$6:$U$10005,0))),"")</f>
        <v>1812000010724</v>
      </c>
      <c r="D86" s="66" t="str">
        <f aca="false">IF($C86="","",IFERROR(INDEX(商品マスタ!$C$6:$C$1005,MATCH($C86,商品マスタ!$B$6:$B$1005,0)),IFERROR(INDEX(①今日の在庫を貼る!$J$6:$J$10005,MATCH($C86,①今日の在庫を貼る!$I$6:$I$10005,0)),IFERROR(INDEX(月1回_前回の在庫を貼る!$J$6:$J$10005,MATCH($C86,月1回_前回の在庫を貼る!$I$6:$I$10005,0)),""))))</f>
        <v>レッドカップＰＣカップＳ（ＦＳ）</v>
      </c>
      <c r="E86" s="66" t="str">
        <f aca="false">IF($C86="","",IFERROR(INDEX(商品マスタ!$D$6:$D$1005,MATCH($C86,商品マスタ!$B$6:$B$1005,0)),IFERROR(INDEX(①今日の在庫を貼る!$H$6:$H$10005,MATCH($C86,①今日の在庫を貼る!$I$6:$I$10005,0)),IFERROR(INDEX(月1回_前回の在庫を貼る!$H$6:$H$10005,MATCH($C86,月1回_前回の在庫を貼る!$I$6:$I$10005,0)),""))))</f>
        <v>コンセ包材</v>
      </c>
      <c r="F86" s="66" t="str">
        <f aca="false">IF($C86="","",IFERROR(INDEX(商品マスタ!$E$6:$E$1005,MATCH($C86,商品マスタ!$B$6:$B$1005,0)),IFERROR(INDEX(①今日の在庫を貼る!$E$6:$E$10005,MATCH($C86,①今日の在庫を貼る!$I$6:$I$10005,0)),IFERROR(INDEX(月1回_前回の在庫を貼る!$E$6:$E$10005,MATCH($C86,月1回_前回の在庫を貼る!$I$6:$I$10005,0)),""))))</f>
        <v>オザックス株式会社</v>
      </c>
      <c r="G86" s="69" t="n">
        <f aca="false">IF($C86="","",IFERROR(INDEX(商品マスタ!$F$6:$F$1005,MATCH($C86,商品マスタ!$B$6:$B$1005,0)),IFERROR(INDEX(①今日の在庫を貼る!$K$6:$K$10005,MATCH($C86,①今日の在庫を貼る!$I$6:$I$10005,0)),IFERROR(INDEX(月1回_前回の在庫を貼る!$K$6:$K$10005,MATCH($C86,月1回_前回の在庫を貼る!$I$6:$I$10005,0)),""))))</f>
        <v>600</v>
      </c>
      <c r="H86" s="71" t="n">
        <f aca="false">IF($C86="","",IFERROR(INDEX(商品マスタ!$G$6:$G$1005,MATCH($C86,商品マスタ!$B$6:$B$1005,0)),IFERROR(INDEX(①今日の在庫を貼る!$Q$6:$Q$10005,MATCH($C86,①今日の在庫を貼る!$I$6:$I$10005,0)),IFERROR(INDEX(月1回_前回の在庫を貼る!$Q$6:$Q$10005,MATCH($C86,月1回_前回の在庫を貼る!$I$6:$I$10005,0)),""))))</f>
        <v>8.93</v>
      </c>
      <c r="I86" s="66" t="n">
        <f aca="false">IF($C86="","",IFERROR(INDEX(商品マスタ!$H$6:$H$1005,MATCH($C86,商品マスタ!$B$6:$B$1005,0)),3))</f>
        <v>2</v>
      </c>
      <c r="J86" s="66" t="n">
        <f aca="false">IF($C86="","",MAX(1,IFERROR(INDEX(商品マスタ!$I$6:$I$1005,MATCH($C86,商品マスタ!$B$6:$B$1005,0)),1)))</f>
        <v>1</v>
      </c>
      <c r="K86" s="69" t="n">
        <f aca="false">IF($C86="","",SUMIFS(①今日の在庫を貼る!$N$6:$N$10005,①今日の在庫を貼る!$B$6:$B$10005,'設定（最初に1回）'!$C$4,①今日の在庫を貼る!$I$6:$I$10005,$C86))</f>
        <v>4209</v>
      </c>
      <c r="L86" s="69" t="n">
        <f aca="false">IF($C86="","",SUMIFS(月1回_前回の在庫を貼る!$N$6:$N$10005,月1回_前回の在庫を貼る!$B$6:$B$10005,'設定（最初に1回）'!$C$4,月1回_前回の在庫を貼る!$I$6:$I$10005,$C86))</f>
        <v>8628</v>
      </c>
      <c r="M86" s="69" t="n">
        <f aca="false">IF($C86="","",IF(OR('設定（最初に1回）'!$C$6="",'設定（最初に1回）'!$C$7=""),0,SUMIFS(発注管理!$S$6:$S$1005,発注管理!$C$6:$C$1005,'設定（最初に1回）'!$C$4,発注管理!$F$6:$F$1005,$C86,発注管理!$R$6:$R$1005,"&gt;="&amp;'設定（最初に1回）'!$C$7,発注管理!$R$6:$R$1005,"&lt;="&amp;'設定（最初に1回）'!$C$6)))</f>
        <v>0</v>
      </c>
      <c r="N86" s="69" t="n">
        <f aca="false">IF(OR($C86="",'設定（最初に1回）'!$C$15=0),"",$L86+$M86-$K86)</f>
        <v>4419</v>
      </c>
      <c r="O86" s="143" t="n">
        <f aca="false">IF(OR($N86="",'設定（最初に1回）'!$C$8="",'設定（最初に1回）'!$C$8&lt;=0),"",MAX(0,$N86)/'設定（最初に1回）'!$C$8)</f>
        <v>72.4426229508197</v>
      </c>
      <c r="P86" s="143" t="n">
        <f aca="false">IF($C86="","",IFERROR(INDEX(商品マスタ!$M$6:$N$1005,MATCH($C86,商品マスタ!$B$6:$B$1005,0),MATCH("PI値 "&amp;'設定（最初に1回）'!$C$11,商品マスタ!$M$5:$N$5,0)),""))</f>
        <v>5.4</v>
      </c>
      <c r="Q86" s="143" t="n">
        <f aca="false">IF(OR($C86="",$P86="",$P86=0,(N($I86)+N($AG86))&lt;=0),"",IFERROR(SUMIFS(随時_動員を入れる!$G$8:$G$97,随時_動員を入れる!$B$8:$B$97,"&gt;="&amp;'設定（最初に1回）'!$C$6,随時_動員を入れる!$B$8:$B$97,"&lt;="&amp;'設定（最初に1回）'!$C$6+(N($I86)+N($AG86))-1)/(N($I86)+N($AG86)),0)*$P86/100)</f>
        <v>207.426</v>
      </c>
      <c r="R86" s="69" t="n">
        <f aca="false">IF($C86="","",SUMIFS(①今日の在庫を貼る!$O$6:$O$10005,①今日の在庫を貼る!$B$6:$B$10005,'設定（最初に1回）'!$C$4,①今日の在庫を貼る!$I$6:$I$10005,$C86))</f>
        <v>0</v>
      </c>
      <c r="S86" s="143" t="n">
        <f aca="false">IF($C86="","",IF('設定（最初に1回）'!$C$9="実績消費",N($O86),IF('設定（最初に1回）'!$C$9="PI値予測",N($Q86),MAX(N($O86),N($Q86)))))</f>
        <v>72.4426229508197</v>
      </c>
      <c r="T86" s="67" t="n">
        <f aca="false">IF(OR($S86="",$S86&lt;=0),"",$K86/$S86)</f>
        <v>58.1011541072641</v>
      </c>
      <c r="U86" s="69" t="n">
        <f aca="false">IF($S86="","",ROUNDUP(N($S86)*'設定（最初に1回）'!$C$12,0))</f>
        <v>290</v>
      </c>
      <c r="V86" s="69" t="n">
        <f aca="false">IF($C86="","",ROUNDUP(N($S86)*(N($I86)+N($AG86))+N($U86),0))</f>
        <v>942</v>
      </c>
      <c r="W86" s="69" t="n">
        <f aca="false">IF($C86="","",SUMIFS(発注管理!$L$6:$L$1005,発注管理!$C$6:$C$1005,'設定（最初に1回）'!$C$4,発注管理!$F$6:$F$1005,$C86,発注管理!$Q$6:$Q$1005,"発注済"))</f>
        <v>0</v>
      </c>
      <c r="X86" s="69" t="n">
        <f aca="false">IF($C86="","",MAX(0,N($V86)-N($K86)-N($W86)))</f>
        <v>0</v>
      </c>
      <c r="Y86" s="147" t="n">
        <f aca="false">IF($C86="","",IF(N($X86)&lt;=0,0,CEILING($X86/MAX(1,N($G86)),MAX(1,N($J86)))))</f>
        <v>0</v>
      </c>
      <c r="Z86" s="138" t="str">
        <f aca="false">IF($C86="","",IF(N($Y86)&gt;0,"要発注","正常"))</f>
        <v>正常</v>
      </c>
      <c r="AA86" s="71" t="n">
        <f aca="false">IF($C86="","",N($K86)*N($H86))</f>
        <v>37586.37</v>
      </c>
      <c r="AB86" s="66" t="str">
        <f aca="false">IF($C86="","",_xlfn.TEXTJOIN(" / ",TRUE(),IF(COUNTIF(商品マスタ!$B$6:$B$1005,$C86)=0,"マスタ未登録",""),IF(COUNTIFS(月1回_前回の在庫を貼る!$B$6:$B$10005,'設定（最初に1回）'!$C$4,月1回_前回の在庫を貼る!$I$6:$I$10005,$C86)=0,"新商品",""),IF(COUNTIFS(①今日の在庫を貼る!$B$6:$B$10005,'設定（最初に1回）'!$C$4,①今日の在庫を貼る!$I$6:$I$10005,$C86)=0,"終売候補",""),IF(N($K86)&lt;0,"在庫マイナス",""),IF(AND('設定（最初に1回）'!$C$9="PI値予測",$P86=""),"PI値未設定","")))</f>
        <v/>
      </c>
      <c r="AC86" s="71" t="n">
        <f aca="false">N($Y86)*N($H86)</f>
        <v>0</v>
      </c>
      <c r="AD86" s="66" t="str">
        <f aca="false">IF($C86="","",IFERROR(INDEX(商品マスタ!$K$6:$K$1005,MATCH($C86,商品マスタ!$B$6:$B$1005,0)),"常温"))</f>
        <v>常温</v>
      </c>
      <c r="AE86" s="69" t="n">
        <f aca="false">IF($C86="","",MAX(0,ROUNDUP(N($K86)/MAX(1,N($G86)),0)))</f>
        <v>8</v>
      </c>
      <c r="AF86" s="66" t="str">
        <f aca="false">IF($C86="","",IFERROR(INDEX(商品マスタ!$L$6:$L$1005,MATCH($C86,商品マスタ!$B$6:$B$1005,0)),""))</f>
        <v>常温包材</v>
      </c>
      <c r="AG86" s="143" t="n">
        <f aca="false">IF($C86="","",IFERROR(INDEX(定数マスタ!$S$110:$S$119,MATCH($AF86,定数マスタ!$J$110:$J$119,0)),N('設定（最初に1回）'!$C$13)))</f>
        <v>7</v>
      </c>
      <c r="AH86" s="66" t="n">
        <f aca="false">IF(AND(N($K86)&gt;0,N($Y86)&gt;0),N($Y86),0)</f>
        <v>0</v>
      </c>
    </row>
    <row r="87" customFormat="false" ht="15" hidden="false" customHeight="false" outlineLevel="0" collapsed="false">
      <c r="B87" s="66" t="n">
        <v>82</v>
      </c>
      <c r="C87" s="66" t="str">
        <f aca="false">IFERROR(IF($B87&lt;=MAX(①今日の在庫を貼る!$U$6:$U$10005),INDEX(①今日の在庫を貼る!$I$6:$I$10005,MATCH($B87,①今日の在庫を貼る!$U$6:$U$10005,0)),INDEX(月1回_前回の在庫を貼る!$I$6:$I$10005,MATCH($B87-MAX(①今日の在庫を貼る!$U$6:$U$10005),月1回_前回の在庫を貼る!$U$6:$U$10005,0))),"")</f>
        <v>1812000010731</v>
      </c>
      <c r="D87" s="66" t="str">
        <f aca="false">IF($C87="","",IFERROR(INDEX(商品マスタ!$C$6:$C$1005,MATCH($C87,商品マスタ!$B$6:$B$1005,0)),IFERROR(INDEX(①今日の在庫を貼る!$J$6:$J$10005,MATCH($C87,①今日の在庫を貼る!$I$6:$I$10005,0)),IFERROR(INDEX(月1回_前回の在庫を貼る!$J$6:$J$10005,MATCH($C87,月1回_前回の在庫を貼る!$I$6:$I$10005,0)),""))))</f>
        <v>レッドカップＰＣカップＭ（ＦＳ）</v>
      </c>
      <c r="E87" s="66" t="str">
        <f aca="false">IF($C87="","",IFERROR(INDEX(商品マスタ!$D$6:$D$1005,MATCH($C87,商品マスタ!$B$6:$B$1005,0)),IFERROR(INDEX(①今日の在庫を貼る!$H$6:$H$10005,MATCH($C87,①今日の在庫を貼る!$I$6:$I$10005,0)),IFERROR(INDEX(月1回_前回の在庫を貼る!$H$6:$H$10005,MATCH($C87,月1回_前回の在庫を貼る!$I$6:$I$10005,0)),""))))</f>
        <v>コンセ包材</v>
      </c>
      <c r="F87" s="66" t="str">
        <f aca="false">IF($C87="","",IFERROR(INDEX(商品マスタ!$E$6:$E$1005,MATCH($C87,商品マスタ!$B$6:$B$1005,0)),IFERROR(INDEX(①今日の在庫を貼る!$E$6:$E$10005,MATCH($C87,①今日の在庫を貼る!$I$6:$I$10005,0)),IFERROR(INDEX(月1回_前回の在庫を貼る!$E$6:$E$10005,MATCH($C87,月1回_前回の在庫を貼る!$I$6:$I$10005,0)),""))))</f>
        <v>オザックス株式会社</v>
      </c>
      <c r="G87" s="69" t="n">
        <f aca="false">IF($C87="","",IFERROR(INDEX(商品マスタ!$F$6:$F$1005,MATCH($C87,商品マスタ!$B$6:$B$1005,0)),IFERROR(INDEX(①今日の在庫を貼る!$K$6:$K$10005,MATCH($C87,①今日の在庫を貼る!$I$6:$I$10005,0)),IFERROR(INDEX(月1回_前回の在庫を貼る!$K$6:$K$10005,MATCH($C87,月1回_前回の在庫を貼る!$I$6:$I$10005,0)),""))))</f>
        <v>300</v>
      </c>
      <c r="H87" s="71" t="n">
        <f aca="false">IF($C87="","",IFERROR(INDEX(商品マスタ!$G$6:$G$1005,MATCH($C87,商品マスタ!$B$6:$B$1005,0)),IFERROR(INDEX(①今日の在庫を貼る!$Q$6:$Q$10005,MATCH($C87,①今日の在庫を貼る!$I$6:$I$10005,0)),IFERROR(INDEX(月1回_前回の在庫を貼る!$Q$6:$Q$10005,MATCH($C87,月1回_前回の在庫を貼る!$I$6:$I$10005,0)),""))))</f>
        <v>15.66</v>
      </c>
      <c r="I87" s="66" t="n">
        <f aca="false">IF($C87="","",IFERROR(INDEX(商品マスタ!$H$6:$H$1005,MATCH($C87,商品マスタ!$B$6:$B$1005,0)),3))</f>
        <v>5</v>
      </c>
      <c r="J87" s="66" t="n">
        <f aca="false">IF($C87="","",MAX(1,IFERROR(INDEX(商品マスタ!$I$6:$I$1005,MATCH($C87,商品マスタ!$B$6:$B$1005,0)),1)))</f>
        <v>1</v>
      </c>
      <c r="K87" s="69" t="n">
        <f aca="false">IF($C87="","",SUMIFS(①今日の在庫を貼る!$N$6:$N$10005,①今日の在庫を貼る!$B$6:$B$10005,'設定（最初に1回）'!$C$4,①今日の在庫を貼る!$I$6:$I$10005,$C87))</f>
        <v>1639</v>
      </c>
      <c r="L87" s="69" t="n">
        <f aca="false">IF($C87="","",SUMIFS(月1回_前回の在庫を貼る!$N$6:$N$10005,月1回_前回の在庫を貼る!$B$6:$B$10005,'設定（最初に1回）'!$C$4,月1回_前回の在庫を貼る!$I$6:$I$10005,$C87))</f>
        <v>15726</v>
      </c>
      <c r="M87" s="69" t="n">
        <f aca="false">IF($C87="","",IF(OR('設定（最初に1回）'!$C$6="",'設定（最初に1回）'!$C$7=""),0,SUMIFS(発注管理!$S$6:$S$1005,発注管理!$C$6:$C$1005,'設定（最初に1回）'!$C$4,発注管理!$F$6:$F$1005,$C87,発注管理!$R$6:$R$1005,"&gt;="&amp;'設定（最初に1回）'!$C$7,発注管理!$R$6:$R$1005,"&lt;="&amp;'設定（最初に1回）'!$C$6)))</f>
        <v>0</v>
      </c>
      <c r="N87" s="69" t="n">
        <f aca="false">IF(OR($C87="",'設定（最初に1回）'!$C$15=0),"",$L87+$M87-$K87)</f>
        <v>14087</v>
      </c>
      <c r="O87" s="143" t="n">
        <f aca="false">IF(OR($N87="",'設定（最初に1回）'!$C$8="",'設定（最初に1回）'!$C$8&lt;=0),"",MAX(0,$N87)/'設定（最初に1回）'!$C$8)</f>
        <v>230.934426229508</v>
      </c>
      <c r="P87" s="143" t="n">
        <f aca="false">IF($C87="","",IFERROR(INDEX(商品マスタ!$M$6:$N$1005,MATCH($C87,商品マスタ!$B$6:$B$1005,0),MATCH("PI値 "&amp;'設定（最初に1回）'!$C$11,商品マスタ!$M$5:$N$5,0)),""))</f>
        <v>6.9</v>
      </c>
      <c r="Q87" s="143" t="n">
        <f aca="false">IF(OR($C87="",$P87="",$P87=0,(N($I87)+N($AG87))&lt;=0),"",IFERROR(SUMIFS(随時_動員を入れる!$G$8:$G$97,随時_動員を入れる!$B$8:$B$97,"&gt;="&amp;'設定（最初に1回）'!$C$6,随時_動員を入れる!$B$8:$B$97,"&lt;="&amp;'設定（最初に1回）'!$C$6+(N($I87)+N($AG87))-1)/(N($I87)+N($AG87)),0)*$P87/100)</f>
        <v>244.20825</v>
      </c>
      <c r="R87" s="69" t="n">
        <f aca="false">IF($C87="","",SUMIFS(①今日の在庫を貼る!$O$6:$O$10005,①今日の在庫を貼る!$B$6:$B$10005,'設定（最初に1回）'!$C$4,①今日の在庫を貼る!$I$6:$I$10005,$C87))</f>
        <v>0</v>
      </c>
      <c r="S87" s="143" t="n">
        <f aca="false">IF($C87="","",IF('設定（最初に1回）'!$C$9="実績消費",N($O87),IF('設定（最初に1回）'!$C$9="PI値予測",N($Q87),MAX(N($O87),N($Q87)))))</f>
        <v>230.934426229508</v>
      </c>
      <c r="T87" s="67" t="n">
        <f aca="false">IF(OR($S87="",$S87&lt;=0),"",$K87/$S87)</f>
        <v>7.09725278625683</v>
      </c>
      <c r="U87" s="69" t="n">
        <f aca="false">IF($S87="","",ROUNDUP(N($S87)*'設定（最初に1回）'!$C$12,0))</f>
        <v>924</v>
      </c>
      <c r="V87" s="69" t="n">
        <f aca="false">IF($C87="","",ROUNDUP(N($S87)*(N($I87)+N($AG87))+N($U87),0))</f>
        <v>3696</v>
      </c>
      <c r="W87" s="69" t="n">
        <f aca="false">IF($C87="","",SUMIFS(発注管理!$L$6:$L$1005,発注管理!$C$6:$C$1005,'設定（最初に1回）'!$C$4,発注管理!$F$6:$F$1005,$C87,発注管理!$Q$6:$Q$1005,"発注済"))</f>
        <v>0</v>
      </c>
      <c r="X87" s="69" t="n">
        <f aca="false">IF($C87="","",MAX(0,N($V87)-N($K87)-N($W87)))</f>
        <v>2057</v>
      </c>
      <c r="Y87" s="147" t="n">
        <f aca="false">IF($C87="","",IF(N($X87)&lt;=0,0,CEILING($X87/MAX(1,N($G87)),MAX(1,N($J87)))))</f>
        <v>7</v>
      </c>
      <c r="Z87" s="138" t="str">
        <f aca="false">IF($C87="","",IF(N($Y87)&gt;0,"要発注","正常"))</f>
        <v>要発注</v>
      </c>
      <c r="AA87" s="71" t="n">
        <f aca="false">IF($C87="","",N($K87)*N($H87))</f>
        <v>25666.74</v>
      </c>
      <c r="AB87" s="66" t="str">
        <f aca="false">IF($C87="","",_xlfn.TEXTJOIN(" / ",TRUE(),IF(COUNTIF(商品マスタ!$B$6:$B$1005,$C87)=0,"マスタ未登録",""),IF(COUNTIFS(月1回_前回の在庫を貼る!$B$6:$B$10005,'設定（最初に1回）'!$C$4,月1回_前回の在庫を貼る!$I$6:$I$10005,$C87)=0,"新商品",""),IF(COUNTIFS(①今日の在庫を貼る!$B$6:$B$10005,'設定（最初に1回）'!$C$4,①今日の在庫を貼る!$I$6:$I$10005,$C87)=0,"終売候補",""),IF(N($K87)&lt;0,"在庫マイナス",""),IF(AND('設定（最初に1回）'!$C$9="PI値予測",$P87=""),"PI値未設定","")))</f>
        <v/>
      </c>
      <c r="AC87" s="71" t="n">
        <f aca="false">N($Y87)*N($H87)</f>
        <v>109.62</v>
      </c>
      <c r="AD87" s="66" t="str">
        <f aca="false">IF($C87="","",IFERROR(INDEX(商品マスタ!$K$6:$K$1005,MATCH($C87,商品マスタ!$B$6:$B$1005,0)),"常温"))</f>
        <v>常温</v>
      </c>
      <c r="AE87" s="69" t="n">
        <f aca="false">IF($C87="","",MAX(0,ROUNDUP(N($K87)/MAX(1,N($G87)),0)))</f>
        <v>6</v>
      </c>
      <c r="AF87" s="66" t="str">
        <f aca="false">IF($C87="","",IFERROR(INDEX(商品マスタ!$L$6:$L$1005,MATCH($C87,商品マスタ!$B$6:$B$1005,0)),""))</f>
        <v>常温包材</v>
      </c>
      <c r="AG87" s="143" t="n">
        <f aca="false">IF($C87="","",IFERROR(INDEX(定数マスタ!$S$110:$S$119,MATCH($AF87,定数マスタ!$J$110:$J$119,0)),N('設定（最初に1回）'!$C$13)))</f>
        <v>7</v>
      </c>
      <c r="AH87" s="66" t="n">
        <f aca="false">IF(AND(N($K87)&gt;0,N($Y87)&gt;0),N($Y87),0)</f>
        <v>7</v>
      </c>
    </row>
    <row r="88" customFormat="false" ht="15" hidden="false" customHeight="false" outlineLevel="0" collapsed="false">
      <c r="B88" s="66" t="n">
        <v>83</v>
      </c>
      <c r="C88" s="66" t="str">
        <f aca="false">IFERROR(IF($B88&lt;=MAX(①今日の在庫を貼る!$U$6:$U$10005),INDEX(①今日の在庫を貼る!$I$6:$I$10005,MATCH($B88,①今日の在庫を貼る!$U$6:$U$10005,0)),INDEX(月1回_前回の在庫を貼る!$I$6:$I$10005,MATCH($B88-MAX(①今日の在庫を貼る!$U$6:$U$10005),月1回_前回の在庫を貼る!$U$6:$U$10005,0))),"")</f>
        <v>1812000010748</v>
      </c>
      <c r="D88" s="66" t="str">
        <f aca="false">IF($C88="","",IFERROR(INDEX(商品マスタ!$C$6:$C$1005,MATCH($C88,商品マスタ!$B$6:$B$1005,0)),IFERROR(INDEX(①今日の在庫を貼る!$J$6:$J$10005,MATCH($C88,①今日の在庫を貼る!$I$6:$I$10005,0)),IFERROR(INDEX(月1回_前回の在庫を貼る!$J$6:$J$10005,MATCH($C88,月1回_前回の在庫を貼る!$I$6:$I$10005,0)),""))))</f>
        <v>レッドカップＰＣカップＬ（ＦＳ）</v>
      </c>
      <c r="E88" s="66" t="str">
        <f aca="false">IF($C88="","",IFERROR(INDEX(商品マスタ!$D$6:$D$1005,MATCH($C88,商品マスタ!$B$6:$B$1005,0)),IFERROR(INDEX(①今日の在庫を貼る!$H$6:$H$10005,MATCH($C88,①今日の在庫を貼る!$I$6:$I$10005,0)),IFERROR(INDEX(月1回_前回の在庫を貼る!$H$6:$H$10005,MATCH($C88,月1回_前回の在庫を貼る!$I$6:$I$10005,0)),""))))</f>
        <v>コンセ包材</v>
      </c>
      <c r="F88" s="66" t="str">
        <f aca="false">IF($C88="","",IFERROR(INDEX(商品マスタ!$E$6:$E$1005,MATCH($C88,商品マスタ!$B$6:$B$1005,0)),IFERROR(INDEX(①今日の在庫を貼る!$E$6:$E$10005,MATCH($C88,①今日の在庫を貼る!$I$6:$I$10005,0)),IFERROR(INDEX(月1回_前回の在庫を貼る!$E$6:$E$10005,MATCH($C88,月1回_前回の在庫を貼る!$I$6:$I$10005,0)),""))))</f>
        <v>オザックス株式会社</v>
      </c>
      <c r="G88" s="69" t="n">
        <f aca="false">IF($C88="","",IFERROR(INDEX(商品マスタ!$F$6:$F$1005,MATCH($C88,商品マスタ!$B$6:$B$1005,0)),IFERROR(INDEX(①今日の在庫を貼る!$K$6:$K$10005,MATCH($C88,①今日の在庫を貼る!$I$6:$I$10005,0)),IFERROR(INDEX(月1回_前回の在庫を貼る!$K$6:$K$10005,MATCH($C88,月1回_前回の在庫を貼る!$I$6:$I$10005,0)),""))))</f>
        <v>300</v>
      </c>
      <c r="H88" s="71" t="n">
        <f aca="false">IF($C88="","",IFERROR(INDEX(商品マスタ!$G$6:$G$1005,MATCH($C88,商品マスタ!$B$6:$B$1005,0)),IFERROR(INDEX(①今日の在庫を貼る!$Q$6:$Q$10005,MATCH($C88,①今日の在庫を貼る!$I$6:$I$10005,0)),IFERROR(INDEX(月1回_前回の在庫を貼る!$Q$6:$Q$10005,MATCH($C88,月1回_前回の在庫を貼る!$I$6:$I$10005,0)),""))))</f>
        <v>18.55</v>
      </c>
      <c r="I88" s="66" t="n">
        <f aca="false">IF($C88="","",IFERROR(INDEX(商品マスタ!$H$6:$H$1005,MATCH($C88,商品マスタ!$B$6:$B$1005,0)),3))</f>
        <v>7</v>
      </c>
      <c r="J88" s="66" t="n">
        <f aca="false">IF($C88="","",MAX(1,IFERROR(INDEX(商品マスタ!$I$6:$I$1005,MATCH($C88,商品マスタ!$B$6:$B$1005,0)),1)))</f>
        <v>1</v>
      </c>
      <c r="K88" s="69" t="n">
        <f aca="false">IF($C88="","",SUMIFS(①今日の在庫を貼る!$N$6:$N$10005,①今日の在庫を貼る!$B$6:$B$10005,'設定（最初に1回）'!$C$4,①今日の在庫を貼る!$I$6:$I$10005,$C88))</f>
        <v>8903</v>
      </c>
      <c r="L88" s="69" t="n">
        <f aca="false">IF($C88="","",SUMIFS(月1回_前回の在庫を貼る!$N$6:$N$10005,月1回_前回の在庫を貼る!$B$6:$B$10005,'設定（最初に1回）'!$C$4,月1回_前回の在庫を貼る!$I$6:$I$10005,$C88))</f>
        <v>19951</v>
      </c>
      <c r="M88" s="69" t="n">
        <f aca="false">IF($C88="","",IF(OR('設定（最初に1回）'!$C$6="",'設定（最初に1回）'!$C$7=""),0,SUMIFS(発注管理!$S$6:$S$1005,発注管理!$C$6:$C$1005,'設定（最初に1回）'!$C$4,発注管理!$F$6:$F$1005,$C88,発注管理!$R$6:$R$1005,"&gt;="&amp;'設定（最初に1回）'!$C$7,発注管理!$R$6:$R$1005,"&lt;="&amp;'設定（最初に1回）'!$C$6)))</f>
        <v>0</v>
      </c>
      <c r="N88" s="69" t="n">
        <f aca="false">IF(OR($C88="",'設定（最初に1回）'!$C$15=0),"",$L88+$M88-$K88)</f>
        <v>11048</v>
      </c>
      <c r="O88" s="143" t="n">
        <f aca="false">IF(OR($N88="",'設定（最初に1回）'!$C$8="",'設定（最初に1回）'!$C$8&lt;=0),"",MAX(0,$N88)/'設定（最初に1回）'!$C$8)</f>
        <v>181.114754098361</v>
      </c>
      <c r="P88" s="143" t="n">
        <f aca="false">IF($C88="","",IFERROR(INDEX(商品マスタ!$M$6:$N$1005,MATCH($C88,商品マスタ!$B$6:$B$1005,0),MATCH("PI値 "&amp;'設定（最初に1回）'!$C$11,商品マスタ!$M$5:$N$5,0)),""))</f>
        <v>11.6</v>
      </c>
      <c r="Q88" s="143" t="n">
        <f aca="false">IF(OR($C88="",$P88="",$P88=0,(N($I88)+N($AG88))&lt;=0),"",IFERROR(SUMIFS(随時_動員を入れる!$G$8:$G$97,随時_動員を入れる!$B$8:$B$97,"&gt;="&amp;'設定（最初に1回）'!$C$6,随時_動員を入れる!$B$8:$B$97,"&lt;="&amp;'設定（最初に1回）'!$C$6+(N($I88)+N($AG88))-1)/(N($I88)+N($AG88)),0)*$P88/100)</f>
        <v>373.636</v>
      </c>
      <c r="R88" s="69" t="n">
        <f aca="false">IF($C88="","",SUMIFS(①今日の在庫を貼る!$O$6:$O$10005,①今日の在庫を貼る!$B$6:$B$10005,'設定（最初に1回）'!$C$4,①今日の在庫を貼る!$I$6:$I$10005,$C88))</f>
        <v>0</v>
      </c>
      <c r="S88" s="143" t="n">
        <f aca="false">IF($C88="","",IF('設定（最初に1回）'!$C$9="実績消費",N($O88),IF('設定（最初に1回）'!$C$9="PI値予測",N($Q88),MAX(N($O88),N($Q88)))))</f>
        <v>181.114754098361</v>
      </c>
      <c r="T88" s="67" t="n">
        <f aca="false">IF(OR($S88="",$S88&lt;=0),"",$K88/$S88)</f>
        <v>49.156679942071</v>
      </c>
      <c r="U88" s="69" t="n">
        <f aca="false">IF($S88="","",ROUNDUP(N($S88)*'設定（最初に1回）'!$C$12,0))</f>
        <v>725</v>
      </c>
      <c r="V88" s="69" t="n">
        <f aca="false">IF($C88="","",ROUNDUP(N($S88)*(N($I88)+N($AG88))+N($U88),0))</f>
        <v>3261</v>
      </c>
      <c r="W88" s="69" t="n">
        <f aca="false">IF($C88="","",SUMIFS(発注管理!$L$6:$L$1005,発注管理!$C$6:$C$1005,'設定（最初に1回）'!$C$4,発注管理!$F$6:$F$1005,$C88,発注管理!$Q$6:$Q$1005,"発注済"))</f>
        <v>0</v>
      </c>
      <c r="X88" s="69" t="n">
        <f aca="false">IF($C88="","",MAX(0,N($V88)-N($K88)-N($W88)))</f>
        <v>0</v>
      </c>
      <c r="Y88" s="147" t="n">
        <f aca="false">IF($C88="","",IF(N($X88)&lt;=0,0,CEILING($X88/MAX(1,N($G88)),MAX(1,N($J88)))))</f>
        <v>0</v>
      </c>
      <c r="Z88" s="138" t="str">
        <f aca="false">IF($C88="","",IF(N($Y88)&gt;0,"要発注","正常"))</f>
        <v>正常</v>
      </c>
      <c r="AA88" s="71" t="n">
        <f aca="false">IF($C88="","",N($K88)*N($H88))</f>
        <v>165150.65</v>
      </c>
      <c r="AB88" s="66" t="str">
        <f aca="false">IF($C88="","",_xlfn.TEXTJOIN(" / ",TRUE(),IF(COUNTIF(商品マスタ!$B$6:$B$1005,$C88)=0,"マスタ未登録",""),IF(COUNTIFS(月1回_前回の在庫を貼る!$B$6:$B$10005,'設定（最初に1回）'!$C$4,月1回_前回の在庫を貼る!$I$6:$I$10005,$C88)=0,"新商品",""),IF(COUNTIFS(①今日の在庫を貼る!$B$6:$B$10005,'設定（最初に1回）'!$C$4,①今日の在庫を貼る!$I$6:$I$10005,$C88)=0,"終売候補",""),IF(N($K88)&lt;0,"在庫マイナス",""),IF(AND('設定（最初に1回）'!$C$9="PI値予測",$P88=""),"PI値未設定","")))</f>
        <v/>
      </c>
      <c r="AC88" s="71" t="n">
        <f aca="false">N($Y88)*N($H88)</f>
        <v>0</v>
      </c>
      <c r="AD88" s="66" t="str">
        <f aca="false">IF($C88="","",IFERROR(INDEX(商品マスタ!$K$6:$K$1005,MATCH($C88,商品マスタ!$B$6:$B$1005,0)),"常温"))</f>
        <v>常温</v>
      </c>
      <c r="AE88" s="69" t="n">
        <f aca="false">IF($C88="","",MAX(0,ROUNDUP(N($K88)/MAX(1,N($G88)),0)))</f>
        <v>30</v>
      </c>
      <c r="AF88" s="66" t="str">
        <f aca="false">IF($C88="","",IFERROR(INDEX(商品マスタ!$L$6:$L$1005,MATCH($C88,商品マスタ!$B$6:$B$1005,0)),""))</f>
        <v>常温包材</v>
      </c>
      <c r="AG88" s="143" t="n">
        <f aca="false">IF($C88="","",IFERROR(INDEX(定数マスタ!$S$110:$S$119,MATCH($AF88,定数マスタ!$J$110:$J$119,0)),N('設定（最初に1回）'!$C$13)))</f>
        <v>7</v>
      </c>
      <c r="AH88" s="66" t="n">
        <f aca="false">IF(AND(N($K88)&gt;0,N($Y88)&gt;0),N($Y88),0)</f>
        <v>0</v>
      </c>
    </row>
    <row r="89" customFormat="false" ht="15" hidden="false" customHeight="false" outlineLevel="0" collapsed="false">
      <c r="B89" s="66" t="n">
        <v>84</v>
      </c>
      <c r="C89" s="66" t="str">
        <f aca="false">IFERROR(IF($B89&lt;=MAX(①今日の在庫を貼る!$U$6:$U$10005),INDEX(①今日の在庫を貼る!$I$6:$I$10005,MATCH($B89,①今日の在庫を貼る!$U$6:$U$10005,0)),INDEX(月1回_前回の在庫を貼る!$I$6:$I$10005,MATCH($B89-MAX(①今日の在庫を貼る!$U$6:$U$10005),月1回_前回の在庫を貼る!$U$6:$U$10005,0))),"")</f>
        <v>1812000010878</v>
      </c>
      <c r="D89" s="66" t="str">
        <f aca="false">IF($C89="","",IFERROR(INDEX(商品マスタ!$C$6:$C$1005,MATCH($C89,商品マスタ!$B$6:$B$1005,0)),IFERROR(INDEX(①今日の在庫を貼る!$J$6:$J$10005,MATCH($C89,①今日の在庫を貼る!$I$6:$I$10005,0)),IFERROR(INDEX(月1回_前回の在庫を貼る!$J$6:$J$10005,MATCH($C89,月1回_前回の在庫を貼る!$I$6:$I$10005,0)),""))))</f>
        <v>ワインカップ２２０ｃｃ</v>
      </c>
      <c r="E89" s="66" t="str">
        <f aca="false">IF($C89="","",IFERROR(INDEX(商品マスタ!$D$6:$D$1005,MATCH($C89,商品マスタ!$B$6:$B$1005,0)),IFERROR(INDEX(①今日の在庫を貼る!$H$6:$H$10005,MATCH($C89,①今日の在庫を貼る!$I$6:$I$10005,0)),IFERROR(INDEX(月1回_前回の在庫を貼る!$H$6:$H$10005,MATCH($C89,月1回_前回の在庫を貼る!$I$6:$I$10005,0)),""))))</f>
        <v>コンセ包材</v>
      </c>
      <c r="F89" s="66" t="str">
        <f aca="false">IF($C89="","",IFERROR(INDEX(商品マスタ!$E$6:$E$1005,MATCH($C89,商品マスタ!$B$6:$B$1005,0)),IFERROR(INDEX(①今日の在庫を貼る!$E$6:$E$10005,MATCH($C89,①今日の在庫を貼る!$I$6:$I$10005,0)),IFERROR(INDEX(月1回_前回の在庫を貼る!$E$6:$E$10005,MATCH($C89,月1回_前回の在庫を貼る!$I$6:$I$10005,0)),""))))</f>
        <v>オザックス株式会社</v>
      </c>
      <c r="G89" s="69" t="n">
        <f aca="false">IF($C89="","",IFERROR(INDEX(商品マスタ!$F$6:$F$1005,MATCH($C89,商品マスタ!$B$6:$B$1005,0)),IFERROR(INDEX(①今日の在庫を貼る!$K$6:$K$10005,MATCH($C89,①今日の在庫を貼る!$I$6:$I$10005,0)),IFERROR(INDEX(月1回_前回の在庫を貼る!$K$6:$K$10005,MATCH($C89,月1回_前回の在庫を貼る!$I$6:$I$10005,0)),""))))</f>
        <v>240</v>
      </c>
      <c r="H89" s="71" t="n">
        <f aca="false">IF($C89="","",IFERROR(INDEX(商品マスタ!$G$6:$G$1005,MATCH($C89,商品マスタ!$B$6:$B$1005,0)),IFERROR(INDEX(①今日の在庫を貼る!$Q$6:$Q$10005,MATCH($C89,①今日の在庫を貼る!$I$6:$I$10005,0)),IFERROR(INDEX(月1回_前回の在庫を貼る!$Q$6:$Q$10005,MATCH($C89,月1回_前回の在庫を貼る!$I$6:$I$10005,0)),""))))</f>
        <v>57.35</v>
      </c>
      <c r="I89" s="66" t="n">
        <f aca="false">IF($C89="","",IFERROR(INDEX(商品マスタ!$H$6:$H$1005,MATCH($C89,商品マスタ!$B$6:$B$1005,0)),3))</f>
        <v>5</v>
      </c>
      <c r="J89" s="66" t="n">
        <f aca="false">IF($C89="","",MAX(1,IFERROR(INDEX(商品マスタ!$I$6:$I$1005,MATCH($C89,商品マスタ!$B$6:$B$1005,0)),1)))</f>
        <v>2</v>
      </c>
      <c r="K89" s="69" t="n">
        <f aca="false">IF($C89="","",SUMIFS(①今日の在庫を貼る!$N$6:$N$10005,①今日の在庫を貼る!$B$6:$B$10005,'設定（最初に1回）'!$C$4,①今日の在庫を貼る!$I$6:$I$10005,$C89))</f>
        <v>110</v>
      </c>
      <c r="L89" s="69" t="n">
        <f aca="false">IF($C89="","",SUMIFS(月1回_前回の在庫を貼る!$N$6:$N$10005,月1回_前回の在庫を貼る!$B$6:$B$10005,'設定（最初に1回）'!$C$4,月1回_前回の在庫を貼る!$I$6:$I$10005,$C89))</f>
        <v>1272</v>
      </c>
      <c r="M89" s="69" t="n">
        <f aca="false">IF($C89="","",IF(OR('設定（最初に1回）'!$C$6="",'設定（最初に1回）'!$C$7=""),0,SUMIFS(発注管理!$S$6:$S$1005,発注管理!$C$6:$C$1005,'設定（最初に1回）'!$C$4,発注管理!$F$6:$F$1005,$C89,発注管理!$R$6:$R$1005,"&gt;="&amp;'設定（最初に1回）'!$C$7,発注管理!$R$6:$R$1005,"&lt;="&amp;'設定（最初に1回）'!$C$6)))</f>
        <v>0</v>
      </c>
      <c r="N89" s="69" t="n">
        <f aca="false">IF(OR($C89="",'設定（最初に1回）'!$C$15=0),"",$L89+$M89-$K89)</f>
        <v>1162</v>
      </c>
      <c r="O89" s="143" t="n">
        <f aca="false">IF(OR($N89="",'設定（最初に1回）'!$C$8="",'設定（最初に1回）'!$C$8&lt;=0),"",MAX(0,$N89)/'設定（最初に1回）'!$C$8)</f>
        <v>19.0491803278689</v>
      </c>
      <c r="P89" s="143" t="n">
        <f aca="false">IF($C89="","",IFERROR(INDEX(商品マスタ!$M$6:$N$1005,MATCH($C89,商品マスタ!$B$6:$B$1005,0),MATCH("PI値 "&amp;'設定（最初に1回）'!$C$11,商品マスタ!$M$5:$N$5,0)),""))</f>
        <v>7.7</v>
      </c>
      <c r="Q89" s="143" t="n">
        <f aca="false">IF(OR($C89="",$P89="",$P89=0,(N($I89)+N($AG89))&lt;=0),"",IFERROR(SUMIFS(随時_動員を入れる!$G$8:$G$97,随時_動員を入れる!$B$8:$B$97,"&gt;="&amp;'設定（最初に1回）'!$C$6,随時_動員を入れる!$B$8:$B$97,"&lt;="&amp;'設定（最初に1回）'!$C$6+(N($I89)+N($AG89))-1)/(N($I89)+N($AG89)),0)*$P89/100)</f>
        <v>272.52225</v>
      </c>
      <c r="R89" s="69" t="n">
        <f aca="false">IF($C89="","",SUMIFS(①今日の在庫を貼る!$O$6:$O$10005,①今日の在庫を貼る!$B$6:$B$10005,'設定（最初に1回）'!$C$4,①今日の在庫を貼る!$I$6:$I$10005,$C89))</f>
        <v>0</v>
      </c>
      <c r="S89" s="143" t="n">
        <f aca="false">IF($C89="","",IF('設定（最初に1回）'!$C$9="実績消費",N($O89),IF('設定（最初に1回）'!$C$9="PI値予測",N($Q89),MAX(N($O89),N($Q89)))))</f>
        <v>19.0491803278689</v>
      </c>
      <c r="T89" s="67" t="n">
        <f aca="false">IF(OR($S89="",$S89&lt;=0),"",$K89/$S89)</f>
        <v>5.77452667814114</v>
      </c>
      <c r="U89" s="69" t="n">
        <f aca="false">IF($S89="","",ROUNDUP(N($S89)*'設定（最初に1回）'!$C$12,0))</f>
        <v>77</v>
      </c>
      <c r="V89" s="69" t="n">
        <f aca="false">IF($C89="","",ROUNDUP(N($S89)*(N($I89)+N($AG89))+N($U89),0))</f>
        <v>306</v>
      </c>
      <c r="W89" s="69" t="n">
        <f aca="false">IF($C89="","",SUMIFS(発注管理!$L$6:$L$1005,発注管理!$C$6:$C$1005,'設定（最初に1回）'!$C$4,発注管理!$F$6:$F$1005,$C89,発注管理!$Q$6:$Q$1005,"発注済"))</f>
        <v>0</v>
      </c>
      <c r="X89" s="69" t="n">
        <f aca="false">IF($C89="","",MAX(0,N($V89)-N($K89)-N($W89)))</f>
        <v>196</v>
      </c>
      <c r="Y89" s="147" t="n">
        <f aca="false">IF($C89="","",IF(N($X89)&lt;=0,0,CEILING($X89/MAX(1,N($G89)),MAX(1,N($J89)))))</f>
        <v>2</v>
      </c>
      <c r="Z89" s="138" t="str">
        <f aca="false">IF($C89="","",IF(N($Y89)&gt;0,"要発注","正常"))</f>
        <v>要発注</v>
      </c>
      <c r="AA89" s="71" t="n">
        <f aca="false">IF($C89="","",N($K89)*N($H89))</f>
        <v>6308.5</v>
      </c>
      <c r="AB89" s="66" t="str">
        <f aca="false">IF($C89="","",_xlfn.TEXTJOIN(" / ",TRUE(),IF(COUNTIF(商品マスタ!$B$6:$B$1005,$C89)=0,"マスタ未登録",""),IF(COUNTIFS(月1回_前回の在庫を貼る!$B$6:$B$10005,'設定（最初に1回）'!$C$4,月1回_前回の在庫を貼る!$I$6:$I$10005,$C89)=0,"新商品",""),IF(COUNTIFS(①今日の在庫を貼る!$B$6:$B$10005,'設定（最初に1回）'!$C$4,①今日の在庫を貼る!$I$6:$I$10005,$C89)=0,"終売候補",""),IF(N($K89)&lt;0,"在庫マイナス",""),IF(AND('設定（最初に1回）'!$C$9="PI値予測",$P89=""),"PI値未設定","")))</f>
        <v/>
      </c>
      <c r="AC89" s="71" t="n">
        <f aca="false">N($Y89)*N($H89)</f>
        <v>114.7</v>
      </c>
      <c r="AD89" s="66" t="str">
        <f aca="false">IF($C89="","",IFERROR(INDEX(商品マスタ!$K$6:$K$1005,MATCH($C89,商品マスタ!$B$6:$B$1005,0)),"常温"))</f>
        <v>常温</v>
      </c>
      <c r="AE89" s="69" t="n">
        <f aca="false">IF($C89="","",MAX(0,ROUNDUP(N($K89)/MAX(1,N($G89)),0)))</f>
        <v>1</v>
      </c>
      <c r="AF89" s="66" t="str">
        <f aca="false">IF($C89="","",IFERROR(INDEX(商品マスタ!$L$6:$L$1005,MATCH($C89,商品マスタ!$B$6:$B$1005,0)),""))</f>
        <v>常温包材</v>
      </c>
      <c r="AG89" s="143" t="n">
        <f aca="false">IF($C89="","",IFERROR(INDEX(定数マスタ!$S$110:$S$119,MATCH($AF89,定数マスタ!$J$110:$J$119,0)),N('設定（最初に1回）'!$C$13)))</f>
        <v>7</v>
      </c>
      <c r="AH89" s="66" t="n">
        <f aca="false">IF(AND(N($K89)&gt;0,N($Y89)&gt;0),N($Y89),0)</f>
        <v>2</v>
      </c>
    </row>
    <row r="90" customFormat="false" ht="15" hidden="false" customHeight="false" outlineLevel="0" collapsed="false">
      <c r="B90" s="66" t="n">
        <v>85</v>
      </c>
      <c r="C90" s="66" t="str">
        <f aca="false">IFERROR(IF($B90&lt;=MAX(①今日の在庫を貼る!$U$6:$U$10005),INDEX(①今日の在庫を貼る!$I$6:$I$10005,MATCH($B90,①今日の在庫を貼る!$U$6:$U$10005,0)),INDEX(月1回_前回の在庫を貼る!$I$6:$I$10005,MATCH($B90-MAX(①今日の在庫を貼る!$U$6:$U$10005),月1回_前回の在庫を貼る!$U$6:$U$10005,0))),"")</f>
        <v>1812000010885</v>
      </c>
      <c r="D90" s="66" t="str">
        <f aca="false">IF($C90="","",IFERROR(INDEX(商品マスタ!$C$6:$C$1005,MATCH($C90,商品マスタ!$B$6:$B$1005,0)),IFERROR(INDEX(①今日の在庫を貼る!$J$6:$J$10005,MATCH($C90,①今日の在庫を貼る!$I$6:$I$10005,0)),IFERROR(INDEX(月1回_前回の在庫を貼る!$J$6:$J$10005,MATCH($C90,月1回_前回の在庫を貼る!$I$6:$I$10005,0)),""))))</f>
        <v>新ワインカップ用蓋</v>
      </c>
      <c r="E90" s="66" t="str">
        <f aca="false">IF($C90="","",IFERROR(INDEX(商品マスタ!$D$6:$D$1005,MATCH($C90,商品マスタ!$B$6:$B$1005,0)),IFERROR(INDEX(①今日の在庫を貼る!$H$6:$H$10005,MATCH($C90,①今日の在庫を貼る!$I$6:$I$10005,0)),IFERROR(INDEX(月1回_前回の在庫を貼る!$H$6:$H$10005,MATCH($C90,月1回_前回の在庫を貼る!$I$6:$I$10005,0)),""))))</f>
        <v>コンセ包材</v>
      </c>
      <c r="F90" s="66" t="str">
        <f aca="false">IF($C90="","",IFERROR(INDEX(商品マスタ!$E$6:$E$1005,MATCH($C90,商品マスタ!$B$6:$B$1005,0)),IFERROR(INDEX(①今日の在庫を貼る!$E$6:$E$10005,MATCH($C90,①今日の在庫を貼る!$I$6:$I$10005,0)),IFERROR(INDEX(月1回_前回の在庫を貼る!$E$6:$E$10005,MATCH($C90,月1回_前回の在庫を貼る!$I$6:$I$10005,0)),""))))</f>
        <v>オザックス株式会社</v>
      </c>
      <c r="G90" s="69" t="n">
        <f aca="false">IF($C90="","",IFERROR(INDEX(商品マスタ!$F$6:$F$1005,MATCH($C90,商品マスタ!$B$6:$B$1005,0)),IFERROR(INDEX(①今日の在庫を貼る!$K$6:$K$10005,MATCH($C90,①今日の在庫を貼る!$I$6:$I$10005,0)),IFERROR(INDEX(月1回_前回の在庫を貼る!$K$6:$K$10005,MATCH($C90,月1回_前回の在庫を貼る!$I$6:$I$10005,0)),""))))</f>
        <v>100</v>
      </c>
      <c r="H90" s="71" t="n">
        <f aca="false">IF($C90="","",IFERROR(INDEX(商品マスタ!$G$6:$G$1005,MATCH($C90,商品マスタ!$B$6:$B$1005,0)),IFERROR(INDEX(①今日の在庫を貼る!$Q$6:$Q$10005,MATCH($C90,①今日の在庫を貼る!$I$6:$I$10005,0)),IFERROR(INDEX(月1回_前回の在庫を貼る!$Q$6:$Q$10005,MATCH($C90,月1回_前回の在庫を貼る!$I$6:$I$10005,0)),""))))</f>
        <v>6.67</v>
      </c>
      <c r="I90" s="66" t="n">
        <f aca="false">IF($C90="","",IFERROR(INDEX(商品マスタ!$H$6:$H$1005,MATCH($C90,商品マスタ!$B$6:$B$1005,0)),3))</f>
        <v>2</v>
      </c>
      <c r="J90" s="66" t="n">
        <f aca="false">IF($C90="","",MAX(1,IFERROR(INDEX(商品マスタ!$I$6:$I$1005,MATCH($C90,商品マスタ!$B$6:$B$1005,0)),1)))</f>
        <v>1</v>
      </c>
      <c r="K90" s="69" t="n">
        <f aca="false">IF($C90="","",SUMIFS(①今日の在庫を貼る!$N$6:$N$10005,①今日の在庫を貼る!$B$6:$B$10005,'設定（最初に1回）'!$C$4,①今日の在庫を貼る!$I$6:$I$10005,$C90))</f>
        <v>551</v>
      </c>
      <c r="L90" s="69" t="n">
        <f aca="false">IF($C90="","",SUMIFS(月1回_前回の在庫を貼る!$N$6:$N$10005,月1回_前回の在庫を貼る!$B$6:$B$10005,'設定（最初に1回）'!$C$4,月1回_前回の在庫を貼る!$I$6:$I$10005,$C90))</f>
        <v>1293</v>
      </c>
      <c r="M90" s="69" t="n">
        <f aca="false">IF($C90="","",IF(OR('設定（最初に1回）'!$C$6="",'設定（最初に1回）'!$C$7=""),0,SUMIFS(発注管理!$S$6:$S$1005,発注管理!$C$6:$C$1005,'設定（最初に1回）'!$C$4,発注管理!$F$6:$F$1005,$C90,発注管理!$R$6:$R$1005,"&gt;="&amp;'設定（最初に1回）'!$C$7,発注管理!$R$6:$R$1005,"&lt;="&amp;'設定（最初に1回）'!$C$6)))</f>
        <v>0</v>
      </c>
      <c r="N90" s="69" t="n">
        <f aca="false">IF(OR($C90="",'設定（最初に1回）'!$C$15=0),"",$L90+$M90-$K90)</f>
        <v>742</v>
      </c>
      <c r="O90" s="143" t="n">
        <f aca="false">IF(OR($N90="",'設定（最初に1回）'!$C$8="",'設定（最初に1回）'!$C$8&lt;=0),"",MAX(0,$N90)/'設定（最初に1回）'!$C$8)</f>
        <v>12.1639344262295</v>
      </c>
      <c r="P90" s="143" t="n">
        <f aca="false">IF($C90="","",IFERROR(INDEX(商品マスタ!$M$6:$N$1005,MATCH($C90,商品マスタ!$B$6:$B$1005,0),MATCH("PI値 "&amp;'設定（最初に1回）'!$C$11,商品マスタ!$M$5:$N$5,0)),""))</f>
        <v>8.2</v>
      </c>
      <c r="Q90" s="143" t="n">
        <f aca="false">IF(OR($C90="",$P90="",$P90=0,(N($I90)+N($AG90))&lt;=0),"",IFERROR(SUMIFS(随時_動員を入れる!$G$8:$G$97,随時_動員を入れる!$B$8:$B$97,"&gt;="&amp;'設定（最初に1回）'!$C$6,随時_動員を入れる!$B$8:$B$97,"&lt;="&amp;'設定（最初に1回）'!$C$6+(N($I90)+N($AG90))-1)/(N($I90)+N($AG90)),0)*$P90/100)</f>
        <v>314.980222222222</v>
      </c>
      <c r="R90" s="69" t="n">
        <f aca="false">IF($C90="","",SUMIFS(①今日の在庫を貼る!$O$6:$O$10005,①今日の在庫を貼る!$B$6:$B$10005,'設定（最初に1回）'!$C$4,①今日の在庫を貼る!$I$6:$I$10005,$C90))</f>
        <v>0</v>
      </c>
      <c r="S90" s="143" t="n">
        <f aca="false">IF($C90="","",IF('設定（最初に1回）'!$C$9="実績消費",N($O90),IF('設定（最初に1回）'!$C$9="PI値予測",N($Q90),MAX(N($O90),N($Q90)))))</f>
        <v>12.1639344262295</v>
      </c>
      <c r="T90" s="67" t="n">
        <f aca="false">IF(OR($S90="",$S90&lt;=0),"",$K90/$S90)</f>
        <v>45.2978436657682</v>
      </c>
      <c r="U90" s="69" t="n">
        <f aca="false">IF($S90="","",ROUNDUP(N($S90)*'設定（最初に1回）'!$C$12,0))</f>
        <v>49</v>
      </c>
      <c r="V90" s="69" t="n">
        <f aca="false">IF($C90="","",ROUNDUP(N($S90)*(N($I90)+N($AG90))+N($U90),0))</f>
        <v>159</v>
      </c>
      <c r="W90" s="69" t="n">
        <f aca="false">IF($C90="","",SUMIFS(発注管理!$L$6:$L$1005,発注管理!$C$6:$C$1005,'設定（最初に1回）'!$C$4,発注管理!$F$6:$F$1005,$C90,発注管理!$Q$6:$Q$1005,"発注済"))</f>
        <v>0</v>
      </c>
      <c r="X90" s="69" t="n">
        <f aca="false">IF($C90="","",MAX(0,N($V90)-N($K90)-N($W90)))</f>
        <v>0</v>
      </c>
      <c r="Y90" s="147" t="n">
        <f aca="false">IF($C90="","",IF(N($X90)&lt;=0,0,CEILING($X90/MAX(1,N($G90)),MAX(1,N($J90)))))</f>
        <v>0</v>
      </c>
      <c r="Z90" s="138" t="str">
        <f aca="false">IF($C90="","",IF(N($Y90)&gt;0,"要発注","正常"))</f>
        <v>正常</v>
      </c>
      <c r="AA90" s="71" t="n">
        <f aca="false">IF($C90="","",N($K90)*N($H90))</f>
        <v>3675.17</v>
      </c>
      <c r="AB90" s="66" t="str">
        <f aca="false">IF($C90="","",_xlfn.TEXTJOIN(" / ",TRUE(),IF(COUNTIF(商品マスタ!$B$6:$B$1005,$C90)=0,"マスタ未登録",""),IF(COUNTIFS(月1回_前回の在庫を貼る!$B$6:$B$10005,'設定（最初に1回）'!$C$4,月1回_前回の在庫を貼る!$I$6:$I$10005,$C90)=0,"新商品",""),IF(COUNTIFS(①今日の在庫を貼る!$B$6:$B$10005,'設定（最初に1回）'!$C$4,①今日の在庫を貼る!$I$6:$I$10005,$C90)=0,"終売候補",""),IF(N($K90)&lt;0,"在庫マイナス",""),IF(AND('設定（最初に1回）'!$C$9="PI値予測",$P90=""),"PI値未設定","")))</f>
        <v/>
      </c>
      <c r="AC90" s="71" t="n">
        <f aca="false">N($Y90)*N($H90)</f>
        <v>0</v>
      </c>
      <c r="AD90" s="66" t="str">
        <f aca="false">IF($C90="","",IFERROR(INDEX(商品マスタ!$K$6:$K$1005,MATCH($C90,商品マスタ!$B$6:$B$1005,0)),"常温"))</f>
        <v>常温</v>
      </c>
      <c r="AE90" s="69" t="n">
        <f aca="false">IF($C90="","",MAX(0,ROUNDUP(N($K90)/MAX(1,N($G90)),0)))</f>
        <v>6</v>
      </c>
      <c r="AF90" s="66" t="str">
        <f aca="false">IF($C90="","",IFERROR(INDEX(商品マスタ!$L$6:$L$1005,MATCH($C90,商品マスタ!$B$6:$B$1005,0)),""))</f>
        <v>常温包材</v>
      </c>
      <c r="AG90" s="143" t="n">
        <f aca="false">IF($C90="","",IFERROR(INDEX(定数マスタ!$S$110:$S$119,MATCH($AF90,定数マスタ!$J$110:$J$119,0)),N('設定（最初に1回）'!$C$13)))</f>
        <v>7</v>
      </c>
      <c r="AH90" s="66" t="n">
        <f aca="false">IF(AND(N($K90)&gt;0,N($Y90)&gt;0),N($Y90),0)</f>
        <v>0</v>
      </c>
    </row>
    <row r="91" customFormat="false" ht="15" hidden="false" customHeight="false" outlineLevel="0" collapsed="false">
      <c r="B91" s="66" t="n">
        <v>86</v>
      </c>
      <c r="C91" s="66" t="str">
        <f aca="false">IFERROR(IF($B91&lt;=MAX(①今日の在庫を貼る!$U$6:$U$10005),INDEX(①今日の在庫を貼る!$I$6:$I$10005,MATCH($B91,①今日の在庫を貼る!$U$6:$U$10005,0)),INDEX(月1回_前回の在庫を貼る!$I$6:$I$10005,MATCH($B91-MAX(①今日の在庫を貼る!$U$6:$U$10005),月1回_前回の在庫を貼る!$U$6:$U$10005,0))),"")</f>
        <v>1812000011110</v>
      </c>
      <c r="D91" s="66" t="str">
        <f aca="false">IF($C91="","",IFERROR(INDEX(商品マスタ!$C$6:$C$1005,MATCH($C91,商品マスタ!$B$6:$B$1005,0)),IFERROR(INDEX(①今日の在庫を貼る!$J$6:$J$10005,MATCH($C91,①今日の在庫を貼る!$I$6:$I$10005,0)),IFERROR(INDEX(月1回_前回の在庫を貼る!$J$6:$J$10005,MATCH($C91,月1回_前回の在庫を貼る!$I$6:$I$10005,0)),""))))</f>
        <v>ホットＳカップ　ＳＭＰ―２６０</v>
      </c>
      <c r="E91" s="66" t="str">
        <f aca="false">IF($C91="","",IFERROR(INDEX(商品マスタ!$D$6:$D$1005,MATCH($C91,商品マスタ!$B$6:$B$1005,0)),IFERROR(INDEX(①今日の在庫を貼る!$H$6:$H$10005,MATCH($C91,①今日の在庫を貼る!$I$6:$I$10005,0)),IFERROR(INDEX(月1回_前回の在庫を貼る!$H$6:$H$10005,MATCH($C91,月1回_前回の在庫を貼る!$I$6:$I$10005,0)),""))))</f>
        <v>コンセ包材</v>
      </c>
      <c r="F91" s="66" t="str">
        <f aca="false">IF($C91="","",IFERROR(INDEX(商品マスタ!$E$6:$E$1005,MATCH($C91,商品マスタ!$B$6:$B$1005,0)),IFERROR(INDEX(①今日の在庫を貼る!$E$6:$E$10005,MATCH($C91,①今日の在庫を貼る!$I$6:$I$10005,0)),IFERROR(INDEX(月1回_前回の在庫を貼る!$E$6:$E$10005,MATCH($C91,月1回_前回の在庫を貼る!$I$6:$I$10005,0)),""))))</f>
        <v>オザックス株式会社</v>
      </c>
      <c r="G91" s="69" t="n">
        <f aca="false">IF($C91="","",IFERROR(INDEX(商品マスタ!$F$6:$F$1005,MATCH($C91,商品マスタ!$B$6:$B$1005,0)),IFERROR(INDEX(①今日の在庫を貼る!$K$6:$K$10005,MATCH($C91,①今日の在庫を貼る!$I$6:$I$10005,0)),IFERROR(INDEX(月1回_前回の在庫を貼る!$K$6:$K$10005,MATCH($C91,月1回_前回の在庫を貼る!$I$6:$I$10005,0)),""))))</f>
        <v>1500</v>
      </c>
      <c r="H91" s="71" t="n">
        <f aca="false">IF($C91="","",IFERROR(INDEX(商品マスタ!$G$6:$G$1005,MATCH($C91,商品マスタ!$B$6:$B$1005,0)),IFERROR(INDEX(①今日の在庫を貼る!$Q$6:$Q$10005,MATCH($C91,①今日の在庫を貼る!$I$6:$I$10005,0)),IFERROR(INDEX(月1回_前回の在庫を貼る!$Q$6:$Q$10005,MATCH($C91,月1回_前回の在庫を貼る!$I$6:$I$10005,0)),""))))</f>
        <v>5.71</v>
      </c>
      <c r="I91" s="66" t="n">
        <f aca="false">IF($C91="","",IFERROR(INDEX(商品マスタ!$H$6:$H$1005,MATCH($C91,商品マスタ!$B$6:$B$1005,0)),3))</f>
        <v>3</v>
      </c>
      <c r="J91" s="66" t="n">
        <f aca="false">IF($C91="","",MAX(1,IFERROR(INDEX(商品マスタ!$I$6:$I$1005,MATCH($C91,商品マスタ!$B$6:$B$1005,0)),1)))</f>
        <v>1</v>
      </c>
      <c r="K91" s="69" t="n">
        <f aca="false">IF($C91="","",SUMIFS(①今日の在庫を貼る!$N$6:$N$10005,①今日の在庫を貼る!$B$6:$B$10005,'設定（最初に1回）'!$C$4,①今日の在庫を貼る!$I$6:$I$10005,$C91))</f>
        <v>4657</v>
      </c>
      <c r="L91" s="69" t="n">
        <f aca="false">IF($C91="","",SUMIFS(月1回_前回の在庫を貼る!$N$6:$N$10005,月1回_前回の在庫を貼る!$B$6:$B$10005,'設定（最初に1回）'!$C$4,月1回_前回の在庫を貼る!$I$6:$I$10005,$C91))</f>
        <v>8320</v>
      </c>
      <c r="M91" s="69" t="n">
        <f aca="false">IF($C91="","",IF(OR('設定（最初に1回）'!$C$6="",'設定（最初に1回）'!$C$7=""),0,SUMIFS(発注管理!$S$6:$S$1005,発注管理!$C$6:$C$1005,'設定（最初に1回）'!$C$4,発注管理!$F$6:$F$1005,$C91,発注管理!$R$6:$R$1005,"&gt;="&amp;'設定（最初に1回）'!$C$7,発注管理!$R$6:$R$1005,"&lt;="&amp;'設定（最初に1回）'!$C$6)))</f>
        <v>0</v>
      </c>
      <c r="N91" s="69" t="n">
        <f aca="false">IF(OR($C91="",'設定（最初に1回）'!$C$15=0),"",$L91+$M91-$K91)</f>
        <v>3663</v>
      </c>
      <c r="O91" s="143" t="n">
        <f aca="false">IF(OR($N91="",'設定（最初に1回）'!$C$8="",'設定（最初に1回）'!$C$8&lt;=0),"",MAX(0,$N91)/'設定（最初に1回）'!$C$8)</f>
        <v>60.0491803278689</v>
      </c>
      <c r="P91" s="143" t="n">
        <f aca="false">IF($C91="","",IFERROR(INDEX(商品マスタ!$M$6:$N$1005,MATCH($C91,商品マスタ!$B$6:$B$1005,0),MATCH("PI値 "&amp;'設定（最初に1回）'!$C$11,商品マスタ!$M$5:$N$5,0)),""))</f>
        <v>9.1</v>
      </c>
      <c r="Q91" s="143" t="n">
        <f aca="false">IF(OR($C91="",$P91="",$P91=0,(N($I91)+N($AG91))&lt;=0),"",IFERROR(SUMIFS(随時_動員を入れる!$G$8:$G$97,随時_動員を入れる!$B$8:$B$97,"&gt;="&amp;'設定（最初に1回）'!$C$6,随時_動員を入れる!$B$8:$B$97,"&lt;="&amp;'設定（最初に1回）'!$C$6+(N($I91)+N($AG91))-1)/(N($I91)+N($AG91)),0)*$P91/100)</f>
        <v>346.3642</v>
      </c>
      <c r="R91" s="69" t="n">
        <f aca="false">IF($C91="","",SUMIFS(①今日の在庫を貼る!$O$6:$O$10005,①今日の在庫を貼る!$B$6:$B$10005,'設定（最初に1回）'!$C$4,①今日の在庫を貼る!$I$6:$I$10005,$C91))</f>
        <v>0</v>
      </c>
      <c r="S91" s="143" t="n">
        <f aca="false">IF($C91="","",IF('設定（最初に1回）'!$C$9="実績消費",N($O91),IF('設定（最初に1回）'!$C$9="PI値予測",N($Q91),MAX(N($O91),N($Q91)))))</f>
        <v>60.0491803278689</v>
      </c>
      <c r="T91" s="67" t="n">
        <f aca="false">IF(OR($S91="",$S91&lt;=0),"",$K91/$S91)</f>
        <v>77.5530985530986</v>
      </c>
      <c r="U91" s="69" t="n">
        <f aca="false">IF($S91="","",ROUNDUP(N($S91)*'設定（最初に1回）'!$C$12,0))</f>
        <v>241</v>
      </c>
      <c r="V91" s="69" t="n">
        <f aca="false">IF($C91="","",ROUNDUP(N($S91)*(N($I91)+N($AG91))+N($U91),0))</f>
        <v>842</v>
      </c>
      <c r="W91" s="69" t="n">
        <f aca="false">IF($C91="","",SUMIFS(発注管理!$L$6:$L$1005,発注管理!$C$6:$C$1005,'設定（最初に1回）'!$C$4,発注管理!$F$6:$F$1005,$C91,発注管理!$Q$6:$Q$1005,"発注済"))</f>
        <v>0</v>
      </c>
      <c r="X91" s="69" t="n">
        <f aca="false">IF($C91="","",MAX(0,N($V91)-N($K91)-N($W91)))</f>
        <v>0</v>
      </c>
      <c r="Y91" s="147" t="n">
        <f aca="false">IF($C91="","",IF(N($X91)&lt;=0,0,CEILING($X91/MAX(1,N($G91)),MAX(1,N($J91)))))</f>
        <v>0</v>
      </c>
      <c r="Z91" s="138" t="str">
        <f aca="false">IF($C91="","",IF(N($Y91)&gt;0,"要発注","正常"))</f>
        <v>正常</v>
      </c>
      <c r="AA91" s="71" t="n">
        <f aca="false">IF($C91="","",N($K91)*N($H91))</f>
        <v>26591.47</v>
      </c>
      <c r="AB91" s="66" t="str">
        <f aca="false">IF($C91="","",_xlfn.TEXTJOIN(" / ",TRUE(),IF(COUNTIF(商品マスタ!$B$6:$B$1005,$C91)=0,"マスタ未登録",""),IF(COUNTIFS(月1回_前回の在庫を貼る!$B$6:$B$10005,'設定（最初に1回）'!$C$4,月1回_前回の在庫を貼る!$I$6:$I$10005,$C91)=0,"新商品",""),IF(COUNTIFS(①今日の在庫を貼る!$B$6:$B$10005,'設定（最初に1回）'!$C$4,①今日の在庫を貼る!$I$6:$I$10005,$C91)=0,"終売候補",""),IF(N($K91)&lt;0,"在庫マイナス",""),IF(AND('設定（最初に1回）'!$C$9="PI値予測",$P91=""),"PI値未設定","")))</f>
        <v/>
      </c>
      <c r="AC91" s="71" t="n">
        <f aca="false">N($Y91)*N($H91)</f>
        <v>0</v>
      </c>
      <c r="AD91" s="66" t="str">
        <f aca="false">IF($C91="","",IFERROR(INDEX(商品マスタ!$K$6:$K$1005,MATCH($C91,商品マスタ!$B$6:$B$1005,0)),"常温"))</f>
        <v>常温</v>
      </c>
      <c r="AE91" s="69" t="n">
        <f aca="false">IF($C91="","",MAX(0,ROUNDUP(N($K91)/MAX(1,N($G91)),0)))</f>
        <v>4</v>
      </c>
      <c r="AF91" s="66" t="str">
        <f aca="false">IF($C91="","",IFERROR(INDEX(商品マスタ!$L$6:$L$1005,MATCH($C91,商品マスタ!$B$6:$B$1005,0)),""))</f>
        <v>常温包材</v>
      </c>
      <c r="AG91" s="143" t="n">
        <f aca="false">IF($C91="","",IFERROR(INDEX(定数マスタ!$S$110:$S$119,MATCH($AF91,定数マスタ!$J$110:$J$119,0)),N('設定（最初に1回）'!$C$13)))</f>
        <v>7</v>
      </c>
      <c r="AH91" s="66" t="n">
        <f aca="false">IF(AND(N($K91)&gt;0,N($Y91)&gt;0),N($Y91),0)</f>
        <v>0</v>
      </c>
    </row>
    <row r="92" customFormat="false" ht="15" hidden="false" customHeight="false" outlineLevel="0" collapsed="false">
      <c r="B92" s="66" t="n">
        <v>87</v>
      </c>
      <c r="C92" s="66" t="str">
        <f aca="false">IFERROR(IF($B92&lt;=MAX(①今日の在庫を貼る!$U$6:$U$10005),INDEX(①今日の在庫を貼る!$I$6:$I$10005,MATCH($B92,①今日の在庫を貼る!$U$6:$U$10005,0)),INDEX(月1回_前回の在庫を貼る!$I$6:$I$10005,MATCH($B92-MAX(①今日の在庫を貼る!$U$6:$U$10005),月1回_前回の在庫を貼る!$U$6:$U$10005,0))),"")</f>
        <v>1812000011301</v>
      </c>
      <c r="D92" s="66" t="str">
        <f aca="false">IF($C92="","",IFERROR(INDEX(商品マスタ!$C$6:$C$1005,MATCH($C92,商品マスタ!$B$6:$B$1005,0)),IFERROR(INDEX(①今日の在庫を貼る!$J$6:$J$10005,MATCH($C92,①今日の在庫を貼る!$I$6:$I$10005,0)),IFERROR(INDEX(月1回_前回の在庫を貼る!$J$6:$J$10005,MATCH($C92,月1回_前回の在庫を貼る!$I$6:$I$10005,0)),""))))</f>
        <v>ＴＨ　ドームリッド　Ｌ－９６ＦＳ</v>
      </c>
      <c r="E92" s="66" t="str">
        <f aca="false">IF($C92="","",IFERROR(INDEX(商品マスタ!$D$6:$D$1005,MATCH($C92,商品マスタ!$B$6:$B$1005,0)),IFERROR(INDEX(①今日の在庫を貼る!$H$6:$H$10005,MATCH($C92,①今日の在庫を貼る!$I$6:$I$10005,0)),IFERROR(INDEX(月1回_前回の在庫を貼る!$H$6:$H$10005,MATCH($C92,月1回_前回の在庫を貼る!$I$6:$I$10005,0)),""))))</f>
        <v>コンセ包材</v>
      </c>
      <c r="F92" s="66" t="str">
        <f aca="false">IF($C92="","",IFERROR(INDEX(商品マスタ!$E$6:$E$1005,MATCH($C92,商品マスタ!$B$6:$B$1005,0)),IFERROR(INDEX(①今日の在庫を貼る!$E$6:$E$10005,MATCH($C92,①今日の在庫を貼る!$I$6:$I$10005,0)),IFERROR(INDEX(月1回_前回の在庫を貼る!$E$6:$E$10005,MATCH($C92,月1回_前回の在庫を貼る!$I$6:$I$10005,0)),""))))</f>
        <v>オザックス株式会社</v>
      </c>
      <c r="G92" s="69" t="n">
        <f aca="false">IF($C92="","",IFERROR(INDEX(商品マスタ!$F$6:$F$1005,MATCH($C92,商品マスタ!$B$6:$B$1005,0)),IFERROR(INDEX(①今日の在庫を貼る!$K$6:$K$10005,MATCH($C92,①今日の在庫を貼る!$I$6:$I$10005,0)),IFERROR(INDEX(月1回_前回の在庫を貼る!$K$6:$K$10005,MATCH($C92,月1回_前回の在庫を貼る!$I$6:$I$10005,0)),""))))</f>
        <v>2000</v>
      </c>
      <c r="H92" s="71" t="n">
        <f aca="false">IF($C92="","",IFERROR(INDEX(商品マスタ!$G$6:$G$1005,MATCH($C92,商品マスタ!$B$6:$B$1005,0)),IFERROR(INDEX(①今日の在庫を貼る!$Q$6:$Q$10005,MATCH($C92,①今日の在庫を貼る!$I$6:$I$10005,0)),IFERROR(INDEX(月1回_前回の在庫を貼る!$Q$6:$Q$10005,MATCH($C92,月1回_前回の在庫を貼る!$I$6:$I$10005,0)),""))))</f>
        <v>8.26</v>
      </c>
      <c r="I92" s="66" t="n">
        <f aca="false">IF($C92="","",IFERROR(INDEX(商品マスタ!$H$6:$H$1005,MATCH($C92,商品マスタ!$B$6:$B$1005,0)),3))</f>
        <v>7</v>
      </c>
      <c r="J92" s="66" t="n">
        <f aca="false">IF($C92="","",MAX(1,IFERROR(INDEX(商品マスタ!$I$6:$I$1005,MATCH($C92,商品マスタ!$B$6:$B$1005,0)),1)))</f>
        <v>2</v>
      </c>
      <c r="K92" s="69" t="n">
        <f aca="false">IF($C92="","",SUMIFS(①今日の在庫を貼る!$N$6:$N$10005,①今日の在庫を貼る!$B$6:$B$10005,'設定（最初に1回）'!$C$4,①今日の在庫を貼る!$I$6:$I$10005,$C92))</f>
        <v>232</v>
      </c>
      <c r="L92" s="69" t="n">
        <f aca="false">IF($C92="","",SUMIFS(月1回_前回の在庫を貼る!$N$6:$N$10005,月1回_前回の在庫を貼る!$B$6:$B$10005,'設定（最初に1回）'!$C$4,月1回_前回の在庫を貼る!$I$6:$I$10005,$C92))</f>
        <v>11270</v>
      </c>
      <c r="M92" s="69" t="n">
        <f aca="false">IF($C92="","",IF(OR('設定（最初に1回）'!$C$6="",'設定（最初に1回）'!$C$7=""),0,SUMIFS(発注管理!$S$6:$S$1005,発注管理!$C$6:$C$1005,'設定（最初に1回）'!$C$4,発注管理!$F$6:$F$1005,$C92,発注管理!$R$6:$R$1005,"&gt;="&amp;'設定（最初に1回）'!$C$7,発注管理!$R$6:$R$1005,"&lt;="&amp;'設定（最初に1回）'!$C$6)))</f>
        <v>0</v>
      </c>
      <c r="N92" s="69" t="n">
        <f aca="false">IF(OR($C92="",'設定（最初に1回）'!$C$15=0),"",$L92+$M92-$K92)</f>
        <v>11038</v>
      </c>
      <c r="O92" s="143" t="n">
        <f aca="false">IF(OR($N92="",'設定（最初に1回）'!$C$8="",'設定（最初に1回）'!$C$8&lt;=0),"",MAX(0,$N92)/'設定（最初に1回）'!$C$8)</f>
        <v>180.950819672131</v>
      </c>
      <c r="P92" s="143" t="n">
        <f aca="false">IF($C92="","",IFERROR(INDEX(商品マスタ!$M$6:$N$1005,MATCH($C92,商品マスタ!$B$6:$B$1005,0),MATCH("PI値 "&amp;'設定（最初に1回）'!$C$11,商品マスタ!$M$5:$N$5,0)),""))</f>
        <v>7.5</v>
      </c>
      <c r="Q92" s="143" t="n">
        <f aca="false">IF(OR($C92="",$P92="",$P92=0,(N($I92)+N($AG92))&lt;=0),"",IFERROR(SUMIFS(随時_動員を入れる!$G$8:$G$97,随時_動員を入れる!$B$8:$B$97,"&gt;="&amp;'設定（最初に1回）'!$C$6,随時_動員を入れる!$B$8:$B$97,"&lt;="&amp;'設定（最初に1回）'!$C$6+(N($I92)+N($AG92))-1)/(N($I92)+N($AG92)),0)*$P92/100)</f>
        <v>241.575</v>
      </c>
      <c r="R92" s="69" t="n">
        <f aca="false">IF($C92="","",SUMIFS(①今日の在庫を貼る!$O$6:$O$10005,①今日の在庫を貼る!$B$6:$B$10005,'設定（最初に1回）'!$C$4,①今日の在庫を貼る!$I$6:$I$10005,$C92))</f>
        <v>0</v>
      </c>
      <c r="S92" s="143" t="n">
        <f aca="false">IF($C92="","",IF('設定（最初に1回）'!$C$9="実績消費",N($O92),IF('設定（最初に1回）'!$C$9="PI値予測",N($Q92),MAX(N($O92),N($Q92)))))</f>
        <v>180.950819672131</v>
      </c>
      <c r="T92" s="67" t="n">
        <f aca="false">IF(OR($S92="",$S92&lt;=0),"",$K92/$S92)</f>
        <v>1.28211632542127</v>
      </c>
      <c r="U92" s="69" t="n">
        <f aca="false">IF($S92="","",ROUNDUP(N($S92)*'設定（最初に1回）'!$C$12,0))</f>
        <v>724</v>
      </c>
      <c r="V92" s="69" t="n">
        <f aca="false">IF($C92="","",ROUNDUP(N($S92)*(N($I92)+N($AG92))+N($U92),0))</f>
        <v>3258</v>
      </c>
      <c r="W92" s="69" t="n">
        <f aca="false">IF($C92="","",SUMIFS(発注管理!$L$6:$L$1005,発注管理!$C$6:$C$1005,'設定（最初に1回）'!$C$4,発注管理!$F$6:$F$1005,$C92,発注管理!$Q$6:$Q$1005,"発注済"))</f>
        <v>0</v>
      </c>
      <c r="X92" s="69" t="n">
        <f aca="false">IF($C92="","",MAX(0,N($V92)-N($K92)-N($W92)))</f>
        <v>3026</v>
      </c>
      <c r="Y92" s="147" t="n">
        <f aca="false">IF($C92="","",IF(N($X92)&lt;=0,0,CEILING($X92/MAX(1,N($G92)),MAX(1,N($J92)))))</f>
        <v>2</v>
      </c>
      <c r="Z92" s="138" t="str">
        <f aca="false">IF($C92="","",IF(N($Y92)&gt;0,"要発注","正常"))</f>
        <v>要発注</v>
      </c>
      <c r="AA92" s="71" t="n">
        <f aca="false">IF($C92="","",N($K92)*N($H92))</f>
        <v>1916.32</v>
      </c>
      <c r="AB92" s="66" t="str">
        <f aca="false">IF($C92="","",_xlfn.TEXTJOIN(" / ",TRUE(),IF(COUNTIF(商品マスタ!$B$6:$B$1005,$C92)=0,"マスタ未登録",""),IF(COUNTIFS(月1回_前回の在庫を貼る!$B$6:$B$10005,'設定（最初に1回）'!$C$4,月1回_前回の在庫を貼る!$I$6:$I$10005,$C92)=0,"新商品",""),IF(COUNTIFS(①今日の在庫を貼る!$B$6:$B$10005,'設定（最初に1回）'!$C$4,①今日の在庫を貼る!$I$6:$I$10005,$C92)=0,"終売候補",""),IF(N($K92)&lt;0,"在庫マイナス",""),IF(AND('設定（最初に1回）'!$C$9="PI値予測",$P92=""),"PI値未設定","")))</f>
        <v/>
      </c>
      <c r="AC92" s="71" t="n">
        <f aca="false">N($Y92)*N($H92)</f>
        <v>16.52</v>
      </c>
      <c r="AD92" s="66" t="str">
        <f aca="false">IF($C92="","",IFERROR(INDEX(商品マスタ!$K$6:$K$1005,MATCH($C92,商品マスタ!$B$6:$B$1005,0)),"常温"))</f>
        <v>常温</v>
      </c>
      <c r="AE92" s="69" t="n">
        <f aca="false">IF($C92="","",MAX(0,ROUNDUP(N($K92)/MAX(1,N($G92)),0)))</f>
        <v>1</v>
      </c>
      <c r="AF92" s="66" t="str">
        <f aca="false">IF($C92="","",IFERROR(INDEX(商品マスタ!$L$6:$L$1005,MATCH($C92,商品マスタ!$B$6:$B$1005,0)),""))</f>
        <v>常温包材</v>
      </c>
      <c r="AG92" s="143" t="n">
        <f aca="false">IF($C92="","",IFERROR(INDEX(定数マスタ!$S$110:$S$119,MATCH($AF92,定数マスタ!$J$110:$J$119,0)),N('設定（最初に1回）'!$C$13)))</f>
        <v>7</v>
      </c>
      <c r="AH92" s="66" t="n">
        <f aca="false">IF(AND(N($K92)&gt;0,N($Y92)&gt;0),N($Y92),0)</f>
        <v>2</v>
      </c>
    </row>
    <row r="93" customFormat="false" ht="15" hidden="false" customHeight="false" outlineLevel="0" collapsed="false">
      <c r="B93" s="66" t="n">
        <v>88</v>
      </c>
      <c r="C93" s="66" t="str">
        <f aca="false">IFERROR(IF($B93&lt;=MAX(①今日の在庫を貼る!$U$6:$U$10005),INDEX(①今日の在庫を貼る!$I$6:$I$10005,MATCH($B93,①今日の在庫を貼る!$U$6:$U$10005,0)),INDEX(月1回_前回の在庫を貼る!$I$6:$I$10005,MATCH($B93-MAX(①今日の在庫を貼る!$U$6:$U$10005),月1回_前回の在庫を貼る!$U$6:$U$10005,0))),"")</f>
        <v>1812000011318</v>
      </c>
      <c r="D93" s="66" t="str">
        <f aca="false">IF($C93="","",IFERROR(INDEX(商品マスタ!$C$6:$C$1005,MATCH($C93,商品マスタ!$B$6:$B$1005,0)),IFERROR(INDEX(①今日の在庫を貼る!$J$6:$J$10005,MATCH($C93,①今日の在庫を貼る!$I$6:$I$10005,0)),IFERROR(INDEX(月1回_前回の在庫を貼る!$J$6:$J$10005,MATCH($C93,月1回_前回の在庫を貼る!$I$6:$I$10005,0)),""))))</f>
        <v>サッポロポテトバーベＱ　Ｐカップ</v>
      </c>
      <c r="E93" s="66" t="str">
        <f aca="false">IF($C93="","",IFERROR(INDEX(商品マスタ!$D$6:$D$1005,MATCH($C93,商品マスタ!$B$6:$B$1005,0)),IFERROR(INDEX(①今日の在庫を貼る!$H$6:$H$10005,MATCH($C93,①今日の在庫を貼る!$I$6:$I$10005,0)),IFERROR(INDEX(月1回_前回の在庫を貼る!$H$6:$H$10005,MATCH($C93,月1回_前回の在庫を貼る!$I$6:$I$10005,0)),""))))</f>
        <v>コンセ包材</v>
      </c>
      <c r="F93" s="66" t="str">
        <f aca="false">IF($C93="","",IFERROR(INDEX(商品マスタ!$E$6:$E$1005,MATCH($C93,商品マスタ!$B$6:$B$1005,0)),IFERROR(INDEX(①今日の在庫を貼る!$E$6:$E$10005,MATCH($C93,①今日の在庫を貼る!$I$6:$I$10005,0)),IFERROR(INDEX(月1回_前回の在庫を貼る!$E$6:$E$10005,MATCH($C93,月1回_前回の在庫を貼る!$I$6:$I$10005,0)),""))))</f>
        <v>オザックス株式会社</v>
      </c>
      <c r="G93" s="69" t="n">
        <f aca="false">IF($C93="","",IFERROR(INDEX(商品マスタ!$F$6:$F$1005,MATCH($C93,商品マスタ!$B$6:$B$1005,0)),IFERROR(INDEX(①今日の在庫を貼る!$K$6:$K$10005,MATCH($C93,①今日の在庫を貼る!$I$6:$I$10005,0)),IFERROR(INDEX(月1回_前回の在庫を貼る!$K$6:$K$10005,MATCH($C93,月1回_前回の在庫を貼る!$I$6:$I$10005,0)),""))))</f>
        <v>300</v>
      </c>
      <c r="H93" s="71" t="n">
        <f aca="false">IF($C93="","",IFERROR(INDEX(商品マスタ!$G$6:$G$1005,MATCH($C93,商品マスタ!$B$6:$B$1005,0)),IFERROR(INDEX(①今日の在庫を貼る!$Q$6:$Q$10005,MATCH($C93,①今日の在庫を貼る!$I$6:$I$10005,0)),IFERROR(INDEX(月1回_前回の在庫を貼る!$Q$6:$Q$10005,MATCH($C93,月1回_前回の在庫を貼る!$I$6:$I$10005,0)),""))))</f>
        <v>23.2</v>
      </c>
      <c r="I93" s="66" t="n">
        <f aca="false">IF($C93="","",IFERROR(INDEX(商品マスタ!$H$6:$H$1005,MATCH($C93,商品マスタ!$B$6:$B$1005,0)),3))</f>
        <v>2</v>
      </c>
      <c r="J93" s="66" t="n">
        <f aca="false">IF($C93="","",MAX(1,IFERROR(INDEX(商品マスタ!$I$6:$I$1005,MATCH($C93,商品マスタ!$B$6:$B$1005,0)),1)))</f>
        <v>1</v>
      </c>
      <c r="K93" s="69" t="n">
        <f aca="false">IF($C93="","",SUMIFS(①今日の在庫を貼る!$N$6:$N$10005,①今日の在庫を貼る!$B$6:$B$10005,'設定（最初に1回）'!$C$4,①今日の在庫を貼る!$I$6:$I$10005,$C93))</f>
        <v>32</v>
      </c>
      <c r="L93" s="69" t="n">
        <f aca="false">IF($C93="","",SUMIFS(月1回_前回の在庫を貼る!$N$6:$N$10005,月1回_前回の在庫を貼る!$B$6:$B$10005,'設定（最初に1回）'!$C$4,月1回_前回の在庫を貼る!$I$6:$I$10005,$C93))</f>
        <v>1128</v>
      </c>
      <c r="M93" s="69" t="n">
        <f aca="false">IF($C93="","",IF(OR('設定（最初に1回）'!$C$6="",'設定（最初に1回）'!$C$7=""),0,SUMIFS(発注管理!$S$6:$S$1005,発注管理!$C$6:$C$1005,'設定（最初に1回）'!$C$4,発注管理!$F$6:$F$1005,$C93,発注管理!$R$6:$R$1005,"&gt;="&amp;'設定（最初に1回）'!$C$7,発注管理!$R$6:$R$1005,"&lt;="&amp;'設定（最初に1回）'!$C$6)))</f>
        <v>0</v>
      </c>
      <c r="N93" s="69" t="n">
        <f aca="false">IF(OR($C93="",'設定（最初に1回）'!$C$15=0),"",$L93+$M93-$K93)</f>
        <v>1096</v>
      </c>
      <c r="O93" s="143" t="n">
        <f aca="false">IF(OR($N93="",'設定（最初に1回）'!$C$8="",'設定（最初に1回）'!$C$8&lt;=0),"",MAX(0,$N93)/'設定（最初に1回）'!$C$8)</f>
        <v>17.9672131147541</v>
      </c>
      <c r="P93" s="143" t="n">
        <f aca="false">IF($C93="","",IFERROR(INDEX(商品マスタ!$M$6:$N$1005,MATCH($C93,商品マスタ!$B$6:$B$1005,0),MATCH("PI値 "&amp;'設定（最初に1回）'!$C$11,商品マスタ!$M$5:$N$5,0)),""))</f>
        <v>6.3</v>
      </c>
      <c r="Q93" s="143" t="n">
        <f aca="false">IF(OR($C93="",$P93="",$P93=0,(N($I93)+N($AG93))&lt;=0),"",IFERROR(SUMIFS(随時_動員を入れる!$G$8:$G$97,随時_動員を入れる!$B$8:$B$97,"&gt;="&amp;'設定（最初に1回）'!$C$6,随時_動員を入れる!$B$8:$B$97,"&lt;="&amp;'設定（最初に1回）'!$C$6+(N($I93)+N($AG93))-1)/(N($I93)+N($AG93)),0)*$P93/100)</f>
        <v>241.997</v>
      </c>
      <c r="R93" s="69" t="n">
        <f aca="false">IF($C93="","",SUMIFS(①今日の在庫を貼る!$O$6:$O$10005,①今日の在庫を貼る!$B$6:$B$10005,'設定（最初に1回）'!$C$4,①今日の在庫を貼る!$I$6:$I$10005,$C93))</f>
        <v>0</v>
      </c>
      <c r="S93" s="143" t="n">
        <f aca="false">IF($C93="","",IF('設定（最初に1回）'!$C$9="実績消費",N($O93),IF('設定（最初に1回）'!$C$9="PI値予測",N($Q93),MAX(N($O93),N($Q93)))))</f>
        <v>17.9672131147541</v>
      </c>
      <c r="T93" s="67" t="n">
        <f aca="false">IF(OR($S93="",$S93&lt;=0),"",$K93/$S93)</f>
        <v>1.78102189781022</v>
      </c>
      <c r="U93" s="69" t="n">
        <f aca="false">IF($S93="","",ROUNDUP(N($S93)*'設定（最初に1回）'!$C$12,0))</f>
        <v>72</v>
      </c>
      <c r="V93" s="69" t="n">
        <f aca="false">IF($C93="","",ROUNDUP(N($S93)*(N($I93)+N($AG93))+N($U93),0))</f>
        <v>234</v>
      </c>
      <c r="W93" s="69" t="n">
        <f aca="false">IF($C93="","",SUMIFS(発注管理!$L$6:$L$1005,発注管理!$C$6:$C$1005,'設定（最初に1回）'!$C$4,発注管理!$F$6:$F$1005,$C93,発注管理!$Q$6:$Q$1005,"発注済"))</f>
        <v>0</v>
      </c>
      <c r="X93" s="69" t="n">
        <f aca="false">IF($C93="","",MAX(0,N($V93)-N($K93)-N($W93)))</f>
        <v>202</v>
      </c>
      <c r="Y93" s="147" t="n">
        <f aca="false">IF($C93="","",IF(N($X93)&lt;=0,0,CEILING($X93/MAX(1,N($G93)),MAX(1,N($J93)))))</f>
        <v>1</v>
      </c>
      <c r="Z93" s="138" t="str">
        <f aca="false">IF($C93="","",IF(N($Y93)&gt;0,"要発注","正常"))</f>
        <v>要発注</v>
      </c>
      <c r="AA93" s="71" t="n">
        <f aca="false">IF($C93="","",N($K93)*N($H93))</f>
        <v>742.4</v>
      </c>
      <c r="AB93" s="66" t="str">
        <f aca="false">IF($C93="","",_xlfn.TEXTJOIN(" / ",TRUE(),IF(COUNTIF(商品マスタ!$B$6:$B$1005,$C93)=0,"マスタ未登録",""),IF(COUNTIFS(月1回_前回の在庫を貼る!$B$6:$B$10005,'設定（最初に1回）'!$C$4,月1回_前回の在庫を貼る!$I$6:$I$10005,$C93)=0,"新商品",""),IF(COUNTIFS(①今日の在庫を貼る!$B$6:$B$10005,'設定（最初に1回）'!$C$4,①今日の在庫を貼る!$I$6:$I$10005,$C93)=0,"終売候補",""),IF(N($K93)&lt;0,"在庫マイナス",""),IF(AND('設定（最初に1回）'!$C$9="PI値予測",$P93=""),"PI値未設定","")))</f>
        <v/>
      </c>
      <c r="AC93" s="71" t="n">
        <f aca="false">N($Y93)*N($H93)</f>
        <v>23.2</v>
      </c>
      <c r="AD93" s="66" t="str">
        <f aca="false">IF($C93="","",IFERROR(INDEX(商品マスタ!$K$6:$K$1005,MATCH($C93,商品マスタ!$B$6:$B$1005,0)),"常温"))</f>
        <v>常温</v>
      </c>
      <c r="AE93" s="69" t="n">
        <f aca="false">IF($C93="","",MAX(0,ROUNDUP(N($K93)/MAX(1,N($G93)),0)))</f>
        <v>1</v>
      </c>
      <c r="AF93" s="66" t="str">
        <f aca="false">IF($C93="","",IFERROR(INDEX(商品マスタ!$L$6:$L$1005,MATCH($C93,商品マスタ!$B$6:$B$1005,0)),""))</f>
        <v>常温包材</v>
      </c>
      <c r="AG93" s="143" t="n">
        <f aca="false">IF($C93="","",IFERROR(INDEX(定数マスタ!$S$110:$S$119,MATCH($AF93,定数マスタ!$J$110:$J$119,0)),N('設定（最初に1回）'!$C$13)))</f>
        <v>7</v>
      </c>
      <c r="AH93" s="66" t="n">
        <f aca="false">IF(AND(N($K93)&gt;0,N($Y93)&gt;0),N($Y93),0)</f>
        <v>1</v>
      </c>
    </row>
    <row r="94" customFormat="false" ht="15" hidden="false" customHeight="false" outlineLevel="0" collapsed="false">
      <c r="B94" s="66" t="n">
        <v>89</v>
      </c>
      <c r="C94" s="66" t="str">
        <f aca="false">IFERROR(IF($B94&lt;=MAX(①今日の在庫を貼る!$U$6:$U$10005),INDEX(①今日の在庫を貼る!$I$6:$I$10005,MATCH($B94,①今日の在庫を貼る!$U$6:$U$10005,0)),INDEX(月1回_前回の在庫を貼る!$I$6:$I$10005,MATCH($B94-MAX(①今日の在庫を貼る!$U$6:$U$10005),月1回_前回の在庫を貼る!$U$6:$U$10005,0))),"")</f>
        <v>1812000011325</v>
      </c>
      <c r="D94" s="66" t="str">
        <f aca="false">IF($C94="","",IFERROR(INDEX(商品マスタ!$C$6:$C$1005,MATCH($C94,商品マスタ!$B$6:$B$1005,0)),IFERROR(INDEX(①今日の在庫を貼る!$J$6:$J$10005,MATCH($C94,①今日の在庫を貼る!$I$6:$I$10005,0)),IFERROR(INDEX(月1回_前回の在庫を貼る!$J$6:$J$10005,MATCH($C94,月1回_前回の在庫を貼る!$I$6:$I$10005,0)),""))))</f>
        <v>ＴＨ（ＦＳ）新チュリトス袋２</v>
      </c>
      <c r="E94" s="66" t="str">
        <f aca="false">IF($C94="","",IFERROR(INDEX(商品マスタ!$D$6:$D$1005,MATCH($C94,商品マスタ!$B$6:$B$1005,0)),IFERROR(INDEX(①今日の在庫を貼る!$H$6:$H$10005,MATCH($C94,①今日の在庫を貼る!$I$6:$I$10005,0)),IFERROR(INDEX(月1回_前回の在庫を貼る!$H$6:$H$10005,MATCH($C94,月1回_前回の在庫を貼る!$I$6:$I$10005,0)),""))))</f>
        <v>コンセ包材</v>
      </c>
      <c r="F94" s="66" t="str">
        <f aca="false">IF($C94="","",IFERROR(INDEX(商品マスタ!$E$6:$E$1005,MATCH($C94,商品マスタ!$B$6:$B$1005,0)),IFERROR(INDEX(①今日の在庫を貼る!$E$6:$E$10005,MATCH($C94,①今日の在庫を貼る!$I$6:$I$10005,0)),IFERROR(INDEX(月1回_前回の在庫を貼る!$E$6:$E$10005,MATCH($C94,月1回_前回の在庫を貼る!$I$6:$I$10005,0)),""))))</f>
        <v>オザックス株式会社</v>
      </c>
      <c r="G94" s="69" t="n">
        <f aca="false">IF($C94="","",IFERROR(INDEX(商品マスタ!$F$6:$F$1005,MATCH($C94,商品マスタ!$B$6:$B$1005,0)),IFERROR(INDEX(①今日の在庫を貼る!$K$6:$K$10005,MATCH($C94,①今日の在庫を貼る!$I$6:$I$10005,0)),IFERROR(INDEX(月1回_前回の在庫を貼る!$K$6:$K$10005,MATCH($C94,月1回_前回の在庫を貼る!$I$6:$I$10005,0)),""))))</f>
        <v>2000</v>
      </c>
      <c r="H94" s="71" t="n">
        <f aca="false">IF($C94="","",IFERROR(INDEX(商品マスタ!$G$6:$G$1005,MATCH($C94,商品マスタ!$B$6:$B$1005,0)),IFERROR(INDEX(①今日の在庫を貼る!$Q$6:$Q$10005,MATCH($C94,①今日の在庫を貼る!$I$6:$I$10005,0)),IFERROR(INDEX(月1回_前回の在庫を貼る!$Q$6:$Q$10005,MATCH($C94,月1回_前回の在庫を貼る!$I$6:$I$10005,0)),""))))</f>
        <v>4.41</v>
      </c>
      <c r="I94" s="66" t="n">
        <f aca="false">IF($C94="","",IFERROR(INDEX(商品マスタ!$H$6:$H$1005,MATCH($C94,商品マスタ!$B$6:$B$1005,0)),3))</f>
        <v>2</v>
      </c>
      <c r="J94" s="66" t="n">
        <f aca="false">IF($C94="","",MAX(1,IFERROR(INDEX(商品マスタ!$I$6:$I$1005,MATCH($C94,商品マスタ!$B$6:$B$1005,0)),1)))</f>
        <v>1</v>
      </c>
      <c r="K94" s="69" t="n">
        <f aca="false">IF($C94="","",SUMIFS(①今日の在庫を貼る!$N$6:$N$10005,①今日の在庫を貼る!$B$6:$B$10005,'設定（最初に1回）'!$C$4,①今日の在庫を貼る!$I$6:$I$10005,$C94))</f>
        <v>5432</v>
      </c>
      <c r="L94" s="69" t="n">
        <f aca="false">IF($C94="","",SUMIFS(月1回_前回の在庫を貼る!$N$6:$N$10005,月1回_前回の在庫を貼る!$B$6:$B$10005,'設定（最初に1回）'!$C$4,月1回_前回の在庫を貼る!$I$6:$I$10005,$C94))</f>
        <v>13468</v>
      </c>
      <c r="M94" s="69" t="n">
        <f aca="false">IF($C94="","",IF(OR('設定（最初に1回）'!$C$6="",'設定（最初に1回）'!$C$7=""),0,SUMIFS(発注管理!$S$6:$S$1005,発注管理!$C$6:$C$1005,'設定（最初に1回）'!$C$4,発注管理!$F$6:$F$1005,$C94,発注管理!$R$6:$R$1005,"&gt;="&amp;'設定（最初に1回）'!$C$7,発注管理!$R$6:$R$1005,"&lt;="&amp;'設定（最初に1回）'!$C$6)))</f>
        <v>0</v>
      </c>
      <c r="N94" s="69" t="n">
        <f aca="false">IF(OR($C94="",'設定（最初に1回）'!$C$15=0),"",$L94+$M94-$K94)</f>
        <v>8036</v>
      </c>
      <c r="O94" s="143" t="n">
        <f aca="false">IF(OR($N94="",'設定（最初に1回）'!$C$8="",'設定（最初に1回）'!$C$8&lt;=0),"",MAX(0,$N94)/'設定（最初に1回）'!$C$8)</f>
        <v>131.737704918033</v>
      </c>
      <c r="P94" s="143" t="n">
        <f aca="false">IF($C94="","",IFERROR(INDEX(商品マスタ!$M$6:$N$1005,MATCH($C94,商品マスタ!$B$6:$B$1005,0),MATCH("PI値 "&amp;'設定（最初に1回）'!$C$11,商品マスタ!$M$5:$N$5,0)),""))</f>
        <v>12.5</v>
      </c>
      <c r="Q94" s="143" t="n">
        <f aca="false">IF(OR($C94="",$P94="",$P94=0,(N($I94)+N($AG94))&lt;=0),"",IFERROR(SUMIFS(随時_動員を入れる!$G$8:$G$97,随時_動員を入れる!$B$8:$B$97,"&gt;="&amp;'設定（最初に1回）'!$C$6,随時_動員を入れる!$B$8:$B$97,"&lt;="&amp;'設定（最初に1回）'!$C$6+(N($I94)+N($AG94))-1)/(N($I94)+N($AG94)),0)*$P94/100)</f>
        <v>480.152777777778</v>
      </c>
      <c r="R94" s="69" t="n">
        <f aca="false">IF($C94="","",SUMIFS(①今日の在庫を貼る!$O$6:$O$10005,①今日の在庫を貼る!$B$6:$B$10005,'設定（最初に1回）'!$C$4,①今日の在庫を貼る!$I$6:$I$10005,$C94))</f>
        <v>0</v>
      </c>
      <c r="S94" s="143" t="n">
        <f aca="false">IF($C94="","",IF('設定（最初に1回）'!$C$9="実績消費",N($O94),IF('設定（最初に1回）'!$C$9="PI値予測",N($Q94),MAX(N($O94),N($Q94)))))</f>
        <v>131.737704918033</v>
      </c>
      <c r="T94" s="67" t="n">
        <f aca="false">IF(OR($S94="",$S94&lt;=0),"",$K94/$S94)</f>
        <v>41.2334494773519</v>
      </c>
      <c r="U94" s="69" t="n">
        <f aca="false">IF($S94="","",ROUNDUP(N($S94)*'設定（最初に1回）'!$C$12,0))</f>
        <v>527</v>
      </c>
      <c r="V94" s="69" t="n">
        <f aca="false">IF($C94="","",ROUNDUP(N($S94)*(N($I94)+N($AG94))+N($U94),0))</f>
        <v>1713</v>
      </c>
      <c r="W94" s="69" t="n">
        <f aca="false">IF($C94="","",SUMIFS(発注管理!$L$6:$L$1005,発注管理!$C$6:$C$1005,'設定（最初に1回）'!$C$4,発注管理!$F$6:$F$1005,$C94,発注管理!$Q$6:$Q$1005,"発注済"))</f>
        <v>0</v>
      </c>
      <c r="X94" s="69" t="n">
        <f aca="false">IF($C94="","",MAX(0,N($V94)-N($K94)-N($W94)))</f>
        <v>0</v>
      </c>
      <c r="Y94" s="147" t="n">
        <f aca="false">IF($C94="","",IF(N($X94)&lt;=0,0,CEILING($X94/MAX(1,N($G94)),MAX(1,N($J94)))))</f>
        <v>0</v>
      </c>
      <c r="Z94" s="138" t="str">
        <f aca="false">IF($C94="","",IF(N($Y94)&gt;0,"要発注","正常"))</f>
        <v>正常</v>
      </c>
      <c r="AA94" s="71" t="n">
        <f aca="false">IF($C94="","",N($K94)*N($H94))</f>
        <v>23955.12</v>
      </c>
      <c r="AB94" s="66" t="str">
        <f aca="false">IF($C94="","",_xlfn.TEXTJOIN(" / ",TRUE(),IF(COUNTIF(商品マスタ!$B$6:$B$1005,$C94)=0,"マスタ未登録",""),IF(COUNTIFS(月1回_前回の在庫を貼る!$B$6:$B$10005,'設定（最初に1回）'!$C$4,月1回_前回の在庫を貼る!$I$6:$I$10005,$C94)=0,"新商品",""),IF(COUNTIFS(①今日の在庫を貼る!$B$6:$B$10005,'設定（最初に1回）'!$C$4,①今日の在庫を貼る!$I$6:$I$10005,$C94)=0,"終売候補",""),IF(N($K94)&lt;0,"在庫マイナス",""),IF(AND('設定（最初に1回）'!$C$9="PI値予測",$P94=""),"PI値未設定","")))</f>
        <v/>
      </c>
      <c r="AC94" s="71" t="n">
        <f aca="false">N($Y94)*N($H94)</f>
        <v>0</v>
      </c>
      <c r="AD94" s="66" t="str">
        <f aca="false">IF($C94="","",IFERROR(INDEX(商品マスタ!$K$6:$K$1005,MATCH($C94,商品マスタ!$B$6:$B$1005,0)),"常温"))</f>
        <v>常温</v>
      </c>
      <c r="AE94" s="69" t="n">
        <f aca="false">IF($C94="","",MAX(0,ROUNDUP(N($K94)/MAX(1,N($G94)),0)))</f>
        <v>3</v>
      </c>
      <c r="AF94" s="66" t="str">
        <f aca="false">IF($C94="","",IFERROR(INDEX(商品マスタ!$L$6:$L$1005,MATCH($C94,商品マスタ!$B$6:$B$1005,0)),""))</f>
        <v>常温包材</v>
      </c>
      <c r="AG94" s="143" t="n">
        <f aca="false">IF($C94="","",IFERROR(INDEX(定数マスタ!$S$110:$S$119,MATCH($AF94,定数マスタ!$J$110:$J$119,0)),N('設定（最初に1回）'!$C$13)))</f>
        <v>7</v>
      </c>
      <c r="AH94" s="66" t="n">
        <f aca="false">IF(AND(N($K94)&gt;0,N($Y94)&gt;0),N($Y94),0)</f>
        <v>0</v>
      </c>
    </row>
    <row r="95" customFormat="false" ht="15" hidden="false" customHeight="false" outlineLevel="0" collapsed="false">
      <c r="B95" s="66" t="n">
        <v>90</v>
      </c>
      <c r="C95" s="66" t="str">
        <f aca="false">IFERROR(IF($B95&lt;=MAX(①今日の在庫を貼る!$U$6:$U$10005),INDEX(①今日の在庫を貼る!$I$6:$I$10005,MATCH($B95,①今日の在庫を貼る!$U$6:$U$10005,0)),INDEX(月1回_前回の在庫を貼る!$I$6:$I$10005,MATCH($B95-MAX(①今日の在庫を貼る!$U$6:$U$10005),月1回_前回の在庫を貼る!$U$6:$U$10005,0))),"")</f>
        <v>1812000011813</v>
      </c>
      <c r="D95" s="66" t="str">
        <f aca="false">IF($C95="","",IFERROR(INDEX(商品マスタ!$C$6:$C$1005,MATCH($C95,商品マスタ!$B$6:$B$1005,0)),IFERROR(INDEX(①今日の在庫を貼る!$J$6:$J$10005,MATCH($C95,①今日の在庫を貼る!$I$6:$I$10005,0)),IFERROR(INDEX(月1回_前回の在庫を貼る!$J$6:$J$10005,MATCH($C95,月1回_前回の在庫を貼る!$I$6:$I$10005,0)),""))))</f>
        <v>ＩＣＥＥ　ドリンクカップ２１０Ｚ</v>
      </c>
      <c r="E95" s="66" t="str">
        <f aca="false">IF($C95="","",IFERROR(INDEX(商品マスタ!$D$6:$D$1005,MATCH($C95,商品マスタ!$B$6:$B$1005,0)),IFERROR(INDEX(①今日の在庫を貼る!$H$6:$H$10005,MATCH($C95,①今日の在庫を貼る!$I$6:$I$10005,0)),IFERROR(INDEX(月1回_前回の在庫を貼る!$H$6:$H$10005,MATCH($C95,月1回_前回の在庫を貼る!$I$6:$I$10005,0)),""))))</f>
        <v>コンセ包材</v>
      </c>
      <c r="F95" s="66" t="str">
        <f aca="false">IF($C95="","",IFERROR(INDEX(商品マスタ!$E$6:$E$1005,MATCH($C95,商品マスタ!$B$6:$B$1005,0)),IFERROR(INDEX(①今日の在庫を貼る!$E$6:$E$10005,MATCH($C95,①今日の在庫を貼る!$I$6:$I$10005,0)),IFERROR(INDEX(月1回_前回の在庫を貼る!$E$6:$E$10005,MATCH($C95,月1回_前回の在庫を貼る!$I$6:$I$10005,0)),""))))</f>
        <v>オザックス株式会社</v>
      </c>
      <c r="G95" s="69" t="n">
        <f aca="false">IF($C95="","",IFERROR(INDEX(商品マスタ!$F$6:$F$1005,MATCH($C95,商品マスタ!$B$6:$B$1005,0)),IFERROR(INDEX(①今日の在庫を貼る!$K$6:$K$10005,MATCH($C95,①今日の在庫を貼る!$I$6:$I$10005,0)),IFERROR(INDEX(月1回_前回の在庫を貼る!$K$6:$K$10005,MATCH($C95,月1回_前回の在庫を貼る!$I$6:$I$10005,0)),""))))</f>
        <v>1000</v>
      </c>
      <c r="H95" s="71" t="n">
        <f aca="false">IF($C95="","",IFERROR(INDEX(商品マスタ!$G$6:$G$1005,MATCH($C95,商品マスタ!$B$6:$B$1005,0)),IFERROR(INDEX(①今日の在庫を貼る!$Q$6:$Q$10005,MATCH($C95,①今日の在庫を貼る!$I$6:$I$10005,0)),IFERROR(INDEX(月1回_前回の在庫を貼る!$Q$6:$Q$10005,MATCH($C95,月1回_前回の在庫を貼る!$I$6:$I$10005,0)),""))))</f>
        <v>19.69</v>
      </c>
      <c r="I95" s="66" t="n">
        <f aca="false">IF($C95="","",IFERROR(INDEX(商品マスタ!$H$6:$H$1005,MATCH($C95,商品マスタ!$B$6:$B$1005,0)),3))</f>
        <v>3</v>
      </c>
      <c r="J95" s="66" t="n">
        <f aca="false">IF($C95="","",MAX(1,IFERROR(INDEX(商品マスタ!$I$6:$I$1005,MATCH($C95,商品マスタ!$B$6:$B$1005,0)),1)))</f>
        <v>1</v>
      </c>
      <c r="K95" s="69" t="n">
        <f aca="false">IF($C95="","",SUMIFS(①今日の在庫を貼る!$N$6:$N$10005,①今日の在庫を貼る!$B$6:$B$10005,'設定（最初に1回）'!$C$4,①今日の在庫を貼る!$I$6:$I$10005,$C95))</f>
        <v>240</v>
      </c>
      <c r="L95" s="69" t="n">
        <f aca="false">IF($C95="","",SUMIFS(月1回_前回の在庫を貼る!$N$6:$N$10005,月1回_前回の在庫を貼る!$B$6:$B$10005,'設定（最初に1回）'!$C$4,月1回_前回の在庫を貼る!$I$6:$I$10005,$C95))</f>
        <v>914</v>
      </c>
      <c r="M95" s="69" t="n">
        <f aca="false">IF($C95="","",IF(OR('設定（最初に1回）'!$C$6="",'設定（最初に1回）'!$C$7=""),0,SUMIFS(発注管理!$S$6:$S$1005,発注管理!$C$6:$C$1005,'設定（最初に1回）'!$C$4,発注管理!$F$6:$F$1005,$C95,発注管理!$R$6:$R$1005,"&gt;="&amp;'設定（最初に1回）'!$C$7,発注管理!$R$6:$R$1005,"&lt;="&amp;'設定（最初に1回）'!$C$6)))</f>
        <v>0</v>
      </c>
      <c r="N95" s="69" t="n">
        <f aca="false">IF(OR($C95="",'設定（最初に1回）'!$C$15=0),"",$L95+$M95-$K95)</f>
        <v>674</v>
      </c>
      <c r="O95" s="143" t="n">
        <f aca="false">IF(OR($N95="",'設定（最初に1回）'!$C$8="",'設定（最初に1回）'!$C$8&lt;=0),"",MAX(0,$N95)/'設定（最初に1回）'!$C$8)</f>
        <v>11.0491803278689</v>
      </c>
      <c r="P95" s="143" t="n">
        <f aca="false">IF($C95="","",IFERROR(INDEX(商品マスタ!$M$6:$N$1005,MATCH($C95,商品マスタ!$B$6:$B$1005,0),MATCH("PI値 "&amp;'設定（最初に1回）'!$C$11,商品マスタ!$M$5:$N$5,0)),""))</f>
        <v>9.8</v>
      </c>
      <c r="Q95" s="143" t="n">
        <f aca="false">IF(OR($C95="",$P95="",$P95=0,(N($I95)+N($AG95))&lt;=0),"",IFERROR(SUMIFS(随時_動員を入れる!$G$8:$G$97,随時_動員を入れる!$B$8:$B$97,"&gt;="&amp;'設定（最初に1回）'!$C$6,随時_動員を入れる!$B$8:$B$97,"&lt;="&amp;'設定（最初に1回）'!$C$6+(N($I95)+N($AG95))-1)/(N($I95)+N($AG95)),0)*$P95/100)</f>
        <v>373.0076</v>
      </c>
      <c r="R95" s="69" t="n">
        <f aca="false">IF($C95="","",SUMIFS(①今日の在庫を貼る!$O$6:$O$10005,①今日の在庫を貼る!$B$6:$B$10005,'設定（最初に1回）'!$C$4,①今日の在庫を貼る!$I$6:$I$10005,$C95))</f>
        <v>0</v>
      </c>
      <c r="S95" s="143" t="n">
        <f aca="false">IF($C95="","",IF('設定（最初に1回）'!$C$9="実績消費",N($O95),IF('設定（最初に1回）'!$C$9="PI値予測",N($Q95),MAX(N($O95),N($Q95)))))</f>
        <v>11.0491803278689</v>
      </c>
      <c r="T95" s="67" t="n">
        <f aca="false">IF(OR($S95="",$S95&lt;=0),"",$K95/$S95)</f>
        <v>21.7210682492582</v>
      </c>
      <c r="U95" s="69" t="n">
        <f aca="false">IF($S95="","",ROUNDUP(N($S95)*'設定（最初に1回）'!$C$12,0))</f>
        <v>45</v>
      </c>
      <c r="V95" s="69" t="n">
        <f aca="false">IF($C95="","",ROUNDUP(N($S95)*(N($I95)+N($AG95))+N($U95),0))</f>
        <v>156</v>
      </c>
      <c r="W95" s="69" t="n">
        <f aca="false">IF($C95="","",SUMIFS(発注管理!$L$6:$L$1005,発注管理!$C$6:$C$1005,'設定（最初に1回）'!$C$4,発注管理!$F$6:$F$1005,$C95,発注管理!$Q$6:$Q$1005,"発注済"))</f>
        <v>0</v>
      </c>
      <c r="X95" s="69" t="n">
        <f aca="false">IF($C95="","",MAX(0,N($V95)-N($K95)-N($W95)))</f>
        <v>0</v>
      </c>
      <c r="Y95" s="147" t="n">
        <f aca="false">IF($C95="","",IF(N($X95)&lt;=0,0,CEILING($X95/MAX(1,N($G95)),MAX(1,N($J95)))))</f>
        <v>0</v>
      </c>
      <c r="Z95" s="138" t="str">
        <f aca="false">IF($C95="","",IF(N($Y95)&gt;0,"要発注","正常"))</f>
        <v>正常</v>
      </c>
      <c r="AA95" s="71" t="n">
        <f aca="false">IF($C95="","",N($K95)*N($H95))</f>
        <v>4725.6</v>
      </c>
      <c r="AB95" s="66" t="str">
        <f aca="false">IF($C95="","",_xlfn.TEXTJOIN(" / ",TRUE(),IF(COUNTIF(商品マスタ!$B$6:$B$1005,$C95)=0,"マスタ未登録",""),IF(COUNTIFS(月1回_前回の在庫を貼る!$B$6:$B$10005,'設定（最初に1回）'!$C$4,月1回_前回の在庫を貼る!$I$6:$I$10005,$C95)=0,"新商品",""),IF(COUNTIFS(①今日の在庫を貼る!$B$6:$B$10005,'設定（最初に1回）'!$C$4,①今日の在庫を貼る!$I$6:$I$10005,$C95)=0,"終売候補",""),IF(N($K95)&lt;0,"在庫マイナス",""),IF(AND('設定（最初に1回）'!$C$9="PI値予測",$P95=""),"PI値未設定","")))</f>
        <v/>
      </c>
      <c r="AC95" s="71" t="n">
        <f aca="false">N($Y95)*N($H95)</f>
        <v>0</v>
      </c>
      <c r="AD95" s="66" t="str">
        <f aca="false">IF($C95="","",IFERROR(INDEX(商品マスタ!$K$6:$K$1005,MATCH($C95,商品マスタ!$B$6:$B$1005,0)),"常温"))</f>
        <v>常温</v>
      </c>
      <c r="AE95" s="69" t="n">
        <f aca="false">IF($C95="","",MAX(0,ROUNDUP(N($K95)/MAX(1,N($G95)),0)))</f>
        <v>1</v>
      </c>
      <c r="AF95" s="66" t="str">
        <f aca="false">IF($C95="","",IFERROR(INDEX(商品マスタ!$L$6:$L$1005,MATCH($C95,商品マスタ!$B$6:$B$1005,0)),""))</f>
        <v>常温包材</v>
      </c>
      <c r="AG95" s="143" t="n">
        <f aca="false">IF($C95="","",IFERROR(INDEX(定数マスタ!$S$110:$S$119,MATCH($AF95,定数マスタ!$J$110:$J$119,0)),N('設定（最初に1回）'!$C$13)))</f>
        <v>7</v>
      </c>
      <c r="AH95" s="66" t="n">
        <f aca="false">IF(AND(N($K95)&gt;0,N($Y95)&gt;0),N($Y95),0)</f>
        <v>0</v>
      </c>
    </row>
    <row r="96" customFormat="false" ht="15" hidden="false" customHeight="false" outlineLevel="0" collapsed="false">
      <c r="B96" s="66" t="n">
        <v>91</v>
      </c>
      <c r="C96" s="66" t="str">
        <f aca="false">IFERROR(IF($B96&lt;=MAX(①今日の在庫を貼る!$U$6:$U$10005),INDEX(①今日の在庫を貼る!$I$6:$I$10005,MATCH($B96,①今日の在庫を貼る!$U$6:$U$10005,0)),INDEX(月1回_前回の在庫を貼る!$I$6:$I$10005,MATCH($B96-MAX(①今日の在庫を貼る!$U$6:$U$10005),月1回_前回の在庫を貼る!$U$6:$U$10005,0))),"")</f>
        <v>1812000011820</v>
      </c>
      <c r="D96" s="66" t="str">
        <f aca="false">IF($C96="","",IFERROR(INDEX(商品マスタ!$C$6:$C$1005,MATCH($C96,商品マスタ!$B$6:$B$1005,0)),IFERROR(INDEX(①今日の在庫を貼る!$J$6:$J$10005,MATCH($C96,①今日の在庫を貼る!$I$6:$I$10005,0)),IFERROR(INDEX(月1回_前回の在庫を貼る!$J$6:$J$10005,MATCH($C96,月1回_前回の在庫を貼る!$I$6:$I$10005,0)),""))))</f>
        <v>ＩＣＥＥ　ドームリッド</v>
      </c>
      <c r="E96" s="66" t="str">
        <f aca="false">IF($C96="","",IFERROR(INDEX(商品マスタ!$D$6:$D$1005,MATCH($C96,商品マスタ!$B$6:$B$1005,0)),IFERROR(INDEX(①今日の在庫を貼る!$H$6:$H$10005,MATCH($C96,①今日の在庫を貼る!$I$6:$I$10005,0)),IFERROR(INDEX(月1回_前回の在庫を貼る!$H$6:$H$10005,MATCH($C96,月1回_前回の在庫を貼る!$I$6:$I$10005,0)),""))))</f>
        <v>コンセ包材</v>
      </c>
      <c r="F96" s="66" t="str">
        <f aca="false">IF($C96="","",IFERROR(INDEX(商品マスタ!$E$6:$E$1005,MATCH($C96,商品マスタ!$B$6:$B$1005,0)),IFERROR(INDEX(①今日の在庫を貼る!$E$6:$E$10005,MATCH($C96,①今日の在庫を貼る!$I$6:$I$10005,0)),IFERROR(INDEX(月1回_前回の在庫を貼る!$E$6:$E$10005,MATCH($C96,月1回_前回の在庫を貼る!$I$6:$I$10005,0)),""))))</f>
        <v>オザックス株式会社</v>
      </c>
      <c r="G96" s="69" t="n">
        <f aca="false">IF($C96="","",IFERROR(INDEX(商品マスタ!$F$6:$F$1005,MATCH($C96,商品マスタ!$B$6:$B$1005,0)),IFERROR(INDEX(①今日の在庫を貼る!$K$6:$K$10005,MATCH($C96,①今日の在庫を貼る!$I$6:$I$10005,0)),IFERROR(INDEX(月1回_前回の在庫を貼る!$K$6:$K$10005,MATCH($C96,月1回_前回の在庫を貼る!$I$6:$I$10005,0)),""))))</f>
        <v>1000</v>
      </c>
      <c r="H96" s="71" t="n">
        <f aca="false">IF($C96="","",IFERROR(INDEX(商品マスタ!$G$6:$G$1005,MATCH($C96,商品マスタ!$B$6:$B$1005,0)),IFERROR(INDEX(①今日の在庫を貼る!$Q$6:$Q$10005,MATCH($C96,①今日の在庫を貼る!$I$6:$I$10005,0)),IFERROR(INDEX(月1回_前回の在庫を貼る!$Q$6:$Q$10005,MATCH($C96,月1回_前回の在庫を貼る!$I$6:$I$10005,0)),""))))</f>
        <v>10.58</v>
      </c>
      <c r="I96" s="66" t="n">
        <f aca="false">IF($C96="","",IFERROR(INDEX(商品マスタ!$H$6:$H$1005,MATCH($C96,商品マスタ!$B$6:$B$1005,0)),3))</f>
        <v>3</v>
      </c>
      <c r="J96" s="66" t="n">
        <f aca="false">IF($C96="","",MAX(1,IFERROR(INDEX(商品マスタ!$I$6:$I$1005,MATCH($C96,商品マスタ!$B$6:$B$1005,0)),1)))</f>
        <v>1</v>
      </c>
      <c r="K96" s="69" t="n">
        <f aca="false">IF($C96="","",SUMIFS(①今日の在庫を貼る!$N$6:$N$10005,①今日の在庫を貼る!$B$6:$B$10005,'設定（最初に1回）'!$C$4,①今日の在庫を貼る!$I$6:$I$10005,$C96))</f>
        <v>13994</v>
      </c>
      <c r="L96" s="69" t="n">
        <f aca="false">IF($C96="","",SUMIFS(月1回_前回の在庫を貼る!$N$6:$N$10005,月1回_前回の在庫を貼る!$B$6:$B$10005,'設定（最初に1回）'!$C$4,月1回_前回の在庫を貼る!$I$6:$I$10005,$C96))</f>
        <v>23300</v>
      </c>
      <c r="M96" s="69" t="n">
        <f aca="false">IF($C96="","",IF(OR('設定（最初に1回）'!$C$6="",'設定（最初に1回）'!$C$7=""),0,SUMIFS(発注管理!$S$6:$S$1005,発注管理!$C$6:$C$1005,'設定（最初に1回）'!$C$4,発注管理!$F$6:$F$1005,$C96,発注管理!$R$6:$R$1005,"&gt;="&amp;'設定（最初に1回）'!$C$7,発注管理!$R$6:$R$1005,"&lt;="&amp;'設定（最初に1回）'!$C$6)))</f>
        <v>0</v>
      </c>
      <c r="N96" s="69" t="n">
        <f aca="false">IF(OR($C96="",'設定（最初に1回）'!$C$15=0),"",$L96+$M96-$K96)</f>
        <v>9306</v>
      </c>
      <c r="O96" s="143" t="n">
        <f aca="false">IF(OR($N96="",'設定（最初に1回）'!$C$8="",'設定（最初に1回）'!$C$8&lt;=0),"",MAX(0,$N96)/'設定（最初に1回）'!$C$8)</f>
        <v>152.55737704918</v>
      </c>
      <c r="P96" s="143" t="n">
        <f aca="false">IF($C96="","",IFERROR(INDEX(商品マスタ!$M$6:$N$1005,MATCH($C96,商品マスタ!$B$6:$B$1005,0),MATCH("PI値 "&amp;'設定（最初に1回）'!$C$11,商品マスタ!$M$5:$N$5,0)),""))</f>
        <v>11.9</v>
      </c>
      <c r="Q96" s="143" t="n">
        <f aca="false">IF(OR($C96="",$P96="",$P96=0,(N($I96)+N($AG96))&lt;=0),"",IFERROR(SUMIFS(随時_動員を入れる!$G$8:$G$97,随時_動員を入れる!$B$8:$B$97,"&gt;="&amp;'設定（最初に1回）'!$C$6,随時_動員を入れる!$B$8:$B$97,"&lt;="&amp;'設定（最初に1回）'!$C$6+(N($I96)+N($AG96))-1)/(N($I96)+N($AG96)),0)*$P96/100)</f>
        <v>452.9378</v>
      </c>
      <c r="R96" s="69" t="n">
        <f aca="false">IF($C96="","",SUMIFS(①今日の在庫を貼る!$O$6:$O$10005,①今日の在庫を貼る!$B$6:$B$10005,'設定（最初に1回）'!$C$4,①今日の在庫を貼る!$I$6:$I$10005,$C96))</f>
        <v>0</v>
      </c>
      <c r="S96" s="143" t="n">
        <f aca="false">IF($C96="","",IF('設定（最初に1回）'!$C$9="実績消費",N($O96),IF('設定（最初に1回）'!$C$9="PI値予測",N($Q96),MAX(N($O96),N($Q96)))))</f>
        <v>152.55737704918</v>
      </c>
      <c r="T96" s="67" t="n">
        <f aca="false">IF(OR($S96="",$S96&lt;=0),"",$K96/$S96)</f>
        <v>91.7294218783581</v>
      </c>
      <c r="U96" s="69" t="n">
        <f aca="false">IF($S96="","",ROUNDUP(N($S96)*'設定（最初に1回）'!$C$12,0))</f>
        <v>611</v>
      </c>
      <c r="V96" s="69" t="n">
        <f aca="false">IF($C96="","",ROUNDUP(N($S96)*(N($I96)+N($AG96))+N($U96),0))</f>
        <v>2137</v>
      </c>
      <c r="W96" s="69" t="n">
        <f aca="false">IF($C96="","",SUMIFS(発注管理!$L$6:$L$1005,発注管理!$C$6:$C$1005,'設定（最初に1回）'!$C$4,発注管理!$F$6:$F$1005,$C96,発注管理!$Q$6:$Q$1005,"発注済"))</f>
        <v>0</v>
      </c>
      <c r="X96" s="69" t="n">
        <f aca="false">IF($C96="","",MAX(0,N($V96)-N($K96)-N($W96)))</f>
        <v>0</v>
      </c>
      <c r="Y96" s="147" t="n">
        <f aca="false">IF($C96="","",IF(N($X96)&lt;=0,0,CEILING($X96/MAX(1,N($G96)),MAX(1,N($J96)))))</f>
        <v>0</v>
      </c>
      <c r="Z96" s="138" t="str">
        <f aca="false">IF($C96="","",IF(N($Y96)&gt;0,"要発注","正常"))</f>
        <v>正常</v>
      </c>
      <c r="AA96" s="71" t="n">
        <f aca="false">IF($C96="","",N($K96)*N($H96))</f>
        <v>148056.52</v>
      </c>
      <c r="AB96" s="66" t="str">
        <f aca="false">IF($C96="","",_xlfn.TEXTJOIN(" / ",TRUE(),IF(COUNTIF(商品マスタ!$B$6:$B$1005,$C96)=0,"マスタ未登録",""),IF(COUNTIFS(月1回_前回の在庫を貼る!$B$6:$B$10005,'設定（最初に1回）'!$C$4,月1回_前回の在庫を貼る!$I$6:$I$10005,$C96)=0,"新商品",""),IF(COUNTIFS(①今日の在庫を貼る!$B$6:$B$10005,'設定（最初に1回）'!$C$4,①今日の在庫を貼る!$I$6:$I$10005,$C96)=0,"終売候補",""),IF(N($K96)&lt;0,"在庫マイナス",""),IF(AND('設定（最初に1回）'!$C$9="PI値予測",$P96=""),"PI値未設定","")))</f>
        <v/>
      </c>
      <c r="AC96" s="71" t="n">
        <f aca="false">N($Y96)*N($H96)</f>
        <v>0</v>
      </c>
      <c r="AD96" s="66" t="str">
        <f aca="false">IF($C96="","",IFERROR(INDEX(商品マスタ!$K$6:$K$1005,MATCH($C96,商品マスタ!$B$6:$B$1005,0)),"常温"))</f>
        <v>常温</v>
      </c>
      <c r="AE96" s="69" t="n">
        <f aca="false">IF($C96="","",MAX(0,ROUNDUP(N($K96)/MAX(1,N($G96)),0)))</f>
        <v>14</v>
      </c>
      <c r="AF96" s="66" t="str">
        <f aca="false">IF($C96="","",IFERROR(INDEX(商品マスタ!$L$6:$L$1005,MATCH($C96,商品マスタ!$B$6:$B$1005,0)),""))</f>
        <v>常温包材</v>
      </c>
      <c r="AG96" s="143" t="n">
        <f aca="false">IF($C96="","",IFERROR(INDEX(定数マスタ!$S$110:$S$119,MATCH($AF96,定数マスタ!$J$110:$J$119,0)),N('設定（最初に1回）'!$C$13)))</f>
        <v>7</v>
      </c>
      <c r="AH96" s="66" t="n">
        <f aca="false">IF(AND(N($K96)&gt;0,N($Y96)&gt;0),N($Y96),0)</f>
        <v>0</v>
      </c>
    </row>
    <row r="97" customFormat="false" ht="15" hidden="false" customHeight="false" outlineLevel="0" collapsed="false">
      <c r="B97" s="66" t="n">
        <v>92</v>
      </c>
      <c r="C97" s="66" t="str">
        <f aca="false">IFERROR(IF($B97&lt;=MAX(①今日の在庫を貼る!$U$6:$U$10005),INDEX(①今日の在庫を貼る!$I$6:$I$10005,MATCH($B97,①今日の在庫を貼る!$U$6:$U$10005,0)),INDEX(月1回_前回の在庫を貼る!$I$6:$I$10005,MATCH($B97-MAX(①今日の在庫を貼る!$U$6:$U$10005),月1回_前回の在庫を貼る!$U$6:$U$10005,0))),"")</f>
        <v>1812000011837</v>
      </c>
      <c r="D97" s="66" t="str">
        <f aca="false">IF($C97="","",IFERROR(INDEX(商品マスタ!$C$6:$C$1005,MATCH($C97,商品マスタ!$B$6:$B$1005,0)),IFERROR(INDEX(①今日の在庫を貼る!$J$6:$J$10005,MATCH($C97,①今日の在庫を貼る!$I$6:$I$10005,0)),IFERROR(INDEX(月1回_前回の在庫を貼る!$J$6:$J$10005,MATCH($C97,月1回_前回の在庫を貼る!$I$6:$I$10005,0)),""))))</f>
        <v>ＩＣＥＥ　ストロー　裸・赤</v>
      </c>
      <c r="E97" s="66" t="str">
        <f aca="false">IF($C97="","",IFERROR(INDEX(商品マスタ!$D$6:$D$1005,MATCH($C97,商品マスタ!$B$6:$B$1005,0)),IFERROR(INDEX(①今日の在庫を貼る!$H$6:$H$10005,MATCH($C97,①今日の在庫を貼る!$I$6:$I$10005,0)),IFERROR(INDEX(月1回_前回の在庫を貼る!$H$6:$H$10005,MATCH($C97,月1回_前回の在庫を貼る!$I$6:$I$10005,0)),""))))</f>
        <v>コンセ包材</v>
      </c>
      <c r="F97" s="66" t="str">
        <f aca="false">IF($C97="","",IFERROR(INDEX(商品マスタ!$E$6:$E$1005,MATCH($C97,商品マスタ!$B$6:$B$1005,0)),IFERROR(INDEX(①今日の在庫を貼る!$E$6:$E$10005,MATCH($C97,①今日の在庫を貼る!$I$6:$I$10005,0)),IFERROR(INDEX(月1回_前回の在庫を貼る!$E$6:$E$10005,MATCH($C97,月1回_前回の在庫を貼る!$I$6:$I$10005,0)),""))))</f>
        <v>オザックス株式会社</v>
      </c>
      <c r="G97" s="69" t="n">
        <f aca="false">IF($C97="","",IFERROR(INDEX(商品マスタ!$F$6:$F$1005,MATCH($C97,商品マスタ!$B$6:$B$1005,0)),IFERROR(INDEX(①今日の在庫を貼る!$K$6:$K$10005,MATCH($C97,①今日の在庫を貼る!$I$6:$I$10005,0)),IFERROR(INDEX(月1回_前回の在庫を貼る!$K$6:$K$10005,MATCH($C97,月1回_前回の在庫を貼る!$I$6:$I$10005,0)),""))))</f>
        <v>5000</v>
      </c>
      <c r="H97" s="71" t="n">
        <f aca="false">IF($C97="","",IFERROR(INDEX(商品マスタ!$G$6:$G$1005,MATCH($C97,商品マスタ!$B$6:$B$1005,0)),IFERROR(INDEX(①今日の在庫を貼る!$Q$6:$Q$10005,MATCH($C97,①今日の在庫を貼る!$I$6:$I$10005,0)),IFERROR(INDEX(月1回_前回の在庫を貼る!$Q$6:$Q$10005,MATCH($C97,月1回_前回の在庫を貼る!$I$6:$I$10005,0)),""))))</f>
        <v>5.39</v>
      </c>
      <c r="I97" s="66" t="n">
        <f aca="false">IF($C97="","",IFERROR(INDEX(商品マスタ!$H$6:$H$1005,MATCH($C97,商品マスタ!$B$6:$B$1005,0)),3))</f>
        <v>3</v>
      </c>
      <c r="J97" s="66" t="n">
        <f aca="false">IF($C97="","",MAX(1,IFERROR(INDEX(商品マスタ!$I$6:$I$1005,MATCH($C97,商品マスタ!$B$6:$B$1005,0)),1)))</f>
        <v>2</v>
      </c>
      <c r="K97" s="69" t="n">
        <f aca="false">IF($C97="","",SUMIFS(①今日の在庫を貼る!$N$6:$N$10005,①今日の在庫を貼る!$B$6:$B$10005,'設定（最初に1回）'!$C$4,①今日の在庫を貼る!$I$6:$I$10005,$C97))</f>
        <v>27135</v>
      </c>
      <c r="L97" s="69" t="n">
        <f aca="false">IF($C97="","",SUMIFS(月1回_前回の在庫を貼る!$N$6:$N$10005,月1回_前回の在庫を貼る!$B$6:$B$10005,'設定（最初に1回）'!$C$4,月1回_前回の在庫を貼る!$I$6:$I$10005,$C97))</f>
        <v>61048</v>
      </c>
      <c r="M97" s="69" t="n">
        <f aca="false">IF($C97="","",IF(OR('設定（最初に1回）'!$C$6="",'設定（最初に1回）'!$C$7=""),0,SUMIFS(発注管理!$S$6:$S$1005,発注管理!$C$6:$C$1005,'設定（最初に1回）'!$C$4,発注管理!$F$6:$F$1005,$C97,発注管理!$R$6:$R$1005,"&gt;="&amp;'設定（最初に1回）'!$C$7,発注管理!$R$6:$R$1005,"&lt;="&amp;'設定（最初に1回）'!$C$6)))</f>
        <v>0</v>
      </c>
      <c r="N97" s="69" t="n">
        <f aca="false">IF(OR($C97="",'設定（最初に1回）'!$C$15=0),"",$L97+$M97-$K97)</f>
        <v>33913</v>
      </c>
      <c r="O97" s="143" t="n">
        <f aca="false">IF(OR($N97="",'設定（最初に1回）'!$C$8="",'設定（最初に1回）'!$C$8&lt;=0),"",MAX(0,$N97)/'設定（最初に1回）'!$C$8)</f>
        <v>555.950819672131</v>
      </c>
      <c r="P97" s="143" t="n">
        <f aca="false">IF($C97="","",IFERROR(INDEX(商品マスタ!$M$6:$N$1005,MATCH($C97,商品マスタ!$B$6:$B$1005,0),MATCH("PI値 "&amp;'設定（最初に1回）'!$C$11,商品マスタ!$M$5:$N$5,0)),""))</f>
        <v>12.5</v>
      </c>
      <c r="Q97" s="143" t="n">
        <f aca="false">IF(OR($C97="",$P97="",$P97=0,(N($I97)+N($AG97))&lt;=0),"",IFERROR(SUMIFS(随時_動員を入れる!$G$8:$G$97,随時_動員を入れる!$B$8:$B$97,"&gt;="&amp;'設定（最初に1回）'!$C$6,随時_動員を入れる!$B$8:$B$97,"&lt;="&amp;'設定（最初に1回）'!$C$6+(N($I97)+N($AG97))-1)/(N($I97)+N($AG97)),0)*$P97/100)</f>
        <v>475.775</v>
      </c>
      <c r="R97" s="69" t="n">
        <f aca="false">IF($C97="","",SUMIFS(①今日の在庫を貼る!$O$6:$O$10005,①今日の在庫を貼る!$B$6:$B$10005,'設定（最初に1回）'!$C$4,①今日の在庫を貼る!$I$6:$I$10005,$C97))</f>
        <v>0</v>
      </c>
      <c r="S97" s="143" t="n">
        <f aca="false">IF($C97="","",IF('設定（最初に1回）'!$C$9="実績消費",N($O97),IF('設定（最初に1回）'!$C$9="PI値予測",N($Q97),MAX(N($O97),N($Q97)))))</f>
        <v>555.950819672131</v>
      </c>
      <c r="T97" s="67" t="n">
        <f aca="false">IF(OR($S97="",$S97&lt;=0),"",$K97/$S97)</f>
        <v>48.8082741131719</v>
      </c>
      <c r="U97" s="69" t="n">
        <f aca="false">IF($S97="","",ROUNDUP(N($S97)*'設定（最初に1回）'!$C$12,0))</f>
        <v>2224</v>
      </c>
      <c r="V97" s="69" t="n">
        <f aca="false">IF($C97="","",ROUNDUP(N($S97)*(N($I97)+N($AG97))+N($U97),0))</f>
        <v>7784</v>
      </c>
      <c r="W97" s="69" t="n">
        <f aca="false">IF($C97="","",SUMIFS(発注管理!$L$6:$L$1005,発注管理!$C$6:$C$1005,'設定（最初に1回）'!$C$4,発注管理!$F$6:$F$1005,$C97,発注管理!$Q$6:$Q$1005,"発注済"))</f>
        <v>0</v>
      </c>
      <c r="X97" s="69" t="n">
        <f aca="false">IF($C97="","",MAX(0,N($V97)-N($K97)-N($W97)))</f>
        <v>0</v>
      </c>
      <c r="Y97" s="147" t="n">
        <f aca="false">IF($C97="","",IF(N($X97)&lt;=0,0,CEILING($X97/MAX(1,N($G97)),MAX(1,N($J97)))))</f>
        <v>0</v>
      </c>
      <c r="Z97" s="138" t="str">
        <f aca="false">IF($C97="","",IF(N($Y97)&gt;0,"要発注","正常"))</f>
        <v>正常</v>
      </c>
      <c r="AA97" s="71" t="n">
        <f aca="false">IF($C97="","",N($K97)*N($H97))</f>
        <v>146257.65</v>
      </c>
      <c r="AB97" s="66" t="str">
        <f aca="false">IF($C97="","",_xlfn.TEXTJOIN(" / ",TRUE(),IF(COUNTIF(商品マスタ!$B$6:$B$1005,$C97)=0,"マスタ未登録",""),IF(COUNTIFS(月1回_前回の在庫を貼る!$B$6:$B$10005,'設定（最初に1回）'!$C$4,月1回_前回の在庫を貼る!$I$6:$I$10005,$C97)=0,"新商品",""),IF(COUNTIFS(①今日の在庫を貼る!$B$6:$B$10005,'設定（最初に1回）'!$C$4,①今日の在庫を貼る!$I$6:$I$10005,$C97)=0,"終売候補",""),IF(N($K97)&lt;0,"在庫マイナス",""),IF(AND('設定（最初に1回）'!$C$9="PI値予測",$P97=""),"PI値未設定","")))</f>
        <v/>
      </c>
      <c r="AC97" s="71" t="n">
        <f aca="false">N($Y97)*N($H97)</f>
        <v>0</v>
      </c>
      <c r="AD97" s="66" t="str">
        <f aca="false">IF($C97="","",IFERROR(INDEX(商品マスタ!$K$6:$K$1005,MATCH($C97,商品マスタ!$B$6:$B$1005,0)),"常温"))</f>
        <v>常温</v>
      </c>
      <c r="AE97" s="69" t="n">
        <f aca="false">IF($C97="","",MAX(0,ROUNDUP(N($K97)/MAX(1,N($G97)),0)))</f>
        <v>6</v>
      </c>
      <c r="AF97" s="66" t="str">
        <f aca="false">IF($C97="","",IFERROR(INDEX(商品マスタ!$L$6:$L$1005,MATCH($C97,商品マスタ!$B$6:$B$1005,0)),""))</f>
        <v>常温包材</v>
      </c>
      <c r="AG97" s="143" t="n">
        <f aca="false">IF($C97="","",IFERROR(INDEX(定数マスタ!$S$110:$S$119,MATCH($AF97,定数マスタ!$J$110:$J$119,0)),N('設定（最初に1回）'!$C$13)))</f>
        <v>7</v>
      </c>
      <c r="AH97" s="66" t="n">
        <f aca="false">IF(AND(N($K97)&gt;0,N($Y97)&gt;0),N($Y97),0)</f>
        <v>0</v>
      </c>
    </row>
    <row r="98" customFormat="false" ht="15" hidden="false" customHeight="false" outlineLevel="0" collapsed="false">
      <c r="B98" s="66" t="n">
        <v>93</v>
      </c>
      <c r="C98" s="66" t="str">
        <f aca="false">IFERROR(IF($B98&lt;=MAX(①今日の在庫を貼る!$U$6:$U$10005),INDEX(①今日の在庫を貼る!$I$6:$I$10005,MATCH($B98,①今日の在庫を貼る!$U$6:$U$10005,0)),INDEX(月1回_前回の在庫を貼る!$I$6:$I$10005,MATCH($B98-MAX(①今日の在庫を貼る!$U$6:$U$10005),月1回_前回の在庫を貼る!$U$6:$U$10005,0))),"")</f>
        <v>1812000011936</v>
      </c>
      <c r="D98" s="66" t="str">
        <f aca="false">IF($C98="","",IFERROR(INDEX(商品マスタ!$C$6:$C$1005,MATCH($C98,商品マスタ!$B$6:$B$1005,0)),IFERROR(INDEX(①今日の在庫を貼る!$J$6:$J$10005,MATCH($C98,①今日の在庫を貼る!$I$6:$I$10005,0)),IFERROR(INDEX(月1回_前回の在庫を貼る!$J$6:$J$10005,MATCH($C98,月1回_前回の在庫を貼る!$I$6:$I$10005,0)),""))))</f>
        <v>新パーティーポップ袋</v>
      </c>
      <c r="E98" s="66" t="str">
        <f aca="false">IF($C98="","",IFERROR(INDEX(商品マスタ!$D$6:$D$1005,MATCH($C98,商品マスタ!$B$6:$B$1005,0)),IFERROR(INDEX(①今日の在庫を貼る!$H$6:$H$10005,MATCH($C98,①今日の在庫を貼る!$I$6:$I$10005,0)),IFERROR(INDEX(月1回_前回の在庫を貼る!$H$6:$H$10005,MATCH($C98,月1回_前回の在庫を貼る!$I$6:$I$10005,0)),""))))</f>
        <v>コンセ包材</v>
      </c>
      <c r="F98" s="66" t="str">
        <f aca="false">IF($C98="","",IFERROR(INDEX(商品マスタ!$E$6:$E$1005,MATCH($C98,商品マスタ!$B$6:$B$1005,0)),IFERROR(INDEX(①今日の在庫を貼る!$E$6:$E$10005,MATCH($C98,①今日の在庫を貼る!$I$6:$I$10005,0)),IFERROR(INDEX(月1回_前回の在庫を貼る!$E$6:$E$10005,MATCH($C98,月1回_前回の在庫を貼る!$I$6:$I$10005,0)),""))))</f>
        <v>オザックス株式会社</v>
      </c>
      <c r="G98" s="69" t="n">
        <f aca="false">IF($C98="","",IFERROR(INDEX(商品マスタ!$F$6:$F$1005,MATCH($C98,商品マスタ!$B$6:$B$1005,0)),IFERROR(INDEX(①今日の在庫を貼る!$K$6:$K$10005,MATCH($C98,①今日の在庫を貼る!$I$6:$I$10005,0)),IFERROR(INDEX(月1回_前回の在庫を貼る!$K$6:$K$10005,MATCH($C98,月1回_前回の在庫を貼る!$I$6:$I$10005,0)),""))))</f>
        <v>400</v>
      </c>
      <c r="H98" s="71" t="n">
        <f aca="false">IF($C98="","",IFERROR(INDEX(商品マスタ!$G$6:$G$1005,MATCH($C98,商品マスタ!$B$6:$B$1005,0)),IFERROR(INDEX(①今日の在庫を貼る!$Q$6:$Q$10005,MATCH($C98,①今日の在庫を貼る!$I$6:$I$10005,0)),IFERROR(INDEX(月1回_前回の在庫を貼る!$Q$6:$Q$10005,MATCH($C98,月1回_前回の在庫を貼る!$I$6:$I$10005,0)),""))))</f>
        <v>52.02</v>
      </c>
      <c r="I98" s="66" t="n">
        <f aca="false">IF($C98="","",IFERROR(INDEX(商品マスタ!$H$6:$H$1005,MATCH($C98,商品マスタ!$B$6:$B$1005,0)),3))</f>
        <v>3</v>
      </c>
      <c r="J98" s="66" t="n">
        <f aca="false">IF($C98="","",MAX(1,IFERROR(INDEX(商品マスタ!$I$6:$I$1005,MATCH($C98,商品マスタ!$B$6:$B$1005,0)),1)))</f>
        <v>5</v>
      </c>
      <c r="K98" s="69" t="n">
        <f aca="false">IF($C98="","",SUMIFS(①今日の在庫を貼る!$N$6:$N$10005,①今日の在庫を貼る!$B$6:$B$10005,'設定（最初に1回）'!$C$4,①今日の在庫を貼る!$I$6:$I$10005,$C98))</f>
        <v>313</v>
      </c>
      <c r="L98" s="69" t="n">
        <f aca="false">IF($C98="","",SUMIFS(月1回_前回の在庫を貼る!$N$6:$N$10005,月1回_前回の在庫を貼る!$B$6:$B$10005,'設定（最初に1回）'!$C$4,月1回_前回の在庫を貼る!$I$6:$I$10005,$C98))</f>
        <v>9537</v>
      </c>
      <c r="M98" s="69" t="n">
        <f aca="false">IF($C98="","",IF(OR('設定（最初に1回）'!$C$6="",'設定（最初に1回）'!$C$7=""),0,SUMIFS(発注管理!$S$6:$S$1005,発注管理!$C$6:$C$1005,'設定（最初に1回）'!$C$4,発注管理!$F$6:$F$1005,$C98,発注管理!$R$6:$R$1005,"&gt;="&amp;'設定（最初に1回）'!$C$7,発注管理!$R$6:$R$1005,"&lt;="&amp;'設定（最初に1回）'!$C$6)))</f>
        <v>0</v>
      </c>
      <c r="N98" s="69" t="n">
        <f aca="false">IF(OR($C98="",'設定（最初に1回）'!$C$15=0),"",$L98+$M98-$K98)</f>
        <v>9224</v>
      </c>
      <c r="O98" s="143" t="n">
        <f aca="false">IF(OR($N98="",'設定（最初に1回）'!$C$8="",'設定（最初に1回）'!$C$8&lt;=0),"",MAX(0,$N98)/'設定（最初に1回）'!$C$8)</f>
        <v>151.213114754098</v>
      </c>
      <c r="P98" s="143" t="n">
        <f aca="false">IF($C98="","",IFERROR(INDEX(商品マスタ!$M$6:$N$1005,MATCH($C98,商品マスタ!$B$6:$B$1005,0),MATCH("PI値 "&amp;'設定（最初に1回）'!$C$11,商品マスタ!$M$5:$N$5,0)),""))</f>
        <v>13.4</v>
      </c>
      <c r="Q98" s="143" t="n">
        <f aca="false">IF(OR($C98="",$P98="",$P98=0,(N($I98)+N($AG98))&lt;=0),"",IFERROR(SUMIFS(随時_動員を入れる!$G$8:$G$97,随時_動員を入れる!$B$8:$B$97,"&gt;="&amp;'設定（最初に1回）'!$C$6,随時_動員を入れる!$B$8:$B$97,"&lt;="&amp;'設定（最初に1回）'!$C$6+(N($I98)+N($AG98))-1)/(N($I98)+N($AG98)),0)*$P98/100)</f>
        <v>510.0308</v>
      </c>
      <c r="R98" s="69" t="n">
        <f aca="false">IF($C98="","",SUMIFS(①今日の在庫を貼る!$O$6:$O$10005,①今日の在庫を貼る!$B$6:$B$10005,'設定（最初に1回）'!$C$4,①今日の在庫を貼る!$I$6:$I$10005,$C98))</f>
        <v>0</v>
      </c>
      <c r="S98" s="143" t="n">
        <f aca="false">IF($C98="","",IF('設定（最初に1回）'!$C$9="実績消費",N($O98),IF('設定（最初に1回）'!$C$9="PI値予測",N($Q98),MAX(N($O98),N($Q98)))))</f>
        <v>151.213114754098</v>
      </c>
      <c r="T98" s="67" t="n">
        <f aca="false">IF(OR($S98="",$S98&lt;=0),"",$K98/$S98)</f>
        <v>2.06992627927147</v>
      </c>
      <c r="U98" s="69" t="n">
        <f aca="false">IF($S98="","",ROUNDUP(N($S98)*'設定（最初に1回）'!$C$12,0))</f>
        <v>605</v>
      </c>
      <c r="V98" s="69" t="n">
        <f aca="false">IF($C98="","",ROUNDUP(N($S98)*(N($I98)+N($AG98))+N($U98),0))</f>
        <v>2118</v>
      </c>
      <c r="W98" s="69" t="n">
        <f aca="false">IF($C98="","",SUMIFS(発注管理!$L$6:$L$1005,発注管理!$C$6:$C$1005,'設定（最初に1回）'!$C$4,発注管理!$F$6:$F$1005,$C98,発注管理!$Q$6:$Q$1005,"発注済"))</f>
        <v>0</v>
      </c>
      <c r="X98" s="69" t="n">
        <f aca="false">IF($C98="","",MAX(0,N($V98)-N($K98)-N($W98)))</f>
        <v>1805</v>
      </c>
      <c r="Y98" s="147" t="n">
        <f aca="false">IF($C98="","",IF(N($X98)&lt;=0,0,CEILING($X98/MAX(1,N($G98)),MAX(1,N($J98)))))</f>
        <v>5</v>
      </c>
      <c r="Z98" s="138" t="str">
        <f aca="false">IF($C98="","",IF(N($Y98)&gt;0,"要発注","正常"))</f>
        <v>要発注</v>
      </c>
      <c r="AA98" s="71" t="n">
        <f aca="false">IF($C98="","",N($K98)*N($H98))</f>
        <v>16282.26</v>
      </c>
      <c r="AB98" s="66" t="str">
        <f aca="false">IF($C98="","",_xlfn.TEXTJOIN(" / ",TRUE(),IF(COUNTIF(商品マスタ!$B$6:$B$1005,$C98)=0,"マスタ未登録",""),IF(COUNTIFS(月1回_前回の在庫を貼る!$B$6:$B$10005,'設定（最初に1回）'!$C$4,月1回_前回の在庫を貼る!$I$6:$I$10005,$C98)=0,"新商品",""),IF(COUNTIFS(①今日の在庫を貼る!$B$6:$B$10005,'設定（最初に1回）'!$C$4,①今日の在庫を貼る!$I$6:$I$10005,$C98)=0,"終売候補",""),IF(N($K98)&lt;0,"在庫マイナス",""),IF(AND('設定（最初に1回）'!$C$9="PI値予測",$P98=""),"PI値未設定","")))</f>
        <v/>
      </c>
      <c r="AC98" s="71" t="n">
        <f aca="false">N($Y98)*N($H98)</f>
        <v>260.1</v>
      </c>
      <c r="AD98" s="66" t="str">
        <f aca="false">IF($C98="","",IFERROR(INDEX(商品マスタ!$K$6:$K$1005,MATCH($C98,商品マスタ!$B$6:$B$1005,0)),"常温"))</f>
        <v>常温</v>
      </c>
      <c r="AE98" s="69" t="n">
        <f aca="false">IF($C98="","",MAX(0,ROUNDUP(N($K98)/MAX(1,N($G98)),0)))</f>
        <v>1</v>
      </c>
      <c r="AF98" s="66" t="str">
        <f aca="false">IF($C98="","",IFERROR(INDEX(商品マスタ!$L$6:$L$1005,MATCH($C98,商品マスタ!$B$6:$B$1005,0)),""))</f>
        <v>常温包材</v>
      </c>
      <c r="AG98" s="143" t="n">
        <f aca="false">IF($C98="","",IFERROR(INDEX(定数マスタ!$S$110:$S$119,MATCH($AF98,定数マスタ!$J$110:$J$119,0)),N('設定（最初に1回）'!$C$13)))</f>
        <v>7</v>
      </c>
      <c r="AH98" s="66" t="n">
        <f aca="false">IF(AND(N($K98)&gt;0,N($Y98)&gt;0),N($Y98),0)</f>
        <v>5</v>
      </c>
    </row>
    <row r="99" customFormat="false" ht="15" hidden="false" customHeight="false" outlineLevel="0" collapsed="false">
      <c r="B99" s="66" t="n">
        <v>94</v>
      </c>
      <c r="C99" s="66" t="str">
        <f aca="false">IFERROR(IF($B99&lt;=MAX(①今日の在庫を貼る!$U$6:$U$10005),INDEX(①今日の在庫を貼る!$I$6:$I$10005,MATCH($B99,①今日の在庫を貼る!$U$6:$U$10005,0)),INDEX(月1回_前回の在庫を貼る!$I$6:$I$10005,MATCH($B99-MAX(①今日の在庫を貼る!$U$6:$U$10005),月1回_前回の在庫を貼る!$U$6:$U$10005,0))),"")</f>
        <v>1812000012438</v>
      </c>
      <c r="D99" s="66" t="str">
        <f aca="false">IF($C99="","",IFERROR(INDEX(商品マスタ!$C$6:$C$1005,MATCH($C99,商品マスタ!$B$6:$B$1005,0)),IFERROR(INDEX(①今日の在庫を貼る!$J$6:$J$10005,MATCH($C99,①今日の在庫を貼る!$I$6:$I$10005,0)),IFERROR(INDEX(月1回_前回の在庫を貼る!$J$6:$J$10005,MATCH($C99,月1回_前回の在庫を貼る!$I$6:$I$10005,0)),""))))</f>
        <v>パーティーポップＷ　袋</v>
      </c>
      <c r="E99" s="66" t="str">
        <f aca="false">IF($C99="","",IFERROR(INDEX(商品マスタ!$D$6:$D$1005,MATCH($C99,商品マスタ!$B$6:$B$1005,0)),IFERROR(INDEX(①今日の在庫を貼る!$H$6:$H$10005,MATCH($C99,①今日の在庫を貼る!$I$6:$I$10005,0)),IFERROR(INDEX(月1回_前回の在庫を貼る!$H$6:$H$10005,MATCH($C99,月1回_前回の在庫を貼る!$I$6:$I$10005,0)),""))))</f>
        <v>コンセ包材</v>
      </c>
      <c r="F99" s="66" t="str">
        <f aca="false">IF($C99="","",IFERROR(INDEX(商品マスタ!$E$6:$E$1005,MATCH($C99,商品マスタ!$B$6:$B$1005,0)),IFERROR(INDEX(①今日の在庫を貼る!$E$6:$E$10005,MATCH($C99,①今日の在庫を貼る!$I$6:$I$10005,0)),IFERROR(INDEX(月1回_前回の在庫を貼る!$E$6:$E$10005,MATCH($C99,月1回_前回の在庫を貼る!$I$6:$I$10005,0)),""))))</f>
        <v>オザックス株式会社</v>
      </c>
      <c r="G99" s="69" t="n">
        <f aca="false">IF($C99="","",IFERROR(INDEX(商品マスタ!$F$6:$F$1005,MATCH($C99,商品マスタ!$B$6:$B$1005,0)),IFERROR(INDEX(①今日の在庫を貼る!$K$6:$K$10005,MATCH($C99,①今日の在庫を貼る!$I$6:$I$10005,0)),IFERROR(INDEX(月1回_前回の在庫を貼る!$K$6:$K$10005,MATCH($C99,月1回_前回の在庫を貼る!$I$6:$I$10005,0)),""))))</f>
        <v>300</v>
      </c>
      <c r="H99" s="71" t="n">
        <f aca="false">IF($C99="","",IFERROR(INDEX(商品マスタ!$G$6:$G$1005,MATCH($C99,商品マスタ!$B$6:$B$1005,0)),IFERROR(INDEX(①今日の在庫を貼る!$Q$6:$Q$10005,MATCH($C99,①今日の在庫を貼る!$I$6:$I$10005,0)),IFERROR(INDEX(月1回_前回の在庫を貼る!$Q$6:$Q$10005,MATCH($C99,月1回_前回の在庫を貼る!$I$6:$I$10005,0)),""))))</f>
        <v>82.02</v>
      </c>
      <c r="I99" s="66" t="n">
        <f aca="false">IF($C99="","",IFERROR(INDEX(商品マスタ!$H$6:$H$1005,MATCH($C99,商品マスタ!$B$6:$B$1005,0)),3))</f>
        <v>2</v>
      </c>
      <c r="J99" s="66" t="n">
        <f aca="false">IF($C99="","",MAX(1,IFERROR(INDEX(商品マスタ!$I$6:$I$1005,MATCH($C99,商品マスタ!$B$6:$B$1005,0)),1)))</f>
        <v>1</v>
      </c>
      <c r="K99" s="69" t="n">
        <f aca="false">IF($C99="","",SUMIFS(①今日の在庫を貼る!$N$6:$N$10005,①今日の在庫を貼る!$B$6:$B$10005,'設定（最初に1回）'!$C$4,①今日の在庫を貼る!$I$6:$I$10005,$C99))</f>
        <v>426</v>
      </c>
      <c r="L99" s="69" t="n">
        <f aca="false">IF($C99="","",SUMIFS(月1回_前回の在庫を貼る!$N$6:$N$10005,月1回_前回の在庫を貼る!$B$6:$B$10005,'設定（最初に1回）'!$C$4,月1回_前回の在庫を貼る!$I$6:$I$10005,$C99))</f>
        <v>3949</v>
      </c>
      <c r="M99" s="69" t="n">
        <f aca="false">IF($C99="","",IF(OR('設定（最初に1回）'!$C$6="",'設定（最初に1回）'!$C$7=""),0,SUMIFS(発注管理!$S$6:$S$1005,発注管理!$C$6:$C$1005,'設定（最初に1回）'!$C$4,発注管理!$F$6:$F$1005,$C99,発注管理!$R$6:$R$1005,"&gt;="&amp;'設定（最初に1回）'!$C$7,発注管理!$R$6:$R$1005,"&lt;="&amp;'設定（最初に1回）'!$C$6)))</f>
        <v>0</v>
      </c>
      <c r="N99" s="69" t="n">
        <f aca="false">IF(OR($C99="",'設定（最初に1回）'!$C$15=0),"",$L99+$M99-$K99)</f>
        <v>3523</v>
      </c>
      <c r="O99" s="143" t="n">
        <f aca="false">IF(OR($N99="",'設定（最初に1回）'!$C$8="",'設定（最初に1回）'!$C$8&lt;=0),"",MAX(0,$N99)/'設定（最初に1回）'!$C$8)</f>
        <v>57.7540983606557</v>
      </c>
      <c r="P99" s="143" t="n">
        <f aca="false">IF($C99="","",IFERROR(INDEX(商品マスタ!$M$6:$N$1005,MATCH($C99,商品マスタ!$B$6:$B$1005,0),MATCH("PI値 "&amp;'設定（最初に1回）'!$C$11,商品マスタ!$M$5:$N$5,0)),""))</f>
        <v>9.8</v>
      </c>
      <c r="Q99" s="143" t="n">
        <f aca="false">IF(OR($C99="",$P99="",$P99=0,(N($I99)+N($AG99))&lt;=0),"",IFERROR(SUMIFS(随時_動員を入れる!$G$8:$G$97,随時_動員を入れる!$B$8:$B$97,"&gt;="&amp;'設定（最初に1回）'!$C$6,随時_動員を入れる!$B$8:$B$97,"&lt;="&amp;'設定（最初に1回）'!$C$6+(N($I99)+N($AG99))-1)/(N($I99)+N($AG99)),0)*$P99/100)</f>
        <v>376.439777777778</v>
      </c>
      <c r="R99" s="69" t="n">
        <f aca="false">IF($C99="","",SUMIFS(①今日の在庫を貼る!$O$6:$O$10005,①今日の在庫を貼る!$B$6:$B$10005,'設定（最初に1回）'!$C$4,①今日の在庫を貼る!$I$6:$I$10005,$C99))</f>
        <v>0</v>
      </c>
      <c r="S99" s="143" t="n">
        <f aca="false">IF($C99="","",IF('設定（最初に1回）'!$C$9="実績消費",N($O99),IF('設定（最初に1回）'!$C$9="PI値予測",N($Q99),MAX(N($O99),N($Q99)))))</f>
        <v>57.7540983606557</v>
      </c>
      <c r="T99" s="67" t="n">
        <f aca="false">IF(OR($S99="",$S99&lt;=0),"",$K99/$S99)</f>
        <v>7.3760999148453</v>
      </c>
      <c r="U99" s="69" t="n">
        <f aca="false">IF($S99="","",ROUNDUP(N($S99)*'設定（最初に1回）'!$C$12,0))</f>
        <v>232</v>
      </c>
      <c r="V99" s="69" t="n">
        <f aca="false">IF($C99="","",ROUNDUP(N($S99)*(N($I99)+N($AG99))+N($U99),0))</f>
        <v>752</v>
      </c>
      <c r="W99" s="69" t="n">
        <f aca="false">IF($C99="","",SUMIFS(発注管理!$L$6:$L$1005,発注管理!$C$6:$C$1005,'設定（最初に1回）'!$C$4,発注管理!$F$6:$F$1005,$C99,発注管理!$Q$6:$Q$1005,"発注済"))</f>
        <v>0</v>
      </c>
      <c r="X99" s="69" t="n">
        <f aca="false">IF($C99="","",MAX(0,N($V99)-N($K99)-N($W99)))</f>
        <v>326</v>
      </c>
      <c r="Y99" s="147" t="n">
        <f aca="false">IF($C99="","",IF(N($X99)&lt;=0,0,CEILING($X99/MAX(1,N($G99)),MAX(1,N($J99)))))</f>
        <v>2</v>
      </c>
      <c r="Z99" s="138" t="str">
        <f aca="false">IF($C99="","",IF(N($Y99)&gt;0,"要発注","正常"))</f>
        <v>要発注</v>
      </c>
      <c r="AA99" s="71" t="n">
        <f aca="false">IF($C99="","",N($K99)*N($H99))</f>
        <v>34940.52</v>
      </c>
      <c r="AB99" s="66" t="str">
        <f aca="false">IF($C99="","",_xlfn.TEXTJOIN(" / ",TRUE(),IF(COUNTIF(商品マスタ!$B$6:$B$1005,$C99)=0,"マスタ未登録",""),IF(COUNTIFS(月1回_前回の在庫を貼る!$B$6:$B$10005,'設定（最初に1回）'!$C$4,月1回_前回の在庫を貼る!$I$6:$I$10005,$C99)=0,"新商品",""),IF(COUNTIFS(①今日の在庫を貼る!$B$6:$B$10005,'設定（最初に1回）'!$C$4,①今日の在庫を貼る!$I$6:$I$10005,$C99)=0,"終売候補",""),IF(N($K99)&lt;0,"在庫マイナス",""),IF(AND('設定（最初に1回）'!$C$9="PI値予測",$P99=""),"PI値未設定","")))</f>
        <v/>
      </c>
      <c r="AC99" s="71" t="n">
        <f aca="false">N($Y99)*N($H99)</f>
        <v>164.04</v>
      </c>
      <c r="AD99" s="66" t="str">
        <f aca="false">IF($C99="","",IFERROR(INDEX(商品マスタ!$K$6:$K$1005,MATCH($C99,商品マスタ!$B$6:$B$1005,0)),"常温"))</f>
        <v>常温</v>
      </c>
      <c r="AE99" s="69" t="n">
        <f aca="false">IF($C99="","",MAX(0,ROUNDUP(N($K99)/MAX(1,N($G99)),0)))</f>
        <v>2</v>
      </c>
      <c r="AF99" s="66" t="str">
        <f aca="false">IF($C99="","",IFERROR(INDEX(商品マスタ!$L$6:$L$1005,MATCH($C99,商品マスタ!$B$6:$B$1005,0)),""))</f>
        <v>常温包材</v>
      </c>
      <c r="AG99" s="143" t="n">
        <f aca="false">IF($C99="","",IFERROR(INDEX(定数マスタ!$S$110:$S$119,MATCH($AF99,定数マスタ!$J$110:$J$119,0)),N('設定（最初に1回）'!$C$13)))</f>
        <v>7</v>
      </c>
      <c r="AH99" s="66" t="n">
        <f aca="false">IF(AND(N($K99)&gt;0,N($Y99)&gt;0),N($Y99),0)</f>
        <v>2</v>
      </c>
    </row>
    <row r="100" customFormat="false" ht="15" hidden="false" customHeight="false" outlineLevel="0" collapsed="false">
      <c r="B100" s="66" t="n">
        <v>95</v>
      </c>
      <c r="C100" s="66" t="str">
        <f aca="false">IFERROR(IF($B100&lt;=MAX(①今日の在庫を貼る!$U$6:$U$10005),INDEX(①今日の在庫を貼る!$I$6:$I$10005,MATCH($B100,①今日の在庫を貼る!$U$6:$U$10005,0)),INDEX(月1回_前回の在庫を貼る!$I$6:$I$10005,MATCH($B100-MAX(①今日の在庫を貼る!$U$6:$U$10005),月1回_前回の在庫を貼る!$U$6:$U$10005,0))),"")</f>
        <v>1812000012445</v>
      </c>
      <c r="D100" s="66" t="str">
        <f aca="false">IF($C100="","",IFERROR(INDEX(商品マスタ!$C$6:$C$1005,MATCH($C100,商品マスタ!$B$6:$B$1005,0)),IFERROR(INDEX(①今日の在庫を貼る!$J$6:$J$10005,MATCH($C100,①今日の在庫を貼る!$I$6:$I$10005,0)),IFERROR(INDEX(月1回_前回の在庫を貼る!$J$6:$J$10005,MATCH($C100,月1回_前回の在庫を貼る!$I$6:$I$10005,0)),""))))</f>
        <v>パーティーポップＷ　オイル容器</v>
      </c>
      <c r="E100" s="66" t="str">
        <f aca="false">IF($C100="","",IFERROR(INDEX(商品マスタ!$D$6:$D$1005,MATCH($C100,商品マスタ!$B$6:$B$1005,0)),IFERROR(INDEX(①今日の在庫を貼る!$H$6:$H$10005,MATCH($C100,①今日の在庫を貼る!$I$6:$I$10005,0)),IFERROR(INDEX(月1回_前回の在庫を貼る!$H$6:$H$10005,MATCH($C100,月1回_前回の在庫を貼る!$I$6:$I$10005,0)),""))))</f>
        <v>コンセ包材</v>
      </c>
      <c r="F100" s="66" t="str">
        <f aca="false">IF($C100="","",IFERROR(INDEX(商品マスタ!$E$6:$E$1005,MATCH($C100,商品マスタ!$B$6:$B$1005,0)),IFERROR(INDEX(①今日の在庫を貼る!$E$6:$E$10005,MATCH($C100,①今日の在庫を貼る!$I$6:$I$10005,0)),IFERROR(INDEX(月1回_前回の在庫を貼る!$E$6:$E$10005,MATCH($C100,月1回_前回の在庫を貼る!$I$6:$I$10005,0)),""))))</f>
        <v>オザックス株式会社</v>
      </c>
      <c r="G100" s="69" t="n">
        <f aca="false">IF($C100="","",IFERROR(INDEX(商品マスタ!$F$6:$F$1005,MATCH($C100,商品マスタ!$B$6:$B$1005,0)),IFERROR(INDEX(①今日の在庫を貼る!$K$6:$K$10005,MATCH($C100,①今日の在庫を貼る!$I$6:$I$10005,0)),IFERROR(INDEX(月1回_前回の在庫を貼る!$K$6:$K$10005,MATCH($C100,月1回_前回の在庫を貼る!$I$6:$I$10005,0)),""))))</f>
        <v>50</v>
      </c>
      <c r="H100" s="71" t="n">
        <f aca="false">IF($C100="","",IFERROR(INDEX(商品マスタ!$G$6:$G$1005,MATCH($C100,商品マスタ!$B$6:$B$1005,0)),IFERROR(INDEX(①今日の在庫を貼る!$Q$6:$Q$10005,MATCH($C100,①今日の在庫を貼る!$I$6:$I$10005,0)),IFERROR(INDEX(月1回_前回の在庫を貼る!$Q$6:$Q$10005,MATCH($C100,月1回_前回の在庫を貼る!$I$6:$I$10005,0)),""))))</f>
        <v>14.5</v>
      </c>
      <c r="I100" s="66" t="n">
        <f aca="false">IF($C100="","",IFERROR(INDEX(商品マスタ!$H$6:$H$1005,MATCH($C100,商品マスタ!$B$6:$B$1005,0)),3))</f>
        <v>3</v>
      </c>
      <c r="J100" s="66" t="n">
        <f aca="false">IF($C100="","",MAX(1,IFERROR(INDEX(商品マスタ!$I$6:$I$1005,MATCH($C100,商品マスタ!$B$6:$B$1005,0)),1)))</f>
        <v>1</v>
      </c>
      <c r="K100" s="69" t="n">
        <f aca="false">IF($C100="","",SUMIFS(①今日の在庫を貼る!$N$6:$N$10005,①今日の在庫を貼る!$B$6:$B$10005,'設定（最初に1回）'!$C$4,①今日の在庫を貼る!$I$6:$I$10005,$C100))</f>
        <v>2613</v>
      </c>
      <c r="L100" s="69" t="n">
        <f aca="false">IF($C100="","",SUMIFS(月1回_前回の在庫を貼る!$N$6:$N$10005,月1回_前回の在庫を貼る!$B$6:$B$10005,'設定（最初に1回）'!$C$4,月1回_前回の在庫を貼る!$I$6:$I$10005,$C100))</f>
        <v>5546</v>
      </c>
      <c r="M100" s="69" t="n">
        <f aca="false">IF($C100="","",IF(OR('設定（最初に1回）'!$C$6="",'設定（最初に1回）'!$C$7=""),0,SUMIFS(発注管理!$S$6:$S$1005,発注管理!$C$6:$C$1005,'設定（最初に1回）'!$C$4,発注管理!$F$6:$F$1005,$C100,発注管理!$R$6:$R$1005,"&gt;="&amp;'設定（最初に1回）'!$C$7,発注管理!$R$6:$R$1005,"&lt;="&amp;'設定（最初に1回）'!$C$6)))</f>
        <v>0</v>
      </c>
      <c r="N100" s="69" t="n">
        <f aca="false">IF(OR($C100="",'設定（最初に1回）'!$C$15=0),"",$L100+$M100-$K100)</f>
        <v>2933</v>
      </c>
      <c r="O100" s="143" t="n">
        <f aca="false">IF(OR($N100="",'設定（最初に1回）'!$C$8="",'設定（最初に1回）'!$C$8&lt;=0),"",MAX(0,$N100)/'設定（最初に1回）'!$C$8)</f>
        <v>48.0819672131148</v>
      </c>
      <c r="P100" s="143" t="n">
        <f aca="false">IF($C100="","",IFERROR(INDEX(商品マスタ!$M$6:$N$1005,MATCH($C100,商品マスタ!$B$6:$B$1005,0),MATCH("PI値 "&amp;'設定（最初に1回）'!$C$11,商品マスタ!$M$5:$N$5,0)),""))</f>
        <v>9.3</v>
      </c>
      <c r="Q100" s="143" t="n">
        <f aca="false">IF(OR($C100="",$P100="",$P100=0,(N($I100)+N($AG100))&lt;=0),"",IFERROR(SUMIFS(随時_動員を入れる!$G$8:$G$97,随時_動員を入れる!$B$8:$B$97,"&gt;="&amp;'設定（最初に1回）'!$C$6,随時_動員を入れる!$B$8:$B$97,"&lt;="&amp;'設定（最初に1回）'!$C$6+(N($I100)+N($AG100))-1)/(N($I100)+N($AG100)),0)*$P100/100)</f>
        <v>353.9766</v>
      </c>
      <c r="R100" s="69" t="n">
        <f aca="false">IF($C100="","",SUMIFS(①今日の在庫を貼る!$O$6:$O$10005,①今日の在庫を貼る!$B$6:$B$10005,'設定（最初に1回）'!$C$4,①今日の在庫を貼る!$I$6:$I$10005,$C100))</f>
        <v>0</v>
      </c>
      <c r="S100" s="143" t="n">
        <f aca="false">IF($C100="","",IF('設定（最初に1回）'!$C$9="実績消費",N($O100),IF('設定（最初に1回）'!$C$9="PI値予測",N($Q100),MAX(N($O100),N($Q100)))))</f>
        <v>48.0819672131148</v>
      </c>
      <c r="T100" s="67" t="n">
        <f aca="false">IF(OR($S100="",$S100&lt;=0),"",$K100/$S100)</f>
        <v>54.344698261166</v>
      </c>
      <c r="U100" s="69" t="n">
        <f aca="false">IF($S100="","",ROUNDUP(N($S100)*'設定（最初に1回）'!$C$12,0))</f>
        <v>193</v>
      </c>
      <c r="V100" s="69" t="n">
        <f aca="false">IF($C100="","",ROUNDUP(N($S100)*(N($I100)+N($AG100))+N($U100),0))</f>
        <v>674</v>
      </c>
      <c r="W100" s="69" t="n">
        <f aca="false">IF($C100="","",SUMIFS(発注管理!$L$6:$L$1005,発注管理!$C$6:$C$1005,'設定（最初に1回）'!$C$4,発注管理!$F$6:$F$1005,$C100,発注管理!$Q$6:$Q$1005,"発注済"))</f>
        <v>0</v>
      </c>
      <c r="X100" s="69" t="n">
        <f aca="false">IF($C100="","",MAX(0,N($V100)-N($K100)-N($W100)))</f>
        <v>0</v>
      </c>
      <c r="Y100" s="147" t="n">
        <f aca="false">IF($C100="","",IF(N($X100)&lt;=0,0,CEILING($X100/MAX(1,N($G100)),MAX(1,N($J100)))))</f>
        <v>0</v>
      </c>
      <c r="Z100" s="138" t="str">
        <f aca="false">IF($C100="","",IF(N($Y100)&gt;0,"要発注","正常"))</f>
        <v>正常</v>
      </c>
      <c r="AA100" s="71" t="n">
        <f aca="false">IF($C100="","",N($K100)*N($H100))</f>
        <v>37888.5</v>
      </c>
      <c r="AB100" s="66" t="str">
        <f aca="false">IF($C100="","",_xlfn.TEXTJOIN(" / ",TRUE(),IF(COUNTIF(商品マスタ!$B$6:$B$1005,$C100)=0,"マスタ未登録",""),IF(COUNTIFS(月1回_前回の在庫を貼る!$B$6:$B$10005,'設定（最初に1回）'!$C$4,月1回_前回の在庫を貼る!$I$6:$I$10005,$C100)=0,"新商品",""),IF(COUNTIFS(①今日の在庫を貼る!$B$6:$B$10005,'設定（最初に1回）'!$C$4,①今日の在庫を貼る!$I$6:$I$10005,$C100)=0,"終売候補",""),IF(N($K100)&lt;0,"在庫マイナス",""),IF(AND('設定（最初に1回）'!$C$9="PI値予測",$P100=""),"PI値未設定","")))</f>
        <v/>
      </c>
      <c r="AC100" s="71" t="n">
        <f aca="false">N($Y100)*N($H100)</f>
        <v>0</v>
      </c>
      <c r="AD100" s="66" t="str">
        <f aca="false">IF($C100="","",IFERROR(INDEX(商品マスタ!$K$6:$K$1005,MATCH($C100,商品マスタ!$B$6:$B$1005,0)),"常温"))</f>
        <v>常温</v>
      </c>
      <c r="AE100" s="69" t="n">
        <f aca="false">IF($C100="","",MAX(0,ROUNDUP(N($K100)/MAX(1,N($G100)),0)))</f>
        <v>53</v>
      </c>
      <c r="AF100" s="66" t="str">
        <f aca="false">IF($C100="","",IFERROR(INDEX(商品マスタ!$L$6:$L$1005,MATCH($C100,商品マスタ!$B$6:$B$1005,0)),""))</f>
        <v>常温包材</v>
      </c>
      <c r="AG100" s="143" t="n">
        <f aca="false">IF($C100="","",IFERROR(INDEX(定数マスタ!$S$110:$S$119,MATCH($AF100,定数マスタ!$J$110:$J$119,0)),N('設定（最初に1回）'!$C$13)))</f>
        <v>7</v>
      </c>
      <c r="AH100" s="66" t="n">
        <f aca="false">IF(AND(N($K100)&gt;0,N($Y100)&gt;0),N($Y100),0)</f>
        <v>0</v>
      </c>
    </row>
    <row r="101" customFormat="false" ht="15" hidden="false" customHeight="false" outlineLevel="0" collapsed="false">
      <c r="B101" s="66" t="n">
        <v>96</v>
      </c>
      <c r="C101" s="66" t="str">
        <f aca="false">IFERROR(IF($B101&lt;=MAX(①今日の在庫を貼る!$U$6:$U$10005),INDEX(①今日の在庫を貼る!$I$6:$I$10005,MATCH($B101,①今日の在庫を貼る!$U$6:$U$10005,0)),INDEX(月1回_前回の在庫を貼る!$I$6:$I$10005,MATCH($B101-MAX(①今日の在庫を貼る!$U$6:$U$10005),月1回_前回の在庫を貼る!$U$6:$U$10005,0))),"")</f>
        <v>1812000012667</v>
      </c>
      <c r="D101" s="66" t="str">
        <f aca="false">IF($C101="","",IFERROR(INDEX(商品マスタ!$C$6:$C$1005,MATCH($C101,商品マスタ!$B$6:$B$1005,0)),IFERROR(INDEX(①今日の在庫を貼る!$J$6:$J$10005,MATCH($C101,①今日の在庫を貼る!$I$6:$I$10005,0)),IFERROR(INDEX(月1回_前回の在庫を貼る!$J$6:$J$10005,MATCH($C101,月1回_前回の在庫を貼る!$I$6:$I$10005,0)),""))))</f>
        <v>プレゼント用ポップコーン袋</v>
      </c>
      <c r="E101" s="66" t="str">
        <f aca="false">IF($C101="","",IFERROR(INDEX(商品マスタ!$D$6:$D$1005,MATCH($C101,商品マスタ!$B$6:$B$1005,0)),IFERROR(INDEX(①今日の在庫を貼る!$H$6:$H$10005,MATCH($C101,①今日の在庫を貼る!$I$6:$I$10005,0)),IFERROR(INDEX(月1回_前回の在庫を貼る!$H$6:$H$10005,MATCH($C101,月1回_前回の在庫を貼る!$I$6:$I$10005,0)),""))))</f>
        <v>コンセ包材</v>
      </c>
      <c r="F101" s="66" t="str">
        <f aca="false">IF($C101="","",IFERROR(INDEX(商品マスタ!$E$6:$E$1005,MATCH($C101,商品マスタ!$B$6:$B$1005,0)),IFERROR(INDEX(①今日の在庫を貼る!$E$6:$E$10005,MATCH($C101,①今日の在庫を貼る!$I$6:$I$10005,0)),IFERROR(INDEX(月1回_前回の在庫を貼る!$E$6:$E$10005,MATCH($C101,月1回_前回の在庫を貼る!$I$6:$I$10005,0)),""))))</f>
        <v>オザックス株式会社</v>
      </c>
      <c r="G101" s="69" t="n">
        <f aca="false">IF($C101="","",IFERROR(INDEX(商品マスタ!$F$6:$F$1005,MATCH($C101,商品マスタ!$B$6:$B$1005,0)),IFERROR(INDEX(①今日の在庫を貼る!$K$6:$K$10005,MATCH($C101,①今日の在庫を貼る!$I$6:$I$10005,0)),IFERROR(INDEX(月1回_前回の在庫を貼る!$K$6:$K$10005,MATCH($C101,月1回_前回の在庫を貼る!$I$6:$I$10005,0)),""))))</f>
        <v>1000</v>
      </c>
      <c r="H101" s="71" t="n">
        <f aca="false">IF($C101="","",IFERROR(INDEX(商品マスタ!$G$6:$G$1005,MATCH($C101,商品マスタ!$B$6:$B$1005,0)),IFERROR(INDEX(①今日の在庫を貼る!$Q$6:$Q$10005,MATCH($C101,①今日の在庫を貼る!$I$6:$I$10005,0)),IFERROR(INDEX(月1回_前回の在庫を貼る!$Q$6:$Q$10005,MATCH($C101,月1回_前回の在庫を貼る!$I$6:$I$10005,0)),""))))</f>
        <v>24.49</v>
      </c>
      <c r="I101" s="66" t="n">
        <f aca="false">IF($C101="","",IFERROR(INDEX(商品マスタ!$H$6:$H$1005,MATCH($C101,商品マスタ!$B$6:$B$1005,0)),3))</f>
        <v>7</v>
      </c>
      <c r="J101" s="66" t="n">
        <f aca="false">IF($C101="","",MAX(1,IFERROR(INDEX(商品マスタ!$I$6:$I$1005,MATCH($C101,商品マスタ!$B$6:$B$1005,0)),1)))</f>
        <v>1</v>
      </c>
      <c r="K101" s="69" t="n">
        <f aca="false">IF($C101="","",SUMIFS(①今日の在庫を貼る!$N$6:$N$10005,①今日の在庫を貼る!$B$6:$B$10005,'設定（最初に1回）'!$C$4,①今日の在庫を貼る!$I$6:$I$10005,$C101))</f>
        <v>400</v>
      </c>
      <c r="L101" s="69" t="n">
        <f aca="false">IF($C101="","",SUMIFS(月1回_前回の在庫を貼る!$N$6:$N$10005,月1回_前回の在庫を貼る!$B$6:$B$10005,'設定（最初に1回）'!$C$4,月1回_前回の在庫を貼る!$I$6:$I$10005,$C101))</f>
        <v>4637</v>
      </c>
      <c r="M101" s="69" t="n">
        <f aca="false">IF($C101="","",IF(OR('設定（最初に1回）'!$C$6="",'設定（最初に1回）'!$C$7=""),0,SUMIFS(発注管理!$S$6:$S$1005,発注管理!$C$6:$C$1005,'設定（最初に1回）'!$C$4,発注管理!$F$6:$F$1005,$C101,発注管理!$R$6:$R$1005,"&gt;="&amp;'設定（最初に1回）'!$C$7,発注管理!$R$6:$R$1005,"&lt;="&amp;'設定（最初に1回）'!$C$6)))</f>
        <v>0</v>
      </c>
      <c r="N101" s="69" t="n">
        <f aca="false">IF(OR($C101="",'設定（最初に1回）'!$C$15=0),"",$L101+$M101-$K101)</f>
        <v>4237</v>
      </c>
      <c r="O101" s="143" t="n">
        <f aca="false">IF(OR($N101="",'設定（最初に1回）'!$C$8="",'設定（最初に1回）'!$C$8&lt;=0),"",MAX(0,$N101)/'設定（最初に1回）'!$C$8)</f>
        <v>69.4590163934426</v>
      </c>
      <c r="P101" s="143" t="n">
        <f aca="false">IF($C101="","",IFERROR(INDEX(商品マスタ!$M$6:$N$1005,MATCH($C101,商品マスタ!$B$6:$B$1005,0),MATCH("PI値 "&amp;'設定（最初に1回）'!$C$11,商品マスタ!$M$5:$N$5,0)),""))</f>
        <v>7.7</v>
      </c>
      <c r="Q101" s="143" t="n">
        <f aca="false">IF(OR($C101="",$P101="",$P101=0,(N($I101)+N($AG101))&lt;=0),"",IFERROR(SUMIFS(随時_動員を入れる!$G$8:$G$97,随時_動員を入れる!$B$8:$B$97,"&gt;="&amp;'設定（最初に1回）'!$C$6,随時_動員を入れる!$B$8:$B$97,"&lt;="&amp;'設定（最初に1回）'!$C$6+(N($I101)+N($AG101))-1)/(N($I101)+N($AG101)),0)*$P101/100)</f>
        <v>248.017</v>
      </c>
      <c r="R101" s="69" t="n">
        <f aca="false">IF($C101="","",SUMIFS(①今日の在庫を貼る!$O$6:$O$10005,①今日の在庫を貼る!$B$6:$B$10005,'設定（最初に1回）'!$C$4,①今日の在庫を貼る!$I$6:$I$10005,$C101))</f>
        <v>0</v>
      </c>
      <c r="S101" s="143" t="n">
        <f aca="false">IF($C101="","",IF('設定（最初に1回）'!$C$9="実績消費",N($O101),IF('設定（最初に1回）'!$C$9="PI値予測",N($Q101),MAX(N($O101),N($Q101)))))</f>
        <v>69.4590163934426</v>
      </c>
      <c r="T101" s="67" t="n">
        <f aca="false">IF(OR($S101="",$S101&lt;=0),"",$K101/$S101)</f>
        <v>5.75879159782865</v>
      </c>
      <c r="U101" s="69" t="n">
        <f aca="false">IF($S101="","",ROUNDUP(N($S101)*'設定（最初に1回）'!$C$12,0))</f>
        <v>278</v>
      </c>
      <c r="V101" s="69" t="n">
        <f aca="false">IF($C101="","",ROUNDUP(N($S101)*(N($I101)+N($AG101))+N($U101),0))</f>
        <v>1251</v>
      </c>
      <c r="W101" s="69" t="n">
        <f aca="false">IF($C101="","",SUMIFS(発注管理!$L$6:$L$1005,発注管理!$C$6:$C$1005,'設定（最初に1回）'!$C$4,発注管理!$F$6:$F$1005,$C101,発注管理!$Q$6:$Q$1005,"発注済"))</f>
        <v>0</v>
      </c>
      <c r="X101" s="69" t="n">
        <f aca="false">IF($C101="","",MAX(0,N($V101)-N($K101)-N($W101)))</f>
        <v>851</v>
      </c>
      <c r="Y101" s="147" t="n">
        <f aca="false">IF($C101="","",IF(N($X101)&lt;=0,0,CEILING($X101/MAX(1,N($G101)),MAX(1,N($J101)))))</f>
        <v>1</v>
      </c>
      <c r="Z101" s="138" t="str">
        <f aca="false">IF($C101="","",IF(N($Y101)&gt;0,"要発注","正常"))</f>
        <v>要発注</v>
      </c>
      <c r="AA101" s="71" t="n">
        <f aca="false">IF($C101="","",N($K101)*N($H101))</f>
        <v>9796</v>
      </c>
      <c r="AB101" s="66" t="str">
        <f aca="false">IF($C101="","",_xlfn.TEXTJOIN(" / ",TRUE(),IF(COUNTIF(商品マスタ!$B$6:$B$1005,$C101)=0,"マスタ未登録",""),IF(COUNTIFS(月1回_前回の在庫を貼る!$B$6:$B$10005,'設定（最初に1回）'!$C$4,月1回_前回の在庫を貼る!$I$6:$I$10005,$C101)=0,"新商品",""),IF(COUNTIFS(①今日の在庫を貼る!$B$6:$B$10005,'設定（最初に1回）'!$C$4,①今日の在庫を貼る!$I$6:$I$10005,$C101)=0,"終売候補",""),IF(N($K101)&lt;0,"在庫マイナス",""),IF(AND('設定（最初に1回）'!$C$9="PI値予測",$P101=""),"PI値未設定","")))</f>
        <v/>
      </c>
      <c r="AC101" s="71" t="n">
        <f aca="false">N($Y101)*N($H101)</f>
        <v>24.49</v>
      </c>
      <c r="AD101" s="66" t="str">
        <f aca="false">IF($C101="","",IFERROR(INDEX(商品マスタ!$K$6:$K$1005,MATCH($C101,商品マスタ!$B$6:$B$1005,0)),"常温"))</f>
        <v>常温</v>
      </c>
      <c r="AE101" s="69" t="n">
        <f aca="false">IF($C101="","",MAX(0,ROUNDUP(N($K101)/MAX(1,N($G101)),0)))</f>
        <v>1</v>
      </c>
      <c r="AF101" s="66" t="str">
        <f aca="false">IF($C101="","",IFERROR(INDEX(商品マスタ!$L$6:$L$1005,MATCH($C101,商品マスタ!$B$6:$B$1005,0)),""))</f>
        <v>常温包材</v>
      </c>
      <c r="AG101" s="143" t="n">
        <f aca="false">IF($C101="","",IFERROR(INDEX(定数マスタ!$S$110:$S$119,MATCH($AF101,定数マスタ!$J$110:$J$119,0)),N('設定（最初に1回）'!$C$13)))</f>
        <v>7</v>
      </c>
      <c r="AH101" s="66" t="n">
        <f aca="false">IF(AND(N($K101)&gt;0,N($Y101)&gt;0),N($Y101),0)</f>
        <v>1</v>
      </c>
    </row>
    <row r="102" customFormat="false" ht="15" hidden="false" customHeight="false" outlineLevel="0" collapsed="false">
      <c r="B102" s="66" t="n">
        <v>97</v>
      </c>
      <c r="C102" s="66" t="str">
        <f aca="false">IFERROR(IF($B102&lt;=MAX(①今日の在庫を貼る!$U$6:$U$10005),INDEX(①今日の在庫を貼る!$I$6:$I$10005,MATCH($B102,①今日の在庫を貼る!$U$6:$U$10005,0)),INDEX(月1回_前回の在庫を貼る!$I$6:$I$10005,MATCH($B102-MAX(①今日の在庫を貼る!$U$6:$U$10005),月1回_前回の在庫を貼る!$U$6:$U$10005,0))),"")</f>
        <v>1812000012773</v>
      </c>
      <c r="D102" s="66" t="str">
        <f aca="false">IF($C102="","",IFERROR(INDEX(商品マスタ!$C$6:$C$1005,MATCH($C102,商品マスタ!$B$6:$B$1005,0)),IFERROR(INDEX(①今日の在庫を貼る!$J$6:$J$10005,MATCH($C102,①今日の在庫を貼る!$I$6:$I$10005,0)),IFERROR(INDEX(月1回_前回の在庫を貼る!$J$6:$J$10005,MATCH($C102,月1回_前回の在庫を貼る!$I$6:$I$10005,0)),""))))</f>
        <v>ＩＣＥＥ　新ドリンクカップ２１０</v>
      </c>
      <c r="E102" s="66" t="str">
        <f aca="false">IF($C102="","",IFERROR(INDEX(商品マスタ!$D$6:$D$1005,MATCH($C102,商品マスタ!$B$6:$B$1005,0)),IFERROR(INDEX(①今日の在庫を貼る!$H$6:$H$10005,MATCH($C102,①今日の在庫を貼る!$I$6:$I$10005,0)),IFERROR(INDEX(月1回_前回の在庫を貼る!$H$6:$H$10005,MATCH($C102,月1回_前回の在庫を貼る!$I$6:$I$10005,0)),""))))</f>
        <v>コンセ包材</v>
      </c>
      <c r="F102" s="66" t="str">
        <f aca="false">IF($C102="","",IFERROR(INDEX(商品マスタ!$E$6:$E$1005,MATCH($C102,商品マスタ!$B$6:$B$1005,0)),IFERROR(INDEX(①今日の在庫を貼る!$E$6:$E$10005,MATCH($C102,①今日の在庫を貼る!$I$6:$I$10005,0)),IFERROR(INDEX(月1回_前回の在庫を貼る!$E$6:$E$10005,MATCH($C102,月1回_前回の在庫を貼る!$I$6:$I$10005,0)),""))))</f>
        <v>オザックス株式会社</v>
      </c>
      <c r="G102" s="69" t="n">
        <f aca="false">IF($C102="","",IFERROR(INDEX(商品マスタ!$F$6:$F$1005,MATCH($C102,商品マスタ!$B$6:$B$1005,0)),IFERROR(INDEX(①今日の在庫を貼る!$K$6:$K$10005,MATCH($C102,①今日の在庫を貼る!$I$6:$I$10005,0)),IFERROR(INDEX(月1回_前回の在庫を貼る!$K$6:$K$10005,MATCH($C102,月1回_前回の在庫を貼る!$I$6:$I$10005,0)),""))))</f>
        <v>1000</v>
      </c>
      <c r="H102" s="71" t="n">
        <f aca="false">IF($C102="","",IFERROR(INDEX(商品マスタ!$G$6:$G$1005,MATCH($C102,商品マスタ!$B$6:$B$1005,0)),IFERROR(INDEX(①今日の在庫を貼る!$Q$6:$Q$10005,MATCH($C102,①今日の在庫を貼る!$I$6:$I$10005,0)),IFERROR(INDEX(月1回_前回の在庫を貼る!$Q$6:$Q$10005,MATCH($C102,月1回_前回の在庫を貼る!$I$6:$I$10005,0)),""))))</f>
        <v>18</v>
      </c>
      <c r="I102" s="66" t="n">
        <f aca="false">IF($C102="","",IFERROR(INDEX(商品マスタ!$H$6:$H$1005,MATCH($C102,商品マスタ!$B$6:$B$1005,0)),3))</f>
        <v>4</v>
      </c>
      <c r="J102" s="66" t="n">
        <f aca="false">IF($C102="","",MAX(1,IFERROR(INDEX(商品マスタ!$I$6:$I$1005,MATCH($C102,商品マスタ!$B$6:$B$1005,0)),1)))</f>
        <v>2</v>
      </c>
      <c r="K102" s="69" t="n">
        <f aca="false">IF($C102="","",SUMIFS(①今日の在庫を貼る!$N$6:$N$10005,①今日の在庫を貼る!$B$6:$B$10005,'設定（最初に1回）'!$C$4,①今日の在庫を貼る!$I$6:$I$10005,$C102))</f>
        <v>2027</v>
      </c>
      <c r="L102" s="69" t="n">
        <f aca="false">IF($C102="","",SUMIFS(月1回_前回の在庫を貼る!$N$6:$N$10005,月1回_前回の在庫を貼る!$B$6:$B$10005,'設定（最初に1回）'!$C$4,月1回_前回の在庫を貼る!$I$6:$I$10005,$C102))</f>
        <v>8729</v>
      </c>
      <c r="M102" s="69" t="n">
        <f aca="false">IF($C102="","",IF(OR('設定（最初に1回）'!$C$6="",'設定（最初に1回）'!$C$7=""),0,SUMIFS(発注管理!$S$6:$S$1005,発注管理!$C$6:$C$1005,'設定（最初に1回）'!$C$4,発注管理!$F$6:$F$1005,$C102,発注管理!$R$6:$R$1005,"&gt;="&amp;'設定（最初に1回）'!$C$7,発注管理!$R$6:$R$1005,"&lt;="&amp;'設定（最初に1回）'!$C$6)))</f>
        <v>0</v>
      </c>
      <c r="N102" s="69" t="n">
        <f aca="false">IF(OR($C102="",'設定（最初に1回）'!$C$15=0),"",$L102+$M102-$K102)</f>
        <v>6702</v>
      </c>
      <c r="O102" s="143" t="n">
        <f aca="false">IF(OR($N102="",'設定（最初に1回）'!$C$8="",'設定（最初に1回）'!$C$8&lt;=0),"",MAX(0,$N102)/'設定（最初に1回）'!$C$8)</f>
        <v>109.868852459016</v>
      </c>
      <c r="P102" s="143" t="n">
        <f aca="false">IF($C102="","",IFERROR(INDEX(商品マスタ!$M$6:$N$1005,MATCH($C102,商品マスタ!$B$6:$B$1005,0),MATCH("PI値 "&amp;'設定（最初に1回）'!$C$11,商品マスタ!$M$5:$N$5,0)),""))</f>
        <v>12</v>
      </c>
      <c r="Q102" s="143" t="n">
        <f aca="false">IF(OR($C102="",$P102="",$P102=0,(N($I102)+N($AG102))&lt;=0),"",IFERROR(SUMIFS(随時_動員を入れる!$G$8:$G$97,随時_動員を入れる!$B$8:$B$97,"&gt;="&amp;'設定（最初に1回）'!$C$6,随時_動員を入れる!$B$8:$B$97,"&lt;="&amp;'設定（最初に1回）'!$C$6+(N($I102)+N($AG102))-1)/(N($I102)+N($AG102)),0)*$P102/100)</f>
        <v>448.865454545455</v>
      </c>
      <c r="R102" s="69" t="n">
        <f aca="false">IF($C102="","",SUMIFS(①今日の在庫を貼る!$O$6:$O$10005,①今日の在庫を貼る!$B$6:$B$10005,'設定（最初に1回）'!$C$4,①今日の在庫を貼る!$I$6:$I$10005,$C102))</f>
        <v>0</v>
      </c>
      <c r="S102" s="143" t="n">
        <f aca="false">IF($C102="","",IF('設定（最初に1回）'!$C$9="実績消費",N($O102),IF('設定（最初に1回）'!$C$9="PI値予測",N($Q102),MAX(N($O102),N($Q102)))))</f>
        <v>109.868852459016</v>
      </c>
      <c r="T102" s="67" t="n">
        <f aca="false">IF(OR($S102="",$S102&lt;=0),"",$K102/$S102)</f>
        <v>18.4492688749627</v>
      </c>
      <c r="U102" s="69" t="n">
        <f aca="false">IF($S102="","",ROUNDUP(N($S102)*'設定（最初に1回）'!$C$12,0))</f>
        <v>440</v>
      </c>
      <c r="V102" s="69" t="n">
        <f aca="false">IF($C102="","",ROUNDUP(N($S102)*(N($I102)+N($AG102))+N($U102),0))</f>
        <v>1649</v>
      </c>
      <c r="W102" s="69" t="n">
        <f aca="false">IF($C102="","",SUMIFS(発注管理!$L$6:$L$1005,発注管理!$C$6:$C$1005,'設定（最初に1回）'!$C$4,発注管理!$F$6:$F$1005,$C102,発注管理!$Q$6:$Q$1005,"発注済"))</f>
        <v>0</v>
      </c>
      <c r="X102" s="69" t="n">
        <f aca="false">IF($C102="","",MAX(0,N($V102)-N($K102)-N($W102)))</f>
        <v>0</v>
      </c>
      <c r="Y102" s="147" t="n">
        <f aca="false">IF($C102="","",IF(N($X102)&lt;=0,0,CEILING($X102/MAX(1,N($G102)),MAX(1,N($J102)))))</f>
        <v>0</v>
      </c>
      <c r="Z102" s="138" t="str">
        <f aca="false">IF($C102="","",IF(N($Y102)&gt;0,"要発注","正常"))</f>
        <v>正常</v>
      </c>
      <c r="AA102" s="71" t="n">
        <f aca="false">IF($C102="","",N($K102)*N($H102))</f>
        <v>36486</v>
      </c>
      <c r="AB102" s="66" t="str">
        <f aca="false">IF($C102="","",_xlfn.TEXTJOIN(" / ",TRUE(),IF(COUNTIF(商品マスタ!$B$6:$B$1005,$C102)=0,"マスタ未登録",""),IF(COUNTIFS(月1回_前回の在庫を貼る!$B$6:$B$10005,'設定（最初に1回）'!$C$4,月1回_前回の在庫を貼る!$I$6:$I$10005,$C102)=0,"新商品",""),IF(COUNTIFS(①今日の在庫を貼る!$B$6:$B$10005,'設定（最初に1回）'!$C$4,①今日の在庫を貼る!$I$6:$I$10005,$C102)=0,"終売候補",""),IF(N($K102)&lt;0,"在庫マイナス",""),IF(AND('設定（最初に1回）'!$C$9="PI値予測",$P102=""),"PI値未設定","")))</f>
        <v/>
      </c>
      <c r="AC102" s="71" t="n">
        <f aca="false">N($Y102)*N($H102)</f>
        <v>0</v>
      </c>
      <c r="AD102" s="66" t="str">
        <f aca="false">IF($C102="","",IFERROR(INDEX(商品マスタ!$K$6:$K$1005,MATCH($C102,商品マスタ!$B$6:$B$1005,0)),"常温"))</f>
        <v>常温</v>
      </c>
      <c r="AE102" s="69" t="n">
        <f aca="false">IF($C102="","",MAX(0,ROUNDUP(N($K102)/MAX(1,N($G102)),0)))</f>
        <v>3</v>
      </c>
      <c r="AF102" s="66" t="str">
        <f aca="false">IF($C102="","",IFERROR(INDEX(商品マスタ!$L$6:$L$1005,MATCH($C102,商品マスタ!$B$6:$B$1005,0)),""))</f>
        <v>常温包材</v>
      </c>
      <c r="AG102" s="143" t="n">
        <f aca="false">IF($C102="","",IFERROR(INDEX(定数マスタ!$S$110:$S$119,MATCH($AF102,定数マスタ!$J$110:$J$119,0)),N('設定（最初に1回）'!$C$13)))</f>
        <v>7</v>
      </c>
      <c r="AH102" s="66" t="n">
        <f aca="false">IF(AND(N($K102)&gt;0,N($Y102)&gt;0),N($Y102),0)</f>
        <v>0</v>
      </c>
    </row>
    <row r="103" customFormat="false" ht="15" hidden="false" customHeight="false" outlineLevel="0" collapsed="false">
      <c r="B103" s="66" t="n">
        <v>98</v>
      </c>
      <c r="C103" s="66" t="str">
        <f aca="false">IFERROR(IF($B103&lt;=MAX(①今日の在庫を貼る!$U$6:$U$10005),INDEX(①今日の在庫を貼る!$I$6:$I$10005,MATCH($B103,①今日の在庫を貼る!$U$6:$U$10005,0)),INDEX(月1回_前回の在庫を貼る!$I$6:$I$10005,MATCH($B103-MAX(①今日の在庫を貼る!$U$6:$U$10005),月1回_前回の在庫を貼る!$U$6:$U$10005,0))),"")</f>
        <v>1812000012957</v>
      </c>
      <c r="D103" s="66" t="str">
        <f aca="false">IF($C103="","",IFERROR(INDEX(商品マスタ!$C$6:$C$1005,MATCH($C103,商品マスタ!$B$6:$B$1005,0)),IFERROR(INDEX(①今日の在庫を貼る!$J$6:$J$10005,MATCH($C103,①今日の在庫を貼る!$I$6:$I$10005,0)),IFERROR(INDEX(月1回_前回の在庫を貼る!$J$6:$J$10005,MATCH($C103,月1回_前回の在庫を貼る!$I$6:$I$10005,0)),""))))</f>
        <v>新　シネマイク蓋</v>
      </c>
      <c r="E103" s="66" t="str">
        <f aca="false">IF($C103="","",IFERROR(INDEX(商品マスタ!$D$6:$D$1005,MATCH($C103,商品マスタ!$B$6:$B$1005,0)),IFERROR(INDEX(①今日の在庫を貼る!$H$6:$H$10005,MATCH($C103,①今日の在庫を貼る!$I$6:$I$10005,0)),IFERROR(INDEX(月1回_前回の在庫を貼る!$H$6:$H$10005,MATCH($C103,月1回_前回の在庫を貼る!$I$6:$I$10005,0)),""))))</f>
        <v>コンセ包材</v>
      </c>
      <c r="F103" s="66" t="str">
        <f aca="false">IF($C103="","",IFERROR(INDEX(商品マスタ!$E$6:$E$1005,MATCH($C103,商品マスタ!$B$6:$B$1005,0)),IFERROR(INDEX(①今日の在庫を貼る!$E$6:$E$10005,MATCH($C103,①今日の在庫を貼る!$I$6:$I$10005,0)),IFERROR(INDEX(月1回_前回の在庫を貼る!$E$6:$E$10005,MATCH($C103,月1回_前回の在庫を貼る!$I$6:$I$10005,0)),""))))</f>
        <v>オザックス株式会社</v>
      </c>
      <c r="G103" s="69" t="n">
        <f aca="false">IF($C103="","",IFERROR(INDEX(商品マスタ!$F$6:$F$1005,MATCH($C103,商品マスタ!$B$6:$B$1005,0)),IFERROR(INDEX(①今日の在庫を貼る!$K$6:$K$10005,MATCH($C103,①今日の在庫を貼る!$I$6:$I$10005,0)),IFERROR(INDEX(月1回_前回の在庫を貼る!$K$6:$K$10005,MATCH($C103,月1回_前回の在庫を貼る!$I$6:$I$10005,0)),""))))</f>
        <v>1200</v>
      </c>
      <c r="H103" s="71" t="n">
        <f aca="false">IF($C103="","",IFERROR(INDEX(商品マスタ!$G$6:$G$1005,MATCH($C103,商品マスタ!$B$6:$B$1005,0)),IFERROR(INDEX(①今日の在庫を貼る!$Q$6:$Q$10005,MATCH($C103,①今日の在庫を貼る!$I$6:$I$10005,0)),IFERROR(INDEX(月1回_前回の在庫を貼る!$Q$6:$Q$10005,MATCH($C103,月1回_前回の在庫を貼る!$I$6:$I$10005,0)),""))))</f>
        <v>5.63</v>
      </c>
      <c r="I103" s="66" t="n">
        <f aca="false">IF($C103="","",IFERROR(INDEX(商品マスタ!$H$6:$H$1005,MATCH($C103,商品マスタ!$B$6:$B$1005,0)),3))</f>
        <v>5</v>
      </c>
      <c r="J103" s="66" t="n">
        <f aca="false">IF($C103="","",MAX(1,IFERROR(INDEX(商品マスタ!$I$6:$I$1005,MATCH($C103,商品マスタ!$B$6:$B$1005,0)),1)))</f>
        <v>5</v>
      </c>
      <c r="K103" s="69" t="n">
        <f aca="false">IF($C103="","",SUMIFS(①今日の在庫を貼る!$N$6:$N$10005,①今日の在庫を貼る!$B$6:$B$10005,'設定（最初に1回）'!$C$4,①今日の在庫を貼る!$I$6:$I$10005,$C103))</f>
        <v>10403</v>
      </c>
      <c r="L103" s="69" t="n">
        <f aca="false">IF($C103="","",SUMIFS(月1回_前回の在庫を貼る!$N$6:$N$10005,月1回_前回の在庫を貼る!$B$6:$B$10005,'設定（最初に1回）'!$C$4,月1回_前回の在庫を貼る!$I$6:$I$10005,$C103))</f>
        <v>19867</v>
      </c>
      <c r="M103" s="69" t="n">
        <f aca="false">IF($C103="","",IF(OR('設定（最初に1回）'!$C$6="",'設定（最初に1回）'!$C$7=""),0,SUMIFS(発注管理!$S$6:$S$1005,発注管理!$C$6:$C$1005,'設定（最初に1回）'!$C$4,発注管理!$F$6:$F$1005,$C103,発注管理!$R$6:$R$1005,"&gt;="&amp;'設定（最初に1回）'!$C$7,発注管理!$R$6:$R$1005,"&lt;="&amp;'設定（最初に1回）'!$C$6)))</f>
        <v>9600</v>
      </c>
      <c r="N103" s="69" t="n">
        <f aca="false">IF(OR($C103="",'設定（最初に1回）'!$C$15=0),"",$L103+$M103-$K103)</f>
        <v>19064</v>
      </c>
      <c r="O103" s="143" t="n">
        <f aca="false">IF(OR($N103="",'設定（最初に1回）'!$C$8="",'設定（最初に1回）'!$C$8&lt;=0),"",MAX(0,$N103)/'設定（最初に1回）'!$C$8)</f>
        <v>312.524590163934</v>
      </c>
      <c r="P103" s="143" t="n">
        <f aca="false">IF($C103="","",IFERROR(INDEX(商品マスタ!$M$6:$N$1005,MATCH($C103,商品マスタ!$B$6:$B$1005,0),MATCH("PI値 "&amp;'設定（最初に1回）'!$C$11,商品マスタ!$M$5:$N$5,0)),""))</f>
        <v>9.4</v>
      </c>
      <c r="Q103" s="143" t="n">
        <f aca="false">IF(OR($C103="",$P103="",$P103=0,(N($I103)+N($AG103))&lt;=0),"",IFERROR(SUMIFS(随時_動員を入れる!$G$8:$G$97,随時_動員を入れる!$B$8:$B$97,"&gt;="&amp;'設定（最初に1回）'!$C$6,随時_動員を入れる!$B$8:$B$97,"&lt;="&amp;'設定（最初に1回）'!$C$6+(N($I103)+N($AG103))-1)/(N($I103)+N($AG103)),0)*$P103/100)</f>
        <v>332.6895</v>
      </c>
      <c r="R103" s="69" t="n">
        <f aca="false">IF($C103="","",SUMIFS(①今日の在庫を貼る!$O$6:$O$10005,①今日の在庫を貼る!$B$6:$B$10005,'設定（最初に1回）'!$C$4,①今日の在庫を貼る!$I$6:$I$10005,$C103))</f>
        <v>0</v>
      </c>
      <c r="S103" s="143" t="n">
        <f aca="false">IF($C103="","",IF('設定（最初に1回）'!$C$9="実績消費",N($O103),IF('設定（最初に1回）'!$C$9="PI値予測",N($Q103),MAX(N($O103),N($Q103)))))</f>
        <v>312.524590163934</v>
      </c>
      <c r="T103" s="67" t="n">
        <f aca="false">IF(OR($S103="",$S103&lt;=0),"",$K103/$S103)</f>
        <v>33.2869806966009</v>
      </c>
      <c r="U103" s="69" t="n">
        <f aca="false">IF($S103="","",ROUNDUP(N($S103)*'設定（最初に1回）'!$C$12,0))</f>
        <v>1251</v>
      </c>
      <c r="V103" s="69" t="n">
        <f aca="false">IF($C103="","",ROUNDUP(N($S103)*(N($I103)+N($AG103))+N($U103),0))</f>
        <v>5002</v>
      </c>
      <c r="W103" s="69" t="n">
        <f aca="false">IF($C103="","",SUMIFS(発注管理!$L$6:$L$1005,発注管理!$C$6:$C$1005,'設定（最初に1回）'!$C$4,発注管理!$F$6:$F$1005,$C103,発注管理!$Q$6:$Q$1005,"発注済"))</f>
        <v>0</v>
      </c>
      <c r="X103" s="69" t="n">
        <f aca="false">IF($C103="","",MAX(0,N($V103)-N($K103)-N($W103)))</f>
        <v>0</v>
      </c>
      <c r="Y103" s="147" t="n">
        <f aca="false">IF($C103="","",IF(N($X103)&lt;=0,0,CEILING($X103/MAX(1,N($G103)),MAX(1,N($J103)))))</f>
        <v>0</v>
      </c>
      <c r="Z103" s="138" t="str">
        <f aca="false">IF($C103="","",IF(N($Y103)&gt;0,"要発注","正常"))</f>
        <v>正常</v>
      </c>
      <c r="AA103" s="71" t="n">
        <f aca="false">IF($C103="","",N($K103)*N($H103))</f>
        <v>58568.89</v>
      </c>
      <c r="AB103" s="66" t="str">
        <f aca="false">IF($C103="","",_xlfn.TEXTJOIN(" / ",TRUE(),IF(COUNTIF(商品マスタ!$B$6:$B$1005,$C103)=0,"マスタ未登録",""),IF(COUNTIFS(月1回_前回の在庫を貼る!$B$6:$B$10005,'設定（最初に1回）'!$C$4,月1回_前回の在庫を貼る!$I$6:$I$10005,$C103)=0,"新商品",""),IF(COUNTIFS(①今日の在庫を貼る!$B$6:$B$10005,'設定（最初に1回）'!$C$4,①今日の在庫を貼る!$I$6:$I$10005,$C103)=0,"終売候補",""),IF(N($K103)&lt;0,"在庫マイナス",""),IF(AND('設定（最初に1回）'!$C$9="PI値予測",$P103=""),"PI値未設定","")))</f>
        <v/>
      </c>
      <c r="AC103" s="71" t="n">
        <f aca="false">N($Y103)*N($H103)</f>
        <v>0</v>
      </c>
      <c r="AD103" s="66" t="str">
        <f aca="false">IF($C103="","",IFERROR(INDEX(商品マスタ!$K$6:$K$1005,MATCH($C103,商品マスタ!$B$6:$B$1005,0)),"常温"))</f>
        <v>常温</v>
      </c>
      <c r="AE103" s="69" t="n">
        <f aca="false">IF($C103="","",MAX(0,ROUNDUP(N($K103)/MAX(1,N($G103)),0)))</f>
        <v>9</v>
      </c>
      <c r="AF103" s="66" t="str">
        <f aca="false">IF($C103="","",IFERROR(INDEX(商品マスタ!$L$6:$L$1005,MATCH($C103,商品マスタ!$B$6:$B$1005,0)),""))</f>
        <v>常温包材</v>
      </c>
      <c r="AG103" s="143" t="n">
        <f aca="false">IF($C103="","",IFERROR(INDEX(定数マスタ!$S$110:$S$119,MATCH($AF103,定数マスタ!$J$110:$J$119,0)),N('設定（最初に1回）'!$C$13)))</f>
        <v>7</v>
      </c>
      <c r="AH103" s="66" t="n">
        <f aca="false">IF(AND(N($K103)&gt;0,N($Y103)&gt;0),N($Y103),0)</f>
        <v>0</v>
      </c>
    </row>
    <row r="104" customFormat="false" ht="15" hidden="false" customHeight="false" outlineLevel="0" collapsed="false">
      <c r="B104" s="66" t="n">
        <v>99</v>
      </c>
      <c r="C104" s="66" t="str">
        <f aca="false">IFERROR(IF($B104&lt;=MAX(①今日の在庫を貼る!$U$6:$U$10005),INDEX(①今日の在庫を貼る!$I$6:$I$10005,MATCH($B104,①今日の在庫を貼る!$U$6:$U$10005,0)),INDEX(月1回_前回の在庫を貼る!$I$6:$I$10005,MATCH($B104-MAX(①今日の在庫を貼る!$U$6:$U$10005),月1回_前回の在庫を貼る!$U$6:$U$10005,0))),"")</f>
        <v>1812000013121</v>
      </c>
      <c r="D104" s="66" t="str">
        <f aca="false">IF($C104="","",IFERROR(INDEX(商品マスタ!$C$6:$C$1005,MATCH($C104,商品マスタ!$B$6:$B$1005,0)),IFERROR(INDEX(①今日の在庫を貼る!$J$6:$J$10005,MATCH($C104,①今日の在庫を貼る!$I$6:$I$10005,0)),IFERROR(INDEX(月1回_前回の在庫を貼る!$J$6:$J$10005,MATCH($C104,月1回_前回の在庫を貼る!$I$6:$I$10005,0)),""))))</f>
        <v>新ポップコーンＨ＆Ｈ仕切り</v>
      </c>
      <c r="E104" s="66" t="str">
        <f aca="false">IF($C104="","",IFERROR(INDEX(商品マスタ!$D$6:$D$1005,MATCH($C104,商品マスタ!$B$6:$B$1005,0)),IFERROR(INDEX(①今日の在庫を貼る!$H$6:$H$10005,MATCH($C104,①今日の在庫を貼る!$I$6:$I$10005,0)),IFERROR(INDEX(月1回_前回の在庫を貼る!$H$6:$H$10005,MATCH($C104,月1回_前回の在庫を貼る!$I$6:$I$10005,0)),""))))</f>
        <v>コンセ包材</v>
      </c>
      <c r="F104" s="66" t="str">
        <f aca="false">IF($C104="","",IFERROR(INDEX(商品マスタ!$E$6:$E$1005,MATCH($C104,商品マスタ!$B$6:$B$1005,0)),IFERROR(INDEX(①今日の在庫を貼る!$E$6:$E$10005,MATCH($C104,①今日の在庫を貼る!$I$6:$I$10005,0)),IFERROR(INDEX(月1回_前回の在庫を貼る!$E$6:$E$10005,MATCH($C104,月1回_前回の在庫を貼る!$I$6:$I$10005,0)),""))))</f>
        <v>オザックス株式会社</v>
      </c>
      <c r="G104" s="69" t="n">
        <f aca="false">IF($C104="","",IFERROR(INDEX(商品マスタ!$F$6:$F$1005,MATCH($C104,商品マスタ!$B$6:$B$1005,0)),IFERROR(INDEX(①今日の在庫を貼る!$K$6:$K$10005,MATCH($C104,①今日の在庫を貼る!$I$6:$I$10005,0)),IFERROR(INDEX(月1回_前回の在庫を貼る!$K$6:$K$10005,MATCH($C104,月1回_前回の在庫を貼る!$I$6:$I$10005,0)),""))))</f>
        <v>900</v>
      </c>
      <c r="H104" s="71" t="n">
        <f aca="false">IF($C104="","",IFERROR(INDEX(商品マスタ!$G$6:$G$1005,MATCH($C104,商品マスタ!$B$6:$B$1005,0)),IFERROR(INDEX(①今日の在庫を貼る!$Q$6:$Q$10005,MATCH($C104,①今日の在庫を貼る!$I$6:$I$10005,0)),IFERROR(INDEX(月1回_前回の在庫を貼る!$Q$6:$Q$10005,MATCH($C104,月1回_前回の在庫を貼る!$I$6:$I$10005,0)),""))))</f>
        <v>5.07</v>
      </c>
      <c r="I104" s="66" t="n">
        <f aca="false">IF($C104="","",IFERROR(INDEX(商品マスタ!$H$6:$H$1005,MATCH($C104,商品マスタ!$B$6:$B$1005,0)),3))</f>
        <v>7</v>
      </c>
      <c r="J104" s="66" t="n">
        <f aca="false">IF($C104="","",MAX(1,IFERROR(INDEX(商品マスタ!$I$6:$I$1005,MATCH($C104,商品マスタ!$B$6:$B$1005,0)),1)))</f>
        <v>2</v>
      </c>
      <c r="K104" s="69" t="n">
        <f aca="false">IF($C104="","",SUMIFS(①今日の在庫を貼る!$N$6:$N$10005,①今日の在庫を貼る!$B$6:$B$10005,'設定（最初に1回）'!$C$4,①今日の在庫を貼る!$I$6:$I$10005,$C104))</f>
        <v>27000</v>
      </c>
      <c r="L104" s="69" t="n">
        <f aca="false">IF($C104="","",SUMIFS(月1回_前回の在庫を貼る!$N$6:$N$10005,月1回_前回の在庫を貼る!$B$6:$B$10005,'設定（最初に1回）'!$C$4,月1回_前回の在庫を貼る!$I$6:$I$10005,$C104))</f>
        <v>94780</v>
      </c>
      <c r="M104" s="69" t="n">
        <f aca="false">IF($C104="","",IF(OR('設定（最初に1回）'!$C$6="",'設定（最初に1回）'!$C$7=""),0,SUMIFS(発注管理!$S$6:$S$1005,発注管理!$C$6:$C$1005,'設定（最初に1回）'!$C$4,発注管理!$F$6:$F$1005,$C104,発注管理!$R$6:$R$1005,"&gt;="&amp;'設定（最初に1回）'!$C$7,発注管理!$R$6:$R$1005,"&lt;="&amp;'設定（最初に1回）'!$C$6)))</f>
        <v>0</v>
      </c>
      <c r="N104" s="69" t="n">
        <f aca="false">IF(OR($C104="",'設定（最初に1回）'!$C$15=0),"",$L104+$M104-$K104)</f>
        <v>67780</v>
      </c>
      <c r="O104" s="143" t="n">
        <f aca="false">IF(OR($N104="",'設定（最初に1回）'!$C$8="",'設定（最初に1回）'!$C$8&lt;=0),"",MAX(0,$N104)/'設定（最初に1回）'!$C$8)</f>
        <v>1111.14754098361</v>
      </c>
      <c r="P104" s="143" t="n">
        <f aca="false">IF($C104="","",IFERROR(INDEX(商品マスタ!$M$6:$N$1005,MATCH($C104,商品マスタ!$B$6:$B$1005,0),MATCH("PI値 "&amp;'設定（最初に1回）'!$C$11,商品マスタ!$M$5:$N$5,0)),""))</f>
        <v>11.8</v>
      </c>
      <c r="Q104" s="143" t="n">
        <f aca="false">IF(OR($C104="",$P104="",$P104=0,(N($I104)+N($AG104))&lt;=0),"",IFERROR(SUMIFS(随時_動員を入れる!$G$8:$G$97,随時_動員を入れる!$B$8:$B$97,"&gt;="&amp;'設定（最初に1回）'!$C$6,随時_動員を入れる!$B$8:$B$97,"&lt;="&amp;'設定（最初に1回）'!$C$6+(N($I104)+N($AG104))-1)/(N($I104)+N($AG104)),0)*$P104/100)</f>
        <v>380.078</v>
      </c>
      <c r="R104" s="69" t="n">
        <f aca="false">IF($C104="","",SUMIFS(①今日の在庫を貼る!$O$6:$O$10005,①今日の在庫を貼る!$B$6:$B$10005,'設定（最初に1回）'!$C$4,①今日の在庫を貼る!$I$6:$I$10005,$C104))</f>
        <v>0</v>
      </c>
      <c r="S104" s="143" t="n">
        <f aca="false">IF($C104="","",IF('設定（最初に1回）'!$C$9="実績消費",N($O104),IF('設定（最初に1回）'!$C$9="PI値予測",N($Q104),MAX(N($O104),N($Q104)))))</f>
        <v>1111.14754098361</v>
      </c>
      <c r="T104" s="67" t="n">
        <f aca="false">IF(OR($S104="",$S104&lt;=0),"",$K104/$S104)</f>
        <v>24.2992033048097</v>
      </c>
      <c r="U104" s="69" t="n">
        <f aca="false">IF($S104="","",ROUNDUP(N($S104)*'設定（最初に1回）'!$C$12,0))</f>
        <v>4445</v>
      </c>
      <c r="V104" s="69" t="n">
        <f aca="false">IF($C104="","",ROUNDUP(N($S104)*(N($I104)+N($AG104))+N($U104),0))</f>
        <v>20002</v>
      </c>
      <c r="W104" s="69" t="n">
        <f aca="false">IF($C104="","",SUMIFS(発注管理!$L$6:$L$1005,発注管理!$C$6:$C$1005,'設定（最初に1回）'!$C$4,発注管理!$F$6:$F$1005,$C104,発注管理!$Q$6:$Q$1005,"発注済"))</f>
        <v>0</v>
      </c>
      <c r="X104" s="69" t="n">
        <f aca="false">IF($C104="","",MAX(0,N($V104)-N($K104)-N($W104)))</f>
        <v>0</v>
      </c>
      <c r="Y104" s="147" t="n">
        <f aca="false">IF($C104="","",IF(N($X104)&lt;=0,0,CEILING($X104/MAX(1,N($G104)),MAX(1,N($J104)))))</f>
        <v>0</v>
      </c>
      <c r="Z104" s="138" t="str">
        <f aca="false">IF($C104="","",IF(N($Y104)&gt;0,"要発注","正常"))</f>
        <v>正常</v>
      </c>
      <c r="AA104" s="71" t="n">
        <f aca="false">IF($C104="","",N($K104)*N($H104))</f>
        <v>136890</v>
      </c>
      <c r="AB104" s="66" t="str">
        <f aca="false">IF($C104="","",_xlfn.TEXTJOIN(" / ",TRUE(),IF(COUNTIF(商品マスタ!$B$6:$B$1005,$C104)=0,"マスタ未登録",""),IF(COUNTIFS(月1回_前回の在庫を貼る!$B$6:$B$10005,'設定（最初に1回）'!$C$4,月1回_前回の在庫を貼る!$I$6:$I$10005,$C104)=0,"新商品",""),IF(COUNTIFS(①今日の在庫を貼る!$B$6:$B$10005,'設定（最初に1回）'!$C$4,①今日の在庫を貼る!$I$6:$I$10005,$C104)=0,"終売候補",""),IF(N($K104)&lt;0,"在庫マイナス",""),IF(AND('設定（最初に1回）'!$C$9="PI値予測",$P104=""),"PI値未設定","")))</f>
        <v/>
      </c>
      <c r="AC104" s="71" t="n">
        <f aca="false">N($Y104)*N($H104)</f>
        <v>0</v>
      </c>
      <c r="AD104" s="66" t="str">
        <f aca="false">IF($C104="","",IFERROR(INDEX(商品マスタ!$K$6:$K$1005,MATCH($C104,商品マスタ!$B$6:$B$1005,0)),"常温"))</f>
        <v>常温</v>
      </c>
      <c r="AE104" s="69" t="n">
        <f aca="false">IF($C104="","",MAX(0,ROUNDUP(N($K104)/MAX(1,N($G104)),0)))</f>
        <v>30</v>
      </c>
      <c r="AF104" s="66" t="str">
        <f aca="false">IF($C104="","",IFERROR(INDEX(商品マスタ!$L$6:$L$1005,MATCH($C104,商品マスタ!$B$6:$B$1005,0)),""))</f>
        <v>常温包材</v>
      </c>
      <c r="AG104" s="143" t="n">
        <f aca="false">IF($C104="","",IFERROR(INDEX(定数マスタ!$S$110:$S$119,MATCH($AF104,定数マスタ!$J$110:$J$119,0)),N('設定（最初に1回）'!$C$13)))</f>
        <v>7</v>
      </c>
      <c r="AH104" s="66" t="n">
        <f aca="false">IF(AND(N($K104)&gt;0,N($Y104)&gt;0),N($Y104),0)</f>
        <v>0</v>
      </c>
    </row>
    <row r="105" customFormat="false" ht="15" hidden="false" customHeight="false" outlineLevel="0" collapsed="false">
      <c r="B105" s="66" t="n">
        <v>100</v>
      </c>
      <c r="C105" s="66" t="str">
        <f aca="false">IFERROR(IF($B105&lt;=MAX(①今日の在庫を貼る!$U$6:$U$10005),INDEX(①今日の在庫を貼る!$I$6:$I$10005,MATCH($B105,①今日の在庫を貼る!$U$6:$U$10005,0)),INDEX(月1回_前回の在庫を貼る!$I$6:$I$10005,MATCH($B105-MAX(①今日の在庫を貼る!$U$6:$U$10005),月1回_前回の在庫を貼る!$U$6:$U$10005,0))),"")</f>
        <v>1812000013213</v>
      </c>
      <c r="D105" s="66" t="str">
        <f aca="false">IF($C105="","",IFERROR(INDEX(商品マスタ!$C$6:$C$1005,MATCH($C105,商品マスタ!$B$6:$B$1005,0)),IFERROR(INDEX(①今日の在庫を貼る!$J$6:$J$10005,MATCH($C105,①今日の在庫を貼る!$I$6:$I$10005,0)),IFERROR(INDEX(月1回_前回の在庫を貼る!$J$6:$J$10005,MATCH($C105,月1回_前回の在庫を貼る!$I$6:$I$10005,0)),""))))</f>
        <v>新シネマイクポップコーンカップ</v>
      </c>
      <c r="E105" s="66" t="str">
        <f aca="false">IF($C105="","",IFERROR(INDEX(商品マスタ!$D$6:$D$1005,MATCH($C105,商品マスタ!$B$6:$B$1005,0)),IFERROR(INDEX(①今日の在庫を貼る!$H$6:$H$10005,MATCH($C105,①今日の在庫を貼る!$I$6:$I$10005,0)),IFERROR(INDEX(月1回_前回の在庫を貼る!$H$6:$H$10005,MATCH($C105,月1回_前回の在庫を貼る!$I$6:$I$10005,0)),""))))</f>
        <v>コンセ包材</v>
      </c>
      <c r="F105" s="66" t="str">
        <f aca="false">IF($C105="","",IFERROR(INDEX(商品マスタ!$E$6:$E$1005,MATCH($C105,商品マスタ!$B$6:$B$1005,0)),IFERROR(INDEX(①今日の在庫を貼る!$E$6:$E$10005,MATCH($C105,①今日の在庫を貼る!$I$6:$I$10005,0)),IFERROR(INDEX(月1回_前回の在庫を貼る!$E$6:$E$10005,MATCH($C105,月1回_前回の在庫を貼る!$I$6:$I$10005,0)),""))))</f>
        <v>オザックス株式会社</v>
      </c>
      <c r="G105" s="69" t="n">
        <f aca="false">IF($C105="","",IFERROR(INDEX(商品マスタ!$F$6:$F$1005,MATCH($C105,商品マスタ!$B$6:$B$1005,0)),IFERROR(INDEX(①今日の在庫を貼る!$K$6:$K$10005,MATCH($C105,①今日の在庫を貼る!$I$6:$I$10005,0)),IFERROR(INDEX(月1回_前回の在庫を貼る!$K$6:$K$10005,MATCH($C105,月1回_前回の在庫を貼る!$I$6:$I$10005,0)),""))))</f>
        <v>300</v>
      </c>
      <c r="H105" s="71" t="n">
        <f aca="false">IF($C105="","",IFERROR(INDEX(商品マスタ!$G$6:$G$1005,MATCH($C105,商品マスタ!$B$6:$B$1005,0)),IFERROR(INDEX(①今日の在庫を貼る!$Q$6:$Q$10005,MATCH($C105,①今日の在庫を貼る!$I$6:$I$10005,0)),IFERROR(INDEX(月1回_前回の在庫を貼る!$Q$6:$Q$10005,MATCH($C105,月1回_前回の在庫を貼る!$I$6:$I$10005,0)),""))))</f>
        <v>17.95</v>
      </c>
      <c r="I105" s="66" t="n">
        <f aca="false">IF($C105="","",IFERROR(INDEX(商品マスタ!$H$6:$H$1005,MATCH($C105,商品マスタ!$B$6:$B$1005,0)),3))</f>
        <v>3</v>
      </c>
      <c r="J105" s="66" t="n">
        <f aca="false">IF($C105="","",MAX(1,IFERROR(INDEX(商品マスタ!$I$6:$I$1005,MATCH($C105,商品マスタ!$B$6:$B$1005,0)),1)))</f>
        <v>1</v>
      </c>
      <c r="K105" s="69" t="n">
        <f aca="false">IF($C105="","",SUMIFS(①今日の在庫を貼る!$N$6:$N$10005,①今日の在庫を貼る!$B$6:$B$10005,'設定（最初に1回）'!$C$4,①今日の在庫を貼る!$I$6:$I$10005,$C105))</f>
        <v>0</v>
      </c>
      <c r="L105" s="69" t="n">
        <f aca="false">IF($C105="","",SUMIFS(月1回_前回の在庫を貼る!$N$6:$N$10005,月1回_前回の在庫を貼る!$B$6:$B$10005,'設定（最初に1回）'!$C$4,月1回_前回の在庫を貼る!$I$6:$I$10005,$C105))</f>
        <v>1</v>
      </c>
      <c r="M105" s="69" t="n">
        <f aca="false">IF($C105="","",IF(OR('設定（最初に1回）'!$C$6="",'設定（最初に1回）'!$C$7=""),0,SUMIFS(発注管理!$S$6:$S$1005,発注管理!$C$6:$C$1005,'設定（最初に1回）'!$C$4,発注管理!$F$6:$F$1005,$C105,発注管理!$R$6:$R$1005,"&gt;="&amp;'設定（最初に1回）'!$C$7,発注管理!$R$6:$R$1005,"&lt;="&amp;'設定（最初に1回）'!$C$6)))</f>
        <v>0</v>
      </c>
      <c r="N105" s="69" t="n">
        <f aca="false">IF(OR($C105="",'設定（最初に1回）'!$C$15=0),"",$L105+$M105-$K105)</f>
        <v>1</v>
      </c>
      <c r="O105" s="143" t="n">
        <f aca="false">IF(OR($N105="",'設定（最初に1回）'!$C$8="",'設定（最初に1回）'!$C$8&lt;=0),"",MAX(0,$N105)/'設定（最初に1回）'!$C$8)</f>
        <v>0.0163934426229508</v>
      </c>
      <c r="P105" s="143" t="n">
        <f aca="false">IF($C105="","",IFERROR(INDEX(商品マスタ!$M$6:$N$1005,MATCH($C105,商品マスタ!$B$6:$B$1005,0),MATCH("PI値 "&amp;'設定（最初に1回）'!$C$11,商品マスタ!$M$5:$N$5,0)),""))</f>
        <v>11</v>
      </c>
      <c r="Q105" s="143" t="n">
        <f aca="false">IF(OR($C105="",$P105="",$P105=0,(N($I105)+N($AG105))&lt;=0),"",IFERROR(SUMIFS(随時_動員を入れる!$G$8:$G$97,随時_動員を入れる!$B$8:$B$97,"&gt;="&amp;'設定（最初に1回）'!$C$6,随時_動員を入れる!$B$8:$B$97,"&lt;="&amp;'設定（最初に1回）'!$C$6+(N($I105)+N($AG105))-1)/(N($I105)+N($AG105)),0)*$P105/100)</f>
        <v>418.682</v>
      </c>
      <c r="R105" s="69" t="n">
        <f aca="false">IF($C105="","",SUMIFS(①今日の在庫を貼る!$O$6:$O$10005,①今日の在庫を貼る!$B$6:$B$10005,'設定（最初に1回）'!$C$4,①今日の在庫を貼る!$I$6:$I$10005,$C105))</f>
        <v>0</v>
      </c>
      <c r="S105" s="143" t="n">
        <f aca="false">IF($C105="","",IF('設定（最初に1回）'!$C$9="実績消費",N($O105),IF('設定（最初に1回）'!$C$9="PI値予測",N($Q105),MAX(N($O105),N($Q105)))))</f>
        <v>0.0163934426229508</v>
      </c>
      <c r="T105" s="67" t="n">
        <f aca="false">IF(OR($S105="",$S105&lt;=0),"",$K105/$S105)</f>
        <v>0</v>
      </c>
      <c r="U105" s="69" t="n">
        <f aca="false">IF($S105="","",ROUNDUP(N($S105)*'設定（最初に1回）'!$C$12,0))</f>
        <v>1</v>
      </c>
      <c r="V105" s="69" t="n">
        <f aca="false">IF($C105="","",ROUNDUP(N($S105)*(N($I105)+N($AG105))+N($U105),0))</f>
        <v>2</v>
      </c>
      <c r="W105" s="69" t="n">
        <f aca="false">IF($C105="","",SUMIFS(発注管理!$L$6:$L$1005,発注管理!$C$6:$C$1005,'設定（最初に1回）'!$C$4,発注管理!$F$6:$F$1005,$C105,発注管理!$Q$6:$Q$1005,"発注済"))</f>
        <v>0</v>
      </c>
      <c r="X105" s="69" t="n">
        <f aca="false">IF($C105="","",MAX(0,N($V105)-N($K105)-N($W105)))</f>
        <v>2</v>
      </c>
      <c r="Y105" s="147" t="n">
        <f aca="false">IF($C105="","",IF(N($X105)&lt;=0,0,CEILING($X105/MAX(1,N($G105)),MAX(1,N($J105)))))</f>
        <v>1</v>
      </c>
      <c r="Z105" s="138" t="str">
        <f aca="false">IF($C105="","",IF(N($Y105)&gt;0,"要発注","正常"))</f>
        <v>要発注</v>
      </c>
      <c r="AA105" s="71" t="n">
        <f aca="false">IF($C105="","",N($K105)*N($H105))</f>
        <v>0</v>
      </c>
      <c r="AB105" s="66" t="str">
        <f aca="false">IF($C105="","",_xlfn.TEXTJOIN(" / ",TRUE(),IF(COUNTIF(商品マスタ!$B$6:$B$1005,$C105)=0,"マスタ未登録",""),IF(COUNTIFS(月1回_前回の在庫を貼る!$B$6:$B$10005,'設定（最初に1回）'!$C$4,月1回_前回の在庫を貼る!$I$6:$I$10005,$C105)=0,"新商品",""),IF(COUNTIFS(①今日の在庫を貼る!$B$6:$B$10005,'設定（最初に1回）'!$C$4,①今日の在庫を貼る!$I$6:$I$10005,$C105)=0,"終売候補",""),IF(N($K105)&lt;0,"在庫マイナス",""),IF(AND('設定（最初に1回）'!$C$9="PI値予測",$P105=""),"PI値未設定","")))</f>
        <v/>
      </c>
      <c r="AC105" s="71" t="n">
        <f aca="false">N($Y105)*N($H105)</f>
        <v>17.95</v>
      </c>
      <c r="AD105" s="66" t="str">
        <f aca="false">IF($C105="","",IFERROR(INDEX(商品マスタ!$K$6:$K$1005,MATCH($C105,商品マスタ!$B$6:$B$1005,0)),"常温"))</f>
        <v>常温</v>
      </c>
      <c r="AE105" s="69" t="n">
        <f aca="false">IF($C105="","",MAX(0,ROUNDUP(N($K105)/MAX(1,N($G105)),0)))</f>
        <v>0</v>
      </c>
      <c r="AF105" s="66" t="str">
        <f aca="false">IF($C105="","",IFERROR(INDEX(商品マスタ!$L$6:$L$1005,MATCH($C105,商品マスタ!$B$6:$B$1005,0)),""))</f>
        <v>常温包材</v>
      </c>
      <c r="AG105" s="143" t="n">
        <f aca="false">IF($C105="","",IFERROR(INDEX(定数マスタ!$S$110:$S$119,MATCH($AF105,定数マスタ!$J$110:$J$119,0)),N('設定（最初に1回）'!$C$13)))</f>
        <v>7</v>
      </c>
      <c r="AH105" s="66" t="n">
        <f aca="false">IF(AND(N($K105)&gt;0,N($Y105)&gt;0),N($Y105),0)</f>
        <v>0</v>
      </c>
    </row>
    <row r="106" customFormat="false" ht="15" hidden="false" customHeight="false" outlineLevel="0" collapsed="false">
      <c r="B106" s="66" t="n">
        <v>101</v>
      </c>
      <c r="C106" s="66" t="str">
        <f aca="false">IFERROR(IF($B106&lt;=MAX(①今日の在庫を貼る!$U$6:$U$10005),INDEX(①今日の在庫を貼る!$I$6:$I$10005,MATCH($B106,①今日の在庫を貼る!$U$6:$U$10005,0)),INDEX(月1回_前回の在庫を貼る!$I$6:$I$10005,MATCH($B106-MAX(①今日の在庫を貼る!$U$6:$U$10005),月1回_前回の在庫を貼る!$U$6:$U$10005,0))),"")</f>
        <v>1812000013299</v>
      </c>
      <c r="D106" s="66" t="str">
        <f aca="false">IF($C106="","",IFERROR(INDEX(商品マスタ!$C$6:$C$1005,MATCH($C106,商品マスタ!$B$6:$B$1005,0)),IFERROR(INDEX(①今日の在庫を貼る!$J$6:$J$10005,MATCH($C106,①今日の在庫を貼る!$I$6:$I$10005,0)),IFERROR(INDEX(月1回_前回の在庫を貼る!$J$6:$J$10005,MATCH($C106,月1回_前回の在庫を貼る!$I$6:$I$10005,0)),""))))</f>
        <v>バイオマスタピオカストロー　赤裸</v>
      </c>
      <c r="E106" s="66" t="str">
        <f aca="false">IF($C106="","",IFERROR(INDEX(商品マスタ!$D$6:$D$1005,MATCH($C106,商品マスタ!$B$6:$B$1005,0)),IFERROR(INDEX(①今日の在庫を貼る!$H$6:$H$10005,MATCH($C106,①今日の在庫を貼る!$I$6:$I$10005,0)),IFERROR(INDEX(月1回_前回の在庫を貼る!$H$6:$H$10005,MATCH($C106,月1回_前回の在庫を貼る!$I$6:$I$10005,0)),""))))</f>
        <v>コンセ包材</v>
      </c>
      <c r="F106" s="66" t="str">
        <f aca="false">IF($C106="","",IFERROR(INDEX(商品マスタ!$E$6:$E$1005,MATCH($C106,商品マスタ!$B$6:$B$1005,0)),IFERROR(INDEX(①今日の在庫を貼る!$E$6:$E$10005,MATCH($C106,①今日の在庫を貼る!$I$6:$I$10005,0)),IFERROR(INDEX(月1回_前回の在庫を貼る!$E$6:$E$10005,MATCH($C106,月1回_前回の在庫を貼る!$I$6:$I$10005,0)),""))))</f>
        <v>オザックス株式会社</v>
      </c>
      <c r="G106" s="69" t="n">
        <f aca="false">IF($C106="","",IFERROR(INDEX(商品マスタ!$F$6:$F$1005,MATCH($C106,商品マスタ!$B$6:$B$1005,0)),IFERROR(INDEX(①今日の在庫を貼る!$K$6:$K$10005,MATCH($C106,①今日の在庫を貼る!$I$6:$I$10005,0)),IFERROR(INDEX(月1回_前回の在庫を貼る!$K$6:$K$10005,MATCH($C106,月1回_前回の在庫を貼る!$I$6:$I$10005,0)),""))))</f>
        <v>200</v>
      </c>
      <c r="H106" s="71" t="n">
        <f aca="false">IF($C106="","",IFERROR(INDEX(商品マスタ!$G$6:$G$1005,MATCH($C106,商品マスタ!$B$6:$B$1005,0)),IFERROR(INDEX(①今日の在庫を貼る!$Q$6:$Q$10005,MATCH($C106,①今日の在庫を貼る!$I$6:$I$10005,0)),IFERROR(INDEX(月1回_前回の在庫を貼る!$Q$6:$Q$10005,MATCH($C106,月1回_前回の在庫を貼る!$I$6:$I$10005,0)),""))))</f>
        <v>5.03</v>
      </c>
      <c r="I106" s="66" t="n">
        <f aca="false">IF($C106="","",IFERROR(INDEX(商品マスタ!$H$6:$H$1005,MATCH($C106,商品マスタ!$B$6:$B$1005,0)),3))</f>
        <v>7</v>
      </c>
      <c r="J106" s="66" t="n">
        <f aca="false">IF($C106="","",MAX(1,IFERROR(INDEX(商品マスタ!$I$6:$I$1005,MATCH($C106,商品マスタ!$B$6:$B$1005,0)),1)))</f>
        <v>1</v>
      </c>
      <c r="K106" s="69" t="n">
        <f aca="false">IF($C106="","",SUMIFS(①今日の在庫を貼る!$N$6:$N$10005,①今日の在庫を貼る!$B$6:$B$10005,'設定（最初に1回）'!$C$4,①今日の在庫を貼る!$I$6:$I$10005,$C106))</f>
        <v>7513</v>
      </c>
      <c r="L106" s="69" t="n">
        <f aca="false">IF($C106="","",SUMIFS(月1回_前回の在庫を貼る!$N$6:$N$10005,月1回_前回の在庫を貼る!$B$6:$B$10005,'設定（最初に1回）'!$C$4,月1回_前回の在庫を貼る!$I$6:$I$10005,$C106))</f>
        <v>20005</v>
      </c>
      <c r="M106" s="69" t="n">
        <f aca="false">IF($C106="","",IF(OR('設定（最初に1回）'!$C$6="",'設定（最初に1回）'!$C$7=""),0,SUMIFS(発注管理!$S$6:$S$1005,発注管理!$C$6:$C$1005,'設定（最初に1回）'!$C$4,発注管理!$F$6:$F$1005,$C106,発注管理!$R$6:$R$1005,"&gt;="&amp;'設定（最初に1回）'!$C$7,発注管理!$R$6:$R$1005,"&lt;="&amp;'設定（最初に1回）'!$C$6)))</f>
        <v>0</v>
      </c>
      <c r="N106" s="69" t="n">
        <f aca="false">IF(OR($C106="",'設定（最初に1回）'!$C$15=0),"",$L106+$M106-$K106)</f>
        <v>12492</v>
      </c>
      <c r="O106" s="143" t="n">
        <f aca="false">IF(OR($N106="",'設定（最初に1回）'!$C$8="",'設定（最初に1回）'!$C$8&lt;=0),"",MAX(0,$N106)/'設定（最初に1回）'!$C$8)</f>
        <v>204.786885245902</v>
      </c>
      <c r="P106" s="143" t="n">
        <f aca="false">IF($C106="","",IFERROR(INDEX(商品マスタ!$M$6:$N$1005,MATCH($C106,商品マスタ!$B$6:$B$1005,0),MATCH("PI値 "&amp;'設定（最初に1回）'!$C$11,商品マスタ!$M$5:$N$5,0)),""))</f>
        <v>6.9</v>
      </c>
      <c r="Q106" s="143" t="n">
        <f aca="false">IF(OR($C106="",$P106="",$P106=0,(N($I106)+N($AG106))&lt;=0),"",IFERROR(SUMIFS(随時_動員を入れる!$G$8:$G$97,随時_動員を入れる!$B$8:$B$97,"&gt;="&amp;'設定（最初に1回）'!$C$6,随時_動員を入れる!$B$8:$B$97,"&lt;="&amp;'設定（最初に1回）'!$C$6+(N($I106)+N($AG106))-1)/(N($I106)+N($AG106)),0)*$P106/100)</f>
        <v>222.249</v>
      </c>
      <c r="R106" s="69" t="n">
        <f aca="false">IF($C106="","",SUMIFS(①今日の在庫を貼る!$O$6:$O$10005,①今日の在庫を貼る!$B$6:$B$10005,'設定（最初に1回）'!$C$4,①今日の在庫を貼る!$I$6:$I$10005,$C106))</f>
        <v>0</v>
      </c>
      <c r="S106" s="143" t="n">
        <f aca="false">IF($C106="","",IF('設定（最初に1回）'!$C$9="実績消費",N($O106),IF('設定（最初に1回）'!$C$9="PI値予測",N($Q106),MAX(N($O106),N($Q106)))))</f>
        <v>204.786885245902</v>
      </c>
      <c r="T106" s="67" t="n">
        <f aca="false">IF(OR($S106="",$S106&lt;=0),"",$K106/$S106)</f>
        <v>36.6869196285623</v>
      </c>
      <c r="U106" s="69" t="n">
        <f aca="false">IF($S106="","",ROUNDUP(N($S106)*'設定（最初に1回）'!$C$12,0))</f>
        <v>820</v>
      </c>
      <c r="V106" s="69" t="n">
        <f aca="false">IF($C106="","",ROUNDUP(N($S106)*(N($I106)+N($AG106))+N($U106),0))</f>
        <v>3688</v>
      </c>
      <c r="W106" s="69" t="n">
        <f aca="false">IF($C106="","",SUMIFS(発注管理!$L$6:$L$1005,発注管理!$C$6:$C$1005,'設定（最初に1回）'!$C$4,発注管理!$F$6:$F$1005,$C106,発注管理!$Q$6:$Q$1005,"発注済"))</f>
        <v>0</v>
      </c>
      <c r="X106" s="69" t="n">
        <f aca="false">IF($C106="","",MAX(0,N($V106)-N($K106)-N($W106)))</f>
        <v>0</v>
      </c>
      <c r="Y106" s="147" t="n">
        <f aca="false">IF($C106="","",IF(N($X106)&lt;=0,0,CEILING($X106/MAX(1,N($G106)),MAX(1,N($J106)))))</f>
        <v>0</v>
      </c>
      <c r="Z106" s="138" t="str">
        <f aca="false">IF($C106="","",IF(N($Y106)&gt;0,"要発注","正常"))</f>
        <v>正常</v>
      </c>
      <c r="AA106" s="71" t="n">
        <f aca="false">IF($C106="","",N($K106)*N($H106))</f>
        <v>37790.39</v>
      </c>
      <c r="AB106" s="66" t="str">
        <f aca="false">IF($C106="","",_xlfn.TEXTJOIN(" / ",TRUE(),IF(COUNTIF(商品マスタ!$B$6:$B$1005,$C106)=0,"マスタ未登録",""),IF(COUNTIFS(月1回_前回の在庫を貼る!$B$6:$B$10005,'設定（最初に1回）'!$C$4,月1回_前回の在庫を貼る!$I$6:$I$10005,$C106)=0,"新商品",""),IF(COUNTIFS(①今日の在庫を貼る!$B$6:$B$10005,'設定（最初に1回）'!$C$4,①今日の在庫を貼る!$I$6:$I$10005,$C106)=0,"終売候補",""),IF(N($K106)&lt;0,"在庫マイナス",""),IF(AND('設定（最初に1回）'!$C$9="PI値予測",$P106=""),"PI値未設定","")))</f>
        <v/>
      </c>
      <c r="AC106" s="71" t="n">
        <f aca="false">N($Y106)*N($H106)</f>
        <v>0</v>
      </c>
      <c r="AD106" s="66" t="str">
        <f aca="false">IF($C106="","",IFERROR(INDEX(商品マスタ!$K$6:$K$1005,MATCH($C106,商品マスタ!$B$6:$B$1005,0)),"常温"))</f>
        <v>常温</v>
      </c>
      <c r="AE106" s="69" t="n">
        <f aca="false">IF($C106="","",MAX(0,ROUNDUP(N($K106)/MAX(1,N($G106)),0)))</f>
        <v>38</v>
      </c>
      <c r="AF106" s="66" t="str">
        <f aca="false">IF($C106="","",IFERROR(INDEX(商品マスタ!$L$6:$L$1005,MATCH($C106,商品マスタ!$B$6:$B$1005,0)),""))</f>
        <v>常温包材</v>
      </c>
      <c r="AG106" s="143" t="n">
        <f aca="false">IF($C106="","",IFERROR(INDEX(定数マスタ!$S$110:$S$119,MATCH($AF106,定数マスタ!$J$110:$J$119,0)),N('設定（最初に1回）'!$C$13)))</f>
        <v>7</v>
      </c>
      <c r="AH106" s="66" t="n">
        <f aca="false">IF(AND(N($K106)&gt;0,N($Y106)&gt;0),N($Y106),0)</f>
        <v>0</v>
      </c>
    </row>
    <row r="107" customFormat="false" ht="15" hidden="false" customHeight="false" outlineLevel="0" collapsed="false">
      <c r="B107" s="66" t="n">
        <v>102</v>
      </c>
      <c r="C107" s="66" t="str">
        <f aca="false">IFERROR(IF($B107&lt;=MAX(①今日の在庫を貼る!$U$6:$U$10005),INDEX(①今日の在庫を貼る!$I$6:$I$10005,MATCH($B107,①今日の在庫を貼る!$U$6:$U$10005,0)),INDEX(月1回_前回の在庫を貼る!$I$6:$I$10005,MATCH($B107-MAX(①今日の在庫を貼る!$U$6:$U$10005),月1回_前回の在庫を貼る!$U$6:$U$10005,0))),"")</f>
        <v>1812000013305</v>
      </c>
      <c r="D107" s="66" t="str">
        <f aca="false">IF($C107="","",IFERROR(INDEX(商品マスタ!$C$6:$C$1005,MATCH($C107,商品マスタ!$B$6:$B$1005,0)),IFERROR(INDEX(①今日の在庫を貼る!$J$6:$J$10005,MATCH($C107,①今日の在庫を貼る!$I$6:$I$10005,0)),IFERROR(INDEX(月1回_前回の在庫を貼る!$J$6:$J$10005,MATCH($C107,月1回_前回の在庫を貼る!$I$6:$I$10005,0)),""))))</f>
        <v>ＩＣＥＥＰｌｕｓカップＢＩＰ６０</v>
      </c>
      <c r="E107" s="66" t="str">
        <f aca="false">IF($C107="","",IFERROR(INDEX(商品マスタ!$D$6:$D$1005,MATCH($C107,商品マスタ!$B$6:$B$1005,0)),IFERROR(INDEX(①今日の在庫を貼る!$H$6:$H$10005,MATCH($C107,①今日の在庫を貼る!$I$6:$I$10005,0)),IFERROR(INDEX(月1回_前回の在庫を貼る!$H$6:$H$10005,MATCH($C107,月1回_前回の在庫を貼る!$I$6:$I$10005,0)),""))))</f>
        <v>コンセ包材</v>
      </c>
      <c r="F107" s="66" t="str">
        <f aca="false">IF($C107="","",IFERROR(INDEX(商品マスタ!$E$6:$E$1005,MATCH($C107,商品マスタ!$B$6:$B$1005,0)),IFERROR(INDEX(①今日の在庫を貼る!$E$6:$E$10005,MATCH($C107,①今日の在庫を貼る!$I$6:$I$10005,0)),IFERROR(INDEX(月1回_前回の在庫を貼る!$E$6:$E$10005,MATCH($C107,月1回_前回の在庫を貼る!$I$6:$I$10005,0)),""))))</f>
        <v>オザックス株式会社</v>
      </c>
      <c r="G107" s="69" t="n">
        <f aca="false">IF($C107="","",IFERROR(INDEX(商品マスタ!$F$6:$F$1005,MATCH($C107,商品マスタ!$B$6:$B$1005,0)),IFERROR(INDEX(①今日の在庫を貼る!$K$6:$K$10005,MATCH($C107,①今日の在庫を貼る!$I$6:$I$10005,0)),IFERROR(INDEX(月1回_前回の在庫を貼る!$K$6:$K$10005,MATCH($C107,月1回_前回の在庫を貼る!$I$6:$I$10005,0)),""))))</f>
        <v>1000</v>
      </c>
      <c r="H107" s="71" t="n">
        <f aca="false">IF($C107="","",IFERROR(INDEX(商品マスタ!$G$6:$G$1005,MATCH($C107,商品マスタ!$B$6:$B$1005,0)),IFERROR(INDEX(①今日の在庫を貼る!$Q$6:$Q$10005,MATCH($C107,①今日の在庫を貼る!$I$6:$I$10005,0)),IFERROR(INDEX(月1回_前回の在庫を貼る!$Q$6:$Q$10005,MATCH($C107,月1回_前回の在庫を貼る!$I$6:$I$10005,0)),""))))</f>
        <v>15.3</v>
      </c>
      <c r="I107" s="66" t="n">
        <f aca="false">IF($C107="","",IFERROR(INDEX(商品マスタ!$H$6:$H$1005,MATCH($C107,商品マスタ!$B$6:$B$1005,0)),3))</f>
        <v>4</v>
      </c>
      <c r="J107" s="66" t="n">
        <f aca="false">IF($C107="","",MAX(1,IFERROR(INDEX(商品マスタ!$I$6:$I$1005,MATCH($C107,商品マスタ!$B$6:$B$1005,0)),1)))</f>
        <v>5</v>
      </c>
      <c r="K107" s="69" t="n">
        <f aca="false">IF($C107="","",SUMIFS(①今日の在庫を貼る!$N$6:$N$10005,①今日の在庫を貼る!$B$6:$B$10005,'設定（最初に1回）'!$C$4,①今日の在庫を貼る!$I$6:$I$10005,$C107))</f>
        <v>1672</v>
      </c>
      <c r="L107" s="69" t="n">
        <f aca="false">IF($C107="","",SUMIFS(月1回_前回の在庫を貼る!$N$6:$N$10005,月1回_前回の在庫を貼る!$B$6:$B$10005,'設定（最初に1回）'!$C$4,月1回_前回の在庫を貼る!$I$6:$I$10005,$C107))</f>
        <v>6185</v>
      </c>
      <c r="M107" s="69" t="n">
        <f aca="false">IF($C107="","",IF(OR('設定（最初に1回）'!$C$6="",'設定（最初に1回）'!$C$7=""),0,SUMIFS(発注管理!$S$6:$S$1005,発注管理!$C$6:$C$1005,'設定（最初に1回）'!$C$4,発注管理!$F$6:$F$1005,$C107,発注管理!$R$6:$R$1005,"&gt;="&amp;'設定（最初に1回）'!$C$7,発注管理!$R$6:$R$1005,"&lt;="&amp;'設定（最初に1回）'!$C$6)))</f>
        <v>0</v>
      </c>
      <c r="N107" s="69" t="n">
        <f aca="false">IF(OR($C107="",'設定（最初に1回）'!$C$15=0),"",$L107+$M107-$K107)</f>
        <v>4513</v>
      </c>
      <c r="O107" s="143" t="n">
        <f aca="false">IF(OR($N107="",'設定（最初に1回）'!$C$8="",'設定（最初に1回）'!$C$8&lt;=0),"",MAX(0,$N107)/'設定（最初に1回）'!$C$8)</f>
        <v>73.983606557377</v>
      </c>
      <c r="P107" s="143" t="n">
        <f aca="false">IF($C107="","",IFERROR(INDEX(商品マスタ!$M$6:$N$1005,MATCH($C107,商品マスタ!$B$6:$B$1005,0),MATCH("PI値 "&amp;'設定（最初に1回）'!$C$11,商品マスタ!$M$5:$N$5,0)),""))</f>
        <v>12.7</v>
      </c>
      <c r="Q107" s="143" t="n">
        <f aca="false">IF(OR($C107="",$P107="",$P107=0,(N($I107)+N($AG107))&lt;=0),"",IFERROR(SUMIFS(随時_動員を入れる!$G$8:$G$97,随時_動員を入れる!$B$8:$B$97,"&gt;="&amp;'設定（最初に1回）'!$C$6,随時_動員を入れる!$B$8:$B$97,"&lt;="&amp;'設定（最初に1回）'!$C$6+(N($I107)+N($AG107))-1)/(N($I107)+N($AG107)),0)*$P107/100)</f>
        <v>475.049272727273</v>
      </c>
      <c r="R107" s="69" t="n">
        <f aca="false">IF($C107="","",SUMIFS(①今日の在庫を貼る!$O$6:$O$10005,①今日の在庫を貼る!$B$6:$B$10005,'設定（最初に1回）'!$C$4,①今日の在庫を貼る!$I$6:$I$10005,$C107))</f>
        <v>0</v>
      </c>
      <c r="S107" s="143" t="n">
        <f aca="false">IF($C107="","",IF('設定（最初に1回）'!$C$9="実績消費",N($O107),IF('設定（最初に1回）'!$C$9="PI値予測",N($Q107),MAX(N($O107),N($Q107)))))</f>
        <v>73.983606557377</v>
      </c>
      <c r="T107" s="67" t="n">
        <f aca="false">IF(OR($S107="",$S107&lt;=0),"",$K107/$S107)</f>
        <v>22.5996011522269</v>
      </c>
      <c r="U107" s="69" t="n">
        <f aca="false">IF($S107="","",ROUNDUP(N($S107)*'設定（最初に1回）'!$C$12,0))</f>
        <v>296</v>
      </c>
      <c r="V107" s="69" t="n">
        <f aca="false">IF($C107="","",ROUNDUP(N($S107)*(N($I107)+N($AG107))+N($U107),0))</f>
        <v>1110</v>
      </c>
      <c r="W107" s="69" t="n">
        <f aca="false">IF($C107="","",SUMIFS(発注管理!$L$6:$L$1005,発注管理!$C$6:$C$1005,'設定（最初に1回）'!$C$4,発注管理!$F$6:$F$1005,$C107,発注管理!$Q$6:$Q$1005,"発注済"))</f>
        <v>0</v>
      </c>
      <c r="X107" s="69" t="n">
        <f aca="false">IF($C107="","",MAX(0,N($V107)-N($K107)-N($W107)))</f>
        <v>0</v>
      </c>
      <c r="Y107" s="147" t="n">
        <f aca="false">IF($C107="","",IF(N($X107)&lt;=0,0,CEILING($X107/MAX(1,N($G107)),MAX(1,N($J107)))))</f>
        <v>0</v>
      </c>
      <c r="Z107" s="138" t="str">
        <f aca="false">IF($C107="","",IF(N($Y107)&gt;0,"要発注","正常"))</f>
        <v>正常</v>
      </c>
      <c r="AA107" s="71" t="n">
        <f aca="false">IF($C107="","",N($K107)*N($H107))</f>
        <v>25581.6</v>
      </c>
      <c r="AB107" s="66" t="str">
        <f aca="false">IF($C107="","",_xlfn.TEXTJOIN(" / ",TRUE(),IF(COUNTIF(商品マスタ!$B$6:$B$1005,$C107)=0,"マスタ未登録",""),IF(COUNTIFS(月1回_前回の在庫を貼る!$B$6:$B$10005,'設定（最初に1回）'!$C$4,月1回_前回の在庫を貼る!$I$6:$I$10005,$C107)=0,"新商品",""),IF(COUNTIFS(①今日の在庫を貼る!$B$6:$B$10005,'設定（最初に1回）'!$C$4,①今日の在庫を貼る!$I$6:$I$10005,$C107)=0,"終売候補",""),IF(N($K107)&lt;0,"在庫マイナス",""),IF(AND('設定（最初に1回）'!$C$9="PI値予測",$P107=""),"PI値未設定","")))</f>
        <v/>
      </c>
      <c r="AC107" s="71" t="n">
        <f aca="false">N($Y107)*N($H107)</f>
        <v>0</v>
      </c>
      <c r="AD107" s="66" t="str">
        <f aca="false">IF($C107="","",IFERROR(INDEX(商品マスタ!$K$6:$K$1005,MATCH($C107,商品マスタ!$B$6:$B$1005,0)),"常温"))</f>
        <v>常温</v>
      </c>
      <c r="AE107" s="69" t="n">
        <f aca="false">IF($C107="","",MAX(0,ROUNDUP(N($K107)/MAX(1,N($G107)),0)))</f>
        <v>2</v>
      </c>
      <c r="AF107" s="66" t="str">
        <f aca="false">IF($C107="","",IFERROR(INDEX(商品マスタ!$L$6:$L$1005,MATCH($C107,商品マスタ!$B$6:$B$1005,0)),""))</f>
        <v>常温包材</v>
      </c>
      <c r="AG107" s="143" t="n">
        <f aca="false">IF($C107="","",IFERROR(INDEX(定数マスタ!$S$110:$S$119,MATCH($AF107,定数マスタ!$J$110:$J$119,0)),N('設定（最初に1回）'!$C$13)))</f>
        <v>7</v>
      </c>
      <c r="AH107" s="66" t="n">
        <f aca="false">IF(AND(N($K107)&gt;0,N($Y107)&gt;0),N($Y107),0)</f>
        <v>0</v>
      </c>
    </row>
    <row r="108" customFormat="false" ht="15" hidden="false" customHeight="false" outlineLevel="0" collapsed="false">
      <c r="B108" s="66" t="n">
        <v>103</v>
      </c>
      <c r="C108" s="66" t="str">
        <f aca="false">IFERROR(IF($B108&lt;=MAX(①今日の在庫を貼る!$U$6:$U$10005),INDEX(①今日の在庫を貼る!$I$6:$I$10005,MATCH($B108,①今日の在庫を貼る!$U$6:$U$10005,0)),INDEX(月1回_前回の在庫を貼る!$I$6:$I$10005,MATCH($B108-MAX(①今日の在庫を貼る!$U$6:$U$10005),月1回_前回の在庫を貼る!$U$6:$U$10005,0))),"")</f>
        <v>1814000001535</v>
      </c>
      <c r="D108" s="66" t="str">
        <f aca="false">IF($C108="","",IFERROR(INDEX(商品マスタ!$C$6:$C$1005,MATCH($C108,商品マスタ!$B$6:$B$1005,0)),IFERROR(INDEX(①今日の在庫を貼る!$J$6:$J$10005,MATCH($C108,①今日の在庫を貼る!$I$6:$I$10005,0)),IFERROR(INDEX(月1回_前回の在庫を貼る!$J$6:$J$10005,MATCH($C108,月1回_前回の在庫を貼る!$I$6:$I$10005,0)),""))))</f>
        <v>ドリンクリッド共用５４５Ｆ</v>
      </c>
      <c r="E108" s="66" t="str">
        <f aca="false">IF($C108="","",IFERROR(INDEX(商品マスタ!$D$6:$D$1005,MATCH($C108,商品マスタ!$B$6:$B$1005,0)),IFERROR(INDEX(①今日の在庫を貼る!$H$6:$H$10005,MATCH($C108,①今日の在庫を貼る!$I$6:$I$10005,0)),IFERROR(INDEX(月1回_前回の在庫を貼る!$H$6:$H$10005,MATCH($C108,月1回_前回の在庫を貼る!$I$6:$I$10005,0)),""))))</f>
        <v>コンセ包材</v>
      </c>
      <c r="F108" s="66" t="str">
        <f aca="false">IF($C108="","",IFERROR(INDEX(商品マスタ!$E$6:$E$1005,MATCH($C108,商品マスタ!$B$6:$B$1005,0)),IFERROR(INDEX(①今日の在庫を貼る!$E$6:$E$10005,MATCH($C108,①今日の在庫を貼る!$I$6:$I$10005,0)),IFERROR(INDEX(月1回_前回の在庫を貼る!$E$6:$E$10005,MATCH($C108,月1回_前回の在庫を貼る!$I$6:$I$10005,0)),""))))</f>
        <v>オザックス株式会社</v>
      </c>
      <c r="G108" s="69" t="n">
        <f aca="false">IF($C108="","",IFERROR(INDEX(商品マスタ!$F$6:$F$1005,MATCH($C108,商品マスタ!$B$6:$B$1005,0)),IFERROR(INDEX(①今日の在庫を貼る!$K$6:$K$10005,MATCH($C108,①今日の在庫を貼る!$I$6:$I$10005,0)),IFERROR(INDEX(月1回_前回の在庫を貼る!$K$6:$K$10005,MATCH($C108,月1回_前回の在庫を貼る!$I$6:$I$10005,0)),""))))</f>
        <v>3000</v>
      </c>
      <c r="H108" s="71" t="n">
        <f aca="false">IF($C108="","",IFERROR(INDEX(商品マスタ!$G$6:$G$1005,MATCH($C108,商品マスタ!$B$6:$B$1005,0)),IFERROR(INDEX(①今日の在庫を貼る!$Q$6:$Q$10005,MATCH($C108,①今日の在庫を貼る!$I$6:$I$10005,0)),IFERROR(INDEX(月1回_前回の在庫を貼る!$Q$6:$Q$10005,MATCH($C108,月1回_前回の在庫を貼る!$I$6:$I$10005,0)),""))))</f>
        <v>2.05</v>
      </c>
      <c r="I108" s="66" t="n">
        <f aca="false">IF($C108="","",IFERROR(INDEX(商品マスタ!$H$6:$H$1005,MATCH($C108,商品マスタ!$B$6:$B$1005,0)),3))</f>
        <v>7</v>
      </c>
      <c r="J108" s="66" t="n">
        <f aca="false">IF($C108="","",MAX(1,IFERROR(INDEX(商品マスタ!$I$6:$I$1005,MATCH($C108,商品マスタ!$B$6:$B$1005,0)),1)))</f>
        <v>1</v>
      </c>
      <c r="K108" s="69" t="n">
        <f aca="false">IF($C108="","",SUMIFS(①今日の在庫を貼る!$N$6:$N$10005,①今日の在庫を貼る!$B$6:$B$10005,'設定（最初に1回）'!$C$4,①今日の在庫を貼る!$I$6:$I$10005,$C108))</f>
        <v>10634</v>
      </c>
      <c r="L108" s="69" t="n">
        <f aca="false">IF($C108="","",SUMIFS(月1回_前回の在庫を貼る!$N$6:$N$10005,月1回_前回の在庫を貼る!$B$6:$B$10005,'設定（最初に1回）'!$C$4,月1回_前回の在庫を貼る!$I$6:$I$10005,$C108))</f>
        <v>77721</v>
      </c>
      <c r="M108" s="69" t="n">
        <f aca="false">IF($C108="","",IF(OR('設定（最初に1回）'!$C$6="",'設定（最初に1回）'!$C$7=""),0,SUMIFS(発注管理!$S$6:$S$1005,発注管理!$C$6:$C$1005,'設定（最初に1回）'!$C$4,発注管理!$F$6:$F$1005,$C108,発注管理!$R$6:$R$1005,"&gt;="&amp;'設定（最初に1回）'!$C$7,発注管理!$R$6:$R$1005,"&lt;="&amp;'設定（最初に1回）'!$C$6)))</f>
        <v>0</v>
      </c>
      <c r="N108" s="69" t="n">
        <f aca="false">IF(OR($C108="",'設定（最初に1回）'!$C$15=0),"",$L108+$M108-$K108)</f>
        <v>67087</v>
      </c>
      <c r="O108" s="143" t="n">
        <f aca="false">IF(OR($N108="",'設定（最初に1回）'!$C$8="",'設定（最初に1回）'!$C$8&lt;=0),"",MAX(0,$N108)/'設定（最初に1回）'!$C$8)</f>
        <v>1099.7868852459</v>
      </c>
      <c r="P108" s="143" t="n">
        <f aca="false">IF($C108="","",IFERROR(INDEX(商品マスタ!$M$6:$N$1005,MATCH($C108,商品マスタ!$B$6:$B$1005,0),MATCH("PI値 "&amp;'設定（最初に1回）'!$C$11,商品マスタ!$M$5:$N$5,0)),""))</f>
        <v>9.2</v>
      </c>
      <c r="Q108" s="143" t="n">
        <f aca="false">IF(OR($C108="",$P108="",$P108=0,(N($I108)+N($AG108))&lt;=0),"",IFERROR(SUMIFS(随時_動員を入れる!$G$8:$G$97,随時_動員を入れる!$B$8:$B$97,"&gt;="&amp;'設定（最初に1回）'!$C$6,随時_動員を入れる!$B$8:$B$97,"&lt;="&amp;'設定（最初に1回）'!$C$6+(N($I108)+N($AG108))-1)/(N($I108)+N($AG108)),0)*$P108/100)</f>
        <v>296.332</v>
      </c>
      <c r="R108" s="69" t="n">
        <f aca="false">IF($C108="","",SUMIFS(①今日の在庫を貼る!$O$6:$O$10005,①今日の在庫を貼る!$B$6:$B$10005,'設定（最初に1回）'!$C$4,①今日の在庫を貼る!$I$6:$I$10005,$C108))</f>
        <v>0</v>
      </c>
      <c r="S108" s="143" t="n">
        <f aca="false">IF($C108="","",IF('設定（最初に1回）'!$C$9="実績消費",N($O108),IF('設定（最初に1回）'!$C$9="PI値予測",N($Q108),MAX(N($O108),N($Q108)))))</f>
        <v>1099.7868852459</v>
      </c>
      <c r="T108" s="67" t="n">
        <f aca="false">IF(OR($S108="",$S108&lt;=0),"",$K108/$S108)</f>
        <v>9.66914603425403</v>
      </c>
      <c r="U108" s="69" t="n">
        <f aca="false">IF($S108="","",ROUNDUP(N($S108)*'設定（最初に1回）'!$C$12,0))</f>
        <v>4400</v>
      </c>
      <c r="V108" s="69" t="n">
        <f aca="false">IF($C108="","",ROUNDUP(N($S108)*(N($I108)+N($AG108))+N($U108),0))</f>
        <v>19798</v>
      </c>
      <c r="W108" s="69" t="n">
        <f aca="false">IF($C108="","",SUMIFS(発注管理!$L$6:$L$1005,発注管理!$C$6:$C$1005,'設定（最初に1回）'!$C$4,発注管理!$F$6:$F$1005,$C108,発注管理!$Q$6:$Q$1005,"発注済"))</f>
        <v>0</v>
      </c>
      <c r="X108" s="69" t="n">
        <f aca="false">IF($C108="","",MAX(0,N($V108)-N($K108)-N($W108)))</f>
        <v>9164</v>
      </c>
      <c r="Y108" s="147" t="n">
        <f aca="false">IF($C108="","",IF(N($X108)&lt;=0,0,CEILING($X108/MAX(1,N($G108)),MAX(1,N($J108)))))</f>
        <v>4</v>
      </c>
      <c r="Z108" s="138" t="str">
        <f aca="false">IF($C108="","",IF(N($Y108)&gt;0,"要発注","正常"))</f>
        <v>要発注</v>
      </c>
      <c r="AA108" s="71" t="n">
        <f aca="false">IF($C108="","",N($K108)*N($H108))</f>
        <v>21799.7</v>
      </c>
      <c r="AB108" s="66" t="str">
        <f aca="false">IF($C108="","",_xlfn.TEXTJOIN(" / ",TRUE(),IF(COUNTIF(商品マスタ!$B$6:$B$1005,$C108)=0,"マスタ未登録",""),IF(COUNTIFS(月1回_前回の在庫を貼る!$B$6:$B$10005,'設定（最初に1回）'!$C$4,月1回_前回の在庫を貼る!$I$6:$I$10005,$C108)=0,"新商品",""),IF(COUNTIFS(①今日の在庫を貼る!$B$6:$B$10005,'設定（最初に1回）'!$C$4,①今日の在庫を貼る!$I$6:$I$10005,$C108)=0,"終売候補",""),IF(N($K108)&lt;0,"在庫マイナス",""),IF(AND('設定（最初に1回）'!$C$9="PI値予測",$P108=""),"PI値未設定","")))</f>
        <v/>
      </c>
      <c r="AC108" s="71" t="n">
        <f aca="false">N($Y108)*N($H108)</f>
        <v>8.2</v>
      </c>
      <c r="AD108" s="66" t="str">
        <f aca="false">IF($C108="","",IFERROR(INDEX(商品マスタ!$K$6:$K$1005,MATCH($C108,商品マスタ!$B$6:$B$1005,0)),"常温"))</f>
        <v>常温</v>
      </c>
      <c r="AE108" s="69" t="n">
        <f aca="false">IF($C108="","",MAX(0,ROUNDUP(N($K108)/MAX(1,N($G108)),0)))</f>
        <v>4</v>
      </c>
      <c r="AF108" s="66" t="str">
        <f aca="false">IF($C108="","",IFERROR(INDEX(商品マスタ!$L$6:$L$1005,MATCH($C108,商品マスタ!$B$6:$B$1005,0)),""))</f>
        <v>常温包材</v>
      </c>
      <c r="AG108" s="143" t="n">
        <f aca="false">IF($C108="","",IFERROR(INDEX(定数マスタ!$S$110:$S$119,MATCH($AF108,定数マスタ!$J$110:$J$119,0)),N('設定（最初に1回）'!$C$13)))</f>
        <v>7</v>
      </c>
      <c r="AH108" s="66" t="n">
        <f aca="false">IF(AND(N($K108)&gt;0,N($Y108)&gt;0),N($Y108),0)</f>
        <v>4</v>
      </c>
    </row>
    <row r="109" customFormat="false" ht="15" hidden="false" customHeight="false" outlineLevel="0" collapsed="false">
      <c r="B109" s="66" t="n">
        <v>104</v>
      </c>
      <c r="C109" s="66" t="str">
        <f aca="false">IFERROR(IF($B109&lt;=MAX(①今日の在庫を貼る!$U$6:$U$10005),INDEX(①今日の在庫を貼る!$I$6:$I$10005,MATCH($B109,①今日の在庫を貼る!$U$6:$U$10005,0)),INDEX(月1回_前回の在庫を貼る!$I$6:$I$10005,MATCH($B109-MAX(①今日の在庫を貼る!$U$6:$U$10005),月1回_前回の在庫を貼る!$U$6:$U$10005,0))),"")</f>
        <v>1814000001665</v>
      </c>
      <c r="D109" s="66" t="str">
        <f aca="false">IF($C109="","",IFERROR(INDEX(商品マスタ!$C$6:$C$1005,MATCH($C109,商品マスタ!$B$6:$B$1005,0)),IFERROR(INDEX(①今日の在庫を貼る!$J$6:$J$10005,MATCH($C109,①今日の在庫を貼る!$I$6:$I$10005,0)),IFERROR(INDEX(月1回_前回の在庫を貼る!$J$6:$J$10005,MATCH($C109,月1回_前回の在庫を貼る!$I$6:$I$10005,0)),""))))</f>
        <v>ホットリッド８．５ＯＺ２５０ＤＦ</v>
      </c>
      <c r="E109" s="66" t="str">
        <f aca="false">IF($C109="","",IFERROR(INDEX(商品マスタ!$D$6:$D$1005,MATCH($C109,商品マスタ!$B$6:$B$1005,0)),IFERROR(INDEX(①今日の在庫を貼る!$H$6:$H$10005,MATCH($C109,①今日の在庫を貼る!$I$6:$I$10005,0)),IFERROR(INDEX(月1回_前回の在庫を貼る!$H$6:$H$10005,MATCH($C109,月1回_前回の在庫を貼る!$I$6:$I$10005,0)),""))))</f>
        <v>コンセ包材</v>
      </c>
      <c r="F109" s="66" t="str">
        <f aca="false">IF($C109="","",IFERROR(INDEX(商品マスタ!$E$6:$E$1005,MATCH($C109,商品マスタ!$B$6:$B$1005,0)),IFERROR(INDEX(①今日の在庫を貼る!$E$6:$E$10005,MATCH($C109,①今日の在庫を貼る!$I$6:$I$10005,0)),IFERROR(INDEX(月1回_前回の在庫を貼る!$E$6:$E$10005,MATCH($C109,月1回_前回の在庫を貼る!$I$6:$I$10005,0)),""))))</f>
        <v>オザックス株式会社</v>
      </c>
      <c r="G109" s="69" t="n">
        <f aca="false">IF($C109="","",IFERROR(INDEX(商品マスタ!$F$6:$F$1005,MATCH($C109,商品マスタ!$B$6:$B$1005,0)),IFERROR(INDEX(①今日の在庫を貼る!$K$6:$K$10005,MATCH($C109,①今日の在庫を貼る!$I$6:$I$10005,0)),IFERROR(INDEX(月1回_前回の在庫を貼る!$K$6:$K$10005,MATCH($C109,月1回_前回の在庫を貼る!$I$6:$I$10005,0)),""))))</f>
        <v>2000</v>
      </c>
      <c r="H109" s="71" t="n">
        <f aca="false">IF($C109="","",IFERROR(INDEX(商品マスタ!$G$6:$G$1005,MATCH($C109,商品マスタ!$B$6:$B$1005,0)),IFERROR(INDEX(①今日の在庫を貼る!$Q$6:$Q$10005,MATCH($C109,①今日の在庫を貼る!$I$6:$I$10005,0)),IFERROR(INDEX(月1回_前回の在庫を貼る!$Q$6:$Q$10005,MATCH($C109,月1回_前回の在庫を貼る!$I$6:$I$10005,0)),""))))</f>
        <v>3.18</v>
      </c>
      <c r="I109" s="66" t="n">
        <f aca="false">IF($C109="","",IFERROR(INDEX(商品マスタ!$H$6:$H$1005,MATCH($C109,商品マスタ!$B$6:$B$1005,0)),3))</f>
        <v>2</v>
      </c>
      <c r="J109" s="66" t="n">
        <f aca="false">IF($C109="","",MAX(1,IFERROR(INDEX(商品マスタ!$I$6:$I$1005,MATCH($C109,商品マスタ!$B$6:$B$1005,0)),1)))</f>
        <v>5</v>
      </c>
      <c r="K109" s="69" t="n">
        <f aca="false">IF($C109="","",SUMIFS(①今日の在庫を貼る!$N$6:$N$10005,①今日の在庫を貼る!$B$6:$B$10005,'設定（最初に1回）'!$C$4,①今日の在庫を貼る!$I$6:$I$10005,$C109))</f>
        <v>7800</v>
      </c>
      <c r="L109" s="69" t="n">
        <f aca="false">IF($C109="","",SUMIFS(月1回_前回の在庫を貼る!$N$6:$N$10005,月1回_前回の在庫を貼る!$B$6:$B$10005,'設定（最初に1回）'!$C$4,月1回_前回の在庫を貼る!$I$6:$I$10005,$C109))</f>
        <v>20751</v>
      </c>
      <c r="M109" s="69" t="n">
        <f aca="false">IF($C109="","",IF(OR('設定（最初に1回）'!$C$6="",'設定（最初に1回）'!$C$7=""),0,SUMIFS(発注管理!$S$6:$S$1005,発注管理!$C$6:$C$1005,'設定（最初に1回）'!$C$4,発注管理!$F$6:$F$1005,$C109,発注管理!$R$6:$R$1005,"&gt;="&amp;'設定（最初に1回）'!$C$7,発注管理!$R$6:$R$1005,"&lt;="&amp;'設定（最初に1回）'!$C$6)))</f>
        <v>0</v>
      </c>
      <c r="N109" s="69" t="n">
        <f aca="false">IF(OR($C109="",'設定（最初に1回）'!$C$15=0),"",$L109+$M109-$K109)</f>
        <v>12951</v>
      </c>
      <c r="O109" s="143" t="n">
        <f aca="false">IF(OR($N109="",'設定（最初に1回）'!$C$8="",'設定（最初に1回）'!$C$8&lt;=0),"",MAX(0,$N109)/'設定（最初に1回）'!$C$8)</f>
        <v>212.311475409836</v>
      </c>
      <c r="P109" s="143" t="n">
        <f aca="false">IF($C109="","",IFERROR(INDEX(商品マスタ!$M$6:$N$1005,MATCH($C109,商品マスタ!$B$6:$B$1005,0),MATCH("PI値 "&amp;'設定（最初に1回）'!$C$11,商品マスタ!$M$5:$N$5,0)),""))</f>
        <v>8.7</v>
      </c>
      <c r="Q109" s="143" t="n">
        <f aca="false">IF(OR($C109="",$P109="",$P109=0,(N($I109)+N($AG109))&lt;=0),"",IFERROR(SUMIFS(随時_動員を入れる!$G$8:$G$97,随時_動員を入れる!$B$8:$B$97,"&gt;="&amp;'設定（最初に1回）'!$C$6,随時_動員を入れる!$B$8:$B$97,"&lt;="&amp;'設定（最初に1回）'!$C$6+(N($I109)+N($AG109))-1)/(N($I109)+N($AG109)),0)*$P109/100)</f>
        <v>334.186333333333</v>
      </c>
      <c r="R109" s="69" t="n">
        <f aca="false">IF($C109="","",SUMIFS(①今日の在庫を貼る!$O$6:$O$10005,①今日の在庫を貼る!$B$6:$B$10005,'設定（最初に1回）'!$C$4,①今日の在庫を貼る!$I$6:$I$10005,$C109))</f>
        <v>0</v>
      </c>
      <c r="S109" s="143" t="n">
        <f aca="false">IF($C109="","",IF('設定（最初に1回）'!$C$9="実績消費",N($O109),IF('設定（最初に1回）'!$C$9="PI値予測",N($Q109),MAX(N($O109),N($Q109)))))</f>
        <v>212.311475409836</v>
      </c>
      <c r="T109" s="67" t="n">
        <f aca="false">IF(OR($S109="",$S109&lt;=0),"",$K109/$S109)</f>
        <v>36.738475793375</v>
      </c>
      <c r="U109" s="69" t="n">
        <f aca="false">IF($S109="","",ROUNDUP(N($S109)*'設定（最初に1回）'!$C$12,0))</f>
        <v>850</v>
      </c>
      <c r="V109" s="69" t="n">
        <f aca="false">IF($C109="","",ROUNDUP(N($S109)*(N($I109)+N($AG109))+N($U109),0))</f>
        <v>2761</v>
      </c>
      <c r="W109" s="69" t="n">
        <f aca="false">IF($C109="","",SUMIFS(発注管理!$L$6:$L$1005,発注管理!$C$6:$C$1005,'設定（最初に1回）'!$C$4,発注管理!$F$6:$F$1005,$C109,発注管理!$Q$6:$Q$1005,"発注済"))</f>
        <v>0</v>
      </c>
      <c r="X109" s="69" t="n">
        <f aca="false">IF($C109="","",MAX(0,N($V109)-N($K109)-N($W109)))</f>
        <v>0</v>
      </c>
      <c r="Y109" s="147" t="n">
        <f aca="false">IF($C109="","",IF(N($X109)&lt;=0,0,CEILING($X109/MAX(1,N($G109)),MAX(1,N($J109)))))</f>
        <v>0</v>
      </c>
      <c r="Z109" s="138" t="str">
        <f aca="false">IF($C109="","",IF(N($Y109)&gt;0,"要発注","正常"))</f>
        <v>正常</v>
      </c>
      <c r="AA109" s="71" t="n">
        <f aca="false">IF($C109="","",N($K109)*N($H109))</f>
        <v>24804</v>
      </c>
      <c r="AB109" s="66" t="str">
        <f aca="false">IF($C109="","",_xlfn.TEXTJOIN(" / ",TRUE(),IF(COUNTIF(商品マスタ!$B$6:$B$1005,$C109)=0,"マスタ未登録",""),IF(COUNTIFS(月1回_前回の在庫を貼る!$B$6:$B$10005,'設定（最初に1回）'!$C$4,月1回_前回の在庫を貼る!$I$6:$I$10005,$C109)=0,"新商品",""),IF(COUNTIFS(①今日の在庫を貼る!$B$6:$B$10005,'設定（最初に1回）'!$C$4,①今日の在庫を貼る!$I$6:$I$10005,$C109)=0,"終売候補",""),IF(N($K109)&lt;0,"在庫マイナス",""),IF(AND('設定（最初に1回）'!$C$9="PI値予測",$P109=""),"PI値未設定","")))</f>
        <v/>
      </c>
      <c r="AC109" s="71" t="n">
        <f aca="false">N($Y109)*N($H109)</f>
        <v>0</v>
      </c>
      <c r="AD109" s="66" t="str">
        <f aca="false">IF($C109="","",IFERROR(INDEX(商品マスタ!$K$6:$K$1005,MATCH($C109,商品マスタ!$B$6:$B$1005,0)),"常温"))</f>
        <v>常温</v>
      </c>
      <c r="AE109" s="69" t="n">
        <f aca="false">IF($C109="","",MAX(0,ROUNDUP(N($K109)/MAX(1,N($G109)),0)))</f>
        <v>4</v>
      </c>
      <c r="AF109" s="66" t="str">
        <f aca="false">IF($C109="","",IFERROR(INDEX(商品マスタ!$L$6:$L$1005,MATCH($C109,商品マスタ!$B$6:$B$1005,0)),""))</f>
        <v>常温包材</v>
      </c>
      <c r="AG109" s="143" t="n">
        <f aca="false">IF($C109="","",IFERROR(INDEX(定数マスタ!$S$110:$S$119,MATCH($AF109,定数マスタ!$J$110:$J$119,0)),N('設定（最初に1回）'!$C$13)))</f>
        <v>7</v>
      </c>
      <c r="AH109" s="66" t="n">
        <f aca="false">IF(AND(N($K109)&gt;0,N($Y109)&gt;0),N($Y109),0)</f>
        <v>0</v>
      </c>
    </row>
    <row r="110" customFormat="false" ht="15" hidden="false" customHeight="false" outlineLevel="0" collapsed="false">
      <c r="B110" s="66" t="n">
        <v>105</v>
      </c>
      <c r="C110" s="66" t="str">
        <f aca="false">IFERROR(IF($B110&lt;=MAX(①今日の在庫を貼る!$U$6:$U$10005),INDEX(①今日の在庫を貼る!$I$6:$I$10005,MATCH($B110,①今日の在庫を貼る!$U$6:$U$10005,0)),INDEX(月1回_前回の在庫を貼る!$I$6:$I$10005,MATCH($B110-MAX(①今日の在庫を貼る!$U$6:$U$10005),月1回_前回の在庫を貼る!$U$6:$U$10005,0))),"")</f>
        <v>1814000001689</v>
      </c>
      <c r="D110" s="66" t="str">
        <f aca="false">IF($C110="","",IFERROR(INDEX(商品マスタ!$C$6:$C$1005,MATCH($C110,商品マスタ!$B$6:$B$1005,0)),IFERROR(INDEX(①今日の在庫を貼る!$J$6:$J$10005,MATCH($C110,①今日の在庫を貼る!$I$6:$I$10005,0)),IFERROR(INDEX(月1回_前回の在庫を貼る!$J$6:$J$10005,MATCH($C110,月1回_前回の在庫を貼る!$I$6:$I$10005,0)),""))))</f>
        <v>ホットリッド１１ＯＺ　３４０ＥＦ</v>
      </c>
      <c r="E110" s="66" t="str">
        <f aca="false">IF($C110="","",IFERROR(INDEX(商品マスタ!$D$6:$D$1005,MATCH($C110,商品マスタ!$B$6:$B$1005,0)),IFERROR(INDEX(①今日の在庫を貼る!$H$6:$H$10005,MATCH($C110,①今日の在庫を貼る!$I$6:$I$10005,0)),IFERROR(INDEX(月1回_前回の在庫を貼る!$H$6:$H$10005,MATCH($C110,月1回_前回の在庫を貼る!$I$6:$I$10005,0)),""))))</f>
        <v>コンセ包材</v>
      </c>
      <c r="F110" s="66" t="str">
        <f aca="false">IF($C110="","",IFERROR(INDEX(商品マスタ!$E$6:$E$1005,MATCH($C110,商品マスタ!$B$6:$B$1005,0)),IFERROR(INDEX(①今日の在庫を貼る!$E$6:$E$10005,MATCH($C110,①今日の在庫を貼る!$I$6:$I$10005,0)),IFERROR(INDEX(月1回_前回の在庫を貼る!$E$6:$E$10005,MATCH($C110,月1回_前回の在庫を貼る!$I$6:$I$10005,0)),""))))</f>
        <v>オザックス株式会社</v>
      </c>
      <c r="G110" s="69" t="n">
        <f aca="false">IF($C110="","",IFERROR(INDEX(商品マスタ!$F$6:$F$1005,MATCH($C110,商品マスタ!$B$6:$B$1005,0)),IFERROR(INDEX(①今日の在庫を貼る!$K$6:$K$10005,MATCH($C110,①今日の在庫を貼る!$I$6:$I$10005,0)),IFERROR(INDEX(月1回_前回の在庫を貼る!$K$6:$K$10005,MATCH($C110,月1回_前回の在庫を貼る!$I$6:$I$10005,0)),""))))</f>
        <v>2500</v>
      </c>
      <c r="H110" s="71" t="n">
        <f aca="false">IF($C110="","",IFERROR(INDEX(商品マスタ!$G$6:$G$1005,MATCH($C110,商品マスタ!$B$6:$B$1005,0)),IFERROR(INDEX(①今日の在庫を貼る!$Q$6:$Q$10005,MATCH($C110,①今日の在庫を貼る!$I$6:$I$10005,0)),IFERROR(INDEX(月1回_前回の在庫を貼る!$Q$6:$Q$10005,MATCH($C110,月1回_前回の在庫を貼る!$I$6:$I$10005,0)),""))))</f>
        <v>4.06</v>
      </c>
      <c r="I110" s="66" t="n">
        <f aca="false">IF($C110="","",IFERROR(INDEX(商品マスタ!$H$6:$H$1005,MATCH($C110,商品マスタ!$B$6:$B$1005,0)),3))</f>
        <v>4</v>
      </c>
      <c r="J110" s="66" t="n">
        <f aca="false">IF($C110="","",MAX(1,IFERROR(INDEX(商品マスタ!$I$6:$I$1005,MATCH($C110,商品マスタ!$B$6:$B$1005,0)),1)))</f>
        <v>2</v>
      </c>
      <c r="K110" s="69" t="n">
        <f aca="false">IF($C110="","",SUMIFS(①今日の在庫を貼る!$N$6:$N$10005,①今日の在庫を貼る!$B$6:$B$10005,'設定（最初に1回）'!$C$4,①今日の在庫を貼る!$I$6:$I$10005,$C110))</f>
        <v>11000</v>
      </c>
      <c r="L110" s="69" t="n">
        <f aca="false">IF($C110="","",SUMIFS(月1回_前回の在庫を貼る!$N$6:$N$10005,月1回_前回の在庫を貼る!$B$6:$B$10005,'設定（最初に1回）'!$C$4,月1回_前回の在庫を貼る!$I$6:$I$10005,$C110))</f>
        <v>21794</v>
      </c>
      <c r="M110" s="69" t="n">
        <f aca="false">IF($C110="","",IF(OR('設定（最初に1回）'!$C$6="",'設定（最初に1回）'!$C$7=""),0,SUMIFS(発注管理!$S$6:$S$1005,発注管理!$C$6:$C$1005,'設定（最初に1回）'!$C$4,発注管理!$F$6:$F$1005,$C110,発注管理!$R$6:$R$1005,"&gt;="&amp;'設定（最初に1回）'!$C$7,発注管理!$R$6:$R$1005,"&lt;="&amp;'設定（最初に1回）'!$C$6)))</f>
        <v>0</v>
      </c>
      <c r="N110" s="69" t="n">
        <f aca="false">IF(OR($C110="",'設定（最初に1回）'!$C$15=0),"",$L110+$M110-$K110)</f>
        <v>10794</v>
      </c>
      <c r="O110" s="143" t="n">
        <f aca="false">IF(OR($N110="",'設定（最初に1回）'!$C$8="",'設定（最初に1回）'!$C$8&lt;=0),"",MAX(0,$N110)/'設定（最初に1回）'!$C$8)</f>
        <v>176.950819672131</v>
      </c>
      <c r="P110" s="143" t="n">
        <f aca="false">IF($C110="","",IFERROR(INDEX(商品マスタ!$M$6:$N$1005,MATCH($C110,商品マスタ!$B$6:$B$1005,0),MATCH("PI値 "&amp;'設定（最初に1回）'!$C$11,商品マスタ!$M$5:$N$5,0)),""))</f>
        <v>8.3</v>
      </c>
      <c r="Q110" s="143" t="n">
        <f aca="false">IF(OR($C110="",$P110="",$P110=0,(N($I110)+N($AG110))&lt;=0),"",IFERROR(SUMIFS(随時_動員を入れる!$G$8:$G$97,随時_動員を入れる!$B$8:$B$97,"&gt;="&amp;'設定（最初に1回）'!$C$6,随時_動員を入れる!$B$8:$B$97,"&lt;="&amp;'設定（最初に1回）'!$C$6+(N($I110)+N($AG110))-1)/(N($I110)+N($AG110)),0)*$P110/100)</f>
        <v>310.465272727273</v>
      </c>
      <c r="R110" s="69" t="n">
        <f aca="false">IF($C110="","",SUMIFS(①今日の在庫を貼る!$O$6:$O$10005,①今日の在庫を貼る!$B$6:$B$10005,'設定（最初に1回）'!$C$4,①今日の在庫を貼る!$I$6:$I$10005,$C110))</f>
        <v>0</v>
      </c>
      <c r="S110" s="143" t="n">
        <f aca="false">IF($C110="","",IF('設定（最初に1回）'!$C$9="実績消費",N($O110),IF('設定（最初に1回）'!$C$9="PI値予測",N($Q110),MAX(N($O110),N($Q110)))))</f>
        <v>176.950819672131</v>
      </c>
      <c r="T110" s="67" t="n">
        <f aca="false">IF(OR($S110="",$S110&lt;=0),"",$K110/$S110)</f>
        <v>62.1641652770057</v>
      </c>
      <c r="U110" s="69" t="n">
        <f aca="false">IF($S110="","",ROUNDUP(N($S110)*'設定（最初に1回）'!$C$12,0))</f>
        <v>708</v>
      </c>
      <c r="V110" s="69" t="n">
        <f aca="false">IF($C110="","",ROUNDUP(N($S110)*(N($I110)+N($AG110))+N($U110),0))</f>
        <v>2655</v>
      </c>
      <c r="W110" s="69" t="n">
        <f aca="false">IF($C110="","",SUMIFS(発注管理!$L$6:$L$1005,発注管理!$C$6:$C$1005,'設定（最初に1回）'!$C$4,発注管理!$F$6:$F$1005,$C110,発注管理!$Q$6:$Q$1005,"発注済"))</f>
        <v>0</v>
      </c>
      <c r="X110" s="69" t="n">
        <f aca="false">IF($C110="","",MAX(0,N($V110)-N($K110)-N($W110)))</f>
        <v>0</v>
      </c>
      <c r="Y110" s="147" t="n">
        <f aca="false">IF($C110="","",IF(N($X110)&lt;=0,0,CEILING($X110/MAX(1,N($G110)),MAX(1,N($J110)))))</f>
        <v>0</v>
      </c>
      <c r="Z110" s="138" t="str">
        <f aca="false">IF($C110="","",IF(N($Y110)&gt;0,"要発注","正常"))</f>
        <v>正常</v>
      </c>
      <c r="AA110" s="71" t="n">
        <f aca="false">IF($C110="","",N($K110)*N($H110))</f>
        <v>44660</v>
      </c>
      <c r="AB110" s="66" t="str">
        <f aca="false">IF($C110="","",_xlfn.TEXTJOIN(" / ",TRUE(),IF(COUNTIF(商品マスタ!$B$6:$B$1005,$C110)=0,"マスタ未登録",""),IF(COUNTIFS(月1回_前回の在庫を貼る!$B$6:$B$10005,'設定（最初に1回）'!$C$4,月1回_前回の在庫を貼る!$I$6:$I$10005,$C110)=0,"新商品",""),IF(COUNTIFS(①今日の在庫を貼る!$B$6:$B$10005,'設定（最初に1回）'!$C$4,①今日の在庫を貼る!$I$6:$I$10005,$C110)=0,"終売候補",""),IF(N($K110)&lt;0,"在庫マイナス",""),IF(AND('設定（最初に1回）'!$C$9="PI値予測",$P110=""),"PI値未設定","")))</f>
        <v/>
      </c>
      <c r="AC110" s="71" t="n">
        <f aca="false">N($Y110)*N($H110)</f>
        <v>0</v>
      </c>
      <c r="AD110" s="66" t="str">
        <f aca="false">IF($C110="","",IFERROR(INDEX(商品マスタ!$K$6:$K$1005,MATCH($C110,商品マスタ!$B$6:$B$1005,0)),"常温"))</f>
        <v>常温</v>
      </c>
      <c r="AE110" s="69" t="n">
        <f aca="false">IF($C110="","",MAX(0,ROUNDUP(N($K110)/MAX(1,N($G110)),0)))</f>
        <v>5</v>
      </c>
      <c r="AF110" s="66" t="str">
        <f aca="false">IF($C110="","",IFERROR(INDEX(商品マスタ!$L$6:$L$1005,MATCH($C110,商品マスタ!$B$6:$B$1005,0)),""))</f>
        <v>常温包材</v>
      </c>
      <c r="AG110" s="143" t="n">
        <f aca="false">IF($C110="","",IFERROR(INDEX(定数マスタ!$S$110:$S$119,MATCH($AF110,定数マスタ!$J$110:$J$119,0)),N('設定（最初に1回）'!$C$13)))</f>
        <v>7</v>
      </c>
      <c r="AH110" s="66" t="n">
        <f aca="false">IF(AND(N($K110)&gt;0,N($Y110)&gt;0),N($Y110),0)</f>
        <v>0</v>
      </c>
    </row>
    <row r="111" customFormat="false" ht="15" hidden="false" customHeight="false" outlineLevel="0" collapsed="false">
      <c r="B111" s="66" t="n">
        <v>106</v>
      </c>
      <c r="C111" s="66" t="str">
        <f aca="false">IFERROR(IF($B111&lt;=MAX(①今日の在庫を貼る!$U$6:$U$10005),INDEX(①今日の在庫を貼る!$I$6:$I$10005,MATCH($B111,①今日の在庫を貼る!$U$6:$U$10005,0)),INDEX(月1回_前回の在庫を貼る!$I$6:$I$10005,MATCH($B111-MAX(①今日の在庫を貼る!$U$6:$U$10005),月1回_前回の在庫を貼る!$U$6:$U$10005,0))),"")</f>
        <v>1814000001986</v>
      </c>
      <c r="D111" s="66" t="str">
        <f aca="false">IF($C111="","",IFERROR(INDEX(商品マスタ!$C$6:$C$1005,MATCH($C111,商品マスタ!$B$6:$B$1005,0)),IFERROR(INDEX(①今日の在庫を貼る!$J$6:$J$10005,MATCH($C111,①今日の在庫を貼る!$I$6:$I$10005,0)),IFERROR(INDEX(月1回_前回の在庫を貼る!$J$6:$J$10005,MATCH($C111,月1回_前回の在庫を貼る!$I$6:$I$10005,0)),""))))</f>
        <v>ＦＳポップコーンＨ＆Ｈ仕切り</v>
      </c>
      <c r="E111" s="66" t="str">
        <f aca="false">IF($C111="","",IFERROR(INDEX(商品マスタ!$D$6:$D$1005,MATCH($C111,商品マスタ!$B$6:$B$1005,0)),IFERROR(INDEX(①今日の在庫を貼る!$H$6:$H$10005,MATCH($C111,①今日の在庫を貼る!$I$6:$I$10005,0)),IFERROR(INDEX(月1回_前回の在庫を貼る!$H$6:$H$10005,MATCH($C111,月1回_前回の在庫を貼る!$I$6:$I$10005,0)),""))))</f>
        <v>コンセ包材</v>
      </c>
      <c r="F111" s="66" t="str">
        <f aca="false">IF($C111="","",IFERROR(INDEX(商品マスタ!$E$6:$E$1005,MATCH($C111,商品マスタ!$B$6:$B$1005,0)),IFERROR(INDEX(①今日の在庫を貼る!$E$6:$E$10005,MATCH($C111,①今日の在庫を貼る!$I$6:$I$10005,0)),IFERROR(INDEX(月1回_前回の在庫を貼る!$E$6:$E$10005,MATCH($C111,月1回_前回の在庫を貼る!$I$6:$I$10005,0)),""))))</f>
        <v>オザックス株式会社</v>
      </c>
      <c r="G111" s="69" t="n">
        <f aca="false">IF($C111="","",IFERROR(INDEX(商品マスタ!$F$6:$F$1005,MATCH($C111,商品マスタ!$B$6:$B$1005,0)),IFERROR(INDEX(①今日の在庫を貼る!$K$6:$K$10005,MATCH($C111,①今日の在庫を貼る!$I$6:$I$10005,0)),IFERROR(INDEX(月1回_前回の在庫を貼る!$K$6:$K$10005,MATCH($C111,月1回_前回の在庫を貼る!$I$6:$I$10005,0)),""))))</f>
        <v>900</v>
      </c>
      <c r="H111" s="71" t="n">
        <f aca="false">IF($C111="","",IFERROR(INDEX(商品マスタ!$G$6:$G$1005,MATCH($C111,商品マスタ!$B$6:$B$1005,0)),IFERROR(INDEX(①今日の在庫を貼る!$Q$6:$Q$10005,MATCH($C111,①今日の在庫を貼る!$I$6:$I$10005,0)),IFERROR(INDEX(月1回_前回の在庫を貼る!$Q$6:$Q$10005,MATCH($C111,月1回_前回の在庫を貼る!$I$6:$I$10005,0)),""))))</f>
        <v>4.84</v>
      </c>
      <c r="I111" s="66" t="n">
        <f aca="false">IF($C111="","",IFERROR(INDEX(商品マスタ!$H$6:$H$1005,MATCH($C111,商品マスタ!$B$6:$B$1005,0)),3))</f>
        <v>7</v>
      </c>
      <c r="J111" s="66" t="n">
        <f aca="false">IF($C111="","",MAX(1,IFERROR(INDEX(商品マスタ!$I$6:$I$1005,MATCH($C111,商品マスタ!$B$6:$B$1005,0)),1)))</f>
        <v>2</v>
      </c>
      <c r="K111" s="69" t="n">
        <f aca="false">IF($C111="","",SUMIFS(①今日の在庫を貼る!$N$6:$N$10005,①今日の在庫を貼る!$B$6:$B$10005,'設定（最初に1回）'!$C$4,①今日の在庫を貼る!$I$6:$I$10005,$C111))</f>
        <v>0</v>
      </c>
      <c r="L111" s="69" t="n">
        <f aca="false">IF($C111="","",SUMIFS(月1回_前回の在庫を貼る!$N$6:$N$10005,月1回_前回の在庫を貼る!$B$6:$B$10005,'設定（最初に1回）'!$C$4,月1回_前回の在庫を貼る!$I$6:$I$10005,$C111))</f>
        <v>0</v>
      </c>
      <c r="M111" s="69" t="n">
        <f aca="false">IF($C111="","",IF(OR('設定（最初に1回）'!$C$6="",'設定（最初に1回）'!$C$7=""),0,SUMIFS(発注管理!$S$6:$S$1005,発注管理!$C$6:$C$1005,'設定（最初に1回）'!$C$4,発注管理!$F$6:$F$1005,$C111,発注管理!$R$6:$R$1005,"&gt;="&amp;'設定（最初に1回）'!$C$7,発注管理!$R$6:$R$1005,"&lt;="&amp;'設定（最初に1回）'!$C$6)))</f>
        <v>0</v>
      </c>
      <c r="N111" s="69" t="n">
        <f aca="false">IF(OR($C111="",'設定（最初に1回）'!$C$15=0),"",$L111+$M111-$K111)</f>
        <v>0</v>
      </c>
      <c r="O111" s="143" t="n">
        <f aca="false">IF(OR($N111="",'設定（最初に1回）'!$C$8="",'設定（最初に1回）'!$C$8&lt;=0),"",MAX(0,$N111)/'設定（最初に1回）'!$C$8)</f>
        <v>0</v>
      </c>
      <c r="P111" s="143" t="n">
        <f aca="false">IF($C111="","",IFERROR(INDEX(商品マスタ!$M$6:$N$1005,MATCH($C111,商品マスタ!$B$6:$B$1005,0),MATCH("PI値 "&amp;'設定（最初に1回）'!$C$11,商品マスタ!$M$5:$N$5,0)),""))</f>
        <v>6.3</v>
      </c>
      <c r="Q111" s="143" t="n">
        <f aca="false">IF(OR($C111="",$P111="",$P111=0,(N($I111)+N($AG111))&lt;=0),"",IFERROR(SUMIFS(随時_動員を入れる!$G$8:$G$97,随時_動員を入れる!$B$8:$B$97,"&gt;="&amp;'設定（最初に1回）'!$C$6,随時_動員を入れる!$B$8:$B$97,"&lt;="&amp;'設定（最初に1回）'!$C$6+(N($I111)+N($AG111))-1)/(N($I111)+N($AG111)),0)*$P111/100)</f>
        <v>202.923</v>
      </c>
      <c r="R111" s="69" t="n">
        <f aca="false">IF($C111="","",SUMIFS(①今日の在庫を貼る!$O$6:$O$10005,①今日の在庫を貼る!$B$6:$B$10005,'設定（最初に1回）'!$C$4,①今日の在庫を貼る!$I$6:$I$10005,$C111))</f>
        <v>0</v>
      </c>
      <c r="S111" s="143" t="n">
        <f aca="false">IF($C111="","",IF('設定（最初に1回）'!$C$9="実績消費",N($O111),IF('設定（最初に1回）'!$C$9="PI値予測",N($Q111),MAX(N($O111),N($Q111)))))</f>
        <v>0</v>
      </c>
      <c r="T111" s="67" t="str">
        <f aca="false">IF(OR($S111="",$S111&lt;=0),"",$K111/$S111)</f>
        <v/>
      </c>
      <c r="U111" s="69" t="n">
        <f aca="false">IF($S111="","",ROUNDUP(N($S111)*'設定（最初に1回）'!$C$12,0))</f>
        <v>0</v>
      </c>
      <c r="V111" s="69" t="n">
        <f aca="false">IF($C111="","",ROUNDUP(N($S111)*(N($I111)+N($AG111))+N($U111),0))</f>
        <v>0</v>
      </c>
      <c r="W111" s="69" t="n">
        <f aca="false">IF($C111="","",SUMIFS(発注管理!$L$6:$L$1005,発注管理!$C$6:$C$1005,'設定（最初に1回）'!$C$4,発注管理!$F$6:$F$1005,$C111,発注管理!$Q$6:$Q$1005,"発注済"))</f>
        <v>0</v>
      </c>
      <c r="X111" s="69" t="n">
        <f aca="false">IF($C111="","",MAX(0,N($V111)-N($K111)-N($W111)))</f>
        <v>0</v>
      </c>
      <c r="Y111" s="147" t="n">
        <f aca="false">IF($C111="","",IF(N($X111)&lt;=0,0,CEILING($X111/MAX(1,N($G111)),MAX(1,N($J111)))))</f>
        <v>0</v>
      </c>
      <c r="Z111" s="138" t="str">
        <f aca="false">IF($C111="","",IF(N($Y111)&gt;0,"要発注","正常"))</f>
        <v>正常</v>
      </c>
      <c r="AA111" s="71" t="n">
        <f aca="false">IF($C111="","",N($K111)*N($H111))</f>
        <v>0</v>
      </c>
      <c r="AB111" s="66" t="str">
        <f aca="false">IF($C111="","",_xlfn.TEXTJOIN(" / ",TRUE(),IF(COUNTIF(商品マスタ!$B$6:$B$1005,$C111)=0,"マスタ未登録",""),IF(COUNTIFS(月1回_前回の在庫を貼る!$B$6:$B$10005,'設定（最初に1回）'!$C$4,月1回_前回の在庫を貼る!$I$6:$I$10005,$C111)=0,"新商品",""),IF(COUNTIFS(①今日の在庫を貼る!$B$6:$B$10005,'設定（最初に1回）'!$C$4,①今日の在庫を貼る!$I$6:$I$10005,$C111)=0,"終売候補",""),IF(N($K111)&lt;0,"在庫マイナス",""),IF(AND('設定（最初に1回）'!$C$9="PI値予測",$P111=""),"PI値未設定","")))</f>
        <v/>
      </c>
      <c r="AC111" s="71" t="n">
        <f aca="false">N($Y111)*N($H111)</f>
        <v>0</v>
      </c>
      <c r="AD111" s="66" t="str">
        <f aca="false">IF($C111="","",IFERROR(INDEX(商品マスタ!$K$6:$K$1005,MATCH($C111,商品マスタ!$B$6:$B$1005,0)),"常温"))</f>
        <v>常温</v>
      </c>
      <c r="AE111" s="69" t="n">
        <f aca="false">IF($C111="","",MAX(0,ROUNDUP(N($K111)/MAX(1,N($G111)),0)))</f>
        <v>0</v>
      </c>
      <c r="AF111" s="66" t="str">
        <f aca="false">IF($C111="","",IFERROR(INDEX(商品マスタ!$L$6:$L$1005,MATCH($C111,商品マスタ!$B$6:$B$1005,0)),""))</f>
        <v>常温包材</v>
      </c>
      <c r="AG111" s="143" t="n">
        <f aca="false">IF($C111="","",IFERROR(INDEX(定数マスタ!$S$110:$S$119,MATCH($AF111,定数マスタ!$J$110:$J$119,0)),N('設定（最初に1回）'!$C$13)))</f>
        <v>7</v>
      </c>
      <c r="AH111" s="66" t="n">
        <f aca="false">IF(AND(N($K111)&gt;0,N($Y111)&gt;0),N($Y111),0)</f>
        <v>0</v>
      </c>
    </row>
    <row r="112" customFormat="false" ht="15" hidden="false" customHeight="false" outlineLevel="0" collapsed="false">
      <c r="B112" s="66" t="n">
        <v>107</v>
      </c>
      <c r="C112" s="66" t="str">
        <f aca="false">IFERROR(IF($B112&lt;=MAX(①今日の在庫を貼る!$U$6:$U$10005),INDEX(①今日の在庫を貼る!$I$6:$I$10005,MATCH($B112,①今日の在庫を貼る!$U$6:$U$10005,0)),INDEX(月1回_前回の在庫を貼る!$I$6:$I$10005,MATCH($B112-MAX(①今日の在庫を貼る!$U$6:$U$10005),月1回_前回の在庫を貼る!$U$6:$U$10005,0))),"")</f>
        <v>1814000004239</v>
      </c>
      <c r="D112" s="66" t="str">
        <f aca="false">IF($C112="","",IFERROR(INDEX(商品マスタ!$C$6:$C$1005,MATCH($C112,商品マスタ!$B$6:$B$1005,0)),IFERROR(INDEX(①今日の在庫を貼る!$J$6:$J$10005,MATCH($C112,①今日の在庫を貼る!$I$6:$I$10005,0)),IFERROR(INDEX(月1回_前回の在庫を貼る!$J$6:$J$10005,MATCH($C112,月1回_前回の在庫を貼る!$I$6:$I$10005,0)),""))))</f>
        <v>ビールカップ２０ＯＺ（プレモル</v>
      </c>
      <c r="E112" s="66" t="str">
        <f aca="false">IF($C112="","",IFERROR(INDEX(商品マスタ!$D$6:$D$1005,MATCH($C112,商品マスタ!$B$6:$B$1005,0)),IFERROR(INDEX(①今日の在庫を貼る!$H$6:$H$10005,MATCH($C112,①今日の在庫を貼る!$I$6:$I$10005,0)),IFERROR(INDEX(月1回_前回の在庫を貼る!$H$6:$H$10005,MATCH($C112,月1回_前回の在庫を貼る!$I$6:$I$10005,0)),""))))</f>
        <v>コンセ包材</v>
      </c>
      <c r="F112" s="66" t="str">
        <f aca="false">IF($C112="","",IFERROR(INDEX(商品マスタ!$E$6:$E$1005,MATCH($C112,商品マスタ!$B$6:$B$1005,0)),IFERROR(INDEX(①今日の在庫を貼る!$E$6:$E$10005,MATCH($C112,①今日の在庫を貼る!$I$6:$I$10005,0)),IFERROR(INDEX(月1回_前回の在庫を貼る!$E$6:$E$10005,MATCH($C112,月1回_前回の在庫を貼る!$I$6:$I$10005,0)),""))))</f>
        <v>オザックス株式会社</v>
      </c>
      <c r="G112" s="69" t="n">
        <f aca="false">IF($C112="","",IFERROR(INDEX(商品マスタ!$F$6:$F$1005,MATCH($C112,商品マスタ!$B$6:$B$1005,0)),IFERROR(INDEX(①今日の在庫を貼る!$K$6:$K$10005,MATCH($C112,①今日の在庫を貼る!$I$6:$I$10005,0)),IFERROR(INDEX(月1回_前回の在庫を貼る!$K$6:$K$10005,MATCH($C112,月1回_前回の在庫を貼る!$I$6:$I$10005,0)),""))))</f>
        <v>1000</v>
      </c>
      <c r="H112" s="71" t="n">
        <f aca="false">IF($C112="","",IFERROR(INDEX(商品マスタ!$G$6:$G$1005,MATCH($C112,商品マスタ!$B$6:$B$1005,0)),IFERROR(INDEX(①今日の在庫を貼る!$Q$6:$Q$10005,MATCH($C112,①今日の在庫を貼る!$I$6:$I$10005,0)),IFERROR(INDEX(月1回_前回の在庫を貼る!$Q$6:$Q$10005,MATCH($C112,月1回_前回の在庫を貼る!$I$6:$I$10005,0)),""))))</f>
        <v>11.53</v>
      </c>
      <c r="I112" s="66" t="n">
        <f aca="false">IF($C112="","",IFERROR(INDEX(商品マスタ!$H$6:$H$1005,MATCH($C112,商品マスタ!$B$6:$B$1005,0)),3))</f>
        <v>7</v>
      </c>
      <c r="J112" s="66" t="n">
        <f aca="false">IF($C112="","",MAX(1,IFERROR(INDEX(商品マスタ!$I$6:$I$1005,MATCH($C112,商品マスタ!$B$6:$B$1005,0)),1)))</f>
        <v>1</v>
      </c>
      <c r="K112" s="69" t="n">
        <f aca="false">IF($C112="","",SUMIFS(①今日の在庫を貼る!$N$6:$N$10005,①今日の在庫を貼る!$B$6:$B$10005,'設定（最初に1回）'!$C$4,①今日の在庫を貼る!$I$6:$I$10005,$C112))</f>
        <v>5250</v>
      </c>
      <c r="L112" s="69" t="n">
        <f aca="false">IF($C112="","",SUMIFS(月1回_前回の在庫を貼る!$N$6:$N$10005,月1回_前回の在庫を貼る!$B$6:$B$10005,'設定（最初に1回）'!$C$4,月1回_前回の在庫を貼る!$I$6:$I$10005,$C112))</f>
        <v>13874</v>
      </c>
      <c r="M112" s="69" t="n">
        <f aca="false">IF($C112="","",IF(OR('設定（最初に1回）'!$C$6="",'設定（最初に1回）'!$C$7=""),0,SUMIFS(発注管理!$S$6:$S$1005,発注管理!$C$6:$C$1005,'設定（最初に1回）'!$C$4,発注管理!$F$6:$F$1005,$C112,発注管理!$R$6:$R$1005,"&gt;="&amp;'設定（最初に1回）'!$C$7,発注管理!$R$6:$R$1005,"&lt;="&amp;'設定（最初に1回）'!$C$6)))</f>
        <v>0</v>
      </c>
      <c r="N112" s="69" t="n">
        <f aca="false">IF(OR($C112="",'設定（最初に1回）'!$C$15=0),"",$L112+$M112-$K112)</f>
        <v>8624</v>
      </c>
      <c r="O112" s="143" t="n">
        <f aca="false">IF(OR($N112="",'設定（最初に1回）'!$C$8="",'設定（最初に1回）'!$C$8&lt;=0),"",MAX(0,$N112)/'設定（最初に1回）'!$C$8)</f>
        <v>141.377049180328</v>
      </c>
      <c r="P112" s="143" t="n">
        <f aca="false">IF($C112="","",IFERROR(INDEX(商品マスタ!$M$6:$N$1005,MATCH($C112,商品マスタ!$B$6:$B$1005,0),MATCH("PI値 "&amp;'設定（最初に1回）'!$C$11,商品マスタ!$M$5:$N$5,0)),""))</f>
        <v>7.7</v>
      </c>
      <c r="Q112" s="143" t="n">
        <f aca="false">IF(OR($C112="",$P112="",$P112=0,(N($I112)+N($AG112))&lt;=0),"",IFERROR(SUMIFS(随時_動員を入れる!$G$8:$G$97,随時_動員を入れる!$B$8:$B$97,"&gt;="&amp;'設定（最初に1回）'!$C$6,随時_動員を入れる!$B$8:$B$97,"&lt;="&amp;'設定（最初に1回）'!$C$6+(N($I112)+N($AG112))-1)/(N($I112)+N($AG112)),0)*$P112/100)</f>
        <v>248.017</v>
      </c>
      <c r="R112" s="69" t="n">
        <f aca="false">IF($C112="","",SUMIFS(①今日の在庫を貼る!$O$6:$O$10005,①今日の在庫を貼る!$B$6:$B$10005,'設定（最初に1回）'!$C$4,①今日の在庫を貼る!$I$6:$I$10005,$C112))</f>
        <v>0</v>
      </c>
      <c r="S112" s="143" t="n">
        <f aca="false">IF($C112="","",IF('設定（最初に1回）'!$C$9="実績消費",N($O112),IF('設定（最初に1回）'!$C$9="PI値予測",N($Q112),MAX(N($O112),N($Q112)))))</f>
        <v>141.377049180328</v>
      </c>
      <c r="T112" s="67" t="n">
        <f aca="false">IF(OR($S112="",$S112&lt;=0),"",$K112/$S112)</f>
        <v>37.1347402597403</v>
      </c>
      <c r="U112" s="69" t="n">
        <f aca="false">IF($S112="","",ROUNDUP(N($S112)*'設定（最初に1回）'!$C$12,0))</f>
        <v>566</v>
      </c>
      <c r="V112" s="69" t="n">
        <f aca="false">IF($C112="","",ROUNDUP(N($S112)*(N($I112)+N($AG112))+N($U112),0))</f>
        <v>2546</v>
      </c>
      <c r="W112" s="69" t="n">
        <f aca="false">IF($C112="","",SUMIFS(発注管理!$L$6:$L$1005,発注管理!$C$6:$C$1005,'設定（最初に1回）'!$C$4,発注管理!$F$6:$F$1005,$C112,発注管理!$Q$6:$Q$1005,"発注済"))</f>
        <v>0</v>
      </c>
      <c r="X112" s="69" t="n">
        <f aca="false">IF($C112="","",MAX(0,N($V112)-N($K112)-N($W112)))</f>
        <v>0</v>
      </c>
      <c r="Y112" s="147" t="n">
        <f aca="false">IF($C112="","",IF(N($X112)&lt;=0,0,CEILING($X112/MAX(1,N($G112)),MAX(1,N($J112)))))</f>
        <v>0</v>
      </c>
      <c r="Z112" s="138" t="str">
        <f aca="false">IF($C112="","",IF(N($Y112)&gt;0,"要発注","正常"))</f>
        <v>正常</v>
      </c>
      <c r="AA112" s="71" t="n">
        <f aca="false">IF($C112="","",N($K112)*N($H112))</f>
        <v>60532.5</v>
      </c>
      <c r="AB112" s="66" t="str">
        <f aca="false">IF($C112="","",_xlfn.TEXTJOIN(" / ",TRUE(),IF(COUNTIF(商品マスタ!$B$6:$B$1005,$C112)=0,"マスタ未登録",""),IF(COUNTIFS(月1回_前回の在庫を貼る!$B$6:$B$10005,'設定（最初に1回）'!$C$4,月1回_前回の在庫を貼る!$I$6:$I$10005,$C112)=0,"新商品",""),IF(COUNTIFS(①今日の在庫を貼る!$B$6:$B$10005,'設定（最初に1回）'!$C$4,①今日の在庫を貼る!$I$6:$I$10005,$C112)=0,"終売候補",""),IF(N($K112)&lt;0,"在庫マイナス",""),IF(AND('設定（最初に1回）'!$C$9="PI値予測",$P112=""),"PI値未設定","")))</f>
        <v/>
      </c>
      <c r="AC112" s="71" t="n">
        <f aca="false">N($Y112)*N($H112)</f>
        <v>0</v>
      </c>
      <c r="AD112" s="66" t="str">
        <f aca="false">IF($C112="","",IFERROR(INDEX(商品マスタ!$K$6:$K$1005,MATCH($C112,商品マスタ!$B$6:$B$1005,0)),"常温"))</f>
        <v>常温</v>
      </c>
      <c r="AE112" s="69" t="n">
        <f aca="false">IF($C112="","",MAX(0,ROUNDUP(N($K112)/MAX(1,N($G112)),0)))</f>
        <v>6</v>
      </c>
      <c r="AF112" s="66" t="str">
        <f aca="false">IF($C112="","",IFERROR(INDEX(商品マスタ!$L$6:$L$1005,MATCH($C112,商品マスタ!$B$6:$B$1005,0)),""))</f>
        <v>常温包材</v>
      </c>
      <c r="AG112" s="143" t="n">
        <f aca="false">IF($C112="","",IFERROR(INDEX(定数マスタ!$S$110:$S$119,MATCH($AF112,定数マスタ!$J$110:$J$119,0)),N('設定（最初に1回）'!$C$13)))</f>
        <v>7</v>
      </c>
      <c r="AH112" s="66" t="n">
        <f aca="false">IF(AND(N($K112)&gt;0,N($Y112)&gt;0),N($Y112),0)</f>
        <v>0</v>
      </c>
    </row>
    <row r="113" customFormat="false" ht="15" hidden="false" customHeight="false" outlineLevel="0" collapsed="false">
      <c r="B113" s="66" t="n">
        <v>108</v>
      </c>
      <c r="C113" s="66" t="str">
        <f aca="false">IFERROR(IF($B113&lt;=MAX(①今日の在庫を貼る!$U$6:$U$10005),INDEX(①今日の在庫を貼る!$I$6:$I$10005,MATCH($B113,①今日の在庫を貼る!$U$6:$U$10005,0)),INDEX(月1回_前回の在庫を貼る!$I$6:$I$10005,MATCH($B113-MAX(①今日の在庫を貼る!$U$6:$U$10005),月1回_前回の在庫を貼る!$U$6:$U$10005,0))),"")</f>
        <v>1814000004581</v>
      </c>
      <c r="D113" s="66" t="str">
        <f aca="false">IF($C113="","",IFERROR(INDEX(商品マスタ!$C$6:$C$1005,MATCH($C113,商品マスタ!$B$6:$B$1005,0)),IFERROR(INDEX(①今日の在庫を貼る!$J$6:$J$10005,MATCH($C113,①今日の在庫を貼る!$I$6:$I$10005,0)),IFERROR(INDEX(月1回_前回の在庫を貼る!$J$6:$J$10005,MATCH($C113,月1回_前回の在庫を貼る!$I$6:$I$10005,0)),""))))</f>
        <v>新ＦドリンクカップＢＩＰ５１２Ｄ</v>
      </c>
      <c r="E113" s="66" t="str">
        <f aca="false">IF($C113="","",IFERROR(INDEX(商品マスタ!$D$6:$D$1005,MATCH($C113,商品マスタ!$B$6:$B$1005,0)),IFERROR(INDEX(①今日の在庫を貼る!$H$6:$H$10005,MATCH($C113,①今日の在庫を貼る!$I$6:$I$10005,0)),IFERROR(INDEX(月1回_前回の在庫を貼る!$H$6:$H$10005,MATCH($C113,月1回_前回の在庫を貼る!$I$6:$I$10005,0)),""))))</f>
        <v>コンセ包材</v>
      </c>
      <c r="F113" s="66" t="str">
        <f aca="false">IF($C113="","",IFERROR(INDEX(商品マスタ!$E$6:$E$1005,MATCH($C113,商品マスタ!$B$6:$B$1005,0)),IFERROR(INDEX(①今日の在庫を貼る!$E$6:$E$10005,MATCH($C113,①今日の在庫を貼る!$I$6:$I$10005,0)),IFERROR(INDEX(月1回_前回の在庫を貼る!$E$6:$E$10005,MATCH($C113,月1回_前回の在庫を貼る!$I$6:$I$10005,0)),""))))</f>
        <v>オザックス株式会社</v>
      </c>
      <c r="G113" s="69" t="n">
        <f aca="false">IF($C113="","",IFERROR(INDEX(商品マスタ!$F$6:$F$1005,MATCH($C113,商品マスタ!$B$6:$B$1005,0)),IFERROR(INDEX(①今日の在庫を貼る!$K$6:$K$10005,MATCH($C113,①今日の在庫を貼る!$I$6:$I$10005,0)),IFERROR(INDEX(月1回_前回の在庫を貼る!$K$6:$K$10005,MATCH($C113,月1回_前回の在庫を貼る!$I$6:$I$10005,0)),""))))</f>
        <v>1000</v>
      </c>
      <c r="H113" s="71" t="n">
        <f aca="false">IF($C113="","",IFERROR(INDEX(商品マスタ!$G$6:$G$1005,MATCH($C113,商品マスタ!$B$6:$B$1005,0)),IFERROR(INDEX(①今日の在庫を貼る!$Q$6:$Q$10005,MATCH($C113,①今日の在庫を貼る!$I$6:$I$10005,0)),IFERROR(INDEX(月1回_前回の在庫を貼る!$Q$6:$Q$10005,MATCH($C113,月1回_前回の在庫を貼る!$I$6:$I$10005,0)),""))))</f>
        <v>8.73</v>
      </c>
      <c r="I113" s="66" t="n">
        <f aca="false">IF($C113="","",IFERROR(INDEX(商品マスタ!$H$6:$H$1005,MATCH($C113,商品マスタ!$B$6:$B$1005,0)),3))</f>
        <v>2</v>
      </c>
      <c r="J113" s="66" t="n">
        <f aca="false">IF($C113="","",MAX(1,IFERROR(INDEX(商品マスタ!$I$6:$I$1005,MATCH($C113,商品マスタ!$B$6:$B$1005,0)),1)))</f>
        <v>5</v>
      </c>
      <c r="K113" s="69" t="n">
        <f aca="false">IF($C113="","",SUMIFS(①今日の在庫を貼る!$N$6:$N$10005,①今日の在庫を貼る!$B$6:$B$10005,'設定（最初に1回）'!$C$4,①今日の在庫を貼る!$I$6:$I$10005,$C113))</f>
        <v>3346</v>
      </c>
      <c r="L113" s="69" t="n">
        <f aca="false">IF($C113="","",SUMIFS(月1回_前回の在庫を貼る!$N$6:$N$10005,月1回_前回の在庫を貼る!$B$6:$B$10005,'設定（最初に1回）'!$C$4,月1回_前回の在庫を貼る!$I$6:$I$10005,$C113))</f>
        <v>19333</v>
      </c>
      <c r="M113" s="69" t="n">
        <f aca="false">IF($C113="","",IF(OR('設定（最初に1回）'!$C$6="",'設定（最初に1回）'!$C$7=""),0,SUMIFS(発注管理!$S$6:$S$1005,発注管理!$C$6:$C$1005,'設定（最初に1回）'!$C$4,発注管理!$F$6:$F$1005,$C113,発注管理!$R$6:$R$1005,"&gt;="&amp;'設定（最初に1回）'!$C$7,発注管理!$R$6:$R$1005,"&lt;="&amp;'設定（最初に1回）'!$C$6)))</f>
        <v>0</v>
      </c>
      <c r="N113" s="69" t="n">
        <f aca="false">IF(OR($C113="",'設定（最初に1回）'!$C$15=0),"",$L113+$M113-$K113)</f>
        <v>15987</v>
      </c>
      <c r="O113" s="143" t="n">
        <f aca="false">IF(OR($N113="",'設定（最初に1回）'!$C$8="",'設定（最初に1回）'!$C$8&lt;=0),"",MAX(0,$N113)/'設定（最初に1回）'!$C$8)</f>
        <v>262.081967213115</v>
      </c>
      <c r="P113" s="143" t="n">
        <f aca="false">IF($C113="","",IFERROR(INDEX(商品マスタ!$M$6:$N$1005,MATCH($C113,商品マスタ!$B$6:$B$1005,0),MATCH("PI値 "&amp;'設定（最初に1回）'!$C$11,商品マスタ!$M$5:$N$5,0)),""))</f>
        <v>13.1</v>
      </c>
      <c r="Q113" s="143" t="n">
        <f aca="false">IF(OR($C113="",$P113="",$P113=0,(N($I113)+N($AG113))&lt;=0),"",IFERROR(SUMIFS(随時_動員を入れる!$G$8:$G$97,随時_動員を入れる!$B$8:$B$97,"&gt;="&amp;'設定（最初に1回）'!$C$6,随時_動員を入れる!$B$8:$B$97,"&lt;="&amp;'設定（最初に1回）'!$C$6+(N($I113)+N($AG113))-1)/(N($I113)+N($AG113)),0)*$P113/100)</f>
        <v>503.200111111111</v>
      </c>
      <c r="R113" s="69" t="n">
        <f aca="false">IF($C113="","",SUMIFS(①今日の在庫を貼る!$O$6:$O$10005,①今日の在庫を貼る!$B$6:$B$10005,'設定（最初に1回）'!$C$4,①今日の在庫を貼る!$I$6:$I$10005,$C113))</f>
        <v>0</v>
      </c>
      <c r="S113" s="143" t="n">
        <f aca="false">IF($C113="","",IF('設定（最初に1回）'!$C$9="実績消費",N($O113),IF('設定（最初に1回）'!$C$9="PI値予測",N($Q113),MAX(N($O113),N($Q113)))))</f>
        <v>262.081967213115</v>
      </c>
      <c r="T113" s="67" t="n">
        <f aca="false">IF(OR($S113="",$S113&lt;=0),"",$K113/$S113)</f>
        <v>12.7669981860261</v>
      </c>
      <c r="U113" s="69" t="n">
        <f aca="false">IF($S113="","",ROUNDUP(N($S113)*'設定（最初に1回）'!$C$12,0))</f>
        <v>1049</v>
      </c>
      <c r="V113" s="69" t="n">
        <f aca="false">IF($C113="","",ROUNDUP(N($S113)*(N($I113)+N($AG113))+N($U113),0))</f>
        <v>3408</v>
      </c>
      <c r="W113" s="69" t="n">
        <f aca="false">IF($C113="","",SUMIFS(発注管理!$L$6:$L$1005,発注管理!$C$6:$C$1005,'設定（最初に1回）'!$C$4,発注管理!$F$6:$F$1005,$C113,発注管理!$Q$6:$Q$1005,"発注済"))</f>
        <v>0</v>
      </c>
      <c r="X113" s="69" t="n">
        <f aca="false">IF($C113="","",MAX(0,N($V113)-N($K113)-N($W113)))</f>
        <v>62</v>
      </c>
      <c r="Y113" s="147" t="n">
        <f aca="false">IF($C113="","",IF(N($X113)&lt;=0,0,CEILING($X113/MAX(1,N($G113)),MAX(1,N($J113)))))</f>
        <v>5</v>
      </c>
      <c r="Z113" s="138" t="str">
        <f aca="false">IF($C113="","",IF(N($Y113)&gt;0,"要発注","正常"))</f>
        <v>要発注</v>
      </c>
      <c r="AA113" s="71" t="n">
        <f aca="false">IF($C113="","",N($K113)*N($H113))</f>
        <v>29210.58</v>
      </c>
      <c r="AB113" s="66" t="str">
        <f aca="false">IF($C113="","",_xlfn.TEXTJOIN(" / ",TRUE(),IF(COUNTIF(商品マスタ!$B$6:$B$1005,$C113)=0,"マスタ未登録",""),IF(COUNTIFS(月1回_前回の在庫を貼る!$B$6:$B$10005,'設定（最初に1回）'!$C$4,月1回_前回の在庫を貼る!$I$6:$I$10005,$C113)=0,"新商品",""),IF(COUNTIFS(①今日の在庫を貼る!$B$6:$B$10005,'設定（最初に1回）'!$C$4,①今日の在庫を貼る!$I$6:$I$10005,$C113)=0,"終売候補",""),IF(N($K113)&lt;0,"在庫マイナス",""),IF(AND('設定（最初に1回）'!$C$9="PI値予測",$P113=""),"PI値未設定","")))</f>
        <v/>
      </c>
      <c r="AC113" s="71" t="n">
        <f aca="false">N($Y113)*N($H113)</f>
        <v>43.65</v>
      </c>
      <c r="AD113" s="66" t="str">
        <f aca="false">IF($C113="","",IFERROR(INDEX(商品マスタ!$K$6:$K$1005,MATCH($C113,商品マスタ!$B$6:$B$1005,0)),"常温"))</f>
        <v>常温</v>
      </c>
      <c r="AE113" s="69" t="n">
        <f aca="false">IF($C113="","",MAX(0,ROUNDUP(N($K113)/MAX(1,N($G113)),0)))</f>
        <v>4</v>
      </c>
      <c r="AF113" s="66" t="str">
        <f aca="false">IF($C113="","",IFERROR(INDEX(商品マスタ!$L$6:$L$1005,MATCH($C113,商品マスタ!$B$6:$B$1005,0)),""))</f>
        <v>常温包材</v>
      </c>
      <c r="AG113" s="143" t="n">
        <f aca="false">IF($C113="","",IFERROR(INDEX(定数マスタ!$S$110:$S$119,MATCH($AF113,定数マスタ!$J$110:$J$119,0)),N('設定（最初に1回）'!$C$13)))</f>
        <v>7</v>
      </c>
      <c r="AH113" s="66" t="n">
        <f aca="false">IF(AND(N($K113)&gt;0,N($Y113)&gt;0),N($Y113),0)</f>
        <v>5</v>
      </c>
    </row>
    <row r="114" customFormat="false" ht="15" hidden="false" customHeight="false" outlineLevel="0" collapsed="false">
      <c r="B114" s="66" t="n">
        <v>109</v>
      </c>
      <c r="C114" s="66" t="str">
        <f aca="false">IFERROR(IF($B114&lt;=MAX(①今日の在庫を貼る!$U$6:$U$10005),INDEX(①今日の在庫を貼る!$I$6:$I$10005,MATCH($B114,①今日の在庫を貼る!$U$6:$U$10005,0)),INDEX(月1回_前回の在庫を貼る!$I$6:$I$10005,MATCH($B114-MAX(①今日の在庫を貼る!$U$6:$U$10005),月1回_前回の在庫を貼る!$U$6:$U$10005,0))),"")</f>
        <v>1814000006110</v>
      </c>
      <c r="D114" s="66" t="str">
        <f aca="false">IF($C114="","",IFERROR(INDEX(商品マスタ!$C$6:$C$1005,MATCH($C114,商品マスタ!$B$6:$B$1005,0)),IFERROR(INDEX(①今日の在庫を貼る!$J$6:$J$10005,MATCH($C114,①今日の在庫を貼る!$I$6:$I$10005,0)),IFERROR(INDEX(月1回_前回の在庫を貼る!$J$6:$J$10005,MATCH($C114,月1回_前回の在庫を貼る!$I$6:$I$10005,0)),""))))</f>
        <v>バイオマスストレートストロ赤袋入</v>
      </c>
      <c r="E114" s="66" t="str">
        <f aca="false">IF($C114="","",IFERROR(INDEX(商品マスタ!$D$6:$D$1005,MATCH($C114,商品マスタ!$B$6:$B$1005,0)),IFERROR(INDEX(①今日の在庫を貼る!$H$6:$H$10005,MATCH($C114,①今日の在庫を貼る!$I$6:$I$10005,0)),IFERROR(INDEX(月1回_前回の在庫を貼る!$H$6:$H$10005,MATCH($C114,月1回_前回の在庫を貼る!$I$6:$I$10005,0)),""))))</f>
        <v>コンセ包材</v>
      </c>
      <c r="F114" s="66" t="str">
        <f aca="false">IF($C114="","",IFERROR(INDEX(商品マスタ!$E$6:$E$1005,MATCH($C114,商品マスタ!$B$6:$B$1005,0)),IFERROR(INDEX(①今日の在庫を貼る!$E$6:$E$10005,MATCH($C114,①今日の在庫を貼る!$I$6:$I$10005,0)),IFERROR(INDEX(月1回_前回の在庫を貼る!$E$6:$E$10005,MATCH($C114,月1回_前回の在庫を貼る!$I$6:$I$10005,0)),""))))</f>
        <v>オザックス株式会社</v>
      </c>
      <c r="G114" s="69" t="n">
        <f aca="false">IF($C114="","",IFERROR(INDEX(商品マスタ!$F$6:$F$1005,MATCH($C114,商品マスタ!$B$6:$B$1005,0)),IFERROR(INDEX(①今日の在庫を貼る!$K$6:$K$10005,MATCH($C114,①今日の在庫を貼る!$I$6:$I$10005,0)),IFERROR(INDEX(月1回_前回の在庫を貼る!$K$6:$K$10005,MATCH($C114,月1回_前回の在庫を貼る!$I$6:$I$10005,0)),""))))</f>
        <v>10000</v>
      </c>
      <c r="H114" s="71" t="n">
        <f aca="false">IF($C114="","",IFERROR(INDEX(商品マスタ!$G$6:$G$1005,MATCH($C114,商品マスタ!$B$6:$B$1005,0)),IFERROR(INDEX(①今日の在庫を貼る!$Q$6:$Q$10005,MATCH($C114,①今日の在庫を貼る!$I$6:$I$10005,0)),IFERROR(INDEX(月1回_前回の在庫を貼る!$Q$6:$Q$10005,MATCH($C114,月1回_前回の在庫を貼る!$I$6:$I$10005,0)),""))))</f>
        <v>1.17</v>
      </c>
      <c r="I114" s="66" t="n">
        <f aca="false">IF($C114="","",IFERROR(INDEX(商品マスタ!$H$6:$H$1005,MATCH($C114,商品マスタ!$B$6:$B$1005,0)),3))</f>
        <v>5</v>
      </c>
      <c r="J114" s="66" t="n">
        <f aca="false">IF($C114="","",MAX(1,IFERROR(INDEX(商品マスタ!$I$6:$I$1005,MATCH($C114,商品マスタ!$B$6:$B$1005,0)),1)))</f>
        <v>2</v>
      </c>
      <c r="K114" s="69" t="n">
        <f aca="false">IF($C114="","",SUMIFS(①今日の在庫を貼る!$N$6:$N$10005,①今日の在庫を貼る!$B$6:$B$10005,'設定（最初に1回）'!$C$4,①今日の在庫を貼る!$I$6:$I$10005,$C114))</f>
        <v>565555</v>
      </c>
      <c r="L114" s="69" t="n">
        <f aca="false">IF($C114="","",SUMIFS(月1回_前回の在庫を貼る!$N$6:$N$10005,月1回_前回の在庫を貼る!$B$6:$B$10005,'設定（最初に1回）'!$C$4,月1回_前回の在庫を貼る!$I$6:$I$10005,$C114))</f>
        <v>1259147</v>
      </c>
      <c r="M114" s="69" t="n">
        <f aca="false">IF($C114="","",IF(OR('設定（最初に1回）'!$C$6="",'設定（最初に1回）'!$C$7=""),0,SUMIFS(発注管理!$S$6:$S$1005,発注管理!$C$6:$C$1005,'設定（最初に1回）'!$C$4,発注管理!$F$6:$F$1005,$C114,発注管理!$R$6:$R$1005,"&gt;="&amp;'設定（最初に1回）'!$C$7,発注管理!$R$6:$R$1005,"&lt;="&amp;'設定（最初に1回）'!$C$6)))</f>
        <v>0</v>
      </c>
      <c r="N114" s="69" t="n">
        <f aca="false">IF(OR($C114="",'設定（最初に1回）'!$C$15=0),"",$L114+$M114-$K114)</f>
        <v>693592</v>
      </c>
      <c r="O114" s="143" t="n">
        <f aca="false">IF(OR($N114="",'設定（最初に1回）'!$C$8="",'設定（最初に1回）'!$C$8&lt;=0),"",MAX(0,$N114)/'設定（最初に1回）'!$C$8)</f>
        <v>11370.3606557377</v>
      </c>
      <c r="P114" s="143" t="n">
        <f aca="false">IF($C114="","",IFERROR(INDEX(商品マスタ!$M$6:$N$1005,MATCH($C114,商品マスタ!$B$6:$B$1005,0),MATCH("PI値 "&amp;'設定（最初に1回）'!$C$11,商品マスタ!$M$5:$N$5,0)),""))</f>
        <v>5.9</v>
      </c>
      <c r="Q114" s="143" t="n">
        <f aca="false">IF(OR($C114="",$P114="",$P114=0,(N($I114)+N($AG114))&lt;=0),"",IFERROR(SUMIFS(随時_動員を入れる!$G$8:$G$97,随時_動員を入れる!$B$8:$B$97,"&gt;="&amp;'設定（最初に1回）'!$C$6,随時_動員を入れる!$B$8:$B$97,"&lt;="&amp;'設定（最初に1回）'!$C$6+(N($I114)+N($AG114))-1)/(N($I114)+N($AG114)),0)*$P114/100)</f>
        <v>208.81575</v>
      </c>
      <c r="R114" s="69" t="n">
        <f aca="false">IF($C114="","",SUMIFS(①今日の在庫を貼る!$O$6:$O$10005,①今日の在庫を貼る!$B$6:$B$10005,'設定（最初に1回）'!$C$4,①今日の在庫を貼る!$I$6:$I$10005,$C114))</f>
        <v>0</v>
      </c>
      <c r="S114" s="143" t="n">
        <f aca="false">IF($C114="","",IF('設定（最初に1回）'!$C$9="実績消費",N($O114),IF('設定（最初に1回）'!$C$9="PI値予測",N($Q114),MAX(N($O114),N($Q114)))))</f>
        <v>11370.3606557377</v>
      </c>
      <c r="T114" s="67" t="n">
        <f aca="false">IF(OR($S114="",$S114&lt;=0),"",$K114/$S114)</f>
        <v>49.7394073172701</v>
      </c>
      <c r="U114" s="69" t="n">
        <f aca="false">IF($S114="","",ROUNDUP(N($S114)*'設定（最初に1回）'!$C$12,0))</f>
        <v>45482</v>
      </c>
      <c r="V114" s="69" t="n">
        <f aca="false">IF($C114="","",ROUNDUP(N($S114)*(N($I114)+N($AG114))+N($U114),0))</f>
        <v>181927</v>
      </c>
      <c r="W114" s="69" t="n">
        <f aca="false">IF($C114="","",SUMIFS(発注管理!$L$6:$L$1005,発注管理!$C$6:$C$1005,'設定（最初に1回）'!$C$4,発注管理!$F$6:$F$1005,$C114,発注管理!$Q$6:$Q$1005,"発注済"))</f>
        <v>0</v>
      </c>
      <c r="X114" s="69" t="n">
        <f aca="false">IF($C114="","",MAX(0,N($V114)-N($K114)-N($W114)))</f>
        <v>0</v>
      </c>
      <c r="Y114" s="147" t="n">
        <f aca="false">IF($C114="","",IF(N($X114)&lt;=0,0,CEILING($X114/MAX(1,N($G114)),MAX(1,N($J114)))))</f>
        <v>0</v>
      </c>
      <c r="Z114" s="138" t="str">
        <f aca="false">IF($C114="","",IF(N($Y114)&gt;0,"要発注","正常"))</f>
        <v>正常</v>
      </c>
      <c r="AA114" s="71" t="n">
        <f aca="false">IF($C114="","",N($K114)*N($H114))</f>
        <v>661699.35</v>
      </c>
      <c r="AB114" s="66" t="str">
        <f aca="false">IF($C114="","",_xlfn.TEXTJOIN(" / ",TRUE(),IF(COUNTIF(商品マスタ!$B$6:$B$1005,$C114)=0,"マスタ未登録",""),IF(COUNTIFS(月1回_前回の在庫を貼る!$B$6:$B$10005,'設定（最初に1回）'!$C$4,月1回_前回の在庫を貼る!$I$6:$I$10005,$C114)=0,"新商品",""),IF(COUNTIFS(①今日の在庫を貼る!$B$6:$B$10005,'設定（最初に1回）'!$C$4,①今日の在庫を貼る!$I$6:$I$10005,$C114)=0,"終売候補",""),IF(N($K114)&lt;0,"在庫マイナス",""),IF(AND('設定（最初に1回）'!$C$9="PI値予測",$P114=""),"PI値未設定","")))</f>
        <v/>
      </c>
      <c r="AC114" s="71" t="n">
        <f aca="false">N($Y114)*N($H114)</f>
        <v>0</v>
      </c>
      <c r="AD114" s="66" t="str">
        <f aca="false">IF($C114="","",IFERROR(INDEX(商品マスタ!$K$6:$K$1005,MATCH($C114,商品マスタ!$B$6:$B$1005,0)),"常温"))</f>
        <v>常温</v>
      </c>
      <c r="AE114" s="69" t="n">
        <f aca="false">IF($C114="","",MAX(0,ROUNDUP(N($K114)/MAX(1,N($G114)),0)))</f>
        <v>57</v>
      </c>
      <c r="AF114" s="66" t="str">
        <f aca="false">IF($C114="","",IFERROR(INDEX(商品マスタ!$L$6:$L$1005,MATCH($C114,商品マスタ!$B$6:$B$1005,0)),""))</f>
        <v>常温包材</v>
      </c>
      <c r="AG114" s="143" t="n">
        <f aca="false">IF($C114="","",IFERROR(INDEX(定数マスタ!$S$110:$S$119,MATCH($AF114,定数マスタ!$J$110:$J$119,0)),N('設定（最初に1回）'!$C$13)))</f>
        <v>7</v>
      </c>
      <c r="AH114" s="66" t="n">
        <f aca="false">IF(AND(N($K114)&gt;0,N($Y114)&gt;0),N($Y114),0)</f>
        <v>0</v>
      </c>
    </row>
    <row r="115" customFormat="false" ht="15" hidden="false" customHeight="false" outlineLevel="0" collapsed="false">
      <c r="B115" s="66" t="n">
        <v>110</v>
      </c>
      <c r="C115" s="66" t="str">
        <f aca="false">IFERROR(IF($B115&lt;=MAX(①今日の在庫を貼る!$U$6:$U$10005),INDEX(①今日の在庫を貼る!$I$6:$I$10005,MATCH($B115,①今日の在庫を貼る!$U$6:$U$10005,0)),INDEX(月1回_前回の在庫を貼る!$I$6:$I$10005,MATCH($B115-MAX(①今日の在庫を貼る!$U$6:$U$10005),月1回_前回の在庫を貼る!$U$6:$U$10005,0))),"")</f>
        <v>1814000006271</v>
      </c>
      <c r="D115" s="66" t="str">
        <f aca="false">IF($C115="","",IFERROR(INDEX(商品マスタ!$C$6:$C$1005,MATCH($C115,商品マスタ!$B$6:$B$1005,0)),IFERROR(INDEX(①今日の在庫を貼る!$J$6:$J$10005,MATCH($C115,①今日の在庫を貼る!$I$6:$I$10005,0)),IFERROR(INDEX(月1回_前回の在庫を貼る!$J$6:$J$10005,MATCH($C115,月1回_前回の在庫を貼る!$I$6:$I$10005,0)),""))))</f>
        <v>ＦＳドリンクカップ１６ＯＺ４８０</v>
      </c>
      <c r="E115" s="66" t="str">
        <f aca="false">IF($C115="","",IFERROR(INDEX(商品マスタ!$D$6:$D$1005,MATCH($C115,商品マスタ!$B$6:$B$1005,0)),IFERROR(INDEX(①今日の在庫を貼る!$H$6:$H$10005,MATCH($C115,①今日の在庫を貼る!$I$6:$I$10005,0)),IFERROR(INDEX(月1回_前回の在庫を貼る!$H$6:$H$10005,MATCH($C115,月1回_前回の在庫を貼る!$I$6:$I$10005,0)),""))))</f>
        <v>コンセ包材</v>
      </c>
      <c r="F115" s="66" t="str">
        <f aca="false">IF($C115="","",IFERROR(INDEX(商品マスタ!$E$6:$E$1005,MATCH($C115,商品マスタ!$B$6:$B$1005,0)),IFERROR(INDEX(①今日の在庫を貼る!$E$6:$E$10005,MATCH($C115,①今日の在庫を貼る!$I$6:$I$10005,0)),IFERROR(INDEX(月1回_前回の在庫を貼る!$E$6:$E$10005,MATCH($C115,月1回_前回の在庫を貼る!$I$6:$I$10005,0)),""))))</f>
        <v>オザックス株式会社</v>
      </c>
      <c r="G115" s="69" t="n">
        <f aca="false">IF($C115="","",IFERROR(INDEX(商品マスタ!$F$6:$F$1005,MATCH($C115,商品マスタ!$B$6:$B$1005,0)),IFERROR(INDEX(①今日の在庫を貼る!$K$6:$K$10005,MATCH($C115,①今日の在庫を貼る!$I$6:$I$10005,0)),IFERROR(INDEX(月1回_前回の在庫を貼る!$K$6:$K$10005,MATCH($C115,月1回_前回の在庫を貼る!$I$6:$I$10005,0)),""))))</f>
        <v>1000</v>
      </c>
      <c r="H115" s="71" t="n">
        <f aca="false">IF($C115="","",IFERROR(INDEX(商品マスタ!$G$6:$G$1005,MATCH($C115,商品マスタ!$B$6:$B$1005,0)),IFERROR(INDEX(①今日の在庫を貼る!$Q$6:$Q$10005,MATCH($C115,①今日の在庫を貼る!$I$6:$I$10005,0)),IFERROR(INDEX(月1回_前回の在庫を貼る!$Q$6:$Q$10005,MATCH($C115,月1回_前回の在庫を貼る!$I$6:$I$10005,0)),""))))</f>
        <v>5.36</v>
      </c>
      <c r="I115" s="66" t="n">
        <f aca="false">IF($C115="","",IFERROR(INDEX(商品マスタ!$H$6:$H$1005,MATCH($C115,商品マスタ!$B$6:$B$1005,0)),3))</f>
        <v>3</v>
      </c>
      <c r="J115" s="66" t="n">
        <f aca="false">IF($C115="","",MAX(1,IFERROR(INDEX(商品マスタ!$I$6:$I$1005,MATCH($C115,商品マスタ!$B$6:$B$1005,0)),1)))</f>
        <v>5</v>
      </c>
      <c r="K115" s="69" t="n">
        <f aca="false">IF($C115="","",SUMIFS(①今日の在庫を貼る!$N$6:$N$10005,①今日の在庫を貼る!$B$6:$B$10005,'設定（最初に1回）'!$C$4,①今日の在庫を貼る!$I$6:$I$10005,$C115))</f>
        <v>0</v>
      </c>
      <c r="L115" s="69" t="n">
        <f aca="false">IF($C115="","",SUMIFS(月1回_前回の在庫を貼る!$N$6:$N$10005,月1回_前回の在庫を貼る!$B$6:$B$10005,'設定（最初に1回）'!$C$4,月1回_前回の在庫を貼る!$I$6:$I$10005,$C115))</f>
        <v>1</v>
      </c>
      <c r="M115" s="69" t="n">
        <f aca="false">IF($C115="","",IF(OR('設定（最初に1回）'!$C$6="",'設定（最初に1回）'!$C$7=""),0,SUMIFS(発注管理!$S$6:$S$1005,発注管理!$C$6:$C$1005,'設定（最初に1回）'!$C$4,発注管理!$F$6:$F$1005,$C115,発注管理!$R$6:$R$1005,"&gt;="&amp;'設定（最初に1回）'!$C$7,発注管理!$R$6:$R$1005,"&lt;="&amp;'設定（最初に1回）'!$C$6)))</f>
        <v>0</v>
      </c>
      <c r="N115" s="69" t="n">
        <f aca="false">IF(OR($C115="",'設定（最初に1回）'!$C$15=0),"",$L115+$M115-$K115)</f>
        <v>1</v>
      </c>
      <c r="O115" s="143" t="n">
        <f aca="false">IF(OR($N115="",'設定（最初に1回）'!$C$8="",'設定（最初に1回）'!$C$8&lt;=0),"",MAX(0,$N115)/'設定（最初に1回）'!$C$8)</f>
        <v>0.0163934426229508</v>
      </c>
      <c r="P115" s="143" t="n">
        <f aca="false">IF($C115="","",IFERROR(INDEX(商品マスタ!$M$6:$N$1005,MATCH($C115,商品マスタ!$B$6:$B$1005,0),MATCH("PI値 "&amp;'設定（最初に1回）'!$C$11,商品マスタ!$M$5:$N$5,0)),""))</f>
        <v>12.7</v>
      </c>
      <c r="Q115" s="143" t="n">
        <f aca="false">IF(OR($C115="",$P115="",$P115=0,(N($I115)+N($AG115))&lt;=0),"",IFERROR(SUMIFS(随時_動員を入れる!$G$8:$G$97,随時_動員を入れる!$B$8:$B$97,"&gt;="&amp;'設定（最初に1回）'!$C$6,随時_動員を入れる!$B$8:$B$97,"&lt;="&amp;'設定（最初に1回）'!$C$6+(N($I115)+N($AG115))-1)/(N($I115)+N($AG115)),0)*$P115/100)</f>
        <v>483.3874</v>
      </c>
      <c r="R115" s="69" t="n">
        <f aca="false">IF($C115="","",SUMIFS(①今日の在庫を貼る!$O$6:$O$10005,①今日の在庫を貼る!$B$6:$B$10005,'設定（最初に1回）'!$C$4,①今日の在庫を貼る!$I$6:$I$10005,$C115))</f>
        <v>0</v>
      </c>
      <c r="S115" s="143" t="n">
        <f aca="false">IF($C115="","",IF('設定（最初に1回）'!$C$9="実績消費",N($O115),IF('設定（最初に1回）'!$C$9="PI値予測",N($Q115),MAX(N($O115),N($Q115)))))</f>
        <v>0.0163934426229508</v>
      </c>
      <c r="T115" s="67" t="n">
        <f aca="false">IF(OR($S115="",$S115&lt;=0),"",$K115/$S115)</f>
        <v>0</v>
      </c>
      <c r="U115" s="69" t="n">
        <f aca="false">IF($S115="","",ROUNDUP(N($S115)*'設定（最初に1回）'!$C$12,0))</f>
        <v>1</v>
      </c>
      <c r="V115" s="69" t="n">
        <f aca="false">IF($C115="","",ROUNDUP(N($S115)*(N($I115)+N($AG115))+N($U115),0))</f>
        <v>2</v>
      </c>
      <c r="W115" s="69" t="n">
        <f aca="false">IF($C115="","",SUMIFS(発注管理!$L$6:$L$1005,発注管理!$C$6:$C$1005,'設定（最初に1回）'!$C$4,発注管理!$F$6:$F$1005,$C115,発注管理!$Q$6:$Q$1005,"発注済"))</f>
        <v>0</v>
      </c>
      <c r="X115" s="69" t="n">
        <f aca="false">IF($C115="","",MAX(0,N($V115)-N($K115)-N($W115)))</f>
        <v>2</v>
      </c>
      <c r="Y115" s="147" t="n">
        <f aca="false">IF($C115="","",IF(N($X115)&lt;=0,0,CEILING($X115/MAX(1,N($G115)),MAX(1,N($J115)))))</f>
        <v>5</v>
      </c>
      <c r="Z115" s="138" t="str">
        <f aca="false">IF($C115="","",IF(N($Y115)&gt;0,"要発注","正常"))</f>
        <v>要発注</v>
      </c>
      <c r="AA115" s="71" t="n">
        <f aca="false">IF($C115="","",N($K115)*N($H115))</f>
        <v>0</v>
      </c>
      <c r="AB115" s="66" t="str">
        <f aca="false">IF($C115="","",_xlfn.TEXTJOIN(" / ",TRUE(),IF(COUNTIF(商品マスタ!$B$6:$B$1005,$C115)=0,"マスタ未登録",""),IF(COUNTIFS(月1回_前回の在庫を貼る!$B$6:$B$10005,'設定（最初に1回）'!$C$4,月1回_前回の在庫を貼る!$I$6:$I$10005,$C115)=0,"新商品",""),IF(COUNTIFS(①今日の在庫を貼る!$B$6:$B$10005,'設定（最初に1回）'!$C$4,①今日の在庫を貼る!$I$6:$I$10005,$C115)=0,"終売候補",""),IF(N($K115)&lt;0,"在庫マイナス",""),IF(AND('設定（最初に1回）'!$C$9="PI値予測",$P115=""),"PI値未設定","")))</f>
        <v/>
      </c>
      <c r="AC115" s="71" t="n">
        <f aca="false">N($Y115)*N($H115)</f>
        <v>26.8</v>
      </c>
      <c r="AD115" s="66" t="str">
        <f aca="false">IF($C115="","",IFERROR(INDEX(商品マスタ!$K$6:$K$1005,MATCH($C115,商品マスタ!$B$6:$B$1005,0)),"常温"))</f>
        <v>常温</v>
      </c>
      <c r="AE115" s="69" t="n">
        <f aca="false">IF($C115="","",MAX(0,ROUNDUP(N($K115)/MAX(1,N($G115)),0)))</f>
        <v>0</v>
      </c>
      <c r="AF115" s="66" t="str">
        <f aca="false">IF($C115="","",IFERROR(INDEX(商品マスタ!$L$6:$L$1005,MATCH($C115,商品マスタ!$B$6:$B$1005,0)),""))</f>
        <v>常温包材</v>
      </c>
      <c r="AG115" s="143" t="n">
        <f aca="false">IF($C115="","",IFERROR(INDEX(定数マスタ!$S$110:$S$119,MATCH($AF115,定数マスタ!$J$110:$J$119,0)),N('設定（最初に1回）'!$C$13)))</f>
        <v>7</v>
      </c>
      <c r="AH115" s="66" t="n">
        <f aca="false">IF(AND(N($K115)&gt;0,N($Y115)&gt;0),N($Y115),0)</f>
        <v>0</v>
      </c>
    </row>
    <row r="116" customFormat="false" ht="15" hidden="false" customHeight="false" outlineLevel="0" collapsed="false">
      <c r="B116" s="66" t="n">
        <v>111</v>
      </c>
      <c r="C116" s="66" t="str">
        <f aca="false">IFERROR(IF($B116&lt;=MAX(①今日の在庫を貼る!$U$6:$U$10005),INDEX(①今日の在庫を貼る!$I$6:$I$10005,MATCH($B116,①今日の在庫を貼る!$U$6:$U$10005,0)),INDEX(月1回_前回の在庫を貼る!$I$6:$I$10005,MATCH($B116-MAX(①今日の在庫を貼る!$U$6:$U$10005),月1回_前回の在庫を貼る!$U$6:$U$10005,0))),"")</f>
        <v>1814000006288</v>
      </c>
      <c r="D116" s="66" t="str">
        <f aca="false">IF($C116="","",IFERROR(INDEX(商品マスタ!$C$6:$C$1005,MATCH($C116,商品マスタ!$B$6:$B$1005,0)),IFERROR(INDEX(①今日の在庫を貼る!$J$6:$J$10005,MATCH($C116,①今日の在庫を貼る!$I$6:$I$10005,0)),IFERROR(INDEX(月1回_前回の在庫を貼る!$J$6:$J$10005,MATCH($C116,月1回_前回の在庫を貼る!$I$6:$I$10005,0)),""))))</f>
        <v>ＦＳドリンクカップ２０ＯＺ６００</v>
      </c>
      <c r="E116" s="66" t="str">
        <f aca="false">IF($C116="","",IFERROR(INDEX(商品マスタ!$D$6:$D$1005,MATCH($C116,商品マスタ!$B$6:$B$1005,0)),IFERROR(INDEX(①今日の在庫を貼る!$H$6:$H$10005,MATCH($C116,①今日の在庫を貼る!$I$6:$I$10005,0)),IFERROR(INDEX(月1回_前回の在庫を貼る!$H$6:$H$10005,MATCH($C116,月1回_前回の在庫を貼る!$I$6:$I$10005,0)),""))))</f>
        <v>コンセ包材</v>
      </c>
      <c r="F116" s="66" t="str">
        <f aca="false">IF($C116="","",IFERROR(INDEX(商品マスタ!$E$6:$E$1005,MATCH($C116,商品マスタ!$B$6:$B$1005,0)),IFERROR(INDEX(①今日の在庫を貼る!$E$6:$E$10005,MATCH($C116,①今日の在庫を貼る!$I$6:$I$10005,0)),IFERROR(INDEX(月1回_前回の在庫を貼る!$E$6:$E$10005,MATCH($C116,月1回_前回の在庫を貼る!$I$6:$I$10005,0)),""))))</f>
        <v>オザックス株式会社</v>
      </c>
      <c r="G116" s="69" t="n">
        <f aca="false">IF($C116="","",IFERROR(INDEX(商品マスタ!$F$6:$F$1005,MATCH($C116,商品マスタ!$B$6:$B$1005,0)),IFERROR(INDEX(①今日の在庫を貼る!$K$6:$K$10005,MATCH($C116,①今日の在庫を貼る!$I$6:$I$10005,0)),IFERROR(INDEX(月1回_前回の在庫を貼る!$K$6:$K$10005,MATCH($C116,月1回_前回の在庫を貼る!$I$6:$I$10005,0)),""))))</f>
        <v>1000</v>
      </c>
      <c r="H116" s="71" t="n">
        <f aca="false">IF($C116="","",IFERROR(INDEX(商品マスタ!$G$6:$G$1005,MATCH($C116,商品マスタ!$B$6:$B$1005,0)),IFERROR(INDEX(①今日の在庫を貼る!$Q$6:$Q$10005,MATCH($C116,①今日の在庫を貼る!$I$6:$I$10005,0)),IFERROR(INDEX(月1回_前回の在庫を貼る!$Q$6:$Q$10005,MATCH($C116,月1回_前回の在庫を貼る!$I$6:$I$10005,0)),""))))</f>
        <v>7.06</v>
      </c>
      <c r="I116" s="66" t="n">
        <f aca="false">IF($C116="","",IFERROR(INDEX(商品マスタ!$H$6:$H$1005,MATCH($C116,商品マスタ!$B$6:$B$1005,0)),3))</f>
        <v>7</v>
      </c>
      <c r="J116" s="66" t="n">
        <f aca="false">IF($C116="","",MAX(1,IFERROR(INDEX(商品マスタ!$I$6:$I$1005,MATCH($C116,商品マスタ!$B$6:$B$1005,0)),1)))</f>
        <v>1</v>
      </c>
      <c r="K116" s="69" t="n">
        <f aca="false">IF($C116="","",SUMIFS(①今日の在庫を貼る!$N$6:$N$10005,①今日の在庫を貼る!$B$6:$B$10005,'設定（最初に1回）'!$C$4,①今日の在庫を貼る!$I$6:$I$10005,$C116))</f>
        <v>15890</v>
      </c>
      <c r="L116" s="69" t="n">
        <f aca="false">IF($C116="","",SUMIFS(月1回_前回の在庫を貼る!$N$6:$N$10005,月1回_前回の在庫を貼る!$B$6:$B$10005,'設定（最初に1回）'!$C$4,月1回_前回の在庫を貼る!$I$6:$I$10005,$C116))</f>
        <v>74889</v>
      </c>
      <c r="M116" s="69" t="n">
        <f aca="false">IF($C116="","",IF(OR('設定（最初に1回）'!$C$6="",'設定（最初に1回）'!$C$7=""),0,SUMIFS(発注管理!$S$6:$S$1005,発注管理!$C$6:$C$1005,'設定（最初に1回）'!$C$4,発注管理!$F$6:$F$1005,$C116,発注管理!$R$6:$R$1005,"&gt;="&amp;'設定（最初に1回）'!$C$7,発注管理!$R$6:$R$1005,"&lt;="&amp;'設定（最初に1回）'!$C$6)))</f>
        <v>0</v>
      </c>
      <c r="N116" s="69" t="n">
        <f aca="false">IF(OR($C116="",'設定（最初に1回）'!$C$15=0),"",$L116+$M116-$K116)</f>
        <v>58999</v>
      </c>
      <c r="O116" s="143" t="n">
        <f aca="false">IF(OR($N116="",'設定（最初に1回）'!$C$8="",'設定（最初に1回）'!$C$8&lt;=0),"",MAX(0,$N116)/'設定（最初に1回）'!$C$8)</f>
        <v>967.196721311475</v>
      </c>
      <c r="P116" s="143" t="n">
        <f aca="false">IF($C116="","",IFERROR(INDEX(商品マスタ!$M$6:$N$1005,MATCH($C116,商品マスタ!$B$6:$B$1005,0),MATCH("PI値 "&amp;'設定（最初に1回）'!$C$11,商品マスタ!$M$5:$N$5,0)),""))</f>
        <v>5.7</v>
      </c>
      <c r="Q116" s="143" t="n">
        <f aca="false">IF(OR($C116="",$P116="",$P116=0,(N($I116)+N($AG116))&lt;=0),"",IFERROR(SUMIFS(随時_動員を入れる!$G$8:$G$97,随時_動員を入れる!$B$8:$B$97,"&gt;="&amp;'設定（最初に1回）'!$C$6,随時_動員を入れる!$B$8:$B$97,"&lt;="&amp;'設定（最初に1回）'!$C$6+(N($I116)+N($AG116))-1)/(N($I116)+N($AG116)),0)*$P116/100)</f>
        <v>183.597</v>
      </c>
      <c r="R116" s="69" t="n">
        <f aca="false">IF($C116="","",SUMIFS(①今日の在庫を貼る!$O$6:$O$10005,①今日の在庫を貼る!$B$6:$B$10005,'設定（最初に1回）'!$C$4,①今日の在庫を貼る!$I$6:$I$10005,$C116))</f>
        <v>0</v>
      </c>
      <c r="S116" s="143" t="n">
        <f aca="false">IF($C116="","",IF('設定（最初に1回）'!$C$9="実績消費",N($O116),IF('設定（最初に1回）'!$C$9="PI値予測",N($Q116),MAX(N($O116),N($Q116)))))</f>
        <v>967.196721311475</v>
      </c>
      <c r="T116" s="67" t="n">
        <f aca="false">IF(OR($S116="",$S116&lt;=0),"",$K116/$S116)</f>
        <v>16.4289225241106</v>
      </c>
      <c r="U116" s="69" t="n">
        <f aca="false">IF($S116="","",ROUNDUP(N($S116)*'設定（最初に1回）'!$C$12,0))</f>
        <v>3869</v>
      </c>
      <c r="V116" s="69" t="n">
        <f aca="false">IF($C116="","",ROUNDUP(N($S116)*(N($I116)+N($AG116))+N($U116),0))</f>
        <v>17410</v>
      </c>
      <c r="W116" s="69" t="n">
        <f aca="false">IF($C116="","",SUMIFS(発注管理!$L$6:$L$1005,発注管理!$C$6:$C$1005,'設定（最初に1回）'!$C$4,発注管理!$F$6:$F$1005,$C116,発注管理!$Q$6:$Q$1005,"発注済"))</f>
        <v>0</v>
      </c>
      <c r="X116" s="69" t="n">
        <f aca="false">IF($C116="","",MAX(0,N($V116)-N($K116)-N($W116)))</f>
        <v>1520</v>
      </c>
      <c r="Y116" s="147" t="n">
        <f aca="false">IF($C116="","",IF(N($X116)&lt;=0,0,CEILING($X116/MAX(1,N($G116)),MAX(1,N($J116)))))</f>
        <v>2</v>
      </c>
      <c r="Z116" s="138" t="str">
        <f aca="false">IF($C116="","",IF(N($Y116)&gt;0,"要発注","正常"))</f>
        <v>要発注</v>
      </c>
      <c r="AA116" s="71" t="n">
        <f aca="false">IF($C116="","",N($K116)*N($H116))</f>
        <v>112183.4</v>
      </c>
      <c r="AB116" s="66" t="str">
        <f aca="false">IF($C116="","",_xlfn.TEXTJOIN(" / ",TRUE(),IF(COUNTIF(商品マスタ!$B$6:$B$1005,$C116)=0,"マスタ未登録",""),IF(COUNTIFS(月1回_前回の在庫を貼る!$B$6:$B$10005,'設定（最初に1回）'!$C$4,月1回_前回の在庫を貼る!$I$6:$I$10005,$C116)=0,"新商品",""),IF(COUNTIFS(①今日の在庫を貼る!$B$6:$B$10005,'設定（最初に1回）'!$C$4,①今日の在庫を貼る!$I$6:$I$10005,$C116)=0,"終売候補",""),IF(N($K116)&lt;0,"在庫マイナス",""),IF(AND('設定（最初に1回）'!$C$9="PI値予測",$P116=""),"PI値未設定","")))</f>
        <v/>
      </c>
      <c r="AC116" s="71" t="n">
        <f aca="false">N($Y116)*N($H116)</f>
        <v>14.12</v>
      </c>
      <c r="AD116" s="66" t="str">
        <f aca="false">IF($C116="","",IFERROR(INDEX(商品マスタ!$K$6:$K$1005,MATCH($C116,商品マスタ!$B$6:$B$1005,0)),"常温"))</f>
        <v>常温</v>
      </c>
      <c r="AE116" s="69" t="n">
        <f aca="false">IF($C116="","",MAX(0,ROUNDUP(N($K116)/MAX(1,N($G116)),0)))</f>
        <v>16</v>
      </c>
      <c r="AF116" s="66" t="str">
        <f aca="false">IF($C116="","",IFERROR(INDEX(商品マスタ!$L$6:$L$1005,MATCH($C116,商品マスタ!$B$6:$B$1005,0)),""))</f>
        <v>常温包材</v>
      </c>
      <c r="AG116" s="143" t="n">
        <f aca="false">IF($C116="","",IFERROR(INDEX(定数マスタ!$S$110:$S$119,MATCH($AF116,定数マスタ!$J$110:$J$119,0)),N('設定（最初に1回）'!$C$13)))</f>
        <v>7</v>
      </c>
      <c r="AH116" s="66" t="n">
        <f aca="false">IF(AND(N($K116)&gt;0,N($Y116)&gt;0),N($Y116),0)</f>
        <v>2</v>
      </c>
    </row>
    <row r="117" customFormat="false" ht="15" hidden="false" customHeight="false" outlineLevel="0" collapsed="false">
      <c r="B117" s="66" t="n">
        <v>112</v>
      </c>
      <c r="C117" s="66" t="str">
        <f aca="false">IFERROR(IF($B117&lt;=MAX(①今日の在庫を貼る!$U$6:$U$10005),INDEX(①今日の在庫を貼る!$I$6:$I$10005,MATCH($B117,①今日の在庫を貼る!$U$6:$U$10005,0)),INDEX(月1回_前回の在庫を貼る!$I$6:$I$10005,MATCH($B117-MAX(①今日の在庫を貼る!$U$6:$U$10005),月1回_前回の在庫を貼る!$U$6:$U$10005,0))),"")</f>
        <v>1814000006349</v>
      </c>
      <c r="D117" s="66" t="str">
        <f aca="false">IF($C117="","",IFERROR(INDEX(商品マスタ!$C$6:$C$1005,MATCH($C117,商品マスタ!$B$6:$B$1005,0)),IFERROR(INDEX(①今日の在庫を貼る!$J$6:$J$10005,MATCH($C117,①今日の在庫を貼る!$I$6:$I$10005,0)),IFERROR(INDEX(月1回_前回の在庫を貼る!$J$6:$J$10005,MATCH($C117,月1回_前回の在庫を貼る!$I$6:$I$10005,0)),""))))</f>
        <v>Ｈカップ１１ＯＺ３４０Ｅ１２５０</v>
      </c>
      <c r="E117" s="66" t="str">
        <f aca="false">IF($C117="","",IFERROR(INDEX(商品マスタ!$D$6:$D$1005,MATCH($C117,商品マスタ!$B$6:$B$1005,0)),IFERROR(INDEX(①今日の在庫を貼る!$H$6:$H$10005,MATCH($C117,①今日の在庫を貼る!$I$6:$I$10005,0)),IFERROR(INDEX(月1回_前回の在庫を貼る!$H$6:$H$10005,MATCH($C117,月1回_前回の在庫を貼る!$I$6:$I$10005,0)),""))))</f>
        <v>コンセ包材</v>
      </c>
      <c r="F117" s="66" t="str">
        <f aca="false">IF($C117="","",IFERROR(INDEX(商品マスタ!$E$6:$E$1005,MATCH($C117,商品マスタ!$B$6:$B$1005,0)),IFERROR(INDEX(①今日の在庫を貼る!$E$6:$E$10005,MATCH($C117,①今日の在庫を貼る!$I$6:$I$10005,0)),IFERROR(INDEX(月1回_前回の在庫を貼る!$E$6:$E$10005,MATCH($C117,月1回_前回の在庫を貼る!$I$6:$I$10005,0)),""))))</f>
        <v>オザックス株式会社</v>
      </c>
      <c r="G117" s="69" t="n">
        <f aca="false">IF($C117="","",IFERROR(INDEX(商品マスタ!$F$6:$F$1005,MATCH($C117,商品マスタ!$B$6:$B$1005,0)),IFERROR(INDEX(①今日の在庫を貼る!$K$6:$K$10005,MATCH($C117,①今日の在庫を貼る!$I$6:$I$10005,0)),IFERROR(INDEX(月1回_前回の在庫を貼る!$K$6:$K$10005,MATCH($C117,月1回_前回の在庫を貼る!$I$6:$I$10005,0)),""))))</f>
        <v>1250</v>
      </c>
      <c r="H117" s="71" t="n">
        <f aca="false">IF($C117="","",IFERROR(INDEX(商品マスタ!$G$6:$G$1005,MATCH($C117,商品マスタ!$B$6:$B$1005,0)),IFERROR(INDEX(①今日の在庫を貼る!$Q$6:$Q$10005,MATCH($C117,①今日の在庫を貼る!$I$6:$I$10005,0)),IFERROR(INDEX(月1回_前回の在庫を貼る!$Q$6:$Q$10005,MATCH($C117,月1回_前回の在庫を貼る!$I$6:$I$10005,0)),""))))</f>
        <v>8.22</v>
      </c>
      <c r="I117" s="66" t="n">
        <f aca="false">IF($C117="","",IFERROR(INDEX(商品マスタ!$H$6:$H$1005,MATCH($C117,商品マスタ!$B$6:$B$1005,0)),3))</f>
        <v>5</v>
      </c>
      <c r="J117" s="66" t="n">
        <f aca="false">IF($C117="","",MAX(1,IFERROR(INDEX(商品マスタ!$I$6:$I$1005,MATCH($C117,商品マスタ!$B$6:$B$1005,0)),1)))</f>
        <v>1</v>
      </c>
      <c r="K117" s="69" t="n">
        <f aca="false">IF($C117="","",SUMIFS(①今日の在庫を貼る!$N$6:$N$10005,①今日の在庫を貼る!$B$6:$B$10005,'設定（最初に1回）'!$C$4,①今日の在庫を貼る!$I$6:$I$10005,$C117))</f>
        <v>187</v>
      </c>
      <c r="L117" s="69" t="n">
        <f aca="false">IF($C117="","",SUMIFS(月1回_前回の在庫を貼る!$N$6:$N$10005,月1回_前回の在庫を貼る!$B$6:$B$10005,'設定（最初に1回）'!$C$4,月1回_前回の在庫を貼る!$I$6:$I$10005,$C117))</f>
        <v>4839</v>
      </c>
      <c r="M117" s="69" t="n">
        <f aca="false">IF($C117="","",IF(OR('設定（最初に1回）'!$C$6="",'設定（最初に1回）'!$C$7=""),0,SUMIFS(発注管理!$S$6:$S$1005,発注管理!$C$6:$C$1005,'設定（最初に1回）'!$C$4,発注管理!$F$6:$F$1005,$C117,発注管理!$R$6:$R$1005,"&gt;="&amp;'設定（最初に1回）'!$C$7,発注管理!$R$6:$R$1005,"&lt;="&amp;'設定（最初に1回）'!$C$6)))</f>
        <v>0</v>
      </c>
      <c r="N117" s="69" t="n">
        <f aca="false">IF(OR($C117="",'設定（最初に1回）'!$C$15=0),"",$L117+$M117-$K117)</f>
        <v>4652</v>
      </c>
      <c r="O117" s="143" t="n">
        <f aca="false">IF(OR($N117="",'設定（最初に1回）'!$C$8="",'設定（最初に1回）'!$C$8&lt;=0),"",MAX(0,$N117)/'設定（最初に1回）'!$C$8)</f>
        <v>76.2622950819672</v>
      </c>
      <c r="P117" s="143" t="n">
        <f aca="false">IF($C117="","",IFERROR(INDEX(商品マスタ!$M$6:$N$1005,MATCH($C117,商品マスタ!$B$6:$B$1005,0),MATCH("PI値 "&amp;'設定（最初に1回）'!$C$11,商品マスタ!$M$5:$N$5,0)),""))</f>
        <v>12.9</v>
      </c>
      <c r="Q117" s="143" t="n">
        <f aca="false">IF(OR($C117="",$P117="",$P117=0,(N($I117)+N($AG117))&lt;=0),"",IFERROR(SUMIFS(随時_動員を入れる!$G$8:$G$97,随時_動員を入れる!$B$8:$B$97,"&gt;="&amp;'設定（最初に1回）'!$C$6,随時_動員を入れる!$B$8:$B$97,"&lt;="&amp;'設定（最初に1回）'!$C$6+(N($I117)+N($AG117))-1)/(N($I117)+N($AG117)),0)*$P117/100)</f>
        <v>456.56325</v>
      </c>
      <c r="R117" s="69" t="n">
        <f aca="false">IF($C117="","",SUMIFS(①今日の在庫を貼る!$O$6:$O$10005,①今日の在庫を貼る!$B$6:$B$10005,'設定（最初に1回）'!$C$4,①今日の在庫を貼る!$I$6:$I$10005,$C117))</f>
        <v>0</v>
      </c>
      <c r="S117" s="143" t="n">
        <f aca="false">IF($C117="","",IF('設定（最初に1回）'!$C$9="実績消費",N($O117),IF('設定（最初に1回）'!$C$9="PI値予測",N($Q117),MAX(N($O117),N($Q117)))))</f>
        <v>76.2622950819672</v>
      </c>
      <c r="T117" s="67" t="n">
        <f aca="false">IF(OR($S117="",$S117&lt;=0),"",$K117/$S117)</f>
        <v>2.45206362854686</v>
      </c>
      <c r="U117" s="69" t="n">
        <f aca="false">IF($S117="","",ROUNDUP(N($S117)*'設定（最初に1回）'!$C$12,0))</f>
        <v>306</v>
      </c>
      <c r="V117" s="69" t="n">
        <f aca="false">IF($C117="","",ROUNDUP(N($S117)*(N($I117)+N($AG117))+N($U117),0))</f>
        <v>1222</v>
      </c>
      <c r="W117" s="69" t="n">
        <f aca="false">IF($C117="","",SUMIFS(発注管理!$L$6:$L$1005,発注管理!$C$6:$C$1005,'設定（最初に1回）'!$C$4,発注管理!$F$6:$F$1005,$C117,発注管理!$Q$6:$Q$1005,"発注済"))</f>
        <v>0</v>
      </c>
      <c r="X117" s="69" t="n">
        <f aca="false">IF($C117="","",MAX(0,N($V117)-N($K117)-N($W117)))</f>
        <v>1035</v>
      </c>
      <c r="Y117" s="147" t="n">
        <f aca="false">IF($C117="","",IF(N($X117)&lt;=0,0,CEILING($X117/MAX(1,N($G117)),MAX(1,N($J117)))))</f>
        <v>1</v>
      </c>
      <c r="Z117" s="138" t="str">
        <f aca="false">IF($C117="","",IF(N($Y117)&gt;0,"要発注","正常"))</f>
        <v>要発注</v>
      </c>
      <c r="AA117" s="71" t="n">
        <f aca="false">IF($C117="","",N($K117)*N($H117))</f>
        <v>1537.14</v>
      </c>
      <c r="AB117" s="66" t="str">
        <f aca="false">IF($C117="","",_xlfn.TEXTJOIN(" / ",TRUE(),IF(COUNTIF(商品マスタ!$B$6:$B$1005,$C117)=0,"マスタ未登録",""),IF(COUNTIFS(月1回_前回の在庫を貼る!$B$6:$B$10005,'設定（最初に1回）'!$C$4,月1回_前回の在庫を貼る!$I$6:$I$10005,$C117)=0,"新商品",""),IF(COUNTIFS(①今日の在庫を貼る!$B$6:$B$10005,'設定（最初に1回）'!$C$4,①今日の在庫を貼る!$I$6:$I$10005,$C117)=0,"終売候補",""),IF(N($K117)&lt;0,"在庫マイナス",""),IF(AND('設定（最初に1回）'!$C$9="PI値予測",$P117=""),"PI値未設定","")))</f>
        <v/>
      </c>
      <c r="AC117" s="71" t="n">
        <f aca="false">N($Y117)*N($H117)</f>
        <v>8.22</v>
      </c>
      <c r="AD117" s="66" t="str">
        <f aca="false">IF($C117="","",IFERROR(INDEX(商品マスタ!$K$6:$K$1005,MATCH($C117,商品マスタ!$B$6:$B$1005,0)),"常温"))</f>
        <v>常温</v>
      </c>
      <c r="AE117" s="69" t="n">
        <f aca="false">IF($C117="","",MAX(0,ROUNDUP(N($K117)/MAX(1,N($G117)),0)))</f>
        <v>1</v>
      </c>
      <c r="AF117" s="66" t="str">
        <f aca="false">IF($C117="","",IFERROR(INDEX(商品マスタ!$L$6:$L$1005,MATCH($C117,商品マスタ!$B$6:$B$1005,0)),""))</f>
        <v>常温包材</v>
      </c>
      <c r="AG117" s="143" t="n">
        <f aca="false">IF($C117="","",IFERROR(INDEX(定数マスタ!$S$110:$S$119,MATCH($AF117,定数マスタ!$J$110:$J$119,0)),N('設定（最初に1回）'!$C$13)))</f>
        <v>7</v>
      </c>
      <c r="AH117" s="66" t="n">
        <f aca="false">IF(AND(N($K117)&gt;0,N($Y117)&gt;0),N($Y117),0)</f>
        <v>1</v>
      </c>
    </row>
    <row r="118" customFormat="false" ht="15" hidden="false" customHeight="false" outlineLevel="0" collapsed="false">
      <c r="B118" s="66" t="n">
        <v>113</v>
      </c>
      <c r="C118" s="66" t="str">
        <f aca="false">IFERROR(IF($B118&lt;=MAX(①今日の在庫を貼る!$U$6:$U$10005),INDEX(①今日の在庫を貼る!$I$6:$I$10005,MATCH($B118,①今日の在庫を貼る!$U$6:$U$10005,0)),INDEX(月1回_前回の在庫を貼る!$I$6:$I$10005,MATCH($B118-MAX(①今日の在庫を貼る!$U$6:$U$10005),月1回_前回の在庫を貼る!$U$6:$U$10005,0))),"")</f>
        <v>1814000006356</v>
      </c>
      <c r="D118" s="66" t="str">
        <f aca="false">IF($C118="","",IFERROR(INDEX(商品マスタ!$C$6:$C$1005,MATCH($C118,商品マスタ!$B$6:$B$1005,0)),IFERROR(INDEX(①今日の在庫を貼る!$J$6:$J$10005,MATCH($C118,①今日の在庫を貼る!$I$6:$I$10005,0)),IFERROR(INDEX(月1回_前回の在庫を貼る!$J$6:$J$10005,MATCH($C118,月1回_前回の在庫を貼る!$I$6:$I$10005,0)),""))))</f>
        <v>ＴＨ　シネマイクポップコーン箱</v>
      </c>
      <c r="E118" s="66" t="str">
        <f aca="false">IF($C118="","",IFERROR(INDEX(商品マスタ!$D$6:$D$1005,MATCH($C118,商品マスタ!$B$6:$B$1005,0)),IFERROR(INDEX(①今日の在庫を貼る!$H$6:$H$10005,MATCH($C118,①今日の在庫を貼る!$I$6:$I$10005,0)),IFERROR(INDEX(月1回_前回の在庫を貼る!$H$6:$H$10005,MATCH($C118,月1回_前回の在庫を貼る!$I$6:$I$10005,0)),""))))</f>
        <v>コンセ包材</v>
      </c>
      <c r="F118" s="66" t="str">
        <f aca="false">IF($C118="","",IFERROR(INDEX(商品マスタ!$E$6:$E$1005,MATCH($C118,商品マスタ!$B$6:$B$1005,0)),IFERROR(INDEX(①今日の在庫を貼る!$E$6:$E$10005,MATCH($C118,①今日の在庫を貼る!$I$6:$I$10005,0)),IFERROR(INDEX(月1回_前回の在庫を貼る!$E$6:$E$10005,MATCH($C118,月1回_前回の在庫を貼る!$I$6:$I$10005,0)),""))))</f>
        <v>オザックス株式会社</v>
      </c>
      <c r="G118" s="69" t="n">
        <f aca="false">IF($C118="","",IFERROR(INDEX(商品マスタ!$F$6:$F$1005,MATCH($C118,商品マスタ!$B$6:$B$1005,0)),IFERROR(INDEX(①今日の在庫を貼る!$K$6:$K$10005,MATCH($C118,①今日の在庫を貼る!$I$6:$I$10005,0)),IFERROR(INDEX(月1回_前回の在庫を貼る!$K$6:$K$10005,MATCH($C118,月1回_前回の在庫を貼る!$I$6:$I$10005,0)),""))))</f>
        <v>300</v>
      </c>
      <c r="H118" s="71" t="n">
        <f aca="false">IF($C118="","",IFERROR(INDEX(商品マスタ!$G$6:$G$1005,MATCH($C118,商品マスタ!$B$6:$B$1005,0)),IFERROR(INDEX(①今日の在庫を貼る!$Q$6:$Q$10005,MATCH($C118,①今日の在庫を貼る!$I$6:$I$10005,0)),IFERROR(INDEX(月1回_前回の在庫を貼る!$Q$6:$Q$10005,MATCH($C118,月1回_前回の在庫を貼る!$I$6:$I$10005,0)),""))))</f>
        <v>17.84</v>
      </c>
      <c r="I118" s="66" t="n">
        <f aca="false">IF($C118="","",IFERROR(INDEX(商品マスタ!$H$6:$H$1005,MATCH($C118,商品マスタ!$B$6:$B$1005,0)),3))</f>
        <v>3</v>
      </c>
      <c r="J118" s="66" t="n">
        <f aca="false">IF($C118="","",MAX(1,IFERROR(INDEX(商品マスタ!$I$6:$I$1005,MATCH($C118,商品マスタ!$B$6:$B$1005,0)),1)))</f>
        <v>1</v>
      </c>
      <c r="K118" s="69" t="n">
        <f aca="false">IF($C118="","",SUMIFS(①今日の在庫を貼る!$N$6:$N$10005,①今日の在庫を貼る!$B$6:$B$10005,'設定（最初に1回）'!$C$4,①今日の在庫を貼る!$I$6:$I$10005,$C118))</f>
        <v>7123</v>
      </c>
      <c r="L118" s="69" t="n">
        <f aca="false">IF($C118="","",SUMIFS(月1回_前回の在庫を貼る!$N$6:$N$10005,月1回_前回の在庫を貼る!$B$6:$B$10005,'設定（最初に1回）'!$C$4,月1回_前回の在庫を貼る!$I$6:$I$10005,$C118))</f>
        <v>18089</v>
      </c>
      <c r="M118" s="69" t="n">
        <f aca="false">IF($C118="","",IF(OR('設定（最初に1回）'!$C$6="",'設定（最初に1回）'!$C$7=""),0,SUMIFS(発注管理!$S$6:$S$1005,発注管理!$C$6:$C$1005,'設定（最初に1回）'!$C$4,発注管理!$F$6:$F$1005,$C118,発注管理!$R$6:$R$1005,"&gt;="&amp;'設定（最初に1回）'!$C$7,発注管理!$R$6:$R$1005,"&lt;="&amp;'設定（最初に1回）'!$C$6)))</f>
        <v>0</v>
      </c>
      <c r="N118" s="69" t="n">
        <f aca="false">IF(OR($C118="",'設定（最初に1回）'!$C$15=0),"",$L118+$M118-$K118)</f>
        <v>10966</v>
      </c>
      <c r="O118" s="143" t="n">
        <f aca="false">IF(OR($N118="",'設定（最初に1回）'!$C$8="",'設定（最初に1回）'!$C$8&lt;=0),"",MAX(0,$N118)/'設定（最初に1回）'!$C$8)</f>
        <v>179.770491803279</v>
      </c>
      <c r="P118" s="143" t="n">
        <f aca="false">IF($C118="","",IFERROR(INDEX(商品マスタ!$M$6:$N$1005,MATCH($C118,商品マスタ!$B$6:$B$1005,0),MATCH("PI値 "&amp;'設定（最初に1回）'!$C$11,商品マスタ!$M$5:$N$5,0)),""))</f>
        <v>10.9</v>
      </c>
      <c r="Q118" s="143" t="n">
        <f aca="false">IF(OR($C118="",$P118="",$P118=0,(N($I118)+N($AG118))&lt;=0),"",IFERROR(SUMIFS(随時_動員を入れる!$G$8:$G$97,随時_動員を入れる!$B$8:$B$97,"&gt;="&amp;'設定（最初に1回）'!$C$6,随時_動員を入れる!$B$8:$B$97,"&lt;="&amp;'設定（最初に1回）'!$C$6+(N($I118)+N($AG118))-1)/(N($I118)+N($AG118)),0)*$P118/100)</f>
        <v>414.8758</v>
      </c>
      <c r="R118" s="69" t="n">
        <f aca="false">IF($C118="","",SUMIFS(①今日の在庫を貼る!$O$6:$O$10005,①今日の在庫を貼る!$B$6:$B$10005,'設定（最初に1回）'!$C$4,①今日の在庫を貼る!$I$6:$I$10005,$C118))</f>
        <v>0</v>
      </c>
      <c r="S118" s="143" t="n">
        <f aca="false">IF($C118="","",IF('設定（最初に1回）'!$C$9="実績消費",N($O118),IF('設定（最初に1回）'!$C$9="PI値予測",N($Q118),MAX(N($O118),N($Q118)))))</f>
        <v>179.770491803279</v>
      </c>
      <c r="T118" s="67" t="n">
        <f aca="false">IF(OR($S118="",$S118&lt;=0),"",$K118/$S118)</f>
        <v>39.622743023892</v>
      </c>
      <c r="U118" s="69" t="n">
        <f aca="false">IF($S118="","",ROUNDUP(N($S118)*'設定（最初に1回）'!$C$12,0))</f>
        <v>720</v>
      </c>
      <c r="V118" s="69" t="n">
        <f aca="false">IF($C118="","",ROUNDUP(N($S118)*(N($I118)+N($AG118))+N($U118),0))</f>
        <v>2518</v>
      </c>
      <c r="W118" s="69" t="n">
        <f aca="false">IF($C118="","",SUMIFS(発注管理!$L$6:$L$1005,発注管理!$C$6:$C$1005,'設定（最初に1回）'!$C$4,発注管理!$F$6:$F$1005,$C118,発注管理!$Q$6:$Q$1005,"発注済"))</f>
        <v>0</v>
      </c>
      <c r="X118" s="69" t="n">
        <f aca="false">IF($C118="","",MAX(0,N($V118)-N($K118)-N($W118)))</f>
        <v>0</v>
      </c>
      <c r="Y118" s="147" t="n">
        <f aca="false">IF($C118="","",IF(N($X118)&lt;=0,0,CEILING($X118/MAX(1,N($G118)),MAX(1,N($J118)))))</f>
        <v>0</v>
      </c>
      <c r="Z118" s="138" t="str">
        <f aca="false">IF($C118="","",IF(N($Y118)&gt;0,"要発注","正常"))</f>
        <v>正常</v>
      </c>
      <c r="AA118" s="71" t="n">
        <f aca="false">IF($C118="","",N($K118)*N($H118))</f>
        <v>127074.32</v>
      </c>
      <c r="AB118" s="66" t="str">
        <f aca="false">IF($C118="","",_xlfn.TEXTJOIN(" / ",TRUE(),IF(COUNTIF(商品マスタ!$B$6:$B$1005,$C118)=0,"マスタ未登録",""),IF(COUNTIFS(月1回_前回の在庫を貼る!$B$6:$B$10005,'設定（最初に1回）'!$C$4,月1回_前回の在庫を貼る!$I$6:$I$10005,$C118)=0,"新商品",""),IF(COUNTIFS(①今日の在庫を貼る!$B$6:$B$10005,'設定（最初に1回）'!$C$4,①今日の在庫を貼る!$I$6:$I$10005,$C118)=0,"終売候補",""),IF(N($K118)&lt;0,"在庫マイナス",""),IF(AND('設定（最初に1回）'!$C$9="PI値予測",$P118=""),"PI値未設定","")))</f>
        <v/>
      </c>
      <c r="AC118" s="71" t="n">
        <f aca="false">N($Y118)*N($H118)</f>
        <v>0</v>
      </c>
      <c r="AD118" s="66" t="str">
        <f aca="false">IF($C118="","",IFERROR(INDEX(商品マスタ!$K$6:$K$1005,MATCH($C118,商品マスタ!$B$6:$B$1005,0)),"常温"))</f>
        <v>常温</v>
      </c>
      <c r="AE118" s="69" t="n">
        <f aca="false">IF($C118="","",MAX(0,ROUNDUP(N($K118)/MAX(1,N($G118)),0)))</f>
        <v>24</v>
      </c>
      <c r="AF118" s="66" t="str">
        <f aca="false">IF($C118="","",IFERROR(INDEX(商品マスタ!$L$6:$L$1005,MATCH($C118,商品マスタ!$B$6:$B$1005,0)),""))</f>
        <v>常温包材</v>
      </c>
      <c r="AG118" s="143" t="n">
        <f aca="false">IF($C118="","",IFERROR(INDEX(定数マスタ!$S$110:$S$119,MATCH($AF118,定数マスタ!$J$110:$J$119,0)),N('設定（最初に1回）'!$C$13)))</f>
        <v>7</v>
      </c>
      <c r="AH118" s="66" t="n">
        <f aca="false">IF(AND(N($K118)&gt;0,N($Y118)&gt;0),N($Y118),0)</f>
        <v>0</v>
      </c>
    </row>
    <row r="119" customFormat="false" ht="15" hidden="false" customHeight="false" outlineLevel="0" collapsed="false">
      <c r="B119" s="66" t="n">
        <v>114</v>
      </c>
      <c r="C119" s="66" t="str">
        <f aca="false">IFERROR(IF($B119&lt;=MAX(①今日の在庫を貼る!$U$6:$U$10005),INDEX(①今日の在庫を貼る!$I$6:$I$10005,MATCH($B119,①今日の在庫を貼る!$U$6:$U$10005,0)),INDEX(月1回_前回の在庫を貼る!$I$6:$I$10005,MATCH($B119-MAX(①今日の在庫を貼る!$U$6:$U$10005),月1回_前回の在庫を貼る!$U$6:$U$10005,0))),"")</f>
        <v>1814000006363</v>
      </c>
      <c r="D119" s="66" t="str">
        <f aca="false">IF($C119="","",IFERROR(INDEX(商品マスタ!$C$6:$C$1005,MATCH($C119,商品マスタ!$B$6:$B$1005,0)),IFERROR(INDEX(①今日の在庫を貼る!$J$6:$J$10005,MATCH($C119,①今日の在庫を貼る!$I$6:$I$10005,0)),IFERROR(INDEX(月1回_前回の在庫を貼る!$J$6:$J$10005,MATCH($C119,月1回_前回の在庫を貼る!$I$6:$I$10005,0)),""))))</f>
        <v>ＴＨ　シネマイクポップコーン蓋</v>
      </c>
      <c r="E119" s="66" t="str">
        <f aca="false">IF($C119="","",IFERROR(INDEX(商品マスタ!$D$6:$D$1005,MATCH($C119,商品マスタ!$B$6:$B$1005,0)),IFERROR(INDEX(①今日の在庫を貼る!$H$6:$H$10005,MATCH($C119,①今日の在庫を貼る!$I$6:$I$10005,0)),IFERROR(INDEX(月1回_前回の在庫を貼る!$H$6:$H$10005,MATCH($C119,月1回_前回の在庫を貼る!$I$6:$I$10005,0)),""))))</f>
        <v>コンセ包材</v>
      </c>
      <c r="F119" s="66" t="str">
        <f aca="false">IF($C119="","",IFERROR(INDEX(商品マスタ!$E$6:$E$1005,MATCH($C119,商品マスタ!$B$6:$B$1005,0)),IFERROR(INDEX(①今日の在庫を貼る!$E$6:$E$10005,MATCH($C119,①今日の在庫を貼る!$I$6:$I$10005,0)),IFERROR(INDEX(月1回_前回の在庫を貼る!$E$6:$E$10005,MATCH($C119,月1回_前回の在庫を貼る!$I$6:$I$10005,0)),""))))</f>
        <v>オザックス株式会社</v>
      </c>
      <c r="G119" s="69" t="n">
        <f aca="false">IF($C119="","",IFERROR(INDEX(商品マスタ!$F$6:$F$1005,MATCH($C119,商品マスタ!$B$6:$B$1005,0)),IFERROR(INDEX(①今日の在庫を貼る!$K$6:$K$10005,MATCH($C119,①今日の在庫を貼る!$I$6:$I$10005,0)),IFERROR(INDEX(月1回_前回の在庫を貼る!$K$6:$K$10005,MATCH($C119,月1回_前回の在庫を貼る!$I$6:$I$10005,0)),""))))</f>
        <v>1200</v>
      </c>
      <c r="H119" s="71" t="n">
        <f aca="false">IF($C119="","",IFERROR(INDEX(商品マスタ!$G$6:$G$1005,MATCH($C119,商品マスタ!$B$6:$B$1005,0)),IFERROR(INDEX(①今日の在庫を貼る!$Q$6:$Q$10005,MATCH($C119,①今日の在庫を貼る!$I$6:$I$10005,0)),IFERROR(INDEX(月1回_前回の在庫を貼る!$Q$6:$Q$10005,MATCH($C119,月1回_前回の在庫を貼る!$I$6:$I$10005,0)),""))))</f>
        <v>5.05</v>
      </c>
      <c r="I119" s="66" t="n">
        <f aca="false">IF($C119="","",IFERROR(INDEX(商品マスタ!$H$6:$H$1005,MATCH($C119,商品マスタ!$B$6:$B$1005,0)),3))</f>
        <v>4</v>
      </c>
      <c r="J119" s="66" t="n">
        <f aca="false">IF($C119="","",MAX(1,IFERROR(INDEX(商品マスタ!$I$6:$I$1005,MATCH($C119,商品マスタ!$B$6:$B$1005,0)),1)))</f>
        <v>1</v>
      </c>
      <c r="K119" s="69" t="n">
        <f aca="false">IF($C119="","",SUMIFS(①今日の在庫を貼る!$N$6:$N$10005,①今日の在庫を貼る!$B$6:$B$10005,'設定（最初に1回）'!$C$4,①今日の在庫を貼る!$I$6:$I$10005,$C119))</f>
        <v>5280</v>
      </c>
      <c r="L119" s="69" t="n">
        <f aca="false">IF($C119="","",SUMIFS(月1回_前回の在庫を貼る!$N$6:$N$10005,月1回_前回の在庫を貼る!$B$6:$B$10005,'設定（最初に1回）'!$C$4,月1回_前回の在庫を貼る!$I$6:$I$10005,$C119))</f>
        <v>9662</v>
      </c>
      <c r="M119" s="69" t="n">
        <f aca="false">IF($C119="","",IF(OR('設定（最初に1回）'!$C$6="",'設定（最初に1回）'!$C$7=""),0,SUMIFS(発注管理!$S$6:$S$1005,発注管理!$C$6:$C$1005,'設定（最初に1回）'!$C$4,発注管理!$F$6:$F$1005,$C119,発注管理!$R$6:$R$1005,"&gt;="&amp;'設定（最初に1回）'!$C$7,発注管理!$R$6:$R$1005,"&lt;="&amp;'設定（最初に1回）'!$C$6)))</f>
        <v>0</v>
      </c>
      <c r="N119" s="69" t="n">
        <f aca="false">IF(OR($C119="",'設定（最初に1回）'!$C$15=0),"",$L119+$M119-$K119)</f>
        <v>4382</v>
      </c>
      <c r="O119" s="143" t="n">
        <f aca="false">IF(OR($N119="",'設定（最初に1回）'!$C$8="",'設定（最初に1回）'!$C$8&lt;=0),"",MAX(0,$N119)/'設定（最初に1回）'!$C$8)</f>
        <v>71.8360655737705</v>
      </c>
      <c r="P119" s="143" t="n">
        <f aca="false">IF($C119="","",IFERROR(INDEX(商品マスタ!$M$6:$N$1005,MATCH($C119,商品マスタ!$B$6:$B$1005,0),MATCH("PI値 "&amp;'設定（最初に1回）'!$C$11,商品マスタ!$M$5:$N$5,0)),""))</f>
        <v>9.1</v>
      </c>
      <c r="Q119" s="143" t="n">
        <f aca="false">IF(OR($C119="",$P119="",$P119=0,(N($I119)+N($AG119))&lt;=0),"",IFERROR(SUMIFS(随時_動員を入れる!$G$8:$G$97,随時_動員を入れる!$B$8:$B$97,"&gt;="&amp;'設定（最初に1回）'!$C$6,随時_動員を入れる!$B$8:$B$97,"&lt;="&amp;'設定（最初に1回）'!$C$6+(N($I119)+N($AG119))-1)/(N($I119)+N($AG119)),0)*$P119/100)</f>
        <v>340.389636363636</v>
      </c>
      <c r="R119" s="69" t="n">
        <f aca="false">IF($C119="","",SUMIFS(①今日の在庫を貼る!$O$6:$O$10005,①今日の在庫を貼る!$B$6:$B$10005,'設定（最初に1回）'!$C$4,①今日の在庫を貼る!$I$6:$I$10005,$C119))</f>
        <v>0</v>
      </c>
      <c r="S119" s="143" t="n">
        <f aca="false">IF($C119="","",IF('設定（最初に1回）'!$C$9="実績消費",N($O119),IF('設定（最初に1回）'!$C$9="PI値予測",N($Q119),MAX(N($O119),N($Q119)))))</f>
        <v>71.8360655737705</v>
      </c>
      <c r="T119" s="67" t="n">
        <f aca="false">IF(OR($S119="",$S119&lt;=0),"",$K119/$S119)</f>
        <v>73.5006846188955</v>
      </c>
      <c r="U119" s="69" t="n">
        <f aca="false">IF($S119="","",ROUNDUP(N($S119)*'設定（最初に1回）'!$C$12,0))</f>
        <v>288</v>
      </c>
      <c r="V119" s="69" t="n">
        <f aca="false">IF($C119="","",ROUNDUP(N($S119)*(N($I119)+N($AG119))+N($U119),0))</f>
        <v>1079</v>
      </c>
      <c r="W119" s="69" t="n">
        <f aca="false">IF($C119="","",SUMIFS(発注管理!$L$6:$L$1005,発注管理!$C$6:$C$1005,'設定（最初に1回）'!$C$4,発注管理!$F$6:$F$1005,$C119,発注管理!$Q$6:$Q$1005,"発注済"))</f>
        <v>0</v>
      </c>
      <c r="X119" s="69" t="n">
        <f aca="false">IF($C119="","",MAX(0,N($V119)-N($K119)-N($W119)))</f>
        <v>0</v>
      </c>
      <c r="Y119" s="147" t="n">
        <f aca="false">IF($C119="","",IF(N($X119)&lt;=0,0,CEILING($X119/MAX(1,N($G119)),MAX(1,N($J119)))))</f>
        <v>0</v>
      </c>
      <c r="Z119" s="138" t="str">
        <f aca="false">IF($C119="","",IF(N($Y119)&gt;0,"要発注","正常"))</f>
        <v>正常</v>
      </c>
      <c r="AA119" s="71" t="n">
        <f aca="false">IF($C119="","",N($K119)*N($H119))</f>
        <v>26664</v>
      </c>
      <c r="AB119" s="66" t="str">
        <f aca="false">IF($C119="","",_xlfn.TEXTJOIN(" / ",TRUE(),IF(COUNTIF(商品マスタ!$B$6:$B$1005,$C119)=0,"マスタ未登録",""),IF(COUNTIFS(月1回_前回の在庫を貼る!$B$6:$B$10005,'設定（最初に1回）'!$C$4,月1回_前回の在庫を貼る!$I$6:$I$10005,$C119)=0,"新商品",""),IF(COUNTIFS(①今日の在庫を貼る!$B$6:$B$10005,'設定（最初に1回）'!$C$4,①今日の在庫を貼る!$I$6:$I$10005,$C119)=0,"終売候補",""),IF(N($K119)&lt;0,"在庫マイナス",""),IF(AND('設定（最初に1回）'!$C$9="PI値予測",$P119=""),"PI値未設定","")))</f>
        <v/>
      </c>
      <c r="AC119" s="71" t="n">
        <f aca="false">N($Y119)*N($H119)</f>
        <v>0</v>
      </c>
      <c r="AD119" s="66" t="str">
        <f aca="false">IF($C119="","",IFERROR(INDEX(商品マスタ!$K$6:$K$1005,MATCH($C119,商品マスタ!$B$6:$B$1005,0)),"常温"))</f>
        <v>常温</v>
      </c>
      <c r="AE119" s="69" t="n">
        <f aca="false">IF($C119="","",MAX(0,ROUNDUP(N($K119)/MAX(1,N($G119)),0)))</f>
        <v>5</v>
      </c>
      <c r="AF119" s="66" t="str">
        <f aca="false">IF($C119="","",IFERROR(INDEX(商品マスタ!$L$6:$L$1005,MATCH($C119,商品マスタ!$B$6:$B$1005,0)),""))</f>
        <v>常温包材</v>
      </c>
      <c r="AG119" s="143" t="n">
        <f aca="false">IF($C119="","",IFERROR(INDEX(定数マスタ!$S$110:$S$119,MATCH($AF119,定数マスタ!$J$110:$J$119,0)),N('設定（最初に1回）'!$C$13)))</f>
        <v>7</v>
      </c>
      <c r="AH119" s="66" t="n">
        <f aca="false">IF(AND(N($K119)&gt;0,N($Y119)&gt;0),N($Y119),0)</f>
        <v>0</v>
      </c>
    </row>
    <row r="120" customFormat="false" ht="15" hidden="false" customHeight="false" outlineLevel="0" collapsed="false">
      <c r="B120" s="66" t="n">
        <v>115</v>
      </c>
      <c r="C120" s="66" t="str">
        <f aca="false">IFERROR(IF($B120&lt;=MAX(①今日の在庫を貼る!$U$6:$U$10005),INDEX(①今日の在庫を貼る!$I$6:$I$10005,MATCH($B120,①今日の在庫を貼る!$U$6:$U$10005,0)),INDEX(月1回_前回の在庫を貼る!$I$6:$I$10005,MATCH($B120-MAX(①今日の在庫を貼る!$U$6:$U$10005),月1回_前回の在庫を貼る!$U$6:$U$10005,0))),"")</f>
        <v>1814000006387</v>
      </c>
      <c r="D120" s="66" t="str">
        <f aca="false">IF($C120="","",IFERROR(INDEX(商品マスタ!$C$6:$C$1005,MATCH($C120,商品マスタ!$B$6:$B$1005,0)),IFERROR(INDEX(①今日の在庫を貼る!$J$6:$J$10005,MATCH($C120,①今日の在庫を貼る!$I$6:$I$10005,0)),IFERROR(INDEX(月1回_前回の在庫を貼る!$J$6:$J$10005,MATCH($C120,月1回_前回の在庫を貼る!$I$6:$I$10005,0)),""))))</f>
        <v>ＴＨ（ＦＳ）スカッシュ</v>
      </c>
      <c r="E120" s="66" t="str">
        <f aca="false">IF($C120="","",IFERROR(INDEX(商品マスタ!$D$6:$D$1005,MATCH($C120,商品マスタ!$B$6:$B$1005,0)),IFERROR(INDEX(①今日の在庫を貼る!$H$6:$H$10005,MATCH($C120,①今日の在庫を貼る!$I$6:$I$10005,0)),IFERROR(INDEX(月1回_前回の在庫を貼る!$H$6:$H$10005,MATCH($C120,月1回_前回の在庫を貼る!$I$6:$I$10005,0)),""))))</f>
        <v>コンセ包材</v>
      </c>
      <c r="F120" s="66" t="str">
        <f aca="false">IF($C120="","",IFERROR(INDEX(商品マスタ!$E$6:$E$1005,MATCH($C120,商品マスタ!$B$6:$B$1005,0)),IFERROR(INDEX(①今日の在庫を貼る!$E$6:$E$10005,MATCH($C120,①今日の在庫を貼る!$I$6:$I$10005,0)),IFERROR(INDEX(月1回_前回の在庫を貼る!$E$6:$E$10005,MATCH($C120,月1回_前回の在庫を貼る!$I$6:$I$10005,0)),""))))</f>
        <v>オザックス株式会社</v>
      </c>
      <c r="G120" s="69" t="n">
        <f aca="false">IF($C120="","",IFERROR(INDEX(商品マスタ!$F$6:$F$1005,MATCH($C120,商品マスタ!$B$6:$B$1005,0)),IFERROR(INDEX(①今日の在庫を貼る!$K$6:$K$10005,MATCH($C120,①今日の在庫を貼る!$I$6:$I$10005,0)),IFERROR(INDEX(月1回_前回の在庫を貼る!$K$6:$K$10005,MATCH($C120,月1回_前回の在庫を貼る!$I$6:$I$10005,0)),""))))</f>
        <v>1000</v>
      </c>
      <c r="H120" s="71" t="n">
        <f aca="false">IF($C120="","",IFERROR(INDEX(商品マスタ!$G$6:$G$1005,MATCH($C120,商品マスタ!$B$6:$B$1005,0)),IFERROR(INDEX(①今日の在庫を貼る!$Q$6:$Q$10005,MATCH($C120,①今日の在庫を貼る!$I$6:$I$10005,0)),IFERROR(INDEX(月1回_前回の在庫を貼る!$Q$6:$Q$10005,MATCH($C120,月1回_前回の在庫を貼る!$I$6:$I$10005,0)),""))))</f>
        <v>7.6</v>
      </c>
      <c r="I120" s="66" t="n">
        <f aca="false">IF($C120="","",IFERROR(INDEX(商品マスタ!$H$6:$H$1005,MATCH($C120,商品マスタ!$B$6:$B$1005,0)),3))</f>
        <v>7</v>
      </c>
      <c r="J120" s="66" t="n">
        <f aca="false">IF($C120="","",MAX(1,IFERROR(INDEX(商品マスタ!$I$6:$I$1005,MATCH($C120,商品マスタ!$B$6:$B$1005,0)),1)))</f>
        <v>2</v>
      </c>
      <c r="K120" s="69" t="n">
        <f aca="false">IF($C120="","",SUMIFS(①今日の在庫を貼る!$N$6:$N$10005,①今日の在庫を貼る!$B$6:$B$10005,'設定（最初に1回）'!$C$4,①今日の在庫を貼る!$I$6:$I$10005,$C120))</f>
        <v>1000</v>
      </c>
      <c r="L120" s="69" t="n">
        <f aca="false">IF($C120="","",SUMIFS(月1回_前回の在庫を貼る!$N$6:$N$10005,月1回_前回の在庫を貼る!$B$6:$B$10005,'設定（最初に1回）'!$C$4,月1回_前回の在庫を貼る!$I$6:$I$10005,$C120))</f>
        <v>1932</v>
      </c>
      <c r="M120" s="69" t="n">
        <f aca="false">IF($C120="","",IF(OR('設定（最初に1回）'!$C$6="",'設定（最初に1回）'!$C$7=""),0,SUMIFS(発注管理!$S$6:$S$1005,発注管理!$C$6:$C$1005,'設定（最初に1回）'!$C$4,発注管理!$F$6:$F$1005,$C120,発注管理!$R$6:$R$1005,"&gt;="&amp;'設定（最初に1回）'!$C$7,発注管理!$R$6:$R$1005,"&lt;="&amp;'設定（最初に1回）'!$C$6)))</f>
        <v>0</v>
      </c>
      <c r="N120" s="69" t="n">
        <f aca="false">IF(OR($C120="",'設定（最初に1回）'!$C$15=0),"",$L120+$M120-$K120)</f>
        <v>932</v>
      </c>
      <c r="O120" s="143" t="n">
        <f aca="false">IF(OR($N120="",'設定（最初に1回）'!$C$8="",'設定（最初に1回）'!$C$8&lt;=0),"",MAX(0,$N120)/'設定（最初に1回）'!$C$8)</f>
        <v>15.2786885245902</v>
      </c>
      <c r="P120" s="143" t="n">
        <f aca="false">IF($C120="","",IFERROR(INDEX(商品マスタ!$M$6:$N$1005,MATCH($C120,商品マスタ!$B$6:$B$1005,0),MATCH("PI値 "&amp;'設定（最初に1回）'!$C$11,商品マスタ!$M$5:$N$5,0)),""))</f>
        <v>6.3</v>
      </c>
      <c r="Q120" s="143" t="n">
        <f aca="false">IF(OR($C120="",$P120="",$P120=0,(N($I120)+N($AG120))&lt;=0),"",IFERROR(SUMIFS(随時_動員を入れる!$G$8:$G$97,随時_動員を入れる!$B$8:$B$97,"&gt;="&amp;'設定（最初に1回）'!$C$6,随時_動員を入れる!$B$8:$B$97,"&lt;="&amp;'設定（最初に1回）'!$C$6+(N($I120)+N($AG120))-1)/(N($I120)+N($AG120)),0)*$P120/100)</f>
        <v>202.923</v>
      </c>
      <c r="R120" s="69" t="n">
        <f aca="false">IF($C120="","",SUMIFS(①今日の在庫を貼る!$O$6:$O$10005,①今日の在庫を貼る!$B$6:$B$10005,'設定（最初に1回）'!$C$4,①今日の在庫を貼る!$I$6:$I$10005,$C120))</f>
        <v>0</v>
      </c>
      <c r="S120" s="143" t="n">
        <f aca="false">IF($C120="","",IF('設定（最初に1回）'!$C$9="実績消費",N($O120),IF('設定（最初に1回）'!$C$9="PI値予測",N($Q120),MAX(N($O120),N($Q120)))))</f>
        <v>15.2786885245902</v>
      </c>
      <c r="T120" s="67" t="n">
        <f aca="false">IF(OR($S120="",$S120&lt;=0),"",$K120/$S120)</f>
        <v>65.450643776824</v>
      </c>
      <c r="U120" s="69" t="n">
        <f aca="false">IF($S120="","",ROUNDUP(N($S120)*'設定（最初に1回）'!$C$12,0))</f>
        <v>62</v>
      </c>
      <c r="V120" s="69" t="n">
        <f aca="false">IF($C120="","",ROUNDUP(N($S120)*(N($I120)+N($AG120))+N($U120),0))</f>
        <v>276</v>
      </c>
      <c r="W120" s="69" t="n">
        <f aca="false">IF($C120="","",SUMIFS(発注管理!$L$6:$L$1005,発注管理!$C$6:$C$1005,'設定（最初に1回）'!$C$4,発注管理!$F$6:$F$1005,$C120,発注管理!$Q$6:$Q$1005,"発注済"))</f>
        <v>0</v>
      </c>
      <c r="X120" s="69" t="n">
        <f aca="false">IF($C120="","",MAX(0,N($V120)-N($K120)-N($W120)))</f>
        <v>0</v>
      </c>
      <c r="Y120" s="147" t="n">
        <f aca="false">IF($C120="","",IF(N($X120)&lt;=0,0,CEILING($X120/MAX(1,N($G120)),MAX(1,N($J120)))))</f>
        <v>0</v>
      </c>
      <c r="Z120" s="138" t="str">
        <f aca="false">IF($C120="","",IF(N($Y120)&gt;0,"要発注","正常"))</f>
        <v>正常</v>
      </c>
      <c r="AA120" s="71" t="n">
        <f aca="false">IF($C120="","",N($K120)*N($H120))</f>
        <v>7600</v>
      </c>
      <c r="AB120" s="66" t="str">
        <f aca="false">IF($C120="","",_xlfn.TEXTJOIN(" / ",TRUE(),IF(COUNTIF(商品マスタ!$B$6:$B$1005,$C120)=0,"マスタ未登録",""),IF(COUNTIFS(月1回_前回の在庫を貼る!$B$6:$B$10005,'設定（最初に1回）'!$C$4,月1回_前回の在庫を貼る!$I$6:$I$10005,$C120)=0,"新商品",""),IF(COUNTIFS(①今日の在庫を貼る!$B$6:$B$10005,'設定（最初に1回）'!$C$4,①今日の在庫を貼る!$I$6:$I$10005,$C120)=0,"終売候補",""),IF(N($K120)&lt;0,"在庫マイナス",""),IF(AND('設定（最初に1回）'!$C$9="PI値予測",$P120=""),"PI値未設定","")))</f>
        <v/>
      </c>
      <c r="AC120" s="71" t="n">
        <f aca="false">N($Y120)*N($H120)</f>
        <v>0</v>
      </c>
      <c r="AD120" s="66" t="str">
        <f aca="false">IF($C120="","",IFERROR(INDEX(商品マスタ!$K$6:$K$1005,MATCH($C120,商品マスタ!$B$6:$B$1005,0)),"常温"))</f>
        <v>常温</v>
      </c>
      <c r="AE120" s="69" t="n">
        <f aca="false">IF($C120="","",MAX(0,ROUNDUP(N($K120)/MAX(1,N($G120)),0)))</f>
        <v>1</v>
      </c>
      <c r="AF120" s="66" t="str">
        <f aca="false">IF($C120="","",IFERROR(INDEX(商品マスタ!$L$6:$L$1005,MATCH($C120,商品マスタ!$B$6:$B$1005,0)),""))</f>
        <v>常温包材</v>
      </c>
      <c r="AG120" s="143" t="n">
        <f aca="false">IF($C120="","",IFERROR(INDEX(定数マスタ!$S$110:$S$119,MATCH($AF120,定数マスタ!$J$110:$J$119,0)),N('設定（最初に1回）'!$C$13)))</f>
        <v>7</v>
      </c>
      <c r="AH120" s="66" t="n">
        <f aca="false">IF(AND(N($K120)&gt;0,N($Y120)&gt;0),N($Y120),0)</f>
        <v>0</v>
      </c>
    </row>
    <row r="121" customFormat="false" ht="15" hidden="false" customHeight="false" outlineLevel="0" collapsed="false">
      <c r="B121" s="66" t="n">
        <v>116</v>
      </c>
      <c r="C121" s="66" t="str">
        <f aca="false">IFERROR(IF($B121&lt;=MAX(①今日の在庫を貼る!$U$6:$U$10005),INDEX(①今日の在庫を貼る!$I$6:$I$10005,MATCH($B121,①今日の在庫を貼る!$U$6:$U$10005,0)),INDEX(月1回_前回の在庫を貼る!$I$6:$I$10005,MATCH($B121-MAX(①今日の在庫を貼る!$U$6:$U$10005),月1回_前回の在庫を貼る!$U$6:$U$10005,0))),"")</f>
        <v>1814000006394</v>
      </c>
      <c r="D121" s="66" t="str">
        <f aca="false">IF($C121="","",IFERROR(INDEX(商品マスタ!$C$6:$C$1005,MATCH($C121,商品マスタ!$B$6:$B$1005,0)),IFERROR(INDEX(①今日の在庫を貼る!$J$6:$J$10005,MATCH($C121,①今日の在庫を貼る!$I$6:$I$10005,0)),IFERROR(INDEX(月1回_前回の在庫を貼る!$J$6:$J$10005,MATCH($C121,月1回_前回の在庫を貼る!$I$6:$I$10005,0)),""))))</f>
        <v>ＴＨ（ＦＣ）スナックじゃが容器</v>
      </c>
      <c r="E121" s="66" t="str">
        <f aca="false">IF($C121="","",IFERROR(INDEX(商品マスタ!$D$6:$D$1005,MATCH($C121,商品マスタ!$B$6:$B$1005,0)),IFERROR(INDEX(①今日の在庫を貼る!$H$6:$H$10005,MATCH($C121,①今日の在庫を貼る!$I$6:$I$10005,0)),IFERROR(INDEX(月1回_前回の在庫を貼る!$H$6:$H$10005,MATCH($C121,月1回_前回の在庫を貼る!$I$6:$I$10005,0)),""))))</f>
        <v>コンセ包材</v>
      </c>
      <c r="F121" s="66" t="str">
        <f aca="false">IF($C121="","",IFERROR(INDEX(商品マスタ!$E$6:$E$1005,MATCH($C121,商品マスタ!$B$6:$B$1005,0)),IFERROR(INDEX(①今日の在庫を貼る!$E$6:$E$10005,MATCH($C121,①今日の在庫を貼る!$I$6:$I$10005,0)),IFERROR(INDEX(月1回_前回の在庫を貼る!$E$6:$E$10005,MATCH($C121,月1回_前回の在庫を貼る!$I$6:$I$10005,0)),""))))</f>
        <v>オザックス株式会社</v>
      </c>
      <c r="G121" s="69" t="n">
        <f aca="false">IF($C121="","",IFERROR(INDEX(商品マスタ!$F$6:$F$1005,MATCH($C121,商品マスタ!$B$6:$B$1005,0)),IFERROR(INDEX(①今日の在庫を貼る!$K$6:$K$10005,MATCH($C121,①今日の在庫を貼る!$I$6:$I$10005,0)),IFERROR(INDEX(月1回_前回の在庫を貼る!$K$6:$K$10005,MATCH($C121,月1回_前回の在庫を貼る!$I$6:$I$10005,0)),""))))</f>
        <v>450</v>
      </c>
      <c r="H121" s="71" t="n">
        <f aca="false">IF($C121="","",IFERROR(INDEX(商品マスタ!$G$6:$G$1005,MATCH($C121,商品マスタ!$B$6:$B$1005,0)),IFERROR(INDEX(①今日の在庫を貼る!$Q$6:$Q$10005,MATCH($C121,①今日の在庫を貼る!$I$6:$I$10005,0)),IFERROR(INDEX(月1回_前回の在庫を貼る!$Q$6:$Q$10005,MATCH($C121,月1回_前回の在庫を貼る!$I$6:$I$10005,0)),""))))</f>
        <v>15.46</v>
      </c>
      <c r="I121" s="66" t="n">
        <f aca="false">IF($C121="","",IFERROR(INDEX(商品マスタ!$H$6:$H$1005,MATCH($C121,商品マスタ!$B$6:$B$1005,0)),3))</f>
        <v>3</v>
      </c>
      <c r="J121" s="66" t="n">
        <f aca="false">IF($C121="","",MAX(1,IFERROR(INDEX(商品マスタ!$I$6:$I$1005,MATCH($C121,商品マスタ!$B$6:$B$1005,0)),1)))</f>
        <v>1</v>
      </c>
      <c r="K121" s="69" t="n">
        <f aca="false">IF($C121="","",SUMIFS(①今日の在庫を貼る!$N$6:$N$10005,①今日の在庫を貼る!$B$6:$B$10005,'設定（最初に1回）'!$C$4,①今日の在庫を貼る!$I$6:$I$10005,$C121))</f>
        <v>374</v>
      </c>
      <c r="L121" s="69" t="n">
        <f aca="false">IF($C121="","",SUMIFS(月1回_前回の在庫を貼る!$N$6:$N$10005,月1回_前回の在庫を貼る!$B$6:$B$10005,'設定（最初に1回）'!$C$4,月1回_前回の在庫を貼る!$I$6:$I$10005,$C121))</f>
        <v>12920</v>
      </c>
      <c r="M121" s="69" t="n">
        <f aca="false">IF($C121="","",IF(OR('設定（最初に1回）'!$C$6="",'設定（最初に1回）'!$C$7=""),0,SUMIFS(発注管理!$S$6:$S$1005,発注管理!$C$6:$C$1005,'設定（最初に1回）'!$C$4,発注管理!$F$6:$F$1005,$C121,発注管理!$R$6:$R$1005,"&gt;="&amp;'設定（最初に1回）'!$C$7,発注管理!$R$6:$R$1005,"&lt;="&amp;'設定（最初に1回）'!$C$6)))</f>
        <v>1350</v>
      </c>
      <c r="N121" s="69" t="n">
        <f aca="false">IF(OR($C121="",'設定（最初に1回）'!$C$15=0),"",$L121+$M121-$K121)</f>
        <v>13896</v>
      </c>
      <c r="O121" s="143" t="n">
        <f aca="false">IF(OR($N121="",'設定（最初に1回）'!$C$8="",'設定（最初に1回）'!$C$8&lt;=0),"",MAX(0,$N121)/'設定（最初に1回）'!$C$8)</f>
        <v>227.803278688525</v>
      </c>
      <c r="P121" s="143" t="n">
        <f aca="false">IF($C121="","",IFERROR(INDEX(商品マスタ!$M$6:$N$1005,MATCH($C121,商品マスタ!$B$6:$B$1005,0),MATCH("PI値 "&amp;'設定（最初に1回）'!$C$11,商品マスタ!$M$5:$N$5,0)),""))</f>
        <v>5.6</v>
      </c>
      <c r="Q121" s="143" t="n">
        <f aca="false">IF(OR($C121="",$P121="",$P121=0,(N($I121)+N($AG121))&lt;=0),"",IFERROR(SUMIFS(随時_動員を入れる!$G$8:$G$97,随時_動員を入れる!$B$8:$B$97,"&gt;="&amp;'設定（最初に1回）'!$C$6,随時_動員を入れる!$B$8:$B$97,"&lt;="&amp;'設定（最初に1回）'!$C$6+(N($I121)+N($AG121))-1)/(N($I121)+N($AG121)),0)*$P121/100)</f>
        <v>213.1472</v>
      </c>
      <c r="R121" s="69" t="n">
        <f aca="false">IF($C121="","",SUMIFS(①今日の在庫を貼る!$O$6:$O$10005,①今日の在庫を貼る!$B$6:$B$10005,'設定（最初に1回）'!$C$4,①今日の在庫を貼る!$I$6:$I$10005,$C121))</f>
        <v>0</v>
      </c>
      <c r="S121" s="143" t="n">
        <f aca="false">IF($C121="","",IF('設定（最初に1回）'!$C$9="実績消費",N($O121),IF('設定（最初に1回）'!$C$9="PI値予測",N($Q121),MAX(N($O121),N($Q121)))))</f>
        <v>227.803278688525</v>
      </c>
      <c r="T121" s="67" t="n">
        <f aca="false">IF(OR($S121="",$S121&lt;=0),"",$K121/$S121)</f>
        <v>1.64176741508348</v>
      </c>
      <c r="U121" s="69" t="n">
        <f aca="false">IF($S121="","",ROUNDUP(N($S121)*'設定（最初に1回）'!$C$12,0))</f>
        <v>912</v>
      </c>
      <c r="V121" s="69" t="n">
        <f aca="false">IF($C121="","",ROUNDUP(N($S121)*(N($I121)+N($AG121))+N($U121),0))</f>
        <v>3191</v>
      </c>
      <c r="W121" s="69" t="n">
        <f aca="false">IF($C121="","",SUMIFS(発注管理!$L$6:$L$1005,発注管理!$C$6:$C$1005,'設定（最初に1回）'!$C$4,発注管理!$F$6:$F$1005,$C121,発注管理!$Q$6:$Q$1005,"発注済"))</f>
        <v>0</v>
      </c>
      <c r="X121" s="69" t="n">
        <f aca="false">IF($C121="","",MAX(0,N($V121)-N($K121)-N($W121)))</f>
        <v>2817</v>
      </c>
      <c r="Y121" s="147" t="n">
        <f aca="false">IF($C121="","",IF(N($X121)&lt;=0,0,CEILING($X121/MAX(1,N($G121)),MAX(1,N($J121)))))</f>
        <v>7</v>
      </c>
      <c r="Z121" s="138" t="str">
        <f aca="false">IF($C121="","",IF(N($Y121)&gt;0,"要発注","正常"))</f>
        <v>要発注</v>
      </c>
      <c r="AA121" s="71" t="n">
        <f aca="false">IF($C121="","",N($K121)*N($H121))</f>
        <v>5782.04</v>
      </c>
      <c r="AB121" s="66" t="str">
        <f aca="false">IF($C121="","",_xlfn.TEXTJOIN(" / ",TRUE(),IF(COUNTIF(商品マスタ!$B$6:$B$1005,$C121)=0,"マスタ未登録",""),IF(COUNTIFS(月1回_前回の在庫を貼る!$B$6:$B$10005,'設定（最初に1回）'!$C$4,月1回_前回の在庫を貼る!$I$6:$I$10005,$C121)=0,"新商品",""),IF(COUNTIFS(①今日の在庫を貼る!$B$6:$B$10005,'設定（最初に1回）'!$C$4,①今日の在庫を貼る!$I$6:$I$10005,$C121)=0,"終売候補",""),IF(N($K121)&lt;0,"在庫マイナス",""),IF(AND('設定（最初に1回）'!$C$9="PI値予測",$P121=""),"PI値未設定","")))</f>
        <v/>
      </c>
      <c r="AC121" s="71" t="n">
        <f aca="false">N($Y121)*N($H121)</f>
        <v>108.22</v>
      </c>
      <c r="AD121" s="66" t="str">
        <f aca="false">IF($C121="","",IFERROR(INDEX(商品マスタ!$K$6:$K$1005,MATCH($C121,商品マスタ!$B$6:$B$1005,0)),"常温"))</f>
        <v>常温</v>
      </c>
      <c r="AE121" s="69" t="n">
        <f aca="false">IF($C121="","",MAX(0,ROUNDUP(N($K121)/MAX(1,N($G121)),0)))</f>
        <v>1</v>
      </c>
      <c r="AF121" s="66" t="str">
        <f aca="false">IF($C121="","",IFERROR(INDEX(商品マスタ!$L$6:$L$1005,MATCH($C121,商品マスタ!$B$6:$B$1005,0)),""))</f>
        <v>常温包材</v>
      </c>
      <c r="AG121" s="143" t="n">
        <f aca="false">IF($C121="","",IFERROR(INDEX(定数マスタ!$S$110:$S$119,MATCH($AF121,定数マスタ!$J$110:$J$119,0)),N('設定（最初に1回）'!$C$13)))</f>
        <v>7</v>
      </c>
      <c r="AH121" s="66" t="n">
        <f aca="false">IF(AND(N($K121)&gt;0,N($Y121)&gt;0),N($Y121),0)</f>
        <v>7</v>
      </c>
    </row>
    <row r="122" customFormat="false" ht="15" hidden="false" customHeight="false" outlineLevel="0" collapsed="false">
      <c r="B122" s="66" t="n">
        <v>117</v>
      </c>
      <c r="C122" s="66" t="str">
        <f aca="false">IFERROR(IF($B122&lt;=MAX(①今日の在庫を貼る!$U$6:$U$10005),INDEX(①今日の在庫を貼る!$I$6:$I$10005,MATCH($B122,①今日の在庫を貼る!$U$6:$U$10005,0)),INDEX(月1回_前回の在庫を貼る!$I$6:$I$10005,MATCH($B122-MAX(①今日の在庫を貼る!$U$6:$U$10005),月1回_前回の在庫を貼る!$U$6:$U$10005,0))),"")</f>
        <v>1814000006400</v>
      </c>
      <c r="D122" s="66" t="str">
        <f aca="false">IF($C122="","",IFERROR(INDEX(商品マスタ!$C$6:$C$1005,MATCH($C122,商品マスタ!$B$6:$B$1005,0)),IFERROR(INDEX(①今日の在庫を貼る!$J$6:$J$10005,MATCH($C122,①今日の在庫を貼る!$I$6:$I$10005,0)),IFERROR(INDEX(月1回_前回の在庫を貼る!$J$6:$J$10005,MATCH($C122,月1回_前回の在庫を貼る!$I$6:$I$10005,0)),""))))</f>
        <v>ＴＨ（ＦＣ）ちょびチキトレー</v>
      </c>
      <c r="E122" s="66" t="str">
        <f aca="false">IF($C122="","",IFERROR(INDEX(商品マスタ!$D$6:$D$1005,MATCH($C122,商品マスタ!$B$6:$B$1005,0)),IFERROR(INDEX(①今日の在庫を貼る!$H$6:$H$10005,MATCH($C122,①今日の在庫を貼る!$I$6:$I$10005,0)),IFERROR(INDEX(月1回_前回の在庫を貼る!$H$6:$H$10005,MATCH($C122,月1回_前回の在庫を貼る!$I$6:$I$10005,0)),""))))</f>
        <v>コンセ包材</v>
      </c>
      <c r="F122" s="66" t="str">
        <f aca="false">IF($C122="","",IFERROR(INDEX(商品マスタ!$E$6:$E$1005,MATCH($C122,商品マスタ!$B$6:$B$1005,0)),IFERROR(INDEX(①今日の在庫を貼る!$E$6:$E$10005,MATCH($C122,①今日の在庫を貼る!$I$6:$I$10005,0)),IFERROR(INDEX(月1回_前回の在庫を貼る!$E$6:$E$10005,MATCH($C122,月1回_前回の在庫を貼る!$I$6:$I$10005,0)),""))))</f>
        <v>オザックス株式会社</v>
      </c>
      <c r="G122" s="69" t="n">
        <f aca="false">IF($C122="","",IFERROR(INDEX(商品マスタ!$F$6:$F$1005,MATCH($C122,商品マスタ!$B$6:$B$1005,0)),IFERROR(INDEX(①今日の在庫を貼る!$K$6:$K$10005,MATCH($C122,①今日の在庫を貼る!$I$6:$I$10005,0)),IFERROR(INDEX(月1回_前回の在庫を貼る!$K$6:$K$10005,MATCH($C122,月1回_前回の在庫を貼る!$I$6:$I$10005,0)),""))))</f>
        <v>400</v>
      </c>
      <c r="H122" s="71" t="n">
        <f aca="false">IF($C122="","",IFERROR(INDEX(商品マスタ!$G$6:$G$1005,MATCH($C122,商品マスタ!$B$6:$B$1005,0)),IFERROR(INDEX(①今日の在庫を貼る!$Q$6:$Q$10005,MATCH($C122,①今日の在庫を貼る!$I$6:$I$10005,0)),IFERROR(INDEX(月1回_前回の在庫を貼る!$Q$6:$Q$10005,MATCH($C122,月1回_前回の在庫を貼る!$I$6:$I$10005,0)),""))))</f>
        <v>13.41</v>
      </c>
      <c r="I122" s="66" t="n">
        <f aca="false">IF($C122="","",IFERROR(INDEX(商品マスタ!$H$6:$H$1005,MATCH($C122,商品マスタ!$B$6:$B$1005,0)),3))</f>
        <v>2</v>
      </c>
      <c r="J122" s="66" t="n">
        <f aca="false">IF($C122="","",MAX(1,IFERROR(INDEX(商品マスタ!$I$6:$I$1005,MATCH($C122,商品マスタ!$B$6:$B$1005,0)),1)))</f>
        <v>1</v>
      </c>
      <c r="K122" s="69" t="n">
        <f aca="false">IF($C122="","",SUMIFS(①今日の在庫を貼る!$N$6:$N$10005,①今日の在庫を貼る!$B$6:$B$10005,'設定（最初に1回）'!$C$4,①今日の在庫を貼る!$I$6:$I$10005,$C122))</f>
        <v>-35</v>
      </c>
      <c r="L122" s="69" t="n">
        <f aca="false">IF($C122="","",SUMIFS(月1回_前回の在庫を貼る!$N$6:$N$10005,月1回_前回の在庫を貼る!$B$6:$B$10005,'設定（最初に1回）'!$C$4,月1回_前回の在庫を貼る!$I$6:$I$10005,$C122))</f>
        <v>15677</v>
      </c>
      <c r="M122" s="69" t="n">
        <f aca="false">IF($C122="","",IF(OR('設定（最初に1回）'!$C$6="",'設定（最初に1回）'!$C$7=""),0,SUMIFS(発注管理!$S$6:$S$1005,発注管理!$C$6:$C$1005,'設定（最初に1回）'!$C$4,発注管理!$F$6:$F$1005,$C122,発注管理!$R$6:$R$1005,"&gt;="&amp;'設定（最初に1回）'!$C$7,発注管理!$R$6:$R$1005,"&lt;="&amp;'設定（最初に1回）'!$C$6)))</f>
        <v>0</v>
      </c>
      <c r="N122" s="69" t="n">
        <f aca="false">IF(OR($C122="",'設定（最初に1回）'!$C$15=0),"",$L122+$M122-$K122)</f>
        <v>15712</v>
      </c>
      <c r="O122" s="143" t="n">
        <f aca="false">IF(OR($N122="",'設定（最初に1回）'!$C$8="",'設定（最初に1回）'!$C$8&lt;=0),"",MAX(0,$N122)/'設定（最初に1回）'!$C$8)</f>
        <v>257.573770491803</v>
      </c>
      <c r="P122" s="143" t="n">
        <f aca="false">IF($C122="","",IFERROR(INDEX(商品マスタ!$M$6:$N$1005,MATCH($C122,商品マスタ!$B$6:$B$1005,0),MATCH("PI値 "&amp;'設定（最初に1回）'!$C$11,商品マスタ!$M$5:$N$5,0)),""))</f>
        <v>11.9</v>
      </c>
      <c r="Q122" s="143" t="n">
        <f aca="false">IF(OR($C122="",$P122="",$P122=0,(N($I122)+N($AG122))&lt;=0),"",IFERROR(SUMIFS(随時_動員を入れる!$G$8:$G$97,随時_動員を入れる!$B$8:$B$97,"&gt;="&amp;'設定（最初に1回）'!$C$6,随時_動員を入れる!$B$8:$B$97,"&lt;="&amp;'設定（最初に1回）'!$C$6+(N($I122)+N($AG122))-1)/(N($I122)+N($AG122)),0)*$P122/100)</f>
        <v>457.105444444444</v>
      </c>
      <c r="R122" s="69" t="n">
        <f aca="false">IF($C122="","",SUMIFS(①今日の在庫を貼る!$O$6:$O$10005,①今日の在庫を貼る!$B$6:$B$10005,'設定（最初に1回）'!$C$4,①今日の在庫を貼る!$I$6:$I$10005,$C122))</f>
        <v>0</v>
      </c>
      <c r="S122" s="143" t="n">
        <f aca="false">IF($C122="","",IF('設定（最初に1回）'!$C$9="実績消費",N($O122),IF('設定（最初に1回）'!$C$9="PI値予測",N($Q122),MAX(N($O122),N($Q122)))))</f>
        <v>257.573770491803</v>
      </c>
      <c r="T122" s="67" t="n">
        <f aca="false">IF(OR($S122="",$S122&lt;=0),"",$K122/$S122)</f>
        <v>-0.135883401221996</v>
      </c>
      <c r="U122" s="69" t="n">
        <f aca="false">IF($S122="","",ROUNDUP(N($S122)*'設定（最初に1回）'!$C$12,0))</f>
        <v>1031</v>
      </c>
      <c r="V122" s="69" t="n">
        <f aca="false">IF($C122="","",ROUNDUP(N($S122)*(N($I122)+N($AG122))+N($U122),0))</f>
        <v>3350</v>
      </c>
      <c r="W122" s="69" t="n">
        <f aca="false">IF($C122="","",SUMIFS(発注管理!$L$6:$L$1005,発注管理!$C$6:$C$1005,'設定（最初に1回）'!$C$4,発注管理!$F$6:$F$1005,$C122,発注管理!$Q$6:$Q$1005,"発注済"))</f>
        <v>0</v>
      </c>
      <c r="X122" s="69" t="n">
        <f aca="false">IF($C122="","",MAX(0,N($V122)-N($K122)-N($W122)))</f>
        <v>3385</v>
      </c>
      <c r="Y122" s="147" t="n">
        <f aca="false">IF($C122="","",IF(N($X122)&lt;=0,0,CEILING($X122/MAX(1,N($G122)),MAX(1,N($J122)))))</f>
        <v>9</v>
      </c>
      <c r="Z122" s="138" t="str">
        <f aca="false">IF($C122="","",IF(N($Y122)&gt;0,"要発注","正常"))</f>
        <v>要発注</v>
      </c>
      <c r="AA122" s="71" t="n">
        <f aca="false">IF($C122="","",N($K122)*N($H122))</f>
        <v>-469.35</v>
      </c>
      <c r="AB122" s="66" t="str">
        <f aca="false">IF($C122="","",_xlfn.TEXTJOIN(" / ",TRUE(),IF(COUNTIF(商品マスタ!$B$6:$B$1005,$C122)=0,"マスタ未登録",""),IF(COUNTIFS(月1回_前回の在庫を貼る!$B$6:$B$10005,'設定（最初に1回）'!$C$4,月1回_前回の在庫を貼る!$I$6:$I$10005,$C122)=0,"新商品",""),IF(COUNTIFS(①今日の在庫を貼る!$B$6:$B$10005,'設定（最初に1回）'!$C$4,①今日の在庫を貼る!$I$6:$I$10005,$C122)=0,"終売候補",""),IF(N($K122)&lt;0,"在庫マイナス",""),IF(AND('設定（最初に1回）'!$C$9="PI値予測",$P122=""),"PI値未設定","")))</f>
        <v>在庫マイナス</v>
      </c>
      <c r="AC122" s="71" t="n">
        <f aca="false">N($Y122)*N($H122)</f>
        <v>120.69</v>
      </c>
      <c r="AD122" s="66" t="str">
        <f aca="false">IF($C122="","",IFERROR(INDEX(商品マスタ!$K$6:$K$1005,MATCH($C122,商品マスタ!$B$6:$B$1005,0)),"常温"))</f>
        <v>常温</v>
      </c>
      <c r="AE122" s="69" t="n">
        <f aca="false">IF($C122="","",MAX(0,ROUNDUP(N($K122)/MAX(1,N($G122)),0)))</f>
        <v>0</v>
      </c>
      <c r="AF122" s="66" t="str">
        <f aca="false">IF($C122="","",IFERROR(INDEX(商品マスタ!$L$6:$L$1005,MATCH($C122,商品マスタ!$B$6:$B$1005,0)),""))</f>
        <v>常温包材</v>
      </c>
      <c r="AG122" s="143" t="n">
        <f aca="false">IF($C122="","",IFERROR(INDEX(定数マスタ!$S$110:$S$119,MATCH($AF122,定数マスタ!$J$110:$J$119,0)),N('設定（最初に1回）'!$C$13)))</f>
        <v>7</v>
      </c>
      <c r="AH122" s="66" t="n">
        <f aca="false">IF(AND(N($K122)&gt;0,N($Y122)&gt;0),N($Y122),0)</f>
        <v>0</v>
      </c>
    </row>
    <row r="123" customFormat="false" ht="15" hidden="false" customHeight="false" outlineLevel="0" collapsed="false">
      <c r="B123" s="66" t="n">
        <v>118</v>
      </c>
      <c r="C123" s="66" t="str">
        <f aca="false">IFERROR(IF($B123&lt;=MAX(①今日の在庫を貼る!$U$6:$U$10005),INDEX(①今日の在庫を貼る!$I$6:$I$10005,MATCH($B123,①今日の在庫を貼る!$U$6:$U$10005,0)),INDEX(月1回_前回の在庫を貼る!$I$6:$I$10005,MATCH($B123-MAX(①今日の在庫を貼る!$U$6:$U$10005),月1回_前回の在庫を貼る!$U$6:$U$10005,0))),"")</f>
        <v>1814000006417</v>
      </c>
      <c r="D123" s="66" t="str">
        <f aca="false">IF($C123="","",IFERROR(INDEX(商品マスタ!$C$6:$C$1005,MATCH($C123,商品マスタ!$B$6:$B$1005,0)),IFERROR(INDEX(①今日の在庫を貼る!$J$6:$J$10005,MATCH($C123,①今日の在庫を貼る!$I$6:$I$10005,0)),IFERROR(INDEX(月1回_前回の在庫を貼る!$J$6:$J$10005,MATCH($C123,月1回_前回の在庫を貼る!$I$6:$I$10005,0)),""))))</f>
        <v>ＴＨ（ＦＳ）ホットドッグ　ＢＯＸ</v>
      </c>
      <c r="E123" s="66" t="str">
        <f aca="false">IF($C123="","",IFERROR(INDEX(商品マスタ!$D$6:$D$1005,MATCH($C123,商品マスタ!$B$6:$B$1005,0)),IFERROR(INDEX(①今日の在庫を貼る!$H$6:$H$10005,MATCH($C123,①今日の在庫を貼る!$I$6:$I$10005,0)),IFERROR(INDEX(月1回_前回の在庫を貼る!$H$6:$H$10005,MATCH($C123,月1回_前回の在庫を貼る!$I$6:$I$10005,0)),""))))</f>
        <v>コンセ包材</v>
      </c>
      <c r="F123" s="66" t="str">
        <f aca="false">IF($C123="","",IFERROR(INDEX(商品マスタ!$E$6:$E$1005,MATCH($C123,商品マスタ!$B$6:$B$1005,0)),IFERROR(INDEX(①今日の在庫を貼る!$E$6:$E$10005,MATCH($C123,①今日の在庫を貼る!$I$6:$I$10005,0)),IFERROR(INDEX(月1回_前回の在庫を貼る!$E$6:$E$10005,MATCH($C123,月1回_前回の在庫を貼る!$I$6:$I$10005,0)),""))))</f>
        <v>オザックス株式会社</v>
      </c>
      <c r="G123" s="69" t="n">
        <f aca="false">IF($C123="","",IFERROR(INDEX(商品マスタ!$F$6:$F$1005,MATCH($C123,商品マスタ!$B$6:$B$1005,0)),IFERROR(INDEX(①今日の在庫を貼る!$K$6:$K$10005,MATCH($C123,①今日の在庫を貼る!$I$6:$I$10005,0)),IFERROR(INDEX(月1回_前回の在庫を貼る!$K$6:$K$10005,MATCH($C123,月1回_前回の在庫を貼る!$I$6:$I$10005,0)),""))))</f>
        <v>600</v>
      </c>
      <c r="H123" s="71" t="n">
        <f aca="false">IF($C123="","",IFERROR(INDEX(商品マスタ!$G$6:$G$1005,MATCH($C123,商品マスタ!$B$6:$B$1005,0)),IFERROR(INDEX(①今日の在庫を貼る!$Q$6:$Q$10005,MATCH($C123,①今日の在庫を貼る!$I$6:$I$10005,0)),IFERROR(INDEX(月1回_前回の在庫を貼る!$Q$6:$Q$10005,MATCH($C123,月1回_前回の在庫を貼る!$I$6:$I$10005,0)),""))))</f>
        <v>11.68</v>
      </c>
      <c r="I123" s="66" t="n">
        <f aca="false">IF($C123="","",IFERROR(INDEX(商品マスタ!$H$6:$H$1005,MATCH($C123,商品マスタ!$B$6:$B$1005,0)),3))</f>
        <v>2</v>
      </c>
      <c r="J123" s="66" t="n">
        <f aca="false">IF($C123="","",MAX(1,IFERROR(INDEX(商品マスタ!$I$6:$I$1005,MATCH($C123,商品マスタ!$B$6:$B$1005,0)),1)))</f>
        <v>2</v>
      </c>
      <c r="K123" s="69" t="n">
        <f aca="false">IF($C123="","",SUMIFS(①今日の在庫を貼る!$N$6:$N$10005,①今日の在庫を貼る!$B$6:$B$10005,'設定（最初に1回）'!$C$4,①今日の在庫を貼る!$I$6:$I$10005,$C123))</f>
        <v>6328</v>
      </c>
      <c r="L123" s="69" t="n">
        <f aca="false">IF($C123="","",SUMIFS(月1回_前回の在庫を貼る!$N$6:$N$10005,月1回_前回の在庫を貼る!$B$6:$B$10005,'設定（最初に1回）'!$C$4,月1回_前回の在庫を貼る!$I$6:$I$10005,$C123))</f>
        <v>20663</v>
      </c>
      <c r="M123" s="69" t="n">
        <f aca="false">IF($C123="","",IF(OR('設定（最初に1回）'!$C$6="",'設定（最初に1回）'!$C$7=""),0,SUMIFS(発注管理!$S$6:$S$1005,発注管理!$C$6:$C$1005,'設定（最初に1回）'!$C$4,発注管理!$F$6:$F$1005,$C123,発注管理!$R$6:$R$1005,"&gt;="&amp;'設定（最初に1回）'!$C$7,発注管理!$R$6:$R$1005,"&lt;="&amp;'設定（最初に1回）'!$C$6)))</f>
        <v>0</v>
      </c>
      <c r="N123" s="69" t="n">
        <f aca="false">IF(OR($C123="",'設定（最初に1回）'!$C$15=0),"",$L123+$M123-$K123)</f>
        <v>14335</v>
      </c>
      <c r="O123" s="143" t="n">
        <f aca="false">IF(OR($N123="",'設定（最初に1回）'!$C$8="",'設定（最初に1回）'!$C$8&lt;=0),"",MAX(0,$N123)/'設定（最初に1回）'!$C$8)</f>
        <v>235</v>
      </c>
      <c r="P123" s="143" t="n">
        <f aca="false">IF($C123="","",IFERROR(INDEX(商品マスタ!$M$6:$N$1005,MATCH($C123,商品マスタ!$B$6:$B$1005,0),MATCH("PI値 "&amp;'設定（最初に1回）'!$C$11,商品マスタ!$M$5:$N$5,0)),""))</f>
        <v>9.9</v>
      </c>
      <c r="Q123" s="143" t="n">
        <f aca="false">IF(OR($C123="",$P123="",$P123=0,(N($I123)+N($AG123))&lt;=0),"",IFERROR(SUMIFS(随時_動員を入れる!$G$8:$G$97,随時_動員を入れる!$B$8:$B$97,"&gt;="&amp;'設定（最初に1回）'!$C$6,随時_動員を入れる!$B$8:$B$97,"&lt;="&amp;'設定（最初に1回）'!$C$6+(N($I123)+N($AG123))-1)/(N($I123)+N($AG123)),0)*$P123/100)</f>
        <v>380.281</v>
      </c>
      <c r="R123" s="69" t="n">
        <f aca="false">IF($C123="","",SUMIFS(①今日の在庫を貼る!$O$6:$O$10005,①今日の在庫を貼る!$B$6:$B$10005,'設定（最初に1回）'!$C$4,①今日の在庫を貼る!$I$6:$I$10005,$C123))</f>
        <v>0</v>
      </c>
      <c r="S123" s="143" t="n">
        <f aca="false">IF($C123="","",IF('設定（最初に1回）'!$C$9="実績消費",N($O123),IF('設定（最初に1回）'!$C$9="PI値予測",N($Q123),MAX(N($O123),N($Q123)))))</f>
        <v>235</v>
      </c>
      <c r="T123" s="67" t="n">
        <f aca="false">IF(OR($S123="",$S123&lt;=0),"",$K123/$S123)</f>
        <v>26.9276595744681</v>
      </c>
      <c r="U123" s="69" t="n">
        <f aca="false">IF($S123="","",ROUNDUP(N($S123)*'設定（最初に1回）'!$C$12,0))</f>
        <v>940</v>
      </c>
      <c r="V123" s="69" t="n">
        <f aca="false">IF($C123="","",ROUNDUP(N($S123)*(N($I123)+N($AG123))+N($U123),0))</f>
        <v>3055</v>
      </c>
      <c r="W123" s="69" t="n">
        <f aca="false">IF($C123="","",SUMIFS(発注管理!$L$6:$L$1005,発注管理!$C$6:$C$1005,'設定（最初に1回）'!$C$4,発注管理!$F$6:$F$1005,$C123,発注管理!$Q$6:$Q$1005,"発注済"))</f>
        <v>0</v>
      </c>
      <c r="X123" s="69" t="n">
        <f aca="false">IF($C123="","",MAX(0,N($V123)-N($K123)-N($W123)))</f>
        <v>0</v>
      </c>
      <c r="Y123" s="147" t="n">
        <f aca="false">IF($C123="","",IF(N($X123)&lt;=0,0,CEILING($X123/MAX(1,N($G123)),MAX(1,N($J123)))))</f>
        <v>0</v>
      </c>
      <c r="Z123" s="138" t="str">
        <f aca="false">IF($C123="","",IF(N($Y123)&gt;0,"要発注","正常"))</f>
        <v>正常</v>
      </c>
      <c r="AA123" s="71" t="n">
        <f aca="false">IF($C123="","",N($K123)*N($H123))</f>
        <v>73911.04</v>
      </c>
      <c r="AB123" s="66" t="str">
        <f aca="false">IF($C123="","",_xlfn.TEXTJOIN(" / ",TRUE(),IF(COUNTIF(商品マスタ!$B$6:$B$1005,$C123)=0,"マスタ未登録",""),IF(COUNTIFS(月1回_前回の在庫を貼る!$B$6:$B$10005,'設定（最初に1回）'!$C$4,月1回_前回の在庫を貼る!$I$6:$I$10005,$C123)=0,"新商品",""),IF(COUNTIFS(①今日の在庫を貼る!$B$6:$B$10005,'設定（最初に1回）'!$C$4,①今日の在庫を貼る!$I$6:$I$10005,$C123)=0,"終売候補",""),IF(N($K123)&lt;0,"在庫マイナス",""),IF(AND('設定（最初に1回）'!$C$9="PI値予測",$P123=""),"PI値未設定","")))</f>
        <v/>
      </c>
      <c r="AC123" s="71" t="n">
        <f aca="false">N($Y123)*N($H123)</f>
        <v>0</v>
      </c>
      <c r="AD123" s="66" t="str">
        <f aca="false">IF($C123="","",IFERROR(INDEX(商品マスタ!$K$6:$K$1005,MATCH($C123,商品マスタ!$B$6:$B$1005,0)),"常温"))</f>
        <v>常温</v>
      </c>
      <c r="AE123" s="69" t="n">
        <f aca="false">IF($C123="","",MAX(0,ROUNDUP(N($K123)/MAX(1,N($G123)),0)))</f>
        <v>11</v>
      </c>
      <c r="AF123" s="66" t="str">
        <f aca="false">IF($C123="","",IFERROR(INDEX(商品マスタ!$L$6:$L$1005,MATCH($C123,商品マスタ!$B$6:$B$1005,0)),""))</f>
        <v>常温包材</v>
      </c>
      <c r="AG123" s="143" t="n">
        <f aca="false">IF($C123="","",IFERROR(INDEX(定数マスタ!$S$110:$S$119,MATCH($AF123,定数マスタ!$J$110:$J$119,0)),N('設定（最初に1回）'!$C$13)))</f>
        <v>7</v>
      </c>
      <c r="AH123" s="66" t="n">
        <f aca="false">IF(AND(N($K123)&gt;0,N($Y123)&gt;0),N($Y123),0)</f>
        <v>0</v>
      </c>
    </row>
    <row r="124" customFormat="false" ht="15" hidden="false" customHeight="false" outlineLevel="0" collapsed="false">
      <c r="B124" s="66" t="n">
        <v>119</v>
      </c>
      <c r="C124" s="66" t="str">
        <f aca="false">IFERROR(IF($B124&lt;=MAX(①今日の在庫を貼る!$U$6:$U$10005),INDEX(①今日の在庫を貼る!$I$6:$I$10005,MATCH($B124,①今日の在庫を貼る!$U$6:$U$10005,0)),INDEX(月1回_前回の在庫を貼る!$I$6:$I$10005,MATCH($B124-MAX(①今日の在庫を貼る!$U$6:$U$10005),月1回_前回の在庫を貼る!$U$6:$U$10005,0))),"")</f>
        <v>1814000006424</v>
      </c>
      <c r="D124" s="66" t="str">
        <f aca="false">IF($C124="","",IFERROR(INDEX(商品マスタ!$C$6:$C$1005,MATCH($C124,商品マスタ!$B$6:$B$1005,0)),IFERROR(INDEX(①今日の在庫を貼る!$J$6:$J$10005,MATCH($C124,①今日の在庫を貼る!$I$6:$I$10005,0)),IFERROR(INDEX(月1回_前回の在庫を貼る!$J$6:$J$10005,MATCH($C124,月1回_前回の在庫を貼る!$I$6:$I$10005,0)),""))))</f>
        <v>ＴＨ（ＦＳ）Ｐポップコーン袋</v>
      </c>
      <c r="E124" s="66" t="str">
        <f aca="false">IF($C124="","",IFERROR(INDEX(商品マスタ!$D$6:$D$1005,MATCH($C124,商品マスタ!$B$6:$B$1005,0)),IFERROR(INDEX(①今日の在庫を貼る!$H$6:$H$10005,MATCH($C124,①今日の在庫を貼る!$I$6:$I$10005,0)),IFERROR(INDEX(月1回_前回の在庫を貼る!$H$6:$H$10005,MATCH($C124,月1回_前回の在庫を貼る!$I$6:$I$10005,0)),""))))</f>
        <v>コンセ包材</v>
      </c>
      <c r="F124" s="66" t="str">
        <f aca="false">IF($C124="","",IFERROR(INDEX(商品マスタ!$E$6:$E$1005,MATCH($C124,商品マスタ!$B$6:$B$1005,0)),IFERROR(INDEX(①今日の在庫を貼る!$E$6:$E$10005,MATCH($C124,①今日の在庫を貼る!$I$6:$I$10005,0)),IFERROR(INDEX(月1回_前回の在庫を貼る!$E$6:$E$10005,MATCH($C124,月1回_前回の在庫を貼る!$I$6:$I$10005,0)),""))))</f>
        <v>オザックス株式会社</v>
      </c>
      <c r="G124" s="69" t="n">
        <f aca="false">IF($C124="","",IFERROR(INDEX(商品マスタ!$F$6:$F$1005,MATCH($C124,商品マスタ!$B$6:$B$1005,0)),IFERROR(INDEX(①今日の在庫を貼る!$K$6:$K$10005,MATCH($C124,①今日の在庫を貼る!$I$6:$I$10005,0)),IFERROR(INDEX(月1回_前回の在庫を貼る!$K$6:$K$10005,MATCH($C124,月1回_前回の在庫を貼る!$I$6:$I$10005,0)),""))))</f>
        <v>500</v>
      </c>
      <c r="H124" s="71" t="n">
        <f aca="false">IF($C124="","",IFERROR(INDEX(商品マスタ!$G$6:$G$1005,MATCH($C124,商品マスタ!$B$6:$B$1005,0)),IFERROR(INDEX(①今日の在庫を貼る!$Q$6:$Q$10005,MATCH($C124,①今日の在庫を貼る!$I$6:$I$10005,0)),IFERROR(INDEX(月1回_前回の在庫を貼る!$Q$6:$Q$10005,MATCH($C124,月1回_前回の在庫を貼る!$I$6:$I$10005,0)),""))))</f>
        <v>15.6</v>
      </c>
      <c r="I124" s="66" t="n">
        <f aca="false">IF($C124="","",IFERROR(INDEX(商品マスタ!$H$6:$H$1005,MATCH($C124,商品マスタ!$B$6:$B$1005,0)),3))</f>
        <v>3</v>
      </c>
      <c r="J124" s="66" t="n">
        <f aca="false">IF($C124="","",MAX(1,IFERROR(INDEX(商品マスタ!$I$6:$I$1005,MATCH($C124,商品マスタ!$B$6:$B$1005,0)),1)))</f>
        <v>5</v>
      </c>
      <c r="K124" s="69" t="n">
        <f aca="false">IF($C124="","",SUMIFS(①今日の在庫を貼る!$N$6:$N$10005,①今日の在庫を貼る!$B$6:$B$10005,'設定（最初に1回）'!$C$4,①今日の在庫を貼る!$I$6:$I$10005,$C124))</f>
        <v>3000</v>
      </c>
      <c r="L124" s="69" t="n">
        <f aca="false">IF($C124="","",SUMIFS(月1回_前回の在庫を貼る!$N$6:$N$10005,月1回_前回の在庫を貼る!$B$6:$B$10005,'設定（最初に1回）'!$C$4,月1回_前回の在庫を貼る!$I$6:$I$10005,$C124))</f>
        <v>8139</v>
      </c>
      <c r="M124" s="69" t="n">
        <f aca="false">IF($C124="","",IF(OR('設定（最初に1回）'!$C$6="",'設定（最初に1回）'!$C$7=""),0,SUMIFS(発注管理!$S$6:$S$1005,発注管理!$C$6:$C$1005,'設定（最初に1回）'!$C$4,発注管理!$F$6:$F$1005,$C124,発注管理!$R$6:$R$1005,"&gt;="&amp;'設定（最初に1回）'!$C$7,発注管理!$R$6:$R$1005,"&lt;="&amp;'設定（最初に1回）'!$C$6)))</f>
        <v>0</v>
      </c>
      <c r="N124" s="69" t="n">
        <f aca="false">IF(OR($C124="",'設定（最初に1回）'!$C$15=0),"",$L124+$M124-$K124)</f>
        <v>5139</v>
      </c>
      <c r="O124" s="143" t="n">
        <f aca="false">IF(OR($N124="",'設定（最初に1回）'!$C$8="",'設定（最初に1回）'!$C$8&lt;=0),"",MAX(0,$N124)/'設定（最初に1回）'!$C$8)</f>
        <v>84.2459016393443</v>
      </c>
      <c r="P124" s="143" t="n">
        <f aca="false">IF($C124="","",IFERROR(INDEX(商品マスタ!$M$6:$N$1005,MATCH($C124,商品マスタ!$B$6:$B$1005,0),MATCH("PI値 "&amp;'設定（最初に1回）'!$C$11,商品マスタ!$M$5:$N$5,0)),""))</f>
        <v>9.2</v>
      </c>
      <c r="Q124" s="143" t="n">
        <f aca="false">IF(OR($C124="",$P124="",$P124=0,(N($I124)+N($AG124))&lt;=0),"",IFERROR(SUMIFS(随時_動員を入れる!$G$8:$G$97,随時_動員を入れる!$B$8:$B$97,"&gt;="&amp;'設定（最初に1回）'!$C$6,随時_動員を入れる!$B$8:$B$97,"&lt;="&amp;'設定（最初に1回）'!$C$6+(N($I124)+N($AG124))-1)/(N($I124)+N($AG124)),0)*$P124/100)</f>
        <v>350.1704</v>
      </c>
      <c r="R124" s="69" t="n">
        <f aca="false">IF($C124="","",SUMIFS(①今日の在庫を貼る!$O$6:$O$10005,①今日の在庫を貼る!$B$6:$B$10005,'設定（最初に1回）'!$C$4,①今日の在庫を貼る!$I$6:$I$10005,$C124))</f>
        <v>0</v>
      </c>
      <c r="S124" s="143" t="n">
        <f aca="false">IF($C124="","",IF('設定（最初に1回）'!$C$9="実績消費",N($O124),IF('設定（最初に1回）'!$C$9="PI値予測",N($Q124),MAX(N($O124),N($Q124)))))</f>
        <v>84.2459016393443</v>
      </c>
      <c r="T124" s="67" t="n">
        <f aca="false">IF(OR($S124="",$S124&lt;=0),"",$K124/$S124)</f>
        <v>35.6100408639813</v>
      </c>
      <c r="U124" s="69" t="n">
        <f aca="false">IF($S124="","",ROUNDUP(N($S124)*'設定（最初に1回）'!$C$12,0))</f>
        <v>337</v>
      </c>
      <c r="V124" s="69" t="n">
        <f aca="false">IF($C124="","",ROUNDUP(N($S124)*(N($I124)+N($AG124))+N($U124),0))</f>
        <v>1180</v>
      </c>
      <c r="W124" s="69" t="n">
        <f aca="false">IF($C124="","",SUMIFS(発注管理!$L$6:$L$1005,発注管理!$C$6:$C$1005,'設定（最初に1回）'!$C$4,発注管理!$F$6:$F$1005,$C124,発注管理!$Q$6:$Q$1005,"発注済"))</f>
        <v>0</v>
      </c>
      <c r="X124" s="69" t="n">
        <f aca="false">IF($C124="","",MAX(0,N($V124)-N($K124)-N($W124)))</f>
        <v>0</v>
      </c>
      <c r="Y124" s="147" t="n">
        <f aca="false">IF($C124="","",IF(N($X124)&lt;=0,0,CEILING($X124/MAX(1,N($G124)),MAX(1,N($J124)))))</f>
        <v>0</v>
      </c>
      <c r="Z124" s="138" t="str">
        <f aca="false">IF($C124="","",IF(N($Y124)&gt;0,"要発注","正常"))</f>
        <v>正常</v>
      </c>
      <c r="AA124" s="71" t="n">
        <f aca="false">IF($C124="","",N($K124)*N($H124))</f>
        <v>46800</v>
      </c>
      <c r="AB124" s="66" t="str">
        <f aca="false">IF($C124="","",_xlfn.TEXTJOIN(" / ",TRUE(),IF(COUNTIF(商品マスタ!$B$6:$B$1005,$C124)=0,"マスタ未登録",""),IF(COUNTIFS(月1回_前回の在庫を貼る!$B$6:$B$10005,'設定（最初に1回）'!$C$4,月1回_前回の在庫を貼る!$I$6:$I$10005,$C124)=0,"新商品",""),IF(COUNTIFS(①今日の在庫を貼る!$B$6:$B$10005,'設定（最初に1回）'!$C$4,①今日の在庫を貼る!$I$6:$I$10005,$C124)=0,"終売候補",""),IF(N($K124)&lt;0,"在庫マイナス",""),IF(AND('設定（最初に1回）'!$C$9="PI値予測",$P124=""),"PI値未設定","")))</f>
        <v/>
      </c>
      <c r="AC124" s="71" t="n">
        <f aca="false">N($Y124)*N($H124)</f>
        <v>0</v>
      </c>
      <c r="AD124" s="66" t="str">
        <f aca="false">IF($C124="","",IFERROR(INDEX(商品マスタ!$K$6:$K$1005,MATCH($C124,商品マスタ!$B$6:$B$1005,0)),"常温"))</f>
        <v>常温</v>
      </c>
      <c r="AE124" s="69" t="n">
        <f aca="false">IF($C124="","",MAX(0,ROUNDUP(N($K124)/MAX(1,N($G124)),0)))</f>
        <v>6</v>
      </c>
      <c r="AF124" s="66" t="str">
        <f aca="false">IF($C124="","",IFERROR(INDEX(商品マスタ!$L$6:$L$1005,MATCH($C124,商品マスタ!$B$6:$B$1005,0)),""))</f>
        <v>常温包材</v>
      </c>
      <c r="AG124" s="143" t="n">
        <f aca="false">IF($C124="","",IFERROR(INDEX(定数マスタ!$S$110:$S$119,MATCH($AF124,定数マスタ!$J$110:$J$119,0)),N('設定（最初に1回）'!$C$13)))</f>
        <v>7</v>
      </c>
      <c r="AH124" s="66" t="n">
        <f aca="false">IF(AND(N($K124)&gt;0,N($Y124)&gt;0),N($Y124),0)</f>
        <v>0</v>
      </c>
    </row>
    <row r="125" customFormat="false" ht="15" hidden="false" customHeight="false" outlineLevel="0" collapsed="false">
      <c r="B125" s="66" t="n">
        <v>120</v>
      </c>
      <c r="C125" s="66" t="str">
        <f aca="false">IFERROR(IF($B125&lt;=MAX(①今日の在庫を貼る!$U$6:$U$10005),INDEX(①今日の在庫を貼る!$I$6:$I$10005,MATCH($B125,①今日の在庫を貼る!$U$6:$U$10005,0)),INDEX(月1回_前回の在庫を貼る!$I$6:$I$10005,MATCH($B125-MAX(①今日の在庫を貼る!$U$6:$U$10005),月1回_前回の在庫を貼る!$U$6:$U$10005,0))),"")</f>
        <v>1814000006486</v>
      </c>
      <c r="D125" s="66" t="str">
        <f aca="false">IF($C125="","",IFERROR(INDEX(商品マスタ!$C$6:$C$1005,MATCH($C125,商品マスタ!$B$6:$B$1005,0)),IFERROR(INDEX(①今日の在庫を貼る!$J$6:$J$10005,MATCH($C125,①今日の在庫を貼る!$I$6:$I$10005,0)),IFERROR(INDEX(月1回_前回の在庫を貼る!$J$6:$J$10005,MATCH($C125,月1回_前回の在庫を貼る!$I$6:$I$10005,0)),""))))</f>
        <v>ＴＨバイオマスフォーク１４０裸</v>
      </c>
      <c r="E125" s="66" t="str">
        <f aca="false">IF($C125="","",IFERROR(INDEX(商品マスタ!$D$6:$D$1005,MATCH($C125,商品マスタ!$B$6:$B$1005,0)),IFERROR(INDEX(①今日の在庫を貼る!$H$6:$H$10005,MATCH($C125,①今日の在庫を貼る!$I$6:$I$10005,0)),IFERROR(INDEX(月1回_前回の在庫を貼る!$H$6:$H$10005,MATCH($C125,月1回_前回の在庫を貼る!$I$6:$I$10005,0)),""))))</f>
        <v>コンセ包材</v>
      </c>
      <c r="F125" s="66" t="str">
        <f aca="false">IF($C125="","",IFERROR(INDEX(商品マスタ!$E$6:$E$1005,MATCH($C125,商品マスタ!$B$6:$B$1005,0)),IFERROR(INDEX(①今日の在庫を貼る!$E$6:$E$10005,MATCH($C125,①今日の在庫を貼る!$I$6:$I$10005,0)),IFERROR(INDEX(月1回_前回の在庫を貼る!$E$6:$E$10005,MATCH($C125,月1回_前回の在庫を貼る!$I$6:$I$10005,0)),""))))</f>
        <v>オザックス株式会社</v>
      </c>
      <c r="G125" s="69" t="n">
        <f aca="false">IF($C125="","",IFERROR(INDEX(商品マスタ!$F$6:$F$1005,MATCH($C125,商品マスタ!$B$6:$B$1005,0)),IFERROR(INDEX(①今日の在庫を貼る!$K$6:$K$10005,MATCH($C125,①今日の在庫を貼る!$I$6:$I$10005,0)),IFERROR(INDEX(月1回_前回の在庫を貼る!$K$6:$K$10005,MATCH($C125,月1回_前回の在庫を貼る!$I$6:$I$10005,0)),""))))</f>
        <v>500</v>
      </c>
      <c r="H125" s="71" t="n">
        <f aca="false">IF($C125="","",IFERROR(INDEX(商品マスタ!$G$6:$G$1005,MATCH($C125,商品マスタ!$B$6:$B$1005,0)),IFERROR(INDEX(①今日の在庫を貼る!$Q$6:$Q$10005,MATCH($C125,①今日の在庫を貼る!$I$6:$I$10005,0)),IFERROR(INDEX(月1回_前回の在庫を貼る!$Q$6:$Q$10005,MATCH($C125,月1回_前回の在庫を貼る!$I$6:$I$10005,0)),""))))</f>
        <v>4.48</v>
      </c>
      <c r="I125" s="66" t="n">
        <f aca="false">IF($C125="","",IFERROR(INDEX(商品マスタ!$H$6:$H$1005,MATCH($C125,商品マスタ!$B$6:$B$1005,0)),3))</f>
        <v>3</v>
      </c>
      <c r="J125" s="66" t="n">
        <f aca="false">IF($C125="","",MAX(1,IFERROR(INDEX(商品マスタ!$I$6:$I$1005,MATCH($C125,商品マスタ!$B$6:$B$1005,0)),1)))</f>
        <v>1</v>
      </c>
      <c r="K125" s="69" t="n">
        <f aca="false">IF($C125="","",SUMIFS(①今日の在庫を貼る!$N$6:$N$10005,①今日の在庫を貼る!$B$6:$B$10005,'設定（最初に1回）'!$C$4,①今日の在庫を貼る!$I$6:$I$10005,$C125))</f>
        <v>-30</v>
      </c>
      <c r="L125" s="69" t="n">
        <f aca="false">IF($C125="","",SUMIFS(月1回_前回の在庫を貼る!$N$6:$N$10005,月1回_前回の在庫を貼る!$B$6:$B$10005,'設定（最初に1回）'!$C$4,月1回_前回の在庫を貼る!$I$6:$I$10005,$C125))</f>
        <v>20510</v>
      </c>
      <c r="M125" s="69" t="n">
        <f aca="false">IF($C125="","",IF(OR('設定（最初に1回）'!$C$6="",'設定（最初に1回）'!$C$7=""),0,SUMIFS(発注管理!$S$6:$S$1005,発注管理!$C$6:$C$1005,'設定（最初に1回）'!$C$4,発注管理!$F$6:$F$1005,$C125,発注管理!$R$6:$R$1005,"&gt;="&amp;'設定（最初に1回）'!$C$7,発注管理!$R$6:$R$1005,"&lt;="&amp;'設定（最初に1回）'!$C$6)))</f>
        <v>0</v>
      </c>
      <c r="N125" s="69" t="n">
        <f aca="false">IF(OR($C125="",'設定（最初に1回）'!$C$15=0),"",$L125+$M125-$K125)</f>
        <v>20540</v>
      </c>
      <c r="O125" s="143" t="n">
        <f aca="false">IF(OR($N125="",'設定（最初に1回）'!$C$8="",'設定（最初に1回）'!$C$8&lt;=0),"",MAX(0,$N125)/'設定（最初に1回）'!$C$8)</f>
        <v>336.72131147541</v>
      </c>
      <c r="P125" s="143" t="n">
        <f aca="false">IF($C125="","",IFERROR(INDEX(商品マスタ!$M$6:$N$1005,MATCH($C125,商品マスタ!$B$6:$B$1005,0),MATCH("PI値 "&amp;'設定（最初に1回）'!$C$11,商品マスタ!$M$5:$N$5,0)),""))</f>
        <v>8.1</v>
      </c>
      <c r="Q125" s="143" t="n">
        <f aca="false">IF(OR($C125="",$P125="",$P125=0,(N($I125)+N($AG125))&lt;=0),"",IFERROR(SUMIFS(随時_動員を入れる!$G$8:$G$97,随時_動員を入れる!$B$8:$B$97,"&gt;="&amp;'設定（最初に1回）'!$C$6,随時_動員を入れる!$B$8:$B$97,"&lt;="&amp;'設定（最初に1回）'!$C$6+(N($I125)+N($AG125))-1)/(N($I125)+N($AG125)),0)*$P125/100)</f>
        <v>308.3022</v>
      </c>
      <c r="R125" s="69" t="n">
        <f aca="false">IF($C125="","",SUMIFS(①今日の在庫を貼る!$O$6:$O$10005,①今日の在庫を貼る!$B$6:$B$10005,'設定（最初に1回）'!$C$4,①今日の在庫を貼る!$I$6:$I$10005,$C125))</f>
        <v>0</v>
      </c>
      <c r="S125" s="143" t="n">
        <f aca="false">IF($C125="","",IF('設定（最初に1回）'!$C$9="実績消費",N($O125),IF('設定（最初に1回）'!$C$9="PI値予測",N($Q125),MAX(N($O125),N($Q125)))))</f>
        <v>336.72131147541</v>
      </c>
      <c r="T125" s="67" t="n">
        <f aca="false">IF(OR($S125="",$S125&lt;=0),"",$K125/$S125)</f>
        <v>-0.0890944498539435</v>
      </c>
      <c r="U125" s="69" t="n">
        <f aca="false">IF($S125="","",ROUNDUP(N($S125)*'設定（最初に1回）'!$C$12,0))</f>
        <v>1347</v>
      </c>
      <c r="V125" s="69" t="n">
        <f aca="false">IF($C125="","",ROUNDUP(N($S125)*(N($I125)+N($AG125))+N($U125),0))</f>
        <v>4715</v>
      </c>
      <c r="W125" s="69" t="n">
        <f aca="false">IF($C125="","",SUMIFS(発注管理!$L$6:$L$1005,発注管理!$C$6:$C$1005,'設定（最初に1回）'!$C$4,発注管理!$F$6:$F$1005,$C125,発注管理!$Q$6:$Q$1005,"発注済"))</f>
        <v>0</v>
      </c>
      <c r="X125" s="69" t="n">
        <f aca="false">IF($C125="","",MAX(0,N($V125)-N($K125)-N($W125)))</f>
        <v>4745</v>
      </c>
      <c r="Y125" s="147" t="n">
        <f aca="false">IF($C125="","",IF(N($X125)&lt;=0,0,CEILING($X125/MAX(1,N($G125)),MAX(1,N($J125)))))</f>
        <v>10</v>
      </c>
      <c r="Z125" s="138" t="str">
        <f aca="false">IF($C125="","",IF(N($Y125)&gt;0,"要発注","正常"))</f>
        <v>要発注</v>
      </c>
      <c r="AA125" s="71" t="n">
        <f aca="false">IF($C125="","",N($K125)*N($H125))</f>
        <v>-134.4</v>
      </c>
      <c r="AB125" s="66" t="str">
        <f aca="false">IF($C125="","",_xlfn.TEXTJOIN(" / ",TRUE(),IF(COUNTIF(商品マスタ!$B$6:$B$1005,$C125)=0,"マスタ未登録",""),IF(COUNTIFS(月1回_前回の在庫を貼る!$B$6:$B$10005,'設定（最初に1回）'!$C$4,月1回_前回の在庫を貼る!$I$6:$I$10005,$C125)=0,"新商品",""),IF(COUNTIFS(①今日の在庫を貼る!$B$6:$B$10005,'設定（最初に1回）'!$C$4,①今日の在庫を貼る!$I$6:$I$10005,$C125)=0,"終売候補",""),IF(N($K125)&lt;0,"在庫マイナス",""),IF(AND('設定（最初に1回）'!$C$9="PI値予測",$P125=""),"PI値未設定","")))</f>
        <v>在庫マイナス</v>
      </c>
      <c r="AC125" s="71" t="n">
        <f aca="false">N($Y125)*N($H125)</f>
        <v>44.8</v>
      </c>
      <c r="AD125" s="66" t="str">
        <f aca="false">IF($C125="","",IFERROR(INDEX(商品マスタ!$K$6:$K$1005,MATCH($C125,商品マスタ!$B$6:$B$1005,0)),"常温"))</f>
        <v>常温</v>
      </c>
      <c r="AE125" s="69" t="n">
        <f aca="false">IF($C125="","",MAX(0,ROUNDUP(N($K125)/MAX(1,N($G125)),0)))</f>
        <v>0</v>
      </c>
      <c r="AF125" s="66" t="str">
        <f aca="false">IF($C125="","",IFERROR(INDEX(商品マスタ!$L$6:$L$1005,MATCH($C125,商品マスタ!$B$6:$B$1005,0)),""))</f>
        <v>常温包材</v>
      </c>
      <c r="AG125" s="143" t="n">
        <f aca="false">IF($C125="","",IFERROR(INDEX(定数マスタ!$S$110:$S$119,MATCH($AF125,定数マスタ!$J$110:$J$119,0)),N('設定（最初に1回）'!$C$13)))</f>
        <v>7</v>
      </c>
      <c r="AH125" s="66" t="n">
        <f aca="false">IF(AND(N($K125)&gt;0,N($Y125)&gt;0),N($Y125),0)</f>
        <v>0</v>
      </c>
    </row>
    <row r="126" customFormat="false" ht="15" hidden="false" customHeight="false" outlineLevel="0" collapsed="false">
      <c r="B126" s="66" t="n">
        <v>121</v>
      </c>
      <c r="C126" s="66" t="str">
        <f aca="false">IFERROR(IF($B126&lt;=MAX(①今日の在庫を貼る!$U$6:$U$10005),INDEX(①今日の在庫を貼る!$I$6:$I$10005,MATCH($B126,①今日の在庫を貼る!$U$6:$U$10005,0)),INDEX(月1回_前回の在庫を貼る!$I$6:$I$10005,MATCH($B126-MAX(①今日の在庫を貼る!$U$6:$U$10005),月1回_前回の在庫を貼る!$U$6:$U$10005,0))),"")</f>
        <v>1814000006493</v>
      </c>
      <c r="D126" s="66" t="str">
        <f aca="false">IF($C126="","",IFERROR(INDEX(商品マスタ!$C$6:$C$1005,MATCH($C126,商品マスタ!$B$6:$B$1005,0)),IFERROR(INDEX(①今日の在庫を貼る!$J$6:$J$10005,MATCH($C126,①今日の在庫を貼る!$I$6:$I$10005,0)),IFERROR(INDEX(月1回_前回の在庫を貼る!$J$6:$J$10005,MATCH($C126,月1回_前回の在庫を貼る!$I$6:$I$10005,0)),""))))</f>
        <v>ＴＨ木製マドラー１６．５ｃｍ</v>
      </c>
      <c r="E126" s="66" t="str">
        <f aca="false">IF($C126="","",IFERROR(INDEX(商品マスタ!$D$6:$D$1005,MATCH($C126,商品マスタ!$B$6:$B$1005,0)),IFERROR(INDEX(①今日の在庫を貼る!$H$6:$H$10005,MATCH($C126,①今日の在庫を貼る!$I$6:$I$10005,0)),IFERROR(INDEX(月1回_前回の在庫を貼る!$H$6:$H$10005,MATCH($C126,月1回_前回の在庫を貼る!$I$6:$I$10005,0)),""))))</f>
        <v>コンセ包材</v>
      </c>
      <c r="F126" s="66" t="str">
        <f aca="false">IF($C126="","",IFERROR(INDEX(商品マスタ!$E$6:$E$1005,MATCH($C126,商品マスタ!$B$6:$B$1005,0)),IFERROR(INDEX(①今日の在庫を貼る!$E$6:$E$10005,MATCH($C126,①今日の在庫を貼る!$I$6:$I$10005,0)),IFERROR(INDEX(月1回_前回の在庫を貼る!$E$6:$E$10005,MATCH($C126,月1回_前回の在庫を貼る!$I$6:$I$10005,0)),""))))</f>
        <v>オザックス株式会社</v>
      </c>
      <c r="G126" s="69" t="n">
        <f aca="false">IF($C126="","",IFERROR(INDEX(商品マスタ!$F$6:$F$1005,MATCH($C126,商品マスタ!$B$6:$B$1005,0)),IFERROR(INDEX(①今日の在庫を貼る!$K$6:$K$10005,MATCH($C126,①今日の在庫を貼る!$I$6:$I$10005,0)),IFERROR(INDEX(月1回_前回の在庫を貼る!$K$6:$K$10005,MATCH($C126,月1回_前回の在庫を貼る!$I$6:$I$10005,0)),""))))</f>
        <v>100</v>
      </c>
      <c r="H126" s="71" t="n">
        <f aca="false">IF($C126="","",IFERROR(INDEX(商品マスタ!$G$6:$G$1005,MATCH($C126,商品マスタ!$B$6:$B$1005,0)),IFERROR(INDEX(①今日の在庫を貼る!$Q$6:$Q$10005,MATCH($C126,①今日の在庫を貼る!$I$6:$I$10005,0)),IFERROR(INDEX(月1回_前回の在庫を貼る!$Q$6:$Q$10005,MATCH($C126,月1回_前回の在庫を貼る!$I$6:$I$10005,0)),""))))</f>
        <v>2.44</v>
      </c>
      <c r="I126" s="66" t="n">
        <f aca="false">IF($C126="","",IFERROR(INDEX(商品マスタ!$H$6:$H$1005,MATCH($C126,商品マスタ!$B$6:$B$1005,0)),3))</f>
        <v>2</v>
      </c>
      <c r="J126" s="66" t="n">
        <f aca="false">IF($C126="","",MAX(1,IFERROR(INDEX(商品マスタ!$I$6:$I$1005,MATCH($C126,商品マスタ!$B$6:$B$1005,0)),1)))</f>
        <v>1</v>
      </c>
      <c r="K126" s="69" t="n">
        <f aca="false">IF($C126="","",SUMIFS(①今日の在庫を貼る!$N$6:$N$10005,①今日の在庫を貼る!$B$6:$B$10005,'設定（最初に1回）'!$C$4,①今日の在庫を貼る!$I$6:$I$10005,$C126))</f>
        <v>11660</v>
      </c>
      <c r="L126" s="69" t="n">
        <f aca="false">IF($C126="","",SUMIFS(月1回_前回の在庫を貼る!$N$6:$N$10005,月1回_前回の在庫を貼る!$B$6:$B$10005,'設定（最初に1回）'!$C$4,月1回_前回の在庫を貼る!$I$6:$I$10005,$C126))</f>
        <v>18616</v>
      </c>
      <c r="M126" s="69" t="n">
        <f aca="false">IF($C126="","",IF(OR('設定（最初に1回）'!$C$6="",'設定（最初に1回）'!$C$7=""),0,SUMIFS(発注管理!$S$6:$S$1005,発注管理!$C$6:$C$1005,'設定（最初に1回）'!$C$4,発注管理!$F$6:$F$1005,$C126,発注管理!$R$6:$R$1005,"&gt;="&amp;'設定（最初に1回）'!$C$7,発注管理!$R$6:$R$1005,"&lt;="&amp;'設定（最初に1回）'!$C$6)))</f>
        <v>0</v>
      </c>
      <c r="N126" s="69" t="n">
        <f aca="false">IF(OR($C126="",'設定（最初に1回）'!$C$15=0),"",$L126+$M126-$K126)</f>
        <v>6956</v>
      </c>
      <c r="O126" s="143" t="n">
        <f aca="false">IF(OR($N126="",'設定（最初に1回）'!$C$8="",'設定（最初に1回）'!$C$8&lt;=0),"",MAX(0,$N126)/'設定（最初に1回）'!$C$8)</f>
        <v>114.032786885246</v>
      </c>
      <c r="P126" s="143" t="n">
        <f aca="false">IF($C126="","",IFERROR(INDEX(商品マスタ!$M$6:$N$1005,MATCH($C126,商品マスタ!$B$6:$B$1005,0),MATCH("PI値 "&amp;'設定（最初に1回）'!$C$11,商品マスタ!$M$5:$N$5,0)),""))</f>
        <v>5.8</v>
      </c>
      <c r="Q126" s="143" t="n">
        <f aca="false">IF(OR($C126="",$P126="",$P126=0,(N($I126)+N($AG126))&lt;=0),"",IFERROR(SUMIFS(随時_動員を入れる!$G$8:$G$97,随時_動員を入れる!$B$8:$B$97,"&gt;="&amp;'設定（最初に1回）'!$C$6,随時_動員を入れる!$B$8:$B$97,"&lt;="&amp;'設定（最初に1回）'!$C$6+(N($I126)+N($AG126))-1)/(N($I126)+N($AG126)),0)*$P126/100)</f>
        <v>222.790888888889</v>
      </c>
      <c r="R126" s="69" t="n">
        <f aca="false">IF($C126="","",SUMIFS(①今日の在庫を貼る!$O$6:$O$10005,①今日の在庫を貼る!$B$6:$B$10005,'設定（最初に1回）'!$C$4,①今日の在庫を貼る!$I$6:$I$10005,$C126))</f>
        <v>0</v>
      </c>
      <c r="S126" s="143" t="n">
        <f aca="false">IF($C126="","",IF('設定（最初に1回）'!$C$9="実績消費",N($O126),IF('設定（最初に1回）'!$C$9="PI値予測",N($Q126),MAX(N($O126),N($Q126)))))</f>
        <v>114.032786885246</v>
      </c>
      <c r="T126" s="67" t="n">
        <f aca="false">IF(OR($S126="",$S126&lt;=0),"",$K126/$S126)</f>
        <v>102.251293847039</v>
      </c>
      <c r="U126" s="69" t="n">
        <f aca="false">IF($S126="","",ROUNDUP(N($S126)*'設定（最初に1回）'!$C$12,0))</f>
        <v>457</v>
      </c>
      <c r="V126" s="69" t="n">
        <f aca="false">IF($C126="","",ROUNDUP(N($S126)*(N($I126)+N($AG126))+N($U126),0))</f>
        <v>1484</v>
      </c>
      <c r="W126" s="69" t="n">
        <f aca="false">IF($C126="","",SUMIFS(発注管理!$L$6:$L$1005,発注管理!$C$6:$C$1005,'設定（最初に1回）'!$C$4,発注管理!$F$6:$F$1005,$C126,発注管理!$Q$6:$Q$1005,"発注済"))</f>
        <v>0</v>
      </c>
      <c r="X126" s="69" t="n">
        <f aca="false">IF($C126="","",MAX(0,N($V126)-N($K126)-N($W126)))</f>
        <v>0</v>
      </c>
      <c r="Y126" s="147" t="n">
        <f aca="false">IF($C126="","",IF(N($X126)&lt;=0,0,CEILING($X126/MAX(1,N($G126)),MAX(1,N($J126)))))</f>
        <v>0</v>
      </c>
      <c r="Z126" s="138" t="str">
        <f aca="false">IF($C126="","",IF(N($Y126)&gt;0,"要発注","正常"))</f>
        <v>正常</v>
      </c>
      <c r="AA126" s="71" t="n">
        <f aca="false">IF($C126="","",N($K126)*N($H126))</f>
        <v>28450.4</v>
      </c>
      <c r="AB126" s="66" t="str">
        <f aca="false">IF($C126="","",_xlfn.TEXTJOIN(" / ",TRUE(),IF(COUNTIF(商品マスタ!$B$6:$B$1005,$C126)=0,"マスタ未登録",""),IF(COUNTIFS(月1回_前回の在庫を貼る!$B$6:$B$10005,'設定（最初に1回）'!$C$4,月1回_前回の在庫を貼る!$I$6:$I$10005,$C126)=0,"新商品",""),IF(COUNTIFS(①今日の在庫を貼る!$B$6:$B$10005,'設定（最初に1回）'!$C$4,①今日の在庫を貼る!$I$6:$I$10005,$C126)=0,"終売候補",""),IF(N($K126)&lt;0,"在庫マイナス",""),IF(AND('設定（最初に1回）'!$C$9="PI値予測",$P126=""),"PI値未設定","")))</f>
        <v/>
      </c>
      <c r="AC126" s="71" t="n">
        <f aca="false">N($Y126)*N($H126)</f>
        <v>0</v>
      </c>
      <c r="AD126" s="66" t="str">
        <f aca="false">IF($C126="","",IFERROR(INDEX(商品マスタ!$K$6:$K$1005,MATCH($C126,商品マスタ!$B$6:$B$1005,0)),"常温"))</f>
        <v>常温</v>
      </c>
      <c r="AE126" s="69" t="n">
        <f aca="false">IF($C126="","",MAX(0,ROUNDUP(N($K126)/MAX(1,N($G126)),0)))</f>
        <v>117</v>
      </c>
      <c r="AF126" s="66" t="str">
        <f aca="false">IF($C126="","",IFERROR(INDEX(商品マスタ!$L$6:$L$1005,MATCH($C126,商品マスタ!$B$6:$B$1005,0)),""))</f>
        <v>常温包材</v>
      </c>
      <c r="AG126" s="143" t="n">
        <f aca="false">IF($C126="","",IFERROR(INDEX(定数マスタ!$S$110:$S$119,MATCH($AF126,定数マスタ!$J$110:$J$119,0)),N('設定（最初に1回）'!$C$13)))</f>
        <v>7</v>
      </c>
      <c r="AH126" s="66" t="n">
        <f aca="false">IF(AND(N($K126)&gt;0,N($Y126)&gt;0),N($Y126),0)</f>
        <v>0</v>
      </c>
    </row>
    <row r="127" customFormat="false" ht="15" hidden="false" customHeight="false" outlineLevel="0" collapsed="false">
      <c r="B127" s="66" t="n">
        <v>122</v>
      </c>
      <c r="C127" s="66" t="str">
        <f aca="false">IFERROR(IF($B127&lt;=MAX(①今日の在庫を貼る!$U$6:$U$10005),INDEX(①今日の在庫を貼る!$I$6:$I$10005,MATCH($B127,①今日の在庫を貼る!$U$6:$U$10005,0)),INDEX(月1回_前回の在庫を貼る!$I$6:$I$10005,MATCH($B127-MAX(①今日の在庫を貼る!$U$6:$U$10005),月1回_前回の在庫を貼る!$U$6:$U$10005,0))),"")</f>
        <v>1812000013190</v>
      </c>
      <c r="D127" s="66" t="str">
        <f aca="false">IF($C127="","",IFERROR(INDEX(商品マスタ!$C$6:$C$1005,MATCH($C127,商品マスタ!$B$6:$B$1005,0)),IFERROR(INDEX(①今日の在庫を貼る!$J$6:$J$10005,MATCH($C127,①今日の在庫を貼る!$I$6:$I$10005,0)),IFERROR(INDEX(月1回_前回の在庫を貼る!$J$6:$J$10005,MATCH($C127,月1回_前回の在庫を貼る!$I$6:$I$10005,0)),""))))</f>
        <v>銀魂　ショッパー　仕入</v>
      </c>
      <c r="E127" s="66" t="str">
        <f aca="false">IF($C127="","",IFERROR(INDEX(商品マスタ!$D$6:$D$1005,MATCH($C127,商品マスタ!$B$6:$B$1005,0)),IFERROR(INDEX(①今日の在庫を貼る!$H$6:$H$10005,MATCH($C127,①今日の在庫を貼る!$I$6:$I$10005,0)),IFERROR(INDEX(月1回_前回の在庫を貼る!$H$6:$H$10005,MATCH($C127,月1回_前回の在庫を貼る!$I$6:$I$10005,0)),""))))</f>
        <v>ＳＥＴ作品コンボ</v>
      </c>
      <c r="F127" s="66" t="str">
        <f aca="false">IF($C127="","",IFERROR(INDEX(商品マスタ!$E$6:$E$1005,MATCH($C127,商品マスタ!$B$6:$B$1005,0)),IFERROR(INDEX(①今日の在庫を貼る!$E$6:$E$10005,MATCH($C127,①今日の在庫を貼る!$I$6:$I$10005,0)),IFERROR(INDEX(月1回_前回の在庫を貼る!$E$6:$E$10005,MATCH($C127,月1回_前回の在庫を貼る!$I$6:$I$10005,0)),""))))</f>
        <v>松竹株式会社（コンセ）</v>
      </c>
      <c r="G127" s="69" t="n">
        <f aca="false">IF($C127="","",IFERROR(INDEX(商品マスタ!$F$6:$F$1005,MATCH($C127,商品マスタ!$B$6:$B$1005,0)),IFERROR(INDEX(①今日の在庫を貼る!$K$6:$K$10005,MATCH($C127,①今日の在庫を貼る!$I$6:$I$10005,0)),IFERROR(INDEX(月1回_前回の在庫を貼る!$K$6:$K$10005,MATCH($C127,月1回_前回の在庫を貼る!$I$6:$I$10005,0)),""))))</f>
        <v>20</v>
      </c>
      <c r="H127" s="71" t="n">
        <f aca="false">IF($C127="","",IFERROR(INDEX(商品マスタ!$G$6:$G$1005,MATCH($C127,商品マスタ!$B$6:$B$1005,0)),IFERROR(INDEX(①今日の在庫を貼る!$Q$6:$Q$10005,MATCH($C127,①今日の在庫を貼る!$I$6:$I$10005,0)),IFERROR(INDEX(月1回_前回の在庫を貼る!$Q$6:$Q$10005,MATCH($C127,月1回_前回の在庫を貼る!$I$6:$I$10005,0)),""))))</f>
        <v>591</v>
      </c>
      <c r="I127" s="66" t="n">
        <f aca="false">IF($C127="","",IFERROR(INDEX(商品マスタ!$H$6:$H$1005,MATCH($C127,商品マスタ!$B$6:$B$1005,0)),3))</f>
        <v>5</v>
      </c>
      <c r="J127" s="66" t="n">
        <f aca="false">IF($C127="","",MAX(1,IFERROR(INDEX(商品マスタ!$I$6:$I$1005,MATCH($C127,商品マスタ!$B$6:$B$1005,0)),1)))</f>
        <v>2</v>
      </c>
      <c r="K127" s="69" t="n">
        <f aca="false">IF($C127="","",SUMIFS(①今日の在庫を貼る!$N$6:$N$10005,①今日の在庫を貼る!$B$6:$B$10005,'設定（最初に1回）'!$C$4,①今日の在庫を貼る!$I$6:$I$10005,$C127))</f>
        <v>51</v>
      </c>
      <c r="L127" s="69" t="n">
        <f aca="false">IF($C127="","",SUMIFS(月1回_前回の在庫を貼る!$N$6:$N$10005,月1回_前回の在庫を貼る!$B$6:$B$10005,'設定（最初に1回）'!$C$4,月1回_前回の在庫を貼る!$I$6:$I$10005,$C127))</f>
        <v>303</v>
      </c>
      <c r="M127" s="69" t="n">
        <f aca="false">IF($C127="","",IF(OR('設定（最初に1回）'!$C$6="",'設定（最初に1回）'!$C$7=""),0,SUMIFS(発注管理!$S$6:$S$1005,発注管理!$C$6:$C$1005,'設定（最初に1回）'!$C$4,発注管理!$F$6:$F$1005,$C127,発注管理!$R$6:$R$1005,"&gt;="&amp;'設定（最初に1回）'!$C$7,発注管理!$R$6:$R$1005,"&lt;="&amp;'設定（最初に1回）'!$C$6)))</f>
        <v>0</v>
      </c>
      <c r="N127" s="69" t="n">
        <f aca="false">IF(OR($C127="",'設定（最初に1回）'!$C$15=0),"",$L127+$M127-$K127)</f>
        <v>252</v>
      </c>
      <c r="O127" s="143" t="n">
        <f aca="false">IF(OR($N127="",'設定（最初に1回）'!$C$8="",'設定（最初に1回）'!$C$8&lt;=0),"",MAX(0,$N127)/'設定（最初に1回）'!$C$8)</f>
        <v>4.13114754098361</v>
      </c>
      <c r="P127" s="143" t="n">
        <f aca="false">IF($C127="","",IFERROR(INDEX(商品マスタ!$M$6:$N$1005,MATCH($C127,商品マスタ!$B$6:$B$1005,0),MATCH("PI値 "&amp;'設定（最初に1回）'!$C$11,商品マスタ!$M$5:$N$5,0)),""))</f>
        <v>0.6</v>
      </c>
      <c r="Q127" s="143" t="n">
        <f aca="false">IF(OR($C127="",$P127="",$P127=0,(N($I127)+N($AG127))&lt;=0),"",IFERROR(SUMIFS(随時_動員を入れる!$G$8:$G$97,随時_動員を入れる!$B$8:$B$97,"&gt;="&amp;'設定（最初に1回）'!$C$6,随時_動員を入れる!$B$8:$B$97,"&lt;="&amp;'設定（最初に1回）'!$C$6+(N($I127)+N($AG127))-1)/(N($I127)+N($AG127)),0)*$P127/100)</f>
        <v>21.2355</v>
      </c>
      <c r="R127" s="69" t="n">
        <f aca="false">IF($C127="","",SUMIFS(①今日の在庫を貼る!$O$6:$O$10005,①今日の在庫を貼る!$B$6:$B$10005,'設定（最初に1回）'!$C$4,①今日の在庫を貼る!$I$6:$I$10005,$C127))</f>
        <v>0</v>
      </c>
      <c r="S127" s="143" t="n">
        <f aca="false">IF($C127="","",IF('設定（最初に1回）'!$C$9="実績消費",N($O127),IF('設定（最初に1回）'!$C$9="PI値予測",N($Q127),MAX(N($O127),N($Q127)))))</f>
        <v>4.13114754098361</v>
      </c>
      <c r="T127" s="67" t="n">
        <f aca="false">IF(OR($S127="",$S127&lt;=0),"",$K127/$S127)</f>
        <v>12.3452380952381</v>
      </c>
      <c r="U127" s="69" t="n">
        <f aca="false">IF($S127="","",ROUNDUP(N($S127)*'設定（最初に1回）'!$C$12,0))</f>
        <v>17</v>
      </c>
      <c r="V127" s="69" t="n">
        <f aca="false">IF($C127="","",ROUNDUP(N($S127)*(N($I127)+N($AG127))+N($U127),0))</f>
        <v>67</v>
      </c>
      <c r="W127" s="69" t="n">
        <f aca="false">IF($C127="","",SUMIFS(発注管理!$L$6:$L$1005,発注管理!$C$6:$C$1005,'設定（最初に1回）'!$C$4,発注管理!$F$6:$F$1005,$C127,発注管理!$Q$6:$Q$1005,"発注済"))</f>
        <v>0</v>
      </c>
      <c r="X127" s="69" t="n">
        <f aca="false">IF($C127="","",MAX(0,N($V127)-N($K127)-N($W127)))</f>
        <v>16</v>
      </c>
      <c r="Y127" s="147" t="n">
        <f aca="false">IF($C127="","",IF(N($X127)&lt;=0,0,CEILING($X127/MAX(1,N($G127)),MAX(1,N($J127)))))</f>
        <v>2</v>
      </c>
      <c r="Z127" s="138" t="str">
        <f aca="false">IF($C127="","",IF(N($Y127)&gt;0,"要発注","正常"))</f>
        <v>要発注</v>
      </c>
      <c r="AA127" s="71" t="n">
        <f aca="false">IF($C127="","",N($K127)*N($H127))</f>
        <v>30141</v>
      </c>
      <c r="AB127" s="66" t="str">
        <f aca="false">IF($C127="","",_xlfn.TEXTJOIN(" / ",TRUE(),IF(COUNTIF(商品マスタ!$B$6:$B$1005,$C127)=0,"マスタ未登録",""),IF(COUNTIFS(月1回_前回の在庫を貼る!$B$6:$B$10005,'設定（最初に1回）'!$C$4,月1回_前回の在庫を貼る!$I$6:$I$10005,$C127)=0,"新商品",""),IF(COUNTIFS(①今日の在庫を貼る!$B$6:$B$10005,'設定（最初に1回）'!$C$4,①今日の在庫を貼る!$I$6:$I$10005,$C127)=0,"終売候補",""),IF(N($K127)&lt;0,"在庫マイナス",""),IF(AND('設定（最初に1回）'!$C$9="PI値予測",$P127=""),"PI値未設定","")))</f>
        <v/>
      </c>
      <c r="AC127" s="71" t="n">
        <f aca="false">N($Y127)*N($H127)</f>
        <v>1182</v>
      </c>
      <c r="AD127" s="66" t="str">
        <f aca="false">IF($C127="","",IFERROR(INDEX(商品マスタ!$K$6:$K$1005,MATCH($C127,商品マスタ!$B$6:$B$1005,0)),"常温"))</f>
        <v>常温</v>
      </c>
      <c r="AE127" s="69" t="n">
        <f aca="false">IF($C127="","",MAX(0,ROUNDUP(N($K127)/MAX(1,N($G127)),0)))</f>
        <v>3</v>
      </c>
      <c r="AF127" s="66" t="str">
        <f aca="false">IF($C127="","",IFERROR(INDEX(商品マスタ!$L$6:$L$1005,MATCH($C127,商品マスタ!$B$6:$B$1005,0)),""))</f>
        <v>その他常温</v>
      </c>
      <c r="AG127" s="143" t="n">
        <f aca="false">IF($C127="","",IFERROR(INDEX(定数マスタ!$S$110:$S$119,MATCH($AF127,定数マスタ!$J$110:$J$119,0)),N('設定（最初に1回）'!$C$13)))</f>
        <v>7</v>
      </c>
      <c r="AH127" s="66" t="n">
        <f aca="false">IF(AND(N($K127)&gt;0,N($Y127)&gt;0),N($Y127),0)</f>
        <v>2</v>
      </c>
    </row>
    <row r="128" customFormat="false" ht="15" hidden="false" customHeight="false" outlineLevel="0" collapsed="false">
      <c r="B128" s="66" t="n">
        <v>123</v>
      </c>
      <c r="C128" s="66" t="str">
        <f aca="false">IFERROR(IF($B128&lt;=MAX(①今日の在庫を貼る!$U$6:$U$10005),INDEX(①今日の在庫を貼る!$I$6:$I$10005,MATCH($B128,①今日の在庫を貼る!$U$6:$U$10005,0)),INDEX(月1回_前回の在庫を貼る!$I$6:$I$10005,MATCH($B128-MAX(①今日の在庫を貼る!$U$6:$U$10005),月1回_前回の在庫を貼る!$U$6:$U$10005,0))),"")</f>
        <v>1812000013411</v>
      </c>
      <c r="D128" s="66" t="str">
        <f aca="false">IF($C128="","",IFERROR(INDEX(商品マスタ!$C$6:$C$1005,MATCH($C128,商品マスタ!$B$6:$B$1005,0)),IFERROR(INDEX(①今日の在庫を貼る!$J$6:$J$10005,MATCH($C128,①今日の在庫を貼る!$I$6:$I$10005,0)),IFERROR(INDEX(月1回_前回の在庫を貼る!$J$6:$J$10005,MATCH($C128,月1回_前回の在庫を貼る!$I$6:$I$10005,0)),""))))</f>
        <v>コナン２０２６　Ｄカップ　仕入</v>
      </c>
      <c r="E128" s="66" t="str">
        <f aca="false">IF($C128="","",IFERROR(INDEX(商品マスタ!$D$6:$D$1005,MATCH($C128,商品マスタ!$B$6:$B$1005,0)),IFERROR(INDEX(①今日の在庫を貼る!$H$6:$H$10005,MATCH($C128,①今日の在庫を貼る!$I$6:$I$10005,0)),IFERROR(INDEX(月1回_前回の在庫を貼る!$H$6:$H$10005,MATCH($C128,月1回_前回の在庫を貼る!$I$6:$I$10005,0)),""))))</f>
        <v>ＳＥＴ作品コンボ</v>
      </c>
      <c r="F128" s="66" t="str">
        <f aca="false">IF($C128="","",IFERROR(INDEX(商品マスタ!$E$6:$E$1005,MATCH($C128,商品マスタ!$B$6:$B$1005,0)),IFERROR(INDEX(①今日の在庫を貼る!$E$6:$E$10005,MATCH($C128,①今日の在庫を貼る!$I$6:$I$10005,0)),IFERROR(INDEX(月1回_前回の在庫を貼る!$E$6:$E$10005,MATCH($C128,月1回_前回の在庫を貼る!$I$6:$I$10005,0)),""))))</f>
        <v>株式会社ムービック【コンセ】</v>
      </c>
      <c r="G128" s="69" t="n">
        <f aca="false">IF($C128="","",IFERROR(INDEX(商品マスタ!$F$6:$F$1005,MATCH($C128,商品マスタ!$B$6:$B$1005,0)),IFERROR(INDEX(①今日の在庫を貼る!$K$6:$K$10005,MATCH($C128,①今日の在庫を貼る!$I$6:$I$10005,0)),IFERROR(INDEX(月1回_前回の在庫を貼る!$K$6:$K$10005,MATCH($C128,月1回_前回の在庫を貼る!$I$6:$I$10005,0)),""))))</f>
        <v>50</v>
      </c>
      <c r="H128" s="71" t="n">
        <f aca="false">IF($C128="","",IFERROR(INDEX(商品マスタ!$G$6:$G$1005,MATCH($C128,商品マスタ!$B$6:$B$1005,0)),IFERROR(INDEX(①今日の在庫を貼る!$Q$6:$Q$10005,MATCH($C128,①今日の在庫を貼る!$I$6:$I$10005,0)),IFERROR(INDEX(月1回_前回の在庫を貼る!$Q$6:$Q$10005,MATCH($C128,月1回_前回の在庫を貼る!$I$6:$I$10005,0)),""))))</f>
        <v>750</v>
      </c>
      <c r="I128" s="66" t="n">
        <f aca="false">IF($C128="","",IFERROR(INDEX(商品マスタ!$H$6:$H$1005,MATCH($C128,商品マスタ!$B$6:$B$1005,0)),3))</f>
        <v>5</v>
      </c>
      <c r="J128" s="66" t="n">
        <f aca="false">IF($C128="","",MAX(1,IFERROR(INDEX(商品マスタ!$I$6:$I$1005,MATCH($C128,商品マスタ!$B$6:$B$1005,0)),1)))</f>
        <v>5</v>
      </c>
      <c r="K128" s="69" t="n">
        <f aca="false">IF($C128="","",SUMIFS(①今日の在庫を貼る!$N$6:$N$10005,①今日の在庫を貼る!$B$6:$B$10005,'設定（最初に1回）'!$C$4,①今日の在庫を貼る!$I$6:$I$10005,$C128))</f>
        <v>1</v>
      </c>
      <c r="L128" s="69" t="n">
        <f aca="false">IF($C128="","",SUMIFS(月1回_前回の在庫を貼る!$N$6:$N$10005,月1回_前回の在庫を貼る!$B$6:$B$10005,'設定（最初に1回）'!$C$4,月1回_前回の在庫を貼る!$I$6:$I$10005,$C128))</f>
        <v>9</v>
      </c>
      <c r="M128" s="69" t="n">
        <f aca="false">IF($C128="","",IF(OR('設定（最初に1回）'!$C$6="",'設定（最初に1回）'!$C$7=""),0,SUMIFS(発注管理!$S$6:$S$1005,発注管理!$C$6:$C$1005,'設定（最初に1回）'!$C$4,発注管理!$F$6:$F$1005,$C128,発注管理!$R$6:$R$1005,"&gt;="&amp;'設定（最初に1回）'!$C$7,発注管理!$R$6:$R$1005,"&lt;="&amp;'設定（最初に1回）'!$C$6)))</f>
        <v>0</v>
      </c>
      <c r="N128" s="69" t="n">
        <f aca="false">IF(OR($C128="",'設定（最初に1回）'!$C$15=0),"",$L128+$M128-$K128)</f>
        <v>8</v>
      </c>
      <c r="O128" s="143" t="n">
        <f aca="false">IF(OR($N128="",'設定（最初に1回）'!$C$8="",'設定（最初に1回）'!$C$8&lt;=0),"",MAX(0,$N128)/'設定（最初に1回）'!$C$8)</f>
        <v>0.131147540983607</v>
      </c>
      <c r="P128" s="143" t="n">
        <f aca="false">IF($C128="","",IFERROR(INDEX(商品マスタ!$M$6:$N$1005,MATCH($C128,商品マスタ!$B$6:$B$1005,0),MATCH("PI値 "&amp;'設定（最初に1回）'!$C$11,商品マスタ!$M$5:$N$5,0)),""))</f>
        <v>0.5</v>
      </c>
      <c r="Q128" s="143" t="n">
        <f aca="false">IF(OR($C128="",$P128="",$P128=0,(N($I128)+N($AG128))&lt;=0),"",IFERROR(SUMIFS(随時_動員を入れる!$G$8:$G$97,随時_動員を入れる!$B$8:$B$97,"&gt;="&amp;'設定（最初に1回）'!$C$6,随時_動員を入れる!$B$8:$B$97,"&lt;="&amp;'設定（最初に1回）'!$C$6+(N($I128)+N($AG128))-1)/(N($I128)+N($AG128)),0)*$P128/100)</f>
        <v>17.69625</v>
      </c>
      <c r="R128" s="69" t="n">
        <f aca="false">IF($C128="","",SUMIFS(①今日の在庫を貼る!$O$6:$O$10005,①今日の在庫を貼る!$B$6:$B$10005,'設定（最初に1回）'!$C$4,①今日の在庫を貼る!$I$6:$I$10005,$C128))</f>
        <v>0</v>
      </c>
      <c r="S128" s="143" t="n">
        <f aca="false">IF($C128="","",IF('設定（最初に1回）'!$C$9="実績消費",N($O128),IF('設定（最初に1回）'!$C$9="PI値予測",N($Q128),MAX(N($O128),N($Q128)))))</f>
        <v>0.131147540983607</v>
      </c>
      <c r="T128" s="67" t="n">
        <f aca="false">IF(OR($S128="",$S128&lt;=0),"",$K128/$S128)</f>
        <v>7.625</v>
      </c>
      <c r="U128" s="69" t="n">
        <f aca="false">IF($S128="","",ROUNDUP(N($S128)*'設定（最初に1回）'!$C$12,0))</f>
        <v>1</v>
      </c>
      <c r="V128" s="69" t="n">
        <f aca="false">IF($C128="","",ROUNDUP(N($S128)*(N($I128)+N($AG128))+N($U128),0))</f>
        <v>3</v>
      </c>
      <c r="W128" s="69" t="n">
        <f aca="false">IF($C128="","",SUMIFS(発注管理!$L$6:$L$1005,発注管理!$C$6:$C$1005,'設定（最初に1回）'!$C$4,発注管理!$F$6:$F$1005,$C128,発注管理!$Q$6:$Q$1005,"発注済"))</f>
        <v>0</v>
      </c>
      <c r="X128" s="69" t="n">
        <f aca="false">IF($C128="","",MAX(0,N($V128)-N($K128)-N($W128)))</f>
        <v>2</v>
      </c>
      <c r="Y128" s="147" t="n">
        <f aca="false">IF($C128="","",IF(N($X128)&lt;=0,0,CEILING($X128/MAX(1,N($G128)),MAX(1,N($J128)))))</f>
        <v>5</v>
      </c>
      <c r="Z128" s="138" t="str">
        <f aca="false">IF($C128="","",IF(N($Y128)&gt;0,"要発注","正常"))</f>
        <v>要発注</v>
      </c>
      <c r="AA128" s="71" t="n">
        <f aca="false">IF($C128="","",N($K128)*N($H128))</f>
        <v>750</v>
      </c>
      <c r="AB128" s="66" t="str">
        <f aca="false">IF($C128="","",_xlfn.TEXTJOIN(" / ",TRUE(),IF(COUNTIF(商品マスタ!$B$6:$B$1005,$C128)=0,"マスタ未登録",""),IF(COUNTIFS(月1回_前回の在庫を貼る!$B$6:$B$10005,'設定（最初に1回）'!$C$4,月1回_前回の在庫を貼る!$I$6:$I$10005,$C128)=0,"新商品",""),IF(COUNTIFS(①今日の在庫を貼る!$B$6:$B$10005,'設定（最初に1回）'!$C$4,①今日の在庫を貼る!$I$6:$I$10005,$C128)=0,"終売候補",""),IF(N($K128)&lt;0,"在庫マイナス",""),IF(AND('設定（最初に1回）'!$C$9="PI値予測",$P128=""),"PI値未設定","")))</f>
        <v/>
      </c>
      <c r="AC128" s="71" t="n">
        <f aca="false">N($Y128)*N($H128)</f>
        <v>3750</v>
      </c>
      <c r="AD128" s="66" t="str">
        <f aca="false">IF($C128="","",IFERROR(INDEX(商品マスタ!$K$6:$K$1005,MATCH($C128,商品マスタ!$B$6:$B$1005,0)),"常温"))</f>
        <v>常温</v>
      </c>
      <c r="AE128" s="69" t="n">
        <f aca="false">IF($C128="","",MAX(0,ROUNDUP(N($K128)/MAX(1,N($G128)),0)))</f>
        <v>1</v>
      </c>
      <c r="AF128" s="66" t="str">
        <f aca="false">IF($C128="","",IFERROR(INDEX(商品マスタ!$L$6:$L$1005,MATCH($C128,商品マスタ!$B$6:$B$1005,0)),""))</f>
        <v>その他常温</v>
      </c>
      <c r="AG128" s="143" t="n">
        <f aca="false">IF($C128="","",IFERROR(INDEX(定数マスタ!$S$110:$S$119,MATCH($AF128,定数マスタ!$J$110:$J$119,0)),N('設定（最初に1回）'!$C$13)))</f>
        <v>7</v>
      </c>
      <c r="AH128" s="66" t="n">
        <f aca="false">IF(AND(N($K128)&gt;0,N($Y128)&gt;0),N($Y128),0)</f>
        <v>5</v>
      </c>
    </row>
    <row r="129" customFormat="false" ht="15" hidden="false" customHeight="false" outlineLevel="0" collapsed="false">
      <c r="B129" s="66" t="n">
        <v>124</v>
      </c>
      <c r="C129" s="66" t="str">
        <f aca="false">IFERROR(IF($B129&lt;=MAX(①今日の在庫を貼る!$U$6:$U$10005),INDEX(①今日の在庫を貼る!$I$6:$I$10005,MATCH($B129,①今日の在庫を貼る!$U$6:$U$10005,0)),INDEX(月1回_前回の在庫を貼る!$I$6:$I$10005,MATCH($B129-MAX(①今日の在庫を貼る!$U$6:$U$10005),月1回_前回の在庫を貼る!$U$6:$U$10005,0))),"")</f>
        <v>1812000013206</v>
      </c>
      <c r="D129" s="66" t="str">
        <f aca="false">IF($C129="","",IFERROR(INDEX(商品マスタ!$C$6:$C$1005,MATCH($C129,商品マスタ!$B$6:$B$1005,0)),IFERROR(INDEX(①今日の在庫を貼る!$J$6:$J$10005,MATCH($C129,①今日の在庫を貼る!$I$6:$I$10005,0)),IFERROR(INDEX(月1回_前回の在庫を貼る!$J$6:$J$10005,MATCH($C129,月1回_前回の在庫を貼る!$I$6:$I$10005,0)),""))))</f>
        <v>銀魂　エリザベスＤホルダー　仕入</v>
      </c>
      <c r="E129" s="66" t="str">
        <f aca="false">IF($C129="","",IFERROR(INDEX(商品マスタ!$D$6:$D$1005,MATCH($C129,商品マスタ!$B$6:$B$1005,0)),IFERROR(INDEX(①今日の在庫を貼る!$H$6:$H$10005,MATCH($C129,①今日の在庫を貼る!$I$6:$I$10005,0)),IFERROR(INDEX(月1回_前回の在庫を貼る!$H$6:$H$10005,MATCH($C129,月1回_前回の在庫を貼る!$I$6:$I$10005,0)),""))))</f>
        <v>ＳＥＴ作品コンボ</v>
      </c>
      <c r="F129" s="66" t="str">
        <f aca="false">IF($C129="","",IFERROR(INDEX(商品マスタ!$E$6:$E$1005,MATCH($C129,商品マスタ!$B$6:$B$1005,0)),IFERROR(INDEX(①今日の在庫を貼る!$E$6:$E$10005,MATCH($C129,①今日の在庫を貼る!$I$6:$I$10005,0)),IFERROR(INDEX(月1回_前回の在庫を貼る!$E$6:$E$10005,MATCH($C129,月1回_前回の在庫を貼る!$I$6:$I$10005,0)),""))))</f>
        <v>東映ジョイ（コンセ）</v>
      </c>
      <c r="G129" s="69" t="n">
        <f aca="false">IF($C129="","",IFERROR(INDEX(商品マスタ!$F$6:$F$1005,MATCH($C129,商品マスタ!$B$6:$B$1005,0)),IFERROR(INDEX(①今日の在庫を貼る!$K$6:$K$10005,MATCH($C129,①今日の在庫を貼る!$I$6:$I$10005,0)),IFERROR(INDEX(月1回_前回の在庫を貼る!$K$6:$K$10005,MATCH($C129,月1回_前回の在庫を貼る!$I$6:$I$10005,0)),""))))</f>
        <v>18</v>
      </c>
      <c r="H129" s="71" t="n">
        <f aca="false">IF($C129="","",IFERROR(INDEX(商品マスタ!$G$6:$G$1005,MATCH($C129,商品マスタ!$B$6:$B$1005,0)),IFERROR(INDEX(①今日の在庫を貼る!$Q$6:$Q$10005,MATCH($C129,①今日の在庫を貼る!$I$6:$I$10005,0)),IFERROR(INDEX(月1回_前回の在庫を貼る!$Q$6:$Q$10005,MATCH($C129,月1回_前回の在庫を貼る!$I$6:$I$10005,0)),""))))</f>
        <v>1050</v>
      </c>
      <c r="I129" s="66" t="n">
        <f aca="false">IF($C129="","",IFERROR(INDEX(商品マスタ!$H$6:$H$1005,MATCH($C129,商品マスタ!$B$6:$B$1005,0)),3))</f>
        <v>7</v>
      </c>
      <c r="J129" s="66" t="n">
        <f aca="false">IF($C129="","",MAX(1,IFERROR(INDEX(商品マスタ!$I$6:$I$1005,MATCH($C129,商品マスタ!$B$6:$B$1005,0)),1)))</f>
        <v>5</v>
      </c>
      <c r="K129" s="69" t="n">
        <f aca="false">IF($C129="","",SUMIFS(①今日の在庫を貼る!$N$6:$N$10005,①今日の在庫を貼る!$B$6:$B$10005,'設定（最初に1回）'!$C$4,①今日の在庫を貼る!$I$6:$I$10005,$C129))</f>
        <v>0</v>
      </c>
      <c r="L129" s="69" t="n">
        <f aca="false">IF($C129="","",SUMIFS(月1回_前回の在庫を貼る!$N$6:$N$10005,月1回_前回の在庫を貼る!$B$6:$B$10005,'設定（最初に1回）'!$C$4,月1回_前回の在庫を貼る!$I$6:$I$10005,$C129))</f>
        <v>4</v>
      </c>
      <c r="M129" s="69" t="n">
        <f aca="false">IF($C129="","",IF(OR('設定（最初に1回）'!$C$6="",'設定（最初に1回）'!$C$7=""),0,SUMIFS(発注管理!$S$6:$S$1005,発注管理!$C$6:$C$1005,'設定（最初に1回）'!$C$4,発注管理!$F$6:$F$1005,$C129,発注管理!$R$6:$R$1005,"&gt;="&amp;'設定（最初に1回）'!$C$7,発注管理!$R$6:$R$1005,"&lt;="&amp;'設定（最初に1回）'!$C$6)))</f>
        <v>0</v>
      </c>
      <c r="N129" s="69" t="n">
        <f aca="false">IF(OR($C129="",'設定（最初に1回）'!$C$15=0),"",$L129+$M129-$K129)</f>
        <v>4</v>
      </c>
      <c r="O129" s="143" t="n">
        <f aca="false">IF(OR($N129="",'設定（最初に1回）'!$C$8="",'設定（最初に1回）'!$C$8&lt;=0),"",MAX(0,$N129)/'設定（最初に1回）'!$C$8)</f>
        <v>0.0655737704918033</v>
      </c>
      <c r="P129" s="143" t="n">
        <f aca="false">IF($C129="","",IFERROR(INDEX(商品マスタ!$M$6:$N$1005,MATCH($C129,商品マスタ!$B$6:$B$1005,0),MATCH("PI値 "&amp;'設定（最初に1回）'!$C$11,商品マスタ!$M$5:$N$5,0)),""))</f>
        <v>1.3</v>
      </c>
      <c r="Q129" s="143" t="n">
        <f aca="false">IF(OR($C129="",$P129="",$P129=0,(N($I129)+N($AG129))&lt;=0),"",IFERROR(SUMIFS(随時_動員を入れる!$G$8:$G$97,随時_動員を入れる!$B$8:$B$97,"&gt;="&amp;'設定（最初に1回）'!$C$6,随時_動員を入れる!$B$8:$B$97,"&lt;="&amp;'設定（最初に1回）'!$C$6+(N($I129)+N($AG129))-1)/(N($I129)+N($AG129)),0)*$P129/100)</f>
        <v>41.873</v>
      </c>
      <c r="R129" s="69" t="n">
        <f aca="false">IF($C129="","",SUMIFS(①今日の在庫を貼る!$O$6:$O$10005,①今日の在庫を貼る!$B$6:$B$10005,'設定（最初に1回）'!$C$4,①今日の在庫を貼る!$I$6:$I$10005,$C129))</f>
        <v>0</v>
      </c>
      <c r="S129" s="143" t="n">
        <f aca="false">IF($C129="","",IF('設定（最初に1回）'!$C$9="実績消費",N($O129),IF('設定（最初に1回）'!$C$9="PI値予測",N($Q129),MAX(N($O129),N($Q129)))))</f>
        <v>0.0655737704918033</v>
      </c>
      <c r="T129" s="67" t="n">
        <f aca="false">IF(OR($S129="",$S129&lt;=0),"",$K129/$S129)</f>
        <v>0</v>
      </c>
      <c r="U129" s="69" t="n">
        <f aca="false">IF($S129="","",ROUNDUP(N($S129)*'設定（最初に1回）'!$C$12,0))</f>
        <v>1</v>
      </c>
      <c r="V129" s="69" t="n">
        <f aca="false">IF($C129="","",ROUNDUP(N($S129)*(N($I129)+N($AG129))+N($U129),0))</f>
        <v>2</v>
      </c>
      <c r="W129" s="69" t="n">
        <f aca="false">IF($C129="","",SUMIFS(発注管理!$L$6:$L$1005,発注管理!$C$6:$C$1005,'設定（最初に1回）'!$C$4,発注管理!$F$6:$F$1005,$C129,発注管理!$Q$6:$Q$1005,"発注済"))</f>
        <v>0</v>
      </c>
      <c r="X129" s="69" t="n">
        <f aca="false">IF($C129="","",MAX(0,N($V129)-N($K129)-N($W129)))</f>
        <v>2</v>
      </c>
      <c r="Y129" s="147" t="n">
        <f aca="false">IF($C129="","",IF(N($X129)&lt;=0,0,CEILING($X129/MAX(1,N($G129)),MAX(1,N($J129)))))</f>
        <v>5</v>
      </c>
      <c r="Z129" s="138" t="str">
        <f aca="false">IF($C129="","",IF(N($Y129)&gt;0,"要発注","正常"))</f>
        <v>要発注</v>
      </c>
      <c r="AA129" s="71" t="n">
        <f aca="false">IF($C129="","",N($K129)*N($H129))</f>
        <v>0</v>
      </c>
      <c r="AB129" s="66" t="str">
        <f aca="false">IF($C129="","",_xlfn.TEXTJOIN(" / ",TRUE(),IF(COUNTIF(商品マスタ!$B$6:$B$1005,$C129)=0,"マスタ未登録",""),IF(COUNTIFS(月1回_前回の在庫を貼る!$B$6:$B$10005,'設定（最初に1回）'!$C$4,月1回_前回の在庫を貼る!$I$6:$I$10005,$C129)=0,"新商品",""),IF(COUNTIFS(①今日の在庫を貼る!$B$6:$B$10005,'設定（最初に1回）'!$C$4,①今日の在庫を貼る!$I$6:$I$10005,$C129)=0,"終売候補",""),IF(N($K129)&lt;0,"在庫マイナス",""),IF(AND('設定（最初に1回）'!$C$9="PI値予測",$P129=""),"PI値未設定","")))</f>
        <v/>
      </c>
      <c r="AC129" s="71" t="n">
        <f aca="false">N($Y129)*N($H129)</f>
        <v>5250</v>
      </c>
      <c r="AD129" s="66" t="str">
        <f aca="false">IF($C129="","",IFERROR(INDEX(商品マスタ!$K$6:$K$1005,MATCH($C129,商品マスタ!$B$6:$B$1005,0)),"常温"))</f>
        <v>常温</v>
      </c>
      <c r="AE129" s="69" t="n">
        <f aca="false">IF($C129="","",MAX(0,ROUNDUP(N($K129)/MAX(1,N($G129)),0)))</f>
        <v>0</v>
      </c>
      <c r="AF129" s="66" t="str">
        <f aca="false">IF($C129="","",IFERROR(INDEX(商品マスタ!$L$6:$L$1005,MATCH($C129,商品マスタ!$B$6:$B$1005,0)),""))</f>
        <v>その他常温</v>
      </c>
      <c r="AG129" s="143" t="n">
        <f aca="false">IF($C129="","",IFERROR(INDEX(定数マスタ!$S$110:$S$119,MATCH($AF129,定数マスタ!$J$110:$J$119,0)),N('設定（最初に1回）'!$C$13)))</f>
        <v>7</v>
      </c>
      <c r="AH129" s="66" t="n">
        <f aca="false">IF(AND(N($K129)&gt;0,N($Y129)&gt;0),N($Y129),0)</f>
        <v>0</v>
      </c>
    </row>
    <row r="130" customFormat="false" ht="15" hidden="false" customHeight="false" outlineLevel="0" collapsed="false">
      <c r="B130" s="66" t="n">
        <v>125</v>
      </c>
      <c r="C130" s="66" t="str">
        <f aca="false">IFERROR(IF($B130&lt;=MAX(①今日の在庫を貼る!$U$6:$U$10005),INDEX(①今日の在庫を貼る!$I$6:$I$10005,MATCH($B130,①今日の在庫を貼る!$U$6:$U$10005,0)),INDEX(月1回_前回の在庫を貼る!$I$6:$I$10005,MATCH($B130-MAX(①今日の在庫を貼る!$U$6:$U$10005),月1回_前回の在庫を貼る!$U$6:$U$10005,0))),"")</f>
        <v>1812000013428</v>
      </c>
      <c r="D130" s="66" t="str">
        <f aca="false">IF($C130="","",IFERROR(INDEX(商品マスタ!$C$6:$C$1005,MATCH($C130,商品マスタ!$B$6:$B$1005,0)),IFERROR(INDEX(①今日の在庫を貼る!$J$6:$J$10005,MATCH($C130,①今日の在庫を貼る!$I$6:$I$10005,0)),IFERROR(INDEX(月1回_前回の在庫を貼る!$J$6:$J$10005,MATCH($C130,月1回_前回の在庫を貼る!$I$6:$I$10005,0)),""))))</f>
        <v>コナン２０２６　Ｐボックス　仕入</v>
      </c>
      <c r="E130" s="66" t="str">
        <f aca="false">IF($C130="","",IFERROR(INDEX(商品マスタ!$D$6:$D$1005,MATCH($C130,商品マスタ!$B$6:$B$1005,0)),IFERROR(INDEX(①今日の在庫を貼る!$H$6:$H$10005,MATCH($C130,①今日の在庫を貼る!$I$6:$I$10005,0)),IFERROR(INDEX(月1回_前回の在庫を貼る!$H$6:$H$10005,MATCH($C130,月1回_前回の在庫を貼る!$I$6:$I$10005,0)),""))))</f>
        <v>ＳＥＴ作品コンボ</v>
      </c>
      <c r="F130" s="66" t="str">
        <f aca="false">IF($C130="","",IFERROR(INDEX(商品マスタ!$E$6:$E$1005,MATCH($C130,商品マスタ!$B$6:$B$1005,0)),IFERROR(INDEX(①今日の在庫を貼る!$E$6:$E$10005,MATCH($C130,①今日の在庫を貼る!$I$6:$I$10005,0)),IFERROR(INDEX(月1回_前回の在庫を貼る!$E$6:$E$10005,MATCH($C130,月1回_前回の在庫を貼る!$I$6:$I$10005,0)),""))))</f>
        <v>㈱トップス</v>
      </c>
      <c r="G130" s="69" t="n">
        <f aca="false">IF($C130="","",IFERROR(INDEX(商品マスタ!$F$6:$F$1005,MATCH($C130,商品マスタ!$B$6:$B$1005,0)),IFERROR(INDEX(①今日の在庫を貼る!$K$6:$K$10005,MATCH($C130,①今日の在庫を貼る!$I$6:$I$10005,0)),IFERROR(INDEX(月1回_前回の在庫を貼る!$K$6:$K$10005,MATCH($C130,月1回_前回の在庫を貼る!$I$6:$I$10005,0)),""))))</f>
        <v>18</v>
      </c>
      <c r="H130" s="71" t="n">
        <f aca="false">IF($C130="","",IFERROR(INDEX(商品マスタ!$G$6:$G$1005,MATCH($C130,商品マスタ!$B$6:$B$1005,0)),IFERROR(INDEX(①今日の在庫を貼る!$Q$6:$Q$10005,MATCH($C130,①今日の在庫を貼る!$I$6:$I$10005,0)),IFERROR(INDEX(月1回_前回の在庫を貼る!$Q$6:$Q$10005,MATCH($C130,月1回_前回の在庫を貼る!$I$6:$I$10005,0)),""))))</f>
        <v>1800</v>
      </c>
      <c r="I130" s="66" t="n">
        <f aca="false">IF($C130="","",IFERROR(INDEX(商品マスタ!$H$6:$H$1005,MATCH($C130,商品マスタ!$B$6:$B$1005,0)),3))</f>
        <v>3</v>
      </c>
      <c r="J130" s="66" t="n">
        <f aca="false">IF($C130="","",MAX(1,IFERROR(INDEX(商品マスタ!$I$6:$I$1005,MATCH($C130,商品マスタ!$B$6:$B$1005,0)),1)))</f>
        <v>1</v>
      </c>
      <c r="K130" s="69" t="n">
        <f aca="false">IF($C130="","",SUMIFS(①今日の在庫を貼る!$N$6:$N$10005,①今日の在庫を貼る!$B$6:$B$10005,'設定（最初に1回）'!$C$4,①今日の在庫を貼る!$I$6:$I$10005,$C130))</f>
        <v>2</v>
      </c>
      <c r="L130" s="69" t="n">
        <f aca="false">IF($C130="","",SUMIFS(月1回_前回の在庫を貼る!$N$6:$N$10005,月1回_前回の在庫を貼る!$B$6:$B$10005,'設定（最初に1回）'!$C$4,月1回_前回の在庫を貼る!$I$6:$I$10005,$C130))</f>
        <v>15</v>
      </c>
      <c r="M130" s="69" t="n">
        <f aca="false">IF($C130="","",IF(OR('設定（最初に1回）'!$C$6="",'設定（最初に1回）'!$C$7=""),0,SUMIFS(発注管理!$S$6:$S$1005,発注管理!$C$6:$C$1005,'設定（最初に1回）'!$C$4,発注管理!$F$6:$F$1005,$C130,発注管理!$R$6:$R$1005,"&gt;="&amp;'設定（最初に1回）'!$C$7,発注管理!$R$6:$R$1005,"&lt;="&amp;'設定（最初に1回）'!$C$6)))</f>
        <v>0</v>
      </c>
      <c r="N130" s="69" t="n">
        <f aca="false">IF(OR($C130="",'設定（最初に1回）'!$C$15=0),"",$L130+$M130-$K130)</f>
        <v>13</v>
      </c>
      <c r="O130" s="143" t="n">
        <f aca="false">IF(OR($N130="",'設定（最初に1回）'!$C$8="",'設定（最初に1回）'!$C$8&lt;=0),"",MAX(0,$N130)/'設定（最初に1回）'!$C$8)</f>
        <v>0.213114754098361</v>
      </c>
      <c r="P130" s="143" t="n">
        <f aca="false">IF($C130="","",IFERROR(INDEX(商品マスタ!$M$6:$N$1005,MATCH($C130,商品マスタ!$B$6:$B$1005,0),MATCH("PI値 "&amp;'設定（最初に1回）'!$C$11,商品マスタ!$M$5:$N$5,0)),""))</f>
        <v>1.2</v>
      </c>
      <c r="Q130" s="143" t="n">
        <f aca="false">IF(OR($C130="",$P130="",$P130=0,(N($I130)+N($AG130))&lt;=0),"",IFERROR(SUMIFS(随時_動員を入れる!$G$8:$G$97,随時_動員を入れる!$B$8:$B$97,"&gt;="&amp;'設定（最初に1回）'!$C$6,随時_動員を入れる!$B$8:$B$97,"&lt;="&amp;'設定（最初に1回）'!$C$6+(N($I130)+N($AG130))-1)/(N($I130)+N($AG130)),0)*$P130/100)</f>
        <v>45.6744</v>
      </c>
      <c r="R130" s="69" t="n">
        <f aca="false">IF($C130="","",SUMIFS(①今日の在庫を貼る!$O$6:$O$10005,①今日の在庫を貼る!$B$6:$B$10005,'設定（最初に1回）'!$C$4,①今日の在庫を貼る!$I$6:$I$10005,$C130))</f>
        <v>0</v>
      </c>
      <c r="S130" s="143" t="n">
        <f aca="false">IF($C130="","",IF('設定（最初に1回）'!$C$9="実績消費",N($O130),IF('設定（最初に1回）'!$C$9="PI値予測",N($Q130),MAX(N($O130),N($Q130)))))</f>
        <v>0.213114754098361</v>
      </c>
      <c r="T130" s="67" t="n">
        <f aca="false">IF(OR($S130="",$S130&lt;=0),"",$K130/$S130)</f>
        <v>9.38461538461539</v>
      </c>
      <c r="U130" s="69" t="n">
        <f aca="false">IF($S130="","",ROUNDUP(N($S130)*'設定（最初に1回）'!$C$12,0))</f>
        <v>1</v>
      </c>
      <c r="V130" s="69" t="n">
        <f aca="false">IF($C130="","",ROUNDUP(N($S130)*(N($I130)+N($AG130))+N($U130),0))</f>
        <v>4</v>
      </c>
      <c r="W130" s="69" t="n">
        <f aca="false">IF($C130="","",SUMIFS(発注管理!$L$6:$L$1005,発注管理!$C$6:$C$1005,'設定（最初に1回）'!$C$4,発注管理!$F$6:$F$1005,$C130,発注管理!$Q$6:$Q$1005,"発注済"))</f>
        <v>0</v>
      </c>
      <c r="X130" s="69" t="n">
        <f aca="false">IF($C130="","",MAX(0,N($V130)-N($K130)-N($W130)))</f>
        <v>2</v>
      </c>
      <c r="Y130" s="147" t="n">
        <f aca="false">IF($C130="","",IF(N($X130)&lt;=0,0,CEILING($X130/MAX(1,N($G130)),MAX(1,N($J130)))))</f>
        <v>1</v>
      </c>
      <c r="Z130" s="138" t="str">
        <f aca="false">IF($C130="","",IF(N($Y130)&gt;0,"要発注","正常"))</f>
        <v>要発注</v>
      </c>
      <c r="AA130" s="71" t="n">
        <f aca="false">IF($C130="","",N($K130)*N($H130))</f>
        <v>3600</v>
      </c>
      <c r="AB130" s="66" t="str">
        <f aca="false">IF($C130="","",_xlfn.TEXTJOIN(" / ",TRUE(),IF(COUNTIF(商品マスタ!$B$6:$B$1005,$C130)=0,"マスタ未登録",""),IF(COUNTIFS(月1回_前回の在庫を貼る!$B$6:$B$10005,'設定（最初に1回）'!$C$4,月1回_前回の在庫を貼る!$I$6:$I$10005,$C130)=0,"新商品",""),IF(COUNTIFS(①今日の在庫を貼る!$B$6:$B$10005,'設定（最初に1回）'!$C$4,①今日の在庫を貼る!$I$6:$I$10005,$C130)=0,"終売候補",""),IF(N($K130)&lt;0,"在庫マイナス",""),IF(AND('設定（最初に1回）'!$C$9="PI値予測",$P130=""),"PI値未設定","")))</f>
        <v/>
      </c>
      <c r="AC130" s="71" t="n">
        <f aca="false">N($Y130)*N($H130)</f>
        <v>1800</v>
      </c>
      <c r="AD130" s="66" t="str">
        <f aca="false">IF($C130="","",IFERROR(INDEX(商品マスタ!$K$6:$K$1005,MATCH($C130,商品マスタ!$B$6:$B$1005,0)),"常温"))</f>
        <v>常温</v>
      </c>
      <c r="AE130" s="69" t="n">
        <f aca="false">IF($C130="","",MAX(0,ROUNDUP(N($K130)/MAX(1,N($G130)),0)))</f>
        <v>1</v>
      </c>
      <c r="AF130" s="66" t="str">
        <f aca="false">IF($C130="","",IFERROR(INDEX(商品マスタ!$L$6:$L$1005,MATCH($C130,商品マスタ!$B$6:$B$1005,0)),""))</f>
        <v>その他常温</v>
      </c>
      <c r="AG130" s="143" t="n">
        <f aca="false">IF($C130="","",IFERROR(INDEX(定数マスタ!$S$110:$S$119,MATCH($AF130,定数マスタ!$J$110:$J$119,0)),N('設定（最初に1回）'!$C$13)))</f>
        <v>7</v>
      </c>
      <c r="AH130" s="66" t="n">
        <f aca="false">IF(AND(N($K130)&gt;0,N($Y130)&gt;0),N($Y130),0)</f>
        <v>1</v>
      </c>
    </row>
    <row r="131" customFormat="false" ht="15" hidden="false" customHeight="false" outlineLevel="0" collapsed="false">
      <c r="B131" s="66" t="n">
        <v>126</v>
      </c>
      <c r="C131" s="66" t="str">
        <f aca="false">IFERROR(IF($B131&lt;=MAX(①今日の在庫を貼る!$U$6:$U$10005),INDEX(①今日の在庫を貼る!$I$6:$I$10005,MATCH($B131,①今日の在庫を貼る!$U$6:$U$10005,0)),INDEX(月1回_前回の在庫を貼る!$I$6:$I$10005,MATCH($B131-MAX(①今日の在庫を貼る!$U$6:$U$10005),月1回_前回の在庫を貼る!$U$6:$U$10005,0))),"")</f>
        <v>1812000013237</v>
      </c>
      <c r="D131" s="66" t="str">
        <f aca="false">IF($C131="","",IFERROR(INDEX(商品マスタ!$C$6:$C$1005,MATCH($C131,商品マスタ!$B$6:$B$1005,0)),IFERROR(INDEX(①今日の在庫を貼る!$J$6:$J$10005,MATCH($C131,①今日の在庫を貼る!$I$6:$I$10005,0)),IFERROR(INDEX(月1回_前回の在庫を貼る!$J$6:$J$10005,MATCH($C131,月1回_前回の在庫を貼る!$I$6:$I$10005,0)),""))))</f>
        <v>ドラえもん　Ｐボックス　仕入</v>
      </c>
      <c r="E131" s="66" t="str">
        <f aca="false">IF($C131="","",IFERROR(INDEX(商品マスタ!$D$6:$D$1005,MATCH($C131,商品マスタ!$B$6:$B$1005,0)),IFERROR(INDEX(①今日の在庫を貼る!$H$6:$H$10005,MATCH($C131,①今日の在庫を貼る!$I$6:$I$10005,0)),IFERROR(INDEX(月1回_前回の在庫を貼る!$H$6:$H$10005,MATCH($C131,月1回_前回の在庫を貼る!$I$6:$I$10005,0)),""))))</f>
        <v>ＳＥＴ作品コンボ</v>
      </c>
      <c r="F131" s="66" t="str">
        <f aca="false">IF($C131="","",IFERROR(INDEX(商品マスタ!$E$6:$E$1005,MATCH($C131,商品マスタ!$B$6:$B$1005,0)),IFERROR(INDEX(①今日の在庫を貼る!$E$6:$E$10005,MATCH($C131,①今日の在庫を貼る!$I$6:$I$10005,0)),IFERROR(INDEX(月1回_前回の在庫を貼る!$E$6:$E$10005,MATCH($C131,月1回_前回の在庫を貼る!$I$6:$I$10005,0)),""))))</f>
        <v>㈱そごう・西武</v>
      </c>
      <c r="G131" s="69" t="n">
        <f aca="false">IF($C131="","",IFERROR(INDEX(商品マスタ!$F$6:$F$1005,MATCH($C131,商品マスタ!$B$6:$B$1005,0)),IFERROR(INDEX(①今日の在庫を貼る!$K$6:$K$10005,MATCH($C131,①今日の在庫を貼る!$I$6:$I$10005,0)),IFERROR(INDEX(月1回_前回の在庫を貼る!$K$6:$K$10005,MATCH($C131,月1回_前回の在庫を貼る!$I$6:$I$10005,0)),""))))</f>
        <v>21</v>
      </c>
      <c r="H131" s="71" t="n">
        <f aca="false">IF($C131="","",IFERROR(INDEX(商品マスタ!$G$6:$G$1005,MATCH($C131,商品マスタ!$B$6:$B$1005,0)),IFERROR(INDEX(①今日の在庫を貼る!$Q$6:$Q$10005,MATCH($C131,①今日の在庫を貼る!$I$6:$I$10005,0)),IFERROR(INDEX(月1回_前回の在庫を貼る!$Q$6:$Q$10005,MATCH($C131,月1回_前回の在庫を貼る!$I$6:$I$10005,0)),""))))</f>
        <v>680</v>
      </c>
      <c r="I131" s="66" t="n">
        <f aca="false">IF($C131="","",IFERROR(INDEX(商品マスタ!$H$6:$H$1005,MATCH($C131,商品マスタ!$B$6:$B$1005,0)),3))</f>
        <v>4</v>
      </c>
      <c r="J131" s="66" t="n">
        <f aca="false">IF($C131="","",MAX(1,IFERROR(INDEX(商品マスタ!$I$6:$I$1005,MATCH($C131,商品マスタ!$B$6:$B$1005,0)),1)))</f>
        <v>1</v>
      </c>
      <c r="K131" s="69" t="n">
        <f aca="false">IF($C131="","",SUMIFS(①今日の在庫を貼る!$N$6:$N$10005,①今日の在庫を貼る!$B$6:$B$10005,'設定（最初に1回）'!$C$4,①今日の在庫を貼る!$I$6:$I$10005,$C131))</f>
        <v>1</v>
      </c>
      <c r="L131" s="69" t="n">
        <f aca="false">IF($C131="","",SUMIFS(月1回_前回の在庫を貼る!$N$6:$N$10005,月1回_前回の在庫を貼る!$B$6:$B$10005,'設定（最初に1回）'!$C$4,月1回_前回の在庫を貼る!$I$6:$I$10005,$C131))</f>
        <v>2</v>
      </c>
      <c r="M131" s="69" t="n">
        <f aca="false">IF($C131="","",IF(OR('設定（最初に1回）'!$C$6="",'設定（最初に1回）'!$C$7=""),0,SUMIFS(発注管理!$S$6:$S$1005,発注管理!$C$6:$C$1005,'設定（最初に1回）'!$C$4,発注管理!$F$6:$F$1005,$C131,発注管理!$R$6:$R$1005,"&gt;="&amp;'設定（最初に1回）'!$C$7,発注管理!$R$6:$R$1005,"&lt;="&amp;'設定（最初に1回）'!$C$6)))</f>
        <v>0</v>
      </c>
      <c r="N131" s="69" t="n">
        <f aca="false">IF(OR($C131="",'設定（最初に1回）'!$C$15=0),"",$L131+$M131-$K131)</f>
        <v>1</v>
      </c>
      <c r="O131" s="143" t="n">
        <f aca="false">IF(OR($N131="",'設定（最初に1回）'!$C$8="",'設定（最初に1回）'!$C$8&lt;=0),"",MAX(0,$N131)/'設定（最初に1回）'!$C$8)</f>
        <v>0.0163934426229508</v>
      </c>
      <c r="P131" s="143" t="n">
        <f aca="false">IF($C131="","",IFERROR(INDEX(商品マスタ!$M$6:$N$1005,MATCH($C131,商品マスタ!$B$6:$B$1005,0),MATCH("PI値 "&amp;'設定（最初に1回）'!$C$11,商品マスタ!$M$5:$N$5,0)),""))</f>
        <v>0.7</v>
      </c>
      <c r="Q131" s="143" t="n">
        <f aca="false">IF(OR($C131="",$P131="",$P131=0,(N($I131)+N($AG131))&lt;=0),"",IFERROR(SUMIFS(随時_動員を入れる!$G$8:$G$97,随時_動員を入れる!$B$8:$B$97,"&gt;="&amp;'設定（最初に1回）'!$C$6,随時_動員を入れる!$B$8:$B$97,"&lt;="&amp;'設定（最初に1回）'!$C$6+(N($I131)+N($AG131))-1)/(N($I131)+N($AG131)),0)*$P131/100)</f>
        <v>26.1838181818182</v>
      </c>
      <c r="R131" s="69" t="n">
        <f aca="false">IF($C131="","",SUMIFS(①今日の在庫を貼る!$O$6:$O$10005,①今日の在庫を貼る!$B$6:$B$10005,'設定（最初に1回）'!$C$4,①今日の在庫を貼る!$I$6:$I$10005,$C131))</f>
        <v>0</v>
      </c>
      <c r="S131" s="143" t="n">
        <f aca="false">IF($C131="","",IF('設定（最初に1回）'!$C$9="実績消費",N($O131),IF('設定（最初に1回）'!$C$9="PI値予測",N($Q131),MAX(N($O131),N($Q131)))))</f>
        <v>0.0163934426229508</v>
      </c>
      <c r="T131" s="67" t="n">
        <f aca="false">IF(OR($S131="",$S131&lt;=0),"",$K131/$S131)</f>
        <v>61</v>
      </c>
      <c r="U131" s="69" t="n">
        <f aca="false">IF($S131="","",ROUNDUP(N($S131)*'設定（最初に1回）'!$C$12,0))</f>
        <v>1</v>
      </c>
      <c r="V131" s="69" t="n">
        <f aca="false">IF($C131="","",ROUNDUP(N($S131)*(N($I131)+N($AG131))+N($U131),0))</f>
        <v>2</v>
      </c>
      <c r="W131" s="69" t="n">
        <f aca="false">IF($C131="","",SUMIFS(発注管理!$L$6:$L$1005,発注管理!$C$6:$C$1005,'設定（最初に1回）'!$C$4,発注管理!$F$6:$F$1005,$C131,発注管理!$Q$6:$Q$1005,"発注済"))</f>
        <v>0</v>
      </c>
      <c r="X131" s="69" t="n">
        <f aca="false">IF($C131="","",MAX(0,N($V131)-N($K131)-N($W131)))</f>
        <v>1</v>
      </c>
      <c r="Y131" s="147" t="n">
        <f aca="false">IF($C131="","",IF(N($X131)&lt;=0,0,CEILING($X131/MAX(1,N($G131)),MAX(1,N($J131)))))</f>
        <v>1</v>
      </c>
      <c r="Z131" s="138" t="str">
        <f aca="false">IF($C131="","",IF(N($Y131)&gt;0,"要発注","正常"))</f>
        <v>要発注</v>
      </c>
      <c r="AA131" s="71" t="n">
        <f aca="false">IF($C131="","",N($K131)*N($H131))</f>
        <v>680</v>
      </c>
      <c r="AB131" s="66" t="str">
        <f aca="false">IF($C131="","",_xlfn.TEXTJOIN(" / ",TRUE(),IF(COUNTIF(商品マスタ!$B$6:$B$1005,$C131)=0,"マスタ未登録",""),IF(COUNTIFS(月1回_前回の在庫を貼る!$B$6:$B$10005,'設定（最初に1回）'!$C$4,月1回_前回の在庫を貼る!$I$6:$I$10005,$C131)=0,"新商品",""),IF(COUNTIFS(①今日の在庫を貼る!$B$6:$B$10005,'設定（最初に1回）'!$C$4,①今日の在庫を貼る!$I$6:$I$10005,$C131)=0,"終売候補",""),IF(N($K131)&lt;0,"在庫マイナス",""),IF(AND('設定（最初に1回）'!$C$9="PI値予測",$P131=""),"PI値未設定","")))</f>
        <v/>
      </c>
      <c r="AC131" s="71" t="n">
        <f aca="false">N($Y131)*N($H131)</f>
        <v>680</v>
      </c>
      <c r="AD131" s="66" t="str">
        <f aca="false">IF($C131="","",IFERROR(INDEX(商品マスタ!$K$6:$K$1005,MATCH($C131,商品マスタ!$B$6:$B$1005,0)),"常温"))</f>
        <v>常温</v>
      </c>
      <c r="AE131" s="69" t="n">
        <f aca="false">IF($C131="","",MAX(0,ROUNDUP(N($K131)/MAX(1,N($G131)),0)))</f>
        <v>1</v>
      </c>
      <c r="AF131" s="66" t="str">
        <f aca="false">IF($C131="","",IFERROR(INDEX(商品マスタ!$L$6:$L$1005,MATCH($C131,商品マスタ!$B$6:$B$1005,0)),""))</f>
        <v>その他常温</v>
      </c>
      <c r="AG131" s="143" t="n">
        <f aca="false">IF($C131="","",IFERROR(INDEX(定数マスタ!$S$110:$S$119,MATCH($AF131,定数マスタ!$J$110:$J$119,0)),N('設定（最初に1回）'!$C$13)))</f>
        <v>7</v>
      </c>
      <c r="AH131" s="66" t="n">
        <f aca="false">IF(AND(N($K131)&gt;0,N($Y131)&gt;0),N($Y131),0)</f>
        <v>1</v>
      </c>
    </row>
    <row r="132" customFormat="false" ht="15" hidden="false" customHeight="false" outlineLevel="0" collapsed="false">
      <c r="B132" s="66" t="n">
        <v>127</v>
      </c>
      <c r="C132" s="66" t="str">
        <f aca="false">IFERROR(IF($B132&lt;=MAX(①今日の在庫を貼る!$U$6:$U$10005),INDEX(①今日の在庫を貼る!$I$6:$I$10005,MATCH($B132,①今日の在庫を貼る!$U$6:$U$10005,0)),INDEX(月1回_前回の在庫を貼る!$I$6:$I$10005,MATCH($B132-MAX(①今日の在庫を貼る!$U$6:$U$10005),月1回_前回の在庫を貼る!$U$6:$U$10005,0))),"")</f>
        <v>1812000013268</v>
      </c>
      <c r="D132" s="66" t="str">
        <f aca="false">IF($C132="","",IFERROR(INDEX(商品マスタ!$C$6:$C$1005,MATCH($C132,商品マスタ!$B$6:$B$1005,0)),IFERROR(INDEX(①今日の在庫を貼る!$J$6:$J$10005,MATCH($C132,①今日の在庫を貼る!$I$6:$I$10005,0)),IFERROR(INDEX(月1回_前回の在庫を貼る!$J$6:$J$10005,MATCH($C132,月1回_前回の在庫を貼る!$I$6:$I$10005,0)),""))))</f>
        <v>ウィキッド　悪い魔女　ＤＣ　仕入</v>
      </c>
      <c r="E132" s="66" t="str">
        <f aca="false">IF($C132="","",IFERROR(INDEX(商品マスタ!$D$6:$D$1005,MATCH($C132,商品マスタ!$B$6:$B$1005,0)),IFERROR(INDEX(①今日の在庫を貼る!$H$6:$H$10005,MATCH($C132,①今日の在庫を貼る!$I$6:$I$10005,0)),IFERROR(INDEX(月1回_前回の在庫を貼る!$H$6:$H$10005,MATCH($C132,月1回_前回の在庫を貼る!$I$6:$I$10005,0)),""))))</f>
        <v>ＳＥＴ作品コンボ</v>
      </c>
      <c r="F132" s="66" t="str">
        <f aca="false">IF($C132="","",IFERROR(INDEX(商品マスタ!$E$6:$E$1005,MATCH($C132,商品マスタ!$B$6:$B$1005,0)),IFERROR(INDEX(①今日の在庫を貼る!$E$6:$E$10005,MATCH($C132,①今日の在庫を貼る!$I$6:$I$10005,0)),IFERROR(INDEX(月1回_前回の在庫を貼る!$E$6:$E$10005,MATCH($C132,月1回_前回の在庫を貼る!$I$6:$I$10005,0)),""))))</f>
        <v>エパックス（株）</v>
      </c>
      <c r="G132" s="69" t="n">
        <f aca="false">IF($C132="","",IFERROR(INDEX(商品マスタ!$F$6:$F$1005,MATCH($C132,商品マスタ!$B$6:$B$1005,0)),IFERROR(INDEX(①今日の在庫を貼る!$K$6:$K$10005,MATCH($C132,①今日の在庫を貼る!$I$6:$I$10005,0)),IFERROR(INDEX(月1回_前回の在庫を貼る!$K$6:$K$10005,MATCH($C132,月1回_前回の在庫を貼る!$I$6:$I$10005,0)),""))))</f>
        <v>20</v>
      </c>
      <c r="H132" s="71" t="n">
        <f aca="false">IF($C132="","",IFERROR(INDEX(商品マスタ!$G$6:$G$1005,MATCH($C132,商品マスタ!$B$6:$B$1005,0)),IFERROR(INDEX(①今日の在庫を貼る!$Q$6:$Q$10005,MATCH($C132,①今日の在庫を貼る!$I$6:$I$10005,0)),IFERROR(INDEX(月1回_前回の在庫を貼る!$Q$6:$Q$10005,MATCH($C132,月1回_前回の在庫を貼る!$I$6:$I$10005,0)),""))))</f>
        <v>650</v>
      </c>
      <c r="I132" s="66" t="n">
        <f aca="false">IF($C132="","",IFERROR(INDEX(商品マスタ!$H$6:$H$1005,MATCH($C132,商品マスタ!$B$6:$B$1005,0)),3))</f>
        <v>5</v>
      </c>
      <c r="J132" s="66" t="n">
        <f aca="false">IF($C132="","",MAX(1,IFERROR(INDEX(商品マスタ!$I$6:$I$1005,MATCH($C132,商品マスタ!$B$6:$B$1005,0)),1)))</f>
        <v>1</v>
      </c>
      <c r="K132" s="69" t="n">
        <f aca="false">IF($C132="","",SUMIFS(①今日の在庫を貼る!$N$6:$N$10005,①今日の在庫を貼る!$B$6:$B$10005,'設定（最初に1回）'!$C$4,①今日の在庫を貼る!$I$6:$I$10005,$C132))</f>
        <v>-17</v>
      </c>
      <c r="L132" s="69" t="n">
        <f aca="false">IF($C132="","",SUMIFS(月1回_前回の在庫を貼る!$N$6:$N$10005,月1回_前回の在庫を貼る!$B$6:$B$10005,'設定（最初に1回）'!$C$4,月1回_前回の在庫を貼る!$I$6:$I$10005,$C132))</f>
        <v>1</v>
      </c>
      <c r="M132" s="69" t="n">
        <f aca="false">IF($C132="","",IF(OR('設定（最初に1回）'!$C$6="",'設定（最初に1回）'!$C$7=""),0,SUMIFS(発注管理!$S$6:$S$1005,発注管理!$C$6:$C$1005,'設定（最初に1回）'!$C$4,発注管理!$F$6:$F$1005,$C132,発注管理!$R$6:$R$1005,"&gt;="&amp;'設定（最初に1回）'!$C$7,発注管理!$R$6:$R$1005,"&lt;="&amp;'設定（最初に1回）'!$C$6)))</f>
        <v>0</v>
      </c>
      <c r="N132" s="69" t="n">
        <f aca="false">IF(OR($C132="",'設定（最初に1回）'!$C$15=0),"",$L132+$M132-$K132)</f>
        <v>18</v>
      </c>
      <c r="O132" s="143" t="n">
        <f aca="false">IF(OR($N132="",'設定（最初に1回）'!$C$8="",'設定（最初に1回）'!$C$8&lt;=0),"",MAX(0,$N132)/'設定（最初に1回）'!$C$8)</f>
        <v>0.295081967213115</v>
      </c>
      <c r="P132" s="143" t="n">
        <f aca="false">IF($C132="","",IFERROR(INDEX(商品マスタ!$M$6:$N$1005,MATCH($C132,商品マスタ!$B$6:$B$1005,0),MATCH("PI値 "&amp;'設定（最初に1回）'!$C$11,商品マスタ!$M$5:$N$5,0)),""))</f>
        <v>0.6</v>
      </c>
      <c r="Q132" s="143" t="n">
        <f aca="false">IF(OR($C132="",$P132="",$P132=0,(N($I132)+N($AG132))&lt;=0),"",IFERROR(SUMIFS(随時_動員を入れる!$G$8:$G$97,随時_動員を入れる!$B$8:$B$97,"&gt;="&amp;'設定（最初に1回）'!$C$6,随時_動員を入れる!$B$8:$B$97,"&lt;="&amp;'設定（最初に1回）'!$C$6+(N($I132)+N($AG132))-1)/(N($I132)+N($AG132)),0)*$P132/100)</f>
        <v>21.2355</v>
      </c>
      <c r="R132" s="69" t="n">
        <f aca="false">IF($C132="","",SUMIFS(①今日の在庫を貼る!$O$6:$O$10005,①今日の在庫を貼る!$B$6:$B$10005,'設定（最初に1回）'!$C$4,①今日の在庫を貼る!$I$6:$I$10005,$C132))</f>
        <v>0</v>
      </c>
      <c r="S132" s="143" t="n">
        <f aca="false">IF($C132="","",IF('設定（最初に1回）'!$C$9="実績消費",N($O132),IF('設定（最初に1回）'!$C$9="PI値予測",N($Q132),MAX(N($O132),N($Q132)))))</f>
        <v>0.295081967213115</v>
      </c>
      <c r="T132" s="67" t="n">
        <f aca="false">IF(OR($S132="",$S132&lt;=0),"",$K132/$S132)</f>
        <v>-57.6111111111111</v>
      </c>
      <c r="U132" s="69" t="n">
        <f aca="false">IF($S132="","",ROUNDUP(N($S132)*'設定（最初に1回）'!$C$12,0))</f>
        <v>2</v>
      </c>
      <c r="V132" s="69" t="n">
        <f aca="false">IF($C132="","",ROUNDUP(N($S132)*(N($I132)+N($AG132))+N($U132),0))</f>
        <v>6</v>
      </c>
      <c r="W132" s="69" t="n">
        <f aca="false">IF($C132="","",SUMIFS(発注管理!$L$6:$L$1005,発注管理!$C$6:$C$1005,'設定（最初に1回）'!$C$4,発注管理!$F$6:$F$1005,$C132,発注管理!$Q$6:$Q$1005,"発注済"))</f>
        <v>0</v>
      </c>
      <c r="X132" s="69" t="n">
        <f aca="false">IF($C132="","",MAX(0,N($V132)-N($K132)-N($W132)))</f>
        <v>23</v>
      </c>
      <c r="Y132" s="147" t="n">
        <f aca="false">IF($C132="","",IF(N($X132)&lt;=0,0,CEILING($X132/MAX(1,N($G132)),MAX(1,N($J132)))))</f>
        <v>2</v>
      </c>
      <c r="Z132" s="138" t="str">
        <f aca="false">IF($C132="","",IF(N($Y132)&gt;0,"要発注","正常"))</f>
        <v>要発注</v>
      </c>
      <c r="AA132" s="71" t="n">
        <f aca="false">IF($C132="","",N($K132)*N($H132))</f>
        <v>-11050</v>
      </c>
      <c r="AB132" s="66" t="str">
        <f aca="false">IF($C132="","",_xlfn.TEXTJOIN(" / ",TRUE(),IF(COUNTIF(商品マスタ!$B$6:$B$1005,$C132)=0,"マスタ未登録",""),IF(COUNTIFS(月1回_前回の在庫を貼る!$B$6:$B$10005,'設定（最初に1回）'!$C$4,月1回_前回の在庫を貼る!$I$6:$I$10005,$C132)=0,"新商品",""),IF(COUNTIFS(①今日の在庫を貼る!$B$6:$B$10005,'設定（最初に1回）'!$C$4,①今日の在庫を貼る!$I$6:$I$10005,$C132)=0,"終売候補",""),IF(N($K132)&lt;0,"在庫マイナス",""),IF(AND('設定（最初に1回）'!$C$9="PI値予測",$P132=""),"PI値未設定","")))</f>
        <v>在庫マイナス</v>
      </c>
      <c r="AC132" s="71" t="n">
        <f aca="false">N($Y132)*N($H132)</f>
        <v>1300</v>
      </c>
      <c r="AD132" s="66" t="str">
        <f aca="false">IF($C132="","",IFERROR(INDEX(商品マスタ!$K$6:$K$1005,MATCH($C132,商品マスタ!$B$6:$B$1005,0)),"常温"))</f>
        <v>常温</v>
      </c>
      <c r="AE132" s="69" t="n">
        <f aca="false">IF($C132="","",MAX(0,ROUNDUP(N($K132)/MAX(1,N($G132)),0)))</f>
        <v>0</v>
      </c>
      <c r="AF132" s="66" t="str">
        <f aca="false">IF($C132="","",IFERROR(INDEX(商品マスタ!$L$6:$L$1005,MATCH($C132,商品マスタ!$B$6:$B$1005,0)),""))</f>
        <v>その他常温</v>
      </c>
      <c r="AG132" s="143" t="n">
        <f aca="false">IF($C132="","",IFERROR(INDEX(定数マスタ!$S$110:$S$119,MATCH($AF132,定数マスタ!$J$110:$J$119,0)),N('設定（最初に1回）'!$C$13)))</f>
        <v>7</v>
      </c>
      <c r="AH132" s="66" t="n">
        <f aca="false">IF(AND(N($K132)&gt;0,N($Y132)&gt;0),N($Y132),0)</f>
        <v>0</v>
      </c>
    </row>
    <row r="133" customFormat="false" ht="15" hidden="false" customHeight="false" outlineLevel="0" collapsed="false">
      <c r="B133" s="66" t="n">
        <v>128</v>
      </c>
      <c r="C133" s="66" t="str">
        <f aca="false">IFERROR(IF($B133&lt;=MAX(①今日の在庫を貼る!$U$6:$U$10005),INDEX(①今日の在庫を貼る!$I$6:$I$10005,MATCH($B133,①今日の在庫を貼る!$U$6:$U$10005,0)),INDEX(月1回_前回の在庫を貼る!$I$6:$I$10005,MATCH($B133-MAX(①今日の在庫を貼る!$U$6:$U$10005),月1回_前回の在庫を貼る!$U$6:$U$10005,0))),"")</f>
        <v>1812000013466</v>
      </c>
      <c r="D133" s="66" t="str">
        <f aca="false">IF($C133="","",IFERROR(INDEX(商品マスタ!$C$6:$C$1005,MATCH($C133,商品マスタ!$B$6:$B$1005,0)),IFERROR(INDEX(①今日の在庫を貼る!$J$6:$J$10005,MATCH($C133,①今日の在庫を貼る!$I$6:$I$10005,0)),IFERROR(INDEX(月1回_前回の在庫を貼る!$J$6:$J$10005,MATCH($C133,月1回_前回の在庫を貼る!$I$6:$I$10005,0)),""))))</f>
        <v>マリオ　Ｄカップ　マリオ　仕入</v>
      </c>
      <c r="E133" s="66" t="str">
        <f aca="false">IF($C133="","",IFERROR(INDEX(商品マスタ!$D$6:$D$1005,MATCH($C133,商品マスタ!$B$6:$B$1005,0)),IFERROR(INDEX(①今日の在庫を貼る!$H$6:$H$10005,MATCH($C133,①今日の在庫を貼る!$I$6:$I$10005,0)),IFERROR(INDEX(月1回_前回の在庫を貼る!$H$6:$H$10005,MATCH($C133,月1回_前回の在庫を貼る!$I$6:$I$10005,0)),""))))</f>
        <v>ＳＥＴ作品コンボ</v>
      </c>
      <c r="F133" s="66" t="str">
        <f aca="false">IF($C133="","",IFERROR(INDEX(商品マスタ!$E$6:$E$1005,MATCH($C133,商品マスタ!$B$6:$B$1005,0)),IFERROR(INDEX(①今日の在庫を貼る!$E$6:$E$10005,MATCH($C133,①今日の在庫を貼る!$I$6:$I$10005,0)),IFERROR(INDEX(月1回_前回の在庫を貼る!$E$6:$E$10005,MATCH($C133,月1回_前回の在庫を貼る!$I$6:$I$10005,0)),""))))</f>
        <v>エパックス（株）</v>
      </c>
      <c r="G133" s="69" t="n">
        <f aca="false">IF($C133="","",IFERROR(INDEX(商品マスタ!$F$6:$F$1005,MATCH($C133,商品マスタ!$B$6:$B$1005,0)),IFERROR(INDEX(①今日の在庫を貼る!$K$6:$K$10005,MATCH($C133,①今日の在庫を貼る!$I$6:$I$10005,0)),IFERROR(INDEX(月1回_前回の在庫を貼る!$K$6:$K$10005,MATCH($C133,月1回_前回の在庫を貼る!$I$6:$I$10005,0)),""))))</f>
        <v>30</v>
      </c>
      <c r="H133" s="71" t="n">
        <f aca="false">IF($C133="","",IFERROR(INDEX(商品マスタ!$G$6:$G$1005,MATCH($C133,商品マスタ!$B$6:$B$1005,0)),IFERROR(INDEX(①今日の在庫を貼る!$Q$6:$Q$10005,MATCH($C133,①今日の在庫を貼る!$I$6:$I$10005,0)),IFERROR(INDEX(月1回_前回の在庫を貼る!$Q$6:$Q$10005,MATCH($C133,月1回_前回の在庫を貼る!$I$6:$I$10005,0)),""))))</f>
        <v>750</v>
      </c>
      <c r="I133" s="66" t="n">
        <f aca="false">IF($C133="","",IFERROR(INDEX(商品マスタ!$H$6:$H$1005,MATCH($C133,商品マスタ!$B$6:$B$1005,0)),3))</f>
        <v>3</v>
      </c>
      <c r="J133" s="66" t="n">
        <f aca="false">IF($C133="","",MAX(1,IFERROR(INDEX(商品マスタ!$I$6:$I$1005,MATCH($C133,商品マスタ!$B$6:$B$1005,0)),1)))</f>
        <v>1</v>
      </c>
      <c r="K133" s="69" t="n">
        <f aca="false">IF($C133="","",SUMIFS(①今日の在庫を貼る!$N$6:$N$10005,①今日の在庫を貼る!$B$6:$B$10005,'設定（最初に1回）'!$C$4,①今日の在庫を貼る!$I$6:$I$10005,$C133))</f>
        <v>332</v>
      </c>
      <c r="L133" s="69" t="n">
        <f aca="false">IF($C133="","",SUMIFS(月1回_前回の在庫を貼る!$N$6:$N$10005,月1回_前回の在庫を貼る!$B$6:$B$10005,'設定（最初に1回）'!$C$4,月1回_前回の在庫を貼る!$I$6:$I$10005,$C133))</f>
        <v>609</v>
      </c>
      <c r="M133" s="69" t="n">
        <f aca="false">IF($C133="","",IF(OR('設定（最初に1回）'!$C$6="",'設定（最初に1回）'!$C$7=""),0,SUMIFS(発注管理!$S$6:$S$1005,発注管理!$C$6:$C$1005,'設定（最初に1回）'!$C$4,発注管理!$F$6:$F$1005,$C133,発注管理!$R$6:$R$1005,"&gt;="&amp;'設定（最初に1回）'!$C$7,発注管理!$R$6:$R$1005,"&lt;="&amp;'設定（最初に1回）'!$C$6)))</f>
        <v>0</v>
      </c>
      <c r="N133" s="69" t="n">
        <f aca="false">IF(OR($C133="",'設定（最初に1回）'!$C$15=0),"",$L133+$M133-$K133)</f>
        <v>277</v>
      </c>
      <c r="O133" s="143" t="n">
        <f aca="false">IF(OR($N133="",'設定（最初に1回）'!$C$8="",'設定（最初に1回）'!$C$8&lt;=0),"",MAX(0,$N133)/'設定（最初に1回）'!$C$8)</f>
        <v>4.54098360655738</v>
      </c>
      <c r="P133" s="143" t="n">
        <f aca="false">IF($C133="","",IFERROR(INDEX(商品マスタ!$M$6:$N$1005,MATCH($C133,商品マスタ!$B$6:$B$1005,0),MATCH("PI値 "&amp;'設定（最初に1回）'!$C$11,商品マスタ!$M$5:$N$5,0)),""))</f>
        <v>0.6</v>
      </c>
      <c r="Q133" s="143" t="n">
        <f aca="false">IF(OR($C133="",$P133="",$P133=0,(N($I133)+N($AG133))&lt;=0),"",IFERROR(SUMIFS(随時_動員を入れる!$G$8:$G$97,随時_動員を入れる!$B$8:$B$97,"&gt;="&amp;'設定（最初に1回）'!$C$6,随時_動員を入れる!$B$8:$B$97,"&lt;="&amp;'設定（最初に1回）'!$C$6+(N($I133)+N($AG133))-1)/(N($I133)+N($AG133)),0)*$P133/100)</f>
        <v>22.8372</v>
      </c>
      <c r="R133" s="69" t="n">
        <f aca="false">IF($C133="","",SUMIFS(①今日の在庫を貼る!$O$6:$O$10005,①今日の在庫を貼る!$B$6:$B$10005,'設定（最初に1回）'!$C$4,①今日の在庫を貼る!$I$6:$I$10005,$C133))</f>
        <v>0</v>
      </c>
      <c r="S133" s="143" t="n">
        <f aca="false">IF($C133="","",IF('設定（最初に1回）'!$C$9="実績消費",N($O133),IF('設定（最初に1回）'!$C$9="PI値予測",N($Q133),MAX(N($O133),N($Q133)))))</f>
        <v>4.54098360655738</v>
      </c>
      <c r="T133" s="67" t="n">
        <f aca="false">IF(OR($S133="",$S133&lt;=0),"",$K133/$S133)</f>
        <v>73.1119133574007</v>
      </c>
      <c r="U133" s="69" t="n">
        <f aca="false">IF($S133="","",ROUNDUP(N($S133)*'設定（最初に1回）'!$C$12,0))</f>
        <v>19</v>
      </c>
      <c r="V133" s="69" t="n">
        <f aca="false">IF($C133="","",ROUNDUP(N($S133)*(N($I133)+N($AG133))+N($U133),0))</f>
        <v>65</v>
      </c>
      <c r="W133" s="69" t="n">
        <f aca="false">IF($C133="","",SUMIFS(発注管理!$L$6:$L$1005,発注管理!$C$6:$C$1005,'設定（最初に1回）'!$C$4,発注管理!$F$6:$F$1005,$C133,発注管理!$Q$6:$Q$1005,"発注済"))</f>
        <v>0</v>
      </c>
      <c r="X133" s="69" t="n">
        <f aca="false">IF($C133="","",MAX(0,N($V133)-N($K133)-N($W133)))</f>
        <v>0</v>
      </c>
      <c r="Y133" s="147" t="n">
        <f aca="false">IF($C133="","",IF(N($X133)&lt;=0,0,CEILING($X133/MAX(1,N($G133)),MAX(1,N($J133)))))</f>
        <v>0</v>
      </c>
      <c r="Z133" s="138" t="str">
        <f aca="false">IF($C133="","",IF(N($Y133)&gt;0,"要発注","正常"))</f>
        <v>正常</v>
      </c>
      <c r="AA133" s="71" t="n">
        <f aca="false">IF($C133="","",N($K133)*N($H133))</f>
        <v>249000</v>
      </c>
      <c r="AB133" s="66" t="str">
        <f aca="false">IF($C133="","",_xlfn.TEXTJOIN(" / ",TRUE(),IF(COUNTIF(商品マスタ!$B$6:$B$1005,$C133)=0,"マスタ未登録",""),IF(COUNTIFS(月1回_前回の在庫を貼る!$B$6:$B$10005,'設定（最初に1回）'!$C$4,月1回_前回の在庫を貼る!$I$6:$I$10005,$C133)=0,"新商品",""),IF(COUNTIFS(①今日の在庫を貼る!$B$6:$B$10005,'設定（最初に1回）'!$C$4,①今日の在庫を貼る!$I$6:$I$10005,$C133)=0,"終売候補",""),IF(N($K133)&lt;0,"在庫マイナス",""),IF(AND('設定（最初に1回）'!$C$9="PI値予測",$P133=""),"PI値未設定","")))</f>
        <v/>
      </c>
      <c r="AC133" s="71" t="n">
        <f aca="false">N($Y133)*N($H133)</f>
        <v>0</v>
      </c>
      <c r="AD133" s="66" t="str">
        <f aca="false">IF($C133="","",IFERROR(INDEX(商品マスタ!$K$6:$K$1005,MATCH($C133,商品マスタ!$B$6:$B$1005,0)),"常温"))</f>
        <v>常温</v>
      </c>
      <c r="AE133" s="69" t="n">
        <f aca="false">IF($C133="","",MAX(0,ROUNDUP(N($K133)/MAX(1,N($G133)),0)))</f>
        <v>12</v>
      </c>
      <c r="AF133" s="66" t="str">
        <f aca="false">IF($C133="","",IFERROR(INDEX(商品マスタ!$L$6:$L$1005,MATCH($C133,商品マスタ!$B$6:$B$1005,0)),""))</f>
        <v>その他常温</v>
      </c>
      <c r="AG133" s="143" t="n">
        <f aca="false">IF($C133="","",IFERROR(INDEX(定数マスタ!$S$110:$S$119,MATCH($AF133,定数マスタ!$J$110:$J$119,0)),N('設定（最初に1回）'!$C$13)))</f>
        <v>7</v>
      </c>
      <c r="AH133" s="66" t="n">
        <f aca="false">IF(AND(N($K133)&gt;0,N($Y133)&gt;0),N($Y133),0)</f>
        <v>0</v>
      </c>
    </row>
    <row r="134" customFormat="false" ht="15" hidden="false" customHeight="false" outlineLevel="0" collapsed="false">
      <c r="B134" s="66" t="n">
        <v>129</v>
      </c>
      <c r="C134" s="66" t="str">
        <f aca="false">IFERROR(IF($B134&lt;=MAX(①今日の在庫を貼る!$U$6:$U$10005),INDEX(①今日の在庫を貼る!$I$6:$I$10005,MATCH($B134,①今日の在庫を貼る!$U$6:$U$10005,0)),INDEX(月1回_前回の在庫を貼る!$I$6:$I$10005,MATCH($B134-MAX(①今日の在庫を貼る!$U$6:$U$10005),月1回_前回の在庫を貼る!$U$6:$U$10005,0))),"")</f>
        <v>1812000013473</v>
      </c>
      <c r="D134" s="66" t="str">
        <f aca="false">IF($C134="","",IFERROR(INDEX(商品マスタ!$C$6:$C$1005,MATCH($C134,商品マスタ!$B$6:$B$1005,0)),IFERROR(INDEX(①今日の在庫を貼る!$J$6:$J$10005,MATCH($C134,①今日の在庫を貼る!$I$6:$I$10005,0)),IFERROR(INDEX(月1回_前回の在庫を貼る!$J$6:$J$10005,MATCH($C134,月1回_前回の在庫を貼る!$I$6:$I$10005,0)),""))))</f>
        <v>マリオ　Ｄカップ　ルイージ　仕入</v>
      </c>
      <c r="E134" s="66" t="str">
        <f aca="false">IF($C134="","",IFERROR(INDEX(商品マスタ!$D$6:$D$1005,MATCH($C134,商品マスタ!$B$6:$B$1005,0)),IFERROR(INDEX(①今日の在庫を貼る!$H$6:$H$10005,MATCH($C134,①今日の在庫を貼る!$I$6:$I$10005,0)),IFERROR(INDEX(月1回_前回の在庫を貼る!$H$6:$H$10005,MATCH($C134,月1回_前回の在庫を貼る!$I$6:$I$10005,0)),""))))</f>
        <v>ＳＥＴ作品コンボ</v>
      </c>
      <c r="F134" s="66" t="str">
        <f aca="false">IF($C134="","",IFERROR(INDEX(商品マスタ!$E$6:$E$1005,MATCH($C134,商品マスタ!$B$6:$B$1005,0)),IFERROR(INDEX(①今日の在庫を貼る!$E$6:$E$10005,MATCH($C134,①今日の在庫を貼る!$I$6:$I$10005,0)),IFERROR(INDEX(月1回_前回の在庫を貼る!$E$6:$E$10005,MATCH($C134,月1回_前回の在庫を貼る!$I$6:$I$10005,0)),""))))</f>
        <v>エパックス（株）</v>
      </c>
      <c r="G134" s="69" t="n">
        <f aca="false">IF($C134="","",IFERROR(INDEX(商品マスタ!$F$6:$F$1005,MATCH($C134,商品マスタ!$B$6:$B$1005,0)),IFERROR(INDEX(①今日の在庫を貼る!$K$6:$K$10005,MATCH($C134,①今日の在庫を貼る!$I$6:$I$10005,0)),IFERROR(INDEX(月1回_前回の在庫を貼る!$K$6:$K$10005,MATCH($C134,月1回_前回の在庫を貼る!$I$6:$I$10005,0)),""))))</f>
        <v>10</v>
      </c>
      <c r="H134" s="71" t="n">
        <f aca="false">IF($C134="","",IFERROR(INDEX(商品マスタ!$G$6:$G$1005,MATCH($C134,商品マスタ!$B$6:$B$1005,0)),IFERROR(INDEX(①今日の在庫を貼る!$Q$6:$Q$10005,MATCH($C134,①今日の在庫を貼る!$I$6:$I$10005,0)),IFERROR(INDEX(月1回_前回の在庫を貼る!$Q$6:$Q$10005,MATCH($C134,月1回_前回の在庫を貼る!$I$6:$I$10005,0)),""))))</f>
        <v>750</v>
      </c>
      <c r="I134" s="66" t="n">
        <f aca="false">IF($C134="","",IFERROR(INDEX(商品マスタ!$H$6:$H$1005,MATCH($C134,商品マスタ!$B$6:$B$1005,0)),3))</f>
        <v>3</v>
      </c>
      <c r="J134" s="66" t="n">
        <f aca="false">IF($C134="","",MAX(1,IFERROR(INDEX(商品マスタ!$I$6:$I$1005,MATCH($C134,商品マスタ!$B$6:$B$1005,0)),1)))</f>
        <v>1</v>
      </c>
      <c r="K134" s="69" t="n">
        <f aca="false">IF($C134="","",SUMIFS(①今日の在庫を貼る!$N$6:$N$10005,①今日の在庫を貼る!$B$6:$B$10005,'設定（最初に1回）'!$C$4,①今日の在庫を貼る!$I$6:$I$10005,$C134))</f>
        <v>239</v>
      </c>
      <c r="L134" s="69" t="n">
        <f aca="false">IF($C134="","",SUMIFS(月1回_前回の在庫を貼る!$N$6:$N$10005,月1回_前回の在庫を貼る!$B$6:$B$10005,'設定（最初に1回）'!$C$4,月1回_前回の在庫を貼る!$I$6:$I$10005,$C134))</f>
        <v>329</v>
      </c>
      <c r="M134" s="69" t="n">
        <f aca="false">IF($C134="","",IF(OR('設定（最初に1回）'!$C$6="",'設定（最初に1回）'!$C$7=""),0,SUMIFS(発注管理!$S$6:$S$1005,発注管理!$C$6:$C$1005,'設定（最初に1回）'!$C$4,発注管理!$F$6:$F$1005,$C134,発注管理!$R$6:$R$1005,"&gt;="&amp;'設定（最初に1回）'!$C$7,発注管理!$R$6:$R$1005,"&lt;="&amp;'設定（最初に1回）'!$C$6)))</f>
        <v>0</v>
      </c>
      <c r="N134" s="69" t="n">
        <f aca="false">IF(OR($C134="",'設定（最初に1回）'!$C$15=0),"",$L134+$M134-$K134)</f>
        <v>90</v>
      </c>
      <c r="O134" s="143" t="n">
        <f aca="false">IF(OR($N134="",'設定（最初に1回）'!$C$8="",'設定（最初に1回）'!$C$8&lt;=0),"",MAX(0,$N134)/'設定（最初に1回）'!$C$8)</f>
        <v>1.47540983606557</v>
      </c>
      <c r="P134" s="143" t="n">
        <f aca="false">IF($C134="","",IFERROR(INDEX(商品マスタ!$M$6:$N$1005,MATCH($C134,商品マスタ!$B$6:$B$1005,0),MATCH("PI値 "&amp;'設定（最初に1回）'!$C$11,商品マスタ!$M$5:$N$5,0)),""))</f>
        <v>0.8</v>
      </c>
      <c r="Q134" s="143" t="n">
        <f aca="false">IF(OR($C134="",$P134="",$P134=0,(N($I134)+N($AG134))&lt;=0),"",IFERROR(SUMIFS(随時_動員を入れる!$G$8:$G$97,随時_動員を入れる!$B$8:$B$97,"&gt;="&amp;'設定（最初に1回）'!$C$6,随時_動員を入れる!$B$8:$B$97,"&lt;="&amp;'設定（最初に1回）'!$C$6+(N($I134)+N($AG134))-1)/(N($I134)+N($AG134)),0)*$P134/100)</f>
        <v>30.4496</v>
      </c>
      <c r="R134" s="69" t="n">
        <f aca="false">IF($C134="","",SUMIFS(①今日の在庫を貼る!$O$6:$O$10005,①今日の在庫を貼る!$B$6:$B$10005,'設定（最初に1回）'!$C$4,①今日の在庫を貼る!$I$6:$I$10005,$C134))</f>
        <v>0</v>
      </c>
      <c r="S134" s="143" t="n">
        <f aca="false">IF($C134="","",IF('設定（最初に1回）'!$C$9="実績消費",N($O134),IF('設定（最初に1回）'!$C$9="PI値予測",N($Q134),MAX(N($O134),N($Q134)))))</f>
        <v>1.47540983606557</v>
      </c>
      <c r="T134" s="67" t="n">
        <f aca="false">IF(OR($S134="",$S134&lt;=0),"",$K134/$S134)</f>
        <v>161.988888888889</v>
      </c>
      <c r="U134" s="69" t="n">
        <f aca="false">IF($S134="","",ROUNDUP(N($S134)*'設定（最初に1回）'!$C$12,0))</f>
        <v>6</v>
      </c>
      <c r="V134" s="69" t="n">
        <f aca="false">IF($C134="","",ROUNDUP(N($S134)*(N($I134)+N($AG134))+N($U134),0))</f>
        <v>21</v>
      </c>
      <c r="W134" s="69" t="n">
        <f aca="false">IF($C134="","",SUMIFS(発注管理!$L$6:$L$1005,発注管理!$C$6:$C$1005,'設定（最初に1回）'!$C$4,発注管理!$F$6:$F$1005,$C134,発注管理!$Q$6:$Q$1005,"発注済"))</f>
        <v>0</v>
      </c>
      <c r="X134" s="69" t="n">
        <f aca="false">IF($C134="","",MAX(0,N($V134)-N($K134)-N($W134)))</f>
        <v>0</v>
      </c>
      <c r="Y134" s="147" t="n">
        <f aca="false">IF($C134="","",IF(N($X134)&lt;=0,0,CEILING($X134/MAX(1,N($G134)),MAX(1,N($J134)))))</f>
        <v>0</v>
      </c>
      <c r="Z134" s="138" t="str">
        <f aca="false">IF($C134="","",IF(N($Y134)&gt;0,"要発注","正常"))</f>
        <v>正常</v>
      </c>
      <c r="AA134" s="71" t="n">
        <f aca="false">IF($C134="","",N($K134)*N($H134))</f>
        <v>179250</v>
      </c>
      <c r="AB134" s="66" t="str">
        <f aca="false">IF($C134="","",_xlfn.TEXTJOIN(" / ",TRUE(),IF(COUNTIF(商品マスタ!$B$6:$B$1005,$C134)=0,"マスタ未登録",""),IF(COUNTIFS(月1回_前回の在庫を貼る!$B$6:$B$10005,'設定（最初に1回）'!$C$4,月1回_前回の在庫を貼る!$I$6:$I$10005,$C134)=0,"新商品",""),IF(COUNTIFS(①今日の在庫を貼る!$B$6:$B$10005,'設定（最初に1回）'!$C$4,①今日の在庫を貼る!$I$6:$I$10005,$C134)=0,"終売候補",""),IF(N($K134)&lt;0,"在庫マイナス",""),IF(AND('設定（最初に1回）'!$C$9="PI値予測",$P134=""),"PI値未設定","")))</f>
        <v/>
      </c>
      <c r="AC134" s="71" t="n">
        <f aca="false">N($Y134)*N($H134)</f>
        <v>0</v>
      </c>
      <c r="AD134" s="66" t="str">
        <f aca="false">IF($C134="","",IFERROR(INDEX(商品マスタ!$K$6:$K$1005,MATCH($C134,商品マスタ!$B$6:$B$1005,0)),"常温"))</f>
        <v>常温</v>
      </c>
      <c r="AE134" s="69" t="n">
        <f aca="false">IF($C134="","",MAX(0,ROUNDUP(N($K134)/MAX(1,N($G134)),0)))</f>
        <v>24</v>
      </c>
      <c r="AF134" s="66" t="str">
        <f aca="false">IF($C134="","",IFERROR(INDEX(商品マスタ!$L$6:$L$1005,MATCH($C134,商品マスタ!$B$6:$B$1005,0)),""))</f>
        <v>その他常温</v>
      </c>
      <c r="AG134" s="143" t="n">
        <f aca="false">IF($C134="","",IFERROR(INDEX(定数マスタ!$S$110:$S$119,MATCH($AF134,定数マスタ!$J$110:$J$119,0)),N('設定（最初に1回）'!$C$13)))</f>
        <v>7</v>
      </c>
      <c r="AH134" s="66" t="n">
        <f aca="false">IF(AND(N($K134)&gt;0,N($Y134)&gt;0),N($Y134),0)</f>
        <v>0</v>
      </c>
    </row>
    <row r="135" customFormat="false" ht="15" hidden="false" customHeight="false" outlineLevel="0" collapsed="false">
      <c r="B135" s="66" t="n">
        <v>130</v>
      </c>
      <c r="C135" s="66" t="str">
        <f aca="false">IFERROR(IF($B135&lt;=MAX(①今日の在庫を貼る!$U$6:$U$10005),INDEX(①今日の在庫を貼る!$I$6:$I$10005,MATCH($B135,①今日の在庫を貼る!$U$6:$U$10005,0)),INDEX(月1回_前回の在庫を貼る!$I$6:$I$10005,MATCH($B135-MAX(①今日の在庫を貼る!$U$6:$U$10005),月1回_前回の在庫を貼る!$U$6:$U$10005,0))),"")</f>
        <v>1812000013480</v>
      </c>
      <c r="D135" s="66" t="str">
        <f aca="false">IF($C135="","",IFERROR(INDEX(商品マスタ!$C$6:$C$1005,MATCH($C135,商品マスタ!$B$6:$B$1005,0)),IFERROR(INDEX(①今日の在庫を貼る!$J$6:$J$10005,MATCH($C135,①今日の在庫を貼る!$I$6:$I$10005,0)),IFERROR(INDEX(月1回_前回の在庫を貼る!$J$6:$J$10005,MATCH($C135,月1回_前回の在庫を貼る!$I$6:$I$10005,0)),""))))</f>
        <v>マリオ　Ｄカップ　ヨッシー　仕入</v>
      </c>
      <c r="E135" s="66" t="str">
        <f aca="false">IF($C135="","",IFERROR(INDEX(商品マスタ!$D$6:$D$1005,MATCH($C135,商品マスタ!$B$6:$B$1005,0)),IFERROR(INDEX(①今日の在庫を貼る!$H$6:$H$10005,MATCH($C135,①今日の在庫を貼る!$I$6:$I$10005,0)),IFERROR(INDEX(月1回_前回の在庫を貼る!$H$6:$H$10005,MATCH($C135,月1回_前回の在庫を貼る!$I$6:$I$10005,0)),""))))</f>
        <v>ＳＥＴ作品コンボ</v>
      </c>
      <c r="F135" s="66" t="str">
        <f aca="false">IF($C135="","",IFERROR(INDEX(商品マスタ!$E$6:$E$1005,MATCH($C135,商品マスタ!$B$6:$B$1005,0)),IFERROR(INDEX(①今日の在庫を貼る!$E$6:$E$10005,MATCH($C135,①今日の在庫を貼る!$I$6:$I$10005,0)),IFERROR(INDEX(月1回_前回の在庫を貼る!$E$6:$E$10005,MATCH($C135,月1回_前回の在庫を貼る!$I$6:$I$10005,0)),""))))</f>
        <v>エパックス（株）</v>
      </c>
      <c r="G135" s="69" t="n">
        <f aca="false">IF($C135="","",IFERROR(INDEX(商品マスタ!$F$6:$F$1005,MATCH($C135,商品マスタ!$B$6:$B$1005,0)),IFERROR(INDEX(①今日の在庫を貼る!$K$6:$K$10005,MATCH($C135,①今日の在庫を貼る!$I$6:$I$10005,0)),IFERROR(INDEX(月1回_前回の在庫を貼る!$K$6:$K$10005,MATCH($C135,月1回_前回の在庫を貼る!$I$6:$I$10005,0)),""))))</f>
        <v>20</v>
      </c>
      <c r="H135" s="71" t="n">
        <f aca="false">IF($C135="","",IFERROR(INDEX(商品マスタ!$G$6:$G$1005,MATCH($C135,商品マスタ!$B$6:$B$1005,0)),IFERROR(INDEX(①今日の在庫を貼る!$Q$6:$Q$10005,MATCH($C135,①今日の在庫を貼る!$I$6:$I$10005,0)),IFERROR(INDEX(月1回_前回の在庫を貼る!$Q$6:$Q$10005,MATCH($C135,月1回_前回の在庫を貼る!$I$6:$I$10005,0)),""))))</f>
        <v>750</v>
      </c>
      <c r="I135" s="66" t="n">
        <f aca="false">IF($C135="","",IFERROR(INDEX(商品マスタ!$H$6:$H$1005,MATCH($C135,商品マスタ!$B$6:$B$1005,0)),3))</f>
        <v>3</v>
      </c>
      <c r="J135" s="66" t="n">
        <f aca="false">IF($C135="","",MAX(1,IFERROR(INDEX(商品マスタ!$I$6:$I$1005,MATCH($C135,商品マスタ!$B$6:$B$1005,0)),1)))</f>
        <v>5</v>
      </c>
      <c r="K135" s="69" t="n">
        <f aca="false">IF($C135="","",SUMIFS(①今日の在庫を貼る!$N$6:$N$10005,①今日の在庫を貼る!$B$6:$B$10005,'設定（最初に1回）'!$C$4,①今日の在庫を貼る!$I$6:$I$10005,$C135))</f>
        <v>-16</v>
      </c>
      <c r="L135" s="69" t="n">
        <f aca="false">IF($C135="","",SUMIFS(月1回_前回の在庫を貼る!$N$6:$N$10005,月1回_前回の在庫を貼る!$B$6:$B$10005,'設定（最初に1回）'!$C$4,月1回_前回の在庫を貼る!$I$6:$I$10005,$C135))</f>
        <v>267</v>
      </c>
      <c r="M135" s="69" t="n">
        <f aca="false">IF($C135="","",IF(OR('設定（最初に1回）'!$C$6="",'設定（最初に1回）'!$C$7=""),0,SUMIFS(発注管理!$S$6:$S$1005,発注管理!$C$6:$C$1005,'設定（最初に1回）'!$C$4,発注管理!$F$6:$F$1005,$C135,発注管理!$R$6:$R$1005,"&gt;="&amp;'設定（最初に1回）'!$C$7,発注管理!$R$6:$R$1005,"&lt;="&amp;'設定（最初に1回）'!$C$6)))</f>
        <v>0</v>
      </c>
      <c r="N135" s="69" t="n">
        <f aca="false">IF(OR($C135="",'設定（最初に1回）'!$C$15=0),"",$L135+$M135-$K135)</f>
        <v>283</v>
      </c>
      <c r="O135" s="143" t="n">
        <f aca="false">IF(OR($N135="",'設定（最初に1回）'!$C$8="",'設定（最初に1回）'!$C$8&lt;=0),"",MAX(0,$N135)/'設定（最初に1回）'!$C$8)</f>
        <v>4.63934426229508</v>
      </c>
      <c r="P135" s="143" t="n">
        <f aca="false">IF($C135="","",IFERROR(INDEX(商品マスタ!$M$6:$N$1005,MATCH($C135,商品マスタ!$B$6:$B$1005,0),MATCH("PI値 "&amp;'設定（最初に1回）'!$C$11,商品マスタ!$M$5:$N$5,0)),""))</f>
        <v>1.3</v>
      </c>
      <c r="Q135" s="143" t="n">
        <f aca="false">IF(OR($C135="",$P135="",$P135=0,(N($I135)+N($AG135))&lt;=0),"",IFERROR(SUMIFS(随時_動員を入れる!$G$8:$G$97,随時_動員を入れる!$B$8:$B$97,"&gt;="&amp;'設定（最初に1回）'!$C$6,随時_動員を入れる!$B$8:$B$97,"&lt;="&amp;'設定（最初に1回）'!$C$6+(N($I135)+N($AG135))-1)/(N($I135)+N($AG135)),0)*$P135/100)</f>
        <v>49.4806</v>
      </c>
      <c r="R135" s="69" t="n">
        <f aca="false">IF($C135="","",SUMIFS(①今日の在庫を貼る!$O$6:$O$10005,①今日の在庫を貼る!$B$6:$B$10005,'設定（最初に1回）'!$C$4,①今日の在庫を貼る!$I$6:$I$10005,$C135))</f>
        <v>0</v>
      </c>
      <c r="S135" s="143" t="n">
        <f aca="false">IF($C135="","",IF('設定（最初に1回）'!$C$9="実績消費",N($O135),IF('設定（最初に1回）'!$C$9="PI値予測",N($Q135),MAX(N($O135),N($Q135)))))</f>
        <v>4.63934426229508</v>
      </c>
      <c r="T135" s="67" t="n">
        <f aca="false">IF(OR($S135="",$S135&lt;=0),"",$K135/$S135)</f>
        <v>-3.44876325088339</v>
      </c>
      <c r="U135" s="69" t="n">
        <f aca="false">IF($S135="","",ROUNDUP(N($S135)*'設定（最初に1回）'!$C$12,0))</f>
        <v>19</v>
      </c>
      <c r="V135" s="69" t="n">
        <f aca="false">IF($C135="","",ROUNDUP(N($S135)*(N($I135)+N($AG135))+N($U135),0))</f>
        <v>66</v>
      </c>
      <c r="W135" s="69" t="n">
        <f aca="false">IF($C135="","",SUMIFS(発注管理!$L$6:$L$1005,発注管理!$C$6:$C$1005,'設定（最初に1回）'!$C$4,発注管理!$F$6:$F$1005,$C135,発注管理!$Q$6:$Q$1005,"発注済"))</f>
        <v>0</v>
      </c>
      <c r="X135" s="69" t="n">
        <f aca="false">IF($C135="","",MAX(0,N($V135)-N($K135)-N($W135)))</f>
        <v>82</v>
      </c>
      <c r="Y135" s="147" t="n">
        <f aca="false">IF($C135="","",IF(N($X135)&lt;=0,0,CEILING($X135/MAX(1,N($G135)),MAX(1,N($J135)))))</f>
        <v>5</v>
      </c>
      <c r="Z135" s="138" t="str">
        <f aca="false">IF($C135="","",IF(N($Y135)&gt;0,"要発注","正常"))</f>
        <v>要発注</v>
      </c>
      <c r="AA135" s="71" t="n">
        <f aca="false">IF($C135="","",N($K135)*N($H135))</f>
        <v>-12000</v>
      </c>
      <c r="AB135" s="66" t="str">
        <f aca="false">IF($C135="","",_xlfn.TEXTJOIN(" / ",TRUE(),IF(COUNTIF(商品マスタ!$B$6:$B$1005,$C135)=0,"マスタ未登録",""),IF(COUNTIFS(月1回_前回の在庫を貼る!$B$6:$B$10005,'設定（最初に1回）'!$C$4,月1回_前回の在庫を貼る!$I$6:$I$10005,$C135)=0,"新商品",""),IF(COUNTIFS(①今日の在庫を貼る!$B$6:$B$10005,'設定（最初に1回）'!$C$4,①今日の在庫を貼る!$I$6:$I$10005,$C135)=0,"終売候補",""),IF(N($K135)&lt;0,"在庫マイナス",""),IF(AND('設定（最初に1回）'!$C$9="PI値予測",$P135=""),"PI値未設定","")))</f>
        <v>在庫マイナス</v>
      </c>
      <c r="AC135" s="71" t="n">
        <f aca="false">N($Y135)*N($H135)</f>
        <v>3750</v>
      </c>
      <c r="AD135" s="66" t="str">
        <f aca="false">IF($C135="","",IFERROR(INDEX(商品マスタ!$K$6:$K$1005,MATCH($C135,商品マスタ!$B$6:$B$1005,0)),"常温"))</f>
        <v>常温</v>
      </c>
      <c r="AE135" s="69" t="n">
        <f aca="false">IF($C135="","",MAX(0,ROUNDUP(N($K135)/MAX(1,N($G135)),0)))</f>
        <v>0</v>
      </c>
      <c r="AF135" s="66" t="str">
        <f aca="false">IF($C135="","",IFERROR(INDEX(商品マスタ!$L$6:$L$1005,MATCH($C135,商品マスタ!$B$6:$B$1005,0)),""))</f>
        <v>その他常温</v>
      </c>
      <c r="AG135" s="143" t="n">
        <f aca="false">IF($C135="","",IFERROR(INDEX(定数マスタ!$S$110:$S$119,MATCH($AF135,定数マスタ!$J$110:$J$119,0)),N('設定（最初に1回）'!$C$13)))</f>
        <v>7</v>
      </c>
      <c r="AH135" s="66" t="n">
        <f aca="false">IF(AND(N($K135)&gt;0,N($Y135)&gt;0),N($Y135),0)</f>
        <v>0</v>
      </c>
    </row>
    <row r="136" customFormat="false" ht="15" hidden="false" customHeight="false" outlineLevel="0" collapsed="false">
      <c r="B136" s="66" t="n">
        <v>131</v>
      </c>
      <c r="C136" s="66" t="str">
        <f aca="false">IFERROR(IF($B136&lt;=MAX(①今日の在庫を貼る!$U$6:$U$10005),INDEX(①今日の在庫を貼る!$I$6:$I$10005,MATCH($B136,①今日の在庫を貼る!$U$6:$U$10005,0)),INDEX(月1回_前回の在庫を貼る!$I$6:$I$10005,MATCH($B136-MAX(①今日の在庫を貼る!$U$6:$U$10005),月1回_前回の在庫を貼る!$U$6:$U$10005,0))),"")</f>
        <v>1812000013497</v>
      </c>
      <c r="D136" s="66" t="str">
        <f aca="false">IF($C136="","",IFERROR(INDEX(商品マスタ!$C$6:$C$1005,MATCH($C136,商品マスタ!$B$6:$B$1005,0)),IFERROR(INDEX(①今日の在庫を貼る!$J$6:$J$10005,MATCH($C136,①今日の在庫を貼る!$I$6:$I$10005,0)),IFERROR(INDEX(月1回_前回の在庫を貼る!$J$6:$J$10005,MATCH($C136,月1回_前回の在庫を貼る!$I$6:$I$10005,0)),""))))</f>
        <v>マリオ　ヨッシーＰボックス　仕入</v>
      </c>
      <c r="E136" s="66" t="str">
        <f aca="false">IF($C136="","",IFERROR(INDEX(商品マスタ!$D$6:$D$1005,MATCH($C136,商品マスタ!$B$6:$B$1005,0)),IFERROR(INDEX(①今日の在庫を貼る!$H$6:$H$10005,MATCH($C136,①今日の在庫を貼る!$I$6:$I$10005,0)),IFERROR(INDEX(月1回_前回の在庫を貼る!$H$6:$H$10005,MATCH($C136,月1回_前回の在庫を貼る!$I$6:$I$10005,0)),""))))</f>
        <v>ＳＥＴ作品コンボ</v>
      </c>
      <c r="F136" s="66" t="str">
        <f aca="false">IF($C136="","",IFERROR(INDEX(商品マスタ!$E$6:$E$1005,MATCH($C136,商品マスタ!$B$6:$B$1005,0)),IFERROR(INDEX(①今日の在庫を貼る!$E$6:$E$10005,MATCH($C136,①今日の在庫を貼る!$I$6:$I$10005,0)),IFERROR(INDEX(月1回_前回の在庫を貼る!$E$6:$E$10005,MATCH($C136,月1回_前回の在庫を貼る!$I$6:$I$10005,0)),""))))</f>
        <v>エパックス（株）</v>
      </c>
      <c r="G136" s="69" t="n">
        <f aca="false">IF($C136="","",IFERROR(INDEX(商品マスタ!$F$6:$F$1005,MATCH($C136,商品マスタ!$B$6:$B$1005,0)),IFERROR(INDEX(①今日の在庫を貼る!$K$6:$K$10005,MATCH($C136,①今日の在庫を貼る!$I$6:$I$10005,0)),IFERROR(INDEX(月1回_前回の在庫を貼る!$K$6:$K$10005,MATCH($C136,月1回_前回の在庫を貼る!$I$6:$I$10005,0)),""))))</f>
        <v>18</v>
      </c>
      <c r="H136" s="71" t="n">
        <f aca="false">IF($C136="","",IFERROR(INDEX(商品マスタ!$G$6:$G$1005,MATCH($C136,商品マスタ!$B$6:$B$1005,0)),IFERROR(INDEX(①今日の在庫を貼る!$Q$6:$Q$10005,MATCH($C136,①今日の在庫を貼る!$I$6:$I$10005,0)),IFERROR(INDEX(月1回_前回の在庫を貼る!$Q$6:$Q$10005,MATCH($C136,月1回_前回の在庫を貼る!$I$6:$I$10005,0)),""))))</f>
        <v>2900</v>
      </c>
      <c r="I136" s="66" t="n">
        <f aca="false">IF($C136="","",IFERROR(INDEX(商品マスタ!$H$6:$H$1005,MATCH($C136,商品マスタ!$B$6:$B$1005,0)),3))</f>
        <v>5</v>
      </c>
      <c r="J136" s="66" t="n">
        <f aca="false">IF($C136="","",MAX(1,IFERROR(INDEX(商品マスタ!$I$6:$I$1005,MATCH($C136,商品マスタ!$B$6:$B$1005,0)),1)))</f>
        <v>1</v>
      </c>
      <c r="K136" s="69" t="n">
        <f aca="false">IF($C136="","",SUMIFS(①今日の在庫を貼る!$N$6:$N$10005,①今日の在庫を貼る!$B$6:$B$10005,'設定（最初に1回）'!$C$4,①今日の在庫を貼る!$I$6:$I$10005,$C136))</f>
        <v>0</v>
      </c>
      <c r="L136" s="69" t="n">
        <f aca="false">IF($C136="","",SUMIFS(月1回_前回の在庫を貼る!$N$6:$N$10005,月1回_前回の在庫を貼る!$B$6:$B$10005,'設定（最初に1回）'!$C$4,月1回_前回の在庫を貼る!$I$6:$I$10005,$C136))</f>
        <v>2</v>
      </c>
      <c r="M136" s="69" t="n">
        <f aca="false">IF($C136="","",IF(OR('設定（最初に1回）'!$C$6="",'設定（最初に1回）'!$C$7=""),0,SUMIFS(発注管理!$S$6:$S$1005,発注管理!$C$6:$C$1005,'設定（最初に1回）'!$C$4,発注管理!$F$6:$F$1005,$C136,発注管理!$R$6:$R$1005,"&gt;="&amp;'設定（最初に1回）'!$C$7,発注管理!$R$6:$R$1005,"&lt;="&amp;'設定（最初に1回）'!$C$6)))</f>
        <v>0</v>
      </c>
      <c r="N136" s="69" t="n">
        <f aca="false">IF(OR($C136="",'設定（最初に1回）'!$C$15=0),"",$L136+$M136-$K136)</f>
        <v>2</v>
      </c>
      <c r="O136" s="143" t="n">
        <f aca="false">IF(OR($N136="",'設定（最初に1回）'!$C$8="",'設定（最初に1回）'!$C$8&lt;=0),"",MAX(0,$N136)/'設定（最初に1回）'!$C$8)</f>
        <v>0.0327868852459016</v>
      </c>
      <c r="P136" s="143" t="n">
        <f aca="false">IF($C136="","",IFERROR(INDEX(商品マスタ!$M$6:$N$1005,MATCH($C136,商品マスタ!$B$6:$B$1005,0),MATCH("PI値 "&amp;'設定（最初に1回）'!$C$11,商品マスタ!$M$5:$N$5,0)),""))</f>
        <v>1</v>
      </c>
      <c r="Q136" s="143" t="n">
        <f aca="false">IF(OR($C136="",$P136="",$P136=0,(N($I136)+N($AG136))&lt;=0),"",IFERROR(SUMIFS(随時_動員を入れる!$G$8:$G$97,随時_動員を入れる!$B$8:$B$97,"&gt;="&amp;'設定（最初に1回）'!$C$6,随時_動員を入れる!$B$8:$B$97,"&lt;="&amp;'設定（最初に1回）'!$C$6+(N($I136)+N($AG136))-1)/(N($I136)+N($AG136)),0)*$P136/100)</f>
        <v>35.3925</v>
      </c>
      <c r="R136" s="69" t="n">
        <f aca="false">IF($C136="","",SUMIFS(①今日の在庫を貼る!$O$6:$O$10005,①今日の在庫を貼る!$B$6:$B$10005,'設定（最初に1回）'!$C$4,①今日の在庫を貼る!$I$6:$I$10005,$C136))</f>
        <v>0</v>
      </c>
      <c r="S136" s="143" t="n">
        <f aca="false">IF($C136="","",IF('設定（最初に1回）'!$C$9="実績消費",N($O136),IF('設定（最初に1回）'!$C$9="PI値予測",N($Q136),MAX(N($O136),N($Q136)))))</f>
        <v>0.0327868852459016</v>
      </c>
      <c r="T136" s="67" t="n">
        <f aca="false">IF(OR($S136="",$S136&lt;=0),"",$K136/$S136)</f>
        <v>0</v>
      </c>
      <c r="U136" s="69" t="n">
        <f aca="false">IF($S136="","",ROUNDUP(N($S136)*'設定（最初に1回）'!$C$12,0))</f>
        <v>1</v>
      </c>
      <c r="V136" s="69" t="n">
        <f aca="false">IF($C136="","",ROUNDUP(N($S136)*(N($I136)+N($AG136))+N($U136),0))</f>
        <v>2</v>
      </c>
      <c r="W136" s="69" t="n">
        <f aca="false">IF($C136="","",SUMIFS(発注管理!$L$6:$L$1005,発注管理!$C$6:$C$1005,'設定（最初に1回）'!$C$4,発注管理!$F$6:$F$1005,$C136,発注管理!$Q$6:$Q$1005,"発注済"))</f>
        <v>0</v>
      </c>
      <c r="X136" s="69" t="n">
        <f aca="false">IF($C136="","",MAX(0,N($V136)-N($K136)-N($W136)))</f>
        <v>2</v>
      </c>
      <c r="Y136" s="147" t="n">
        <f aca="false">IF($C136="","",IF(N($X136)&lt;=0,0,CEILING($X136/MAX(1,N($G136)),MAX(1,N($J136)))))</f>
        <v>1</v>
      </c>
      <c r="Z136" s="138" t="str">
        <f aca="false">IF($C136="","",IF(N($Y136)&gt;0,"要発注","正常"))</f>
        <v>要発注</v>
      </c>
      <c r="AA136" s="71" t="n">
        <f aca="false">IF($C136="","",N($K136)*N($H136))</f>
        <v>0</v>
      </c>
      <c r="AB136" s="66" t="str">
        <f aca="false">IF($C136="","",_xlfn.TEXTJOIN(" / ",TRUE(),IF(COUNTIF(商品マスタ!$B$6:$B$1005,$C136)=0,"マスタ未登録",""),IF(COUNTIFS(月1回_前回の在庫を貼る!$B$6:$B$10005,'設定（最初に1回）'!$C$4,月1回_前回の在庫を貼る!$I$6:$I$10005,$C136)=0,"新商品",""),IF(COUNTIFS(①今日の在庫を貼る!$B$6:$B$10005,'設定（最初に1回）'!$C$4,①今日の在庫を貼る!$I$6:$I$10005,$C136)=0,"終売候補",""),IF(N($K136)&lt;0,"在庫マイナス",""),IF(AND('設定（最初に1回）'!$C$9="PI値予測",$P136=""),"PI値未設定","")))</f>
        <v/>
      </c>
      <c r="AC136" s="71" t="n">
        <f aca="false">N($Y136)*N($H136)</f>
        <v>2900</v>
      </c>
      <c r="AD136" s="66" t="str">
        <f aca="false">IF($C136="","",IFERROR(INDEX(商品マスタ!$K$6:$K$1005,MATCH($C136,商品マスタ!$B$6:$B$1005,0)),"常温"))</f>
        <v>常温</v>
      </c>
      <c r="AE136" s="69" t="n">
        <f aca="false">IF($C136="","",MAX(0,ROUNDUP(N($K136)/MAX(1,N($G136)),0)))</f>
        <v>0</v>
      </c>
      <c r="AF136" s="66" t="str">
        <f aca="false">IF($C136="","",IFERROR(INDEX(商品マスタ!$L$6:$L$1005,MATCH($C136,商品マスタ!$B$6:$B$1005,0)),""))</f>
        <v>その他常温</v>
      </c>
      <c r="AG136" s="143" t="n">
        <f aca="false">IF($C136="","",IFERROR(INDEX(定数マスタ!$S$110:$S$119,MATCH($AF136,定数マスタ!$J$110:$J$119,0)),N('設定（最初に1回）'!$C$13)))</f>
        <v>7</v>
      </c>
      <c r="AH136" s="66" t="n">
        <f aca="false">IF(AND(N($K136)&gt;0,N($Y136)&gt;0),N($Y136),0)</f>
        <v>0</v>
      </c>
    </row>
    <row r="137" customFormat="false" ht="15" hidden="false" customHeight="false" outlineLevel="0" collapsed="false">
      <c r="B137" s="66" t="n">
        <v>132</v>
      </c>
      <c r="C137" s="66" t="str">
        <f aca="false">IFERROR(IF($B137&lt;=MAX(①今日の在庫を貼る!$U$6:$U$10005),INDEX(①今日の在庫を貼る!$I$6:$I$10005,MATCH($B137,①今日の在庫を貼る!$U$6:$U$10005,0)),INDEX(月1回_前回の在庫を貼る!$I$6:$I$10005,MATCH($B137-MAX(①今日の在庫を貼る!$U$6:$U$10005),月1回_前回の在庫を貼る!$U$6:$U$10005,0))),"")</f>
        <v>1812000008592</v>
      </c>
      <c r="D137" s="66" t="str">
        <f aca="false">IF($C137="","",IFERROR(INDEX(商品マスタ!$C$6:$C$1005,MATCH($C137,商品マスタ!$B$6:$B$1005,0)),IFERROR(INDEX(①今日の在庫を貼る!$J$6:$J$10005,MATCH($C137,①今日の在庫を貼る!$I$6:$I$10005,0)),IFERROR(INDEX(月1回_前回の在庫を貼る!$J$6:$J$10005,MATCH($C137,月1回_前回の在庫を貼る!$I$6:$I$10005,0)),""))))</f>
        <v>プレミアムモルツ</v>
      </c>
      <c r="E137" s="66" t="str">
        <f aca="false">IF($C137="","",IFERROR(INDEX(商品マスタ!$D$6:$D$1005,MATCH($C137,商品マスタ!$B$6:$B$1005,0)),IFERROR(INDEX(①今日の在庫を貼る!$H$6:$H$10005,MATCH($C137,①今日の在庫を貼る!$I$6:$I$10005,0)),IFERROR(INDEX(月1回_前回の在庫を貼る!$H$6:$H$10005,MATCH($C137,月1回_前回の在庫を貼る!$I$6:$I$10005,0)),""))))</f>
        <v>アルコール</v>
      </c>
      <c r="F137" s="66" t="str">
        <f aca="false">IF($C137="","",IFERROR(INDEX(商品マスタ!$E$6:$E$1005,MATCH($C137,商品マスタ!$B$6:$B$1005,0)),IFERROR(INDEX(①今日の在庫を貼る!$E$6:$E$10005,MATCH($C137,①今日の在庫を貼る!$I$6:$I$10005,0)),IFERROR(INDEX(月1回_前回の在庫を貼る!$E$6:$E$10005,MATCH($C137,月1回_前回の在庫を貼る!$I$6:$I$10005,0)),""))))</f>
        <v>本社　番組編成部　マーケティング室</v>
      </c>
      <c r="G137" s="69" t="n">
        <f aca="false">IF($C137="","",IFERROR(INDEX(商品マスタ!$F$6:$F$1005,MATCH($C137,商品マスタ!$B$6:$B$1005,0)),IFERROR(INDEX(①今日の在庫を貼る!$K$6:$K$10005,MATCH($C137,①今日の在庫を貼る!$I$6:$I$10005,0)),IFERROR(INDEX(月1回_前回の在庫を貼る!$K$6:$K$10005,MATCH($C137,月1回_前回の在庫を貼る!$I$6:$I$10005,0)),""))))</f>
        <v>1</v>
      </c>
      <c r="H137" s="71" t="n">
        <f aca="false">IF($C137="","",IFERROR(INDEX(商品マスタ!$G$6:$G$1005,MATCH($C137,商品マスタ!$B$6:$B$1005,0)),IFERROR(INDEX(①今日の在庫を貼る!$Q$6:$Q$10005,MATCH($C137,①今日の在庫を貼る!$I$6:$I$10005,0)),IFERROR(INDEX(月1回_前回の在庫を貼る!$Q$6:$Q$10005,MATCH($C137,月1回_前回の在庫を貼る!$I$6:$I$10005,0)),""))))</f>
        <v>219.44</v>
      </c>
      <c r="I137" s="66" t="n">
        <f aca="false">IF($C137="","",IFERROR(INDEX(商品マスタ!$H$6:$H$1005,MATCH($C137,商品マスタ!$B$6:$B$1005,0)),3))</f>
        <v>5</v>
      </c>
      <c r="J137" s="66" t="n">
        <f aca="false">IF($C137="","",MAX(1,IFERROR(INDEX(商品マスタ!$I$6:$I$1005,MATCH($C137,商品マスタ!$B$6:$B$1005,0)),1)))</f>
        <v>5</v>
      </c>
      <c r="K137" s="69" t="n">
        <f aca="false">IF($C137="","",SUMIFS(①今日の在庫を貼る!$N$6:$N$10005,①今日の在庫を貼る!$B$6:$B$10005,'設定（最初に1回）'!$C$4,①今日の在庫を貼る!$I$6:$I$10005,$C137))</f>
        <v>0</v>
      </c>
      <c r="L137" s="69" t="n">
        <f aca="false">IF($C137="","",SUMIFS(月1回_前回の在庫を貼る!$N$6:$N$10005,月1回_前回の在庫を貼る!$B$6:$B$10005,'設定（最初に1回）'!$C$4,月1回_前回の在庫を貼る!$I$6:$I$10005,$C137))</f>
        <v>1</v>
      </c>
      <c r="M137" s="69" t="n">
        <f aca="false">IF($C137="","",IF(OR('設定（最初に1回）'!$C$6="",'設定（最初に1回）'!$C$7=""),0,SUMIFS(発注管理!$S$6:$S$1005,発注管理!$C$6:$C$1005,'設定（最初に1回）'!$C$4,発注管理!$F$6:$F$1005,$C137,発注管理!$R$6:$R$1005,"&gt;="&amp;'設定（最初に1回）'!$C$7,発注管理!$R$6:$R$1005,"&lt;="&amp;'設定（最初に1回）'!$C$6)))</f>
        <v>0</v>
      </c>
      <c r="N137" s="69" t="n">
        <f aca="false">IF(OR($C137="",'設定（最初に1回）'!$C$15=0),"",$L137+$M137-$K137)</f>
        <v>1</v>
      </c>
      <c r="O137" s="143" t="n">
        <f aca="false">IF(OR($N137="",'設定（最初に1回）'!$C$8="",'設定（最初に1回）'!$C$8&lt;=0),"",MAX(0,$N137)/'設定（最初に1回）'!$C$8)</f>
        <v>0.0163934426229508</v>
      </c>
      <c r="P137" s="143" t="n">
        <f aca="false">IF($C137="","",IFERROR(INDEX(商品マスタ!$M$6:$N$1005,MATCH($C137,商品マスタ!$B$6:$B$1005,0),MATCH("PI値 "&amp;'設定（最初に1回）'!$C$11,商品マスタ!$M$5:$N$5,0)),""))</f>
        <v>0.5</v>
      </c>
      <c r="Q137" s="143" t="n">
        <f aca="false">IF(OR($C137="",$P137="",$P137=0,(N($I137)+N($AG137))&lt;=0),"",IFERROR(SUMIFS(随時_動員を入れる!$G$8:$G$97,随時_動員を入れる!$B$8:$B$97,"&gt;="&amp;'設定（最初に1回）'!$C$6,随時_動員を入れる!$B$8:$B$97,"&lt;="&amp;'設定（最初に1回）'!$C$6+(N($I137)+N($AG137))-1)/(N($I137)+N($AG137)),0)*$P137/100)</f>
        <v>17.69625</v>
      </c>
      <c r="R137" s="69" t="n">
        <f aca="false">IF($C137="","",SUMIFS(①今日の在庫を貼る!$O$6:$O$10005,①今日の在庫を貼る!$B$6:$B$10005,'設定（最初に1回）'!$C$4,①今日の在庫を貼る!$I$6:$I$10005,$C137))</f>
        <v>0</v>
      </c>
      <c r="S137" s="143" t="n">
        <f aca="false">IF($C137="","",IF('設定（最初に1回）'!$C$9="実績消費",N($O137),IF('設定（最初に1回）'!$C$9="PI値予測",N($Q137),MAX(N($O137),N($Q137)))))</f>
        <v>0.0163934426229508</v>
      </c>
      <c r="T137" s="67" t="n">
        <f aca="false">IF(OR($S137="",$S137&lt;=0),"",$K137/$S137)</f>
        <v>0</v>
      </c>
      <c r="U137" s="69" t="n">
        <f aca="false">IF($S137="","",ROUNDUP(N($S137)*'設定（最初に1回）'!$C$12,0))</f>
        <v>1</v>
      </c>
      <c r="V137" s="69" t="n">
        <f aca="false">IF($C137="","",ROUNDUP(N($S137)*(N($I137)+N($AG137))+N($U137),0))</f>
        <v>2</v>
      </c>
      <c r="W137" s="69" t="n">
        <f aca="false">IF($C137="","",SUMIFS(発注管理!$L$6:$L$1005,発注管理!$C$6:$C$1005,'設定（最初に1回）'!$C$4,発注管理!$F$6:$F$1005,$C137,発注管理!$Q$6:$Q$1005,"発注済"))</f>
        <v>0</v>
      </c>
      <c r="X137" s="69" t="n">
        <f aca="false">IF($C137="","",MAX(0,N($V137)-N($K137)-N($W137)))</f>
        <v>2</v>
      </c>
      <c r="Y137" s="147" t="n">
        <f aca="false">IF($C137="","",IF(N($X137)&lt;=0,0,CEILING($X137/MAX(1,N($G137)),MAX(1,N($J137)))))</f>
        <v>5</v>
      </c>
      <c r="Z137" s="138" t="str">
        <f aca="false">IF($C137="","",IF(N($Y137)&gt;0,"要発注","正常"))</f>
        <v>要発注</v>
      </c>
      <c r="AA137" s="71" t="n">
        <f aca="false">IF($C137="","",N($K137)*N($H137))</f>
        <v>0</v>
      </c>
      <c r="AB137" s="66" t="str">
        <f aca="false">IF($C137="","",_xlfn.TEXTJOIN(" / ",TRUE(),IF(COUNTIF(商品マスタ!$B$6:$B$1005,$C137)=0,"マスタ未登録",""),IF(COUNTIFS(月1回_前回の在庫を貼る!$B$6:$B$10005,'設定（最初に1回）'!$C$4,月1回_前回の在庫を貼る!$I$6:$I$10005,$C137)=0,"新商品",""),IF(COUNTIFS(①今日の在庫を貼る!$B$6:$B$10005,'設定（最初に1回）'!$C$4,①今日の在庫を貼る!$I$6:$I$10005,$C137)=0,"終売候補",""),IF(N($K137)&lt;0,"在庫マイナス",""),IF(AND('設定（最初に1回）'!$C$9="PI値予測",$P137=""),"PI値未設定","")))</f>
        <v/>
      </c>
      <c r="AC137" s="71" t="n">
        <f aca="false">N($Y137)*N($H137)</f>
        <v>1097.2</v>
      </c>
      <c r="AD137" s="66" t="str">
        <f aca="false">IF($C137="","",IFERROR(INDEX(商品マスタ!$K$6:$K$1005,MATCH($C137,商品マスタ!$B$6:$B$1005,0)),"常温"))</f>
        <v>冷蔵</v>
      </c>
      <c r="AE137" s="69" t="n">
        <f aca="false">IF($C137="","",MAX(0,ROUNDUP(N($K137)/MAX(1,N($G137)),0)))</f>
        <v>0</v>
      </c>
      <c r="AF137" s="66" t="str">
        <f aca="false">IF($C137="","",IFERROR(INDEX(商品マスタ!$L$6:$L$1005,MATCH($C137,商品マスタ!$B$6:$B$1005,0)),""))</f>
        <v>その他常温</v>
      </c>
      <c r="AG137" s="143" t="n">
        <f aca="false">IF($C137="","",IFERROR(INDEX(定数マスタ!$S$110:$S$119,MATCH($AF137,定数マスタ!$J$110:$J$119,0)),N('設定（最初に1回）'!$C$13)))</f>
        <v>7</v>
      </c>
      <c r="AH137" s="66" t="n">
        <f aca="false">IF(AND(N($K137)&gt;0,N($Y137)&gt;0),N($Y137),0)</f>
        <v>0</v>
      </c>
    </row>
    <row r="138" customFormat="false" ht="15" hidden="false" customHeight="false" outlineLevel="0" collapsed="false">
      <c r="B138" s="66" t="n">
        <v>133</v>
      </c>
      <c r="C138" s="66" t="str">
        <f aca="false">IFERROR(IF($B138&lt;=MAX(①今日の在庫を貼る!$U$6:$U$10005),INDEX(①今日の在庫を貼る!$I$6:$I$10005,MATCH($B138,①今日の在庫を貼る!$U$6:$U$10005,0)),INDEX(月1回_前回の在庫を貼る!$I$6:$I$10005,MATCH($B138-MAX(①今日の在庫を貼る!$U$6:$U$10005),月1回_前回の在庫を貼る!$U$6:$U$10005,0))),"")</f>
        <v>9807610000001</v>
      </c>
      <c r="D138" s="66" t="str">
        <f aca="false">IF($C138="","",IFERROR(INDEX(商品マスタ!$C$6:$C$1005,MATCH($C138,商品マスタ!$B$6:$B$1005,0)),IFERROR(INDEX(①今日の在庫を貼る!$J$6:$J$10005,MATCH($C138,①今日の在庫を貼る!$I$6:$I$10005,0)),IFERROR(INDEX(月1回_前回の在庫を貼る!$J$6:$J$10005,MATCH($C138,月1回_前回の在庫を貼る!$I$6:$I$10005,0)),""))))</f>
        <v>（新商品）夏季限定フローズン</v>
      </c>
      <c r="E138" s="66" t="str">
        <f aca="false">IF($C138="","",IFERROR(INDEX(商品マスタ!$D$6:$D$1005,MATCH($C138,商品マスタ!$B$6:$B$1005,0)),IFERROR(INDEX(①今日の在庫を貼る!$H$6:$H$10005,MATCH($C138,①今日の在庫を貼る!$I$6:$I$10005,0)),IFERROR(INDEX(月1回_前回の在庫を貼る!$H$6:$H$10005,MATCH($C138,月1回_前回の在庫を貼る!$I$6:$I$10005,0)),""))))</f>
        <v>アルコール</v>
      </c>
      <c r="F138" s="66" t="str">
        <f aca="false">IF($C138="","",IFERROR(INDEX(商品マスタ!$E$6:$E$1005,MATCH($C138,商品マスタ!$B$6:$B$1005,0)),IFERROR(INDEX(①今日の在庫を貼る!$E$6:$E$10005,MATCH($C138,①今日の在庫を貼る!$I$6:$I$10005,0)),IFERROR(INDEX(月1回_前回の在庫を貼る!$E$6:$E$10005,MATCH($C138,月1回_前回の在庫を貼る!$I$6:$I$10005,0)),""))))</f>
        <v>株式会社　カクヤス</v>
      </c>
      <c r="G138" s="69" t="n">
        <f aca="false">IF($C138="","",IFERROR(INDEX(商品マスタ!$F$6:$F$1005,MATCH($C138,商品マスタ!$B$6:$B$1005,0)),IFERROR(INDEX(①今日の在庫を貼る!$K$6:$K$10005,MATCH($C138,①今日の在庫を貼る!$I$6:$I$10005,0)),IFERROR(INDEX(月1回_前回の在庫を貼る!$K$6:$K$10005,MATCH($C138,月1回_前回の在庫を貼る!$I$6:$I$10005,0)),""))))</f>
        <v>1</v>
      </c>
      <c r="H138" s="71" t="n">
        <f aca="false">IF($C138="","",IFERROR(INDEX(商品マスタ!$G$6:$G$1005,MATCH($C138,商品マスタ!$B$6:$B$1005,0)),IFERROR(INDEX(①今日の在庫を貼る!$Q$6:$Q$10005,MATCH($C138,①今日の在庫を貼る!$I$6:$I$10005,0)),IFERROR(INDEX(月1回_前回の在庫を貼る!$Q$6:$Q$10005,MATCH($C138,月1回_前回の在庫を貼る!$I$6:$I$10005,0)),""))))</f>
        <v>118</v>
      </c>
      <c r="I138" s="66" t="n">
        <f aca="false">IF($C138="","",IFERROR(INDEX(商品マスタ!$H$6:$H$1005,MATCH($C138,商品マスタ!$B$6:$B$1005,0)),3))</f>
        <v>3</v>
      </c>
      <c r="J138" s="66" t="n">
        <f aca="false">IF($C138="","",MAX(1,IFERROR(INDEX(商品マスタ!$I$6:$I$1005,MATCH($C138,商品マスタ!$B$6:$B$1005,0)),1)))</f>
        <v>1</v>
      </c>
      <c r="K138" s="69" t="n">
        <f aca="false">IF($C138="","",SUMIFS(①今日の在庫を貼る!$N$6:$N$10005,①今日の在庫を貼る!$B$6:$B$10005,'設定（最初に1回）'!$C$4,①今日の在庫を貼る!$I$6:$I$10005,$C138))</f>
        <v>40</v>
      </c>
      <c r="L138" s="69" t="n">
        <f aca="false">IF($C138="","",SUMIFS(月1回_前回の在庫を貼る!$N$6:$N$10005,月1回_前回の在庫を貼る!$B$6:$B$10005,'設定（最初に1回）'!$C$4,月1回_前回の在庫を貼る!$I$6:$I$10005,$C138))</f>
        <v>0</v>
      </c>
      <c r="M138" s="69" t="n">
        <f aca="false">IF($C138="","",IF(OR('設定（最初に1回）'!$C$6="",'設定（最初に1回）'!$C$7=""),0,SUMIFS(発注管理!$S$6:$S$1005,発注管理!$C$6:$C$1005,'設定（最初に1回）'!$C$4,発注管理!$F$6:$F$1005,$C138,発注管理!$R$6:$R$1005,"&gt;="&amp;'設定（最初に1回）'!$C$7,発注管理!$R$6:$R$1005,"&lt;="&amp;'設定（最初に1回）'!$C$6)))</f>
        <v>0</v>
      </c>
      <c r="N138" s="69" t="n">
        <f aca="false">IF(OR($C138="",'設定（最初に1回）'!$C$15=0),"",$L138+$M138-$K138)</f>
        <v>-40</v>
      </c>
      <c r="O138" s="143" t="n">
        <f aca="false">IF(OR($N138="",'設定（最初に1回）'!$C$8="",'設定（最初に1回）'!$C$8&lt;=0),"",MAX(0,$N138)/'設定（最初に1回）'!$C$8)</f>
        <v>0</v>
      </c>
      <c r="P138" s="143" t="str">
        <f aca="false">IF($C138="","",IFERROR(INDEX(商品マスタ!$M$6:$N$1005,MATCH($C138,商品マスタ!$B$6:$B$1005,0),MATCH("PI値 "&amp;'設定（最初に1回）'!$C$11,商品マスタ!$M$5:$N$5,0)),""))</f>
        <v/>
      </c>
      <c r="Q138" s="143" t="str">
        <f aca="false">IF(OR($C138="",$P138="",$P138=0,(N($I138)+N($AG138))&lt;=0),"",IFERROR(SUMIFS(随時_動員を入れる!$G$8:$G$97,随時_動員を入れる!$B$8:$B$97,"&gt;="&amp;'設定（最初に1回）'!$C$6,随時_動員を入れる!$B$8:$B$97,"&lt;="&amp;'設定（最初に1回）'!$C$6+(N($I138)+N($AG138))-1)/(N($I138)+N($AG138)),0)*$P138/100)</f>
        <v/>
      </c>
      <c r="R138" s="69" t="n">
        <f aca="false">IF($C138="","",SUMIFS(①今日の在庫を貼る!$O$6:$O$10005,①今日の在庫を貼る!$B$6:$B$10005,'設定（最初に1回）'!$C$4,①今日の在庫を貼る!$I$6:$I$10005,$C138))</f>
        <v>0</v>
      </c>
      <c r="S138" s="143" t="n">
        <f aca="false">IF($C138="","",IF('設定（最初に1回）'!$C$9="実績消費",N($O138),IF('設定（最初に1回）'!$C$9="PI値予測",N($Q138),MAX(N($O138),N($Q138)))))</f>
        <v>0</v>
      </c>
      <c r="T138" s="67" t="str">
        <f aca="false">IF(OR($S138="",$S138&lt;=0),"",$K138/$S138)</f>
        <v/>
      </c>
      <c r="U138" s="69" t="n">
        <f aca="false">IF($S138="","",ROUNDUP(N($S138)*'設定（最初に1回）'!$C$12,0))</f>
        <v>0</v>
      </c>
      <c r="V138" s="69" t="n">
        <f aca="false">IF($C138="","",ROUNDUP(N($S138)*(N($I138)+N($AG138))+N($U138),0))</f>
        <v>0</v>
      </c>
      <c r="W138" s="69" t="n">
        <f aca="false">IF($C138="","",SUMIFS(発注管理!$L$6:$L$1005,発注管理!$C$6:$C$1005,'設定（最初に1回）'!$C$4,発注管理!$F$6:$F$1005,$C138,発注管理!$Q$6:$Q$1005,"発注済"))</f>
        <v>0</v>
      </c>
      <c r="X138" s="69" t="n">
        <f aca="false">IF($C138="","",MAX(0,N($V138)-N($K138)-N($W138)))</f>
        <v>0</v>
      </c>
      <c r="Y138" s="147" t="n">
        <f aca="false">IF($C138="","",IF(N($X138)&lt;=0,0,CEILING($X138/MAX(1,N($G138)),MAX(1,N($J138)))))</f>
        <v>0</v>
      </c>
      <c r="Z138" s="138" t="str">
        <f aca="false">IF($C138="","",IF(N($Y138)&gt;0,"要発注","正常"))</f>
        <v>正常</v>
      </c>
      <c r="AA138" s="71" t="n">
        <f aca="false">IF($C138="","",N($K138)*N($H138))</f>
        <v>4720</v>
      </c>
      <c r="AB138" s="66" t="str">
        <f aca="false">IF($C138="","",_xlfn.TEXTJOIN(" / ",TRUE(),IF(COUNTIF(商品マスタ!$B$6:$B$1005,$C138)=0,"マスタ未登録",""),IF(COUNTIFS(月1回_前回の在庫を貼る!$B$6:$B$10005,'設定（最初に1回）'!$C$4,月1回_前回の在庫を貼る!$I$6:$I$10005,$C138)=0,"新商品",""),IF(COUNTIFS(①今日の在庫を貼る!$B$6:$B$10005,'設定（最初に1回）'!$C$4,①今日の在庫を貼る!$I$6:$I$10005,$C138)=0,"終売候補",""),IF(N($K138)&lt;0,"在庫マイナス",""),IF(AND('設定（最初に1回）'!$C$9="PI値予測",$P138=""),"PI値未設定","")))</f>
        <v>マスタ未登録 / 新商品</v>
      </c>
      <c r="AC138" s="71" t="n">
        <f aca="false">N($Y138)*N($H138)</f>
        <v>0</v>
      </c>
      <c r="AD138" s="66" t="str">
        <f aca="false">IF($C138="","",IFERROR(INDEX(商品マスタ!$K$6:$K$1005,MATCH($C138,商品マスタ!$B$6:$B$1005,0)),"常温"))</f>
        <v>常温</v>
      </c>
      <c r="AE138" s="69" t="n">
        <f aca="false">IF($C138="","",MAX(0,ROUNDUP(N($K138)/MAX(1,N($G138)),0)))</f>
        <v>40</v>
      </c>
      <c r="AF138" s="66" t="str">
        <f aca="false">IF($C138="","",IFERROR(INDEX(商品マスタ!$L$6:$L$1005,MATCH($C138,商品マスタ!$B$6:$B$1005,0)),""))</f>
        <v/>
      </c>
      <c r="AG138" s="143" t="n">
        <f aca="false">IF($C138="","",IFERROR(INDEX(定数マスタ!$S$110:$S$119,MATCH($AF138,定数マスタ!$J$110:$J$119,0)),N('設定（最初に1回）'!$C$13)))</f>
        <v>7</v>
      </c>
      <c r="AH138" s="66" t="n">
        <f aca="false">IF(AND(N($K138)&gt;0,N($Y138)&gt;0),N($Y138),0)</f>
        <v>0</v>
      </c>
    </row>
    <row r="139" customFormat="false" ht="15" hidden="false" customHeight="false" outlineLevel="0" collapsed="false">
      <c r="B139" s="66" t="n">
        <v>134</v>
      </c>
      <c r="C139" s="66" t="str">
        <f aca="false">IFERROR(IF($B139&lt;=MAX(①今日の在庫を貼る!$U$6:$U$10005),INDEX(①今日の在庫を貼る!$I$6:$I$10005,MATCH($B139,①今日の在庫を貼る!$U$6:$U$10005,0)),INDEX(月1回_前回の在庫を貼る!$I$6:$I$10005,MATCH($B139-MAX(①今日の在庫を貼る!$U$6:$U$10005),月1回_前回の在庫を貼る!$U$6:$U$10005,0))),"")</f>
        <v>9807610000002</v>
      </c>
      <c r="D139" s="66" t="str">
        <f aca="false">IF($C139="","",IFERROR(INDEX(商品マスタ!$C$6:$C$1005,MATCH($C139,商品マスタ!$B$6:$B$1005,0)),IFERROR(INDEX(①今日の在庫を貼る!$J$6:$J$10005,MATCH($C139,①今日の在庫を貼る!$I$6:$I$10005,0)),IFERROR(INDEX(月1回_前回の在庫を貼る!$J$6:$J$10005,MATCH($C139,月1回_前回の在庫を貼る!$I$6:$I$10005,0)),""))))</f>
        <v>（新商品）コラボカップ</v>
      </c>
      <c r="E139" s="66" t="str">
        <f aca="false">IF($C139="","",IFERROR(INDEX(商品マスタ!$D$6:$D$1005,MATCH($C139,商品マスタ!$B$6:$B$1005,0)),IFERROR(INDEX(①今日の在庫を貼る!$H$6:$H$10005,MATCH($C139,①今日の在庫を貼る!$I$6:$I$10005,0)),IFERROR(INDEX(月1回_前回の在庫を貼る!$H$6:$H$10005,MATCH($C139,月1回_前回の在庫を貼る!$I$6:$I$10005,0)),""))))</f>
        <v>アルコール</v>
      </c>
      <c r="F139" s="66" t="str">
        <f aca="false">IF($C139="","",IFERROR(INDEX(商品マスタ!$E$6:$E$1005,MATCH($C139,商品マスタ!$B$6:$B$1005,0)),IFERROR(INDEX(①今日の在庫を貼る!$E$6:$E$10005,MATCH($C139,①今日の在庫を貼る!$I$6:$I$10005,0)),IFERROR(INDEX(月1回_前回の在庫を貼る!$E$6:$E$10005,MATCH($C139,月1回_前回の在庫を貼る!$I$6:$I$10005,0)),""))))</f>
        <v>株式会社　カクヤス</v>
      </c>
      <c r="G139" s="69" t="n">
        <f aca="false">IF($C139="","",IFERROR(INDEX(商品マスタ!$F$6:$F$1005,MATCH($C139,商品マスタ!$B$6:$B$1005,0)),IFERROR(INDEX(①今日の在庫を貼る!$K$6:$K$10005,MATCH($C139,①今日の在庫を貼る!$I$6:$I$10005,0)),IFERROR(INDEX(月1回_前回の在庫を貼る!$K$6:$K$10005,MATCH($C139,月1回_前回の在庫を貼る!$I$6:$I$10005,0)),""))))</f>
        <v>1</v>
      </c>
      <c r="H139" s="71" t="n">
        <f aca="false">IF($C139="","",IFERROR(INDEX(商品マスタ!$G$6:$G$1005,MATCH($C139,商品マスタ!$B$6:$B$1005,0)),IFERROR(INDEX(①今日の在庫を貼る!$Q$6:$Q$10005,MATCH($C139,①今日の在庫を貼る!$I$6:$I$10005,0)),IFERROR(INDEX(月1回_前回の在庫を貼る!$Q$6:$Q$10005,MATCH($C139,月1回_前回の在庫を貼る!$I$6:$I$10005,0)),""))))</f>
        <v>118</v>
      </c>
      <c r="I139" s="66" t="n">
        <f aca="false">IF($C139="","",IFERROR(INDEX(商品マスタ!$H$6:$H$1005,MATCH($C139,商品マスタ!$B$6:$B$1005,0)),3))</f>
        <v>3</v>
      </c>
      <c r="J139" s="66" t="n">
        <f aca="false">IF($C139="","",MAX(1,IFERROR(INDEX(商品マスタ!$I$6:$I$1005,MATCH($C139,商品マスタ!$B$6:$B$1005,0)),1)))</f>
        <v>1</v>
      </c>
      <c r="K139" s="69" t="n">
        <f aca="false">IF($C139="","",SUMIFS(①今日の在庫を貼る!$N$6:$N$10005,①今日の在庫を貼る!$B$6:$B$10005,'設定（最初に1回）'!$C$4,①今日の在庫を貼る!$I$6:$I$10005,$C139))</f>
        <v>65</v>
      </c>
      <c r="L139" s="69" t="n">
        <f aca="false">IF($C139="","",SUMIFS(月1回_前回の在庫を貼る!$N$6:$N$10005,月1回_前回の在庫を貼る!$B$6:$B$10005,'設定（最初に1回）'!$C$4,月1回_前回の在庫を貼る!$I$6:$I$10005,$C139))</f>
        <v>0</v>
      </c>
      <c r="M139" s="69" t="n">
        <f aca="false">IF($C139="","",IF(OR('設定（最初に1回）'!$C$6="",'設定（最初に1回）'!$C$7=""),0,SUMIFS(発注管理!$S$6:$S$1005,発注管理!$C$6:$C$1005,'設定（最初に1回）'!$C$4,発注管理!$F$6:$F$1005,$C139,発注管理!$R$6:$R$1005,"&gt;="&amp;'設定（最初に1回）'!$C$7,発注管理!$R$6:$R$1005,"&lt;="&amp;'設定（最初に1回）'!$C$6)))</f>
        <v>0</v>
      </c>
      <c r="N139" s="69" t="n">
        <f aca="false">IF(OR($C139="",'設定（最初に1回）'!$C$15=0),"",$L139+$M139-$K139)</f>
        <v>-65</v>
      </c>
      <c r="O139" s="143" t="n">
        <f aca="false">IF(OR($N139="",'設定（最初に1回）'!$C$8="",'設定（最初に1回）'!$C$8&lt;=0),"",MAX(0,$N139)/'設定（最初に1回）'!$C$8)</f>
        <v>0</v>
      </c>
      <c r="P139" s="143" t="str">
        <f aca="false">IF($C139="","",IFERROR(INDEX(商品マスタ!$M$6:$N$1005,MATCH($C139,商品マスタ!$B$6:$B$1005,0),MATCH("PI値 "&amp;'設定（最初に1回）'!$C$11,商品マスタ!$M$5:$N$5,0)),""))</f>
        <v/>
      </c>
      <c r="Q139" s="143" t="str">
        <f aca="false">IF(OR($C139="",$P139="",$P139=0,(N($I139)+N($AG139))&lt;=0),"",IFERROR(SUMIFS(随時_動員を入れる!$G$8:$G$97,随時_動員を入れる!$B$8:$B$97,"&gt;="&amp;'設定（最初に1回）'!$C$6,随時_動員を入れる!$B$8:$B$97,"&lt;="&amp;'設定（最初に1回）'!$C$6+(N($I139)+N($AG139))-1)/(N($I139)+N($AG139)),0)*$P139/100)</f>
        <v/>
      </c>
      <c r="R139" s="69" t="n">
        <f aca="false">IF($C139="","",SUMIFS(①今日の在庫を貼る!$O$6:$O$10005,①今日の在庫を貼る!$B$6:$B$10005,'設定（最初に1回）'!$C$4,①今日の在庫を貼る!$I$6:$I$10005,$C139))</f>
        <v>0</v>
      </c>
      <c r="S139" s="143" t="n">
        <f aca="false">IF($C139="","",IF('設定（最初に1回）'!$C$9="実績消費",N($O139),IF('設定（最初に1回）'!$C$9="PI値予測",N($Q139),MAX(N($O139),N($Q139)))))</f>
        <v>0</v>
      </c>
      <c r="T139" s="67" t="str">
        <f aca="false">IF(OR($S139="",$S139&lt;=0),"",$K139/$S139)</f>
        <v/>
      </c>
      <c r="U139" s="69" t="n">
        <f aca="false">IF($S139="","",ROUNDUP(N($S139)*'設定（最初に1回）'!$C$12,0))</f>
        <v>0</v>
      </c>
      <c r="V139" s="69" t="n">
        <f aca="false">IF($C139="","",ROUNDUP(N($S139)*(N($I139)+N($AG139))+N($U139),0))</f>
        <v>0</v>
      </c>
      <c r="W139" s="69" t="n">
        <f aca="false">IF($C139="","",SUMIFS(発注管理!$L$6:$L$1005,発注管理!$C$6:$C$1005,'設定（最初に1回）'!$C$4,発注管理!$F$6:$F$1005,$C139,発注管理!$Q$6:$Q$1005,"発注済"))</f>
        <v>0</v>
      </c>
      <c r="X139" s="69" t="n">
        <f aca="false">IF($C139="","",MAX(0,N($V139)-N($K139)-N($W139)))</f>
        <v>0</v>
      </c>
      <c r="Y139" s="147" t="n">
        <f aca="false">IF($C139="","",IF(N($X139)&lt;=0,0,CEILING($X139/MAX(1,N($G139)),MAX(1,N($J139)))))</f>
        <v>0</v>
      </c>
      <c r="Z139" s="138" t="str">
        <f aca="false">IF($C139="","",IF(N($Y139)&gt;0,"要発注","正常"))</f>
        <v>正常</v>
      </c>
      <c r="AA139" s="71" t="n">
        <f aca="false">IF($C139="","",N($K139)*N($H139))</f>
        <v>7670</v>
      </c>
      <c r="AB139" s="66" t="str">
        <f aca="false">IF($C139="","",_xlfn.TEXTJOIN(" / ",TRUE(),IF(COUNTIF(商品マスタ!$B$6:$B$1005,$C139)=0,"マスタ未登録",""),IF(COUNTIFS(月1回_前回の在庫を貼る!$B$6:$B$10005,'設定（最初に1回）'!$C$4,月1回_前回の在庫を貼る!$I$6:$I$10005,$C139)=0,"新商品",""),IF(COUNTIFS(①今日の在庫を貼る!$B$6:$B$10005,'設定（最初に1回）'!$C$4,①今日の在庫を貼る!$I$6:$I$10005,$C139)=0,"終売候補",""),IF(N($K139)&lt;0,"在庫マイナス",""),IF(AND('設定（最初に1回）'!$C$9="PI値予測",$P139=""),"PI値未設定","")))</f>
        <v>マスタ未登録 / 新商品</v>
      </c>
      <c r="AC139" s="71" t="n">
        <f aca="false">N($Y139)*N($H139)</f>
        <v>0</v>
      </c>
      <c r="AD139" s="66" t="str">
        <f aca="false">IF($C139="","",IFERROR(INDEX(商品マスタ!$K$6:$K$1005,MATCH($C139,商品マスタ!$B$6:$B$1005,0)),"常温"))</f>
        <v>常温</v>
      </c>
      <c r="AE139" s="69" t="n">
        <f aca="false">IF($C139="","",MAX(0,ROUNDUP(N($K139)/MAX(1,N($G139)),0)))</f>
        <v>65</v>
      </c>
      <c r="AF139" s="66" t="str">
        <f aca="false">IF($C139="","",IFERROR(INDEX(商品マスタ!$L$6:$L$1005,MATCH($C139,商品マスタ!$B$6:$B$1005,0)),""))</f>
        <v/>
      </c>
      <c r="AG139" s="143" t="n">
        <f aca="false">IF($C139="","",IFERROR(INDEX(定数マスタ!$S$110:$S$119,MATCH($AF139,定数マスタ!$J$110:$J$119,0)),N('設定（最初に1回）'!$C$13)))</f>
        <v>7</v>
      </c>
      <c r="AH139" s="66" t="n">
        <f aca="false">IF(AND(N($K139)&gt;0,N($Y139)&gt;0),N($Y139),0)</f>
        <v>0</v>
      </c>
    </row>
    <row r="140" customFormat="false" ht="15" hidden="false" customHeight="false" outlineLevel="0" collapsed="false">
      <c r="B140" s="66" t="n">
        <v>135</v>
      </c>
      <c r="C140" s="66" t="str">
        <f aca="false">IFERROR(IF($B140&lt;=MAX(①今日の在庫を貼る!$U$6:$U$10005),INDEX(①今日の在庫を貼る!$I$6:$I$10005,MATCH($B140,①今日の在庫を貼る!$U$6:$U$10005,0)),INDEX(月1回_前回の在庫を貼る!$I$6:$I$10005,MATCH($B140-MAX(①今日の在庫を貼る!$U$6:$U$10005),月1回_前回の在庫を貼る!$U$6:$U$10005,0))),"")</f>
        <v>9907610000001</v>
      </c>
      <c r="D140" s="66" t="str">
        <f aca="false">IF($C140="","",IFERROR(INDEX(商品マスタ!$C$6:$C$1005,MATCH($C140,商品マスタ!$B$6:$B$1005,0)),IFERROR(INDEX(①今日の在庫を貼る!$J$6:$J$10005,MATCH($C140,①今日の在庫を貼る!$I$6:$I$10005,0)),IFERROR(INDEX(月1回_前回の在庫を貼る!$J$6:$J$10005,MATCH($C140,月1回_前回の在庫を貼る!$I$6:$I$10005,0)),""))))</f>
        <v>（終売）季節限定ドリンク</v>
      </c>
      <c r="E140" s="66" t="str">
        <f aca="false">IF($C140="","",IFERROR(INDEX(商品マスタ!$D$6:$D$1005,MATCH($C140,商品マスタ!$B$6:$B$1005,0)),IFERROR(INDEX(①今日の在庫を貼る!$H$6:$H$10005,MATCH($C140,①今日の在庫を貼る!$I$6:$I$10005,0)),IFERROR(INDEX(月1回_前回の在庫を貼る!$H$6:$H$10005,MATCH($C140,月1回_前回の在庫を貼る!$I$6:$I$10005,0)),""))))</f>
        <v>アルコール</v>
      </c>
      <c r="F140" s="66" t="str">
        <f aca="false">IF($C140="","",IFERROR(INDEX(商品マスタ!$E$6:$E$1005,MATCH($C140,商品マスタ!$B$6:$B$1005,0)),IFERROR(INDEX(①今日の在庫を貼る!$E$6:$E$10005,MATCH($C140,①今日の在庫を貼る!$I$6:$I$10005,0)),IFERROR(INDEX(月1回_前回の在庫を貼る!$E$6:$E$10005,MATCH($C140,月1回_前回の在庫を貼る!$I$6:$I$10005,0)),""))))</f>
        <v>株式会社　カクヤス</v>
      </c>
      <c r="G140" s="69" t="n">
        <f aca="false">IF($C140="","",IFERROR(INDEX(商品マスタ!$F$6:$F$1005,MATCH($C140,商品マスタ!$B$6:$B$1005,0)),IFERROR(INDEX(①今日の在庫を貼る!$K$6:$K$10005,MATCH($C140,①今日の在庫を貼る!$I$6:$I$10005,0)),IFERROR(INDEX(月1回_前回の在庫を貼る!$K$6:$K$10005,MATCH($C140,月1回_前回の在庫を貼る!$I$6:$I$10005,0)),""))))</f>
        <v>1</v>
      </c>
      <c r="H140" s="71" t="n">
        <f aca="false">IF($C140="","",IFERROR(INDEX(商品マスタ!$G$6:$G$1005,MATCH($C140,商品マスタ!$B$6:$B$1005,0)),IFERROR(INDEX(①今日の在庫を貼る!$Q$6:$Q$10005,MATCH($C140,①今日の在庫を貼る!$I$6:$I$10005,0)),IFERROR(INDEX(月1回_前回の在庫を貼る!$Q$6:$Q$10005,MATCH($C140,月1回_前回の在庫を貼る!$I$6:$I$10005,0)),""))))</f>
        <v>357</v>
      </c>
      <c r="I140" s="66" t="n">
        <f aca="false">IF($C140="","",IFERROR(INDEX(商品マスタ!$H$6:$H$1005,MATCH($C140,商品マスタ!$B$6:$B$1005,0)),3))</f>
        <v>3</v>
      </c>
      <c r="J140" s="66" t="n">
        <f aca="false">IF($C140="","",MAX(1,IFERROR(INDEX(商品マスタ!$I$6:$I$1005,MATCH($C140,商品マスタ!$B$6:$B$1005,0)),1)))</f>
        <v>1</v>
      </c>
      <c r="K140" s="69" t="n">
        <f aca="false">IF($C140="","",SUMIFS(①今日の在庫を貼る!$N$6:$N$10005,①今日の在庫を貼る!$B$6:$B$10005,'設定（最初に1回）'!$C$4,①今日の在庫を貼る!$I$6:$I$10005,$C140))</f>
        <v>0</v>
      </c>
      <c r="L140" s="69" t="n">
        <f aca="false">IF($C140="","",SUMIFS(月1回_前回の在庫を貼る!$N$6:$N$10005,月1回_前回の在庫を貼る!$B$6:$B$10005,'設定（最初に1回）'!$C$4,月1回_前回の在庫を貼る!$I$6:$I$10005,$C140))</f>
        <v>90</v>
      </c>
      <c r="M140" s="69" t="n">
        <f aca="false">IF($C140="","",IF(OR('設定（最初に1回）'!$C$6="",'設定（最初に1回）'!$C$7=""),0,SUMIFS(発注管理!$S$6:$S$1005,発注管理!$C$6:$C$1005,'設定（最初に1回）'!$C$4,発注管理!$F$6:$F$1005,$C140,発注管理!$R$6:$R$1005,"&gt;="&amp;'設定（最初に1回）'!$C$7,発注管理!$R$6:$R$1005,"&lt;="&amp;'設定（最初に1回）'!$C$6)))</f>
        <v>0</v>
      </c>
      <c r="N140" s="69" t="n">
        <f aca="false">IF(OR($C140="",'設定（最初に1回）'!$C$15=0),"",$L140+$M140-$K140)</f>
        <v>90</v>
      </c>
      <c r="O140" s="143" t="n">
        <f aca="false">IF(OR($N140="",'設定（最初に1回）'!$C$8="",'設定（最初に1回）'!$C$8&lt;=0),"",MAX(0,$N140)/'設定（最初に1回）'!$C$8)</f>
        <v>1.47540983606557</v>
      </c>
      <c r="P140" s="143" t="str">
        <f aca="false">IF($C140="","",IFERROR(INDEX(商品マスタ!$M$6:$N$1005,MATCH($C140,商品マスタ!$B$6:$B$1005,0),MATCH("PI値 "&amp;'設定（最初に1回）'!$C$11,商品マスタ!$M$5:$N$5,0)),""))</f>
        <v/>
      </c>
      <c r="Q140" s="143" t="str">
        <f aca="false">IF(OR($C140="",$P140="",$P140=0,(N($I140)+N($AG140))&lt;=0),"",IFERROR(SUMIFS(随時_動員を入れる!$G$8:$G$97,随時_動員を入れる!$B$8:$B$97,"&gt;="&amp;'設定（最初に1回）'!$C$6,随時_動員を入れる!$B$8:$B$97,"&lt;="&amp;'設定（最初に1回）'!$C$6+(N($I140)+N($AG140))-1)/(N($I140)+N($AG140)),0)*$P140/100)</f>
        <v/>
      </c>
      <c r="R140" s="69" t="n">
        <f aca="false">IF($C140="","",SUMIFS(①今日の在庫を貼る!$O$6:$O$10005,①今日の在庫を貼る!$B$6:$B$10005,'設定（最初に1回）'!$C$4,①今日の在庫を貼る!$I$6:$I$10005,$C140))</f>
        <v>0</v>
      </c>
      <c r="S140" s="143" t="n">
        <f aca="false">IF($C140="","",IF('設定（最初に1回）'!$C$9="実績消費",N($O140),IF('設定（最初に1回）'!$C$9="PI値予測",N($Q140),MAX(N($O140),N($Q140)))))</f>
        <v>1.47540983606557</v>
      </c>
      <c r="T140" s="67" t="n">
        <f aca="false">IF(OR($S140="",$S140&lt;=0),"",$K140/$S140)</f>
        <v>0</v>
      </c>
      <c r="U140" s="69" t="n">
        <f aca="false">IF($S140="","",ROUNDUP(N($S140)*'設定（最初に1回）'!$C$12,0))</f>
        <v>6</v>
      </c>
      <c r="V140" s="69" t="n">
        <f aca="false">IF($C140="","",ROUNDUP(N($S140)*(N($I140)+N($AG140))+N($U140),0))</f>
        <v>21</v>
      </c>
      <c r="W140" s="69" t="n">
        <f aca="false">IF($C140="","",SUMIFS(発注管理!$L$6:$L$1005,発注管理!$C$6:$C$1005,'設定（最初に1回）'!$C$4,発注管理!$F$6:$F$1005,$C140,発注管理!$Q$6:$Q$1005,"発注済"))</f>
        <v>0</v>
      </c>
      <c r="X140" s="69" t="n">
        <f aca="false">IF($C140="","",MAX(0,N($V140)-N($K140)-N($W140)))</f>
        <v>21</v>
      </c>
      <c r="Y140" s="147" t="n">
        <f aca="false">IF($C140="","",IF(N($X140)&lt;=0,0,CEILING($X140/MAX(1,N($G140)),MAX(1,N($J140)))))</f>
        <v>21</v>
      </c>
      <c r="Z140" s="138" t="str">
        <f aca="false">IF($C140="","",IF(N($Y140)&gt;0,"要発注","正常"))</f>
        <v>要発注</v>
      </c>
      <c r="AA140" s="71" t="n">
        <f aca="false">IF($C140="","",N($K140)*N($H140))</f>
        <v>0</v>
      </c>
      <c r="AB140" s="66" t="str">
        <f aca="false">IF($C140="","",_xlfn.TEXTJOIN(" / ",TRUE(),IF(COUNTIF(商品マスタ!$B$6:$B$1005,$C140)=0,"マスタ未登録",""),IF(COUNTIFS(月1回_前回の在庫を貼る!$B$6:$B$10005,'設定（最初に1回）'!$C$4,月1回_前回の在庫を貼る!$I$6:$I$10005,$C140)=0,"新商品",""),IF(COUNTIFS(①今日の在庫を貼る!$B$6:$B$10005,'設定（最初に1回）'!$C$4,①今日の在庫を貼る!$I$6:$I$10005,$C140)=0,"終売候補",""),IF(N($K140)&lt;0,"在庫マイナス",""),IF(AND('設定（最初に1回）'!$C$9="PI値予測",$P140=""),"PI値未設定","")))</f>
        <v>マスタ未登録 / 終売候補</v>
      </c>
      <c r="AC140" s="71" t="n">
        <f aca="false">N($Y140)*N($H140)</f>
        <v>7497</v>
      </c>
      <c r="AD140" s="66" t="str">
        <f aca="false">IF($C140="","",IFERROR(INDEX(商品マスタ!$K$6:$K$1005,MATCH($C140,商品マスタ!$B$6:$B$1005,0)),"常温"))</f>
        <v>常温</v>
      </c>
      <c r="AE140" s="69" t="n">
        <f aca="false">IF($C140="","",MAX(0,ROUNDUP(N($K140)/MAX(1,N($G140)),0)))</f>
        <v>0</v>
      </c>
      <c r="AF140" s="66" t="str">
        <f aca="false">IF($C140="","",IFERROR(INDEX(商品マスタ!$L$6:$L$1005,MATCH($C140,商品マスタ!$B$6:$B$1005,0)),""))</f>
        <v/>
      </c>
      <c r="AG140" s="143" t="n">
        <f aca="false">IF($C140="","",IFERROR(INDEX(定数マスタ!$S$110:$S$119,MATCH($AF140,定数マスタ!$J$110:$J$119,0)),N('設定（最初に1回）'!$C$13)))</f>
        <v>7</v>
      </c>
      <c r="AH140" s="66" t="n">
        <f aca="false">IF(AND(N($K140)&gt;0,N($Y140)&gt;0),N($Y140),0)</f>
        <v>0</v>
      </c>
    </row>
    <row r="141" customFormat="false" ht="15" hidden="false" customHeight="false" outlineLevel="0" collapsed="false">
      <c r="B141" s="66" t="n">
        <v>136</v>
      </c>
      <c r="C141" s="66" t="str">
        <f aca="false">IFERROR(IF($B141&lt;=MAX(①今日の在庫を貼る!$U$6:$U$10005),INDEX(①今日の在庫を貼る!$I$6:$I$10005,MATCH($B141,①今日の在庫を貼る!$U$6:$U$10005,0)),INDEX(月1回_前回の在庫を貼る!$I$6:$I$10005,MATCH($B141-MAX(①今日の在庫を貼る!$U$6:$U$10005),月1回_前回の在庫を貼る!$U$6:$U$10005,0))),"")</f>
        <v>9907610000002</v>
      </c>
      <c r="D141" s="66" t="str">
        <f aca="false">IF($C141="","",IFERROR(INDEX(商品マスタ!$C$6:$C$1005,MATCH($C141,商品マスタ!$B$6:$B$1005,0)),IFERROR(INDEX(①今日の在庫を貼る!$J$6:$J$10005,MATCH($C141,①今日の在庫を貼る!$I$6:$I$10005,0)),IFERROR(INDEX(月1回_前回の在庫を貼る!$J$6:$J$10005,MATCH($C141,月1回_前回の在庫を貼る!$I$6:$I$10005,0)),""))))</f>
        <v>（終売）旧パッケージカップ</v>
      </c>
      <c r="E141" s="66" t="str">
        <f aca="false">IF($C141="","",IFERROR(INDEX(商品マスタ!$D$6:$D$1005,MATCH($C141,商品マスタ!$B$6:$B$1005,0)),IFERROR(INDEX(①今日の在庫を貼る!$H$6:$H$10005,MATCH($C141,①今日の在庫を貼る!$I$6:$I$10005,0)),IFERROR(INDEX(月1回_前回の在庫を貼る!$H$6:$H$10005,MATCH($C141,月1回_前回の在庫を貼る!$I$6:$I$10005,0)),""))))</f>
        <v>アルコール</v>
      </c>
      <c r="F141" s="66" t="str">
        <f aca="false">IF($C141="","",IFERROR(INDEX(商品マスタ!$E$6:$E$1005,MATCH($C141,商品マスタ!$B$6:$B$1005,0)),IFERROR(INDEX(①今日の在庫を貼る!$E$6:$E$10005,MATCH($C141,①今日の在庫を貼る!$I$6:$I$10005,0)),IFERROR(INDEX(月1回_前回の在庫を貼る!$E$6:$E$10005,MATCH($C141,月1回_前回の在庫を貼る!$I$6:$I$10005,0)),""))))</f>
        <v>株式会社　カクヤス</v>
      </c>
      <c r="G141" s="69" t="n">
        <f aca="false">IF($C141="","",IFERROR(INDEX(商品マスタ!$F$6:$F$1005,MATCH($C141,商品マスタ!$B$6:$B$1005,0)),IFERROR(INDEX(①今日の在庫を貼る!$K$6:$K$10005,MATCH($C141,①今日の在庫を貼る!$I$6:$I$10005,0)),IFERROR(INDEX(月1回_前回の在庫を貼る!$K$6:$K$10005,MATCH($C141,月1回_前回の在庫を貼る!$I$6:$I$10005,0)),""))))</f>
        <v>1</v>
      </c>
      <c r="H141" s="71" t="n">
        <f aca="false">IF($C141="","",IFERROR(INDEX(商品マスタ!$G$6:$G$1005,MATCH($C141,商品マスタ!$B$6:$B$1005,0)),IFERROR(INDEX(①今日の在庫を貼る!$Q$6:$Q$10005,MATCH($C141,①今日の在庫を貼る!$I$6:$I$10005,0)),IFERROR(INDEX(月1回_前回の在庫を貼る!$Q$6:$Q$10005,MATCH($C141,月1回_前回の在庫を貼る!$I$6:$I$10005,0)),""))))</f>
        <v>357</v>
      </c>
      <c r="I141" s="66" t="n">
        <f aca="false">IF($C141="","",IFERROR(INDEX(商品マスタ!$H$6:$H$1005,MATCH($C141,商品マスタ!$B$6:$B$1005,0)),3))</f>
        <v>3</v>
      </c>
      <c r="J141" s="66" t="n">
        <f aca="false">IF($C141="","",MAX(1,IFERROR(INDEX(商品マスタ!$I$6:$I$1005,MATCH($C141,商品マスタ!$B$6:$B$1005,0)),1)))</f>
        <v>1</v>
      </c>
      <c r="K141" s="69" t="n">
        <f aca="false">IF($C141="","",SUMIFS(①今日の在庫を貼る!$N$6:$N$10005,①今日の在庫を貼る!$B$6:$B$10005,'設定（最初に1回）'!$C$4,①今日の在庫を貼る!$I$6:$I$10005,$C141))</f>
        <v>0</v>
      </c>
      <c r="L141" s="69" t="n">
        <f aca="false">IF($C141="","",SUMIFS(月1回_前回の在庫を貼る!$N$6:$N$10005,月1回_前回の在庫を貼る!$B$6:$B$10005,'設定（最初に1回）'!$C$4,月1回_前回の在庫を貼る!$I$6:$I$10005,$C141))</f>
        <v>90</v>
      </c>
      <c r="M141" s="69" t="n">
        <f aca="false">IF($C141="","",IF(OR('設定（最初に1回）'!$C$6="",'設定（最初に1回）'!$C$7=""),0,SUMIFS(発注管理!$S$6:$S$1005,発注管理!$C$6:$C$1005,'設定（最初に1回）'!$C$4,発注管理!$F$6:$F$1005,$C141,発注管理!$R$6:$R$1005,"&gt;="&amp;'設定（最初に1回）'!$C$7,発注管理!$R$6:$R$1005,"&lt;="&amp;'設定（最初に1回）'!$C$6)))</f>
        <v>0</v>
      </c>
      <c r="N141" s="69" t="n">
        <f aca="false">IF(OR($C141="",'設定（最初に1回）'!$C$15=0),"",$L141+$M141-$K141)</f>
        <v>90</v>
      </c>
      <c r="O141" s="143" t="n">
        <f aca="false">IF(OR($N141="",'設定（最初に1回）'!$C$8="",'設定（最初に1回）'!$C$8&lt;=0),"",MAX(0,$N141)/'設定（最初に1回）'!$C$8)</f>
        <v>1.47540983606557</v>
      </c>
      <c r="P141" s="143" t="str">
        <f aca="false">IF($C141="","",IFERROR(INDEX(商品マスタ!$M$6:$N$1005,MATCH($C141,商品マスタ!$B$6:$B$1005,0),MATCH("PI値 "&amp;'設定（最初に1回）'!$C$11,商品マスタ!$M$5:$N$5,0)),""))</f>
        <v/>
      </c>
      <c r="Q141" s="143" t="str">
        <f aca="false">IF(OR($C141="",$P141="",$P141=0,(N($I141)+N($AG141))&lt;=0),"",IFERROR(SUMIFS(随時_動員を入れる!$G$8:$G$97,随時_動員を入れる!$B$8:$B$97,"&gt;="&amp;'設定（最初に1回）'!$C$6,随時_動員を入れる!$B$8:$B$97,"&lt;="&amp;'設定（最初に1回）'!$C$6+(N($I141)+N($AG141))-1)/(N($I141)+N($AG141)),0)*$P141/100)</f>
        <v/>
      </c>
      <c r="R141" s="69" t="n">
        <f aca="false">IF($C141="","",SUMIFS(①今日の在庫を貼る!$O$6:$O$10005,①今日の在庫を貼る!$B$6:$B$10005,'設定（最初に1回）'!$C$4,①今日の在庫を貼る!$I$6:$I$10005,$C141))</f>
        <v>0</v>
      </c>
      <c r="S141" s="143" t="n">
        <f aca="false">IF($C141="","",IF('設定（最初に1回）'!$C$9="実績消費",N($O141),IF('設定（最初に1回）'!$C$9="PI値予測",N($Q141),MAX(N($O141),N($Q141)))))</f>
        <v>1.47540983606557</v>
      </c>
      <c r="T141" s="67" t="n">
        <f aca="false">IF(OR($S141="",$S141&lt;=0),"",$K141/$S141)</f>
        <v>0</v>
      </c>
      <c r="U141" s="69" t="n">
        <f aca="false">IF($S141="","",ROUNDUP(N($S141)*'設定（最初に1回）'!$C$12,0))</f>
        <v>6</v>
      </c>
      <c r="V141" s="69" t="n">
        <f aca="false">IF($C141="","",ROUNDUP(N($S141)*(N($I141)+N($AG141))+N($U141),0))</f>
        <v>21</v>
      </c>
      <c r="W141" s="69" t="n">
        <f aca="false">IF($C141="","",SUMIFS(発注管理!$L$6:$L$1005,発注管理!$C$6:$C$1005,'設定（最初に1回）'!$C$4,発注管理!$F$6:$F$1005,$C141,発注管理!$Q$6:$Q$1005,"発注済"))</f>
        <v>0</v>
      </c>
      <c r="X141" s="69" t="n">
        <f aca="false">IF($C141="","",MAX(0,N($V141)-N($K141)-N($W141)))</f>
        <v>21</v>
      </c>
      <c r="Y141" s="147" t="n">
        <f aca="false">IF($C141="","",IF(N($X141)&lt;=0,0,CEILING($X141/MAX(1,N($G141)),MAX(1,N($J141)))))</f>
        <v>21</v>
      </c>
      <c r="Z141" s="138" t="str">
        <f aca="false">IF($C141="","",IF(N($Y141)&gt;0,"要発注","正常"))</f>
        <v>要発注</v>
      </c>
      <c r="AA141" s="71" t="n">
        <f aca="false">IF($C141="","",N($K141)*N($H141))</f>
        <v>0</v>
      </c>
      <c r="AB141" s="66" t="str">
        <f aca="false">IF($C141="","",_xlfn.TEXTJOIN(" / ",TRUE(),IF(COUNTIF(商品マスタ!$B$6:$B$1005,$C141)=0,"マスタ未登録",""),IF(COUNTIFS(月1回_前回の在庫を貼る!$B$6:$B$10005,'設定（最初に1回）'!$C$4,月1回_前回の在庫を貼る!$I$6:$I$10005,$C141)=0,"新商品",""),IF(COUNTIFS(①今日の在庫を貼る!$B$6:$B$10005,'設定（最初に1回）'!$C$4,①今日の在庫を貼る!$I$6:$I$10005,$C141)=0,"終売候補",""),IF(N($K141)&lt;0,"在庫マイナス",""),IF(AND('設定（最初に1回）'!$C$9="PI値予測",$P141=""),"PI値未設定","")))</f>
        <v>マスタ未登録 / 終売候補</v>
      </c>
      <c r="AC141" s="71" t="n">
        <f aca="false">N($Y141)*N($H141)</f>
        <v>7497</v>
      </c>
      <c r="AD141" s="66" t="str">
        <f aca="false">IF($C141="","",IFERROR(INDEX(商品マスタ!$K$6:$K$1005,MATCH($C141,商品マスタ!$B$6:$B$1005,0)),"常温"))</f>
        <v>常温</v>
      </c>
      <c r="AE141" s="69" t="n">
        <f aca="false">IF($C141="","",MAX(0,ROUNDUP(N($K141)/MAX(1,N($G141)),0)))</f>
        <v>0</v>
      </c>
      <c r="AF141" s="66" t="str">
        <f aca="false">IF($C141="","",IFERROR(INDEX(商品マスタ!$L$6:$L$1005,MATCH($C141,商品マスタ!$B$6:$B$1005,0)),""))</f>
        <v/>
      </c>
      <c r="AG141" s="143" t="n">
        <f aca="false">IF($C141="","",IFERROR(INDEX(定数マスタ!$S$110:$S$119,MATCH($AF141,定数マスタ!$J$110:$J$119,0)),N('設定（最初に1回）'!$C$13)))</f>
        <v>7</v>
      </c>
      <c r="AH141" s="66" t="n">
        <f aca="false">IF(AND(N($K141)&gt;0,N($Y141)&gt;0),N($Y141),0)</f>
        <v>0</v>
      </c>
    </row>
    <row r="142" customFormat="false" ht="15" hidden="false" customHeight="false" outlineLevel="0" collapsed="false">
      <c r="B142" s="66" t="n">
        <v>137</v>
      </c>
      <c r="C142" s="66" t="str">
        <f aca="false">IFERROR(IF($B142&lt;=MAX(①今日の在庫を貼る!$U$6:$U$10005),INDEX(①今日の在庫を貼る!$I$6:$I$10005,MATCH($B142,①今日の在庫を貼る!$U$6:$U$10005,0)),INDEX(月1回_前回の在庫を貼る!$I$6:$I$10005,MATCH($B142-MAX(①今日の在庫を貼る!$U$6:$U$10005),月1回_前回の在庫を貼る!$U$6:$U$10005,0))),"")</f>
        <v/>
      </c>
      <c r="D142" s="66" t="str">
        <f aca="false">IF($C142="","",IFERROR(INDEX(商品マスタ!$C$6:$C$1005,MATCH($C142,商品マスタ!$B$6:$B$1005,0)),IFERROR(INDEX(①今日の在庫を貼る!$J$6:$J$10005,MATCH($C142,①今日の在庫を貼る!$I$6:$I$10005,0)),IFERROR(INDEX(月1回_前回の在庫を貼る!$J$6:$J$10005,MATCH($C142,月1回_前回の在庫を貼る!$I$6:$I$10005,0)),""))))</f>
        <v/>
      </c>
      <c r="E142" s="66" t="str">
        <f aca="false">IF($C142="","",IFERROR(INDEX(商品マスタ!$D$6:$D$1005,MATCH($C142,商品マスタ!$B$6:$B$1005,0)),IFERROR(INDEX(①今日の在庫を貼る!$H$6:$H$10005,MATCH($C142,①今日の在庫を貼る!$I$6:$I$10005,0)),IFERROR(INDEX(月1回_前回の在庫を貼る!$H$6:$H$10005,MATCH($C142,月1回_前回の在庫を貼る!$I$6:$I$10005,0)),""))))</f>
        <v/>
      </c>
      <c r="F142" s="66" t="str">
        <f aca="false">IF($C142="","",IFERROR(INDEX(商品マスタ!$E$6:$E$1005,MATCH($C142,商品マスタ!$B$6:$B$1005,0)),IFERROR(INDEX(①今日の在庫を貼る!$E$6:$E$10005,MATCH($C142,①今日の在庫を貼る!$I$6:$I$10005,0)),IFERROR(INDEX(月1回_前回の在庫を貼る!$E$6:$E$10005,MATCH($C142,月1回_前回の在庫を貼る!$I$6:$I$10005,0)),""))))</f>
        <v/>
      </c>
      <c r="G142" s="69" t="str">
        <f aca="false">IF($C142="","",IFERROR(INDEX(商品マスタ!$F$6:$F$1005,MATCH($C142,商品マスタ!$B$6:$B$1005,0)),IFERROR(INDEX(①今日の在庫を貼る!$K$6:$K$10005,MATCH($C142,①今日の在庫を貼る!$I$6:$I$10005,0)),IFERROR(INDEX(月1回_前回の在庫を貼る!$K$6:$K$10005,MATCH($C142,月1回_前回の在庫を貼る!$I$6:$I$10005,0)),""))))</f>
        <v/>
      </c>
      <c r="H142" s="71" t="str">
        <f aca="false">IF($C142="","",IFERROR(INDEX(商品マスタ!$G$6:$G$1005,MATCH($C142,商品マスタ!$B$6:$B$1005,0)),IFERROR(INDEX(①今日の在庫を貼る!$Q$6:$Q$10005,MATCH($C142,①今日の在庫を貼る!$I$6:$I$10005,0)),IFERROR(INDEX(月1回_前回の在庫を貼る!$Q$6:$Q$10005,MATCH($C142,月1回_前回の在庫を貼る!$I$6:$I$10005,0)),""))))</f>
        <v/>
      </c>
      <c r="I142" s="66" t="str">
        <f aca="false">IF($C142="","",IFERROR(INDEX(商品マスタ!$H$6:$H$1005,MATCH($C142,商品マスタ!$B$6:$B$1005,0)),3))</f>
        <v/>
      </c>
      <c r="J142" s="66" t="str">
        <f aca="false">IF($C142="","",MAX(1,IFERROR(INDEX(商品マスタ!$I$6:$I$1005,MATCH($C142,商品マスタ!$B$6:$B$1005,0)),1)))</f>
        <v/>
      </c>
      <c r="K142" s="69" t="str">
        <f aca="false">IF($C142="","",SUMIFS(①今日の在庫を貼る!$N$6:$N$10005,①今日の在庫を貼る!$B$6:$B$10005,'設定（最初に1回）'!$C$4,①今日の在庫を貼る!$I$6:$I$10005,$C142))</f>
        <v/>
      </c>
      <c r="L142" s="69" t="str">
        <f aca="false">IF($C142="","",SUMIFS(月1回_前回の在庫を貼る!$N$6:$N$10005,月1回_前回の在庫を貼る!$B$6:$B$10005,'設定（最初に1回）'!$C$4,月1回_前回の在庫を貼る!$I$6:$I$10005,$C142))</f>
        <v/>
      </c>
      <c r="M142" s="69" t="str">
        <f aca="false">IF($C142="","",IF(OR('設定（最初に1回）'!$C$6="",'設定（最初に1回）'!$C$7=""),0,SUMIFS(発注管理!$S$6:$S$1005,発注管理!$C$6:$C$1005,'設定（最初に1回）'!$C$4,発注管理!$F$6:$F$1005,$C142,発注管理!$R$6:$R$1005,"&gt;="&amp;'設定（最初に1回）'!$C$7,発注管理!$R$6:$R$1005,"&lt;="&amp;'設定（最初に1回）'!$C$6)))</f>
        <v/>
      </c>
      <c r="N142" s="69" t="str">
        <f aca="false">IF(OR($C142="",'設定（最初に1回）'!$C$15=0),"",$L142+$M142-$K142)</f>
        <v/>
      </c>
      <c r="O142" s="143" t="str">
        <f aca="false">IF(OR($N142="",'設定（最初に1回）'!$C$8="",'設定（最初に1回）'!$C$8&lt;=0),"",MAX(0,$N142)/'設定（最初に1回）'!$C$8)</f>
        <v/>
      </c>
      <c r="P142" s="143" t="str">
        <f aca="false">IF($C142="","",IFERROR(INDEX(商品マスタ!$M$6:$N$1005,MATCH($C142,商品マスタ!$B$6:$B$1005,0),MATCH("PI値 "&amp;'設定（最初に1回）'!$C$11,商品マスタ!$M$5:$N$5,0)),""))</f>
        <v/>
      </c>
      <c r="Q142" s="143" t="str">
        <f aca="false">IF(OR($C142="",$P142="",$P142=0,(N($I142)+N($AG142))&lt;=0),"",IFERROR(SUMIFS(随時_動員を入れる!$G$8:$G$97,随時_動員を入れる!$B$8:$B$97,"&gt;="&amp;'設定（最初に1回）'!$C$6,随時_動員を入れる!$B$8:$B$97,"&lt;="&amp;'設定（最初に1回）'!$C$6+(N($I142)+N($AG142))-1)/(N($I142)+N($AG142)),0)*$P142/100)</f>
        <v/>
      </c>
      <c r="R142" s="69" t="str">
        <f aca="false">IF($C142="","",SUMIFS(①今日の在庫を貼る!$O$6:$O$10005,①今日の在庫を貼る!$B$6:$B$10005,'設定（最初に1回）'!$C$4,①今日の在庫を貼る!$I$6:$I$10005,$C142))</f>
        <v/>
      </c>
      <c r="S142" s="143" t="str">
        <f aca="false">IF($C142="","",IF('設定（最初に1回）'!$C$9="実績消費",N($O142),IF('設定（最初に1回）'!$C$9="PI値予測",N($Q142),MAX(N($O142),N($Q142)))))</f>
        <v/>
      </c>
      <c r="T142" s="67" t="str">
        <f aca="false">IF(OR($S142="",$S142&lt;=0),"",$K142/$S142)</f>
        <v/>
      </c>
      <c r="U142" s="69" t="str">
        <f aca="false">IF($S142="","",ROUNDUP(N($S142)*'設定（最初に1回）'!$C$12,0))</f>
        <v/>
      </c>
      <c r="V142" s="69" t="str">
        <f aca="false">IF($C142="","",ROUNDUP(N($S142)*(N($I142)+N($AG142))+N($U142),0))</f>
        <v/>
      </c>
      <c r="W142" s="69" t="str">
        <f aca="false">IF($C142="","",SUMIFS(発注管理!$L$6:$L$1005,発注管理!$C$6:$C$1005,'設定（最初に1回）'!$C$4,発注管理!$F$6:$F$1005,$C142,発注管理!$Q$6:$Q$1005,"発注済"))</f>
        <v/>
      </c>
      <c r="X142" s="69" t="str">
        <f aca="false">IF($C142="","",MAX(0,N($V142)-N($K142)-N($W142)))</f>
        <v/>
      </c>
      <c r="Y142" s="147" t="str">
        <f aca="false">IF($C142="","",IF(N($X142)&lt;=0,0,CEILING($X142/MAX(1,N($G142)),MAX(1,N($J142)))))</f>
        <v/>
      </c>
      <c r="Z142" s="138" t="str">
        <f aca="false">IF($C142="","",IF(N($Y142)&gt;0,"要発注","正常"))</f>
        <v/>
      </c>
      <c r="AA142" s="71" t="str">
        <f aca="false">IF($C142="","",N($K142)*N($H142))</f>
        <v/>
      </c>
      <c r="AB142" s="66" t="str">
        <f aca="false">IF($C142="","",_xlfn.TEXTJOIN(" / ",TRUE(),IF(COUNTIF(商品マスタ!$B$6:$B$1005,$C142)=0,"マスタ未登録",""),IF(COUNTIFS(月1回_前回の在庫を貼る!$B$6:$B$10005,'設定（最初に1回）'!$C$4,月1回_前回の在庫を貼る!$I$6:$I$10005,$C142)=0,"新商品",""),IF(COUNTIFS(①今日の在庫を貼る!$B$6:$B$10005,'設定（最初に1回）'!$C$4,①今日の在庫を貼る!$I$6:$I$10005,$C142)=0,"終売候補",""),IF(N($K142)&lt;0,"在庫マイナス",""),IF(AND('設定（最初に1回）'!$C$9="PI値予測",$P142=""),"PI値未設定","")))</f>
        <v/>
      </c>
      <c r="AC142" s="71" t="n">
        <f aca="false">N($Y142)*N($H142)</f>
        <v>0</v>
      </c>
      <c r="AD142" s="66" t="str">
        <f aca="false">IF($C142="","",IFERROR(INDEX(商品マスタ!$K$6:$K$1005,MATCH($C142,商品マスタ!$B$6:$B$1005,0)),"常温"))</f>
        <v/>
      </c>
      <c r="AE142" s="69" t="str">
        <f aca="false">IF($C142="","",MAX(0,ROUNDUP(N($K142)/MAX(1,N($G142)),0)))</f>
        <v/>
      </c>
      <c r="AF142" s="66" t="str">
        <f aca="false">IF($C142="","",IFERROR(INDEX(商品マスタ!$L$6:$L$1005,MATCH($C142,商品マスタ!$B$6:$B$1005,0)),""))</f>
        <v/>
      </c>
      <c r="AG142" s="143" t="str">
        <f aca="false">IF($C142="","",IFERROR(INDEX(定数マスタ!$S$110:$S$119,MATCH($AF142,定数マスタ!$J$110:$J$119,0)),N('設定（最初に1回）'!$C$13)))</f>
        <v/>
      </c>
      <c r="AH142" s="66" t="n">
        <f aca="false">IF(AND(N($K142)&gt;0,N($Y142)&gt;0),N($Y142),0)</f>
        <v>0</v>
      </c>
    </row>
    <row r="143" customFormat="false" ht="15" hidden="false" customHeight="false" outlineLevel="0" collapsed="false">
      <c r="B143" s="66" t="n">
        <v>138</v>
      </c>
      <c r="C143" s="66" t="str">
        <f aca="false">IFERROR(IF($B143&lt;=MAX(①今日の在庫を貼る!$U$6:$U$10005),INDEX(①今日の在庫を貼る!$I$6:$I$10005,MATCH($B143,①今日の在庫を貼る!$U$6:$U$10005,0)),INDEX(月1回_前回の在庫を貼る!$I$6:$I$10005,MATCH($B143-MAX(①今日の在庫を貼る!$U$6:$U$10005),月1回_前回の在庫を貼る!$U$6:$U$10005,0))),"")</f>
        <v/>
      </c>
      <c r="D143" s="66" t="str">
        <f aca="false">IF($C143="","",IFERROR(INDEX(商品マスタ!$C$6:$C$1005,MATCH($C143,商品マスタ!$B$6:$B$1005,0)),IFERROR(INDEX(①今日の在庫を貼る!$J$6:$J$10005,MATCH($C143,①今日の在庫を貼る!$I$6:$I$10005,0)),IFERROR(INDEX(月1回_前回の在庫を貼る!$J$6:$J$10005,MATCH($C143,月1回_前回の在庫を貼る!$I$6:$I$10005,0)),""))))</f>
        <v/>
      </c>
      <c r="E143" s="66" t="str">
        <f aca="false">IF($C143="","",IFERROR(INDEX(商品マスタ!$D$6:$D$1005,MATCH($C143,商品マスタ!$B$6:$B$1005,0)),IFERROR(INDEX(①今日の在庫を貼る!$H$6:$H$10005,MATCH($C143,①今日の在庫を貼る!$I$6:$I$10005,0)),IFERROR(INDEX(月1回_前回の在庫を貼る!$H$6:$H$10005,MATCH($C143,月1回_前回の在庫を貼る!$I$6:$I$10005,0)),""))))</f>
        <v/>
      </c>
      <c r="F143" s="66" t="str">
        <f aca="false">IF($C143="","",IFERROR(INDEX(商品マスタ!$E$6:$E$1005,MATCH($C143,商品マスタ!$B$6:$B$1005,0)),IFERROR(INDEX(①今日の在庫を貼る!$E$6:$E$10005,MATCH($C143,①今日の在庫を貼る!$I$6:$I$10005,0)),IFERROR(INDEX(月1回_前回の在庫を貼る!$E$6:$E$10005,MATCH($C143,月1回_前回の在庫を貼る!$I$6:$I$10005,0)),""))))</f>
        <v/>
      </c>
      <c r="G143" s="69" t="str">
        <f aca="false">IF($C143="","",IFERROR(INDEX(商品マスタ!$F$6:$F$1005,MATCH($C143,商品マスタ!$B$6:$B$1005,0)),IFERROR(INDEX(①今日の在庫を貼る!$K$6:$K$10005,MATCH($C143,①今日の在庫を貼る!$I$6:$I$10005,0)),IFERROR(INDEX(月1回_前回の在庫を貼る!$K$6:$K$10005,MATCH($C143,月1回_前回の在庫を貼る!$I$6:$I$10005,0)),""))))</f>
        <v/>
      </c>
      <c r="H143" s="71" t="str">
        <f aca="false">IF($C143="","",IFERROR(INDEX(商品マスタ!$G$6:$G$1005,MATCH($C143,商品マスタ!$B$6:$B$1005,0)),IFERROR(INDEX(①今日の在庫を貼る!$Q$6:$Q$10005,MATCH($C143,①今日の在庫を貼る!$I$6:$I$10005,0)),IFERROR(INDEX(月1回_前回の在庫を貼る!$Q$6:$Q$10005,MATCH($C143,月1回_前回の在庫を貼る!$I$6:$I$10005,0)),""))))</f>
        <v/>
      </c>
      <c r="I143" s="66" t="str">
        <f aca="false">IF($C143="","",IFERROR(INDEX(商品マスタ!$H$6:$H$1005,MATCH($C143,商品マスタ!$B$6:$B$1005,0)),3))</f>
        <v/>
      </c>
      <c r="J143" s="66" t="str">
        <f aca="false">IF($C143="","",MAX(1,IFERROR(INDEX(商品マスタ!$I$6:$I$1005,MATCH($C143,商品マスタ!$B$6:$B$1005,0)),1)))</f>
        <v/>
      </c>
      <c r="K143" s="69" t="str">
        <f aca="false">IF($C143="","",SUMIFS(①今日の在庫を貼る!$N$6:$N$10005,①今日の在庫を貼る!$B$6:$B$10005,'設定（最初に1回）'!$C$4,①今日の在庫を貼る!$I$6:$I$10005,$C143))</f>
        <v/>
      </c>
      <c r="L143" s="69" t="str">
        <f aca="false">IF($C143="","",SUMIFS(月1回_前回の在庫を貼る!$N$6:$N$10005,月1回_前回の在庫を貼る!$B$6:$B$10005,'設定（最初に1回）'!$C$4,月1回_前回の在庫を貼る!$I$6:$I$10005,$C143))</f>
        <v/>
      </c>
      <c r="M143" s="69" t="str">
        <f aca="false">IF($C143="","",IF(OR('設定（最初に1回）'!$C$6="",'設定（最初に1回）'!$C$7=""),0,SUMIFS(発注管理!$S$6:$S$1005,発注管理!$C$6:$C$1005,'設定（最初に1回）'!$C$4,発注管理!$F$6:$F$1005,$C143,発注管理!$R$6:$R$1005,"&gt;="&amp;'設定（最初に1回）'!$C$7,発注管理!$R$6:$R$1005,"&lt;="&amp;'設定（最初に1回）'!$C$6)))</f>
        <v/>
      </c>
      <c r="N143" s="69" t="str">
        <f aca="false">IF(OR($C143="",'設定（最初に1回）'!$C$15=0),"",$L143+$M143-$K143)</f>
        <v/>
      </c>
      <c r="O143" s="143" t="str">
        <f aca="false">IF(OR($N143="",'設定（最初に1回）'!$C$8="",'設定（最初に1回）'!$C$8&lt;=0),"",MAX(0,$N143)/'設定（最初に1回）'!$C$8)</f>
        <v/>
      </c>
      <c r="P143" s="143" t="str">
        <f aca="false">IF($C143="","",IFERROR(INDEX(商品マスタ!$M$6:$N$1005,MATCH($C143,商品マスタ!$B$6:$B$1005,0),MATCH("PI値 "&amp;'設定（最初に1回）'!$C$11,商品マスタ!$M$5:$N$5,0)),""))</f>
        <v/>
      </c>
      <c r="Q143" s="143" t="str">
        <f aca="false">IF(OR($C143="",$P143="",$P143=0,(N($I143)+N($AG143))&lt;=0),"",IFERROR(SUMIFS(随時_動員を入れる!$G$8:$G$97,随時_動員を入れる!$B$8:$B$97,"&gt;="&amp;'設定（最初に1回）'!$C$6,随時_動員を入れる!$B$8:$B$97,"&lt;="&amp;'設定（最初に1回）'!$C$6+(N($I143)+N($AG143))-1)/(N($I143)+N($AG143)),0)*$P143/100)</f>
        <v/>
      </c>
      <c r="R143" s="69" t="str">
        <f aca="false">IF($C143="","",SUMIFS(①今日の在庫を貼る!$O$6:$O$10005,①今日の在庫を貼る!$B$6:$B$10005,'設定（最初に1回）'!$C$4,①今日の在庫を貼る!$I$6:$I$10005,$C143))</f>
        <v/>
      </c>
      <c r="S143" s="143" t="str">
        <f aca="false">IF($C143="","",IF('設定（最初に1回）'!$C$9="実績消費",N($O143),IF('設定（最初に1回）'!$C$9="PI値予測",N($Q143),MAX(N($O143),N($Q143)))))</f>
        <v/>
      </c>
      <c r="T143" s="67" t="str">
        <f aca="false">IF(OR($S143="",$S143&lt;=0),"",$K143/$S143)</f>
        <v/>
      </c>
      <c r="U143" s="69" t="str">
        <f aca="false">IF($S143="","",ROUNDUP(N($S143)*'設定（最初に1回）'!$C$12,0))</f>
        <v/>
      </c>
      <c r="V143" s="69" t="str">
        <f aca="false">IF($C143="","",ROUNDUP(N($S143)*(N($I143)+N($AG143))+N($U143),0))</f>
        <v/>
      </c>
      <c r="W143" s="69" t="str">
        <f aca="false">IF($C143="","",SUMIFS(発注管理!$L$6:$L$1005,発注管理!$C$6:$C$1005,'設定（最初に1回）'!$C$4,発注管理!$F$6:$F$1005,$C143,発注管理!$Q$6:$Q$1005,"発注済"))</f>
        <v/>
      </c>
      <c r="X143" s="69" t="str">
        <f aca="false">IF($C143="","",MAX(0,N($V143)-N($K143)-N($W143)))</f>
        <v/>
      </c>
      <c r="Y143" s="147" t="str">
        <f aca="false">IF($C143="","",IF(N($X143)&lt;=0,0,CEILING($X143/MAX(1,N($G143)),MAX(1,N($J143)))))</f>
        <v/>
      </c>
      <c r="Z143" s="138" t="str">
        <f aca="false">IF($C143="","",IF(N($Y143)&gt;0,"要発注","正常"))</f>
        <v/>
      </c>
      <c r="AA143" s="71" t="str">
        <f aca="false">IF($C143="","",N($K143)*N($H143))</f>
        <v/>
      </c>
      <c r="AB143" s="66" t="str">
        <f aca="false">IF($C143="","",_xlfn.TEXTJOIN(" / ",TRUE(),IF(COUNTIF(商品マスタ!$B$6:$B$1005,$C143)=0,"マスタ未登録",""),IF(COUNTIFS(月1回_前回の在庫を貼る!$B$6:$B$10005,'設定（最初に1回）'!$C$4,月1回_前回の在庫を貼る!$I$6:$I$10005,$C143)=0,"新商品",""),IF(COUNTIFS(①今日の在庫を貼る!$B$6:$B$10005,'設定（最初に1回）'!$C$4,①今日の在庫を貼る!$I$6:$I$10005,$C143)=0,"終売候補",""),IF(N($K143)&lt;0,"在庫マイナス",""),IF(AND('設定（最初に1回）'!$C$9="PI値予測",$P143=""),"PI値未設定","")))</f>
        <v/>
      </c>
      <c r="AC143" s="71" t="n">
        <f aca="false">N($Y143)*N($H143)</f>
        <v>0</v>
      </c>
      <c r="AD143" s="66" t="str">
        <f aca="false">IF($C143="","",IFERROR(INDEX(商品マスタ!$K$6:$K$1005,MATCH($C143,商品マスタ!$B$6:$B$1005,0)),"常温"))</f>
        <v/>
      </c>
      <c r="AE143" s="69" t="str">
        <f aca="false">IF($C143="","",MAX(0,ROUNDUP(N($K143)/MAX(1,N($G143)),0)))</f>
        <v/>
      </c>
      <c r="AF143" s="66" t="str">
        <f aca="false">IF($C143="","",IFERROR(INDEX(商品マスタ!$L$6:$L$1005,MATCH($C143,商品マスタ!$B$6:$B$1005,0)),""))</f>
        <v/>
      </c>
      <c r="AG143" s="143" t="str">
        <f aca="false">IF($C143="","",IFERROR(INDEX(定数マスタ!$S$110:$S$119,MATCH($AF143,定数マスタ!$J$110:$J$119,0)),N('設定（最初に1回）'!$C$13)))</f>
        <v/>
      </c>
      <c r="AH143" s="66" t="n">
        <f aca="false">IF(AND(N($K143)&gt;0,N($Y143)&gt;0),N($Y143),0)</f>
        <v>0</v>
      </c>
    </row>
    <row r="144" customFormat="false" ht="15" hidden="false" customHeight="false" outlineLevel="0" collapsed="false">
      <c r="B144" s="66" t="n">
        <v>139</v>
      </c>
      <c r="C144" s="66" t="str">
        <f aca="false">IFERROR(IF($B144&lt;=MAX(①今日の在庫を貼る!$U$6:$U$10005),INDEX(①今日の在庫を貼る!$I$6:$I$10005,MATCH($B144,①今日の在庫を貼る!$U$6:$U$10005,0)),INDEX(月1回_前回の在庫を貼る!$I$6:$I$10005,MATCH($B144-MAX(①今日の在庫を貼る!$U$6:$U$10005),月1回_前回の在庫を貼る!$U$6:$U$10005,0))),"")</f>
        <v/>
      </c>
      <c r="D144" s="66" t="str">
        <f aca="false">IF($C144="","",IFERROR(INDEX(商品マスタ!$C$6:$C$1005,MATCH($C144,商品マスタ!$B$6:$B$1005,0)),IFERROR(INDEX(①今日の在庫を貼る!$J$6:$J$10005,MATCH($C144,①今日の在庫を貼る!$I$6:$I$10005,0)),IFERROR(INDEX(月1回_前回の在庫を貼る!$J$6:$J$10005,MATCH($C144,月1回_前回の在庫を貼る!$I$6:$I$10005,0)),""))))</f>
        <v/>
      </c>
      <c r="E144" s="66" t="str">
        <f aca="false">IF($C144="","",IFERROR(INDEX(商品マスタ!$D$6:$D$1005,MATCH($C144,商品マスタ!$B$6:$B$1005,0)),IFERROR(INDEX(①今日の在庫を貼る!$H$6:$H$10005,MATCH($C144,①今日の在庫を貼る!$I$6:$I$10005,0)),IFERROR(INDEX(月1回_前回の在庫を貼る!$H$6:$H$10005,MATCH($C144,月1回_前回の在庫を貼る!$I$6:$I$10005,0)),""))))</f>
        <v/>
      </c>
      <c r="F144" s="66" t="str">
        <f aca="false">IF($C144="","",IFERROR(INDEX(商品マスタ!$E$6:$E$1005,MATCH($C144,商品マスタ!$B$6:$B$1005,0)),IFERROR(INDEX(①今日の在庫を貼る!$E$6:$E$10005,MATCH($C144,①今日の在庫を貼る!$I$6:$I$10005,0)),IFERROR(INDEX(月1回_前回の在庫を貼る!$E$6:$E$10005,MATCH($C144,月1回_前回の在庫を貼る!$I$6:$I$10005,0)),""))))</f>
        <v/>
      </c>
      <c r="G144" s="69" t="str">
        <f aca="false">IF($C144="","",IFERROR(INDEX(商品マスタ!$F$6:$F$1005,MATCH($C144,商品マスタ!$B$6:$B$1005,0)),IFERROR(INDEX(①今日の在庫を貼る!$K$6:$K$10005,MATCH($C144,①今日の在庫を貼る!$I$6:$I$10005,0)),IFERROR(INDEX(月1回_前回の在庫を貼る!$K$6:$K$10005,MATCH($C144,月1回_前回の在庫を貼る!$I$6:$I$10005,0)),""))))</f>
        <v/>
      </c>
      <c r="H144" s="71" t="str">
        <f aca="false">IF($C144="","",IFERROR(INDEX(商品マスタ!$G$6:$G$1005,MATCH($C144,商品マスタ!$B$6:$B$1005,0)),IFERROR(INDEX(①今日の在庫を貼る!$Q$6:$Q$10005,MATCH($C144,①今日の在庫を貼る!$I$6:$I$10005,0)),IFERROR(INDEX(月1回_前回の在庫を貼る!$Q$6:$Q$10005,MATCH($C144,月1回_前回の在庫を貼る!$I$6:$I$10005,0)),""))))</f>
        <v/>
      </c>
      <c r="I144" s="66" t="str">
        <f aca="false">IF($C144="","",IFERROR(INDEX(商品マスタ!$H$6:$H$1005,MATCH($C144,商品マスタ!$B$6:$B$1005,0)),3))</f>
        <v/>
      </c>
      <c r="J144" s="66" t="str">
        <f aca="false">IF($C144="","",MAX(1,IFERROR(INDEX(商品マスタ!$I$6:$I$1005,MATCH($C144,商品マスタ!$B$6:$B$1005,0)),1)))</f>
        <v/>
      </c>
      <c r="K144" s="69" t="str">
        <f aca="false">IF($C144="","",SUMIFS(①今日の在庫を貼る!$N$6:$N$10005,①今日の在庫を貼る!$B$6:$B$10005,'設定（最初に1回）'!$C$4,①今日の在庫を貼る!$I$6:$I$10005,$C144))</f>
        <v/>
      </c>
      <c r="L144" s="69" t="str">
        <f aca="false">IF($C144="","",SUMIFS(月1回_前回の在庫を貼る!$N$6:$N$10005,月1回_前回の在庫を貼る!$B$6:$B$10005,'設定（最初に1回）'!$C$4,月1回_前回の在庫を貼る!$I$6:$I$10005,$C144))</f>
        <v/>
      </c>
      <c r="M144" s="69" t="str">
        <f aca="false">IF($C144="","",IF(OR('設定（最初に1回）'!$C$6="",'設定（最初に1回）'!$C$7=""),0,SUMIFS(発注管理!$S$6:$S$1005,発注管理!$C$6:$C$1005,'設定（最初に1回）'!$C$4,発注管理!$F$6:$F$1005,$C144,発注管理!$R$6:$R$1005,"&gt;="&amp;'設定（最初に1回）'!$C$7,発注管理!$R$6:$R$1005,"&lt;="&amp;'設定（最初に1回）'!$C$6)))</f>
        <v/>
      </c>
      <c r="N144" s="69" t="str">
        <f aca="false">IF(OR($C144="",'設定（最初に1回）'!$C$15=0),"",$L144+$M144-$K144)</f>
        <v/>
      </c>
      <c r="O144" s="143" t="str">
        <f aca="false">IF(OR($N144="",'設定（最初に1回）'!$C$8="",'設定（最初に1回）'!$C$8&lt;=0),"",MAX(0,$N144)/'設定（最初に1回）'!$C$8)</f>
        <v/>
      </c>
      <c r="P144" s="143" t="str">
        <f aca="false">IF($C144="","",IFERROR(INDEX(商品マスタ!$M$6:$N$1005,MATCH($C144,商品マスタ!$B$6:$B$1005,0),MATCH("PI値 "&amp;'設定（最初に1回）'!$C$11,商品マスタ!$M$5:$N$5,0)),""))</f>
        <v/>
      </c>
      <c r="Q144" s="143" t="str">
        <f aca="false">IF(OR($C144="",$P144="",$P144=0,(N($I144)+N($AG144))&lt;=0),"",IFERROR(SUMIFS(随時_動員を入れる!$G$8:$G$97,随時_動員を入れる!$B$8:$B$97,"&gt;="&amp;'設定（最初に1回）'!$C$6,随時_動員を入れる!$B$8:$B$97,"&lt;="&amp;'設定（最初に1回）'!$C$6+(N($I144)+N($AG144))-1)/(N($I144)+N($AG144)),0)*$P144/100)</f>
        <v/>
      </c>
      <c r="R144" s="69" t="str">
        <f aca="false">IF($C144="","",SUMIFS(①今日の在庫を貼る!$O$6:$O$10005,①今日の在庫を貼る!$B$6:$B$10005,'設定（最初に1回）'!$C$4,①今日の在庫を貼る!$I$6:$I$10005,$C144))</f>
        <v/>
      </c>
      <c r="S144" s="143" t="str">
        <f aca="false">IF($C144="","",IF('設定（最初に1回）'!$C$9="実績消費",N($O144),IF('設定（最初に1回）'!$C$9="PI値予測",N($Q144),MAX(N($O144),N($Q144)))))</f>
        <v/>
      </c>
      <c r="T144" s="67" t="str">
        <f aca="false">IF(OR($S144="",$S144&lt;=0),"",$K144/$S144)</f>
        <v/>
      </c>
      <c r="U144" s="69" t="str">
        <f aca="false">IF($S144="","",ROUNDUP(N($S144)*'設定（最初に1回）'!$C$12,0))</f>
        <v/>
      </c>
      <c r="V144" s="69" t="str">
        <f aca="false">IF($C144="","",ROUNDUP(N($S144)*(N($I144)+N($AG144))+N($U144),0))</f>
        <v/>
      </c>
      <c r="W144" s="69" t="str">
        <f aca="false">IF($C144="","",SUMIFS(発注管理!$L$6:$L$1005,発注管理!$C$6:$C$1005,'設定（最初に1回）'!$C$4,発注管理!$F$6:$F$1005,$C144,発注管理!$Q$6:$Q$1005,"発注済"))</f>
        <v/>
      </c>
      <c r="X144" s="69" t="str">
        <f aca="false">IF($C144="","",MAX(0,N($V144)-N($K144)-N($W144)))</f>
        <v/>
      </c>
      <c r="Y144" s="147" t="str">
        <f aca="false">IF($C144="","",IF(N($X144)&lt;=0,0,CEILING($X144/MAX(1,N($G144)),MAX(1,N($J144)))))</f>
        <v/>
      </c>
      <c r="Z144" s="138" t="str">
        <f aca="false">IF($C144="","",IF(N($Y144)&gt;0,"要発注","正常"))</f>
        <v/>
      </c>
      <c r="AA144" s="71" t="str">
        <f aca="false">IF($C144="","",N($K144)*N($H144))</f>
        <v/>
      </c>
      <c r="AB144" s="66" t="str">
        <f aca="false">IF($C144="","",_xlfn.TEXTJOIN(" / ",TRUE(),IF(COUNTIF(商品マスタ!$B$6:$B$1005,$C144)=0,"マスタ未登録",""),IF(COUNTIFS(月1回_前回の在庫を貼る!$B$6:$B$10005,'設定（最初に1回）'!$C$4,月1回_前回の在庫を貼る!$I$6:$I$10005,$C144)=0,"新商品",""),IF(COUNTIFS(①今日の在庫を貼る!$B$6:$B$10005,'設定（最初に1回）'!$C$4,①今日の在庫を貼る!$I$6:$I$10005,$C144)=0,"終売候補",""),IF(N($K144)&lt;0,"在庫マイナス",""),IF(AND('設定（最初に1回）'!$C$9="PI値予測",$P144=""),"PI値未設定","")))</f>
        <v/>
      </c>
      <c r="AC144" s="71" t="n">
        <f aca="false">N($Y144)*N($H144)</f>
        <v>0</v>
      </c>
      <c r="AD144" s="66" t="str">
        <f aca="false">IF($C144="","",IFERROR(INDEX(商品マスタ!$K$6:$K$1005,MATCH($C144,商品マスタ!$B$6:$B$1005,0)),"常温"))</f>
        <v/>
      </c>
      <c r="AE144" s="69" t="str">
        <f aca="false">IF($C144="","",MAX(0,ROUNDUP(N($K144)/MAX(1,N($G144)),0)))</f>
        <v/>
      </c>
      <c r="AF144" s="66" t="str">
        <f aca="false">IF($C144="","",IFERROR(INDEX(商品マスタ!$L$6:$L$1005,MATCH($C144,商品マスタ!$B$6:$B$1005,0)),""))</f>
        <v/>
      </c>
      <c r="AG144" s="143" t="str">
        <f aca="false">IF($C144="","",IFERROR(INDEX(定数マスタ!$S$110:$S$119,MATCH($AF144,定数マスタ!$J$110:$J$119,0)),N('設定（最初に1回）'!$C$13)))</f>
        <v/>
      </c>
      <c r="AH144" s="66" t="n">
        <f aca="false">IF(AND(N($K144)&gt;0,N($Y144)&gt;0),N($Y144),0)</f>
        <v>0</v>
      </c>
    </row>
    <row r="145" customFormat="false" ht="15" hidden="false" customHeight="false" outlineLevel="0" collapsed="false">
      <c r="B145" s="66" t="n">
        <v>140</v>
      </c>
      <c r="C145" s="66" t="str">
        <f aca="false">IFERROR(IF($B145&lt;=MAX(①今日の在庫を貼る!$U$6:$U$10005),INDEX(①今日の在庫を貼る!$I$6:$I$10005,MATCH($B145,①今日の在庫を貼る!$U$6:$U$10005,0)),INDEX(月1回_前回の在庫を貼る!$I$6:$I$10005,MATCH($B145-MAX(①今日の在庫を貼る!$U$6:$U$10005),月1回_前回の在庫を貼る!$U$6:$U$10005,0))),"")</f>
        <v/>
      </c>
      <c r="D145" s="66" t="str">
        <f aca="false">IF($C145="","",IFERROR(INDEX(商品マスタ!$C$6:$C$1005,MATCH($C145,商品マスタ!$B$6:$B$1005,0)),IFERROR(INDEX(①今日の在庫を貼る!$J$6:$J$10005,MATCH($C145,①今日の在庫を貼る!$I$6:$I$10005,0)),IFERROR(INDEX(月1回_前回の在庫を貼る!$J$6:$J$10005,MATCH($C145,月1回_前回の在庫を貼る!$I$6:$I$10005,0)),""))))</f>
        <v/>
      </c>
      <c r="E145" s="66" t="str">
        <f aca="false">IF($C145="","",IFERROR(INDEX(商品マスタ!$D$6:$D$1005,MATCH($C145,商品マスタ!$B$6:$B$1005,0)),IFERROR(INDEX(①今日の在庫を貼る!$H$6:$H$10005,MATCH($C145,①今日の在庫を貼る!$I$6:$I$10005,0)),IFERROR(INDEX(月1回_前回の在庫を貼る!$H$6:$H$10005,MATCH($C145,月1回_前回の在庫を貼る!$I$6:$I$10005,0)),""))))</f>
        <v/>
      </c>
      <c r="F145" s="66" t="str">
        <f aca="false">IF($C145="","",IFERROR(INDEX(商品マスタ!$E$6:$E$1005,MATCH($C145,商品マスタ!$B$6:$B$1005,0)),IFERROR(INDEX(①今日の在庫を貼る!$E$6:$E$10005,MATCH($C145,①今日の在庫を貼る!$I$6:$I$10005,0)),IFERROR(INDEX(月1回_前回の在庫を貼る!$E$6:$E$10005,MATCH($C145,月1回_前回の在庫を貼る!$I$6:$I$10005,0)),""))))</f>
        <v/>
      </c>
      <c r="G145" s="69" t="str">
        <f aca="false">IF($C145="","",IFERROR(INDEX(商品マスタ!$F$6:$F$1005,MATCH($C145,商品マスタ!$B$6:$B$1005,0)),IFERROR(INDEX(①今日の在庫を貼る!$K$6:$K$10005,MATCH($C145,①今日の在庫を貼る!$I$6:$I$10005,0)),IFERROR(INDEX(月1回_前回の在庫を貼る!$K$6:$K$10005,MATCH($C145,月1回_前回の在庫を貼る!$I$6:$I$10005,0)),""))))</f>
        <v/>
      </c>
      <c r="H145" s="71" t="str">
        <f aca="false">IF($C145="","",IFERROR(INDEX(商品マスタ!$G$6:$G$1005,MATCH($C145,商品マスタ!$B$6:$B$1005,0)),IFERROR(INDEX(①今日の在庫を貼る!$Q$6:$Q$10005,MATCH($C145,①今日の在庫を貼る!$I$6:$I$10005,0)),IFERROR(INDEX(月1回_前回の在庫を貼る!$Q$6:$Q$10005,MATCH($C145,月1回_前回の在庫を貼る!$I$6:$I$10005,0)),""))))</f>
        <v/>
      </c>
      <c r="I145" s="66" t="str">
        <f aca="false">IF($C145="","",IFERROR(INDEX(商品マスタ!$H$6:$H$1005,MATCH($C145,商品マスタ!$B$6:$B$1005,0)),3))</f>
        <v/>
      </c>
      <c r="J145" s="66" t="str">
        <f aca="false">IF($C145="","",MAX(1,IFERROR(INDEX(商品マスタ!$I$6:$I$1005,MATCH($C145,商品マスタ!$B$6:$B$1005,0)),1)))</f>
        <v/>
      </c>
      <c r="K145" s="69" t="str">
        <f aca="false">IF($C145="","",SUMIFS(①今日の在庫を貼る!$N$6:$N$10005,①今日の在庫を貼る!$B$6:$B$10005,'設定（最初に1回）'!$C$4,①今日の在庫を貼る!$I$6:$I$10005,$C145))</f>
        <v/>
      </c>
      <c r="L145" s="69" t="str">
        <f aca="false">IF($C145="","",SUMIFS(月1回_前回の在庫を貼る!$N$6:$N$10005,月1回_前回の在庫を貼る!$B$6:$B$10005,'設定（最初に1回）'!$C$4,月1回_前回の在庫を貼る!$I$6:$I$10005,$C145))</f>
        <v/>
      </c>
      <c r="M145" s="69" t="str">
        <f aca="false">IF($C145="","",IF(OR('設定（最初に1回）'!$C$6="",'設定（最初に1回）'!$C$7=""),0,SUMIFS(発注管理!$S$6:$S$1005,発注管理!$C$6:$C$1005,'設定（最初に1回）'!$C$4,発注管理!$F$6:$F$1005,$C145,発注管理!$R$6:$R$1005,"&gt;="&amp;'設定（最初に1回）'!$C$7,発注管理!$R$6:$R$1005,"&lt;="&amp;'設定（最初に1回）'!$C$6)))</f>
        <v/>
      </c>
      <c r="N145" s="69" t="str">
        <f aca="false">IF(OR($C145="",'設定（最初に1回）'!$C$15=0),"",$L145+$M145-$K145)</f>
        <v/>
      </c>
      <c r="O145" s="143" t="str">
        <f aca="false">IF(OR($N145="",'設定（最初に1回）'!$C$8="",'設定（最初に1回）'!$C$8&lt;=0),"",MAX(0,$N145)/'設定（最初に1回）'!$C$8)</f>
        <v/>
      </c>
      <c r="P145" s="143" t="str">
        <f aca="false">IF($C145="","",IFERROR(INDEX(商品マスタ!$M$6:$N$1005,MATCH($C145,商品マスタ!$B$6:$B$1005,0),MATCH("PI値 "&amp;'設定（最初に1回）'!$C$11,商品マスタ!$M$5:$N$5,0)),""))</f>
        <v/>
      </c>
      <c r="Q145" s="143" t="str">
        <f aca="false">IF(OR($C145="",$P145="",$P145=0,(N($I145)+N($AG145))&lt;=0),"",IFERROR(SUMIFS(随時_動員を入れる!$G$8:$G$97,随時_動員を入れる!$B$8:$B$97,"&gt;="&amp;'設定（最初に1回）'!$C$6,随時_動員を入れる!$B$8:$B$97,"&lt;="&amp;'設定（最初に1回）'!$C$6+(N($I145)+N($AG145))-1)/(N($I145)+N($AG145)),0)*$P145/100)</f>
        <v/>
      </c>
      <c r="R145" s="69" t="str">
        <f aca="false">IF($C145="","",SUMIFS(①今日の在庫を貼る!$O$6:$O$10005,①今日の在庫を貼る!$B$6:$B$10005,'設定（最初に1回）'!$C$4,①今日の在庫を貼る!$I$6:$I$10005,$C145))</f>
        <v/>
      </c>
      <c r="S145" s="143" t="str">
        <f aca="false">IF($C145="","",IF('設定（最初に1回）'!$C$9="実績消費",N($O145),IF('設定（最初に1回）'!$C$9="PI値予測",N($Q145),MAX(N($O145),N($Q145)))))</f>
        <v/>
      </c>
      <c r="T145" s="67" t="str">
        <f aca="false">IF(OR($S145="",$S145&lt;=0),"",$K145/$S145)</f>
        <v/>
      </c>
      <c r="U145" s="69" t="str">
        <f aca="false">IF($S145="","",ROUNDUP(N($S145)*'設定（最初に1回）'!$C$12,0))</f>
        <v/>
      </c>
      <c r="V145" s="69" t="str">
        <f aca="false">IF($C145="","",ROUNDUP(N($S145)*(N($I145)+N($AG145))+N($U145),0))</f>
        <v/>
      </c>
      <c r="W145" s="69" t="str">
        <f aca="false">IF($C145="","",SUMIFS(発注管理!$L$6:$L$1005,発注管理!$C$6:$C$1005,'設定（最初に1回）'!$C$4,発注管理!$F$6:$F$1005,$C145,発注管理!$Q$6:$Q$1005,"発注済"))</f>
        <v/>
      </c>
      <c r="X145" s="69" t="str">
        <f aca="false">IF($C145="","",MAX(0,N($V145)-N($K145)-N($W145)))</f>
        <v/>
      </c>
      <c r="Y145" s="147" t="str">
        <f aca="false">IF($C145="","",IF(N($X145)&lt;=0,0,CEILING($X145/MAX(1,N($G145)),MAX(1,N($J145)))))</f>
        <v/>
      </c>
      <c r="Z145" s="138" t="str">
        <f aca="false">IF($C145="","",IF(N($Y145)&gt;0,"要発注","正常"))</f>
        <v/>
      </c>
      <c r="AA145" s="71" t="str">
        <f aca="false">IF($C145="","",N($K145)*N($H145))</f>
        <v/>
      </c>
      <c r="AB145" s="66" t="str">
        <f aca="false">IF($C145="","",_xlfn.TEXTJOIN(" / ",TRUE(),IF(COUNTIF(商品マスタ!$B$6:$B$1005,$C145)=0,"マスタ未登録",""),IF(COUNTIFS(月1回_前回の在庫を貼る!$B$6:$B$10005,'設定（最初に1回）'!$C$4,月1回_前回の在庫を貼る!$I$6:$I$10005,$C145)=0,"新商品",""),IF(COUNTIFS(①今日の在庫を貼る!$B$6:$B$10005,'設定（最初に1回）'!$C$4,①今日の在庫を貼る!$I$6:$I$10005,$C145)=0,"終売候補",""),IF(N($K145)&lt;0,"在庫マイナス",""),IF(AND('設定（最初に1回）'!$C$9="PI値予測",$P145=""),"PI値未設定","")))</f>
        <v/>
      </c>
      <c r="AC145" s="71" t="n">
        <f aca="false">N($Y145)*N($H145)</f>
        <v>0</v>
      </c>
      <c r="AD145" s="66" t="str">
        <f aca="false">IF($C145="","",IFERROR(INDEX(商品マスタ!$K$6:$K$1005,MATCH($C145,商品マスタ!$B$6:$B$1005,0)),"常温"))</f>
        <v/>
      </c>
      <c r="AE145" s="69" t="str">
        <f aca="false">IF($C145="","",MAX(0,ROUNDUP(N($K145)/MAX(1,N($G145)),0)))</f>
        <v/>
      </c>
      <c r="AF145" s="66" t="str">
        <f aca="false">IF($C145="","",IFERROR(INDEX(商品マスタ!$L$6:$L$1005,MATCH($C145,商品マスタ!$B$6:$B$1005,0)),""))</f>
        <v/>
      </c>
      <c r="AG145" s="143" t="str">
        <f aca="false">IF($C145="","",IFERROR(INDEX(定数マスタ!$S$110:$S$119,MATCH($AF145,定数マスタ!$J$110:$J$119,0)),N('設定（最初に1回）'!$C$13)))</f>
        <v/>
      </c>
      <c r="AH145" s="66" t="n">
        <f aca="false">IF(AND(N($K145)&gt;0,N($Y145)&gt;0),N($Y145),0)</f>
        <v>0</v>
      </c>
    </row>
    <row r="146" customFormat="false" ht="15" hidden="false" customHeight="false" outlineLevel="0" collapsed="false">
      <c r="B146" s="66" t="n">
        <v>141</v>
      </c>
      <c r="C146" s="66" t="str">
        <f aca="false">IFERROR(IF($B146&lt;=MAX(①今日の在庫を貼る!$U$6:$U$10005),INDEX(①今日の在庫を貼る!$I$6:$I$10005,MATCH($B146,①今日の在庫を貼る!$U$6:$U$10005,0)),INDEX(月1回_前回の在庫を貼る!$I$6:$I$10005,MATCH($B146-MAX(①今日の在庫を貼る!$U$6:$U$10005),月1回_前回の在庫を貼る!$U$6:$U$10005,0))),"")</f>
        <v/>
      </c>
      <c r="D146" s="66" t="str">
        <f aca="false">IF($C146="","",IFERROR(INDEX(商品マスタ!$C$6:$C$1005,MATCH($C146,商品マスタ!$B$6:$B$1005,0)),IFERROR(INDEX(①今日の在庫を貼る!$J$6:$J$10005,MATCH($C146,①今日の在庫を貼る!$I$6:$I$10005,0)),IFERROR(INDEX(月1回_前回の在庫を貼る!$J$6:$J$10005,MATCH($C146,月1回_前回の在庫を貼る!$I$6:$I$10005,0)),""))))</f>
        <v/>
      </c>
      <c r="E146" s="66" t="str">
        <f aca="false">IF($C146="","",IFERROR(INDEX(商品マスタ!$D$6:$D$1005,MATCH($C146,商品マスタ!$B$6:$B$1005,0)),IFERROR(INDEX(①今日の在庫を貼る!$H$6:$H$10005,MATCH($C146,①今日の在庫を貼る!$I$6:$I$10005,0)),IFERROR(INDEX(月1回_前回の在庫を貼る!$H$6:$H$10005,MATCH($C146,月1回_前回の在庫を貼る!$I$6:$I$10005,0)),""))))</f>
        <v/>
      </c>
      <c r="F146" s="66" t="str">
        <f aca="false">IF($C146="","",IFERROR(INDEX(商品マスタ!$E$6:$E$1005,MATCH($C146,商品マスタ!$B$6:$B$1005,0)),IFERROR(INDEX(①今日の在庫を貼る!$E$6:$E$10005,MATCH($C146,①今日の在庫を貼る!$I$6:$I$10005,0)),IFERROR(INDEX(月1回_前回の在庫を貼る!$E$6:$E$10005,MATCH($C146,月1回_前回の在庫を貼る!$I$6:$I$10005,0)),""))))</f>
        <v/>
      </c>
      <c r="G146" s="69" t="str">
        <f aca="false">IF($C146="","",IFERROR(INDEX(商品マスタ!$F$6:$F$1005,MATCH($C146,商品マスタ!$B$6:$B$1005,0)),IFERROR(INDEX(①今日の在庫を貼る!$K$6:$K$10005,MATCH($C146,①今日の在庫を貼る!$I$6:$I$10005,0)),IFERROR(INDEX(月1回_前回の在庫を貼る!$K$6:$K$10005,MATCH($C146,月1回_前回の在庫を貼る!$I$6:$I$10005,0)),""))))</f>
        <v/>
      </c>
      <c r="H146" s="71" t="str">
        <f aca="false">IF($C146="","",IFERROR(INDEX(商品マスタ!$G$6:$G$1005,MATCH($C146,商品マスタ!$B$6:$B$1005,0)),IFERROR(INDEX(①今日の在庫を貼る!$Q$6:$Q$10005,MATCH($C146,①今日の在庫を貼る!$I$6:$I$10005,0)),IFERROR(INDEX(月1回_前回の在庫を貼る!$Q$6:$Q$10005,MATCH($C146,月1回_前回の在庫を貼る!$I$6:$I$10005,0)),""))))</f>
        <v/>
      </c>
      <c r="I146" s="66" t="str">
        <f aca="false">IF($C146="","",IFERROR(INDEX(商品マスタ!$H$6:$H$1005,MATCH($C146,商品マスタ!$B$6:$B$1005,0)),3))</f>
        <v/>
      </c>
      <c r="J146" s="66" t="str">
        <f aca="false">IF($C146="","",MAX(1,IFERROR(INDEX(商品マスタ!$I$6:$I$1005,MATCH($C146,商品マスタ!$B$6:$B$1005,0)),1)))</f>
        <v/>
      </c>
      <c r="K146" s="69" t="str">
        <f aca="false">IF($C146="","",SUMIFS(①今日の在庫を貼る!$N$6:$N$10005,①今日の在庫を貼る!$B$6:$B$10005,'設定（最初に1回）'!$C$4,①今日の在庫を貼る!$I$6:$I$10005,$C146))</f>
        <v/>
      </c>
      <c r="L146" s="69" t="str">
        <f aca="false">IF($C146="","",SUMIFS(月1回_前回の在庫を貼る!$N$6:$N$10005,月1回_前回の在庫を貼る!$B$6:$B$10005,'設定（最初に1回）'!$C$4,月1回_前回の在庫を貼る!$I$6:$I$10005,$C146))</f>
        <v/>
      </c>
      <c r="M146" s="69" t="str">
        <f aca="false">IF($C146="","",IF(OR('設定（最初に1回）'!$C$6="",'設定（最初に1回）'!$C$7=""),0,SUMIFS(発注管理!$S$6:$S$1005,発注管理!$C$6:$C$1005,'設定（最初に1回）'!$C$4,発注管理!$F$6:$F$1005,$C146,発注管理!$R$6:$R$1005,"&gt;="&amp;'設定（最初に1回）'!$C$7,発注管理!$R$6:$R$1005,"&lt;="&amp;'設定（最初に1回）'!$C$6)))</f>
        <v/>
      </c>
      <c r="N146" s="69" t="str">
        <f aca="false">IF(OR($C146="",'設定（最初に1回）'!$C$15=0),"",$L146+$M146-$K146)</f>
        <v/>
      </c>
      <c r="O146" s="143" t="str">
        <f aca="false">IF(OR($N146="",'設定（最初に1回）'!$C$8="",'設定（最初に1回）'!$C$8&lt;=0),"",MAX(0,$N146)/'設定（最初に1回）'!$C$8)</f>
        <v/>
      </c>
      <c r="P146" s="143" t="str">
        <f aca="false">IF($C146="","",IFERROR(INDEX(商品マスタ!$M$6:$N$1005,MATCH($C146,商品マスタ!$B$6:$B$1005,0),MATCH("PI値 "&amp;'設定（最初に1回）'!$C$11,商品マスタ!$M$5:$N$5,0)),""))</f>
        <v/>
      </c>
      <c r="Q146" s="143" t="str">
        <f aca="false">IF(OR($C146="",$P146="",$P146=0,(N($I146)+N($AG146))&lt;=0),"",IFERROR(SUMIFS(随時_動員を入れる!$G$8:$G$97,随時_動員を入れる!$B$8:$B$97,"&gt;="&amp;'設定（最初に1回）'!$C$6,随時_動員を入れる!$B$8:$B$97,"&lt;="&amp;'設定（最初に1回）'!$C$6+(N($I146)+N($AG146))-1)/(N($I146)+N($AG146)),0)*$P146/100)</f>
        <v/>
      </c>
      <c r="R146" s="69" t="str">
        <f aca="false">IF($C146="","",SUMIFS(①今日の在庫を貼る!$O$6:$O$10005,①今日の在庫を貼る!$B$6:$B$10005,'設定（最初に1回）'!$C$4,①今日の在庫を貼る!$I$6:$I$10005,$C146))</f>
        <v/>
      </c>
      <c r="S146" s="143" t="str">
        <f aca="false">IF($C146="","",IF('設定（最初に1回）'!$C$9="実績消費",N($O146),IF('設定（最初に1回）'!$C$9="PI値予測",N($Q146),MAX(N($O146),N($Q146)))))</f>
        <v/>
      </c>
      <c r="T146" s="67" t="str">
        <f aca="false">IF(OR($S146="",$S146&lt;=0),"",$K146/$S146)</f>
        <v/>
      </c>
      <c r="U146" s="69" t="str">
        <f aca="false">IF($S146="","",ROUNDUP(N($S146)*'設定（最初に1回）'!$C$12,0))</f>
        <v/>
      </c>
      <c r="V146" s="69" t="str">
        <f aca="false">IF($C146="","",ROUNDUP(N($S146)*(N($I146)+N($AG146))+N($U146),0))</f>
        <v/>
      </c>
      <c r="W146" s="69" t="str">
        <f aca="false">IF($C146="","",SUMIFS(発注管理!$L$6:$L$1005,発注管理!$C$6:$C$1005,'設定（最初に1回）'!$C$4,発注管理!$F$6:$F$1005,$C146,発注管理!$Q$6:$Q$1005,"発注済"))</f>
        <v/>
      </c>
      <c r="X146" s="69" t="str">
        <f aca="false">IF($C146="","",MAX(0,N($V146)-N($K146)-N($W146)))</f>
        <v/>
      </c>
      <c r="Y146" s="147" t="str">
        <f aca="false">IF($C146="","",IF(N($X146)&lt;=0,0,CEILING($X146/MAX(1,N($G146)),MAX(1,N($J146)))))</f>
        <v/>
      </c>
      <c r="Z146" s="138" t="str">
        <f aca="false">IF($C146="","",IF(N($Y146)&gt;0,"要発注","正常"))</f>
        <v/>
      </c>
      <c r="AA146" s="71" t="str">
        <f aca="false">IF($C146="","",N($K146)*N($H146))</f>
        <v/>
      </c>
      <c r="AB146" s="66" t="str">
        <f aca="false">IF($C146="","",_xlfn.TEXTJOIN(" / ",TRUE(),IF(COUNTIF(商品マスタ!$B$6:$B$1005,$C146)=0,"マスタ未登録",""),IF(COUNTIFS(月1回_前回の在庫を貼る!$B$6:$B$10005,'設定（最初に1回）'!$C$4,月1回_前回の在庫を貼る!$I$6:$I$10005,$C146)=0,"新商品",""),IF(COUNTIFS(①今日の在庫を貼る!$B$6:$B$10005,'設定（最初に1回）'!$C$4,①今日の在庫を貼る!$I$6:$I$10005,$C146)=0,"終売候補",""),IF(N($K146)&lt;0,"在庫マイナス",""),IF(AND('設定（最初に1回）'!$C$9="PI値予測",$P146=""),"PI値未設定","")))</f>
        <v/>
      </c>
      <c r="AC146" s="71" t="n">
        <f aca="false">N($Y146)*N($H146)</f>
        <v>0</v>
      </c>
      <c r="AD146" s="66" t="str">
        <f aca="false">IF($C146="","",IFERROR(INDEX(商品マスタ!$K$6:$K$1005,MATCH($C146,商品マスタ!$B$6:$B$1005,0)),"常温"))</f>
        <v/>
      </c>
      <c r="AE146" s="69" t="str">
        <f aca="false">IF($C146="","",MAX(0,ROUNDUP(N($K146)/MAX(1,N($G146)),0)))</f>
        <v/>
      </c>
      <c r="AF146" s="66" t="str">
        <f aca="false">IF($C146="","",IFERROR(INDEX(商品マスタ!$L$6:$L$1005,MATCH($C146,商品マスタ!$B$6:$B$1005,0)),""))</f>
        <v/>
      </c>
      <c r="AG146" s="143" t="str">
        <f aca="false">IF($C146="","",IFERROR(INDEX(定数マスタ!$S$110:$S$119,MATCH($AF146,定数マスタ!$J$110:$J$119,0)),N('設定（最初に1回）'!$C$13)))</f>
        <v/>
      </c>
      <c r="AH146" s="66" t="n">
        <f aca="false">IF(AND(N($K146)&gt;0,N($Y146)&gt;0),N($Y146),0)</f>
        <v>0</v>
      </c>
    </row>
    <row r="147" customFormat="false" ht="15" hidden="false" customHeight="false" outlineLevel="0" collapsed="false">
      <c r="B147" s="66" t="n">
        <v>142</v>
      </c>
      <c r="C147" s="66" t="str">
        <f aca="false">IFERROR(IF($B147&lt;=MAX(①今日の在庫を貼る!$U$6:$U$10005),INDEX(①今日の在庫を貼る!$I$6:$I$10005,MATCH($B147,①今日の在庫を貼る!$U$6:$U$10005,0)),INDEX(月1回_前回の在庫を貼る!$I$6:$I$10005,MATCH($B147-MAX(①今日の在庫を貼る!$U$6:$U$10005),月1回_前回の在庫を貼る!$U$6:$U$10005,0))),"")</f>
        <v/>
      </c>
      <c r="D147" s="66" t="str">
        <f aca="false">IF($C147="","",IFERROR(INDEX(商品マスタ!$C$6:$C$1005,MATCH($C147,商品マスタ!$B$6:$B$1005,0)),IFERROR(INDEX(①今日の在庫を貼る!$J$6:$J$10005,MATCH($C147,①今日の在庫を貼る!$I$6:$I$10005,0)),IFERROR(INDEX(月1回_前回の在庫を貼る!$J$6:$J$10005,MATCH($C147,月1回_前回の在庫を貼る!$I$6:$I$10005,0)),""))))</f>
        <v/>
      </c>
      <c r="E147" s="66" t="str">
        <f aca="false">IF($C147="","",IFERROR(INDEX(商品マスタ!$D$6:$D$1005,MATCH($C147,商品マスタ!$B$6:$B$1005,0)),IFERROR(INDEX(①今日の在庫を貼る!$H$6:$H$10005,MATCH($C147,①今日の在庫を貼る!$I$6:$I$10005,0)),IFERROR(INDEX(月1回_前回の在庫を貼る!$H$6:$H$10005,MATCH($C147,月1回_前回の在庫を貼る!$I$6:$I$10005,0)),""))))</f>
        <v/>
      </c>
      <c r="F147" s="66" t="str">
        <f aca="false">IF($C147="","",IFERROR(INDEX(商品マスタ!$E$6:$E$1005,MATCH($C147,商品マスタ!$B$6:$B$1005,0)),IFERROR(INDEX(①今日の在庫を貼る!$E$6:$E$10005,MATCH($C147,①今日の在庫を貼る!$I$6:$I$10005,0)),IFERROR(INDEX(月1回_前回の在庫を貼る!$E$6:$E$10005,MATCH($C147,月1回_前回の在庫を貼る!$I$6:$I$10005,0)),""))))</f>
        <v/>
      </c>
      <c r="G147" s="69" t="str">
        <f aca="false">IF($C147="","",IFERROR(INDEX(商品マスタ!$F$6:$F$1005,MATCH($C147,商品マスタ!$B$6:$B$1005,0)),IFERROR(INDEX(①今日の在庫を貼る!$K$6:$K$10005,MATCH($C147,①今日の在庫を貼る!$I$6:$I$10005,0)),IFERROR(INDEX(月1回_前回の在庫を貼る!$K$6:$K$10005,MATCH($C147,月1回_前回の在庫を貼る!$I$6:$I$10005,0)),""))))</f>
        <v/>
      </c>
      <c r="H147" s="71" t="str">
        <f aca="false">IF($C147="","",IFERROR(INDEX(商品マスタ!$G$6:$G$1005,MATCH($C147,商品マスタ!$B$6:$B$1005,0)),IFERROR(INDEX(①今日の在庫を貼る!$Q$6:$Q$10005,MATCH($C147,①今日の在庫を貼る!$I$6:$I$10005,0)),IFERROR(INDEX(月1回_前回の在庫を貼る!$Q$6:$Q$10005,MATCH($C147,月1回_前回の在庫を貼る!$I$6:$I$10005,0)),""))))</f>
        <v/>
      </c>
      <c r="I147" s="66" t="str">
        <f aca="false">IF($C147="","",IFERROR(INDEX(商品マスタ!$H$6:$H$1005,MATCH($C147,商品マスタ!$B$6:$B$1005,0)),3))</f>
        <v/>
      </c>
      <c r="J147" s="66" t="str">
        <f aca="false">IF($C147="","",MAX(1,IFERROR(INDEX(商品マスタ!$I$6:$I$1005,MATCH($C147,商品マスタ!$B$6:$B$1005,0)),1)))</f>
        <v/>
      </c>
      <c r="K147" s="69" t="str">
        <f aca="false">IF($C147="","",SUMIFS(①今日の在庫を貼る!$N$6:$N$10005,①今日の在庫を貼る!$B$6:$B$10005,'設定（最初に1回）'!$C$4,①今日の在庫を貼る!$I$6:$I$10005,$C147))</f>
        <v/>
      </c>
      <c r="L147" s="69" t="str">
        <f aca="false">IF($C147="","",SUMIFS(月1回_前回の在庫を貼る!$N$6:$N$10005,月1回_前回の在庫を貼る!$B$6:$B$10005,'設定（最初に1回）'!$C$4,月1回_前回の在庫を貼る!$I$6:$I$10005,$C147))</f>
        <v/>
      </c>
      <c r="M147" s="69" t="str">
        <f aca="false">IF($C147="","",IF(OR('設定（最初に1回）'!$C$6="",'設定（最初に1回）'!$C$7=""),0,SUMIFS(発注管理!$S$6:$S$1005,発注管理!$C$6:$C$1005,'設定（最初に1回）'!$C$4,発注管理!$F$6:$F$1005,$C147,発注管理!$R$6:$R$1005,"&gt;="&amp;'設定（最初に1回）'!$C$7,発注管理!$R$6:$R$1005,"&lt;="&amp;'設定（最初に1回）'!$C$6)))</f>
        <v/>
      </c>
      <c r="N147" s="69" t="str">
        <f aca="false">IF(OR($C147="",'設定（最初に1回）'!$C$15=0),"",$L147+$M147-$K147)</f>
        <v/>
      </c>
      <c r="O147" s="143" t="str">
        <f aca="false">IF(OR($N147="",'設定（最初に1回）'!$C$8="",'設定（最初に1回）'!$C$8&lt;=0),"",MAX(0,$N147)/'設定（最初に1回）'!$C$8)</f>
        <v/>
      </c>
      <c r="P147" s="143" t="str">
        <f aca="false">IF($C147="","",IFERROR(INDEX(商品マスタ!$M$6:$N$1005,MATCH($C147,商品マスタ!$B$6:$B$1005,0),MATCH("PI値 "&amp;'設定（最初に1回）'!$C$11,商品マスタ!$M$5:$N$5,0)),""))</f>
        <v/>
      </c>
      <c r="Q147" s="143" t="str">
        <f aca="false">IF(OR($C147="",$P147="",$P147=0,(N($I147)+N($AG147))&lt;=0),"",IFERROR(SUMIFS(随時_動員を入れる!$G$8:$G$97,随時_動員を入れる!$B$8:$B$97,"&gt;="&amp;'設定（最初に1回）'!$C$6,随時_動員を入れる!$B$8:$B$97,"&lt;="&amp;'設定（最初に1回）'!$C$6+(N($I147)+N($AG147))-1)/(N($I147)+N($AG147)),0)*$P147/100)</f>
        <v/>
      </c>
      <c r="R147" s="69" t="str">
        <f aca="false">IF($C147="","",SUMIFS(①今日の在庫を貼る!$O$6:$O$10005,①今日の在庫を貼る!$B$6:$B$10005,'設定（最初に1回）'!$C$4,①今日の在庫を貼る!$I$6:$I$10005,$C147))</f>
        <v/>
      </c>
      <c r="S147" s="143" t="str">
        <f aca="false">IF($C147="","",IF('設定（最初に1回）'!$C$9="実績消費",N($O147),IF('設定（最初に1回）'!$C$9="PI値予測",N($Q147),MAX(N($O147),N($Q147)))))</f>
        <v/>
      </c>
      <c r="T147" s="67" t="str">
        <f aca="false">IF(OR($S147="",$S147&lt;=0),"",$K147/$S147)</f>
        <v/>
      </c>
      <c r="U147" s="69" t="str">
        <f aca="false">IF($S147="","",ROUNDUP(N($S147)*'設定（最初に1回）'!$C$12,0))</f>
        <v/>
      </c>
      <c r="V147" s="69" t="str">
        <f aca="false">IF($C147="","",ROUNDUP(N($S147)*(N($I147)+N($AG147))+N($U147),0))</f>
        <v/>
      </c>
      <c r="W147" s="69" t="str">
        <f aca="false">IF($C147="","",SUMIFS(発注管理!$L$6:$L$1005,発注管理!$C$6:$C$1005,'設定（最初に1回）'!$C$4,発注管理!$F$6:$F$1005,$C147,発注管理!$Q$6:$Q$1005,"発注済"))</f>
        <v/>
      </c>
      <c r="X147" s="69" t="str">
        <f aca="false">IF($C147="","",MAX(0,N($V147)-N($K147)-N($W147)))</f>
        <v/>
      </c>
      <c r="Y147" s="147" t="str">
        <f aca="false">IF($C147="","",IF(N($X147)&lt;=0,0,CEILING($X147/MAX(1,N($G147)),MAX(1,N($J147)))))</f>
        <v/>
      </c>
      <c r="Z147" s="138" t="str">
        <f aca="false">IF($C147="","",IF(N($Y147)&gt;0,"要発注","正常"))</f>
        <v/>
      </c>
      <c r="AA147" s="71" t="str">
        <f aca="false">IF($C147="","",N($K147)*N($H147))</f>
        <v/>
      </c>
      <c r="AB147" s="66" t="str">
        <f aca="false">IF($C147="","",_xlfn.TEXTJOIN(" / ",TRUE(),IF(COUNTIF(商品マスタ!$B$6:$B$1005,$C147)=0,"マスタ未登録",""),IF(COUNTIFS(月1回_前回の在庫を貼る!$B$6:$B$10005,'設定（最初に1回）'!$C$4,月1回_前回の在庫を貼る!$I$6:$I$10005,$C147)=0,"新商品",""),IF(COUNTIFS(①今日の在庫を貼る!$B$6:$B$10005,'設定（最初に1回）'!$C$4,①今日の在庫を貼る!$I$6:$I$10005,$C147)=0,"終売候補",""),IF(N($K147)&lt;0,"在庫マイナス",""),IF(AND('設定（最初に1回）'!$C$9="PI値予測",$P147=""),"PI値未設定","")))</f>
        <v/>
      </c>
      <c r="AC147" s="71" t="n">
        <f aca="false">N($Y147)*N($H147)</f>
        <v>0</v>
      </c>
      <c r="AD147" s="66" t="str">
        <f aca="false">IF($C147="","",IFERROR(INDEX(商品マスタ!$K$6:$K$1005,MATCH($C147,商品マスタ!$B$6:$B$1005,0)),"常温"))</f>
        <v/>
      </c>
      <c r="AE147" s="69" t="str">
        <f aca="false">IF($C147="","",MAX(0,ROUNDUP(N($K147)/MAX(1,N($G147)),0)))</f>
        <v/>
      </c>
      <c r="AF147" s="66" t="str">
        <f aca="false">IF($C147="","",IFERROR(INDEX(商品マスタ!$L$6:$L$1005,MATCH($C147,商品マスタ!$B$6:$B$1005,0)),""))</f>
        <v/>
      </c>
      <c r="AG147" s="143" t="str">
        <f aca="false">IF($C147="","",IFERROR(INDEX(定数マスタ!$S$110:$S$119,MATCH($AF147,定数マスタ!$J$110:$J$119,0)),N('設定（最初に1回）'!$C$13)))</f>
        <v/>
      </c>
      <c r="AH147" s="66" t="n">
        <f aca="false">IF(AND(N($K147)&gt;0,N($Y147)&gt;0),N($Y147),0)</f>
        <v>0</v>
      </c>
    </row>
    <row r="148" customFormat="false" ht="15" hidden="false" customHeight="false" outlineLevel="0" collapsed="false">
      <c r="B148" s="66" t="n">
        <v>143</v>
      </c>
      <c r="C148" s="66" t="str">
        <f aca="false">IFERROR(IF($B148&lt;=MAX(①今日の在庫を貼る!$U$6:$U$10005),INDEX(①今日の在庫を貼る!$I$6:$I$10005,MATCH($B148,①今日の在庫を貼る!$U$6:$U$10005,0)),INDEX(月1回_前回の在庫を貼る!$I$6:$I$10005,MATCH($B148-MAX(①今日の在庫を貼る!$U$6:$U$10005),月1回_前回の在庫を貼る!$U$6:$U$10005,0))),"")</f>
        <v/>
      </c>
      <c r="D148" s="66" t="str">
        <f aca="false">IF($C148="","",IFERROR(INDEX(商品マスタ!$C$6:$C$1005,MATCH($C148,商品マスタ!$B$6:$B$1005,0)),IFERROR(INDEX(①今日の在庫を貼る!$J$6:$J$10005,MATCH($C148,①今日の在庫を貼る!$I$6:$I$10005,0)),IFERROR(INDEX(月1回_前回の在庫を貼る!$J$6:$J$10005,MATCH($C148,月1回_前回の在庫を貼る!$I$6:$I$10005,0)),""))))</f>
        <v/>
      </c>
      <c r="E148" s="66" t="str">
        <f aca="false">IF($C148="","",IFERROR(INDEX(商品マスタ!$D$6:$D$1005,MATCH($C148,商品マスタ!$B$6:$B$1005,0)),IFERROR(INDEX(①今日の在庫を貼る!$H$6:$H$10005,MATCH($C148,①今日の在庫を貼る!$I$6:$I$10005,0)),IFERROR(INDEX(月1回_前回の在庫を貼る!$H$6:$H$10005,MATCH($C148,月1回_前回の在庫を貼る!$I$6:$I$10005,0)),""))))</f>
        <v/>
      </c>
      <c r="F148" s="66" t="str">
        <f aca="false">IF($C148="","",IFERROR(INDEX(商品マスタ!$E$6:$E$1005,MATCH($C148,商品マスタ!$B$6:$B$1005,0)),IFERROR(INDEX(①今日の在庫を貼る!$E$6:$E$10005,MATCH($C148,①今日の在庫を貼る!$I$6:$I$10005,0)),IFERROR(INDEX(月1回_前回の在庫を貼る!$E$6:$E$10005,MATCH($C148,月1回_前回の在庫を貼る!$I$6:$I$10005,0)),""))))</f>
        <v/>
      </c>
      <c r="G148" s="69" t="str">
        <f aca="false">IF($C148="","",IFERROR(INDEX(商品マスタ!$F$6:$F$1005,MATCH($C148,商品マスタ!$B$6:$B$1005,0)),IFERROR(INDEX(①今日の在庫を貼る!$K$6:$K$10005,MATCH($C148,①今日の在庫を貼る!$I$6:$I$10005,0)),IFERROR(INDEX(月1回_前回の在庫を貼る!$K$6:$K$10005,MATCH($C148,月1回_前回の在庫を貼る!$I$6:$I$10005,0)),""))))</f>
        <v/>
      </c>
      <c r="H148" s="71" t="str">
        <f aca="false">IF($C148="","",IFERROR(INDEX(商品マスタ!$G$6:$G$1005,MATCH($C148,商品マスタ!$B$6:$B$1005,0)),IFERROR(INDEX(①今日の在庫を貼る!$Q$6:$Q$10005,MATCH($C148,①今日の在庫を貼る!$I$6:$I$10005,0)),IFERROR(INDEX(月1回_前回の在庫を貼る!$Q$6:$Q$10005,MATCH($C148,月1回_前回の在庫を貼る!$I$6:$I$10005,0)),""))))</f>
        <v/>
      </c>
      <c r="I148" s="66" t="str">
        <f aca="false">IF($C148="","",IFERROR(INDEX(商品マスタ!$H$6:$H$1005,MATCH($C148,商品マスタ!$B$6:$B$1005,0)),3))</f>
        <v/>
      </c>
      <c r="J148" s="66" t="str">
        <f aca="false">IF($C148="","",MAX(1,IFERROR(INDEX(商品マスタ!$I$6:$I$1005,MATCH($C148,商品マスタ!$B$6:$B$1005,0)),1)))</f>
        <v/>
      </c>
      <c r="K148" s="69" t="str">
        <f aca="false">IF($C148="","",SUMIFS(①今日の在庫を貼る!$N$6:$N$10005,①今日の在庫を貼る!$B$6:$B$10005,'設定（最初に1回）'!$C$4,①今日の在庫を貼る!$I$6:$I$10005,$C148))</f>
        <v/>
      </c>
      <c r="L148" s="69" t="str">
        <f aca="false">IF($C148="","",SUMIFS(月1回_前回の在庫を貼る!$N$6:$N$10005,月1回_前回の在庫を貼る!$B$6:$B$10005,'設定（最初に1回）'!$C$4,月1回_前回の在庫を貼る!$I$6:$I$10005,$C148))</f>
        <v/>
      </c>
      <c r="M148" s="69" t="str">
        <f aca="false">IF($C148="","",IF(OR('設定（最初に1回）'!$C$6="",'設定（最初に1回）'!$C$7=""),0,SUMIFS(発注管理!$S$6:$S$1005,発注管理!$C$6:$C$1005,'設定（最初に1回）'!$C$4,発注管理!$F$6:$F$1005,$C148,発注管理!$R$6:$R$1005,"&gt;="&amp;'設定（最初に1回）'!$C$7,発注管理!$R$6:$R$1005,"&lt;="&amp;'設定（最初に1回）'!$C$6)))</f>
        <v/>
      </c>
      <c r="N148" s="69" t="str">
        <f aca="false">IF(OR($C148="",'設定（最初に1回）'!$C$15=0),"",$L148+$M148-$K148)</f>
        <v/>
      </c>
      <c r="O148" s="143" t="str">
        <f aca="false">IF(OR($N148="",'設定（最初に1回）'!$C$8="",'設定（最初に1回）'!$C$8&lt;=0),"",MAX(0,$N148)/'設定（最初に1回）'!$C$8)</f>
        <v/>
      </c>
      <c r="P148" s="143" t="str">
        <f aca="false">IF($C148="","",IFERROR(INDEX(商品マスタ!$M$6:$N$1005,MATCH($C148,商品マスタ!$B$6:$B$1005,0),MATCH("PI値 "&amp;'設定（最初に1回）'!$C$11,商品マスタ!$M$5:$N$5,0)),""))</f>
        <v/>
      </c>
      <c r="Q148" s="143" t="str">
        <f aca="false">IF(OR($C148="",$P148="",$P148=0,(N($I148)+N($AG148))&lt;=0),"",IFERROR(SUMIFS(随時_動員を入れる!$G$8:$G$97,随時_動員を入れる!$B$8:$B$97,"&gt;="&amp;'設定（最初に1回）'!$C$6,随時_動員を入れる!$B$8:$B$97,"&lt;="&amp;'設定（最初に1回）'!$C$6+(N($I148)+N($AG148))-1)/(N($I148)+N($AG148)),0)*$P148/100)</f>
        <v/>
      </c>
      <c r="R148" s="69" t="str">
        <f aca="false">IF($C148="","",SUMIFS(①今日の在庫を貼る!$O$6:$O$10005,①今日の在庫を貼る!$B$6:$B$10005,'設定（最初に1回）'!$C$4,①今日の在庫を貼る!$I$6:$I$10005,$C148))</f>
        <v/>
      </c>
      <c r="S148" s="143" t="str">
        <f aca="false">IF($C148="","",IF('設定（最初に1回）'!$C$9="実績消費",N($O148),IF('設定（最初に1回）'!$C$9="PI値予測",N($Q148),MAX(N($O148),N($Q148)))))</f>
        <v/>
      </c>
      <c r="T148" s="67" t="str">
        <f aca="false">IF(OR($S148="",$S148&lt;=0),"",$K148/$S148)</f>
        <v/>
      </c>
      <c r="U148" s="69" t="str">
        <f aca="false">IF($S148="","",ROUNDUP(N($S148)*'設定（最初に1回）'!$C$12,0))</f>
        <v/>
      </c>
      <c r="V148" s="69" t="str">
        <f aca="false">IF($C148="","",ROUNDUP(N($S148)*(N($I148)+N($AG148))+N($U148),0))</f>
        <v/>
      </c>
      <c r="W148" s="69" t="str">
        <f aca="false">IF($C148="","",SUMIFS(発注管理!$L$6:$L$1005,発注管理!$C$6:$C$1005,'設定（最初に1回）'!$C$4,発注管理!$F$6:$F$1005,$C148,発注管理!$Q$6:$Q$1005,"発注済"))</f>
        <v/>
      </c>
      <c r="X148" s="69" t="str">
        <f aca="false">IF($C148="","",MAX(0,N($V148)-N($K148)-N($W148)))</f>
        <v/>
      </c>
      <c r="Y148" s="147" t="str">
        <f aca="false">IF($C148="","",IF(N($X148)&lt;=0,0,CEILING($X148/MAX(1,N($G148)),MAX(1,N($J148)))))</f>
        <v/>
      </c>
      <c r="Z148" s="138" t="str">
        <f aca="false">IF($C148="","",IF(N($Y148)&gt;0,"要発注","正常"))</f>
        <v/>
      </c>
      <c r="AA148" s="71" t="str">
        <f aca="false">IF($C148="","",N($K148)*N($H148))</f>
        <v/>
      </c>
      <c r="AB148" s="66" t="str">
        <f aca="false">IF($C148="","",_xlfn.TEXTJOIN(" / ",TRUE(),IF(COUNTIF(商品マスタ!$B$6:$B$1005,$C148)=0,"マスタ未登録",""),IF(COUNTIFS(月1回_前回の在庫を貼る!$B$6:$B$10005,'設定（最初に1回）'!$C$4,月1回_前回の在庫を貼る!$I$6:$I$10005,$C148)=0,"新商品",""),IF(COUNTIFS(①今日の在庫を貼る!$B$6:$B$10005,'設定（最初に1回）'!$C$4,①今日の在庫を貼る!$I$6:$I$10005,$C148)=0,"終売候補",""),IF(N($K148)&lt;0,"在庫マイナス",""),IF(AND('設定（最初に1回）'!$C$9="PI値予測",$P148=""),"PI値未設定","")))</f>
        <v/>
      </c>
      <c r="AC148" s="71" t="n">
        <f aca="false">N($Y148)*N($H148)</f>
        <v>0</v>
      </c>
      <c r="AD148" s="66" t="str">
        <f aca="false">IF($C148="","",IFERROR(INDEX(商品マスタ!$K$6:$K$1005,MATCH($C148,商品マスタ!$B$6:$B$1005,0)),"常温"))</f>
        <v/>
      </c>
      <c r="AE148" s="69" t="str">
        <f aca="false">IF($C148="","",MAX(0,ROUNDUP(N($K148)/MAX(1,N($G148)),0)))</f>
        <v/>
      </c>
      <c r="AF148" s="66" t="str">
        <f aca="false">IF($C148="","",IFERROR(INDEX(商品マスタ!$L$6:$L$1005,MATCH($C148,商品マスタ!$B$6:$B$1005,0)),""))</f>
        <v/>
      </c>
      <c r="AG148" s="143" t="str">
        <f aca="false">IF($C148="","",IFERROR(INDEX(定数マスタ!$S$110:$S$119,MATCH($AF148,定数マスタ!$J$110:$J$119,0)),N('設定（最初に1回）'!$C$13)))</f>
        <v/>
      </c>
      <c r="AH148" s="66" t="n">
        <f aca="false">IF(AND(N($K148)&gt;0,N($Y148)&gt;0),N($Y148),0)</f>
        <v>0</v>
      </c>
    </row>
    <row r="149" customFormat="false" ht="15" hidden="false" customHeight="false" outlineLevel="0" collapsed="false">
      <c r="B149" s="66" t="n">
        <v>144</v>
      </c>
      <c r="C149" s="66" t="str">
        <f aca="false">IFERROR(IF($B149&lt;=MAX(①今日の在庫を貼る!$U$6:$U$10005),INDEX(①今日の在庫を貼る!$I$6:$I$10005,MATCH($B149,①今日の在庫を貼る!$U$6:$U$10005,0)),INDEX(月1回_前回の在庫を貼る!$I$6:$I$10005,MATCH($B149-MAX(①今日の在庫を貼る!$U$6:$U$10005),月1回_前回の在庫を貼る!$U$6:$U$10005,0))),"")</f>
        <v/>
      </c>
      <c r="D149" s="66" t="str">
        <f aca="false">IF($C149="","",IFERROR(INDEX(商品マスタ!$C$6:$C$1005,MATCH($C149,商品マスタ!$B$6:$B$1005,0)),IFERROR(INDEX(①今日の在庫を貼る!$J$6:$J$10005,MATCH($C149,①今日の在庫を貼る!$I$6:$I$10005,0)),IFERROR(INDEX(月1回_前回の在庫を貼る!$J$6:$J$10005,MATCH($C149,月1回_前回の在庫を貼る!$I$6:$I$10005,0)),""))))</f>
        <v/>
      </c>
      <c r="E149" s="66" t="str">
        <f aca="false">IF($C149="","",IFERROR(INDEX(商品マスタ!$D$6:$D$1005,MATCH($C149,商品マスタ!$B$6:$B$1005,0)),IFERROR(INDEX(①今日の在庫を貼る!$H$6:$H$10005,MATCH($C149,①今日の在庫を貼る!$I$6:$I$10005,0)),IFERROR(INDEX(月1回_前回の在庫を貼る!$H$6:$H$10005,MATCH($C149,月1回_前回の在庫を貼る!$I$6:$I$10005,0)),""))))</f>
        <v/>
      </c>
      <c r="F149" s="66" t="str">
        <f aca="false">IF($C149="","",IFERROR(INDEX(商品マスタ!$E$6:$E$1005,MATCH($C149,商品マスタ!$B$6:$B$1005,0)),IFERROR(INDEX(①今日の在庫を貼る!$E$6:$E$10005,MATCH($C149,①今日の在庫を貼る!$I$6:$I$10005,0)),IFERROR(INDEX(月1回_前回の在庫を貼る!$E$6:$E$10005,MATCH($C149,月1回_前回の在庫を貼る!$I$6:$I$10005,0)),""))))</f>
        <v/>
      </c>
      <c r="G149" s="69" t="str">
        <f aca="false">IF($C149="","",IFERROR(INDEX(商品マスタ!$F$6:$F$1005,MATCH($C149,商品マスタ!$B$6:$B$1005,0)),IFERROR(INDEX(①今日の在庫を貼る!$K$6:$K$10005,MATCH($C149,①今日の在庫を貼る!$I$6:$I$10005,0)),IFERROR(INDEX(月1回_前回の在庫を貼る!$K$6:$K$10005,MATCH($C149,月1回_前回の在庫を貼る!$I$6:$I$10005,0)),""))))</f>
        <v/>
      </c>
      <c r="H149" s="71" t="str">
        <f aca="false">IF($C149="","",IFERROR(INDEX(商品マスタ!$G$6:$G$1005,MATCH($C149,商品マスタ!$B$6:$B$1005,0)),IFERROR(INDEX(①今日の在庫を貼る!$Q$6:$Q$10005,MATCH($C149,①今日の在庫を貼る!$I$6:$I$10005,0)),IFERROR(INDEX(月1回_前回の在庫を貼る!$Q$6:$Q$10005,MATCH($C149,月1回_前回の在庫を貼る!$I$6:$I$10005,0)),""))))</f>
        <v/>
      </c>
      <c r="I149" s="66" t="str">
        <f aca="false">IF($C149="","",IFERROR(INDEX(商品マスタ!$H$6:$H$1005,MATCH($C149,商品マスタ!$B$6:$B$1005,0)),3))</f>
        <v/>
      </c>
      <c r="J149" s="66" t="str">
        <f aca="false">IF($C149="","",MAX(1,IFERROR(INDEX(商品マスタ!$I$6:$I$1005,MATCH($C149,商品マスタ!$B$6:$B$1005,0)),1)))</f>
        <v/>
      </c>
      <c r="K149" s="69" t="str">
        <f aca="false">IF($C149="","",SUMIFS(①今日の在庫を貼る!$N$6:$N$10005,①今日の在庫を貼る!$B$6:$B$10005,'設定（最初に1回）'!$C$4,①今日の在庫を貼る!$I$6:$I$10005,$C149))</f>
        <v/>
      </c>
      <c r="L149" s="69" t="str">
        <f aca="false">IF($C149="","",SUMIFS(月1回_前回の在庫を貼る!$N$6:$N$10005,月1回_前回の在庫を貼る!$B$6:$B$10005,'設定（最初に1回）'!$C$4,月1回_前回の在庫を貼る!$I$6:$I$10005,$C149))</f>
        <v/>
      </c>
      <c r="M149" s="69" t="str">
        <f aca="false">IF($C149="","",IF(OR('設定（最初に1回）'!$C$6="",'設定（最初に1回）'!$C$7=""),0,SUMIFS(発注管理!$S$6:$S$1005,発注管理!$C$6:$C$1005,'設定（最初に1回）'!$C$4,発注管理!$F$6:$F$1005,$C149,発注管理!$R$6:$R$1005,"&gt;="&amp;'設定（最初に1回）'!$C$7,発注管理!$R$6:$R$1005,"&lt;="&amp;'設定（最初に1回）'!$C$6)))</f>
        <v/>
      </c>
      <c r="N149" s="69" t="str">
        <f aca="false">IF(OR($C149="",'設定（最初に1回）'!$C$15=0),"",$L149+$M149-$K149)</f>
        <v/>
      </c>
      <c r="O149" s="143" t="str">
        <f aca="false">IF(OR($N149="",'設定（最初に1回）'!$C$8="",'設定（最初に1回）'!$C$8&lt;=0),"",MAX(0,$N149)/'設定（最初に1回）'!$C$8)</f>
        <v/>
      </c>
      <c r="P149" s="143" t="str">
        <f aca="false">IF($C149="","",IFERROR(INDEX(商品マスタ!$M$6:$N$1005,MATCH($C149,商品マスタ!$B$6:$B$1005,0),MATCH("PI値 "&amp;'設定（最初に1回）'!$C$11,商品マスタ!$M$5:$N$5,0)),""))</f>
        <v/>
      </c>
      <c r="Q149" s="143" t="str">
        <f aca="false">IF(OR($C149="",$P149="",$P149=0,(N($I149)+N($AG149))&lt;=0),"",IFERROR(SUMIFS(随時_動員を入れる!$G$8:$G$97,随時_動員を入れる!$B$8:$B$97,"&gt;="&amp;'設定（最初に1回）'!$C$6,随時_動員を入れる!$B$8:$B$97,"&lt;="&amp;'設定（最初に1回）'!$C$6+(N($I149)+N($AG149))-1)/(N($I149)+N($AG149)),0)*$P149/100)</f>
        <v/>
      </c>
      <c r="R149" s="69" t="str">
        <f aca="false">IF($C149="","",SUMIFS(①今日の在庫を貼る!$O$6:$O$10005,①今日の在庫を貼る!$B$6:$B$10005,'設定（最初に1回）'!$C$4,①今日の在庫を貼る!$I$6:$I$10005,$C149))</f>
        <v/>
      </c>
      <c r="S149" s="143" t="str">
        <f aca="false">IF($C149="","",IF('設定（最初に1回）'!$C$9="実績消費",N($O149),IF('設定（最初に1回）'!$C$9="PI値予測",N($Q149),MAX(N($O149),N($Q149)))))</f>
        <v/>
      </c>
      <c r="T149" s="67" t="str">
        <f aca="false">IF(OR($S149="",$S149&lt;=0),"",$K149/$S149)</f>
        <v/>
      </c>
      <c r="U149" s="69" t="str">
        <f aca="false">IF($S149="","",ROUNDUP(N($S149)*'設定（最初に1回）'!$C$12,0))</f>
        <v/>
      </c>
      <c r="V149" s="69" t="str">
        <f aca="false">IF($C149="","",ROUNDUP(N($S149)*(N($I149)+N($AG149))+N($U149),0))</f>
        <v/>
      </c>
      <c r="W149" s="69" t="str">
        <f aca="false">IF($C149="","",SUMIFS(発注管理!$L$6:$L$1005,発注管理!$C$6:$C$1005,'設定（最初に1回）'!$C$4,発注管理!$F$6:$F$1005,$C149,発注管理!$Q$6:$Q$1005,"発注済"))</f>
        <v/>
      </c>
      <c r="X149" s="69" t="str">
        <f aca="false">IF($C149="","",MAX(0,N($V149)-N($K149)-N($W149)))</f>
        <v/>
      </c>
      <c r="Y149" s="147" t="str">
        <f aca="false">IF($C149="","",IF(N($X149)&lt;=0,0,CEILING($X149/MAX(1,N($G149)),MAX(1,N($J149)))))</f>
        <v/>
      </c>
      <c r="Z149" s="138" t="str">
        <f aca="false">IF($C149="","",IF(N($Y149)&gt;0,"要発注","正常"))</f>
        <v/>
      </c>
      <c r="AA149" s="71" t="str">
        <f aca="false">IF($C149="","",N($K149)*N($H149))</f>
        <v/>
      </c>
      <c r="AB149" s="66" t="str">
        <f aca="false">IF($C149="","",_xlfn.TEXTJOIN(" / ",TRUE(),IF(COUNTIF(商品マスタ!$B$6:$B$1005,$C149)=0,"マスタ未登録",""),IF(COUNTIFS(月1回_前回の在庫を貼る!$B$6:$B$10005,'設定（最初に1回）'!$C$4,月1回_前回の在庫を貼る!$I$6:$I$10005,$C149)=0,"新商品",""),IF(COUNTIFS(①今日の在庫を貼る!$B$6:$B$10005,'設定（最初に1回）'!$C$4,①今日の在庫を貼る!$I$6:$I$10005,$C149)=0,"終売候補",""),IF(N($K149)&lt;0,"在庫マイナス",""),IF(AND('設定（最初に1回）'!$C$9="PI値予測",$P149=""),"PI値未設定","")))</f>
        <v/>
      </c>
      <c r="AC149" s="71" t="n">
        <f aca="false">N($Y149)*N($H149)</f>
        <v>0</v>
      </c>
      <c r="AD149" s="66" t="str">
        <f aca="false">IF($C149="","",IFERROR(INDEX(商品マスタ!$K$6:$K$1005,MATCH($C149,商品マスタ!$B$6:$B$1005,0)),"常温"))</f>
        <v/>
      </c>
      <c r="AE149" s="69" t="str">
        <f aca="false">IF($C149="","",MAX(0,ROUNDUP(N($K149)/MAX(1,N($G149)),0)))</f>
        <v/>
      </c>
      <c r="AF149" s="66" t="str">
        <f aca="false">IF($C149="","",IFERROR(INDEX(商品マスタ!$L$6:$L$1005,MATCH($C149,商品マスタ!$B$6:$B$1005,0)),""))</f>
        <v/>
      </c>
      <c r="AG149" s="143" t="str">
        <f aca="false">IF($C149="","",IFERROR(INDEX(定数マスタ!$S$110:$S$119,MATCH($AF149,定数マスタ!$J$110:$J$119,0)),N('設定（最初に1回）'!$C$13)))</f>
        <v/>
      </c>
      <c r="AH149" s="66" t="n">
        <f aca="false">IF(AND(N($K149)&gt;0,N($Y149)&gt;0),N($Y149),0)</f>
        <v>0</v>
      </c>
    </row>
    <row r="150" customFormat="false" ht="15" hidden="false" customHeight="false" outlineLevel="0" collapsed="false">
      <c r="B150" s="66" t="n">
        <v>145</v>
      </c>
      <c r="C150" s="66" t="str">
        <f aca="false">IFERROR(IF($B150&lt;=MAX(①今日の在庫を貼る!$U$6:$U$10005),INDEX(①今日の在庫を貼る!$I$6:$I$10005,MATCH($B150,①今日の在庫を貼る!$U$6:$U$10005,0)),INDEX(月1回_前回の在庫を貼る!$I$6:$I$10005,MATCH($B150-MAX(①今日の在庫を貼る!$U$6:$U$10005),月1回_前回の在庫を貼る!$U$6:$U$10005,0))),"")</f>
        <v/>
      </c>
      <c r="D150" s="66" t="str">
        <f aca="false">IF($C150="","",IFERROR(INDEX(商品マスタ!$C$6:$C$1005,MATCH($C150,商品マスタ!$B$6:$B$1005,0)),IFERROR(INDEX(①今日の在庫を貼る!$J$6:$J$10005,MATCH($C150,①今日の在庫を貼る!$I$6:$I$10005,0)),IFERROR(INDEX(月1回_前回の在庫を貼る!$J$6:$J$10005,MATCH($C150,月1回_前回の在庫を貼る!$I$6:$I$10005,0)),""))))</f>
        <v/>
      </c>
      <c r="E150" s="66" t="str">
        <f aca="false">IF($C150="","",IFERROR(INDEX(商品マスタ!$D$6:$D$1005,MATCH($C150,商品マスタ!$B$6:$B$1005,0)),IFERROR(INDEX(①今日の在庫を貼る!$H$6:$H$10005,MATCH($C150,①今日の在庫を貼る!$I$6:$I$10005,0)),IFERROR(INDEX(月1回_前回の在庫を貼る!$H$6:$H$10005,MATCH($C150,月1回_前回の在庫を貼る!$I$6:$I$10005,0)),""))))</f>
        <v/>
      </c>
      <c r="F150" s="66" t="str">
        <f aca="false">IF($C150="","",IFERROR(INDEX(商品マスタ!$E$6:$E$1005,MATCH($C150,商品マスタ!$B$6:$B$1005,0)),IFERROR(INDEX(①今日の在庫を貼る!$E$6:$E$10005,MATCH($C150,①今日の在庫を貼る!$I$6:$I$10005,0)),IFERROR(INDEX(月1回_前回の在庫を貼る!$E$6:$E$10005,MATCH($C150,月1回_前回の在庫を貼る!$I$6:$I$10005,0)),""))))</f>
        <v/>
      </c>
      <c r="G150" s="69" t="str">
        <f aca="false">IF($C150="","",IFERROR(INDEX(商品マスタ!$F$6:$F$1005,MATCH($C150,商品マスタ!$B$6:$B$1005,0)),IFERROR(INDEX(①今日の在庫を貼る!$K$6:$K$10005,MATCH($C150,①今日の在庫を貼る!$I$6:$I$10005,0)),IFERROR(INDEX(月1回_前回の在庫を貼る!$K$6:$K$10005,MATCH($C150,月1回_前回の在庫を貼る!$I$6:$I$10005,0)),""))))</f>
        <v/>
      </c>
      <c r="H150" s="71" t="str">
        <f aca="false">IF($C150="","",IFERROR(INDEX(商品マスタ!$G$6:$G$1005,MATCH($C150,商品マスタ!$B$6:$B$1005,0)),IFERROR(INDEX(①今日の在庫を貼る!$Q$6:$Q$10005,MATCH($C150,①今日の在庫を貼る!$I$6:$I$10005,0)),IFERROR(INDEX(月1回_前回の在庫を貼る!$Q$6:$Q$10005,MATCH($C150,月1回_前回の在庫を貼る!$I$6:$I$10005,0)),""))))</f>
        <v/>
      </c>
      <c r="I150" s="66" t="str">
        <f aca="false">IF($C150="","",IFERROR(INDEX(商品マスタ!$H$6:$H$1005,MATCH($C150,商品マスタ!$B$6:$B$1005,0)),3))</f>
        <v/>
      </c>
      <c r="J150" s="66" t="str">
        <f aca="false">IF($C150="","",MAX(1,IFERROR(INDEX(商品マスタ!$I$6:$I$1005,MATCH($C150,商品マスタ!$B$6:$B$1005,0)),1)))</f>
        <v/>
      </c>
      <c r="K150" s="69" t="str">
        <f aca="false">IF($C150="","",SUMIFS(①今日の在庫を貼る!$N$6:$N$10005,①今日の在庫を貼る!$B$6:$B$10005,'設定（最初に1回）'!$C$4,①今日の在庫を貼る!$I$6:$I$10005,$C150))</f>
        <v/>
      </c>
      <c r="L150" s="69" t="str">
        <f aca="false">IF($C150="","",SUMIFS(月1回_前回の在庫を貼る!$N$6:$N$10005,月1回_前回の在庫を貼る!$B$6:$B$10005,'設定（最初に1回）'!$C$4,月1回_前回の在庫を貼る!$I$6:$I$10005,$C150))</f>
        <v/>
      </c>
      <c r="M150" s="69" t="str">
        <f aca="false">IF($C150="","",IF(OR('設定（最初に1回）'!$C$6="",'設定（最初に1回）'!$C$7=""),0,SUMIFS(発注管理!$S$6:$S$1005,発注管理!$C$6:$C$1005,'設定（最初に1回）'!$C$4,発注管理!$F$6:$F$1005,$C150,発注管理!$R$6:$R$1005,"&gt;="&amp;'設定（最初に1回）'!$C$7,発注管理!$R$6:$R$1005,"&lt;="&amp;'設定（最初に1回）'!$C$6)))</f>
        <v/>
      </c>
      <c r="N150" s="69" t="str">
        <f aca="false">IF(OR($C150="",'設定（最初に1回）'!$C$15=0),"",$L150+$M150-$K150)</f>
        <v/>
      </c>
      <c r="O150" s="143" t="str">
        <f aca="false">IF(OR($N150="",'設定（最初に1回）'!$C$8="",'設定（最初に1回）'!$C$8&lt;=0),"",MAX(0,$N150)/'設定（最初に1回）'!$C$8)</f>
        <v/>
      </c>
      <c r="P150" s="143" t="str">
        <f aca="false">IF($C150="","",IFERROR(INDEX(商品マスタ!$M$6:$N$1005,MATCH($C150,商品マスタ!$B$6:$B$1005,0),MATCH("PI値 "&amp;'設定（最初に1回）'!$C$11,商品マスタ!$M$5:$N$5,0)),""))</f>
        <v/>
      </c>
      <c r="Q150" s="143" t="str">
        <f aca="false">IF(OR($C150="",$P150="",$P150=0,(N($I150)+N($AG150))&lt;=0),"",IFERROR(SUMIFS(随時_動員を入れる!$G$8:$G$97,随時_動員を入れる!$B$8:$B$97,"&gt;="&amp;'設定（最初に1回）'!$C$6,随時_動員を入れる!$B$8:$B$97,"&lt;="&amp;'設定（最初に1回）'!$C$6+(N($I150)+N($AG150))-1)/(N($I150)+N($AG150)),0)*$P150/100)</f>
        <v/>
      </c>
      <c r="R150" s="69" t="str">
        <f aca="false">IF($C150="","",SUMIFS(①今日の在庫を貼る!$O$6:$O$10005,①今日の在庫を貼る!$B$6:$B$10005,'設定（最初に1回）'!$C$4,①今日の在庫を貼る!$I$6:$I$10005,$C150))</f>
        <v/>
      </c>
      <c r="S150" s="143" t="str">
        <f aca="false">IF($C150="","",IF('設定（最初に1回）'!$C$9="実績消費",N($O150),IF('設定（最初に1回）'!$C$9="PI値予測",N($Q150),MAX(N($O150),N($Q150)))))</f>
        <v/>
      </c>
      <c r="T150" s="67" t="str">
        <f aca="false">IF(OR($S150="",$S150&lt;=0),"",$K150/$S150)</f>
        <v/>
      </c>
      <c r="U150" s="69" t="str">
        <f aca="false">IF($S150="","",ROUNDUP(N($S150)*'設定（最初に1回）'!$C$12,0))</f>
        <v/>
      </c>
      <c r="V150" s="69" t="str">
        <f aca="false">IF($C150="","",ROUNDUP(N($S150)*(N($I150)+N($AG150))+N($U150),0))</f>
        <v/>
      </c>
      <c r="W150" s="69" t="str">
        <f aca="false">IF($C150="","",SUMIFS(発注管理!$L$6:$L$1005,発注管理!$C$6:$C$1005,'設定（最初に1回）'!$C$4,発注管理!$F$6:$F$1005,$C150,発注管理!$Q$6:$Q$1005,"発注済"))</f>
        <v/>
      </c>
      <c r="X150" s="69" t="str">
        <f aca="false">IF($C150="","",MAX(0,N($V150)-N($K150)-N($W150)))</f>
        <v/>
      </c>
      <c r="Y150" s="147" t="str">
        <f aca="false">IF($C150="","",IF(N($X150)&lt;=0,0,CEILING($X150/MAX(1,N($G150)),MAX(1,N($J150)))))</f>
        <v/>
      </c>
      <c r="Z150" s="138" t="str">
        <f aca="false">IF($C150="","",IF(N($Y150)&gt;0,"要発注","正常"))</f>
        <v/>
      </c>
      <c r="AA150" s="71" t="str">
        <f aca="false">IF($C150="","",N($K150)*N($H150))</f>
        <v/>
      </c>
      <c r="AB150" s="66" t="str">
        <f aca="false">IF($C150="","",_xlfn.TEXTJOIN(" / ",TRUE(),IF(COUNTIF(商品マスタ!$B$6:$B$1005,$C150)=0,"マスタ未登録",""),IF(COUNTIFS(月1回_前回の在庫を貼る!$B$6:$B$10005,'設定（最初に1回）'!$C$4,月1回_前回の在庫を貼る!$I$6:$I$10005,$C150)=0,"新商品",""),IF(COUNTIFS(①今日の在庫を貼る!$B$6:$B$10005,'設定（最初に1回）'!$C$4,①今日の在庫を貼る!$I$6:$I$10005,$C150)=0,"終売候補",""),IF(N($K150)&lt;0,"在庫マイナス",""),IF(AND('設定（最初に1回）'!$C$9="PI値予測",$P150=""),"PI値未設定","")))</f>
        <v/>
      </c>
      <c r="AC150" s="71" t="n">
        <f aca="false">N($Y150)*N($H150)</f>
        <v>0</v>
      </c>
      <c r="AD150" s="66" t="str">
        <f aca="false">IF($C150="","",IFERROR(INDEX(商品マスタ!$K$6:$K$1005,MATCH($C150,商品マスタ!$B$6:$B$1005,0)),"常温"))</f>
        <v/>
      </c>
      <c r="AE150" s="69" t="str">
        <f aca="false">IF($C150="","",MAX(0,ROUNDUP(N($K150)/MAX(1,N($G150)),0)))</f>
        <v/>
      </c>
      <c r="AF150" s="66" t="str">
        <f aca="false">IF($C150="","",IFERROR(INDEX(商品マスタ!$L$6:$L$1005,MATCH($C150,商品マスタ!$B$6:$B$1005,0)),""))</f>
        <v/>
      </c>
      <c r="AG150" s="143" t="str">
        <f aca="false">IF($C150="","",IFERROR(INDEX(定数マスタ!$S$110:$S$119,MATCH($AF150,定数マスタ!$J$110:$J$119,0)),N('設定（最初に1回）'!$C$13)))</f>
        <v/>
      </c>
      <c r="AH150" s="66" t="n">
        <f aca="false">IF(AND(N($K150)&gt;0,N($Y150)&gt;0),N($Y150),0)</f>
        <v>0</v>
      </c>
    </row>
    <row r="151" customFormat="false" ht="15" hidden="false" customHeight="false" outlineLevel="0" collapsed="false">
      <c r="B151" s="66" t="n">
        <v>146</v>
      </c>
      <c r="C151" s="66" t="str">
        <f aca="false">IFERROR(IF($B151&lt;=MAX(①今日の在庫を貼る!$U$6:$U$10005),INDEX(①今日の在庫を貼る!$I$6:$I$10005,MATCH($B151,①今日の在庫を貼る!$U$6:$U$10005,0)),INDEX(月1回_前回の在庫を貼る!$I$6:$I$10005,MATCH($B151-MAX(①今日の在庫を貼る!$U$6:$U$10005),月1回_前回の在庫を貼る!$U$6:$U$10005,0))),"")</f>
        <v/>
      </c>
      <c r="D151" s="66" t="str">
        <f aca="false">IF($C151="","",IFERROR(INDEX(商品マスタ!$C$6:$C$1005,MATCH($C151,商品マスタ!$B$6:$B$1005,0)),IFERROR(INDEX(①今日の在庫を貼る!$J$6:$J$10005,MATCH($C151,①今日の在庫を貼る!$I$6:$I$10005,0)),IFERROR(INDEX(月1回_前回の在庫を貼る!$J$6:$J$10005,MATCH($C151,月1回_前回の在庫を貼る!$I$6:$I$10005,0)),""))))</f>
        <v/>
      </c>
      <c r="E151" s="66" t="str">
        <f aca="false">IF($C151="","",IFERROR(INDEX(商品マスタ!$D$6:$D$1005,MATCH($C151,商品マスタ!$B$6:$B$1005,0)),IFERROR(INDEX(①今日の在庫を貼る!$H$6:$H$10005,MATCH($C151,①今日の在庫を貼る!$I$6:$I$10005,0)),IFERROR(INDEX(月1回_前回の在庫を貼る!$H$6:$H$10005,MATCH($C151,月1回_前回の在庫を貼る!$I$6:$I$10005,0)),""))))</f>
        <v/>
      </c>
      <c r="F151" s="66" t="str">
        <f aca="false">IF($C151="","",IFERROR(INDEX(商品マスタ!$E$6:$E$1005,MATCH($C151,商品マスタ!$B$6:$B$1005,0)),IFERROR(INDEX(①今日の在庫を貼る!$E$6:$E$10005,MATCH($C151,①今日の在庫を貼る!$I$6:$I$10005,0)),IFERROR(INDEX(月1回_前回の在庫を貼る!$E$6:$E$10005,MATCH($C151,月1回_前回の在庫を貼る!$I$6:$I$10005,0)),""))))</f>
        <v/>
      </c>
      <c r="G151" s="69" t="str">
        <f aca="false">IF($C151="","",IFERROR(INDEX(商品マスタ!$F$6:$F$1005,MATCH($C151,商品マスタ!$B$6:$B$1005,0)),IFERROR(INDEX(①今日の在庫を貼る!$K$6:$K$10005,MATCH($C151,①今日の在庫を貼る!$I$6:$I$10005,0)),IFERROR(INDEX(月1回_前回の在庫を貼る!$K$6:$K$10005,MATCH($C151,月1回_前回の在庫を貼る!$I$6:$I$10005,0)),""))))</f>
        <v/>
      </c>
      <c r="H151" s="71" t="str">
        <f aca="false">IF($C151="","",IFERROR(INDEX(商品マスタ!$G$6:$G$1005,MATCH($C151,商品マスタ!$B$6:$B$1005,0)),IFERROR(INDEX(①今日の在庫を貼る!$Q$6:$Q$10005,MATCH($C151,①今日の在庫を貼る!$I$6:$I$10005,0)),IFERROR(INDEX(月1回_前回の在庫を貼る!$Q$6:$Q$10005,MATCH($C151,月1回_前回の在庫を貼る!$I$6:$I$10005,0)),""))))</f>
        <v/>
      </c>
      <c r="I151" s="66" t="str">
        <f aca="false">IF($C151="","",IFERROR(INDEX(商品マスタ!$H$6:$H$1005,MATCH($C151,商品マスタ!$B$6:$B$1005,0)),3))</f>
        <v/>
      </c>
      <c r="J151" s="66" t="str">
        <f aca="false">IF($C151="","",MAX(1,IFERROR(INDEX(商品マスタ!$I$6:$I$1005,MATCH($C151,商品マスタ!$B$6:$B$1005,0)),1)))</f>
        <v/>
      </c>
      <c r="K151" s="69" t="str">
        <f aca="false">IF($C151="","",SUMIFS(①今日の在庫を貼る!$N$6:$N$10005,①今日の在庫を貼る!$B$6:$B$10005,'設定（最初に1回）'!$C$4,①今日の在庫を貼る!$I$6:$I$10005,$C151))</f>
        <v/>
      </c>
      <c r="L151" s="69" t="str">
        <f aca="false">IF($C151="","",SUMIFS(月1回_前回の在庫を貼る!$N$6:$N$10005,月1回_前回の在庫を貼る!$B$6:$B$10005,'設定（最初に1回）'!$C$4,月1回_前回の在庫を貼る!$I$6:$I$10005,$C151))</f>
        <v/>
      </c>
      <c r="M151" s="69" t="str">
        <f aca="false">IF($C151="","",IF(OR('設定（最初に1回）'!$C$6="",'設定（最初に1回）'!$C$7=""),0,SUMIFS(発注管理!$S$6:$S$1005,発注管理!$C$6:$C$1005,'設定（最初に1回）'!$C$4,発注管理!$F$6:$F$1005,$C151,発注管理!$R$6:$R$1005,"&gt;="&amp;'設定（最初に1回）'!$C$7,発注管理!$R$6:$R$1005,"&lt;="&amp;'設定（最初に1回）'!$C$6)))</f>
        <v/>
      </c>
      <c r="N151" s="69" t="str">
        <f aca="false">IF(OR($C151="",'設定（最初に1回）'!$C$15=0),"",$L151+$M151-$K151)</f>
        <v/>
      </c>
      <c r="O151" s="143" t="str">
        <f aca="false">IF(OR($N151="",'設定（最初に1回）'!$C$8="",'設定（最初に1回）'!$C$8&lt;=0),"",MAX(0,$N151)/'設定（最初に1回）'!$C$8)</f>
        <v/>
      </c>
      <c r="P151" s="143" t="str">
        <f aca="false">IF($C151="","",IFERROR(INDEX(商品マスタ!$M$6:$N$1005,MATCH($C151,商品マスタ!$B$6:$B$1005,0),MATCH("PI値 "&amp;'設定（最初に1回）'!$C$11,商品マスタ!$M$5:$N$5,0)),""))</f>
        <v/>
      </c>
      <c r="Q151" s="143" t="str">
        <f aca="false">IF(OR($C151="",$P151="",$P151=0,(N($I151)+N($AG151))&lt;=0),"",IFERROR(SUMIFS(随時_動員を入れる!$G$8:$G$97,随時_動員を入れる!$B$8:$B$97,"&gt;="&amp;'設定（最初に1回）'!$C$6,随時_動員を入れる!$B$8:$B$97,"&lt;="&amp;'設定（最初に1回）'!$C$6+(N($I151)+N($AG151))-1)/(N($I151)+N($AG151)),0)*$P151/100)</f>
        <v/>
      </c>
      <c r="R151" s="69" t="str">
        <f aca="false">IF($C151="","",SUMIFS(①今日の在庫を貼る!$O$6:$O$10005,①今日の在庫を貼る!$B$6:$B$10005,'設定（最初に1回）'!$C$4,①今日の在庫を貼る!$I$6:$I$10005,$C151))</f>
        <v/>
      </c>
      <c r="S151" s="143" t="str">
        <f aca="false">IF($C151="","",IF('設定（最初に1回）'!$C$9="実績消費",N($O151),IF('設定（最初に1回）'!$C$9="PI値予測",N($Q151),MAX(N($O151),N($Q151)))))</f>
        <v/>
      </c>
      <c r="T151" s="67" t="str">
        <f aca="false">IF(OR($S151="",$S151&lt;=0),"",$K151/$S151)</f>
        <v/>
      </c>
      <c r="U151" s="69" t="str">
        <f aca="false">IF($S151="","",ROUNDUP(N($S151)*'設定（最初に1回）'!$C$12,0))</f>
        <v/>
      </c>
      <c r="V151" s="69" t="str">
        <f aca="false">IF($C151="","",ROUNDUP(N($S151)*(N($I151)+N($AG151))+N($U151),0))</f>
        <v/>
      </c>
      <c r="W151" s="69" t="str">
        <f aca="false">IF($C151="","",SUMIFS(発注管理!$L$6:$L$1005,発注管理!$C$6:$C$1005,'設定（最初に1回）'!$C$4,発注管理!$F$6:$F$1005,$C151,発注管理!$Q$6:$Q$1005,"発注済"))</f>
        <v/>
      </c>
      <c r="X151" s="69" t="str">
        <f aca="false">IF($C151="","",MAX(0,N($V151)-N($K151)-N($W151)))</f>
        <v/>
      </c>
      <c r="Y151" s="147" t="str">
        <f aca="false">IF($C151="","",IF(N($X151)&lt;=0,0,CEILING($X151/MAX(1,N($G151)),MAX(1,N($J151)))))</f>
        <v/>
      </c>
      <c r="Z151" s="138" t="str">
        <f aca="false">IF($C151="","",IF(N($Y151)&gt;0,"要発注","正常"))</f>
        <v/>
      </c>
      <c r="AA151" s="71" t="str">
        <f aca="false">IF($C151="","",N($K151)*N($H151))</f>
        <v/>
      </c>
      <c r="AB151" s="66" t="str">
        <f aca="false">IF($C151="","",_xlfn.TEXTJOIN(" / ",TRUE(),IF(COUNTIF(商品マスタ!$B$6:$B$1005,$C151)=0,"マスタ未登録",""),IF(COUNTIFS(月1回_前回の在庫を貼る!$B$6:$B$10005,'設定（最初に1回）'!$C$4,月1回_前回の在庫を貼る!$I$6:$I$10005,$C151)=0,"新商品",""),IF(COUNTIFS(①今日の在庫を貼る!$B$6:$B$10005,'設定（最初に1回）'!$C$4,①今日の在庫を貼る!$I$6:$I$10005,$C151)=0,"終売候補",""),IF(N($K151)&lt;0,"在庫マイナス",""),IF(AND('設定（最初に1回）'!$C$9="PI値予測",$P151=""),"PI値未設定","")))</f>
        <v/>
      </c>
      <c r="AC151" s="71" t="n">
        <f aca="false">N($Y151)*N($H151)</f>
        <v>0</v>
      </c>
      <c r="AD151" s="66" t="str">
        <f aca="false">IF($C151="","",IFERROR(INDEX(商品マスタ!$K$6:$K$1005,MATCH($C151,商品マスタ!$B$6:$B$1005,0)),"常温"))</f>
        <v/>
      </c>
      <c r="AE151" s="69" t="str">
        <f aca="false">IF($C151="","",MAX(0,ROUNDUP(N($K151)/MAX(1,N($G151)),0)))</f>
        <v/>
      </c>
      <c r="AF151" s="66" t="str">
        <f aca="false">IF($C151="","",IFERROR(INDEX(商品マスタ!$L$6:$L$1005,MATCH($C151,商品マスタ!$B$6:$B$1005,0)),""))</f>
        <v/>
      </c>
      <c r="AG151" s="143" t="str">
        <f aca="false">IF($C151="","",IFERROR(INDEX(定数マスタ!$S$110:$S$119,MATCH($AF151,定数マスタ!$J$110:$J$119,0)),N('設定（最初に1回）'!$C$13)))</f>
        <v/>
      </c>
      <c r="AH151" s="66" t="n">
        <f aca="false">IF(AND(N($K151)&gt;0,N($Y151)&gt;0),N($Y151),0)</f>
        <v>0</v>
      </c>
    </row>
    <row r="152" customFormat="false" ht="15" hidden="false" customHeight="false" outlineLevel="0" collapsed="false">
      <c r="B152" s="66" t="n">
        <v>147</v>
      </c>
      <c r="C152" s="66" t="str">
        <f aca="false">IFERROR(IF($B152&lt;=MAX(①今日の在庫を貼る!$U$6:$U$10005),INDEX(①今日の在庫を貼る!$I$6:$I$10005,MATCH($B152,①今日の在庫を貼る!$U$6:$U$10005,0)),INDEX(月1回_前回の在庫を貼る!$I$6:$I$10005,MATCH($B152-MAX(①今日の在庫を貼る!$U$6:$U$10005),月1回_前回の在庫を貼る!$U$6:$U$10005,0))),"")</f>
        <v/>
      </c>
      <c r="D152" s="66" t="str">
        <f aca="false">IF($C152="","",IFERROR(INDEX(商品マスタ!$C$6:$C$1005,MATCH($C152,商品マスタ!$B$6:$B$1005,0)),IFERROR(INDEX(①今日の在庫を貼る!$J$6:$J$10005,MATCH($C152,①今日の在庫を貼る!$I$6:$I$10005,0)),IFERROR(INDEX(月1回_前回の在庫を貼る!$J$6:$J$10005,MATCH($C152,月1回_前回の在庫を貼る!$I$6:$I$10005,0)),""))))</f>
        <v/>
      </c>
      <c r="E152" s="66" t="str">
        <f aca="false">IF($C152="","",IFERROR(INDEX(商品マスタ!$D$6:$D$1005,MATCH($C152,商品マスタ!$B$6:$B$1005,0)),IFERROR(INDEX(①今日の在庫を貼る!$H$6:$H$10005,MATCH($C152,①今日の在庫を貼る!$I$6:$I$10005,0)),IFERROR(INDEX(月1回_前回の在庫を貼る!$H$6:$H$10005,MATCH($C152,月1回_前回の在庫を貼る!$I$6:$I$10005,0)),""))))</f>
        <v/>
      </c>
      <c r="F152" s="66" t="str">
        <f aca="false">IF($C152="","",IFERROR(INDEX(商品マスタ!$E$6:$E$1005,MATCH($C152,商品マスタ!$B$6:$B$1005,0)),IFERROR(INDEX(①今日の在庫を貼る!$E$6:$E$10005,MATCH($C152,①今日の在庫を貼る!$I$6:$I$10005,0)),IFERROR(INDEX(月1回_前回の在庫を貼る!$E$6:$E$10005,MATCH($C152,月1回_前回の在庫を貼る!$I$6:$I$10005,0)),""))))</f>
        <v/>
      </c>
      <c r="G152" s="69" t="str">
        <f aca="false">IF($C152="","",IFERROR(INDEX(商品マスタ!$F$6:$F$1005,MATCH($C152,商品マスタ!$B$6:$B$1005,0)),IFERROR(INDEX(①今日の在庫を貼る!$K$6:$K$10005,MATCH($C152,①今日の在庫を貼る!$I$6:$I$10005,0)),IFERROR(INDEX(月1回_前回の在庫を貼る!$K$6:$K$10005,MATCH($C152,月1回_前回の在庫を貼る!$I$6:$I$10005,0)),""))))</f>
        <v/>
      </c>
      <c r="H152" s="71" t="str">
        <f aca="false">IF($C152="","",IFERROR(INDEX(商品マスタ!$G$6:$G$1005,MATCH($C152,商品マスタ!$B$6:$B$1005,0)),IFERROR(INDEX(①今日の在庫を貼る!$Q$6:$Q$10005,MATCH($C152,①今日の在庫を貼る!$I$6:$I$10005,0)),IFERROR(INDEX(月1回_前回の在庫を貼る!$Q$6:$Q$10005,MATCH($C152,月1回_前回の在庫を貼る!$I$6:$I$10005,0)),""))))</f>
        <v/>
      </c>
      <c r="I152" s="66" t="str">
        <f aca="false">IF($C152="","",IFERROR(INDEX(商品マスタ!$H$6:$H$1005,MATCH($C152,商品マスタ!$B$6:$B$1005,0)),3))</f>
        <v/>
      </c>
      <c r="J152" s="66" t="str">
        <f aca="false">IF($C152="","",MAX(1,IFERROR(INDEX(商品マスタ!$I$6:$I$1005,MATCH($C152,商品マスタ!$B$6:$B$1005,0)),1)))</f>
        <v/>
      </c>
      <c r="K152" s="69" t="str">
        <f aca="false">IF($C152="","",SUMIFS(①今日の在庫を貼る!$N$6:$N$10005,①今日の在庫を貼る!$B$6:$B$10005,'設定（最初に1回）'!$C$4,①今日の在庫を貼る!$I$6:$I$10005,$C152))</f>
        <v/>
      </c>
      <c r="L152" s="69" t="str">
        <f aca="false">IF($C152="","",SUMIFS(月1回_前回の在庫を貼る!$N$6:$N$10005,月1回_前回の在庫を貼る!$B$6:$B$10005,'設定（最初に1回）'!$C$4,月1回_前回の在庫を貼る!$I$6:$I$10005,$C152))</f>
        <v/>
      </c>
      <c r="M152" s="69" t="str">
        <f aca="false">IF($C152="","",IF(OR('設定（最初に1回）'!$C$6="",'設定（最初に1回）'!$C$7=""),0,SUMIFS(発注管理!$S$6:$S$1005,発注管理!$C$6:$C$1005,'設定（最初に1回）'!$C$4,発注管理!$F$6:$F$1005,$C152,発注管理!$R$6:$R$1005,"&gt;="&amp;'設定（最初に1回）'!$C$7,発注管理!$R$6:$R$1005,"&lt;="&amp;'設定（最初に1回）'!$C$6)))</f>
        <v/>
      </c>
      <c r="N152" s="69" t="str">
        <f aca="false">IF(OR($C152="",'設定（最初に1回）'!$C$15=0),"",$L152+$M152-$K152)</f>
        <v/>
      </c>
      <c r="O152" s="143" t="str">
        <f aca="false">IF(OR($N152="",'設定（最初に1回）'!$C$8="",'設定（最初に1回）'!$C$8&lt;=0),"",MAX(0,$N152)/'設定（最初に1回）'!$C$8)</f>
        <v/>
      </c>
      <c r="P152" s="143" t="str">
        <f aca="false">IF($C152="","",IFERROR(INDEX(商品マスタ!$M$6:$N$1005,MATCH($C152,商品マスタ!$B$6:$B$1005,0),MATCH("PI値 "&amp;'設定（最初に1回）'!$C$11,商品マスタ!$M$5:$N$5,0)),""))</f>
        <v/>
      </c>
      <c r="Q152" s="143" t="str">
        <f aca="false">IF(OR($C152="",$P152="",$P152=0,(N($I152)+N($AG152))&lt;=0),"",IFERROR(SUMIFS(随時_動員を入れる!$G$8:$G$97,随時_動員を入れる!$B$8:$B$97,"&gt;="&amp;'設定（最初に1回）'!$C$6,随時_動員を入れる!$B$8:$B$97,"&lt;="&amp;'設定（最初に1回）'!$C$6+(N($I152)+N($AG152))-1)/(N($I152)+N($AG152)),0)*$P152/100)</f>
        <v/>
      </c>
      <c r="R152" s="69" t="str">
        <f aca="false">IF($C152="","",SUMIFS(①今日の在庫を貼る!$O$6:$O$10005,①今日の在庫を貼る!$B$6:$B$10005,'設定（最初に1回）'!$C$4,①今日の在庫を貼る!$I$6:$I$10005,$C152))</f>
        <v/>
      </c>
      <c r="S152" s="143" t="str">
        <f aca="false">IF($C152="","",IF('設定（最初に1回）'!$C$9="実績消費",N($O152),IF('設定（最初に1回）'!$C$9="PI値予測",N($Q152),MAX(N($O152),N($Q152)))))</f>
        <v/>
      </c>
      <c r="T152" s="67" t="str">
        <f aca="false">IF(OR($S152="",$S152&lt;=0),"",$K152/$S152)</f>
        <v/>
      </c>
      <c r="U152" s="69" t="str">
        <f aca="false">IF($S152="","",ROUNDUP(N($S152)*'設定（最初に1回）'!$C$12,0))</f>
        <v/>
      </c>
      <c r="V152" s="69" t="str">
        <f aca="false">IF($C152="","",ROUNDUP(N($S152)*(N($I152)+N($AG152))+N($U152),0))</f>
        <v/>
      </c>
      <c r="W152" s="69" t="str">
        <f aca="false">IF($C152="","",SUMIFS(発注管理!$L$6:$L$1005,発注管理!$C$6:$C$1005,'設定（最初に1回）'!$C$4,発注管理!$F$6:$F$1005,$C152,発注管理!$Q$6:$Q$1005,"発注済"))</f>
        <v/>
      </c>
      <c r="X152" s="69" t="str">
        <f aca="false">IF($C152="","",MAX(0,N($V152)-N($K152)-N($W152)))</f>
        <v/>
      </c>
      <c r="Y152" s="147" t="str">
        <f aca="false">IF($C152="","",IF(N($X152)&lt;=0,0,CEILING($X152/MAX(1,N($G152)),MAX(1,N($J152)))))</f>
        <v/>
      </c>
      <c r="Z152" s="138" t="str">
        <f aca="false">IF($C152="","",IF(N($Y152)&gt;0,"要発注","正常"))</f>
        <v/>
      </c>
      <c r="AA152" s="71" t="str">
        <f aca="false">IF($C152="","",N($K152)*N($H152))</f>
        <v/>
      </c>
      <c r="AB152" s="66" t="str">
        <f aca="false">IF($C152="","",_xlfn.TEXTJOIN(" / ",TRUE(),IF(COUNTIF(商品マスタ!$B$6:$B$1005,$C152)=0,"マスタ未登録",""),IF(COUNTIFS(月1回_前回の在庫を貼る!$B$6:$B$10005,'設定（最初に1回）'!$C$4,月1回_前回の在庫を貼る!$I$6:$I$10005,$C152)=0,"新商品",""),IF(COUNTIFS(①今日の在庫を貼る!$B$6:$B$10005,'設定（最初に1回）'!$C$4,①今日の在庫を貼る!$I$6:$I$10005,$C152)=0,"終売候補",""),IF(N($K152)&lt;0,"在庫マイナス",""),IF(AND('設定（最初に1回）'!$C$9="PI値予測",$P152=""),"PI値未設定","")))</f>
        <v/>
      </c>
      <c r="AC152" s="71" t="n">
        <f aca="false">N($Y152)*N($H152)</f>
        <v>0</v>
      </c>
      <c r="AD152" s="66" t="str">
        <f aca="false">IF($C152="","",IFERROR(INDEX(商品マスタ!$K$6:$K$1005,MATCH($C152,商品マスタ!$B$6:$B$1005,0)),"常温"))</f>
        <v/>
      </c>
      <c r="AE152" s="69" t="str">
        <f aca="false">IF($C152="","",MAX(0,ROUNDUP(N($K152)/MAX(1,N($G152)),0)))</f>
        <v/>
      </c>
      <c r="AF152" s="66" t="str">
        <f aca="false">IF($C152="","",IFERROR(INDEX(商品マスタ!$L$6:$L$1005,MATCH($C152,商品マスタ!$B$6:$B$1005,0)),""))</f>
        <v/>
      </c>
      <c r="AG152" s="143" t="str">
        <f aca="false">IF($C152="","",IFERROR(INDEX(定数マスタ!$S$110:$S$119,MATCH($AF152,定数マスタ!$J$110:$J$119,0)),N('設定（最初に1回）'!$C$13)))</f>
        <v/>
      </c>
      <c r="AH152" s="66" t="n">
        <f aca="false">IF(AND(N($K152)&gt;0,N($Y152)&gt;0),N($Y152),0)</f>
        <v>0</v>
      </c>
    </row>
    <row r="153" customFormat="false" ht="15" hidden="false" customHeight="false" outlineLevel="0" collapsed="false">
      <c r="B153" s="66" t="n">
        <v>148</v>
      </c>
      <c r="C153" s="66" t="str">
        <f aca="false">IFERROR(IF($B153&lt;=MAX(①今日の在庫を貼る!$U$6:$U$10005),INDEX(①今日の在庫を貼る!$I$6:$I$10005,MATCH($B153,①今日の在庫を貼る!$U$6:$U$10005,0)),INDEX(月1回_前回の在庫を貼る!$I$6:$I$10005,MATCH($B153-MAX(①今日の在庫を貼る!$U$6:$U$10005),月1回_前回の在庫を貼る!$U$6:$U$10005,0))),"")</f>
        <v/>
      </c>
      <c r="D153" s="66" t="str">
        <f aca="false">IF($C153="","",IFERROR(INDEX(商品マスタ!$C$6:$C$1005,MATCH($C153,商品マスタ!$B$6:$B$1005,0)),IFERROR(INDEX(①今日の在庫を貼る!$J$6:$J$10005,MATCH($C153,①今日の在庫を貼る!$I$6:$I$10005,0)),IFERROR(INDEX(月1回_前回の在庫を貼る!$J$6:$J$10005,MATCH($C153,月1回_前回の在庫を貼る!$I$6:$I$10005,0)),""))))</f>
        <v/>
      </c>
      <c r="E153" s="66" t="str">
        <f aca="false">IF($C153="","",IFERROR(INDEX(商品マスタ!$D$6:$D$1005,MATCH($C153,商品マスタ!$B$6:$B$1005,0)),IFERROR(INDEX(①今日の在庫を貼る!$H$6:$H$10005,MATCH($C153,①今日の在庫を貼る!$I$6:$I$10005,0)),IFERROR(INDEX(月1回_前回の在庫を貼る!$H$6:$H$10005,MATCH($C153,月1回_前回の在庫を貼る!$I$6:$I$10005,0)),""))))</f>
        <v/>
      </c>
      <c r="F153" s="66" t="str">
        <f aca="false">IF($C153="","",IFERROR(INDEX(商品マスタ!$E$6:$E$1005,MATCH($C153,商品マスタ!$B$6:$B$1005,0)),IFERROR(INDEX(①今日の在庫を貼る!$E$6:$E$10005,MATCH($C153,①今日の在庫を貼る!$I$6:$I$10005,0)),IFERROR(INDEX(月1回_前回の在庫を貼る!$E$6:$E$10005,MATCH($C153,月1回_前回の在庫を貼る!$I$6:$I$10005,0)),""))))</f>
        <v/>
      </c>
      <c r="G153" s="69" t="str">
        <f aca="false">IF($C153="","",IFERROR(INDEX(商品マスタ!$F$6:$F$1005,MATCH($C153,商品マスタ!$B$6:$B$1005,0)),IFERROR(INDEX(①今日の在庫を貼る!$K$6:$K$10005,MATCH($C153,①今日の在庫を貼る!$I$6:$I$10005,0)),IFERROR(INDEX(月1回_前回の在庫を貼る!$K$6:$K$10005,MATCH($C153,月1回_前回の在庫を貼る!$I$6:$I$10005,0)),""))))</f>
        <v/>
      </c>
      <c r="H153" s="71" t="str">
        <f aca="false">IF($C153="","",IFERROR(INDEX(商品マスタ!$G$6:$G$1005,MATCH($C153,商品マスタ!$B$6:$B$1005,0)),IFERROR(INDEX(①今日の在庫を貼る!$Q$6:$Q$10005,MATCH($C153,①今日の在庫を貼る!$I$6:$I$10005,0)),IFERROR(INDEX(月1回_前回の在庫を貼る!$Q$6:$Q$10005,MATCH($C153,月1回_前回の在庫を貼る!$I$6:$I$10005,0)),""))))</f>
        <v/>
      </c>
      <c r="I153" s="66" t="str">
        <f aca="false">IF($C153="","",IFERROR(INDEX(商品マスタ!$H$6:$H$1005,MATCH($C153,商品マスタ!$B$6:$B$1005,0)),3))</f>
        <v/>
      </c>
      <c r="J153" s="66" t="str">
        <f aca="false">IF($C153="","",MAX(1,IFERROR(INDEX(商品マスタ!$I$6:$I$1005,MATCH($C153,商品マスタ!$B$6:$B$1005,0)),1)))</f>
        <v/>
      </c>
      <c r="K153" s="69" t="str">
        <f aca="false">IF($C153="","",SUMIFS(①今日の在庫を貼る!$N$6:$N$10005,①今日の在庫を貼る!$B$6:$B$10005,'設定（最初に1回）'!$C$4,①今日の在庫を貼る!$I$6:$I$10005,$C153))</f>
        <v/>
      </c>
      <c r="L153" s="69" t="str">
        <f aca="false">IF($C153="","",SUMIFS(月1回_前回の在庫を貼る!$N$6:$N$10005,月1回_前回の在庫を貼る!$B$6:$B$10005,'設定（最初に1回）'!$C$4,月1回_前回の在庫を貼る!$I$6:$I$10005,$C153))</f>
        <v/>
      </c>
      <c r="M153" s="69" t="str">
        <f aca="false">IF($C153="","",IF(OR('設定（最初に1回）'!$C$6="",'設定（最初に1回）'!$C$7=""),0,SUMIFS(発注管理!$S$6:$S$1005,発注管理!$C$6:$C$1005,'設定（最初に1回）'!$C$4,発注管理!$F$6:$F$1005,$C153,発注管理!$R$6:$R$1005,"&gt;="&amp;'設定（最初に1回）'!$C$7,発注管理!$R$6:$R$1005,"&lt;="&amp;'設定（最初に1回）'!$C$6)))</f>
        <v/>
      </c>
      <c r="N153" s="69" t="str">
        <f aca="false">IF(OR($C153="",'設定（最初に1回）'!$C$15=0),"",$L153+$M153-$K153)</f>
        <v/>
      </c>
      <c r="O153" s="143" t="str">
        <f aca="false">IF(OR($N153="",'設定（最初に1回）'!$C$8="",'設定（最初に1回）'!$C$8&lt;=0),"",MAX(0,$N153)/'設定（最初に1回）'!$C$8)</f>
        <v/>
      </c>
      <c r="P153" s="143" t="str">
        <f aca="false">IF($C153="","",IFERROR(INDEX(商品マスタ!$M$6:$N$1005,MATCH($C153,商品マスタ!$B$6:$B$1005,0),MATCH("PI値 "&amp;'設定（最初に1回）'!$C$11,商品マスタ!$M$5:$N$5,0)),""))</f>
        <v/>
      </c>
      <c r="Q153" s="143" t="str">
        <f aca="false">IF(OR($C153="",$P153="",$P153=0,(N($I153)+N($AG153))&lt;=0),"",IFERROR(SUMIFS(随時_動員を入れる!$G$8:$G$97,随時_動員を入れる!$B$8:$B$97,"&gt;="&amp;'設定（最初に1回）'!$C$6,随時_動員を入れる!$B$8:$B$97,"&lt;="&amp;'設定（最初に1回）'!$C$6+(N($I153)+N($AG153))-1)/(N($I153)+N($AG153)),0)*$P153/100)</f>
        <v/>
      </c>
      <c r="R153" s="69" t="str">
        <f aca="false">IF($C153="","",SUMIFS(①今日の在庫を貼る!$O$6:$O$10005,①今日の在庫を貼る!$B$6:$B$10005,'設定（最初に1回）'!$C$4,①今日の在庫を貼る!$I$6:$I$10005,$C153))</f>
        <v/>
      </c>
      <c r="S153" s="143" t="str">
        <f aca="false">IF($C153="","",IF('設定（最初に1回）'!$C$9="実績消費",N($O153),IF('設定（最初に1回）'!$C$9="PI値予測",N($Q153),MAX(N($O153),N($Q153)))))</f>
        <v/>
      </c>
      <c r="T153" s="67" t="str">
        <f aca="false">IF(OR($S153="",$S153&lt;=0),"",$K153/$S153)</f>
        <v/>
      </c>
      <c r="U153" s="69" t="str">
        <f aca="false">IF($S153="","",ROUNDUP(N($S153)*'設定（最初に1回）'!$C$12,0))</f>
        <v/>
      </c>
      <c r="V153" s="69" t="str">
        <f aca="false">IF($C153="","",ROUNDUP(N($S153)*(N($I153)+N($AG153))+N($U153),0))</f>
        <v/>
      </c>
      <c r="W153" s="69" t="str">
        <f aca="false">IF($C153="","",SUMIFS(発注管理!$L$6:$L$1005,発注管理!$C$6:$C$1005,'設定（最初に1回）'!$C$4,発注管理!$F$6:$F$1005,$C153,発注管理!$Q$6:$Q$1005,"発注済"))</f>
        <v/>
      </c>
      <c r="X153" s="69" t="str">
        <f aca="false">IF($C153="","",MAX(0,N($V153)-N($K153)-N($W153)))</f>
        <v/>
      </c>
      <c r="Y153" s="147" t="str">
        <f aca="false">IF($C153="","",IF(N($X153)&lt;=0,0,CEILING($X153/MAX(1,N($G153)),MAX(1,N($J153)))))</f>
        <v/>
      </c>
      <c r="Z153" s="138" t="str">
        <f aca="false">IF($C153="","",IF(N($Y153)&gt;0,"要発注","正常"))</f>
        <v/>
      </c>
      <c r="AA153" s="71" t="str">
        <f aca="false">IF($C153="","",N($K153)*N($H153))</f>
        <v/>
      </c>
      <c r="AB153" s="66" t="str">
        <f aca="false">IF($C153="","",_xlfn.TEXTJOIN(" / ",TRUE(),IF(COUNTIF(商品マスタ!$B$6:$B$1005,$C153)=0,"マスタ未登録",""),IF(COUNTIFS(月1回_前回の在庫を貼る!$B$6:$B$10005,'設定（最初に1回）'!$C$4,月1回_前回の在庫を貼る!$I$6:$I$10005,$C153)=0,"新商品",""),IF(COUNTIFS(①今日の在庫を貼る!$B$6:$B$10005,'設定（最初に1回）'!$C$4,①今日の在庫を貼る!$I$6:$I$10005,$C153)=0,"終売候補",""),IF(N($K153)&lt;0,"在庫マイナス",""),IF(AND('設定（最初に1回）'!$C$9="PI値予測",$P153=""),"PI値未設定","")))</f>
        <v/>
      </c>
      <c r="AC153" s="71" t="n">
        <f aca="false">N($Y153)*N($H153)</f>
        <v>0</v>
      </c>
      <c r="AD153" s="66" t="str">
        <f aca="false">IF($C153="","",IFERROR(INDEX(商品マスタ!$K$6:$K$1005,MATCH($C153,商品マスタ!$B$6:$B$1005,0)),"常温"))</f>
        <v/>
      </c>
      <c r="AE153" s="69" t="str">
        <f aca="false">IF($C153="","",MAX(0,ROUNDUP(N($K153)/MAX(1,N($G153)),0)))</f>
        <v/>
      </c>
      <c r="AF153" s="66" t="str">
        <f aca="false">IF($C153="","",IFERROR(INDEX(商品マスタ!$L$6:$L$1005,MATCH($C153,商品マスタ!$B$6:$B$1005,0)),""))</f>
        <v/>
      </c>
      <c r="AG153" s="143" t="str">
        <f aca="false">IF($C153="","",IFERROR(INDEX(定数マスタ!$S$110:$S$119,MATCH($AF153,定数マスタ!$J$110:$J$119,0)),N('設定（最初に1回）'!$C$13)))</f>
        <v/>
      </c>
      <c r="AH153" s="66" t="n">
        <f aca="false">IF(AND(N($K153)&gt;0,N($Y153)&gt;0),N($Y153),0)</f>
        <v>0</v>
      </c>
    </row>
    <row r="154" customFormat="false" ht="15" hidden="false" customHeight="false" outlineLevel="0" collapsed="false">
      <c r="B154" s="66" t="n">
        <v>149</v>
      </c>
      <c r="C154" s="66" t="str">
        <f aca="false">IFERROR(IF($B154&lt;=MAX(①今日の在庫を貼る!$U$6:$U$10005),INDEX(①今日の在庫を貼る!$I$6:$I$10005,MATCH($B154,①今日の在庫を貼る!$U$6:$U$10005,0)),INDEX(月1回_前回の在庫を貼る!$I$6:$I$10005,MATCH($B154-MAX(①今日の在庫を貼る!$U$6:$U$10005),月1回_前回の在庫を貼る!$U$6:$U$10005,0))),"")</f>
        <v/>
      </c>
      <c r="D154" s="66" t="str">
        <f aca="false">IF($C154="","",IFERROR(INDEX(商品マスタ!$C$6:$C$1005,MATCH($C154,商品マスタ!$B$6:$B$1005,0)),IFERROR(INDEX(①今日の在庫を貼る!$J$6:$J$10005,MATCH($C154,①今日の在庫を貼る!$I$6:$I$10005,0)),IFERROR(INDEX(月1回_前回の在庫を貼る!$J$6:$J$10005,MATCH($C154,月1回_前回の在庫を貼る!$I$6:$I$10005,0)),""))))</f>
        <v/>
      </c>
      <c r="E154" s="66" t="str">
        <f aca="false">IF($C154="","",IFERROR(INDEX(商品マスタ!$D$6:$D$1005,MATCH($C154,商品マスタ!$B$6:$B$1005,0)),IFERROR(INDEX(①今日の在庫を貼る!$H$6:$H$10005,MATCH($C154,①今日の在庫を貼る!$I$6:$I$10005,0)),IFERROR(INDEX(月1回_前回の在庫を貼る!$H$6:$H$10005,MATCH($C154,月1回_前回の在庫を貼る!$I$6:$I$10005,0)),""))))</f>
        <v/>
      </c>
      <c r="F154" s="66" t="str">
        <f aca="false">IF($C154="","",IFERROR(INDEX(商品マスタ!$E$6:$E$1005,MATCH($C154,商品マスタ!$B$6:$B$1005,0)),IFERROR(INDEX(①今日の在庫を貼る!$E$6:$E$10005,MATCH($C154,①今日の在庫を貼る!$I$6:$I$10005,0)),IFERROR(INDEX(月1回_前回の在庫を貼る!$E$6:$E$10005,MATCH($C154,月1回_前回の在庫を貼る!$I$6:$I$10005,0)),""))))</f>
        <v/>
      </c>
      <c r="G154" s="69" t="str">
        <f aca="false">IF($C154="","",IFERROR(INDEX(商品マスタ!$F$6:$F$1005,MATCH($C154,商品マスタ!$B$6:$B$1005,0)),IFERROR(INDEX(①今日の在庫を貼る!$K$6:$K$10005,MATCH($C154,①今日の在庫を貼る!$I$6:$I$10005,0)),IFERROR(INDEX(月1回_前回の在庫を貼る!$K$6:$K$10005,MATCH($C154,月1回_前回の在庫を貼る!$I$6:$I$10005,0)),""))))</f>
        <v/>
      </c>
      <c r="H154" s="71" t="str">
        <f aca="false">IF($C154="","",IFERROR(INDEX(商品マスタ!$G$6:$G$1005,MATCH($C154,商品マスタ!$B$6:$B$1005,0)),IFERROR(INDEX(①今日の在庫を貼る!$Q$6:$Q$10005,MATCH($C154,①今日の在庫を貼る!$I$6:$I$10005,0)),IFERROR(INDEX(月1回_前回の在庫を貼る!$Q$6:$Q$10005,MATCH($C154,月1回_前回の在庫を貼る!$I$6:$I$10005,0)),""))))</f>
        <v/>
      </c>
      <c r="I154" s="66" t="str">
        <f aca="false">IF($C154="","",IFERROR(INDEX(商品マスタ!$H$6:$H$1005,MATCH($C154,商品マスタ!$B$6:$B$1005,0)),3))</f>
        <v/>
      </c>
      <c r="J154" s="66" t="str">
        <f aca="false">IF($C154="","",MAX(1,IFERROR(INDEX(商品マスタ!$I$6:$I$1005,MATCH($C154,商品マスタ!$B$6:$B$1005,0)),1)))</f>
        <v/>
      </c>
      <c r="K154" s="69" t="str">
        <f aca="false">IF($C154="","",SUMIFS(①今日の在庫を貼る!$N$6:$N$10005,①今日の在庫を貼る!$B$6:$B$10005,'設定（最初に1回）'!$C$4,①今日の在庫を貼る!$I$6:$I$10005,$C154))</f>
        <v/>
      </c>
      <c r="L154" s="69" t="str">
        <f aca="false">IF($C154="","",SUMIFS(月1回_前回の在庫を貼る!$N$6:$N$10005,月1回_前回の在庫を貼る!$B$6:$B$10005,'設定（最初に1回）'!$C$4,月1回_前回の在庫を貼る!$I$6:$I$10005,$C154))</f>
        <v/>
      </c>
      <c r="M154" s="69" t="str">
        <f aca="false">IF($C154="","",IF(OR('設定（最初に1回）'!$C$6="",'設定（最初に1回）'!$C$7=""),0,SUMIFS(発注管理!$S$6:$S$1005,発注管理!$C$6:$C$1005,'設定（最初に1回）'!$C$4,発注管理!$F$6:$F$1005,$C154,発注管理!$R$6:$R$1005,"&gt;="&amp;'設定（最初に1回）'!$C$7,発注管理!$R$6:$R$1005,"&lt;="&amp;'設定（最初に1回）'!$C$6)))</f>
        <v/>
      </c>
      <c r="N154" s="69" t="str">
        <f aca="false">IF(OR($C154="",'設定（最初に1回）'!$C$15=0),"",$L154+$M154-$K154)</f>
        <v/>
      </c>
      <c r="O154" s="143" t="str">
        <f aca="false">IF(OR($N154="",'設定（最初に1回）'!$C$8="",'設定（最初に1回）'!$C$8&lt;=0),"",MAX(0,$N154)/'設定（最初に1回）'!$C$8)</f>
        <v/>
      </c>
      <c r="P154" s="143" t="str">
        <f aca="false">IF($C154="","",IFERROR(INDEX(商品マスタ!$M$6:$N$1005,MATCH($C154,商品マスタ!$B$6:$B$1005,0),MATCH("PI値 "&amp;'設定（最初に1回）'!$C$11,商品マスタ!$M$5:$N$5,0)),""))</f>
        <v/>
      </c>
      <c r="Q154" s="143" t="str">
        <f aca="false">IF(OR($C154="",$P154="",$P154=0,(N($I154)+N($AG154))&lt;=0),"",IFERROR(SUMIFS(随時_動員を入れる!$G$8:$G$97,随時_動員を入れる!$B$8:$B$97,"&gt;="&amp;'設定（最初に1回）'!$C$6,随時_動員を入れる!$B$8:$B$97,"&lt;="&amp;'設定（最初に1回）'!$C$6+(N($I154)+N($AG154))-1)/(N($I154)+N($AG154)),0)*$P154/100)</f>
        <v/>
      </c>
      <c r="R154" s="69" t="str">
        <f aca="false">IF($C154="","",SUMIFS(①今日の在庫を貼る!$O$6:$O$10005,①今日の在庫を貼る!$B$6:$B$10005,'設定（最初に1回）'!$C$4,①今日の在庫を貼る!$I$6:$I$10005,$C154))</f>
        <v/>
      </c>
      <c r="S154" s="143" t="str">
        <f aca="false">IF($C154="","",IF('設定（最初に1回）'!$C$9="実績消費",N($O154),IF('設定（最初に1回）'!$C$9="PI値予測",N($Q154),MAX(N($O154),N($Q154)))))</f>
        <v/>
      </c>
      <c r="T154" s="67" t="str">
        <f aca="false">IF(OR($S154="",$S154&lt;=0),"",$K154/$S154)</f>
        <v/>
      </c>
      <c r="U154" s="69" t="str">
        <f aca="false">IF($S154="","",ROUNDUP(N($S154)*'設定（最初に1回）'!$C$12,0))</f>
        <v/>
      </c>
      <c r="V154" s="69" t="str">
        <f aca="false">IF($C154="","",ROUNDUP(N($S154)*(N($I154)+N($AG154))+N($U154),0))</f>
        <v/>
      </c>
      <c r="W154" s="69" t="str">
        <f aca="false">IF($C154="","",SUMIFS(発注管理!$L$6:$L$1005,発注管理!$C$6:$C$1005,'設定（最初に1回）'!$C$4,発注管理!$F$6:$F$1005,$C154,発注管理!$Q$6:$Q$1005,"発注済"))</f>
        <v/>
      </c>
      <c r="X154" s="69" t="str">
        <f aca="false">IF($C154="","",MAX(0,N($V154)-N($K154)-N($W154)))</f>
        <v/>
      </c>
      <c r="Y154" s="147" t="str">
        <f aca="false">IF($C154="","",IF(N($X154)&lt;=0,0,CEILING($X154/MAX(1,N($G154)),MAX(1,N($J154)))))</f>
        <v/>
      </c>
      <c r="Z154" s="138" t="str">
        <f aca="false">IF($C154="","",IF(N($Y154)&gt;0,"要発注","正常"))</f>
        <v/>
      </c>
      <c r="AA154" s="71" t="str">
        <f aca="false">IF($C154="","",N($K154)*N($H154))</f>
        <v/>
      </c>
      <c r="AB154" s="66" t="str">
        <f aca="false">IF($C154="","",_xlfn.TEXTJOIN(" / ",TRUE(),IF(COUNTIF(商品マスタ!$B$6:$B$1005,$C154)=0,"マスタ未登録",""),IF(COUNTIFS(月1回_前回の在庫を貼る!$B$6:$B$10005,'設定（最初に1回）'!$C$4,月1回_前回の在庫を貼る!$I$6:$I$10005,$C154)=0,"新商品",""),IF(COUNTIFS(①今日の在庫を貼る!$B$6:$B$10005,'設定（最初に1回）'!$C$4,①今日の在庫を貼る!$I$6:$I$10005,$C154)=0,"終売候補",""),IF(N($K154)&lt;0,"在庫マイナス",""),IF(AND('設定（最初に1回）'!$C$9="PI値予測",$P154=""),"PI値未設定","")))</f>
        <v/>
      </c>
      <c r="AC154" s="71" t="n">
        <f aca="false">N($Y154)*N($H154)</f>
        <v>0</v>
      </c>
      <c r="AD154" s="66" t="str">
        <f aca="false">IF($C154="","",IFERROR(INDEX(商品マスタ!$K$6:$K$1005,MATCH($C154,商品マスタ!$B$6:$B$1005,0)),"常温"))</f>
        <v/>
      </c>
      <c r="AE154" s="69" t="str">
        <f aca="false">IF($C154="","",MAX(0,ROUNDUP(N($K154)/MAX(1,N($G154)),0)))</f>
        <v/>
      </c>
      <c r="AF154" s="66" t="str">
        <f aca="false">IF($C154="","",IFERROR(INDEX(商品マスタ!$L$6:$L$1005,MATCH($C154,商品マスタ!$B$6:$B$1005,0)),""))</f>
        <v/>
      </c>
      <c r="AG154" s="143" t="str">
        <f aca="false">IF($C154="","",IFERROR(INDEX(定数マスタ!$S$110:$S$119,MATCH($AF154,定数マスタ!$J$110:$J$119,0)),N('設定（最初に1回）'!$C$13)))</f>
        <v/>
      </c>
      <c r="AH154" s="66" t="n">
        <f aca="false">IF(AND(N($K154)&gt;0,N($Y154)&gt;0),N($Y154),0)</f>
        <v>0</v>
      </c>
    </row>
    <row r="155" customFormat="false" ht="15" hidden="false" customHeight="false" outlineLevel="0" collapsed="false">
      <c r="B155" s="66" t="n">
        <v>150</v>
      </c>
      <c r="C155" s="66" t="str">
        <f aca="false">IFERROR(IF($B155&lt;=MAX(①今日の在庫を貼る!$U$6:$U$10005),INDEX(①今日の在庫を貼る!$I$6:$I$10005,MATCH($B155,①今日の在庫を貼る!$U$6:$U$10005,0)),INDEX(月1回_前回の在庫を貼る!$I$6:$I$10005,MATCH($B155-MAX(①今日の在庫を貼る!$U$6:$U$10005),月1回_前回の在庫を貼る!$U$6:$U$10005,0))),"")</f>
        <v/>
      </c>
      <c r="D155" s="66" t="str">
        <f aca="false">IF($C155="","",IFERROR(INDEX(商品マスタ!$C$6:$C$1005,MATCH($C155,商品マスタ!$B$6:$B$1005,0)),IFERROR(INDEX(①今日の在庫を貼る!$J$6:$J$10005,MATCH($C155,①今日の在庫を貼る!$I$6:$I$10005,0)),IFERROR(INDEX(月1回_前回の在庫を貼る!$J$6:$J$10005,MATCH($C155,月1回_前回の在庫を貼る!$I$6:$I$10005,0)),""))))</f>
        <v/>
      </c>
      <c r="E155" s="66" t="str">
        <f aca="false">IF($C155="","",IFERROR(INDEX(商品マスタ!$D$6:$D$1005,MATCH($C155,商品マスタ!$B$6:$B$1005,0)),IFERROR(INDEX(①今日の在庫を貼る!$H$6:$H$10005,MATCH($C155,①今日の在庫を貼る!$I$6:$I$10005,0)),IFERROR(INDEX(月1回_前回の在庫を貼る!$H$6:$H$10005,MATCH($C155,月1回_前回の在庫を貼る!$I$6:$I$10005,0)),""))))</f>
        <v/>
      </c>
      <c r="F155" s="66" t="str">
        <f aca="false">IF($C155="","",IFERROR(INDEX(商品マスタ!$E$6:$E$1005,MATCH($C155,商品マスタ!$B$6:$B$1005,0)),IFERROR(INDEX(①今日の在庫を貼る!$E$6:$E$10005,MATCH($C155,①今日の在庫を貼る!$I$6:$I$10005,0)),IFERROR(INDEX(月1回_前回の在庫を貼る!$E$6:$E$10005,MATCH($C155,月1回_前回の在庫を貼る!$I$6:$I$10005,0)),""))))</f>
        <v/>
      </c>
      <c r="G155" s="69" t="str">
        <f aca="false">IF($C155="","",IFERROR(INDEX(商品マスタ!$F$6:$F$1005,MATCH($C155,商品マスタ!$B$6:$B$1005,0)),IFERROR(INDEX(①今日の在庫を貼る!$K$6:$K$10005,MATCH($C155,①今日の在庫を貼る!$I$6:$I$10005,0)),IFERROR(INDEX(月1回_前回の在庫を貼る!$K$6:$K$10005,MATCH($C155,月1回_前回の在庫を貼る!$I$6:$I$10005,0)),""))))</f>
        <v/>
      </c>
      <c r="H155" s="71" t="str">
        <f aca="false">IF($C155="","",IFERROR(INDEX(商品マスタ!$G$6:$G$1005,MATCH($C155,商品マスタ!$B$6:$B$1005,0)),IFERROR(INDEX(①今日の在庫を貼る!$Q$6:$Q$10005,MATCH($C155,①今日の在庫を貼る!$I$6:$I$10005,0)),IFERROR(INDEX(月1回_前回の在庫を貼る!$Q$6:$Q$10005,MATCH($C155,月1回_前回の在庫を貼る!$I$6:$I$10005,0)),""))))</f>
        <v/>
      </c>
      <c r="I155" s="66" t="str">
        <f aca="false">IF($C155="","",IFERROR(INDEX(商品マスタ!$H$6:$H$1005,MATCH($C155,商品マスタ!$B$6:$B$1005,0)),3))</f>
        <v/>
      </c>
      <c r="J155" s="66" t="str">
        <f aca="false">IF($C155="","",MAX(1,IFERROR(INDEX(商品マスタ!$I$6:$I$1005,MATCH($C155,商品マスタ!$B$6:$B$1005,0)),1)))</f>
        <v/>
      </c>
      <c r="K155" s="69" t="str">
        <f aca="false">IF($C155="","",SUMIFS(①今日の在庫を貼る!$N$6:$N$10005,①今日の在庫を貼る!$B$6:$B$10005,'設定（最初に1回）'!$C$4,①今日の在庫を貼る!$I$6:$I$10005,$C155))</f>
        <v/>
      </c>
      <c r="L155" s="69" t="str">
        <f aca="false">IF($C155="","",SUMIFS(月1回_前回の在庫を貼る!$N$6:$N$10005,月1回_前回の在庫を貼る!$B$6:$B$10005,'設定（最初に1回）'!$C$4,月1回_前回の在庫を貼る!$I$6:$I$10005,$C155))</f>
        <v/>
      </c>
      <c r="M155" s="69" t="str">
        <f aca="false">IF($C155="","",IF(OR('設定（最初に1回）'!$C$6="",'設定（最初に1回）'!$C$7=""),0,SUMIFS(発注管理!$S$6:$S$1005,発注管理!$C$6:$C$1005,'設定（最初に1回）'!$C$4,発注管理!$F$6:$F$1005,$C155,発注管理!$R$6:$R$1005,"&gt;="&amp;'設定（最初に1回）'!$C$7,発注管理!$R$6:$R$1005,"&lt;="&amp;'設定（最初に1回）'!$C$6)))</f>
        <v/>
      </c>
      <c r="N155" s="69" t="str">
        <f aca="false">IF(OR($C155="",'設定（最初に1回）'!$C$15=0),"",$L155+$M155-$K155)</f>
        <v/>
      </c>
      <c r="O155" s="143" t="str">
        <f aca="false">IF(OR($N155="",'設定（最初に1回）'!$C$8="",'設定（最初に1回）'!$C$8&lt;=0),"",MAX(0,$N155)/'設定（最初に1回）'!$C$8)</f>
        <v/>
      </c>
      <c r="P155" s="143" t="str">
        <f aca="false">IF($C155="","",IFERROR(INDEX(商品マスタ!$M$6:$N$1005,MATCH($C155,商品マスタ!$B$6:$B$1005,0),MATCH("PI値 "&amp;'設定（最初に1回）'!$C$11,商品マスタ!$M$5:$N$5,0)),""))</f>
        <v/>
      </c>
      <c r="Q155" s="143" t="str">
        <f aca="false">IF(OR($C155="",$P155="",$P155=0,(N($I155)+N($AG155))&lt;=0),"",IFERROR(SUMIFS(随時_動員を入れる!$G$8:$G$97,随時_動員を入れる!$B$8:$B$97,"&gt;="&amp;'設定（最初に1回）'!$C$6,随時_動員を入れる!$B$8:$B$97,"&lt;="&amp;'設定（最初に1回）'!$C$6+(N($I155)+N($AG155))-1)/(N($I155)+N($AG155)),0)*$P155/100)</f>
        <v/>
      </c>
      <c r="R155" s="69" t="str">
        <f aca="false">IF($C155="","",SUMIFS(①今日の在庫を貼る!$O$6:$O$10005,①今日の在庫を貼る!$B$6:$B$10005,'設定（最初に1回）'!$C$4,①今日の在庫を貼る!$I$6:$I$10005,$C155))</f>
        <v/>
      </c>
      <c r="S155" s="143" t="str">
        <f aca="false">IF($C155="","",IF('設定（最初に1回）'!$C$9="実績消費",N($O155),IF('設定（最初に1回）'!$C$9="PI値予測",N($Q155),MAX(N($O155),N($Q155)))))</f>
        <v/>
      </c>
      <c r="T155" s="67" t="str">
        <f aca="false">IF(OR($S155="",$S155&lt;=0),"",$K155/$S155)</f>
        <v/>
      </c>
      <c r="U155" s="69" t="str">
        <f aca="false">IF($S155="","",ROUNDUP(N($S155)*'設定（最初に1回）'!$C$12,0))</f>
        <v/>
      </c>
      <c r="V155" s="69" t="str">
        <f aca="false">IF($C155="","",ROUNDUP(N($S155)*(N($I155)+N($AG155))+N($U155),0))</f>
        <v/>
      </c>
      <c r="W155" s="69" t="str">
        <f aca="false">IF($C155="","",SUMIFS(発注管理!$L$6:$L$1005,発注管理!$C$6:$C$1005,'設定（最初に1回）'!$C$4,発注管理!$F$6:$F$1005,$C155,発注管理!$Q$6:$Q$1005,"発注済"))</f>
        <v/>
      </c>
      <c r="X155" s="69" t="str">
        <f aca="false">IF($C155="","",MAX(0,N($V155)-N($K155)-N($W155)))</f>
        <v/>
      </c>
      <c r="Y155" s="147" t="str">
        <f aca="false">IF($C155="","",IF(N($X155)&lt;=0,0,CEILING($X155/MAX(1,N($G155)),MAX(1,N($J155)))))</f>
        <v/>
      </c>
      <c r="Z155" s="138" t="str">
        <f aca="false">IF($C155="","",IF(N($Y155)&gt;0,"要発注","正常"))</f>
        <v/>
      </c>
      <c r="AA155" s="71" t="str">
        <f aca="false">IF($C155="","",N($K155)*N($H155))</f>
        <v/>
      </c>
      <c r="AB155" s="66" t="str">
        <f aca="false">IF($C155="","",_xlfn.TEXTJOIN(" / ",TRUE(),IF(COUNTIF(商品マスタ!$B$6:$B$1005,$C155)=0,"マスタ未登録",""),IF(COUNTIFS(月1回_前回の在庫を貼る!$B$6:$B$10005,'設定（最初に1回）'!$C$4,月1回_前回の在庫を貼る!$I$6:$I$10005,$C155)=0,"新商品",""),IF(COUNTIFS(①今日の在庫を貼る!$B$6:$B$10005,'設定（最初に1回）'!$C$4,①今日の在庫を貼る!$I$6:$I$10005,$C155)=0,"終売候補",""),IF(N($K155)&lt;0,"在庫マイナス",""),IF(AND('設定（最初に1回）'!$C$9="PI値予測",$P155=""),"PI値未設定","")))</f>
        <v/>
      </c>
      <c r="AC155" s="71" t="n">
        <f aca="false">N($Y155)*N($H155)</f>
        <v>0</v>
      </c>
      <c r="AD155" s="66" t="str">
        <f aca="false">IF($C155="","",IFERROR(INDEX(商品マスタ!$K$6:$K$1005,MATCH($C155,商品マスタ!$B$6:$B$1005,0)),"常温"))</f>
        <v/>
      </c>
      <c r="AE155" s="69" t="str">
        <f aca="false">IF($C155="","",MAX(0,ROUNDUP(N($K155)/MAX(1,N($G155)),0)))</f>
        <v/>
      </c>
      <c r="AF155" s="66" t="str">
        <f aca="false">IF($C155="","",IFERROR(INDEX(商品マスタ!$L$6:$L$1005,MATCH($C155,商品マスタ!$B$6:$B$1005,0)),""))</f>
        <v/>
      </c>
      <c r="AG155" s="143" t="str">
        <f aca="false">IF($C155="","",IFERROR(INDEX(定数マスタ!$S$110:$S$119,MATCH($AF155,定数マスタ!$J$110:$J$119,0)),N('設定（最初に1回）'!$C$13)))</f>
        <v/>
      </c>
      <c r="AH155" s="66" t="n">
        <f aca="false">IF(AND(N($K155)&gt;0,N($Y155)&gt;0),N($Y155),0)</f>
        <v>0</v>
      </c>
    </row>
    <row r="156" customFormat="false" ht="15" hidden="false" customHeight="false" outlineLevel="0" collapsed="false">
      <c r="B156" s="66" t="n">
        <v>151</v>
      </c>
      <c r="C156" s="66" t="str">
        <f aca="false">IFERROR(IF($B156&lt;=MAX(①今日の在庫を貼る!$U$6:$U$10005),INDEX(①今日の在庫を貼る!$I$6:$I$10005,MATCH($B156,①今日の在庫を貼る!$U$6:$U$10005,0)),INDEX(月1回_前回の在庫を貼る!$I$6:$I$10005,MATCH($B156-MAX(①今日の在庫を貼る!$U$6:$U$10005),月1回_前回の在庫を貼る!$U$6:$U$10005,0))),"")</f>
        <v/>
      </c>
      <c r="D156" s="66" t="str">
        <f aca="false">IF($C156="","",IFERROR(INDEX(商品マスタ!$C$6:$C$1005,MATCH($C156,商品マスタ!$B$6:$B$1005,0)),IFERROR(INDEX(①今日の在庫を貼る!$J$6:$J$10005,MATCH($C156,①今日の在庫を貼る!$I$6:$I$10005,0)),IFERROR(INDEX(月1回_前回の在庫を貼る!$J$6:$J$10005,MATCH($C156,月1回_前回の在庫を貼る!$I$6:$I$10005,0)),""))))</f>
        <v/>
      </c>
      <c r="E156" s="66" t="str">
        <f aca="false">IF($C156="","",IFERROR(INDEX(商品マスタ!$D$6:$D$1005,MATCH($C156,商品マスタ!$B$6:$B$1005,0)),IFERROR(INDEX(①今日の在庫を貼る!$H$6:$H$10005,MATCH($C156,①今日の在庫を貼る!$I$6:$I$10005,0)),IFERROR(INDEX(月1回_前回の在庫を貼る!$H$6:$H$10005,MATCH($C156,月1回_前回の在庫を貼る!$I$6:$I$10005,0)),""))))</f>
        <v/>
      </c>
      <c r="F156" s="66" t="str">
        <f aca="false">IF($C156="","",IFERROR(INDEX(商品マスタ!$E$6:$E$1005,MATCH($C156,商品マスタ!$B$6:$B$1005,0)),IFERROR(INDEX(①今日の在庫を貼る!$E$6:$E$10005,MATCH($C156,①今日の在庫を貼る!$I$6:$I$10005,0)),IFERROR(INDEX(月1回_前回の在庫を貼る!$E$6:$E$10005,MATCH($C156,月1回_前回の在庫を貼る!$I$6:$I$10005,0)),""))))</f>
        <v/>
      </c>
      <c r="G156" s="69" t="str">
        <f aca="false">IF($C156="","",IFERROR(INDEX(商品マスタ!$F$6:$F$1005,MATCH($C156,商品マスタ!$B$6:$B$1005,0)),IFERROR(INDEX(①今日の在庫を貼る!$K$6:$K$10005,MATCH($C156,①今日の在庫を貼る!$I$6:$I$10005,0)),IFERROR(INDEX(月1回_前回の在庫を貼る!$K$6:$K$10005,MATCH($C156,月1回_前回の在庫を貼る!$I$6:$I$10005,0)),""))))</f>
        <v/>
      </c>
      <c r="H156" s="71" t="str">
        <f aca="false">IF($C156="","",IFERROR(INDEX(商品マスタ!$G$6:$G$1005,MATCH($C156,商品マスタ!$B$6:$B$1005,0)),IFERROR(INDEX(①今日の在庫を貼る!$Q$6:$Q$10005,MATCH($C156,①今日の在庫を貼る!$I$6:$I$10005,0)),IFERROR(INDEX(月1回_前回の在庫を貼る!$Q$6:$Q$10005,MATCH($C156,月1回_前回の在庫を貼る!$I$6:$I$10005,0)),""))))</f>
        <v/>
      </c>
      <c r="I156" s="66" t="str">
        <f aca="false">IF($C156="","",IFERROR(INDEX(商品マスタ!$H$6:$H$1005,MATCH($C156,商品マスタ!$B$6:$B$1005,0)),3))</f>
        <v/>
      </c>
      <c r="J156" s="66" t="str">
        <f aca="false">IF($C156="","",MAX(1,IFERROR(INDEX(商品マスタ!$I$6:$I$1005,MATCH($C156,商品マスタ!$B$6:$B$1005,0)),1)))</f>
        <v/>
      </c>
      <c r="K156" s="69" t="str">
        <f aca="false">IF($C156="","",SUMIFS(①今日の在庫を貼る!$N$6:$N$10005,①今日の在庫を貼る!$B$6:$B$10005,'設定（最初に1回）'!$C$4,①今日の在庫を貼る!$I$6:$I$10005,$C156))</f>
        <v/>
      </c>
      <c r="L156" s="69" t="str">
        <f aca="false">IF($C156="","",SUMIFS(月1回_前回の在庫を貼る!$N$6:$N$10005,月1回_前回の在庫を貼る!$B$6:$B$10005,'設定（最初に1回）'!$C$4,月1回_前回の在庫を貼る!$I$6:$I$10005,$C156))</f>
        <v/>
      </c>
      <c r="M156" s="69" t="str">
        <f aca="false">IF($C156="","",IF(OR('設定（最初に1回）'!$C$6="",'設定（最初に1回）'!$C$7=""),0,SUMIFS(発注管理!$S$6:$S$1005,発注管理!$C$6:$C$1005,'設定（最初に1回）'!$C$4,発注管理!$F$6:$F$1005,$C156,発注管理!$R$6:$R$1005,"&gt;="&amp;'設定（最初に1回）'!$C$7,発注管理!$R$6:$R$1005,"&lt;="&amp;'設定（最初に1回）'!$C$6)))</f>
        <v/>
      </c>
      <c r="N156" s="69" t="str">
        <f aca="false">IF(OR($C156="",'設定（最初に1回）'!$C$15=0),"",$L156+$M156-$K156)</f>
        <v/>
      </c>
      <c r="O156" s="143" t="str">
        <f aca="false">IF(OR($N156="",'設定（最初に1回）'!$C$8="",'設定（最初に1回）'!$C$8&lt;=0),"",MAX(0,$N156)/'設定（最初に1回）'!$C$8)</f>
        <v/>
      </c>
      <c r="P156" s="143" t="str">
        <f aca="false">IF($C156="","",IFERROR(INDEX(商品マスタ!$M$6:$N$1005,MATCH($C156,商品マスタ!$B$6:$B$1005,0),MATCH("PI値 "&amp;'設定（最初に1回）'!$C$11,商品マスタ!$M$5:$N$5,0)),""))</f>
        <v/>
      </c>
      <c r="Q156" s="143" t="str">
        <f aca="false">IF(OR($C156="",$P156="",$P156=0,(N($I156)+N($AG156))&lt;=0),"",IFERROR(SUMIFS(随時_動員を入れる!$G$8:$G$97,随時_動員を入れる!$B$8:$B$97,"&gt;="&amp;'設定（最初に1回）'!$C$6,随時_動員を入れる!$B$8:$B$97,"&lt;="&amp;'設定（最初に1回）'!$C$6+(N($I156)+N($AG156))-1)/(N($I156)+N($AG156)),0)*$P156/100)</f>
        <v/>
      </c>
      <c r="R156" s="69" t="str">
        <f aca="false">IF($C156="","",SUMIFS(①今日の在庫を貼る!$O$6:$O$10005,①今日の在庫を貼る!$B$6:$B$10005,'設定（最初に1回）'!$C$4,①今日の在庫を貼る!$I$6:$I$10005,$C156))</f>
        <v/>
      </c>
      <c r="S156" s="143" t="str">
        <f aca="false">IF($C156="","",IF('設定（最初に1回）'!$C$9="実績消費",N($O156),IF('設定（最初に1回）'!$C$9="PI値予測",N($Q156),MAX(N($O156),N($Q156)))))</f>
        <v/>
      </c>
      <c r="T156" s="67" t="str">
        <f aca="false">IF(OR($S156="",$S156&lt;=0),"",$K156/$S156)</f>
        <v/>
      </c>
      <c r="U156" s="69" t="str">
        <f aca="false">IF($S156="","",ROUNDUP(N($S156)*'設定（最初に1回）'!$C$12,0))</f>
        <v/>
      </c>
      <c r="V156" s="69" t="str">
        <f aca="false">IF($C156="","",ROUNDUP(N($S156)*(N($I156)+N($AG156))+N($U156),0))</f>
        <v/>
      </c>
      <c r="W156" s="69" t="str">
        <f aca="false">IF($C156="","",SUMIFS(発注管理!$L$6:$L$1005,発注管理!$C$6:$C$1005,'設定（最初に1回）'!$C$4,発注管理!$F$6:$F$1005,$C156,発注管理!$Q$6:$Q$1005,"発注済"))</f>
        <v/>
      </c>
      <c r="X156" s="69" t="str">
        <f aca="false">IF($C156="","",MAX(0,N($V156)-N($K156)-N($W156)))</f>
        <v/>
      </c>
      <c r="Y156" s="147" t="str">
        <f aca="false">IF($C156="","",IF(N($X156)&lt;=0,0,CEILING($X156/MAX(1,N($G156)),MAX(1,N($J156)))))</f>
        <v/>
      </c>
      <c r="Z156" s="138" t="str">
        <f aca="false">IF($C156="","",IF(N($Y156)&gt;0,"要発注","正常"))</f>
        <v/>
      </c>
      <c r="AA156" s="71" t="str">
        <f aca="false">IF($C156="","",N($K156)*N($H156))</f>
        <v/>
      </c>
      <c r="AB156" s="66" t="str">
        <f aca="false">IF($C156="","",_xlfn.TEXTJOIN(" / ",TRUE(),IF(COUNTIF(商品マスタ!$B$6:$B$1005,$C156)=0,"マスタ未登録",""),IF(COUNTIFS(月1回_前回の在庫を貼る!$B$6:$B$10005,'設定（最初に1回）'!$C$4,月1回_前回の在庫を貼る!$I$6:$I$10005,$C156)=0,"新商品",""),IF(COUNTIFS(①今日の在庫を貼る!$B$6:$B$10005,'設定（最初に1回）'!$C$4,①今日の在庫を貼る!$I$6:$I$10005,$C156)=0,"終売候補",""),IF(N($K156)&lt;0,"在庫マイナス",""),IF(AND('設定（最初に1回）'!$C$9="PI値予測",$P156=""),"PI値未設定","")))</f>
        <v/>
      </c>
      <c r="AC156" s="71" t="n">
        <f aca="false">N($Y156)*N($H156)</f>
        <v>0</v>
      </c>
      <c r="AD156" s="66" t="str">
        <f aca="false">IF($C156="","",IFERROR(INDEX(商品マスタ!$K$6:$K$1005,MATCH($C156,商品マスタ!$B$6:$B$1005,0)),"常温"))</f>
        <v/>
      </c>
      <c r="AE156" s="69" t="str">
        <f aca="false">IF($C156="","",MAX(0,ROUNDUP(N($K156)/MAX(1,N($G156)),0)))</f>
        <v/>
      </c>
      <c r="AF156" s="66" t="str">
        <f aca="false">IF($C156="","",IFERROR(INDEX(商品マスタ!$L$6:$L$1005,MATCH($C156,商品マスタ!$B$6:$B$1005,0)),""))</f>
        <v/>
      </c>
      <c r="AG156" s="143" t="str">
        <f aca="false">IF($C156="","",IFERROR(INDEX(定数マスタ!$S$110:$S$119,MATCH($AF156,定数マスタ!$J$110:$J$119,0)),N('設定（最初に1回）'!$C$13)))</f>
        <v/>
      </c>
      <c r="AH156" s="66" t="n">
        <f aca="false">IF(AND(N($K156)&gt;0,N($Y156)&gt;0),N($Y156),0)</f>
        <v>0</v>
      </c>
    </row>
    <row r="157" customFormat="false" ht="15" hidden="false" customHeight="false" outlineLevel="0" collapsed="false">
      <c r="B157" s="66" t="n">
        <v>152</v>
      </c>
      <c r="C157" s="66" t="str">
        <f aca="false">IFERROR(IF($B157&lt;=MAX(①今日の在庫を貼る!$U$6:$U$10005),INDEX(①今日の在庫を貼る!$I$6:$I$10005,MATCH($B157,①今日の在庫を貼る!$U$6:$U$10005,0)),INDEX(月1回_前回の在庫を貼る!$I$6:$I$10005,MATCH($B157-MAX(①今日の在庫を貼る!$U$6:$U$10005),月1回_前回の在庫を貼る!$U$6:$U$10005,0))),"")</f>
        <v/>
      </c>
      <c r="D157" s="66" t="str">
        <f aca="false">IF($C157="","",IFERROR(INDEX(商品マスタ!$C$6:$C$1005,MATCH($C157,商品マスタ!$B$6:$B$1005,0)),IFERROR(INDEX(①今日の在庫を貼る!$J$6:$J$10005,MATCH($C157,①今日の在庫を貼る!$I$6:$I$10005,0)),IFERROR(INDEX(月1回_前回の在庫を貼る!$J$6:$J$10005,MATCH($C157,月1回_前回の在庫を貼る!$I$6:$I$10005,0)),""))))</f>
        <v/>
      </c>
      <c r="E157" s="66" t="str">
        <f aca="false">IF($C157="","",IFERROR(INDEX(商品マスタ!$D$6:$D$1005,MATCH($C157,商品マスタ!$B$6:$B$1005,0)),IFERROR(INDEX(①今日の在庫を貼る!$H$6:$H$10005,MATCH($C157,①今日の在庫を貼る!$I$6:$I$10005,0)),IFERROR(INDEX(月1回_前回の在庫を貼る!$H$6:$H$10005,MATCH($C157,月1回_前回の在庫を貼る!$I$6:$I$10005,0)),""))))</f>
        <v/>
      </c>
      <c r="F157" s="66" t="str">
        <f aca="false">IF($C157="","",IFERROR(INDEX(商品マスタ!$E$6:$E$1005,MATCH($C157,商品マスタ!$B$6:$B$1005,0)),IFERROR(INDEX(①今日の在庫を貼る!$E$6:$E$10005,MATCH($C157,①今日の在庫を貼る!$I$6:$I$10005,0)),IFERROR(INDEX(月1回_前回の在庫を貼る!$E$6:$E$10005,MATCH($C157,月1回_前回の在庫を貼る!$I$6:$I$10005,0)),""))))</f>
        <v/>
      </c>
      <c r="G157" s="69" t="str">
        <f aca="false">IF($C157="","",IFERROR(INDEX(商品マスタ!$F$6:$F$1005,MATCH($C157,商品マスタ!$B$6:$B$1005,0)),IFERROR(INDEX(①今日の在庫を貼る!$K$6:$K$10005,MATCH($C157,①今日の在庫を貼る!$I$6:$I$10005,0)),IFERROR(INDEX(月1回_前回の在庫を貼る!$K$6:$K$10005,MATCH($C157,月1回_前回の在庫を貼る!$I$6:$I$10005,0)),""))))</f>
        <v/>
      </c>
      <c r="H157" s="71" t="str">
        <f aca="false">IF($C157="","",IFERROR(INDEX(商品マスタ!$G$6:$G$1005,MATCH($C157,商品マスタ!$B$6:$B$1005,0)),IFERROR(INDEX(①今日の在庫を貼る!$Q$6:$Q$10005,MATCH($C157,①今日の在庫を貼る!$I$6:$I$10005,0)),IFERROR(INDEX(月1回_前回の在庫を貼る!$Q$6:$Q$10005,MATCH($C157,月1回_前回の在庫を貼る!$I$6:$I$10005,0)),""))))</f>
        <v/>
      </c>
      <c r="I157" s="66" t="str">
        <f aca="false">IF($C157="","",IFERROR(INDEX(商品マスタ!$H$6:$H$1005,MATCH($C157,商品マスタ!$B$6:$B$1005,0)),3))</f>
        <v/>
      </c>
      <c r="J157" s="66" t="str">
        <f aca="false">IF($C157="","",MAX(1,IFERROR(INDEX(商品マスタ!$I$6:$I$1005,MATCH($C157,商品マスタ!$B$6:$B$1005,0)),1)))</f>
        <v/>
      </c>
      <c r="K157" s="69" t="str">
        <f aca="false">IF($C157="","",SUMIFS(①今日の在庫を貼る!$N$6:$N$10005,①今日の在庫を貼る!$B$6:$B$10005,'設定（最初に1回）'!$C$4,①今日の在庫を貼る!$I$6:$I$10005,$C157))</f>
        <v/>
      </c>
      <c r="L157" s="69" t="str">
        <f aca="false">IF($C157="","",SUMIFS(月1回_前回の在庫を貼る!$N$6:$N$10005,月1回_前回の在庫を貼る!$B$6:$B$10005,'設定（最初に1回）'!$C$4,月1回_前回の在庫を貼る!$I$6:$I$10005,$C157))</f>
        <v/>
      </c>
      <c r="M157" s="69" t="str">
        <f aca="false">IF($C157="","",IF(OR('設定（最初に1回）'!$C$6="",'設定（最初に1回）'!$C$7=""),0,SUMIFS(発注管理!$S$6:$S$1005,発注管理!$C$6:$C$1005,'設定（最初に1回）'!$C$4,発注管理!$F$6:$F$1005,$C157,発注管理!$R$6:$R$1005,"&gt;="&amp;'設定（最初に1回）'!$C$7,発注管理!$R$6:$R$1005,"&lt;="&amp;'設定（最初に1回）'!$C$6)))</f>
        <v/>
      </c>
      <c r="N157" s="69" t="str">
        <f aca="false">IF(OR($C157="",'設定（最初に1回）'!$C$15=0),"",$L157+$M157-$K157)</f>
        <v/>
      </c>
      <c r="O157" s="143" t="str">
        <f aca="false">IF(OR($N157="",'設定（最初に1回）'!$C$8="",'設定（最初に1回）'!$C$8&lt;=0),"",MAX(0,$N157)/'設定（最初に1回）'!$C$8)</f>
        <v/>
      </c>
      <c r="P157" s="143" t="str">
        <f aca="false">IF($C157="","",IFERROR(INDEX(商品マスタ!$M$6:$N$1005,MATCH($C157,商品マスタ!$B$6:$B$1005,0),MATCH("PI値 "&amp;'設定（最初に1回）'!$C$11,商品マスタ!$M$5:$N$5,0)),""))</f>
        <v/>
      </c>
      <c r="Q157" s="143" t="str">
        <f aca="false">IF(OR($C157="",$P157="",$P157=0,(N($I157)+N($AG157))&lt;=0),"",IFERROR(SUMIFS(随時_動員を入れる!$G$8:$G$97,随時_動員を入れる!$B$8:$B$97,"&gt;="&amp;'設定（最初に1回）'!$C$6,随時_動員を入れる!$B$8:$B$97,"&lt;="&amp;'設定（最初に1回）'!$C$6+(N($I157)+N($AG157))-1)/(N($I157)+N($AG157)),0)*$P157/100)</f>
        <v/>
      </c>
      <c r="R157" s="69" t="str">
        <f aca="false">IF($C157="","",SUMIFS(①今日の在庫を貼る!$O$6:$O$10005,①今日の在庫を貼る!$B$6:$B$10005,'設定（最初に1回）'!$C$4,①今日の在庫を貼る!$I$6:$I$10005,$C157))</f>
        <v/>
      </c>
      <c r="S157" s="143" t="str">
        <f aca="false">IF($C157="","",IF('設定（最初に1回）'!$C$9="実績消費",N($O157),IF('設定（最初に1回）'!$C$9="PI値予測",N($Q157),MAX(N($O157),N($Q157)))))</f>
        <v/>
      </c>
      <c r="T157" s="67" t="str">
        <f aca="false">IF(OR($S157="",$S157&lt;=0),"",$K157/$S157)</f>
        <v/>
      </c>
      <c r="U157" s="69" t="str">
        <f aca="false">IF($S157="","",ROUNDUP(N($S157)*'設定（最初に1回）'!$C$12,0))</f>
        <v/>
      </c>
      <c r="V157" s="69" t="str">
        <f aca="false">IF($C157="","",ROUNDUP(N($S157)*(N($I157)+N($AG157))+N($U157),0))</f>
        <v/>
      </c>
      <c r="W157" s="69" t="str">
        <f aca="false">IF($C157="","",SUMIFS(発注管理!$L$6:$L$1005,発注管理!$C$6:$C$1005,'設定（最初に1回）'!$C$4,発注管理!$F$6:$F$1005,$C157,発注管理!$Q$6:$Q$1005,"発注済"))</f>
        <v/>
      </c>
      <c r="X157" s="69" t="str">
        <f aca="false">IF($C157="","",MAX(0,N($V157)-N($K157)-N($W157)))</f>
        <v/>
      </c>
      <c r="Y157" s="147" t="str">
        <f aca="false">IF($C157="","",IF(N($X157)&lt;=0,0,CEILING($X157/MAX(1,N($G157)),MAX(1,N($J157)))))</f>
        <v/>
      </c>
      <c r="Z157" s="138" t="str">
        <f aca="false">IF($C157="","",IF(N($Y157)&gt;0,"要発注","正常"))</f>
        <v/>
      </c>
      <c r="AA157" s="71" t="str">
        <f aca="false">IF($C157="","",N($K157)*N($H157))</f>
        <v/>
      </c>
      <c r="AB157" s="66" t="str">
        <f aca="false">IF($C157="","",_xlfn.TEXTJOIN(" / ",TRUE(),IF(COUNTIF(商品マスタ!$B$6:$B$1005,$C157)=0,"マスタ未登録",""),IF(COUNTIFS(月1回_前回の在庫を貼る!$B$6:$B$10005,'設定（最初に1回）'!$C$4,月1回_前回の在庫を貼る!$I$6:$I$10005,$C157)=0,"新商品",""),IF(COUNTIFS(①今日の在庫を貼る!$B$6:$B$10005,'設定（最初に1回）'!$C$4,①今日の在庫を貼る!$I$6:$I$10005,$C157)=0,"終売候補",""),IF(N($K157)&lt;0,"在庫マイナス",""),IF(AND('設定（最初に1回）'!$C$9="PI値予測",$P157=""),"PI値未設定","")))</f>
        <v/>
      </c>
      <c r="AC157" s="71" t="n">
        <f aca="false">N($Y157)*N($H157)</f>
        <v>0</v>
      </c>
      <c r="AD157" s="66" t="str">
        <f aca="false">IF($C157="","",IFERROR(INDEX(商品マスタ!$K$6:$K$1005,MATCH($C157,商品マスタ!$B$6:$B$1005,0)),"常温"))</f>
        <v/>
      </c>
      <c r="AE157" s="69" t="str">
        <f aca="false">IF($C157="","",MAX(0,ROUNDUP(N($K157)/MAX(1,N($G157)),0)))</f>
        <v/>
      </c>
      <c r="AF157" s="66" t="str">
        <f aca="false">IF($C157="","",IFERROR(INDEX(商品マスタ!$L$6:$L$1005,MATCH($C157,商品マスタ!$B$6:$B$1005,0)),""))</f>
        <v/>
      </c>
      <c r="AG157" s="143" t="str">
        <f aca="false">IF($C157="","",IFERROR(INDEX(定数マスタ!$S$110:$S$119,MATCH($AF157,定数マスタ!$J$110:$J$119,0)),N('設定（最初に1回）'!$C$13)))</f>
        <v/>
      </c>
      <c r="AH157" s="66" t="n">
        <f aca="false">IF(AND(N($K157)&gt;0,N($Y157)&gt;0),N($Y157),0)</f>
        <v>0</v>
      </c>
    </row>
    <row r="158" customFormat="false" ht="15" hidden="false" customHeight="false" outlineLevel="0" collapsed="false">
      <c r="B158" s="66" t="n">
        <v>153</v>
      </c>
      <c r="C158" s="66" t="str">
        <f aca="false">IFERROR(IF($B158&lt;=MAX(①今日の在庫を貼る!$U$6:$U$10005),INDEX(①今日の在庫を貼る!$I$6:$I$10005,MATCH($B158,①今日の在庫を貼る!$U$6:$U$10005,0)),INDEX(月1回_前回の在庫を貼る!$I$6:$I$10005,MATCH($B158-MAX(①今日の在庫を貼る!$U$6:$U$10005),月1回_前回の在庫を貼る!$U$6:$U$10005,0))),"")</f>
        <v/>
      </c>
      <c r="D158" s="66" t="str">
        <f aca="false">IF($C158="","",IFERROR(INDEX(商品マスタ!$C$6:$C$1005,MATCH($C158,商品マスタ!$B$6:$B$1005,0)),IFERROR(INDEX(①今日の在庫を貼る!$J$6:$J$10005,MATCH($C158,①今日の在庫を貼る!$I$6:$I$10005,0)),IFERROR(INDEX(月1回_前回の在庫を貼る!$J$6:$J$10005,MATCH($C158,月1回_前回の在庫を貼る!$I$6:$I$10005,0)),""))))</f>
        <v/>
      </c>
      <c r="E158" s="66" t="str">
        <f aca="false">IF($C158="","",IFERROR(INDEX(商品マスタ!$D$6:$D$1005,MATCH($C158,商品マスタ!$B$6:$B$1005,0)),IFERROR(INDEX(①今日の在庫を貼る!$H$6:$H$10005,MATCH($C158,①今日の在庫を貼る!$I$6:$I$10005,0)),IFERROR(INDEX(月1回_前回の在庫を貼る!$H$6:$H$10005,MATCH($C158,月1回_前回の在庫を貼る!$I$6:$I$10005,0)),""))))</f>
        <v/>
      </c>
      <c r="F158" s="66" t="str">
        <f aca="false">IF($C158="","",IFERROR(INDEX(商品マスタ!$E$6:$E$1005,MATCH($C158,商品マスタ!$B$6:$B$1005,0)),IFERROR(INDEX(①今日の在庫を貼る!$E$6:$E$10005,MATCH($C158,①今日の在庫を貼る!$I$6:$I$10005,0)),IFERROR(INDEX(月1回_前回の在庫を貼る!$E$6:$E$10005,MATCH($C158,月1回_前回の在庫を貼る!$I$6:$I$10005,0)),""))))</f>
        <v/>
      </c>
      <c r="G158" s="69" t="str">
        <f aca="false">IF($C158="","",IFERROR(INDEX(商品マスタ!$F$6:$F$1005,MATCH($C158,商品マスタ!$B$6:$B$1005,0)),IFERROR(INDEX(①今日の在庫を貼る!$K$6:$K$10005,MATCH($C158,①今日の在庫を貼る!$I$6:$I$10005,0)),IFERROR(INDEX(月1回_前回の在庫を貼る!$K$6:$K$10005,MATCH($C158,月1回_前回の在庫を貼る!$I$6:$I$10005,0)),""))))</f>
        <v/>
      </c>
      <c r="H158" s="71" t="str">
        <f aca="false">IF($C158="","",IFERROR(INDEX(商品マスタ!$G$6:$G$1005,MATCH($C158,商品マスタ!$B$6:$B$1005,0)),IFERROR(INDEX(①今日の在庫を貼る!$Q$6:$Q$10005,MATCH($C158,①今日の在庫を貼る!$I$6:$I$10005,0)),IFERROR(INDEX(月1回_前回の在庫を貼る!$Q$6:$Q$10005,MATCH($C158,月1回_前回の在庫を貼る!$I$6:$I$10005,0)),""))))</f>
        <v/>
      </c>
      <c r="I158" s="66" t="str">
        <f aca="false">IF($C158="","",IFERROR(INDEX(商品マスタ!$H$6:$H$1005,MATCH($C158,商品マスタ!$B$6:$B$1005,0)),3))</f>
        <v/>
      </c>
      <c r="J158" s="66" t="str">
        <f aca="false">IF($C158="","",MAX(1,IFERROR(INDEX(商品マスタ!$I$6:$I$1005,MATCH($C158,商品マスタ!$B$6:$B$1005,0)),1)))</f>
        <v/>
      </c>
      <c r="K158" s="69" t="str">
        <f aca="false">IF($C158="","",SUMIFS(①今日の在庫を貼る!$N$6:$N$10005,①今日の在庫を貼る!$B$6:$B$10005,'設定（最初に1回）'!$C$4,①今日の在庫を貼る!$I$6:$I$10005,$C158))</f>
        <v/>
      </c>
      <c r="L158" s="69" t="str">
        <f aca="false">IF($C158="","",SUMIFS(月1回_前回の在庫を貼る!$N$6:$N$10005,月1回_前回の在庫を貼る!$B$6:$B$10005,'設定（最初に1回）'!$C$4,月1回_前回の在庫を貼る!$I$6:$I$10005,$C158))</f>
        <v/>
      </c>
      <c r="M158" s="69" t="str">
        <f aca="false">IF($C158="","",IF(OR('設定（最初に1回）'!$C$6="",'設定（最初に1回）'!$C$7=""),0,SUMIFS(発注管理!$S$6:$S$1005,発注管理!$C$6:$C$1005,'設定（最初に1回）'!$C$4,発注管理!$F$6:$F$1005,$C158,発注管理!$R$6:$R$1005,"&gt;="&amp;'設定（最初に1回）'!$C$7,発注管理!$R$6:$R$1005,"&lt;="&amp;'設定（最初に1回）'!$C$6)))</f>
        <v/>
      </c>
      <c r="N158" s="69" t="str">
        <f aca="false">IF(OR($C158="",'設定（最初に1回）'!$C$15=0),"",$L158+$M158-$K158)</f>
        <v/>
      </c>
      <c r="O158" s="143" t="str">
        <f aca="false">IF(OR($N158="",'設定（最初に1回）'!$C$8="",'設定（最初に1回）'!$C$8&lt;=0),"",MAX(0,$N158)/'設定（最初に1回）'!$C$8)</f>
        <v/>
      </c>
      <c r="P158" s="143" t="str">
        <f aca="false">IF($C158="","",IFERROR(INDEX(商品マスタ!$M$6:$N$1005,MATCH($C158,商品マスタ!$B$6:$B$1005,0),MATCH("PI値 "&amp;'設定（最初に1回）'!$C$11,商品マスタ!$M$5:$N$5,0)),""))</f>
        <v/>
      </c>
      <c r="Q158" s="143" t="str">
        <f aca="false">IF(OR($C158="",$P158="",$P158=0,(N($I158)+N($AG158))&lt;=0),"",IFERROR(SUMIFS(随時_動員を入れる!$G$8:$G$97,随時_動員を入れる!$B$8:$B$97,"&gt;="&amp;'設定（最初に1回）'!$C$6,随時_動員を入れる!$B$8:$B$97,"&lt;="&amp;'設定（最初に1回）'!$C$6+(N($I158)+N($AG158))-1)/(N($I158)+N($AG158)),0)*$P158/100)</f>
        <v/>
      </c>
      <c r="R158" s="69" t="str">
        <f aca="false">IF($C158="","",SUMIFS(①今日の在庫を貼る!$O$6:$O$10005,①今日の在庫を貼る!$B$6:$B$10005,'設定（最初に1回）'!$C$4,①今日の在庫を貼る!$I$6:$I$10005,$C158))</f>
        <v/>
      </c>
      <c r="S158" s="143" t="str">
        <f aca="false">IF($C158="","",IF('設定（最初に1回）'!$C$9="実績消費",N($O158),IF('設定（最初に1回）'!$C$9="PI値予測",N($Q158),MAX(N($O158),N($Q158)))))</f>
        <v/>
      </c>
      <c r="T158" s="67" t="str">
        <f aca="false">IF(OR($S158="",$S158&lt;=0),"",$K158/$S158)</f>
        <v/>
      </c>
      <c r="U158" s="69" t="str">
        <f aca="false">IF($S158="","",ROUNDUP(N($S158)*'設定（最初に1回）'!$C$12,0))</f>
        <v/>
      </c>
      <c r="V158" s="69" t="str">
        <f aca="false">IF($C158="","",ROUNDUP(N($S158)*(N($I158)+N($AG158))+N($U158),0))</f>
        <v/>
      </c>
      <c r="W158" s="69" t="str">
        <f aca="false">IF($C158="","",SUMIFS(発注管理!$L$6:$L$1005,発注管理!$C$6:$C$1005,'設定（最初に1回）'!$C$4,発注管理!$F$6:$F$1005,$C158,発注管理!$Q$6:$Q$1005,"発注済"))</f>
        <v/>
      </c>
      <c r="X158" s="69" t="str">
        <f aca="false">IF($C158="","",MAX(0,N($V158)-N($K158)-N($W158)))</f>
        <v/>
      </c>
      <c r="Y158" s="147" t="str">
        <f aca="false">IF($C158="","",IF(N($X158)&lt;=0,0,CEILING($X158/MAX(1,N($G158)),MAX(1,N($J158)))))</f>
        <v/>
      </c>
      <c r="Z158" s="138" t="str">
        <f aca="false">IF($C158="","",IF(N($Y158)&gt;0,"要発注","正常"))</f>
        <v/>
      </c>
      <c r="AA158" s="71" t="str">
        <f aca="false">IF($C158="","",N($K158)*N($H158))</f>
        <v/>
      </c>
      <c r="AB158" s="66" t="str">
        <f aca="false">IF($C158="","",_xlfn.TEXTJOIN(" / ",TRUE(),IF(COUNTIF(商品マスタ!$B$6:$B$1005,$C158)=0,"マスタ未登録",""),IF(COUNTIFS(月1回_前回の在庫を貼る!$B$6:$B$10005,'設定（最初に1回）'!$C$4,月1回_前回の在庫を貼る!$I$6:$I$10005,$C158)=0,"新商品",""),IF(COUNTIFS(①今日の在庫を貼る!$B$6:$B$10005,'設定（最初に1回）'!$C$4,①今日の在庫を貼る!$I$6:$I$10005,$C158)=0,"終売候補",""),IF(N($K158)&lt;0,"在庫マイナス",""),IF(AND('設定（最初に1回）'!$C$9="PI値予測",$P158=""),"PI値未設定","")))</f>
        <v/>
      </c>
      <c r="AC158" s="71" t="n">
        <f aca="false">N($Y158)*N($H158)</f>
        <v>0</v>
      </c>
      <c r="AD158" s="66" t="str">
        <f aca="false">IF($C158="","",IFERROR(INDEX(商品マスタ!$K$6:$K$1005,MATCH($C158,商品マスタ!$B$6:$B$1005,0)),"常温"))</f>
        <v/>
      </c>
      <c r="AE158" s="69" t="str">
        <f aca="false">IF($C158="","",MAX(0,ROUNDUP(N($K158)/MAX(1,N($G158)),0)))</f>
        <v/>
      </c>
      <c r="AF158" s="66" t="str">
        <f aca="false">IF($C158="","",IFERROR(INDEX(商品マスタ!$L$6:$L$1005,MATCH($C158,商品マスタ!$B$6:$B$1005,0)),""))</f>
        <v/>
      </c>
      <c r="AG158" s="143" t="str">
        <f aca="false">IF($C158="","",IFERROR(INDEX(定数マスタ!$S$110:$S$119,MATCH($AF158,定数マスタ!$J$110:$J$119,0)),N('設定（最初に1回）'!$C$13)))</f>
        <v/>
      </c>
      <c r="AH158" s="66" t="n">
        <f aca="false">IF(AND(N($K158)&gt;0,N($Y158)&gt;0),N($Y158),0)</f>
        <v>0</v>
      </c>
    </row>
    <row r="159" customFormat="false" ht="15" hidden="false" customHeight="false" outlineLevel="0" collapsed="false">
      <c r="B159" s="66" t="n">
        <v>154</v>
      </c>
      <c r="C159" s="66" t="str">
        <f aca="false">IFERROR(IF($B159&lt;=MAX(①今日の在庫を貼る!$U$6:$U$10005),INDEX(①今日の在庫を貼る!$I$6:$I$10005,MATCH($B159,①今日の在庫を貼る!$U$6:$U$10005,0)),INDEX(月1回_前回の在庫を貼る!$I$6:$I$10005,MATCH($B159-MAX(①今日の在庫を貼る!$U$6:$U$10005),月1回_前回の在庫を貼る!$U$6:$U$10005,0))),"")</f>
        <v/>
      </c>
      <c r="D159" s="66" t="str">
        <f aca="false">IF($C159="","",IFERROR(INDEX(商品マスタ!$C$6:$C$1005,MATCH($C159,商品マスタ!$B$6:$B$1005,0)),IFERROR(INDEX(①今日の在庫を貼る!$J$6:$J$10005,MATCH($C159,①今日の在庫を貼る!$I$6:$I$10005,0)),IFERROR(INDEX(月1回_前回の在庫を貼る!$J$6:$J$10005,MATCH($C159,月1回_前回の在庫を貼る!$I$6:$I$10005,0)),""))))</f>
        <v/>
      </c>
      <c r="E159" s="66" t="str">
        <f aca="false">IF($C159="","",IFERROR(INDEX(商品マスタ!$D$6:$D$1005,MATCH($C159,商品マスタ!$B$6:$B$1005,0)),IFERROR(INDEX(①今日の在庫を貼る!$H$6:$H$10005,MATCH($C159,①今日の在庫を貼る!$I$6:$I$10005,0)),IFERROR(INDEX(月1回_前回の在庫を貼る!$H$6:$H$10005,MATCH($C159,月1回_前回の在庫を貼る!$I$6:$I$10005,0)),""))))</f>
        <v/>
      </c>
      <c r="F159" s="66" t="str">
        <f aca="false">IF($C159="","",IFERROR(INDEX(商品マスタ!$E$6:$E$1005,MATCH($C159,商品マスタ!$B$6:$B$1005,0)),IFERROR(INDEX(①今日の在庫を貼る!$E$6:$E$10005,MATCH($C159,①今日の在庫を貼る!$I$6:$I$10005,0)),IFERROR(INDEX(月1回_前回の在庫を貼る!$E$6:$E$10005,MATCH($C159,月1回_前回の在庫を貼る!$I$6:$I$10005,0)),""))))</f>
        <v/>
      </c>
      <c r="G159" s="69" t="str">
        <f aca="false">IF($C159="","",IFERROR(INDEX(商品マスタ!$F$6:$F$1005,MATCH($C159,商品マスタ!$B$6:$B$1005,0)),IFERROR(INDEX(①今日の在庫を貼る!$K$6:$K$10005,MATCH($C159,①今日の在庫を貼る!$I$6:$I$10005,0)),IFERROR(INDEX(月1回_前回の在庫を貼る!$K$6:$K$10005,MATCH($C159,月1回_前回の在庫を貼る!$I$6:$I$10005,0)),""))))</f>
        <v/>
      </c>
      <c r="H159" s="71" t="str">
        <f aca="false">IF($C159="","",IFERROR(INDEX(商品マスタ!$G$6:$G$1005,MATCH($C159,商品マスタ!$B$6:$B$1005,0)),IFERROR(INDEX(①今日の在庫を貼る!$Q$6:$Q$10005,MATCH($C159,①今日の在庫を貼る!$I$6:$I$10005,0)),IFERROR(INDEX(月1回_前回の在庫を貼る!$Q$6:$Q$10005,MATCH($C159,月1回_前回の在庫を貼る!$I$6:$I$10005,0)),""))))</f>
        <v/>
      </c>
      <c r="I159" s="66" t="str">
        <f aca="false">IF($C159="","",IFERROR(INDEX(商品マスタ!$H$6:$H$1005,MATCH($C159,商品マスタ!$B$6:$B$1005,0)),3))</f>
        <v/>
      </c>
      <c r="J159" s="66" t="str">
        <f aca="false">IF($C159="","",MAX(1,IFERROR(INDEX(商品マスタ!$I$6:$I$1005,MATCH($C159,商品マスタ!$B$6:$B$1005,0)),1)))</f>
        <v/>
      </c>
      <c r="K159" s="69" t="str">
        <f aca="false">IF($C159="","",SUMIFS(①今日の在庫を貼る!$N$6:$N$10005,①今日の在庫を貼る!$B$6:$B$10005,'設定（最初に1回）'!$C$4,①今日の在庫を貼る!$I$6:$I$10005,$C159))</f>
        <v/>
      </c>
      <c r="L159" s="69" t="str">
        <f aca="false">IF($C159="","",SUMIFS(月1回_前回の在庫を貼る!$N$6:$N$10005,月1回_前回の在庫を貼る!$B$6:$B$10005,'設定（最初に1回）'!$C$4,月1回_前回の在庫を貼る!$I$6:$I$10005,$C159))</f>
        <v/>
      </c>
      <c r="M159" s="69" t="str">
        <f aca="false">IF($C159="","",IF(OR('設定（最初に1回）'!$C$6="",'設定（最初に1回）'!$C$7=""),0,SUMIFS(発注管理!$S$6:$S$1005,発注管理!$C$6:$C$1005,'設定（最初に1回）'!$C$4,発注管理!$F$6:$F$1005,$C159,発注管理!$R$6:$R$1005,"&gt;="&amp;'設定（最初に1回）'!$C$7,発注管理!$R$6:$R$1005,"&lt;="&amp;'設定（最初に1回）'!$C$6)))</f>
        <v/>
      </c>
      <c r="N159" s="69" t="str">
        <f aca="false">IF(OR($C159="",'設定（最初に1回）'!$C$15=0),"",$L159+$M159-$K159)</f>
        <v/>
      </c>
      <c r="O159" s="143" t="str">
        <f aca="false">IF(OR($N159="",'設定（最初に1回）'!$C$8="",'設定（最初に1回）'!$C$8&lt;=0),"",MAX(0,$N159)/'設定（最初に1回）'!$C$8)</f>
        <v/>
      </c>
      <c r="P159" s="143" t="str">
        <f aca="false">IF($C159="","",IFERROR(INDEX(商品マスタ!$M$6:$N$1005,MATCH($C159,商品マスタ!$B$6:$B$1005,0),MATCH("PI値 "&amp;'設定（最初に1回）'!$C$11,商品マスタ!$M$5:$N$5,0)),""))</f>
        <v/>
      </c>
      <c r="Q159" s="143" t="str">
        <f aca="false">IF(OR($C159="",$P159="",$P159=0,(N($I159)+N($AG159))&lt;=0),"",IFERROR(SUMIFS(随時_動員を入れる!$G$8:$G$97,随時_動員を入れる!$B$8:$B$97,"&gt;="&amp;'設定（最初に1回）'!$C$6,随時_動員を入れる!$B$8:$B$97,"&lt;="&amp;'設定（最初に1回）'!$C$6+(N($I159)+N($AG159))-1)/(N($I159)+N($AG159)),0)*$P159/100)</f>
        <v/>
      </c>
      <c r="R159" s="69" t="str">
        <f aca="false">IF($C159="","",SUMIFS(①今日の在庫を貼る!$O$6:$O$10005,①今日の在庫を貼る!$B$6:$B$10005,'設定（最初に1回）'!$C$4,①今日の在庫を貼る!$I$6:$I$10005,$C159))</f>
        <v/>
      </c>
      <c r="S159" s="143" t="str">
        <f aca="false">IF($C159="","",IF('設定（最初に1回）'!$C$9="実績消費",N($O159),IF('設定（最初に1回）'!$C$9="PI値予測",N($Q159),MAX(N($O159),N($Q159)))))</f>
        <v/>
      </c>
      <c r="T159" s="67" t="str">
        <f aca="false">IF(OR($S159="",$S159&lt;=0),"",$K159/$S159)</f>
        <v/>
      </c>
      <c r="U159" s="69" t="str">
        <f aca="false">IF($S159="","",ROUNDUP(N($S159)*'設定（最初に1回）'!$C$12,0))</f>
        <v/>
      </c>
      <c r="V159" s="69" t="str">
        <f aca="false">IF($C159="","",ROUNDUP(N($S159)*(N($I159)+N($AG159))+N($U159),0))</f>
        <v/>
      </c>
      <c r="W159" s="69" t="str">
        <f aca="false">IF($C159="","",SUMIFS(発注管理!$L$6:$L$1005,発注管理!$C$6:$C$1005,'設定（最初に1回）'!$C$4,発注管理!$F$6:$F$1005,$C159,発注管理!$Q$6:$Q$1005,"発注済"))</f>
        <v/>
      </c>
      <c r="X159" s="69" t="str">
        <f aca="false">IF($C159="","",MAX(0,N($V159)-N($K159)-N($W159)))</f>
        <v/>
      </c>
      <c r="Y159" s="147" t="str">
        <f aca="false">IF($C159="","",IF(N($X159)&lt;=0,0,CEILING($X159/MAX(1,N($G159)),MAX(1,N($J159)))))</f>
        <v/>
      </c>
      <c r="Z159" s="138" t="str">
        <f aca="false">IF($C159="","",IF(N($Y159)&gt;0,"要発注","正常"))</f>
        <v/>
      </c>
      <c r="AA159" s="71" t="str">
        <f aca="false">IF($C159="","",N($K159)*N($H159))</f>
        <v/>
      </c>
      <c r="AB159" s="66" t="str">
        <f aca="false">IF($C159="","",_xlfn.TEXTJOIN(" / ",TRUE(),IF(COUNTIF(商品マスタ!$B$6:$B$1005,$C159)=0,"マスタ未登録",""),IF(COUNTIFS(月1回_前回の在庫を貼る!$B$6:$B$10005,'設定（最初に1回）'!$C$4,月1回_前回の在庫を貼る!$I$6:$I$10005,$C159)=0,"新商品",""),IF(COUNTIFS(①今日の在庫を貼る!$B$6:$B$10005,'設定（最初に1回）'!$C$4,①今日の在庫を貼る!$I$6:$I$10005,$C159)=0,"終売候補",""),IF(N($K159)&lt;0,"在庫マイナス",""),IF(AND('設定（最初に1回）'!$C$9="PI値予測",$P159=""),"PI値未設定","")))</f>
        <v/>
      </c>
      <c r="AC159" s="71" t="n">
        <f aca="false">N($Y159)*N($H159)</f>
        <v>0</v>
      </c>
      <c r="AD159" s="66" t="str">
        <f aca="false">IF($C159="","",IFERROR(INDEX(商品マスタ!$K$6:$K$1005,MATCH($C159,商品マスタ!$B$6:$B$1005,0)),"常温"))</f>
        <v/>
      </c>
      <c r="AE159" s="69" t="str">
        <f aca="false">IF($C159="","",MAX(0,ROUNDUP(N($K159)/MAX(1,N($G159)),0)))</f>
        <v/>
      </c>
      <c r="AF159" s="66" t="str">
        <f aca="false">IF($C159="","",IFERROR(INDEX(商品マスタ!$L$6:$L$1005,MATCH($C159,商品マスタ!$B$6:$B$1005,0)),""))</f>
        <v/>
      </c>
      <c r="AG159" s="143" t="str">
        <f aca="false">IF($C159="","",IFERROR(INDEX(定数マスタ!$S$110:$S$119,MATCH($AF159,定数マスタ!$J$110:$J$119,0)),N('設定（最初に1回）'!$C$13)))</f>
        <v/>
      </c>
      <c r="AH159" s="66" t="n">
        <f aca="false">IF(AND(N($K159)&gt;0,N($Y159)&gt;0),N($Y159),0)</f>
        <v>0</v>
      </c>
    </row>
    <row r="160" customFormat="false" ht="15" hidden="false" customHeight="false" outlineLevel="0" collapsed="false">
      <c r="B160" s="66" t="n">
        <v>155</v>
      </c>
      <c r="C160" s="66" t="str">
        <f aca="false">IFERROR(IF($B160&lt;=MAX(①今日の在庫を貼る!$U$6:$U$10005),INDEX(①今日の在庫を貼る!$I$6:$I$10005,MATCH($B160,①今日の在庫を貼る!$U$6:$U$10005,0)),INDEX(月1回_前回の在庫を貼る!$I$6:$I$10005,MATCH($B160-MAX(①今日の在庫を貼る!$U$6:$U$10005),月1回_前回の在庫を貼る!$U$6:$U$10005,0))),"")</f>
        <v/>
      </c>
      <c r="D160" s="66" t="str">
        <f aca="false">IF($C160="","",IFERROR(INDEX(商品マスタ!$C$6:$C$1005,MATCH($C160,商品マスタ!$B$6:$B$1005,0)),IFERROR(INDEX(①今日の在庫を貼る!$J$6:$J$10005,MATCH($C160,①今日の在庫を貼る!$I$6:$I$10005,0)),IFERROR(INDEX(月1回_前回の在庫を貼る!$J$6:$J$10005,MATCH($C160,月1回_前回の在庫を貼る!$I$6:$I$10005,0)),""))))</f>
        <v/>
      </c>
      <c r="E160" s="66" t="str">
        <f aca="false">IF($C160="","",IFERROR(INDEX(商品マスタ!$D$6:$D$1005,MATCH($C160,商品マスタ!$B$6:$B$1005,0)),IFERROR(INDEX(①今日の在庫を貼る!$H$6:$H$10005,MATCH($C160,①今日の在庫を貼る!$I$6:$I$10005,0)),IFERROR(INDEX(月1回_前回の在庫を貼る!$H$6:$H$10005,MATCH($C160,月1回_前回の在庫を貼る!$I$6:$I$10005,0)),""))))</f>
        <v/>
      </c>
      <c r="F160" s="66" t="str">
        <f aca="false">IF($C160="","",IFERROR(INDEX(商品マスタ!$E$6:$E$1005,MATCH($C160,商品マスタ!$B$6:$B$1005,0)),IFERROR(INDEX(①今日の在庫を貼る!$E$6:$E$10005,MATCH($C160,①今日の在庫を貼る!$I$6:$I$10005,0)),IFERROR(INDEX(月1回_前回の在庫を貼る!$E$6:$E$10005,MATCH($C160,月1回_前回の在庫を貼る!$I$6:$I$10005,0)),""))))</f>
        <v/>
      </c>
      <c r="G160" s="69" t="str">
        <f aca="false">IF($C160="","",IFERROR(INDEX(商品マスタ!$F$6:$F$1005,MATCH($C160,商品マスタ!$B$6:$B$1005,0)),IFERROR(INDEX(①今日の在庫を貼る!$K$6:$K$10005,MATCH($C160,①今日の在庫を貼る!$I$6:$I$10005,0)),IFERROR(INDEX(月1回_前回の在庫を貼る!$K$6:$K$10005,MATCH($C160,月1回_前回の在庫を貼る!$I$6:$I$10005,0)),""))))</f>
        <v/>
      </c>
      <c r="H160" s="71" t="str">
        <f aca="false">IF($C160="","",IFERROR(INDEX(商品マスタ!$G$6:$G$1005,MATCH($C160,商品マスタ!$B$6:$B$1005,0)),IFERROR(INDEX(①今日の在庫を貼る!$Q$6:$Q$10005,MATCH($C160,①今日の在庫を貼る!$I$6:$I$10005,0)),IFERROR(INDEX(月1回_前回の在庫を貼る!$Q$6:$Q$10005,MATCH($C160,月1回_前回の在庫を貼る!$I$6:$I$10005,0)),""))))</f>
        <v/>
      </c>
      <c r="I160" s="66" t="str">
        <f aca="false">IF($C160="","",IFERROR(INDEX(商品マスタ!$H$6:$H$1005,MATCH($C160,商品マスタ!$B$6:$B$1005,0)),3))</f>
        <v/>
      </c>
      <c r="J160" s="66" t="str">
        <f aca="false">IF($C160="","",MAX(1,IFERROR(INDEX(商品マスタ!$I$6:$I$1005,MATCH($C160,商品マスタ!$B$6:$B$1005,0)),1)))</f>
        <v/>
      </c>
      <c r="K160" s="69" t="str">
        <f aca="false">IF($C160="","",SUMIFS(①今日の在庫を貼る!$N$6:$N$10005,①今日の在庫を貼る!$B$6:$B$10005,'設定（最初に1回）'!$C$4,①今日の在庫を貼る!$I$6:$I$10005,$C160))</f>
        <v/>
      </c>
      <c r="L160" s="69" t="str">
        <f aca="false">IF($C160="","",SUMIFS(月1回_前回の在庫を貼る!$N$6:$N$10005,月1回_前回の在庫を貼る!$B$6:$B$10005,'設定（最初に1回）'!$C$4,月1回_前回の在庫を貼る!$I$6:$I$10005,$C160))</f>
        <v/>
      </c>
      <c r="M160" s="69" t="str">
        <f aca="false">IF($C160="","",IF(OR('設定（最初に1回）'!$C$6="",'設定（最初に1回）'!$C$7=""),0,SUMIFS(発注管理!$S$6:$S$1005,発注管理!$C$6:$C$1005,'設定（最初に1回）'!$C$4,発注管理!$F$6:$F$1005,$C160,発注管理!$R$6:$R$1005,"&gt;="&amp;'設定（最初に1回）'!$C$7,発注管理!$R$6:$R$1005,"&lt;="&amp;'設定（最初に1回）'!$C$6)))</f>
        <v/>
      </c>
      <c r="N160" s="69" t="str">
        <f aca="false">IF(OR($C160="",'設定（最初に1回）'!$C$15=0),"",$L160+$M160-$K160)</f>
        <v/>
      </c>
      <c r="O160" s="143" t="str">
        <f aca="false">IF(OR($N160="",'設定（最初に1回）'!$C$8="",'設定（最初に1回）'!$C$8&lt;=0),"",MAX(0,$N160)/'設定（最初に1回）'!$C$8)</f>
        <v/>
      </c>
      <c r="P160" s="143" t="str">
        <f aca="false">IF($C160="","",IFERROR(INDEX(商品マスタ!$M$6:$N$1005,MATCH($C160,商品マスタ!$B$6:$B$1005,0),MATCH("PI値 "&amp;'設定（最初に1回）'!$C$11,商品マスタ!$M$5:$N$5,0)),""))</f>
        <v/>
      </c>
      <c r="Q160" s="143" t="str">
        <f aca="false">IF(OR($C160="",$P160="",$P160=0,(N($I160)+N($AG160))&lt;=0),"",IFERROR(SUMIFS(随時_動員を入れる!$G$8:$G$97,随時_動員を入れる!$B$8:$B$97,"&gt;="&amp;'設定（最初に1回）'!$C$6,随時_動員を入れる!$B$8:$B$97,"&lt;="&amp;'設定（最初に1回）'!$C$6+(N($I160)+N($AG160))-1)/(N($I160)+N($AG160)),0)*$P160/100)</f>
        <v/>
      </c>
      <c r="R160" s="69" t="str">
        <f aca="false">IF($C160="","",SUMIFS(①今日の在庫を貼る!$O$6:$O$10005,①今日の在庫を貼る!$B$6:$B$10005,'設定（最初に1回）'!$C$4,①今日の在庫を貼る!$I$6:$I$10005,$C160))</f>
        <v/>
      </c>
      <c r="S160" s="143" t="str">
        <f aca="false">IF($C160="","",IF('設定（最初に1回）'!$C$9="実績消費",N($O160),IF('設定（最初に1回）'!$C$9="PI値予測",N($Q160),MAX(N($O160),N($Q160)))))</f>
        <v/>
      </c>
      <c r="T160" s="67" t="str">
        <f aca="false">IF(OR($S160="",$S160&lt;=0),"",$K160/$S160)</f>
        <v/>
      </c>
      <c r="U160" s="69" t="str">
        <f aca="false">IF($S160="","",ROUNDUP(N($S160)*'設定（最初に1回）'!$C$12,0))</f>
        <v/>
      </c>
      <c r="V160" s="69" t="str">
        <f aca="false">IF($C160="","",ROUNDUP(N($S160)*(N($I160)+N($AG160))+N($U160),0))</f>
        <v/>
      </c>
      <c r="W160" s="69" t="str">
        <f aca="false">IF($C160="","",SUMIFS(発注管理!$L$6:$L$1005,発注管理!$C$6:$C$1005,'設定（最初に1回）'!$C$4,発注管理!$F$6:$F$1005,$C160,発注管理!$Q$6:$Q$1005,"発注済"))</f>
        <v/>
      </c>
      <c r="X160" s="69" t="str">
        <f aca="false">IF($C160="","",MAX(0,N($V160)-N($K160)-N($W160)))</f>
        <v/>
      </c>
      <c r="Y160" s="147" t="str">
        <f aca="false">IF($C160="","",IF(N($X160)&lt;=0,0,CEILING($X160/MAX(1,N($G160)),MAX(1,N($J160)))))</f>
        <v/>
      </c>
      <c r="Z160" s="138" t="str">
        <f aca="false">IF($C160="","",IF(N($Y160)&gt;0,"要発注","正常"))</f>
        <v/>
      </c>
      <c r="AA160" s="71" t="str">
        <f aca="false">IF($C160="","",N($K160)*N($H160))</f>
        <v/>
      </c>
      <c r="AB160" s="66" t="str">
        <f aca="false">IF($C160="","",_xlfn.TEXTJOIN(" / ",TRUE(),IF(COUNTIF(商品マスタ!$B$6:$B$1005,$C160)=0,"マスタ未登録",""),IF(COUNTIFS(月1回_前回の在庫を貼る!$B$6:$B$10005,'設定（最初に1回）'!$C$4,月1回_前回の在庫を貼る!$I$6:$I$10005,$C160)=0,"新商品",""),IF(COUNTIFS(①今日の在庫を貼る!$B$6:$B$10005,'設定（最初に1回）'!$C$4,①今日の在庫を貼る!$I$6:$I$10005,$C160)=0,"終売候補",""),IF(N($K160)&lt;0,"在庫マイナス",""),IF(AND('設定（最初に1回）'!$C$9="PI値予測",$P160=""),"PI値未設定","")))</f>
        <v/>
      </c>
      <c r="AC160" s="71" t="n">
        <f aca="false">N($Y160)*N($H160)</f>
        <v>0</v>
      </c>
      <c r="AD160" s="66" t="str">
        <f aca="false">IF($C160="","",IFERROR(INDEX(商品マスタ!$K$6:$K$1005,MATCH($C160,商品マスタ!$B$6:$B$1005,0)),"常温"))</f>
        <v/>
      </c>
      <c r="AE160" s="69" t="str">
        <f aca="false">IF($C160="","",MAX(0,ROUNDUP(N($K160)/MAX(1,N($G160)),0)))</f>
        <v/>
      </c>
      <c r="AF160" s="66" t="str">
        <f aca="false">IF($C160="","",IFERROR(INDEX(商品マスタ!$L$6:$L$1005,MATCH($C160,商品マスタ!$B$6:$B$1005,0)),""))</f>
        <v/>
      </c>
      <c r="AG160" s="143" t="str">
        <f aca="false">IF($C160="","",IFERROR(INDEX(定数マスタ!$S$110:$S$119,MATCH($AF160,定数マスタ!$J$110:$J$119,0)),N('設定（最初に1回）'!$C$13)))</f>
        <v/>
      </c>
      <c r="AH160" s="66" t="n">
        <f aca="false">IF(AND(N($K160)&gt;0,N($Y160)&gt;0),N($Y160),0)</f>
        <v>0</v>
      </c>
    </row>
    <row r="161" customFormat="false" ht="15" hidden="false" customHeight="false" outlineLevel="0" collapsed="false">
      <c r="B161" s="66" t="n">
        <v>156</v>
      </c>
      <c r="C161" s="66" t="str">
        <f aca="false">IFERROR(IF($B161&lt;=MAX(①今日の在庫を貼る!$U$6:$U$10005),INDEX(①今日の在庫を貼る!$I$6:$I$10005,MATCH($B161,①今日の在庫を貼る!$U$6:$U$10005,0)),INDEX(月1回_前回の在庫を貼る!$I$6:$I$10005,MATCH($B161-MAX(①今日の在庫を貼る!$U$6:$U$10005),月1回_前回の在庫を貼る!$U$6:$U$10005,0))),"")</f>
        <v/>
      </c>
      <c r="D161" s="66" t="str">
        <f aca="false">IF($C161="","",IFERROR(INDEX(商品マスタ!$C$6:$C$1005,MATCH($C161,商品マスタ!$B$6:$B$1005,0)),IFERROR(INDEX(①今日の在庫を貼る!$J$6:$J$10005,MATCH($C161,①今日の在庫を貼る!$I$6:$I$10005,0)),IFERROR(INDEX(月1回_前回の在庫を貼る!$J$6:$J$10005,MATCH($C161,月1回_前回の在庫を貼る!$I$6:$I$10005,0)),""))))</f>
        <v/>
      </c>
      <c r="E161" s="66" t="str">
        <f aca="false">IF($C161="","",IFERROR(INDEX(商品マスタ!$D$6:$D$1005,MATCH($C161,商品マスタ!$B$6:$B$1005,0)),IFERROR(INDEX(①今日の在庫を貼る!$H$6:$H$10005,MATCH($C161,①今日の在庫を貼る!$I$6:$I$10005,0)),IFERROR(INDEX(月1回_前回の在庫を貼る!$H$6:$H$10005,MATCH($C161,月1回_前回の在庫を貼る!$I$6:$I$10005,0)),""))))</f>
        <v/>
      </c>
      <c r="F161" s="66" t="str">
        <f aca="false">IF($C161="","",IFERROR(INDEX(商品マスタ!$E$6:$E$1005,MATCH($C161,商品マスタ!$B$6:$B$1005,0)),IFERROR(INDEX(①今日の在庫を貼る!$E$6:$E$10005,MATCH($C161,①今日の在庫を貼る!$I$6:$I$10005,0)),IFERROR(INDEX(月1回_前回の在庫を貼る!$E$6:$E$10005,MATCH($C161,月1回_前回の在庫を貼る!$I$6:$I$10005,0)),""))))</f>
        <v/>
      </c>
      <c r="G161" s="69" t="str">
        <f aca="false">IF($C161="","",IFERROR(INDEX(商品マスタ!$F$6:$F$1005,MATCH($C161,商品マスタ!$B$6:$B$1005,0)),IFERROR(INDEX(①今日の在庫を貼る!$K$6:$K$10005,MATCH($C161,①今日の在庫を貼る!$I$6:$I$10005,0)),IFERROR(INDEX(月1回_前回の在庫を貼る!$K$6:$K$10005,MATCH($C161,月1回_前回の在庫を貼る!$I$6:$I$10005,0)),""))))</f>
        <v/>
      </c>
      <c r="H161" s="71" t="str">
        <f aca="false">IF($C161="","",IFERROR(INDEX(商品マスタ!$G$6:$G$1005,MATCH($C161,商品マスタ!$B$6:$B$1005,0)),IFERROR(INDEX(①今日の在庫を貼る!$Q$6:$Q$10005,MATCH($C161,①今日の在庫を貼る!$I$6:$I$10005,0)),IFERROR(INDEX(月1回_前回の在庫を貼る!$Q$6:$Q$10005,MATCH($C161,月1回_前回の在庫を貼る!$I$6:$I$10005,0)),""))))</f>
        <v/>
      </c>
      <c r="I161" s="66" t="str">
        <f aca="false">IF($C161="","",IFERROR(INDEX(商品マスタ!$H$6:$H$1005,MATCH($C161,商品マスタ!$B$6:$B$1005,0)),3))</f>
        <v/>
      </c>
      <c r="J161" s="66" t="str">
        <f aca="false">IF($C161="","",MAX(1,IFERROR(INDEX(商品マスタ!$I$6:$I$1005,MATCH($C161,商品マスタ!$B$6:$B$1005,0)),1)))</f>
        <v/>
      </c>
      <c r="K161" s="69" t="str">
        <f aca="false">IF($C161="","",SUMIFS(①今日の在庫を貼る!$N$6:$N$10005,①今日の在庫を貼る!$B$6:$B$10005,'設定（最初に1回）'!$C$4,①今日の在庫を貼る!$I$6:$I$10005,$C161))</f>
        <v/>
      </c>
      <c r="L161" s="69" t="str">
        <f aca="false">IF($C161="","",SUMIFS(月1回_前回の在庫を貼る!$N$6:$N$10005,月1回_前回の在庫を貼る!$B$6:$B$10005,'設定（最初に1回）'!$C$4,月1回_前回の在庫を貼る!$I$6:$I$10005,$C161))</f>
        <v/>
      </c>
      <c r="M161" s="69" t="str">
        <f aca="false">IF($C161="","",IF(OR('設定（最初に1回）'!$C$6="",'設定（最初に1回）'!$C$7=""),0,SUMIFS(発注管理!$S$6:$S$1005,発注管理!$C$6:$C$1005,'設定（最初に1回）'!$C$4,発注管理!$F$6:$F$1005,$C161,発注管理!$R$6:$R$1005,"&gt;="&amp;'設定（最初に1回）'!$C$7,発注管理!$R$6:$R$1005,"&lt;="&amp;'設定（最初に1回）'!$C$6)))</f>
        <v/>
      </c>
      <c r="N161" s="69" t="str">
        <f aca="false">IF(OR($C161="",'設定（最初に1回）'!$C$15=0),"",$L161+$M161-$K161)</f>
        <v/>
      </c>
      <c r="O161" s="143" t="str">
        <f aca="false">IF(OR($N161="",'設定（最初に1回）'!$C$8="",'設定（最初に1回）'!$C$8&lt;=0),"",MAX(0,$N161)/'設定（最初に1回）'!$C$8)</f>
        <v/>
      </c>
      <c r="P161" s="143" t="str">
        <f aca="false">IF($C161="","",IFERROR(INDEX(商品マスタ!$M$6:$N$1005,MATCH($C161,商品マスタ!$B$6:$B$1005,0),MATCH("PI値 "&amp;'設定（最初に1回）'!$C$11,商品マスタ!$M$5:$N$5,0)),""))</f>
        <v/>
      </c>
      <c r="Q161" s="143" t="str">
        <f aca="false">IF(OR($C161="",$P161="",$P161=0,(N($I161)+N($AG161))&lt;=0),"",IFERROR(SUMIFS(随時_動員を入れる!$G$8:$G$97,随時_動員を入れる!$B$8:$B$97,"&gt;="&amp;'設定（最初に1回）'!$C$6,随時_動員を入れる!$B$8:$B$97,"&lt;="&amp;'設定（最初に1回）'!$C$6+(N($I161)+N($AG161))-1)/(N($I161)+N($AG161)),0)*$P161/100)</f>
        <v/>
      </c>
      <c r="R161" s="69" t="str">
        <f aca="false">IF($C161="","",SUMIFS(①今日の在庫を貼る!$O$6:$O$10005,①今日の在庫を貼る!$B$6:$B$10005,'設定（最初に1回）'!$C$4,①今日の在庫を貼る!$I$6:$I$10005,$C161))</f>
        <v/>
      </c>
      <c r="S161" s="143" t="str">
        <f aca="false">IF($C161="","",IF('設定（最初に1回）'!$C$9="実績消費",N($O161),IF('設定（最初に1回）'!$C$9="PI値予測",N($Q161),MAX(N($O161),N($Q161)))))</f>
        <v/>
      </c>
      <c r="T161" s="67" t="str">
        <f aca="false">IF(OR($S161="",$S161&lt;=0),"",$K161/$S161)</f>
        <v/>
      </c>
      <c r="U161" s="69" t="str">
        <f aca="false">IF($S161="","",ROUNDUP(N($S161)*'設定（最初に1回）'!$C$12,0))</f>
        <v/>
      </c>
      <c r="V161" s="69" t="str">
        <f aca="false">IF($C161="","",ROUNDUP(N($S161)*(N($I161)+N($AG161))+N($U161),0))</f>
        <v/>
      </c>
      <c r="W161" s="69" t="str">
        <f aca="false">IF($C161="","",SUMIFS(発注管理!$L$6:$L$1005,発注管理!$C$6:$C$1005,'設定（最初に1回）'!$C$4,発注管理!$F$6:$F$1005,$C161,発注管理!$Q$6:$Q$1005,"発注済"))</f>
        <v/>
      </c>
      <c r="X161" s="69" t="str">
        <f aca="false">IF($C161="","",MAX(0,N($V161)-N($K161)-N($W161)))</f>
        <v/>
      </c>
      <c r="Y161" s="147" t="str">
        <f aca="false">IF($C161="","",IF(N($X161)&lt;=0,0,CEILING($X161/MAX(1,N($G161)),MAX(1,N($J161)))))</f>
        <v/>
      </c>
      <c r="Z161" s="138" t="str">
        <f aca="false">IF($C161="","",IF(N($Y161)&gt;0,"要発注","正常"))</f>
        <v/>
      </c>
      <c r="AA161" s="71" t="str">
        <f aca="false">IF($C161="","",N($K161)*N($H161))</f>
        <v/>
      </c>
      <c r="AB161" s="66" t="str">
        <f aca="false">IF($C161="","",_xlfn.TEXTJOIN(" / ",TRUE(),IF(COUNTIF(商品マスタ!$B$6:$B$1005,$C161)=0,"マスタ未登録",""),IF(COUNTIFS(月1回_前回の在庫を貼る!$B$6:$B$10005,'設定（最初に1回）'!$C$4,月1回_前回の在庫を貼る!$I$6:$I$10005,$C161)=0,"新商品",""),IF(COUNTIFS(①今日の在庫を貼る!$B$6:$B$10005,'設定（最初に1回）'!$C$4,①今日の在庫を貼る!$I$6:$I$10005,$C161)=0,"終売候補",""),IF(N($K161)&lt;0,"在庫マイナス",""),IF(AND('設定（最初に1回）'!$C$9="PI値予測",$P161=""),"PI値未設定","")))</f>
        <v/>
      </c>
      <c r="AC161" s="71" t="n">
        <f aca="false">N($Y161)*N($H161)</f>
        <v>0</v>
      </c>
      <c r="AD161" s="66" t="str">
        <f aca="false">IF($C161="","",IFERROR(INDEX(商品マスタ!$K$6:$K$1005,MATCH($C161,商品マスタ!$B$6:$B$1005,0)),"常温"))</f>
        <v/>
      </c>
      <c r="AE161" s="69" t="str">
        <f aca="false">IF($C161="","",MAX(0,ROUNDUP(N($K161)/MAX(1,N($G161)),0)))</f>
        <v/>
      </c>
      <c r="AF161" s="66" t="str">
        <f aca="false">IF($C161="","",IFERROR(INDEX(商品マスタ!$L$6:$L$1005,MATCH($C161,商品マスタ!$B$6:$B$1005,0)),""))</f>
        <v/>
      </c>
      <c r="AG161" s="143" t="str">
        <f aca="false">IF($C161="","",IFERROR(INDEX(定数マスタ!$S$110:$S$119,MATCH($AF161,定数マスタ!$J$110:$J$119,0)),N('設定（最初に1回）'!$C$13)))</f>
        <v/>
      </c>
      <c r="AH161" s="66" t="n">
        <f aca="false">IF(AND(N($K161)&gt;0,N($Y161)&gt;0),N($Y161),0)</f>
        <v>0</v>
      </c>
    </row>
    <row r="162" customFormat="false" ht="15" hidden="false" customHeight="false" outlineLevel="0" collapsed="false">
      <c r="B162" s="66" t="n">
        <v>157</v>
      </c>
      <c r="C162" s="66" t="str">
        <f aca="false">IFERROR(IF($B162&lt;=MAX(①今日の在庫を貼る!$U$6:$U$10005),INDEX(①今日の在庫を貼る!$I$6:$I$10005,MATCH($B162,①今日の在庫を貼る!$U$6:$U$10005,0)),INDEX(月1回_前回の在庫を貼る!$I$6:$I$10005,MATCH($B162-MAX(①今日の在庫を貼る!$U$6:$U$10005),月1回_前回の在庫を貼る!$U$6:$U$10005,0))),"")</f>
        <v/>
      </c>
      <c r="D162" s="66" t="str">
        <f aca="false">IF($C162="","",IFERROR(INDEX(商品マスタ!$C$6:$C$1005,MATCH($C162,商品マスタ!$B$6:$B$1005,0)),IFERROR(INDEX(①今日の在庫を貼る!$J$6:$J$10005,MATCH($C162,①今日の在庫を貼る!$I$6:$I$10005,0)),IFERROR(INDEX(月1回_前回の在庫を貼る!$J$6:$J$10005,MATCH($C162,月1回_前回の在庫を貼る!$I$6:$I$10005,0)),""))))</f>
        <v/>
      </c>
      <c r="E162" s="66" t="str">
        <f aca="false">IF($C162="","",IFERROR(INDEX(商品マスタ!$D$6:$D$1005,MATCH($C162,商品マスタ!$B$6:$B$1005,0)),IFERROR(INDEX(①今日の在庫を貼る!$H$6:$H$10005,MATCH($C162,①今日の在庫を貼る!$I$6:$I$10005,0)),IFERROR(INDEX(月1回_前回の在庫を貼る!$H$6:$H$10005,MATCH($C162,月1回_前回の在庫を貼る!$I$6:$I$10005,0)),""))))</f>
        <v/>
      </c>
      <c r="F162" s="66" t="str">
        <f aca="false">IF($C162="","",IFERROR(INDEX(商品マスタ!$E$6:$E$1005,MATCH($C162,商品マスタ!$B$6:$B$1005,0)),IFERROR(INDEX(①今日の在庫を貼る!$E$6:$E$10005,MATCH($C162,①今日の在庫を貼る!$I$6:$I$10005,0)),IFERROR(INDEX(月1回_前回の在庫を貼る!$E$6:$E$10005,MATCH($C162,月1回_前回の在庫を貼る!$I$6:$I$10005,0)),""))))</f>
        <v/>
      </c>
      <c r="G162" s="69" t="str">
        <f aca="false">IF($C162="","",IFERROR(INDEX(商品マスタ!$F$6:$F$1005,MATCH($C162,商品マスタ!$B$6:$B$1005,0)),IFERROR(INDEX(①今日の在庫を貼る!$K$6:$K$10005,MATCH($C162,①今日の在庫を貼る!$I$6:$I$10005,0)),IFERROR(INDEX(月1回_前回の在庫を貼る!$K$6:$K$10005,MATCH($C162,月1回_前回の在庫を貼る!$I$6:$I$10005,0)),""))))</f>
        <v/>
      </c>
      <c r="H162" s="71" t="str">
        <f aca="false">IF($C162="","",IFERROR(INDEX(商品マスタ!$G$6:$G$1005,MATCH($C162,商品マスタ!$B$6:$B$1005,0)),IFERROR(INDEX(①今日の在庫を貼る!$Q$6:$Q$10005,MATCH($C162,①今日の在庫を貼る!$I$6:$I$10005,0)),IFERROR(INDEX(月1回_前回の在庫を貼る!$Q$6:$Q$10005,MATCH($C162,月1回_前回の在庫を貼る!$I$6:$I$10005,0)),""))))</f>
        <v/>
      </c>
      <c r="I162" s="66" t="str">
        <f aca="false">IF($C162="","",IFERROR(INDEX(商品マスタ!$H$6:$H$1005,MATCH($C162,商品マスタ!$B$6:$B$1005,0)),3))</f>
        <v/>
      </c>
      <c r="J162" s="66" t="str">
        <f aca="false">IF($C162="","",MAX(1,IFERROR(INDEX(商品マスタ!$I$6:$I$1005,MATCH($C162,商品マスタ!$B$6:$B$1005,0)),1)))</f>
        <v/>
      </c>
      <c r="K162" s="69" t="str">
        <f aca="false">IF($C162="","",SUMIFS(①今日の在庫を貼る!$N$6:$N$10005,①今日の在庫を貼る!$B$6:$B$10005,'設定（最初に1回）'!$C$4,①今日の在庫を貼る!$I$6:$I$10005,$C162))</f>
        <v/>
      </c>
      <c r="L162" s="69" t="str">
        <f aca="false">IF($C162="","",SUMIFS(月1回_前回の在庫を貼る!$N$6:$N$10005,月1回_前回の在庫を貼る!$B$6:$B$10005,'設定（最初に1回）'!$C$4,月1回_前回の在庫を貼る!$I$6:$I$10005,$C162))</f>
        <v/>
      </c>
      <c r="M162" s="69" t="str">
        <f aca="false">IF($C162="","",IF(OR('設定（最初に1回）'!$C$6="",'設定（最初に1回）'!$C$7=""),0,SUMIFS(発注管理!$S$6:$S$1005,発注管理!$C$6:$C$1005,'設定（最初に1回）'!$C$4,発注管理!$F$6:$F$1005,$C162,発注管理!$R$6:$R$1005,"&gt;="&amp;'設定（最初に1回）'!$C$7,発注管理!$R$6:$R$1005,"&lt;="&amp;'設定（最初に1回）'!$C$6)))</f>
        <v/>
      </c>
      <c r="N162" s="69" t="str">
        <f aca="false">IF(OR($C162="",'設定（最初に1回）'!$C$15=0),"",$L162+$M162-$K162)</f>
        <v/>
      </c>
      <c r="O162" s="143" t="str">
        <f aca="false">IF(OR($N162="",'設定（最初に1回）'!$C$8="",'設定（最初に1回）'!$C$8&lt;=0),"",MAX(0,$N162)/'設定（最初に1回）'!$C$8)</f>
        <v/>
      </c>
      <c r="P162" s="143" t="str">
        <f aca="false">IF($C162="","",IFERROR(INDEX(商品マスタ!$M$6:$N$1005,MATCH($C162,商品マスタ!$B$6:$B$1005,0),MATCH("PI値 "&amp;'設定（最初に1回）'!$C$11,商品マスタ!$M$5:$N$5,0)),""))</f>
        <v/>
      </c>
      <c r="Q162" s="143" t="str">
        <f aca="false">IF(OR($C162="",$P162="",$P162=0,(N($I162)+N($AG162))&lt;=0),"",IFERROR(SUMIFS(随時_動員を入れる!$G$8:$G$97,随時_動員を入れる!$B$8:$B$97,"&gt;="&amp;'設定（最初に1回）'!$C$6,随時_動員を入れる!$B$8:$B$97,"&lt;="&amp;'設定（最初に1回）'!$C$6+(N($I162)+N($AG162))-1)/(N($I162)+N($AG162)),0)*$P162/100)</f>
        <v/>
      </c>
      <c r="R162" s="69" t="str">
        <f aca="false">IF($C162="","",SUMIFS(①今日の在庫を貼る!$O$6:$O$10005,①今日の在庫を貼る!$B$6:$B$10005,'設定（最初に1回）'!$C$4,①今日の在庫を貼る!$I$6:$I$10005,$C162))</f>
        <v/>
      </c>
      <c r="S162" s="143" t="str">
        <f aca="false">IF($C162="","",IF('設定（最初に1回）'!$C$9="実績消費",N($O162),IF('設定（最初に1回）'!$C$9="PI値予測",N($Q162),MAX(N($O162),N($Q162)))))</f>
        <v/>
      </c>
      <c r="T162" s="67" t="str">
        <f aca="false">IF(OR($S162="",$S162&lt;=0),"",$K162/$S162)</f>
        <v/>
      </c>
      <c r="U162" s="69" t="str">
        <f aca="false">IF($S162="","",ROUNDUP(N($S162)*'設定（最初に1回）'!$C$12,0))</f>
        <v/>
      </c>
      <c r="V162" s="69" t="str">
        <f aca="false">IF($C162="","",ROUNDUP(N($S162)*(N($I162)+N($AG162))+N($U162),0))</f>
        <v/>
      </c>
      <c r="W162" s="69" t="str">
        <f aca="false">IF($C162="","",SUMIFS(発注管理!$L$6:$L$1005,発注管理!$C$6:$C$1005,'設定（最初に1回）'!$C$4,発注管理!$F$6:$F$1005,$C162,発注管理!$Q$6:$Q$1005,"発注済"))</f>
        <v/>
      </c>
      <c r="X162" s="69" t="str">
        <f aca="false">IF($C162="","",MAX(0,N($V162)-N($K162)-N($W162)))</f>
        <v/>
      </c>
      <c r="Y162" s="147" t="str">
        <f aca="false">IF($C162="","",IF(N($X162)&lt;=0,0,CEILING($X162/MAX(1,N($G162)),MAX(1,N($J162)))))</f>
        <v/>
      </c>
      <c r="Z162" s="138" t="str">
        <f aca="false">IF($C162="","",IF(N($Y162)&gt;0,"要発注","正常"))</f>
        <v/>
      </c>
      <c r="AA162" s="71" t="str">
        <f aca="false">IF($C162="","",N($K162)*N($H162))</f>
        <v/>
      </c>
      <c r="AB162" s="66" t="str">
        <f aca="false">IF($C162="","",_xlfn.TEXTJOIN(" / ",TRUE(),IF(COUNTIF(商品マスタ!$B$6:$B$1005,$C162)=0,"マスタ未登録",""),IF(COUNTIFS(月1回_前回の在庫を貼る!$B$6:$B$10005,'設定（最初に1回）'!$C$4,月1回_前回の在庫を貼る!$I$6:$I$10005,$C162)=0,"新商品",""),IF(COUNTIFS(①今日の在庫を貼る!$B$6:$B$10005,'設定（最初に1回）'!$C$4,①今日の在庫を貼る!$I$6:$I$10005,$C162)=0,"終売候補",""),IF(N($K162)&lt;0,"在庫マイナス",""),IF(AND('設定（最初に1回）'!$C$9="PI値予測",$P162=""),"PI値未設定","")))</f>
        <v/>
      </c>
      <c r="AC162" s="71" t="n">
        <f aca="false">N($Y162)*N($H162)</f>
        <v>0</v>
      </c>
      <c r="AD162" s="66" t="str">
        <f aca="false">IF($C162="","",IFERROR(INDEX(商品マスタ!$K$6:$K$1005,MATCH($C162,商品マスタ!$B$6:$B$1005,0)),"常温"))</f>
        <v/>
      </c>
      <c r="AE162" s="69" t="str">
        <f aca="false">IF($C162="","",MAX(0,ROUNDUP(N($K162)/MAX(1,N($G162)),0)))</f>
        <v/>
      </c>
      <c r="AF162" s="66" t="str">
        <f aca="false">IF($C162="","",IFERROR(INDEX(商品マスタ!$L$6:$L$1005,MATCH($C162,商品マスタ!$B$6:$B$1005,0)),""))</f>
        <v/>
      </c>
      <c r="AG162" s="143" t="str">
        <f aca="false">IF($C162="","",IFERROR(INDEX(定数マスタ!$S$110:$S$119,MATCH($AF162,定数マスタ!$J$110:$J$119,0)),N('設定（最初に1回）'!$C$13)))</f>
        <v/>
      </c>
      <c r="AH162" s="66" t="n">
        <f aca="false">IF(AND(N($K162)&gt;0,N($Y162)&gt;0),N($Y162),0)</f>
        <v>0</v>
      </c>
    </row>
    <row r="163" customFormat="false" ht="15" hidden="false" customHeight="false" outlineLevel="0" collapsed="false">
      <c r="B163" s="66" t="n">
        <v>158</v>
      </c>
      <c r="C163" s="66" t="str">
        <f aca="false">IFERROR(IF($B163&lt;=MAX(①今日の在庫を貼る!$U$6:$U$10005),INDEX(①今日の在庫を貼る!$I$6:$I$10005,MATCH($B163,①今日の在庫を貼る!$U$6:$U$10005,0)),INDEX(月1回_前回の在庫を貼る!$I$6:$I$10005,MATCH($B163-MAX(①今日の在庫を貼る!$U$6:$U$10005),月1回_前回の在庫を貼る!$U$6:$U$10005,0))),"")</f>
        <v/>
      </c>
      <c r="D163" s="66" t="str">
        <f aca="false">IF($C163="","",IFERROR(INDEX(商品マスタ!$C$6:$C$1005,MATCH($C163,商品マスタ!$B$6:$B$1005,0)),IFERROR(INDEX(①今日の在庫を貼る!$J$6:$J$10005,MATCH($C163,①今日の在庫を貼る!$I$6:$I$10005,0)),IFERROR(INDEX(月1回_前回の在庫を貼る!$J$6:$J$10005,MATCH($C163,月1回_前回の在庫を貼る!$I$6:$I$10005,0)),""))))</f>
        <v/>
      </c>
      <c r="E163" s="66" t="str">
        <f aca="false">IF($C163="","",IFERROR(INDEX(商品マスタ!$D$6:$D$1005,MATCH($C163,商品マスタ!$B$6:$B$1005,0)),IFERROR(INDEX(①今日の在庫を貼る!$H$6:$H$10005,MATCH($C163,①今日の在庫を貼る!$I$6:$I$10005,0)),IFERROR(INDEX(月1回_前回の在庫を貼る!$H$6:$H$10005,MATCH($C163,月1回_前回の在庫を貼る!$I$6:$I$10005,0)),""))))</f>
        <v/>
      </c>
      <c r="F163" s="66" t="str">
        <f aca="false">IF($C163="","",IFERROR(INDEX(商品マスタ!$E$6:$E$1005,MATCH($C163,商品マスタ!$B$6:$B$1005,0)),IFERROR(INDEX(①今日の在庫を貼る!$E$6:$E$10005,MATCH($C163,①今日の在庫を貼る!$I$6:$I$10005,0)),IFERROR(INDEX(月1回_前回の在庫を貼る!$E$6:$E$10005,MATCH($C163,月1回_前回の在庫を貼る!$I$6:$I$10005,0)),""))))</f>
        <v/>
      </c>
      <c r="G163" s="69" t="str">
        <f aca="false">IF($C163="","",IFERROR(INDEX(商品マスタ!$F$6:$F$1005,MATCH($C163,商品マスタ!$B$6:$B$1005,0)),IFERROR(INDEX(①今日の在庫を貼る!$K$6:$K$10005,MATCH($C163,①今日の在庫を貼る!$I$6:$I$10005,0)),IFERROR(INDEX(月1回_前回の在庫を貼る!$K$6:$K$10005,MATCH($C163,月1回_前回の在庫を貼る!$I$6:$I$10005,0)),""))))</f>
        <v/>
      </c>
      <c r="H163" s="71" t="str">
        <f aca="false">IF($C163="","",IFERROR(INDEX(商品マスタ!$G$6:$G$1005,MATCH($C163,商品マスタ!$B$6:$B$1005,0)),IFERROR(INDEX(①今日の在庫を貼る!$Q$6:$Q$10005,MATCH($C163,①今日の在庫を貼る!$I$6:$I$10005,0)),IFERROR(INDEX(月1回_前回の在庫を貼る!$Q$6:$Q$10005,MATCH($C163,月1回_前回の在庫を貼る!$I$6:$I$10005,0)),""))))</f>
        <v/>
      </c>
      <c r="I163" s="66" t="str">
        <f aca="false">IF($C163="","",IFERROR(INDEX(商品マスタ!$H$6:$H$1005,MATCH($C163,商品マスタ!$B$6:$B$1005,0)),3))</f>
        <v/>
      </c>
      <c r="J163" s="66" t="str">
        <f aca="false">IF($C163="","",MAX(1,IFERROR(INDEX(商品マスタ!$I$6:$I$1005,MATCH($C163,商品マスタ!$B$6:$B$1005,0)),1)))</f>
        <v/>
      </c>
      <c r="K163" s="69" t="str">
        <f aca="false">IF($C163="","",SUMIFS(①今日の在庫を貼る!$N$6:$N$10005,①今日の在庫を貼る!$B$6:$B$10005,'設定（最初に1回）'!$C$4,①今日の在庫を貼る!$I$6:$I$10005,$C163))</f>
        <v/>
      </c>
      <c r="L163" s="69" t="str">
        <f aca="false">IF($C163="","",SUMIFS(月1回_前回の在庫を貼る!$N$6:$N$10005,月1回_前回の在庫を貼る!$B$6:$B$10005,'設定（最初に1回）'!$C$4,月1回_前回の在庫を貼る!$I$6:$I$10005,$C163))</f>
        <v/>
      </c>
      <c r="M163" s="69" t="str">
        <f aca="false">IF($C163="","",IF(OR('設定（最初に1回）'!$C$6="",'設定（最初に1回）'!$C$7=""),0,SUMIFS(発注管理!$S$6:$S$1005,発注管理!$C$6:$C$1005,'設定（最初に1回）'!$C$4,発注管理!$F$6:$F$1005,$C163,発注管理!$R$6:$R$1005,"&gt;="&amp;'設定（最初に1回）'!$C$7,発注管理!$R$6:$R$1005,"&lt;="&amp;'設定（最初に1回）'!$C$6)))</f>
        <v/>
      </c>
      <c r="N163" s="69" t="str">
        <f aca="false">IF(OR($C163="",'設定（最初に1回）'!$C$15=0),"",$L163+$M163-$K163)</f>
        <v/>
      </c>
      <c r="O163" s="143" t="str">
        <f aca="false">IF(OR($N163="",'設定（最初に1回）'!$C$8="",'設定（最初に1回）'!$C$8&lt;=0),"",MAX(0,$N163)/'設定（最初に1回）'!$C$8)</f>
        <v/>
      </c>
      <c r="P163" s="143" t="str">
        <f aca="false">IF($C163="","",IFERROR(INDEX(商品マスタ!$M$6:$N$1005,MATCH($C163,商品マスタ!$B$6:$B$1005,0),MATCH("PI値 "&amp;'設定（最初に1回）'!$C$11,商品マスタ!$M$5:$N$5,0)),""))</f>
        <v/>
      </c>
      <c r="Q163" s="143" t="str">
        <f aca="false">IF(OR($C163="",$P163="",$P163=0,(N($I163)+N($AG163))&lt;=0),"",IFERROR(SUMIFS(随時_動員を入れる!$G$8:$G$97,随時_動員を入れる!$B$8:$B$97,"&gt;="&amp;'設定（最初に1回）'!$C$6,随時_動員を入れる!$B$8:$B$97,"&lt;="&amp;'設定（最初に1回）'!$C$6+(N($I163)+N($AG163))-1)/(N($I163)+N($AG163)),0)*$P163/100)</f>
        <v/>
      </c>
      <c r="R163" s="69" t="str">
        <f aca="false">IF($C163="","",SUMIFS(①今日の在庫を貼る!$O$6:$O$10005,①今日の在庫を貼る!$B$6:$B$10005,'設定（最初に1回）'!$C$4,①今日の在庫を貼る!$I$6:$I$10005,$C163))</f>
        <v/>
      </c>
      <c r="S163" s="143" t="str">
        <f aca="false">IF($C163="","",IF('設定（最初に1回）'!$C$9="実績消費",N($O163),IF('設定（最初に1回）'!$C$9="PI値予測",N($Q163),MAX(N($O163),N($Q163)))))</f>
        <v/>
      </c>
      <c r="T163" s="67" t="str">
        <f aca="false">IF(OR($S163="",$S163&lt;=0),"",$K163/$S163)</f>
        <v/>
      </c>
      <c r="U163" s="69" t="str">
        <f aca="false">IF($S163="","",ROUNDUP(N($S163)*'設定（最初に1回）'!$C$12,0))</f>
        <v/>
      </c>
      <c r="V163" s="69" t="str">
        <f aca="false">IF($C163="","",ROUNDUP(N($S163)*(N($I163)+N($AG163))+N($U163),0))</f>
        <v/>
      </c>
      <c r="W163" s="69" t="str">
        <f aca="false">IF($C163="","",SUMIFS(発注管理!$L$6:$L$1005,発注管理!$C$6:$C$1005,'設定（最初に1回）'!$C$4,発注管理!$F$6:$F$1005,$C163,発注管理!$Q$6:$Q$1005,"発注済"))</f>
        <v/>
      </c>
      <c r="X163" s="69" t="str">
        <f aca="false">IF($C163="","",MAX(0,N($V163)-N($K163)-N($W163)))</f>
        <v/>
      </c>
      <c r="Y163" s="147" t="str">
        <f aca="false">IF($C163="","",IF(N($X163)&lt;=0,0,CEILING($X163/MAX(1,N($G163)),MAX(1,N($J163)))))</f>
        <v/>
      </c>
      <c r="Z163" s="138" t="str">
        <f aca="false">IF($C163="","",IF(N($Y163)&gt;0,"要発注","正常"))</f>
        <v/>
      </c>
      <c r="AA163" s="71" t="str">
        <f aca="false">IF($C163="","",N($K163)*N($H163))</f>
        <v/>
      </c>
      <c r="AB163" s="66" t="str">
        <f aca="false">IF($C163="","",_xlfn.TEXTJOIN(" / ",TRUE(),IF(COUNTIF(商品マスタ!$B$6:$B$1005,$C163)=0,"マスタ未登録",""),IF(COUNTIFS(月1回_前回の在庫を貼る!$B$6:$B$10005,'設定（最初に1回）'!$C$4,月1回_前回の在庫を貼る!$I$6:$I$10005,$C163)=0,"新商品",""),IF(COUNTIFS(①今日の在庫を貼る!$B$6:$B$10005,'設定（最初に1回）'!$C$4,①今日の在庫を貼る!$I$6:$I$10005,$C163)=0,"終売候補",""),IF(N($K163)&lt;0,"在庫マイナス",""),IF(AND('設定（最初に1回）'!$C$9="PI値予測",$P163=""),"PI値未設定","")))</f>
        <v/>
      </c>
      <c r="AC163" s="71" t="n">
        <f aca="false">N($Y163)*N($H163)</f>
        <v>0</v>
      </c>
      <c r="AD163" s="66" t="str">
        <f aca="false">IF($C163="","",IFERROR(INDEX(商品マスタ!$K$6:$K$1005,MATCH($C163,商品マスタ!$B$6:$B$1005,0)),"常温"))</f>
        <v/>
      </c>
      <c r="AE163" s="69" t="str">
        <f aca="false">IF($C163="","",MAX(0,ROUNDUP(N($K163)/MAX(1,N($G163)),0)))</f>
        <v/>
      </c>
      <c r="AF163" s="66" t="str">
        <f aca="false">IF($C163="","",IFERROR(INDEX(商品マスタ!$L$6:$L$1005,MATCH($C163,商品マスタ!$B$6:$B$1005,0)),""))</f>
        <v/>
      </c>
      <c r="AG163" s="143" t="str">
        <f aca="false">IF($C163="","",IFERROR(INDEX(定数マスタ!$S$110:$S$119,MATCH($AF163,定数マスタ!$J$110:$J$119,0)),N('設定（最初に1回）'!$C$13)))</f>
        <v/>
      </c>
      <c r="AH163" s="66" t="n">
        <f aca="false">IF(AND(N($K163)&gt;0,N($Y163)&gt;0),N($Y163),0)</f>
        <v>0</v>
      </c>
    </row>
    <row r="164" customFormat="false" ht="15" hidden="false" customHeight="false" outlineLevel="0" collapsed="false">
      <c r="B164" s="66" t="n">
        <v>159</v>
      </c>
      <c r="C164" s="66" t="str">
        <f aca="false">IFERROR(IF($B164&lt;=MAX(①今日の在庫を貼る!$U$6:$U$10005),INDEX(①今日の在庫を貼る!$I$6:$I$10005,MATCH($B164,①今日の在庫を貼る!$U$6:$U$10005,0)),INDEX(月1回_前回の在庫を貼る!$I$6:$I$10005,MATCH($B164-MAX(①今日の在庫を貼る!$U$6:$U$10005),月1回_前回の在庫を貼る!$U$6:$U$10005,0))),"")</f>
        <v/>
      </c>
      <c r="D164" s="66" t="str">
        <f aca="false">IF($C164="","",IFERROR(INDEX(商品マスタ!$C$6:$C$1005,MATCH($C164,商品マスタ!$B$6:$B$1005,0)),IFERROR(INDEX(①今日の在庫を貼る!$J$6:$J$10005,MATCH($C164,①今日の在庫を貼る!$I$6:$I$10005,0)),IFERROR(INDEX(月1回_前回の在庫を貼る!$J$6:$J$10005,MATCH($C164,月1回_前回の在庫を貼る!$I$6:$I$10005,0)),""))))</f>
        <v/>
      </c>
      <c r="E164" s="66" t="str">
        <f aca="false">IF($C164="","",IFERROR(INDEX(商品マスタ!$D$6:$D$1005,MATCH($C164,商品マスタ!$B$6:$B$1005,0)),IFERROR(INDEX(①今日の在庫を貼る!$H$6:$H$10005,MATCH($C164,①今日の在庫を貼る!$I$6:$I$10005,0)),IFERROR(INDEX(月1回_前回の在庫を貼る!$H$6:$H$10005,MATCH($C164,月1回_前回の在庫を貼る!$I$6:$I$10005,0)),""))))</f>
        <v/>
      </c>
      <c r="F164" s="66" t="str">
        <f aca="false">IF($C164="","",IFERROR(INDEX(商品マスタ!$E$6:$E$1005,MATCH($C164,商品マスタ!$B$6:$B$1005,0)),IFERROR(INDEX(①今日の在庫を貼る!$E$6:$E$10005,MATCH($C164,①今日の在庫を貼る!$I$6:$I$10005,0)),IFERROR(INDEX(月1回_前回の在庫を貼る!$E$6:$E$10005,MATCH($C164,月1回_前回の在庫を貼る!$I$6:$I$10005,0)),""))))</f>
        <v/>
      </c>
      <c r="G164" s="69" t="str">
        <f aca="false">IF($C164="","",IFERROR(INDEX(商品マスタ!$F$6:$F$1005,MATCH($C164,商品マスタ!$B$6:$B$1005,0)),IFERROR(INDEX(①今日の在庫を貼る!$K$6:$K$10005,MATCH($C164,①今日の在庫を貼る!$I$6:$I$10005,0)),IFERROR(INDEX(月1回_前回の在庫を貼る!$K$6:$K$10005,MATCH($C164,月1回_前回の在庫を貼る!$I$6:$I$10005,0)),""))))</f>
        <v/>
      </c>
      <c r="H164" s="71" t="str">
        <f aca="false">IF($C164="","",IFERROR(INDEX(商品マスタ!$G$6:$G$1005,MATCH($C164,商品マスタ!$B$6:$B$1005,0)),IFERROR(INDEX(①今日の在庫を貼る!$Q$6:$Q$10005,MATCH($C164,①今日の在庫を貼る!$I$6:$I$10005,0)),IFERROR(INDEX(月1回_前回の在庫を貼る!$Q$6:$Q$10005,MATCH($C164,月1回_前回の在庫を貼る!$I$6:$I$10005,0)),""))))</f>
        <v/>
      </c>
      <c r="I164" s="66" t="str">
        <f aca="false">IF($C164="","",IFERROR(INDEX(商品マスタ!$H$6:$H$1005,MATCH($C164,商品マスタ!$B$6:$B$1005,0)),3))</f>
        <v/>
      </c>
      <c r="J164" s="66" t="str">
        <f aca="false">IF($C164="","",MAX(1,IFERROR(INDEX(商品マスタ!$I$6:$I$1005,MATCH($C164,商品マスタ!$B$6:$B$1005,0)),1)))</f>
        <v/>
      </c>
      <c r="K164" s="69" t="str">
        <f aca="false">IF($C164="","",SUMIFS(①今日の在庫を貼る!$N$6:$N$10005,①今日の在庫を貼る!$B$6:$B$10005,'設定（最初に1回）'!$C$4,①今日の在庫を貼る!$I$6:$I$10005,$C164))</f>
        <v/>
      </c>
      <c r="L164" s="69" t="str">
        <f aca="false">IF($C164="","",SUMIFS(月1回_前回の在庫を貼る!$N$6:$N$10005,月1回_前回の在庫を貼る!$B$6:$B$10005,'設定（最初に1回）'!$C$4,月1回_前回の在庫を貼る!$I$6:$I$10005,$C164))</f>
        <v/>
      </c>
      <c r="M164" s="69" t="str">
        <f aca="false">IF($C164="","",IF(OR('設定（最初に1回）'!$C$6="",'設定（最初に1回）'!$C$7=""),0,SUMIFS(発注管理!$S$6:$S$1005,発注管理!$C$6:$C$1005,'設定（最初に1回）'!$C$4,発注管理!$F$6:$F$1005,$C164,発注管理!$R$6:$R$1005,"&gt;="&amp;'設定（最初に1回）'!$C$7,発注管理!$R$6:$R$1005,"&lt;="&amp;'設定（最初に1回）'!$C$6)))</f>
        <v/>
      </c>
      <c r="N164" s="69" t="str">
        <f aca="false">IF(OR($C164="",'設定（最初に1回）'!$C$15=0),"",$L164+$M164-$K164)</f>
        <v/>
      </c>
      <c r="O164" s="143" t="str">
        <f aca="false">IF(OR($N164="",'設定（最初に1回）'!$C$8="",'設定（最初に1回）'!$C$8&lt;=0),"",MAX(0,$N164)/'設定（最初に1回）'!$C$8)</f>
        <v/>
      </c>
      <c r="P164" s="143" t="str">
        <f aca="false">IF($C164="","",IFERROR(INDEX(商品マスタ!$M$6:$N$1005,MATCH($C164,商品マスタ!$B$6:$B$1005,0),MATCH("PI値 "&amp;'設定（最初に1回）'!$C$11,商品マスタ!$M$5:$N$5,0)),""))</f>
        <v/>
      </c>
      <c r="Q164" s="143" t="str">
        <f aca="false">IF(OR($C164="",$P164="",$P164=0,(N($I164)+N($AG164))&lt;=0),"",IFERROR(SUMIFS(随時_動員を入れる!$G$8:$G$97,随時_動員を入れる!$B$8:$B$97,"&gt;="&amp;'設定（最初に1回）'!$C$6,随時_動員を入れる!$B$8:$B$97,"&lt;="&amp;'設定（最初に1回）'!$C$6+(N($I164)+N($AG164))-1)/(N($I164)+N($AG164)),0)*$P164/100)</f>
        <v/>
      </c>
      <c r="R164" s="69" t="str">
        <f aca="false">IF($C164="","",SUMIFS(①今日の在庫を貼る!$O$6:$O$10005,①今日の在庫を貼る!$B$6:$B$10005,'設定（最初に1回）'!$C$4,①今日の在庫を貼る!$I$6:$I$10005,$C164))</f>
        <v/>
      </c>
      <c r="S164" s="143" t="str">
        <f aca="false">IF($C164="","",IF('設定（最初に1回）'!$C$9="実績消費",N($O164),IF('設定（最初に1回）'!$C$9="PI値予測",N($Q164),MAX(N($O164),N($Q164)))))</f>
        <v/>
      </c>
      <c r="T164" s="67" t="str">
        <f aca="false">IF(OR($S164="",$S164&lt;=0),"",$K164/$S164)</f>
        <v/>
      </c>
      <c r="U164" s="69" t="str">
        <f aca="false">IF($S164="","",ROUNDUP(N($S164)*'設定（最初に1回）'!$C$12,0))</f>
        <v/>
      </c>
      <c r="V164" s="69" t="str">
        <f aca="false">IF($C164="","",ROUNDUP(N($S164)*(N($I164)+N($AG164))+N($U164),0))</f>
        <v/>
      </c>
      <c r="W164" s="69" t="str">
        <f aca="false">IF($C164="","",SUMIFS(発注管理!$L$6:$L$1005,発注管理!$C$6:$C$1005,'設定（最初に1回）'!$C$4,発注管理!$F$6:$F$1005,$C164,発注管理!$Q$6:$Q$1005,"発注済"))</f>
        <v/>
      </c>
      <c r="X164" s="69" t="str">
        <f aca="false">IF($C164="","",MAX(0,N($V164)-N($K164)-N($W164)))</f>
        <v/>
      </c>
      <c r="Y164" s="147" t="str">
        <f aca="false">IF($C164="","",IF(N($X164)&lt;=0,0,CEILING($X164/MAX(1,N($G164)),MAX(1,N($J164)))))</f>
        <v/>
      </c>
      <c r="Z164" s="138" t="str">
        <f aca="false">IF($C164="","",IF(N($Y164)&gt;0,"要発注","正常"))</f>
        <v/>
      </c>
      <c r="AA164" s="71" t="str">
        <f aca="false">IF($C164="","",N($K164)*N($H164))</f>
        <v/>
      </c>
      <c r="AB164" s="66" t="str">
        <f aca="false">IF($C164="","",_xlfn.TEXTJOIN(" / ",TRUE(),IF(COUNTIF(商品マスタ!$B$6:$B$1005,$C164)=0,"マスタ未登録",""),IF(COUNTIFS(月1回_前回の在庫を貼る!$B$6:$B$10005,'設定（最初に1回）'!$C$4,月1回_前回の在庫を貼る!$I$6:$I$10005,$C164)=0,"新商品",""),IF(COUNTIFS(①今日の在庫を貼る!$B$6:$B$10005,'設定（最初に1回）'!$C$4,①今日の在庫を貼る!$I$6:$I$10005,$C164)=0,"終売候補",""),IF(N($K164)&lt;0,"在庫マイナス",""),IF(AND('設定（最初に1回）'!$C$9="PI値予測",$P164=""),"PI値未設定","")))</f>
        <v/>
      </c>
      <c r="AC164" s="71" t="n">
        <f aca="false">N($Y164)*N($H164)</f>
        <v>0</v>
      </c>
      <c r="AD164" s="66" t="str">
        <f aca="false">IF($C164="","",IFERROR(INDEX(商品マスタ!$K$6:$K$1005,MATCH($C164,商品マスタ!$B$6:$B$1005,0)),"常温"))</f>
        <v/>
      </c>
      <c r="AE164" s="69" t="str">
        <f aca="false">IF($C164="","",MAX(0,ROUNDUP(N($K164)/MAX(1,N($G164)),0)))</f>
        <v/>
      </c>
      <c r="AF164" s="66" t="str">
        <f aca="false">IF($C164="","",IFERROR(INDEX(商品マスタ!$L$6:$L$1005,MATCH($C164,商品マスタ!$B$6:$B$1005,0)),""))</f>
        <v/>
      </c>
      <c r="AG164" s="143" t="str">
        <f aca="false">IF($C164="","",IFERROR(INDEX(定数マスタ!$S$110:$S$119,MATCH($AF164,定数マスタ!$J$110:$J$119,0)),N('設定（最初に1回）'!$C$13)))</f>
        <v/>
      </c>
      <c r="AH164" s="66" t="n">
        <f aca="false">IF(AND(N($K164)&gt;0,N($Y164)&gt;0),N($Y164),0)</f>
        <v>0</v>
      </c>
    </row>
    <row r="165" customFormat="false" ht="15" hidden="false" customHeight="false" outlineLevel="0" collapsed="false">
      <c r="B165" s="66" t="n">
        <v>160</v>
      </c>
      <c r="C165" s="66" t="str">
        <f aca="false">IFERROR(IF($B165&lt;=MAX(①今日の在庫を貼る!$U$6:$U$10005),INDEX(①今日の在庫を貼る!$I$6:$I$10005,MATCH($B165,①今日の在庫を貼る!$U$6:$U$10005,0)),INDEX(月1回_前回の在庫を貼る!$I$6:$I$10005,MATCH($B165-MAX(①今日の在庫を貼る!$U$6:$U$10005),月1回_前回の在庫を貼る!$U$6:$U$10005,0))),"")</f>
        <v/>
      </c>
      <c r="D165" s="66" t="str">
        <f aca="false">IF($C165="","",IFERROR(INDEX(商品マスタ!$C$6:$C$1005,MATCH($C165,商品マスタ!$B$6:$B$1005,0)),IFERROR(INDEX(①今日の在庫を貼る!$J$6:$J$10005,MATCH($C165,①今日の在庫を貼る!$I$6:$I$10005,0)),IFERROR(INDEX(月1回_前回の在庫を貼る!$J$6:$J$10005,MATCH($C165,月1回_前回の在庫を貼る!$I$6:$I$10005,0)),""))))</f>
        <v/>
      </c>
      <c r="E165" s="66" t="str">
        <f aca="false">IF($C165="","",IFERROR(INDEX(商品マスタ!$D$6:$D$1005,MATCH($C165,商品マスタ!$B$6:$B$1005,0)),IFERROR(INDEX(①今日の在庫を貼る!$H$6:$H$10005,MATCH($C165,①今日の在庫を貼る!$I$6:$I$10005,0)),IFERROR(INDEX(月1回_前回の在庫を貼る!$H$6:$H$10005,MATCH($C165,月1回_前回の在庫を貼る!$I$6:$I$10005,0)),""))))</f>
        <v/>
      </c>
      <c r="F165" s="66" t="str">
        <f aca="false">IF($C165="","",IFERROR(INDEX(商品マスタ!$E$6:$E$1005,MATCH($C165,商品マスタ!$B$6:$B$1005,0)),IFERROR(INDEX(①今日の在庫を貼る!$E$6:$E$10005,MATCH($C165,①今日の在庫を貼る!$I$6:$I$10005,0)),IFERROR(INDEX(月1回_前回の在庫を貼る!$E$6:$E$10005,MATCH($C165,月1回_前回の在庫を貼る!$I$6:$I$10005,0)),""))))</f>
        <v/>
      </c>
      <c r="G165" s="69" t="str">
        <f aca="false">IF($C165="","",IFERROR(INDEX(商品マスタ!$F$6:$F$1005,MATCH($C165,商品マスタ!$B$6:$B$1005,0)),IFERROR(INDEX(①今日の在庫を貼る!$K$6:$K$10005,MATCH($C165,①今日の在庫を貼る!$I$6:$I$10005,0)),IFERROR(INDEX(月1回_前回の在庫を貼る!$K$6:$K$10005,MATCH($C165,月1回_前回の在庫を貼る!$I$6:$I$10005,0)),""))))</f>
        <v/>
      </c>
      <c r="H165" s="71" t="str">
        <f aca="false">IF($C165="","",IFERROR(INDEX(商品マスタ!$G$6:$G$1005,MATCH($C165,商品マスタ!$B$6:$B$1005,0)),IFERROR(INDEX(①今日の在庫を貼る!$Q$6:$Q$10005,MATCH($C165,①今日の在庫を貼る!$I$6:$I$10005,0)),IFERROR(INDEX(月1回_前回の在庫を貼る!$Q$6:$Q$10005,MATCH($C165,月1回_前回の在庫を貼る!$I$6:$I$10005,0)),""))))</f>
        <v/>
      </c>
      <c r="I165" s="66" t="str">
        <f aca="false">IF($C165="","",IFERROR(INDEX(商品マスタ!$H$6:$H$1005,MATCH($C165,商品マスタ!$B$6:$B$1005,0)),3))</f>
        <v/>
      </c>
      <c r="J165" s="66" t="str">
        <f aca="false">IF($C165="","",MAX(1,IFERROR(INDEX(商品マスタ!$I$6:$I$1005,MATCH($C165,商品マスタ!$B$6:$B$1005,0)),1)))</f>
        <v/>
      </c>
      <c r="K165" s="69" t="str">
        <f aca="false">IF($C165="","",SUMIFS(①今日の在庫を貼る!$N$6:$N$10005,①今日の在庫を貼る!$B$6:$B$10005,'設定（最初に1回）'!$C$4,①今日の在庫を貼る!$I$6:$I$10005,$C165))</f>
        <v/>
      </c>
      <c r="L165" s="69" t="str">
        <f aca="false">IF($C165="","",SUMIFS(月1回_前回の在庫を貼る!$N$6:$N$10005,月1回_前回の在庫を貼る!$B$6:$B$10005,'設定（最初に1回）'!$C$4,月1回_前回の在庫を貼る!$I$6:$I$10005,$C165))</f>
        <v/>
      </c>
      <c r="M165" s="69" t="str">
        <f aca="false">IF($C165="","",IF(OR('設定（最初に1回）'!$C$6="",'設定（最初に1回）'!$C$7=""),0,SUMIFS(発注管理!$S$6:$S$1005,発注管理!$C$6:$C$1005,'設定（最初に1回）'!$C$4,発注管理!$F$6:$F$1005,$C165,発注管理!$R$6:$R$1005,"&gt;="&amp;'設定（最初に1回）'!$C$7,発注管理!$R$6:$R$1005,"&lt;="&amp;'設定（最初に1回）'!$C$6)))</f>
        <v/>
      </c>
      <c r="N165" s="69" t="str">
        <f aca="false">IF(OR($C165="",'設定（最初に1回）'!$C$15=0),"",$L165+$M165-$K165)</f>
        <v/>
      </c>
      <c r="O165" s="143" t="str">
        <f aca="false">IF(OR($N165="",'設定（最初に1回）'!$C$8="",'設定（最初に1回）'!$C$8&lt;=0),"",MAX(0,$N165)/'設定（最初に1回）'!$C$8)</f>
        <v/>
      </c>
      <c r="P165" s="143" t="str">
        <f aca="false">IF($C165="","",IFERROR(INDEX(商品マスタ!$M$6:$N$1005,MATCH($C165,商品マスタ!$B$6:$B$1005,0),MATCH("PI値 "&amp;'設定（最初に1回）'!$C$11,商品マスタ!$M$5:$N$5,0)),""))</f>
        <v/>
      </c>
      <c r="Q165" s="143" t="str">
        <f aca="false">IF(OR($C165="",$P165="",$P165=0,(N($I165)+N($AG165))&lt;=0),"",IFERROR(SUMIFS(随時_動員を入れる!$G$8:$G$97,随時_動員を入れる!$B$8:$B$97,"&gt;="&amp;'設定（最初に1回）'!$C$6,随時_動員を入れる!$B$8:$B$97,"&lt;="&amp;'設定（最初に1回）'!$C$6+(N($I165)+N($AG165))-1)/(N($I165)+N($AG165)),0)*$P165/100)</f>
        <v/>
      </c>
      <c r="R165" s="69" t="str">
        <f aca="false">IF($C165="","",SUMIFS(①今日の在庫を貼る!$O$6:$O$10005,①今日の在庫を貼る!$B$6:$B$10005,'設定（最初に1回）'!$C$4,①今日の在庫を貼る!$I$6:$I$10005,$C165))</f>
        <v/>
      </c>
      <c r="S165" s="143" t="str">
        <f aca="false">IF($C165="","",IF('設定（最初に1回）'!$C$9="実績消費",N($O165),IF('設定（最初に1回）'!$C$9="PI値予測",N($Q165),MAX(N($O165),N($Q165)))))</f>
        <v/>
      </c>
      <c r="T165" s="67" t="str">
        <f aca="false">IF(OR($S165="",$S165&lt;=0),"",$K165/$S165)</f>
        <v/>
      </c>
      <c r="U165" s="69" t="str">
        <f aca="false">IF($S165="","",ROUNDUP(N($S165)*'設定（最初に1回）'!$C$12,0))</f>
        <v/>
      </c>
      <c r="V165" s="69" t="str">
        <f aca="false">IF($C165="","",ROUNDUP(N($S165)*(N($I165)+N($AG165))+N($U165),0))</f>
        <v/>
      </c>
      <c r="W165" s="69" t="str">
        <f aca="false">IF($C165="","",SUMIFS(発注管理!$L$6:$L$1005,発注管理!$C$6:$C$1005,'設定（最初に1回）'!$C$4,発注管理!$F$6:$F$1005,$C165,発注管理!$Q$6:$Q$1005,"発注済"))</f>
        <v/>
      </c>
      <c r="X165" s="69" t="str">
        <f aca="false">IF($C165="","",MAX(0,N($V165)-N($K165)-N($W165)))</f>
        <v/>
      </c>
      <c r="Y165" s="147" t="str">
        <f aca="false">IF($C165="","",IF(N($X165)&lt;=0,0,CEILING($X165/MAX(1,N($G165)),MAX(1,N($J165)))))</f>
        <v/>
      </c>
      <c r="Z165" s="138" t="str">
        <f aca="false">IF($C165="","",IF(N($Y165)&gt;0,"要発注","正常"))</f>
        <v/>
      </c>
      <c r="AA165" s="71" t="str">
        <f aca="false">IF($C165="","",N($K165)*N($H165))</f>
        <v/>
      </c>
      <c r="AB165" s="66" t="str">
        <f aca="false">IF($C165="","",_xlfn.TEXTJOIN(" / ",TRUE(),IF(COUNTIF(商品マスタ!$B$6:$B$1005,$C165)=0,"マスタ未登録",""),IF(COUNTIFS(月1回_前回の在庫を貼る!$B$6:$B$10005,'設定（最初に1回）'!$C$4,月1回_前回の在庫を貼る!$I$6:$I$10005,$C165)=0,"新商品",""),IF(COUNTIFS(①今日の在庫を貼る!$B$6:$B$10005,'設定（最初に1回）'!$C$4,①今日の在庫を貼る!$I$6:$I$10005,$C165)=0,"終売候補",""),IF(N($K165)&lt;0,"在庫マイナス",""),IF(AND('設定（最初に1回）'!$C$9="PI値予測",$P165=""),"PI値未設定","")))</f>
        <v/>
      </c>
      <c r="AC165" s="71" t="n">
        <f aca="false">N($Y165)*N($H165)</f>
        <v>0</v>
      </c>
      <c r="AD165" s="66" t="str">
        <f aca="false">IF($C165="","",IFERROR(INDEX(商品マスタ!$K$6:$K$1005,MATCH($C165,商品マスタ!$B$6:$B$1005,0)),"常温"))</f>
        <v/>
      </c>
      <c r="AE165" s="69" t="str">
        <f aca="false">IF($C165="","",MAX(0,ROUNDUP(N($K165)/MAX(1,N($G165)),0)))</f>
        <v/>
      </c>
      <c r="AF165" s="66" t="str">
        <f aca="false">IF($C165="","",IFERROR(INDEX(商品マスタ!$L$6:$L$1005,MATCH($C165,商品マスタ!$B$6:$B$1005,0)),""))</f>
        <v/>
      </c>
      <c r="AG165" s="143" t="str">
        <f aca="false">IF($C165="","",IFERROR(INDEX(定数マスタ!$S$110:$S$119,MATCH($AF165,定数マスタ!$J$110:$J$119,0)),N('設定（最初に1回）'!$C$13)))</f>
        <v/>
      </c>
      <c r="AH165" s="66" t="n">
        <f aca="false">IF(AND(N($K165)&gt;0,N($Y165)&gt;0),N($Y165),0)</f>
        <v>0</v>
      </c>
    </row>
    <row r="166" customFormat="false" ht="15" hidden="false" customHeight="false" outlineLevel="0" collapsed="false">
      <c r="B166" s="66" t="n">
        <v>161</v>
      </c>
      <c r="C166" s="66" t="str">
        <f aca="false">IFERROR(IF($B166&lt;=MAX(①今日の在庫を貼る!$U$6:$U$10005),INDEX(①今日の在庫を貼る!$I$6:$I$10005,MATCH($B166,①今日の在庫を貼る!$U$6:$U$10005,0)),INDEX(月1回_前回の在庫を貼る!$I$6:$I$10005,MATCH($B166-MAX(①今日の在庫を貼る!$U$6:$U$10005),月1回_前回の在庫を貼る!$U$6:$U$10005,0))),"")</f>
        <v/>
      </c>
      <c r="D166" s="66" t="str">
        <f aca="false">IF($C166="","",IFERROR(INDEX(商品マスタ!$C$6:$C$1005,MATCH($C166,商品マスタ!$B$6:$B$1005,0)),IFERROR(INDEX(①今日の在庫を貼る!$J$6:$J$10005,MATCH($C166,①今日の在庫を貼る!$I$6:$I$10005,0)),IFERROR(INDEX(月1回_前回の在庫を貼る!$J$6:$J$10005,MATCH($C166,月1回_前回の在庫を貼る!$I$6:$I$10005,0)),""))))</f>
        <v/>
      </c>
      <c r="E166" s="66" t="str">
        <f aca="false">IF($C166="","",IFERROR(INDEX(商品マスタ!$D$6:$D$1005,MATCH($C166,商品マスタ!$B$6:$B$1005,0)),IFERROR(INDEX(①今日の在庫を貼る!$H$6:$H$10005,MATCH($C166,①今日の在庫を貼る!$I$6:$I$10005,0)),IFERROR(INDEX(月1回_前回の在庫を貼る!$H$6:$H$10005,MATCH($C166,月1回_前回の在庫を貼る!$I$6:$I$10005,0)),""))))</f>
        <v/>
      </c>
      <c r="F166" s="66" t="str">
        <f aca="false">IF($C166="","",IFERROR(INDEX(商品マスタ!$E$6:$E$1005,MATCH($C166,商品マスタ!$B$6:$B$1005,0)),IFERROR(INDEX(①今日の在庫を貼る!$E$6:$E$10005,MATCH($C166,①今日の在庫を貼る!$I$6:$I$10005,0)),IFERROR(INDEX(月1回_前回の在庫を貼る!$E$6:$E$10005,MATCH($C166,月1回_前回の在庫を貼る!$I$6:$I$10005,0)),""))))</f>
        <v/>
      </c>
      <c r="G166" s="69" t="str">
        <f aca="false">IF($C166="","",IFERROR(INDEX(商品マスタ!$F$6:$F$1005,MATCH($C166,商品マスタ!$B$6:$B$1005,0)),IFERROR(INDEX(①今日の在庫を貼る!$K$6:$K$10005,MATCH($C166,①今日の在庫を貼る!$I$6:$I$10005,0)),IFERROR(INDEX(月1回_前回の在庫を貼る!$K$6:$K$10005,MATCH($C166,月1回_前回の在庫を貼る!$I$6:$I$10005,0)),""))))</f>
        <v/>
      </c>
      <c r="H166" s="71" t="str">
        <f aca="false">IF($C166="","",IFERROR(INDEX(商品マスタ!$G$6:$G$1005,MATCH($C166,商品マスタ!$B$6:$B$1005,0)),IFERROR(INDEX(①今日の在庫を貼る!$Q$6:$Q$10005,MATCH($C166,①今日の在庫を貼る!$I$6:$I$10005,0)),IFERROR(INDEX(月1回_前回の在庫を貼る!$Q$6:$Q$10005,MATCH($C166,月1回_前回の在庫を貼る!$I$6:$I$10005,0)),""))))</f>
        <v/>
      </c>
      <c r="I166" s="66" t="str">
        <f aca="false">IF($C166="","",IFERROR(INDEX(商品マスタ!$H$6:$H$1005,MATCH($C166,商品マスタ!$B$6:$B$1005,0)),3))</f>
        <v/>
      </c>
      <c r="J166" s="66" t="str">
        <f aca="false">IF($C166="","",MAX(1,IFERROR(INDEX(商品マスタ!$I$6:$I$1005,MATCH($C166,商品マスタ!$B$6:$B$1005,0)),1)))</f>
        <v/>
      </c>
      <c r="K166" s="69" t="str">
        <f aca="false">IF($C166="","",SUMIFS(①今日の在庫を貼る!$N$6:$N$10005,①今日の在庫を貼る!$B$6:$B$10005,'設定（最初に1回）'!$C$4,①今日の在庫を貼る!$I$6:$I$10005,$C166))</f>
        <v/>
      </c>
      <c r="L166" s="69" t="str">
        <f aca="false">IF($C166="","",SUMIFS(月1回_前回の在庫を貼る!$N$6:$N$10005,月1回_前回の在庫を貼る!$B$6:$B$10005,'設定（最初に1回）'!$C$4,月1回_前回の在庫を貼る!$I$6:$I$10005,$C166))</f>
        <v/>
      </c>
      <c r="M166" s="69" t="str">
        <f aca="false">IF($C166="","",IF(OR('設定（最初に1回）'!$C$6="",'設定（最初に1回）'!$C$7=""),0,SUMIFS(発注管理!$S$6:$S$1005,発注管理!$C$6:$C$1005,'設定（最初に1回）'!$C$4,発注管理!$F$6:$F$1005,$C166,発注管理!$R$6:$R$1005,"&gt;="&amp;'設定（最初に1回）'!$C$7,発注管理!$R$6:$R$1005,"&lt;="&amp;'設定（最初に1回）'!$C$6)))</f>
        <v/>
      </c>
      <c r="N166" s="69" t="str">
        <f aca="false">IF(OR($C166="",'設定（最初に1回）'!$C$15=0),"",$L166+$M166-$K166)</f>
        <v/>
      </c>
      <c r="O166" s="143" t="str">
        <f aca="false">IF(OR($N166="",'設定（最初に1回）'!$C$8="",'設定（最初に1回）'!$C$8&lt;=0),"",MAX(0,$N166)/'設定（最初に1回）'!$C$8)</f>
        <v/>
      </c>
      <c r="P166" s="143" t="str">
        <f aca="false">IF($C166="","",IFERROR(INDEX(商品マスタ!$M$6:$N$1005,MATCH($C166,商品マスタ!$B$6:$B$1005,0),MATCH("PI値 "&amp;'設定（最初に1回）'!$C$11,商品マスタ!$M$5:$N$5,0)),""))</f>
        <v/>
      </c>
      <c r="Q166" s="143" t="str">
        <f aca="false">IF(OR($C166="",$P166="",$P166=0,(N($I166)+N($AG166))&lt;=0),"",IFERROR(SUMIFS(随時_動員を入れる!$G$8:$G$97,随時_動員を入れる!$B$8:$B$97,"&gt;="&amp;'設定（最初に1回）'!$C$6,随時_動員を入れる!$B$8:$B$97,"&lt;="&amp;'設定（最初に1回）'!$C$6+(N($I166)+N($AG166))-1)/(N($I166)+N($AG166)),0)*$P166/100)</f>
        <v/>
      </c>
      <c r="R166" s="69" t="str">
        <f aca="false">IF($C166="","",SUMIFS(①今日の在庫を貼る!$O$6:$O$10005,①今日の在庫を貼る!$B$6:$B$10005,'設定（最初に1回）'!$C$4,①今日の在庫を貼る!$I$6:$I$10005,$C166))</f>
        <v/>
      </c>
      <c r="S166" s="143" t="str">
        <f aca="false">IF($C166="","",IF('設定（最初に1回）'!$C$9="実績消費",N($O166),IF('設定（最初に1回）'!$C$9="PI値予測",N($Q166),MAX(N($O166),N($Q166)))))</f>
        <v/>
      </c>
      <c r="T166" s="67" t="str">
        <f aca="false">IF(OR($S166="",$S166&lt;=0),"",$K166/$S166)</f>
        <v/>
      </c>
      <c r="U166" s="69" t="str">
        <f aca="false">IF($S166="","",ROUNDUP(N($S166)*'設定（最初に1回）'!$C$12,0))</f>
        <v/>
      </c>
      <c r="V166" s="69" t="str">
        <f aca="false">IF($C166="","",ROUNDUP(N($S166)*(N($I166)+N($AG166))+N($U166),0))</f>
        <v/>
      </c>
      <c r="W166" s="69" t="str">
        <f aca="false">IF($C166="","",SUMIFS(発注管理!$L$6:$L$1005,発注管理!$C$6:$C$1005,'設定（最初に1回）'!$C$4,発注管理!$F$6:$F$1005,$C166,発注管理!$Q$6:$Q$1005,"発注済"))</f>
        <v/>
      </c>
      <c r="X166" s="69" t="str">
        <f aca="false">IF($C166="","",MAX(0,N($V166)-N($K166)-N($W166)))</f>
        <v/>
      </c>
      <c r="Y166" s="147" t="str">
        <f aca="false">IF($C166="","",IF(N($X166)&lt;=0,0,CEILING($X166/MAX(1,N($G166)),MAX(1,N($J166)))))</f>
        <v/>
      </c>
      <c r="Z166" s="138" t="str">
        <f aca="false">IF($C166="","",IF(N($Y166)&gt;0,"要発注","正常"))</f>
        <v/>
      </c>
      <c r="AA166" s="71" t="str">
        <f aca="false">IF($C166="","",N($K166)*N($H166))</f>
        <v/>
      </c>
      <c r="AB166" s="66" t="str">
        <f aca="false">IF($C166="","",_xlfn.TEXTJOIN(" / ",TRUE(),IF(COUNTIF(商品マスタ!$B$6:$B$1005,$C166)=0,"マスタ未登録",""),IF(COUNTIFS(月1回_前回の在庫を貼る!$B$6:$B$10005,'設定（最初に1回）'!$C$4,月1回_前回の在庫を貼る!$I$6:$I$10005,$C166)=0,"新商品",""),IF(COUNTIFS(①今日の在庫を貼る!$B$6:$B$10005,'設定（最初に1回）'!$C$4,①今日の在庫を貼る!$I$6:$I$10005,$C166)=0,"終売候補",""),IF(N($K166)&lt;0,"在庫マイナス",""),IF(AND('設定（最初に1回）'!$C$9="PI値予測",$P166=""),"PI値未設定","")))</f>
        <v/>
      </c>
      <c r="AC166" s="71" t="n">
        <f aca="false">N($Y166)*N($H166)</f>
        <v>0</v>
      </c>
      <c r="AD166" s="66" t="str">
        <f aca="false">IF($C166="","",IFERROR(INDEX(商品マスタ!$K$6:$K$1005,MATCH($C166,商品マスタ!$B$6:$B$1005,0)),"常温"))</f>
        <v/>
      </c>
      <c r="AE166" s="69" t="str">
        <f aca="false">IF($C166="","",MAX(0,ROUNDUP(N($K166)/MAX(1,N($G166)),0)))</f>
        <v/>
      </c>
      <c r="AF166" s="66" t="str">
        <f aca="false">IF($C166="","",IFERROR(INDEX(商品マスタ!$L$6:$L$1005,MATCH($C166,商品マスタ!$B$6:$B$1005,0)),""))</f>
        <v/>
      </c>
      <c r="AG166" s="143" t="str">
        <f aca="false">IF($C166="","",IFERROR(INDEX(定数マスタ!$S$110:$S$119,MATCH($AF166,定数マスタ!$J$110:$J$119,0)),N('設定（最初に1回）'!$C$13)))</f>
        <v/>
      </c>
      <c r="AH166" s="66" t="n">
        <f aca="false">IF(AND(N($K166)&gt;0,N($Y166)&gt;0),N($Y166),0)</f>
        <v>0</v>
      </c>
    </row>
    <row r="167" customFormat="false" ht="15" hidden="false" customHeight="false" outlineLevel="0" collapsed="false">
      <c r="B167" s="66" t="n">
        <v>162</v>
      </c>
      <c r="C167" s="66" t="str">
        <f aca="false">IFERROR(IF($B167&lt;=MAX(①今日の在庫を貼る!$U$6:$U$10005),INDEX(①今日の在庫を貼る!$I$6:$I$10005,MATCH($B167,①今日の在庫を貼る!$U$6:$U$10005,0)),INDEX(月1回_前回の在庫を貼る!$I$6:$I$10005,MATCH($B167-MAX(①今日の在庫を貼る!$U$6:$U$10005),月1回_前回の在庫を貼る!$U$6:$U$10005,0))),"")</f>
        <v/>
      </c>
      <c r="D167" s="66" t="str">
        <f aca="false">IF($C167="","",IFERROR(INDEX(商品マスタ!$C$6:$C$1005,MATCH($C167,商品マスタ!$B$6:$B$1005,0)),IFERROR(INDEX(①今日の在庫を貼る!$J$6:$J$10005,MATCH($C167,①今日の在庫を貼る!$I$6:$I$10005,0)),IFERROR(INDEX(月1回_前回の在庫を貼る!$J$6:$J$10005,MATCH($C167,月1回_前回の在庫を貼る!$I$6:$I$10005,0)),""))))</f>
        <v/>
      </c>
      <c r="E167" s="66" t="str">
        <f aca="false">IF($C167="","",IFERROR(INDEX(商品マスタ!$D$6:$D$1005,MATCH($C167,商品マスタ!$B$6:$B$1005,0)),IFERROR(INDEX(①今日の在庫を貼る!$H$6:$H$10005,MATCH($C167,①今日の在庫を貼る!$I$6:$I$10005,0)),IFERROR(INDEX(月1回_前回の在庫を貼る!$H$6:$H$10005,MATCH($C167,月1回_前回の在庫を貼る!$I$6:$I$10005,0)),""))))</f>
        <v/>
      </c>
      <c r="F167" s="66" t="str">
        <f aca="false">IF($C167="","",IFERROR(INDEX(商品マスタ!$E$6:$E$1005,MATCH($C167,商品マスタ!$B$6:$B$1005,0)),IFERROR(INDEX(①今日の在庫を貼る!$E$6:$E$10005,MATCH($C167,①今日の在庫を貼る!$I$6:$I$10005,0)),IFERROR(INDEX(月1回_前回の在庫を貼る!$E$6:$E$10005,MATCH($C167,月1回_前回の在庫を貼る!$I$6:$I$10005,0)),""))))</f>
        <v/>
      </c>
      <c r="G167" s="69" t="str">
        <f aca="false">IF($C167="","",IFERROR(INDEX(商品マスタ!$F$6:$F$1005,MATCH($C167,商品マスタ!$B$6:$B$1005,0)),IFERROR(INDEX(①今日の在庫を貼る!$K$6:$K$10005,MATCH($C167,①今日の在庫を貼る!$I$6:$I$10005,0)),IFERROR(INDEX(月1回_前回の在庫を貼る!$K$6:$K$10005,MATCH($C167,月1回_前回の在庫を貼る!$I$6:$I$10005,0)),""))))</f>
        <v/>
      </c>
      <c r="H167" s="71" t="str">
        <f aca="false">IF($C167="","",IFERROR(INDEX(商品マスタ!$G$6:$G$1005,MATCH($C167,商品マスタ!$B$6:$B$1005,0)),IFERROR(INDEX(①今日の在庫を貼る!$Q$6:$Q$10005,MATCH($C167,①今日の在庫を貼る!$I$6:$I$10005,0)),IFERROR(INDEX(月1回_前回の在庫を貼る!$Q$6:$Q$10005,MATCH($C167,月1回_前回の在庫を貼る!$I$6:$I$10005,0)),""))))</f>
        <v/>
      </c>
      <c r="I167" s="66" t="str">
        <f aca="false">IF($C167="","",IFERROR(INDEX(商品マスタ!$H$6:$H$1005,MATCH($C167,商品マスタ!$B$6:$B$1005,0)),3))</f>
        <v/>
      </c>
      <c r="J167" s="66" t="str">
        <f aca="false">IF($C167="","",MAX(1,IFERROR(INDEX(商品マスタ!$I$6:$I$1005,MATCH($C167,商品マスタ!$B$6:$B$1005,0)),1)))</f>
        <v/>
      </c>
      <c r="K167" s="69" t="str">
        <f aca="false">IF($C167="","",SUMIFS(①今日の在庫を貼る!$N$6:$N$10005,①今日の在庫を貼る!$B$6:$B$10005,'設定（最初に1回）'!$C$4,①今日の在庫を貼る!$I$6:$I$10005,$C167))</f>
        <v/>
      </c>
      <c r="L167" s="69" t="str">
        <f aca="false">IF($C167="","",SUMIFS(月1回_前回の在庫を貼る!$N$6:$N$10005,月1回_前回の在庫を貼る!$B$6:$B$10005,'設定（最初に1回）'!$C$4,月1回_前回の在庫を貼る!$I$6:$I$10005,$C167))</f>
        <v/>
      </c>
      <c r="M167" s="69" t="str">
        <f aca="false">IF($C167="","",IF(OR('設定（最初に1回）'!$C$6="",'設定（最初に1回）'!$C$7=""),0,SUMIFS(発注管理!$S$6:$S$1005,発注管理!$C$6:$C$1005,'設定（最初に1回）'!$C$4,発注管理!$F$6:$F$1005,$C167,発注管理!$R$6:$R$1005,"&gt;="&amp;'設定（最初に1回）'!$C$7,発注管理!$R$6:$R$1005,"&lt;="&amp;'設定（最初に1回）'!$C$6)))</f>
        <v/>
      </c>
      <c r="N167" s="69" t="str">
        <f aca="false">IF(OR($C167="",'設定（最初に1回）'!$C$15=0),"",$L167+$M167-$K167)</f>
        <v/>
      </c>
      <c r="O167" s="143" t="str">
        <f aca="false">IF(OR($N167="",'設定（最初に1回）'!$C$8="",'設定（最初に1回）'!$C$8&lt;=0),"",MAX(0,$N167)/'設定（最初に1回）'!$C$8)</f>
        <v/>
      </c>
      <c r="P167" s="143" t="str">
        <f aca="false">IF($C167="","",IFERROR(INDEX(商品マスタ!$M$6:$N$1005,MATCH($C167,商品マスタ!$B$6:$B$1005,0),MATCH("PI値 "&amp;'設定（最初に1回）'!$C$11,商品マスタ!$M$5:$N$5,0)),""))</f>
        <v/>
      </c>
      <c r="Q167" s="143" t="str">
        <f aca="false">IF(OR($C167="",$P167="",$P167=0,(N($I167)+N($AG167))&lt;=0),"",IFERROR(SUMIFS(随時_動員を入れる!$G$8:$G$97,随時_動員を入れる!$B$8:$B$97,"&gt;="&amp;'設定（最初に1回）'!$C$6,随時_動員を入れる!$B$8:$B$97,"&lt;="&amp;'設定（最初に1回）'!$C$6+(N($I167)+N($AG167))-1)/(N($I167)+N($AG167)),0)*$P167/100)</f>
        <v/>
      </c>
      <c r="R167" s="69" t="str">
        <f aca="false">IF($C167="","",SUMIFS(①今日の在庫を貼る!$O$6:$O$10005,①今日の在庫を貼る!$B$6:$B$10005,'設定（最初に1回）'!$C$4,①今日の在庫を貼る!$I$6:$I$10005,$C167))</f>
        <v/>
      </c>
      <c r="S167" s="143" t="str">
        <f aca="false">IF($C167="","",IF('設定（最初に1回）'!$C$9="実績消費",N($O167),IF('設定（最初に1回）'!$C$9="PI値予測",N($Q167),MAX(N($O167),N($Q167)))))</f>
        <v/>
      </c>
      <c r="T167" s="67" t="str">
        <f aca="false">IF(OR($S167="",$S167&lt;=0),"",$K167/$S167)</f>
        <v/>
      </c>
      <c r="U167" s="69" t="str">
        <f aca="false">IF($S167="","",ROUNDUP(N($S167)*'設定（最初に1回）'!$C$12,0))</f>
        <v/>
      </c>
      <c r="V167" s="69" t="str">
        <f aca="false">IF($C167="","",ROUNDUP(N($S167)*(N($I167)+N($AG167))+N($U167),0))</f>
        <v/>
      </c>
      <c r="W167" s="69" t="str">
        <f aca="false">IF($C167="","",SUMIFS(発注管理!$L$6:$L$1005,発注管理!$C$6:$C$1005,'設定（最初に1回）'!$C$4,発注管理!$F$6:$F$1005,$C167,発注管理!$Q$6:$Q$1005,"発注済"))</f>
        <v/>
      </c>
      <c r="X167" s="69" t="str">
        <f aca="false">IF($C167="","",MAX(0,N($V167)-N($K167)-N($W167)))</f>
        <v/>
      </c>
      <c r="Y167" s="147" t="str">
        <f aca="false">IF($C167="","",IF(N($X167)&lt;=0,0,CEILING($X167/MAX(1,N($G167)),MAX(1,N($J167)))))</f>
        <v/>
      </c>
      <c r="Z167" s="138" t="str">
        <f aca="false">IF($C167="","",IF(N($Y167)&gt;0,"要発注","正常"))</f>
        <v/>
      </c>
      <c r="AA167" s="71" t="str">
        <f aca="false">IF($C167="","",N($K167)*N($H167))</f>
        <v/>
      </c>
      <c r="AB167" s="66" t="str">
        <f aca="false">IF($C167="","",_xlfn.TEXTJOIN(" / ",TRUE(),IF(COUNTIF(商品マスタ!$B$6:$B$1005,$C167)=0,"マスタ未登録",""),IF(COUNTIFS(月1回_前回の在庫を貼る!$B$6:$B$10005,'設定（最初に1回）'!$C$4,月1回_前回の在庫を貼る!$I$6:$I$10005,$C167)=0,"新商品",""),IF(COUNTIFS(①今日の在庫を貼る!$B$6:$B$10005,'設定（最初に1回）'!$C$4,①今日の在庫を貼る!$I$6:$I$10005,$C167)=0,"終売候補",""),IF(N($K167)&lt;0,"在庫マイナス",""),IF(AND('設定（最初に1回）'!$C$9="PI値予測",$P167=""),"PI値未設定","")))</f>
        <v/>
      </c>
      <c r="AC167" s="71" t="n">
        <f aca="false">N($Y167)*N($H167)</f>
        <v>0</v>
      </c>
      <c r="AD167" s="66" t="str">
        <f aca="false">IF($C167="","",IFERROR(INDEX(商品マスタ!$K$6:$K$1005,MATCH($C167,商品マスタ!$B$6:$B$1005,0)),"常温"))</f>
        <v/>
      </c>
      <c r="AE167" s="69" t="str">
        <f aca="false">IF($C167="","",MAX(0,ROUNDUP(N($K167)/MAX(1,N($G167)),0)))</f>
        <v/>
      </c>
      <c r="AF167" s="66" t="str">
        <f aca="false">IF($C167="","",IFERROR(INDEX(商品マスタ!$L$6:$L$1005,MATCH($C167,商品マスタ!$B$6:$B$1005,0)),""))</f>
        <v/>
      </c>
      <c r="AG167" s="143" t="str">
        <f aca="false">IF($C167="","",IFERROR(INDEX(定数マスタ!$S$110:$S$119,MATCH($AF167,定数マスタ!$J$110:$J$119,0)),N('設定（最初に1回）'!$C$13)))</f>
        <v/>
      </c>
      <c r="AH167" s="66" t="n">
        <f aca="false">IF(AND(N($K167)&gt;0,N($Y167)&gt;0),N($Y167),0)</f>
        <v>0</v>
      </c>
    </row>
    <row r="168" customFormat="false" ht="15" hidden="false" customHeight="false" outlineLevel="0" collapsed="false">
      <c r="B168" s="66" t="n">
        <v>163</v>
      </c>
      <c r="C168" s="66" t="str">
        <f aca="false">IFERROR(IF($B168&lt;=MAX(①今日の在庫を貼る!$U$6:$U$10005),INDEX(①今日の在庫を貼る!$I$6:$I$10005,MATCH($B168,①今日の在庫を貼る!$U$6:$U$10005,0)),INDEX(月1回_前回の在庫を貼る!$I$6:$I$10005,MATCH($B168-MAX(①今日の在庫を貼る!$U$6:$U$10005),月1回_前回の在庫を貼る!$U$6:$U$10005,0))),"")</f>
        <v/>
      </c>
      <c r="D168" s="66" t="str">
        <f aca="false">IF($C168="","",IFERROR(INDEX(商品マスタ!$C$6:$C$1005,MATCH($C168,商品マスタ!$B$6:$B$1005,0)),IFERROR(INDEX(①今日の在庫を貼る!$J$6:$J$10005,MATCH($C168,①今日の在庫を貼る!$I$6:$I$10005,0)),IFERROR(INDEX(月1回_前回の在庫を貼る!$J$6:$J$10005,MATCH($C168,月1回_前回の在庫を貼る!$I$6:$I$10005,0)),""))))</f>
        <v/>
      </c>
      <c r="E168" s="66" t="str">
        <f aca="false">IF($C168="","",IFERROR(INDEX(商品マスタ!$D$6:$D$1005,MATCH($C168,商品マスタ!$B$6:$B$1005,0)),IFERROR(INDEX(①今日の在庫を貼る!$H$6:$H$10005,MATCH($C168,①今日の在庫を貼る!$I$6:$I$10005,0)),IFERROR(INDEX(月1回_前回の在庫を貼る!$H$6:$H$10005,MATCH($C168,月1回_前回の在庫を貼る!$I$6:$I$10005,0)),""))))</f>
        <v/>
      </c>
      <c r="F168" s="66" t="str">
        <f aca="false">IF($C168="","",IFERROR(INDEX(商品マスタ!$E$6:$E$1005,MATCH($C168,商品マスタ!$B$6:$B$1005,0)),IFERROR(INDEX(①今日の在庫を貼る!$E$6:$E$10005,MATCH($C168,①今日の在庫を貼る!$I$6:$I$10005,0)),IFERROR(INDEX(月1回_前回の在庫を貼る!$E$6:$E$10005,MATCH($C168,月1回_前回の在庫を貼る!$I$6:$I$10005,0)),""))))</f>
        <v/>
      </c>
      <c r="G168" s="69" t="str">
        <f aca="false">IF($C168="","",IFERROR(INDEX(商品マスタ!$F$6:$F$1005,MATCH($C168,商品マスタ!$B$6:$B$1005,0)),IFERROR(INDEX(①今日の在庫を貼る!$K$6:$K$10005,MATCH($C168,①今日の在庫を貼る!$I$6:$I$10005,0)),IFERROR(INDEX(月1回_前回の在庫を貼る!$K$6:$K$10005,MATCH($C168,月1回_前回の在庫を貼る!$I$6:$I$10005,0)),""))))</f>
        <v/>
      </c>
      <c r="H168" s="71" t="str">
        <f aca="false">IF($C168="","",IFERROR(INDEX(商品マスタ!$G$6:$G$1005,MATCH($C168,商品マスタ!$B$6:$B$1005,0)),IFERROR(INDEX(①今日の在庫を貼る!$Q$6:$Q$10005,MATCH($C168,①今日の在庫を貼る!$I$6:$I$10005,0)),IFERROR(INDEX(月1回_前回の在庫を貼る!$Q$6:$Q$10005,MATCH($C168,月1回_前回の在庫を貼る!$I$6:$I$10005,0)),""))))</f>
        <v/>
      </c>
      <c r="I168" s="66" t="str">
        <f aca="false">IF($C168="","",IFERROR(INDEX(商品マスタ!$H$6:$H$1005,MATCH($C168,商品マスタ!$B$6:$B$1005,0)),3))</f>
        <v/>
      </c>
      <c r="J168" s="66" t="str">
        <f aca="false">IF($C168="","",MAX(1,IFERROR(INDEX(商品マスタ!$I$6:$I$1005,MATCH($C168,商品マスタ!$B$6:$B$1005,0)),1)))</f>
        <v/>
      </c>
      <c r="K168" s="69" t="str">
        <f aca="false">IF($C168="","",SUMIFS(①今日の在庫を貼る!$N$6:$N$10005,①今日の在庫を貼る!$B$6:$B$10005,'設定（最初に1回）'!$C$4,①今日の在庫を貼る!$I$6:$I$10005,$C168))</f>
        <v/>
      </c>
      <c r="L168" s="69" t="str">
        <f aca="false">IF($C168="","",SUMIFS(月1回_前回の在庫を貼る!$N$6:$N$10005,月1回_前回の在庫を貼る!$B$6:$B$10005,'設定（最初に1回）'!$C$4,月1回_前回の在庫を貼る!$I$6:$I$10005,$C168))</f>
        <v/>
      </c>
      <c r="M168" s="69" t="str">
        <f aca="false">IF($C168="","",IF(OR('設定（最初に1回）'!$C$6="",'設定（最初に1回）'!$C$7=""),0,SUMIFS(発注管理!$S$6:$S$1005,発注管理!$C$6:$C$1005,'設定（最初に1回）'!$C$4,発注管理!$F$6:$F$1005,$C168,発注管理!$R$6:$R$1005,"&gt;="&amp;'設定（最初に1回）'!$C$7,発注管理!$R$6:$R$1005,"&lt;="&amp;'設定（最初に1回）'!$C$6)))</f>
        <v/>
      </c>
      <c r="N168" s="69" t="str">
        <f aca="false">IF(OR($C168="",'設定（最初に1回）'!$C$15=0),"",$L168+$M168-$K168)</f>
        <v/>
      </c>
      <c r="O168" s="143" t="str">
        <f aca="false">IF(OR($N168="",'設定（最初に1回）'!$C$8="",'設定（最初に1回）'!$C$8&lt;=0),"",MAX(0,$N168)/'設定（最初に1回）'!$C$8)</f>
        <v/>
      </c>
      <c r="P168" s="143" t="str">
        <f aca="false">IF($C168="","",IFERROR(INDEX(商品マスタ!$M$6:$N$1005,MATCH($C168,商品マスタ!$B$6:$B$1005,0),MATCH("PI値 "&amp;'設定（最初に1回）'!$C$11,商品マスタ!$M$5:$N$5,0)),""))</f>
        <v/>
      </c>
      <c r="Q168" s="143" t="str">
        <f aca="false">IF(OR($C168="",$P168="",$P168=0,(N($I168)+N($AG168))&lt;=0),"",IFERROR(SUMIFS(随時_動員を入れる!$G$8:$G$97,随時_動員を入れる!$B$8:$B$97,"&gt;="&amp;'設定（最初に1回）'!$C$6,随時_動員を入れる!$B$8:$B$97,"&lt;="&amp;'設定（最初に1回）'!$C$6+(N($I168)+N($AG168))-1)/(N($I168)+N($AG168)),0)*$P168/100)</f>
        <v/>
      </c>
      <c r="R168" s="69" t="str">
        <f aca="false">IF($C168="","",SUMIFS(①今日の在庫を貼る!$O$6:$O$10005,①今日の在庫を貼る!$B$6:$B$10005,'設定（最初に1回）'!$C$4,①今日の在庫を貼る!$I$6:$I$10005,$C168))</f>
        <v/>
      </c>
      <c r="S168" s="143" t="str">
        <f aca="false">IF($C168="","",IF('設定（最初に1回）'!$C$9="実績消費",N($O168),IF('設定（最初に1回）'!$C$9="PI値予測",N($Q168),MAX(N($O168),N($Q168)))))</f>
        <v/>
      </c>
      <c r="T168" s="67" t="str">
        <f aca="false">IF(OR($S168="",$S168&lt;=0),"",$K168/$S168)</f>
        <v/>
      </c>
      <c r="U168" s="69" t="str">
        <f aca="false">IF($S168="","",ROUNDUP(N($S168)*'設定（最初に1回）'!$C$12,0))</f>
        <v/>
      </c>
      <c r="V168" s="69" t="str">
        <f aca="false">IF($C168="","",ROUNDUP(N($S168)*(N($I168)+N($AG168))+N($U168),0))</f>
        <v/>
      </c>
      <c r="W168" s="69" t="str">
        <f aca="false">IF($C168="","",SUMIFS(発注管理!$L$6:$L$1005,発注管理!$C$6:$C$1005,'設定（最初に1回）'!$C$4,発注管理!$F$6:$F$1005,$C168,発注管理!$Q$6:$Q$1005,"発注済"))</f>
        <v/>
      </c>
      <c r="X168" s="69" t="str">
        <f aca="false">IF($C168="","",MAX(0,N($V168)-N($K168)-N($W168)))</f>
        <v/>
      </c>
      <c r="Y168" s="147" t="str">
        <f aca="false">IF($C168="","",IF(N($X168)&lt;=0,0,CEILING($X168/MAX(1,N($G168)),MAX(1,N($J168)))))</f>
        <v/>
      </c>
      <c r="Z168" s="138" t="str">
        <f aca="false">IF($C168="","",IF(N($Y168)&gt;0,"要発注","正常"))</f>
        <v/>
      </c>
      <c r="AA168" s="71" t="str">
        <f aca="false">IF($C168="","",N($K168)*N($H168))</f>
        <v/>
      </c>
      <c r="AB168" s="66" t="str">
        <f aca="false">IF($C168="","",_xlfn.TEXTJOIN(" / ",TRUE(),IF(COUNTIF(商品マスタ!$B$6:$B$1005,$C168)=0,"マスタ未登録",""),IF(COUNTIFS(月1回_前回の在庫を貼る!$B$6:$B$10005,'設定（最初に1回）'!$C$4,月1回_前回の在庫を貼る!$I$6:$I$10005,$C168)=0,"新商品",""),IF(COUNTIFS(①今日の在庫を貼る!$B$6:$B$10005,'設定（最初に1回）'!$C$4,①今日の在庫を貼る!$I$6:$I$10005,$C168)=0,"終売候補",""),IF(N($K168)&lt;0,"在庫マイナス",""),IF(AND('設定（最初に1回）'!$C$9="PI値予測",$P168=""),"PI値未設定","")))</f>
        <v/>
      </c>
      <c r="AC168" s="71" t="n">
        <f aca="false">N($Y168)*N($H168)</f>
        <v>0</v>
      </c>
      <c r="AD168" s="66" t="str">
        <f aca="false">IF($C168="","",IFERROR(INDEX(商品マスタ!$K$6:$K$1005,MATCH($C168,商品マスタ!$B$6:$B$1005,0)),"常温"))</f>
        <v/>
      </c>
      <c r="AE168" s="69" t="str">
        <f aca="false">IF($C168="","",MAX(0,ROUNDUP(N($K168)/MAX(1,N($G168)),0)))</f>
        <v/>
      </c>
      <c r="AF168" s="66" t="str">
        <f aca="false">IF($C168="","",IFERROR(INDEX(商品マスタ!$L$6:$L$1005,MATCH($C168,商品マスタ!$B$6:$B$1005,0)),""))</f>
        <v/>
      </c>
      <c r="AG168" s="143" t="str">
        <f aca="false">IF($C168="","",IFERROR(INDEX(定数マスタ!$S$110:$S$119,MATCH($AF168,定数マスタ!$J$110:$J$119,0)),N('設定（最初に1回）'!$C$13)))</f>
        <v/>
      </c>
      <c r="AH168" s="66" t="n">
        <f aca="false">IF(AND(N($K168)&gt;0,N($Y168)&gt;0),N($Y168),0)</f>
        <v>0</v>
      </c>
    </row>
    <row r="169" customFormat="false" ht="15" hidden="false" customHeight="false" outlineLevel="0" collapsed="false">
      <c r="B169" s="66" t="n">
        <v>164</v>
      </c>
      <c r="C169" s="66" t="str">
        <f aca="false">IFERROR(IF($B169&lt;=MAX(①今日の在庫を貼る!$U$6:$U$10005),INDEX(①今日の在庫を貼る!$I$6:$I$10005,MATCH($B169,①今日の在庫を貼る!$U$6:$U$10005,0)),INDEX(月1回_前回の在庫を貼る!$I$6:$I$10005,MATCH($B169-MAX(①今日の在庫を貼る!$U$6:$U$10005),月1回_前回の在庫を貼る!$U$6:$U$10005,0))),"")</f>
        <v/>
      </c>
      <c r="D169" s="66" t="str">
        <f aca="false">IF($C169="","",IFERROR(INDEX(商品マスタ!$C$6:$C$1005,MATCH($C169,商品マスタ!$B$6:$B$1005,0)),IFERROR(INDEX(①今日の在庫を貼る!$J$6:$J$10005,MATCH($C169,①今日の在庫を貼る!$I$6:$I$10005,0)),IFERROR(INDEX(月1回_前回の在庫を貼る!$J$6:$J$10005,MATCH($C169,月1回_前回の在庫を貼る!$I$6:$I$10005,0)),""))))</f>
        <v/>
      </c>
      <c r="E169" s="66" t="str">
        <f aca="false">IF($C169="","",IFERROR(INDEX(商品マスタ!$D$6:$D$1005,MATCH($C169,商品マスタ!$B$6:$B$1005,0)),IFERROR(INDEX(①今日の在庫を貼る!$H$6:$H$10005,MATCH($C169,①今日の在庫を貼る!$I$6:$I$10005,0)),IFERROR(INDEX(月1回_前回の在庫を貼る!$H$6:$H$10005,MATCH($C169,月1回_前回の在庫を貼る!$I$6:$I$10005,0)),""))))</f>
        <v/>
      </c>
      <c r="F169" s="66" t="str">
        <f aca="false">IF($C169="","",IFERROR(INDEX(商品マスタ!$E$6:$E$1005,MATCH($C169,商品マスタ!$B$6:$B$1005,0)),IFERROR(INDEX(①今日の在庫を貼る!$E$6:$E$10005,MATCH($C169,①今日の在庫を貼る!$I$6:$I$10005,0)),IFERROR(INDEX(月1回_前回の在庫を貼る!$E$6:$E$10005,MATCH($C169,月1回_前回の在庫を貼る!$I$6:$I$10005,0)),""))))</f>
        <v/>
      </c>
      <c r="G169" s="69" t="str">
        <f aca="false">IF($C169="","",IFERROR(INDEX(商品マスタ!$F$6:$F$1005,MATCH($C169,商品マスタ!$B$6:$B$1005,0)),IFERROR(INDEX(①今日の在庫を貼る!$K$6:$K$10005,MATCH($C169,①今日の在庫を貼る!$I$6:$I$10005,0)),IFERROR(INDEX(月1回_前回の在庫を貼る!$K$6:$K$10005,MATCH($C169,月1回_前回の在庫を貼る!$I$6:$I$10005,0)),""))))</f>
        <v/>
      </c>
      <c r="H169" s="71" t="str">
        <f aca="false">IF($C169="","",IFERROR(INDEX(商品マスタ!$G$6:$G$1005,MATCH($C169,商品マスタ!$B$6:$B$1005,0)),IFERROR(INDEX(①今日の在庫を貼る!$Q$6:$Q$10005,MATCH($C169,①今日の在庫を貼る!$I$6:$I$10005,0)),IFERROR(INDEX(月1回_前回の在庫を貼る!$Q$6:$Q$10005,MATCH($C169,月1回_前回の在庫を貼る!$I$6:$I$10005,0)),""))))</f>
        <v/>
      </c>
      <c r="I169" s="66" t="str">
        <f aca="false">IF($C169="","",IFERROR(INDEX(商品マスタ!$H$6:$H$1005,MATCH($C169,商品マスタ!$B$6:$B$1005,0)),3))</f>
        <v/>
      </c>
      <c r="J169" s="66" t="str">
        <f aca="false">IF($C169="","",MAX(1,IFERROR(INDEX(商品マスタ!$I$6:$I$1005,MATCH($C169,商品マスタ!$B$6:$B$1005,0)),1)))</f>
        <v/>
      </c>
      <c r="K169" s="69" t="str">
        <f aca="false">IF($C169="","",SUMIFS(①今日の在庫を貼る!$N$6:$N$10005,①今日の在庫を貼る!$B$6:$B$10005,'設定（最初に1回）'!$C$4,①今日の在庫を貼る!$I$6:$I$10005,$C169))</f>
        <v/>
      </c>
      <c r="L169" s="69" t="str">
        <f aca="false">IF($C169="","",SUMIFS(月1回_前回の在庫を貼る!$N$6:$N$10005,月1回_前回の在庫を貼る!$B$6:$B$10005,'設定（最初に1回）'!$C$4,月1回_前回の在庫を貼る!$I$6:$I$10005,$C169))</f>
        <v/>
      </c>
      <c r="M169" s="69" t="str">
        <f aca="false">IF($C169="","",IF(OR('設定（最初に1回）'!$C$6="",'設定（最初に1回）'!$C$7=""),0,SUMIFS(発注管理!$S$6:$S$1005,発注管理!$C$6:$C$1005,'設定（最初に1回）'!$C$4,発注管理!$F$6:$F$1005,$C169,発注管理!$R$6:$R$1005,"&gt;="&amp;'設定（最初に1回）'!$C$7,発注管理!$R$6:$R$1005,"&lt;="&amp;'設定（最初に1回）'!$C$6)))</f>
        <v/>
      </c>
      <c r="N169" s="69" t="str">
        <f aca="false">IF(OR($C169="",'設定（最初に1回）'!$C$15=0),"",$L169+$M169-$K169)</f>
        <v/>
      </c>
      <c r="O169" s="143" t="str">
        <f aca="false">IF(OR($N169="",'設定（最初に1回）'!$C$8="",'設定（最初に1回）'!$C$8&lt;=0),"",MAX(0,$N169)/'設定（最初に1回）'!$C$8)</f>
        <v/>
      </c>
      <c r="P169" s="143" t="str">
        <f aca="false">IF($C169="","",IFERROR(INDEX(商品マスタ!$M$6:$N$1005,MATCH($C169,商品マスタ!$B$6:$B$1005,0),MATCH("PI値 "&amp;'設定（最初に1回）'!$C$11,商品マスタ!$M$5:$N$5,0)),""))</f>
        <v/>
      </c>
      <c r="Q169" s="143" t="str">
        <f aca="false">IF(OR($C169="",$P169="",$P169=0,(N($I169)+N($AG169))&lt;=0),"",IFERROR(SUMIFS(随時_動員を入れる!$G$8:$G$97,随時_動員を入れる!$B$8:$B$97,"&gt;="&amp;'設定（最初に1回）'!$C$6,随時_動員を入れる!$B$8:$B$97,"&lt;="&amp;'設定（最初に1回）'!$C$6+(N($I169)+N($AG169))-1)/(N($I169)+N($AG169)),0)*$P169/100)</f>
        <v/>
      </c>
      <c r="R169" s="69" t="str">
        <f aca="false">IF($C169="","",SUMIFS(①今日の在庫を貼る!$O$6:$O$10005,①今日の在庫を貼る!$B$6:$B$10005,'設定（最初に1回）'!$C$4,①今日の在庫を貼る!$I$6:$I$10005,$C169))</f>
        <v/>
      </c>
      <c r="S169" s="143" t="str">
        <f aca="false">IF($C169="","",IF('設定（最初に1回）'!$C$9="実績消費",N($O169),IF('設定（最初に1回）'!$C$9="PI値予測",N($Q169),MAX(N($O169),N($Q169)))))</f>
        <v/>
      </c>
      <c r="T169" s="67" t="str">
        <f aca="false">IF(OR($S169="",$S169&lt;=0),"",$K169/$S169)</f>
        <v/>
      </c>
      <c r="U169" s="69" t="str">
        <f aca="false">IF($S169="","",ROUNDUP(N($S169)*'設定（最初に1回）'!$C$12,0))</f>
        <v/>
      </c>
      <c r="V169" s="69" t="str">
        <f aca="false">IF($C169="","",ROUNDUP(N($S169)*(N($I169)+N($AG169))+N($U169),0))</f>
        <v/>
      </c>
      <c r="W169" s="69" t="str">
        <f aca="false">IF($C169="","",SUMIFS(発注管理!$L$6:$L$1005,発注管理!$C$6:$C$1005,'設定（最初に1回）'!$C$4,発注管理!$F$6:$F$1005,$C169,発注管理!$Q$6:$Q$1005,"発注済"))</f>
        <v/>
      </c>
      <c r="X169" s="69" t="str">
        <f aca="false">IF($C169="","",MAX(0,N($V169)-N($K169)-N($W169)))</f>
        <v/>
      </c>
      <c r="Y169" s="147" t="str">
        <f aca="false">IF($C169="","",IF(N($X169)&lt;=0,0,CEILING($X169/MAX(1,N($G169)),MAX(1,N($J169)))))</f>
        <v/>
      </c>
      <c r="Z169" s="138" t="str">
        <f aca="false">IF($C169="","",IF(N($Y169)&gt;0,"要発注","正常"))</f>
        <v/>
      </c>
      <c r="AA169" s="71" t="str">
        <f aca="false">IF($C169="","",N($K169)*N($H169))</f>
        <v/>
      </c>
      <c r="AB169" s="66" t="str">
        <f aca="false">IF($C169="","",_xlfn.TEXTJOIN(" / ",TRUE(),IF(COUNTIF(商品マスタ!$B$6:$B$1005,$C169)=0,"マスタ未登録",""),IF(COUNTIFS(月1回_前回の在庫を貼る!$B$6:$B$10005,'設定（最初に1回）'!$C$4,月1回_前回の在庫を貼る!$I$6:$I$10005,$C169)=0,"新商品",""),IF(COUNTIFS(①今日の在庫を貼る!$B$6:$B$10005,'設定（最初に1回）'!$C$4,①今日の在庫を貼る!$I$6:$I$10005,$C169)=0,"終売候補",""),IF(N($K169)&lt;0,"在庫マイナス",""),IF(AND('設定（最初に1回）'!$C$9="PI値予測",$P169=""),"PI値未設定","")))</f>
        <v/>
      </c>
      <c r="AC169" s="71" t="n">
        <f aca="false">N($Y169)*N($H169)</f>
        <v>0</v>
      </c>
      <c r="AD169" s="66" t="str">
        <f aca="false">IF($C169="","",IFERROR(INDEX(商品マスタ!$K$6:$K$1005,MATCH($C169,商品マスタ!$B$6:$B$1005,0)),"常温"))</f>
        <v/>
      </c>
      <c r="AE169" s="69" t="str">
        <f aca="false">IF($C169="","",MAX(0,ROUNDUP(N($K169)/MAX(1,N($G169)),0)))</f>
        <v/>
      </c>
      <c r="AF169" s="66" t="str">
        <f aca="false">IF($C169="","",IFERROR(INDEX(商品マスタ!$L$6:$L$1005,MATCH($C169,商品マスタ!$B$6:$B$1005,0)),""))</f>
        <v/>
      </c>
      <c r="AG169" s="143" t="str">
        <f aca="false">IF($C169="","",IFERROR(INDEX(定数マスタ!$S$110:$S$119,MATCH($AF169,定数マスタ!$J$110:$J$119,0)),N('設定（最初に1回）'!$C$13)))</f>
        <v/>
      </c>
      <c r="AH169" s="66" t="n">
        <f aca="false">IF(AND(N($K169)&gt;0,N($Y169)&gt;0),N($Y169),0)</f>
        <v>0</v>
      </c>
    </row>
    <row r="170" customFormat="false" ht="15" hidden="false" customHeight="false" outlineLevel="0" collapsed="false">
      <c r="B170" s="66" t="n">
        <v>165</v>
      </c>
      <c r="C170" s="66" t="str">
        <f aca="false">IFERROR(IF($B170&lt;=MAX(①今日の在庫を貼る!$U$6:$U$10005),INDEX(①今日の在庫を貼る!$I$6:$I$10005,MATCH($B170,①今日の在庫を貼る!$U$6:$U$10005,0)),INDEX(月1回_前回の在庫を貼る!$I$6:$I$10005,MATCH($B170-MAX(①今日の在庫を貼る!$U$6:$U$10005),月1回_前回の在庫を貼る!$U$6:$U$10005,0))),"")</f>
        <v/>
      </c>
      <c r="D170" s="66" t="str">
        <f aca="false">IF($C170="","",IFERROR(INDEX(商品マスタ!$C$6:$C$1005,MATCH($C170,商品マスタ!$B$6:$B$1005,0)),IFERROR(INDEX(①今日の在庫を貼る!$J$6:$J$10005,MATCH($C170,①今日の在庫を貼る!$I$6:$I$10005,0)),IFERROR(INDEX(月1回_前回の在庫を貼る!$J$6:$J$10005,MATCH($C170,月1回_前回の在庫を貼る!$I$6:$I$10005,0)),""))))</f>
        <v/>
      </c>
      <c r="E170" s="66" t="str">
        <f aca="false">IF($C170="","",IFERROR(INDEX(商品マスタ!$D$6:$D$1005,MATCH($C170,商品マスタ!$B$6:$B$1005,0)),IFERROR(INDEX(①今日の在庫を貼る!$H$6:$H$10005,MATCH($C170,①今日の在庫を貼る!$I$6:$I$10005,0)),IFERROR(INDEX(月1回_前回の在庫を貼る!$H$6:$H$10005,MATCH($C170,月1回_前回の在庫を貼る!$I$6:$I$10005,0)),""))))</f>
        <v/>
      </c>
      <c r="F170" s="66" t="str">
        <f aca="false">IF($C170="","",IFERROR(INDEX(商品マスタ!$E$6:$E$1005,MATCH($C170,商品マスタ!$B$6:$B$1005,0)),IFERROR(INDEX(①今日の在庫を貼る!$E$6:$E$10005,MATCH($C170,①今日の在庫を貼る!$I$6:$I$10005,0)),IFERROR(INDEX(月1回_前回の在庫を貼る!$E$6:$E$10005,MATCH($C170,月1回_前回の在庫を貼る!$I$6:$I$10005,0)),""))))</f>
        <v/>
      </c>
      <c r="G170" s="69" t="str">
        <f aca="false">IF($C170="","",IFERROR(INDEX(商品マスタ!$F$6:$F$1005,MATCH($C170,商品マスタ!$B$6:$B$1005,0)),IFERROR(INDEX(①今日の在庫を貼る!$K$6:$K$10005,MATCH($C170,①今日の在庫を貼る!$I$6:$I$10005,0)),IFERROR(INDEX(月1回_前回の在庫を貼る!$K$6:$K$10005,MATCH($C170,月1回_前回の在庫を貼る!$I$6:$I$10005,0)),""))))</f>
        <v/>
      </c>
      <c r="H170" s="71" t="str">
        <f aca="false">IF($C170="","",IFERROR(INDEX(商品マスタ!$G$6:$G$1005,MATCH($C170,商品マスタ!$B$6:$B$1005,0)),IFERROR(INDEX(①今日の在庫を貼る!$Q$6:$Q$10005,MATCH($C170,①今日の在庫を貼る!$I$6:$I$10005,0)),IFERROR(INDEX(月1回_前回の在庫を貼る!$Q$6:$Q$10005,MATCH($C170,月1回_前回の在庫を貼る!$I$6:$I$10005,0)),""))))</f>
        <v/>
      </c>
      <c r="I170" s="66" t="str">
        <f aca="false">IF($C170="","",IFERROR(INDEX(商品マスタ!$H$6:$H$1005,MATCH($C170,商品マスタ!$B$6:$B$1005,0)),3))</f>
        <v/>
      </c>
      <c r="J170" s="66" t="str">
        <f aca="false">IF($C170="","",MAX(1,IFERROR(INDEX(商品マスタ!$I$6:$I$1005,MATCH($C170,商品マスタ!$B$6:$B$1005,0)),1)))</f>
        <v/>
      </c>
      <c r="K170" s="69" t="str">
        <f aca="false">IF($C170="","",SUMIFS(①今日の在庫を貼る!$N$6:$N$10005,①今日の在庫を貼る!$B$6:$B$10005,'設定（最初に1回）'!$C$4,①今日の在庫を貼る!$I$6:$I$10005,$C170))</f>
        <v/>
      </c>
      <c r="L170" s="69" t="str">
        <f aca="false">IF($C170="","",SUMIFS(月1回_前回の在庫を貼る!$N$6:$N$10005,月1回_前回の在庫を貼る!$B$6:$B$10005,'設定（最初に1回）'!$C$4,月1回_前回の在庫を貼る!$I$6:$I$10005,$C170))</f>
        <v/>
      </c>
      <c r="M170" s="69" t="str">
        <f aca="false">IF($C170="","",IF(OR('設定（最初に1回）'!$C$6="",'設定（最初に1回）'!$C$7=""),0,SUMIFS(発注管理!$S$6:$S$1005,発注管理!$C$6:$C$1005,'設定（最初に1回）'!$C$4,発注管理!$F$6:$F$1005,$C170,発注管理!$R$6:$R$1005,"&gt;="&amp;'設定（最初に1回）'!$C$7,発注管理!$R$6:$R$1005,"&lt;="&amp;'設定（最初に1回）'!$C$6)))</f>
        <v/>
      </c>
      <c r="N170" s="69" t="str">
        <f aca="false">IF(OR($C170="",'設定（最初に1回）'!$C$15=0),"",$L170+$M170-$K170)</f>
        <v/>
      </c>
      <c r="O170" s="143" t="str">
        <f aca="false">IF(OR($N170="",'設定（最初に1回）'!$C$8="",'設定（最初に1回）'!$C$8&lt;=0),"",MAX(0,$N170)/'設定（最初に1回）'!$C$8)</f>
        <v/>
      </c>
      <c r="P170" s="143" t="str">
        <f aca="false">IF($C170="","",IFERROR(INDEX(商品マスタ!$M$6:$N$1005,MATCH($C170,商品マスタ!$B$6:$B$1005,0),MATCH("PI値 "&amp;'設定（最初に1回）'!$C$11,商品マスタ!$M$5:$N$5,0)),""))</f>
        <v/>
      </c>
      <c r="Q170" s="143" t="str">
        <f aca="false">IF(OR($C170="",$P170="",$P170=0,(N($I170)+N($AG170))&lt;=0),"",IFERROR(SUMIFS(随時_動員を入れる!$G$8:$G$97,随時_動員を入れる!$B$8:$B$97,"&gt;="&amp;'設定（最初に1回）'!$C$6,随時_動員を入れる!$B$8:$B$97,"&lt;="&amp;'設定（最初に1回）'!$C$6+(N($I170)+N($AG170))-1)/(N($I170)+N($AG170)),0)*$P170/100)</f>
        <v/>
      </c>
      <c r="R170" s="69" t="str">
        <f aca="false">IF($C170="","",SUMIFS(①今日の在庫を貼る!$O$6:$O$10005,①今日の在庫を貼る!$B$6:$B$10005,'設定（最初に1回）'!$C$4,①今日の在庫を貼る!$I$6:$I$10005,$C170))</f>
        <v/>
      </c>
      <c r="S170" s="143" t="str">
        <f aca="false">IF($C170="","",IF('設定（最初に1回）'!$C$9="実績消費",N($O170),IF('設定（最初に1回）'!$C$9="PI値予測",N($Q170),MAX(N($O170),N($Q170)))))</f>
        <v/>
      </c>
      <c r="T170" s="67" t="str">
        <f aca="false">IF(OR($S170="",$S170&lt;=0),"",$K170/$S170)</f>
        <v/>
      </c>
      <c r="U170" s="69" t="str">
        <f aca="false">IF($S170="","",ROUNDUP(N($S170)*'設定（最初に1回）'!$C$12,0))</f>
        <v/>
      </c>
      <c r="V170" s="69" t="str">
        <f aca="false">IF($C170="","",ROUNDUP(N($S170)*(N($I170)+N($AG170))+N($U170),0))</f>
        <v/>
      </c>
      <c r="W170" s="69" t="str">
        <f aca="false">IF($C170="","",SUMIFS(発注管理!$L$6:$L$1005,発注管理!$C$6:$C$1005,'設定（最初に1回）'!$C$4,発注管理!$F$6:$F$1005,$C170,発注管理!$Q$6:$Q$1005,"発注済"))</f>
        <v/>
      </c>
      <c r="X170" s="69" t="str">
        <f aca="false">IF($C170="","",MAX(0,N($V170)-N($K170)-N($W170)))</f>
        <v/>
      </c>
      <c r="Y170" s="147" t="str">
        <f aca="false">IF($C170="","",IF(N($X170)&lt;=0,0,CEILING($X170/MAX(1,N($G170)),MAX(1,N($J170)))))</f>
        <v/>
      </c>
      <c r="Z170" s="138" t="str">
        <f aca="false">IF($C170="","",IF(N($Y170)&gt;0,"要発注","正常"))</f>
        <v/>
      </c>
      <c r="AA170" s="71" t="str">
        <f aca="false">IF($C170="","",N($K170)*N($H170))</f>
        <v/>
      </c>
      <c r="AB170" s="66" t="str">
        <f aca="false">IF($C170="","",_xlfn.TEXTJOIN(" / ",TRUE(),IF(COUNTIF(商品マスタ!$B$6:$B$1005,$C170)=0,"マスタ未登録",""),IF(COUNTIFS(月1回_前回の在庫を貼る!$B$6:$B$10005,'設定（最初に1回）'!$C$4,月1回_前回の在庫を貼る!$I$6:$I$10005,$C170)=0,"新商品",""),IF(COUNTIFS(①今日の在庫を貼る!$B$6:$B$10005,'設定（最初に1回）'!$C$4,①今日の在庫を貼る!$I$6:$I$10005,$C170)=0,"終売候補",""),IF(N($K170)&lt;0,"在庫マイナス",""),IF(AND('設定（最初に1回）'!$C$9="PI値予測",$P170=""),"PI値未設定","")))</f>
        <v/>
      </c>
      <c r="AC170" s="71" t="n">
        <f aca="false">N($Y170)*N($H170)</f>
        <v>0</v>
      </c>
      <c r="AD170" s="66" t="str">
        <f aca="false">IF($C170="","",IFERROR(INDEX(商品マスタ!$K$6:$K$1005,MATCH($C170,商品マスタ!$B$6:$B$1005,0)),"常温"))</f>
        <v/>
      </c>
      <c r="AE170" s="69" t="str">
        <f aca="false">IF($C170="","",MAX(0,ROUNDUP(N($K170)/MAX(1,N($G170)),0)))</f>
        <v/>
      </c>
      <c r="AF170" s="66" t="str">
        <f aca="false">IF($C170="","",IFERROR(INDEX(商品マスタ!$L$6:$L$1005,MATCH($C170,商品マスタ!$B$6:$B$1005,0)),""))</f>
        <v/>
      </c>
      <c r="AG170" s="143" t="str">
        <f aca="false">IF($C170="","",IFERROR(INDEX(定数マスタ!$S$110:$S$119,MATCH($AF170,定数マスタ!$J$110:$J$119,0)),N('設定（最初に1回）'!$C$13)))</f>
        <v/>
      </c>
      <c r="AH170" s="66" t="n">
        <f aca="false">IF(AND(N($K170)&gt;0,N($Y170)&gt;0),N($Y170),0)</f>
        <v>0</v>
      </c>
    </row>
    <row r="171" customFormat="false" ht="15" hidden="false" customHeight="false" outlineLevel="0" collapsed="false">
      <c r="B171" s="66" t="n">
        <v>166</v>
      </c>
      <c r="C171" s="66" t="str">
        <f aca="false">IFERROR(IF($B171&lt;=MAX(①今日の在庫を貼る!$U$6:$U$10005),INDEX(①今日の在庫を貼る!$I$6:$I$10005,MATCH($B171,①今日の在庫を貼る!$U$6:$U$10005,0)),INDEX(月1回_前回の在庫を貼る!$I$6:$I$10005,MATCH($B171-MAX(①今日の在庫を貼る!$U$6:$U$10005),月1回_前回の在庫を貼る!$U$6:$U$10005,0))),"")</f>
        <v/>
      </c>
      <c r="D171" s="66" t="str">
        <f aca="false">IF($C171="","",IFERROR(INDEX(商品マスタ!$C$6:$C$1005,MATCH($C171,商品マスタ!$B$6:$B$1005,0)),IFERROR(INDEX(①今日の在庫を貼る!$J$6:$J$10005,MATCH($C171,①今日の在庫を貼る!$I$6:$I$10005,0)),IFERROR(INDEX(月1回_前回の在庫を貼る!$J$6:$J$10005,MATCH($C171,月1回_前回の在庫を貼る!$I$6:$I$10005,0)),""))))</f>
        <v/>
      </c>
      <c r="E171" s="66" t="str">
        <f aca="false">IF($C171="","",IFERROR(INDEX(商品マスタ!$D$6:$D$1005,MATCH($C171,商品マスタ!$B$6:$B$1005,0)),IFERROR(INDEX(①今日の在庫を貼る!$H$6:$H$10005,MATCH($C171,①今日の在庫を貼る!$I$6:$I$10005,0)),IFERROR(INDEX(月1回_前回の在庫を貼る!$H$6:$H$10005,MATCH($C171,月1回_前回の在庫を貼る!$I$6:$I$10005,0)),""))))</f>
        <v/>
      </c>
      <c r="F171" s="66" t="str">
        <f aca="false">IF($C171="","",IFERROR(INDEX(商品マスタ!$E$6:$E$1005,MATCH($C171,商品マスタ!$B$6:$B$1005,0)),IFERROR(INDEX(①今日の在庫を貼る!$E$6:$E$10005,MATCH($C171,①今日の在庫を貼る!$I$6:$I$10005,0)),IFERROR(INDEX(月1回_前回の在庫を貼る!$E$6:$E$10005,MATCH($C171,月1回_前回の在庫を貼る!$I$6:$I$10005,0)),""))))</f>
        <v/>
      </c>
      <c r="G171" s="69" t="str">
        <f aca="false">IF($C171="","",IFERROR(INDEX(商品マスタ!$F$6:$F$1005,MATCH($C171,商品マスタ!$B$6:$B$1005,0)),IFERROR(INDEX(①今日の在庫を貼る!$K$6:$K$10005,MATCH($C171,①今日の在庫を貼る!$I$6:$I$10005,0)),IFERROR(INDEX(月1回_前回の在庫を貼る!$K$6:$K$10005,MATCH($C171,月1回_前回の在庫を貼る!$I$6:$I$10005,0)),""))))</f>
        <v/>
      </c>
      <c r="H171" s="71" t="str">
        <f aca="false">IF($C171="","",IFERROR(INDEX(商品マスタ!$G$6:$G$1005,MATCH($C171,商品マスタ!$B$6:$B$1005,0)),IFERROR(INDEX(①今日の在庫を貼る!$Q$6:$Q$10005,MATCH($C171,①今日の在庫を貼る!$I$6:$I$10005,0)),IFERROR(INDEX(月1回_前回の在庫を貼る!$Q$6:$Q$10005,MATCH($C171,月1回_前回の在庫を貼る!$I$6:$I$10005,0)),""))))</f>
        <v/>
      </c>
      <c r="I171" s="66" t="str">
        <f aca="false">IF($C171="","",IFERROR(INDEX(商品マスタ!$H$6:$H$1005,MATCH($C171,商品マスタ!$B$6:$B$1005,0)),3))</f>
        <v/>
      </c>
      <c r="J171" s="66" t="str">
        <f aca="false">IF($C171="","",MAX(1,IFERROR(INDEX(商品マスタ!$I$6:$I$1005,MATCH($C171,商品マスタ!$B$6:$B$1005,0)),1)))</f>
        <v/>
      </c>
      <c r="K171" s="69" t="str">
        <f aca="false">IF($C171="","",SUMIFS(①今日の在庫を貼る!$N$6:$N$10005,①今日の在庫を貼る!$B$6:$B$10005,'設定（最初に1回）'!$C$4,①今日の在庫を貼る!$I$6:$I$10005,$C171))</f>
        <v/>
      </c>
      <c r="L171" s="69" t="str">
        <f aca="false">IF($C171="","",SUMIFS(月1回_前回の在庫を貼る!$N$6:$N$10005,月1回_前回の在庫を貼る!$B$6:$B$10005,'設定（最初に1回）'!$C$4,月1回_前回の在庫を貼る!$I$6:$I$10005,$C171))</f>
        <v/>
      </c>
      <c r="M171" s="69" t="str">
        <f aca="false">IF($C171="","",IF(OR('設定（最初に1回）'!$C$6="",'設定（最初に1回）'!$C$7=""),0,SUMIFS(発注管理!$S$6:$S$1005,発注管理!$C$6:$C$1005,'設定（最初に1回）'!$C$4,発注管理!$F$6:$F$1005,$C171,発注管理!$R$6:$R$1005,"&gt;="&amp;'設定（最初に1回）'!$C$7,発注管理!$R$6:$R$1005,"&lt;="&amp;'設定（最初に1回）'!$C$6)))</f>
        <v/>
      </c>
      <c r="N171" s="69" t="str">
        <f aca="false">IF(OR($C171="",'設定（最初に1回）'!$C$15=0),"",$L171+$M171-$K171)</f>
        <v/>
      </c>
      <c r="O171" s="143" t="str">
        <f aca="false">IF(OR($N171="",'設定（最初に1回）'!$C$8="",'設定（最初に1回）'!$C$8&lt;=0),"",MAX(0,$N171)/'設定（最初に1回）'!$C$8)</f>
        <v/>
      </c>
      <c r="P171" s="143" t="str">
        <f aca="false">IF($C171="","",IFERROR(INDEX(商品マスタ!$M$6:$N$1005,MATCH($C171,商品マスタ!$B$6:$B$1005,0),MATCH("PI値 "&amp;'設定（最初に1回）'!$C$11,商品マスタ!$M$5:$N$5,0)),""))</f>
        <v/>
      </c>
      <c r="Q171" s="143" t="str">
        <f aca="false">IF(OR($C171="",$P171="",$P171=0,(N($I171)+N($AG171))&lt;=0),"",IFERROR(SUMIFS(随時_動員を入れる!$G$8:$G$97,随時_動員を入れる!$B$8:$B$97,"&gt;="&amp;'設定（最初に1回）'!$C$6,随時_動員を入れる!$B$8:$B$97,"&lt;="&amp;'設定（最初に1回）'!$C$6+(N($I171)+N($AG171))-1)/(N($I171)+N($AG171)),0)*$P171/100)</f>
        <v/>
      </c>
      <c r="R171" s="69" t="str">
        <f aca="false">IF($C171="","",SUMIFS(①今日の在庫を貼る!$O$6:$O$10005,①今日の在庫を貼る!$B$6:$B$10005,'設定（最初に1回）'!$C$4,①今日の在庫を貼る!$I$6:$I$10005,$C171))</f>
        <v/>
      </c>
      <c r="S171" s="143" t="str">
        <f aca="false">IF($C171="","",IF('設定（最初に1回）'!$C$9="実績消費",N($O171),IF('設定（最初に1回）'!$C$9="PI値予測",N($Q171),MAX(N($O171),N($Q171)))))</f>
        <v/>
      </c>
      <c r="T171" s="67" t="str">
        <f aca="false">IF(OR($S171="",$S171&lt;=0),"",$K171/$S171)</f>
        <v/>
      </c>
      <c r="U171" s="69" t="str">
        <f aca="false">IF($S171="","",ROUNDUP(N($S171)*'設定（最初に1回）'!$C$12,0))</f>
        <v/>
      </c>
      <c r="V171" s="69" t="str">
        <f aca="false">IF($C171="","",ROUNDUP(N($S171)*(N($I171)+N($AG171))+N($U171),0))</f>
        <v/>
      </c>
      <c r="W171" s="69" t="str">
        <f aca="false">IF($C171="","",SUMIFS(発注管理!$L$6:$L$1005,発注管理!$C$6:$C$1005,'設定（最初に1回）'!$C$4,発注管理!$F$6:$F$1005,$C171,発注管理!$Q$6:$Q$1005,"発注済"))</f>
        <v/>
      </c>
      <c r="X171" s="69" t="str">
        <f aca="false">IF($C171="","",MAX(0,N($V171)-N($K171)-N($W171)))</f>
        <v/>
      </c>
      <c r="Y171" s="147" t="str">
        <f aca="false">IF($C171="","",IF(N($X171)&lt;=0,0,CEILING($X171/MAX(1,N($G171)),MAX(1,N($J171)))))</f>
        <v/>
      </c>
      <c r="Z171" s="138" t="str">
        <f aca="false">IF($C171="","",IF(N($Y171)&gt;0,"要発注","正常"))</f>
        <v/>
      </c>
      <c r="AA171" s="71" t="str">
        <f aca="false">IF($C171="","",N($K171)*N($H171))</f>
        <v/>
      </c>
      <c r="AB171" s="66" t="str">
        <f aca="false">IF($C171="","",_xlfn.TEXTJOIN(" / ",TRUE(),IF(COUNTIF(商品マスタ!$B$6:$B$1005,$C171)=0,"マスタ未登録",""),IF(COUNTIFS(月1回_前回の在庫を貼る!$B$6:$B$10005,'設定（最初に1回）'!$C$4,月1回_前回の在庫を貼る!$I$6:$I$10005,$C171)=0,"新商品",""),IF(COUNTIFS(①今日の在庫を貼る!$B$6:$B$10005,'設定（最初に1回）'!$C$4,①今日の在庫を貼る!$I$6:$I$10005,$C171)=0,"終売候補",""),IF(N($K171)&lt;0,"在庫マイナス",""),IF(AND('設定（最初に1回）'!$C$9="PI値予測",$P171=""),"PI値未設定","")))</f>
        <v/>
      </c>
      <c r="AC171" s="71" t="n">
        <f aca="false">N($Y171)*N($H171)</f>
        <v>0</v>
      </c>
      <c r="AD171" s="66" t="str">
        <f aca="false">IF($C171="","",IFERROR(INDEX(商品マスタ!$K$6:$K$1005,MATCH($C171,商品マスタ!$B$6:$B$1005,0)),"常温"))</f>
        <v/>
      </c>
      <c r="AE171" s="69" t="str">
        <f aca="false">IF($C171="","",MAX(0,ROUNDUP(N($K171)/MAX(1,N($G171)),0)))</f>
        <v/>
      </c>
      <c r="AF171" s="66" t="str">
        <f aca="false">IF($C171="","",IFERROR(INDEX(商品マスタ!$L$6:$L$1005,MATCH($C171,商品マスタ!$B$6:$B$1005,0)),""))</f>
        <v/>
      </c>
      <c r="AG171" s="143" t="str">
        <f aca="false">IF($C171="","",IFERROR(INDEX(定数マスタ!$S$110:$S$119,MATCH($AF171,定数マスタ!$J$110:$J$119,0)),N('設定（最初に1回）'!$C$13)))</f>
        <v/>
      </c>
      <c r="AH171" s="66" t="n">
        <f aca="false">IF(AND(N($K171)&gt;0,N($Y171)&gt;0),N($Y171),0)</f>
        <v>0</v>
      </c>
    </row>
    <row r="172" customFormat="false" ht="15" hidden="false" customHeight="false" outlineLevel="0" collapsed="false">
      <c r="B172" s="66" t="n">
        <v>167</v>
      </c>
      <c r="C172" s="66" t="str">
        <f aca="false">IFERROR(IF($B172&lt;=MAX(①今日の在庫を貼る!$U$6:$U$10005),INDEX(①今日の在庫を貼る!$I$6:$I$10005,MATCH($B172,①今日の在庫を貼る!$U$6:$U$10005,0)),INDEX(月1回_前回の在庫を貼る!$I$6:$I$10005,MATCH($B172-MAX(①今日の在庫を貼る!$U$6:$U$10005),月1回_前回の在庫を貼る!$U$6:$U$10005,0))),"")</f>
        <v/>
      </c>
      <c r="D172" s="66" t="str">
        <f aca="false">IF($C172="","",IFERROR(INDEX(商品マスタ!$C$6:$C$1005,MATCH($C172,商品マスタ!$B$6:$B$1005,0)),IFERROR(INDEX(①今日の在庫を貼る!$J$6:$J$10005,MATCH($C172,①今日の在庫を貼る!$I$6:$I$10005,0)),IFERROR(INDEX(月1回_前回の在庫を貼る!$J$6:$J$10005,MATCH($C172,月1回_前回の在庫を貼る!$I$6:$I$10005,0)),""))))</f>
        <v/>
      </c>
      <c r="E172" s="66" t="str">
        <f aca="false">IF($C172="","",IFERROR(INDEX(商品マスタ!$D$6:$D$1005,MATCH($C172,商品マスタ!$B$6:$B$1005,0)),IFERROR(INDEX(①今日の在庫を貼る!$H$6:$H$10005,MATCH($C172,①今日の在庫を貼る!$I$6:$I$10005,0)),IFERROR(INDEX(月1回_前回の在庫を貼る!$H$6:$H$10005,MATCH($C172,月1回_前回の在庫を貼る!$I$6:$I$10005,0)),""))))</f>
        <v/>
      </c>
      <c r="F172" s="66" t="str">
        <f aca="false">IF($C172="","",IFERROR(INDEX(商品マスタ!$E$6:$E$1005,MATCH($C172,商品マスタ!$B$6:$B$1005,0)),IFERROR(INDEX(①今日の在庫を貼る!$E$6:$E$10005,MATCH($C172,①今日の在庫を貼る!$I$6:$I$10005,0)),IFERROR(INDEX(月1回_前回の在庫を貼る!$E$6:$E$10005,MATCH($C172,月1回_前回の在庫を貼る!$I$6:$I$10005,0)),""))))</f>
        <v/>
      </c>
      <c r="G172" s="69" t="str">
        <f aca="false">IF($C172="","",IFERROR(INDEX(商品マスタ!$F$6:$F$1005,MATCH($C172,商品マスタ!$B$6:$B$1005,0)),IFERROR(INDEX(①今日の在庫を貼る!$K$6:$K$10005,MATCH($C172,①今日の在庫を貼る!$I$6:$I$10005,0)),IFERROR(INDEX(月1回_前回の在庫を貼る!$K$6:$K$10005,MATCH($C172,月1回_前回の在庫を貼る!$I$6:$I$10005,0)),""))))</f>
        <v/>
      </c>
      <c r="H172" s="71" t="str">
        <f aca="false">IF($C172="","",IFERROR(INDEX(商品マスタ!$G$6:$G$1005,MATCH($C172,商品マスタ!$B$6:$B$1005,0)),IFERROR(INDEX(①今日の在庫を貼る!$Q$6:$Q$10005,MATCH($C172,①今日の在庫を貼る!$I$6:$I$10005,0)),IFERROR(INDEX(月1回_前回の在庫を貼る!$Q$6:$Q$10005,MATCH($C172,月1回_前回の在庫を貼る!$I$6:$I$10005,0)),""))))</f>
        <v/>
      </c>
      <c r="I172" s="66" t="str">
        <f aca="false">IF($C172="","",IFERROR(INDEX(商品マスタ!$H$6:$H$1005,MATCH($C172,商品マスタ!$B$6:$B$1005,0)),3))</f>
        <v/>
      </c>
      <c r="J172" s="66" t="str">
        <f aca="false">IF($C172="","",MAX(1,IFERROR(INDEX(商品マスタ!$I$6:$I$1005,MATCH($C172,商品マスタ!$B$6:$B$1005,0)),1)))</f>
        <v/>
      </c>
      <c r="K172" s="69" t="str">
        <f aca="false">IF($C172="","",SUMIFS(①今日の在庫を貼る!$N$6:$N$10005,①今日の在庫を貼る!$B$6:$B$10005,'設定（最初に1回）'!$C$4,①今日の在庫を貼る!$I$6:$I$10005,$C172))</f>
        <v/>
      </c>
      <c r="L172" s="69" t="str">
        <f aca="false">IF($C172="","",SUMIFS(月1回_前回の在庫を貼る!$N$6:$N$10005,月1回_前回の在庫を貼る!$B$6:$B$10005,'設定（最初に1回）'!$C$4,月1回_前回の在庫を貼る!$I$6:$I$10005,$C172))</f>
        <v/>
      </c>
      <c r="M172" s="69" t="str">
        <f aca="false">IF($C172="","",IF(OR('設定（最初に1回）'!$C$6="",'設定（最初に1回）'!$C$7=""),0,SUMIFS(発注管理!$S$6:$S$1005,発注管理!$C$6:$C$1005,'設定（最初に1回）'!$C$4,発注管理!$F$6:$F$1005,$C172,発注管理!$R$6:$R$1005,"&gt;="&amp;'設定（最初に1回）'!$C$7,発注管理!$R$6:$R$1005,"&lt;="&amp;'設定（最初に1回）'!$C$6)))</f>
        <v/>
      </c>
      <c r="N172" s="69" t="str">
        <f aca="false">IF(OR($C172="",'設定（最初に1回）'!$C$15=0),"",$L172+$M172-$K172)</f>
        <v/>
      </c>
      <c r="O172" s="143" t="str">
        <f aca="false">IF(OR($N172="",'設定（最初に1回）'!$C$8="",'設定（最初に1回）'!$C$8&lt;=0),"",MAX(0,$N172)/'設定（最初に1回）'!$C$8)</f>
        <v/>
      </c>
      <c r="P172" s="143" t="str">
        <f aca="false">IF($C172="","",IFERROR(INDEX(商品マスタ!$M$6:$N$1005,MATCH($C172,商品マスタ!$B$6:$B$1005,0),MATCH("PI値 "&amp;'設定（最初に1回）'!$C$11,商品マスタ!$M$5:$N$5,0)),""))</f>
        <v/>
      </c>
      <c r="Q172" s="143" t="str">
        <f aca="false">IF(OR($C172="",$P172="",$P172=0,(N($I172)+N($AG172))&lt;=0),"",IFERROR(SUMIFS(随時_動員を入れる!$G$8:$G$97,随時_動員を入れる!$B$8:$B$97,"&gt;="&amp;'設定（最初に1回）'!$C$6,随時_動員を入れる!$B$8:$B$97,"&lt;="&amp;'設定（最初に1回）'!$C$6+(N($I172)+N($AG172))-1)/(N($I172)+N($AG172)),0)*$P172/100)</f>
        <v/>
      </c>
      <c r="R172" s="69" t="str">
        <f aca="false">IF($C172="","",SUMIFS(①今日の在庫を貼る!$O$6:$O$10005,①今日の在庫を貼る!$B$6:$B$10005,'設定（最初に1回）'!$C$4,①今日の在庫を貼る!$I$6:$I$10005,$C172))</f>
        <v/>
      </c>
      <c r="S172" s="143" t="str">
        <f aca="false">IF($C172="","",IF('設定（最初に1回）'!$C$9="実績消費",N($O172),IF('設定（最初に1回）'!$C$9="PI値予測",N($Q172),MAX(N($O172),N($Q172)))))</f>
        <v/>
      </c>
      <c r="T172" s="67" t="str">
        <f aca="false">IF(OR($S172="",$S172&lt;=0),"",$K172/$S172)</f>
        <v/>
      </c>
      <c r="U172" s="69" t="str">
        <f aca="false">IF($S172="","",ROUNDUP(N($S172)*'設定（最初に1回）'!$C$12,0))</f>
        <v/>
      </c>
      <c r="V172" s="69" t="str">
        <f aca="false">IF($C172="","",ROUNDUP(N($S172)*(N($I172)+N($AG172))+N($U172),0))</f>
        <v/>
      </c>
      <c r="W172" s="69" t="str">
        <f aca="false">IF($C172="","",SUMIFS(発注管理!$L$6:$L$1005,発注管理!$C$6:$C$1005,'設定（最初に1回）'!$C$4,発注管理!$F$6:$F$1005,$C172,発注管理!$Q$6:$Q$1005,"発注済"))</f>
        <v/>
      </c>
      <c r="X172" s="69" t="str">
        <f aca="false">IF($C172="","",MAX(0,N($V172)-N($K172)-N($W172)))</f>
        <v/>
      </c>
      <c r="Y172" s="147" t="str">
        <f aca="false">IF($C172="","",IF(N($X172)&lt;=0,0,CEILING($X172/MAX(1,N($G172)),MAX(1,N($J172)))))</f>
        <v/>
      </c>
      <c r="Z172" s="138" t="str">
        <f aca="false">IF($C172="","",IF(N($Y172)&gt;0,"要発注","正常"))</f>
        <v/>
      </c>
      <c r="AA172" s="71" t="str">
        <f aca="false">IF($C172="","",N($K172)*N($H172))</f>
        <v/>
      </c>
      <c r="AB172" s="66" t="str">
        <f aca="false">IF($C172="","",_xlfn.TEXTJOIN(" / ",TRUE(),IF(COUNTIF(商品マスタ!$B$6:$B$1005,$C172)=0,"マスタ未登録",""),IF(COUNTIFS(月1回_前回の在庫を貼る!$B$6:$B$10005,'設定（最初に1回）'!$C$4,月1回_前回の在庫を貼る!$I$6:$I$10005,$C172)=0,"新商品",""),IF(COUNTIFS(①今日の在庫を貼る!$B$6:$B$10005,'設定（最初に1回）'!$C$4,①今日の在庫を貼る!$I$6:$I$10005,$C172)=0,"終売候補",""),IF(N($K172)&lt;0,"在庫マイナス",""),IF(AND('設定（最初に1回）'!$C$9="PI値予測",$P172=""),"PI値未設定","")))</f>
        <v/>
      </c>
      <c r="AC172" s="71" t="n">
        <f aca="false">N($Y172)*N($H172)</f>
        <v>0</v>
      </c>
      <c r="AD172" s="66" t="str">
        <f aca="false">IF($C172="","",IFERROR(INDEX(商品マスタ!$K$6:$K$1005,MATCH($C172,商品マスタ!$B$6:$B$1005,0)),"常温"))</f>
        <v/>
      </c>
      <c r="AE172" s="69" t="str">
        <f aca="false">IF($C172="","",MAX(0,ROUNDUP(N($K172)/MAX(1,N($G172)),0)))</f>
        <v/>
      </c>
      <c r="AF172" s="66" t="str">
        <f aca="false">IF($C172="","",IFERROR(INDEX(商品マスタ!$L$6:$L$1005,MATCH($C172,商品マスタ!$B$6:$B$1005,0)),""))</f>
        <v/>
      </c>
      <c r="AG172" s="143" t="str">
        <f aca="false">IF($C172="","",IFERROR(INDEX(定数マスタ!$S$110:$S$119,MATCH($AF172,定数マスタ!$J$110:$J$119,0)),N('設定（最初に1回）'!$C$13)))</f>
        <v/>
      </c>
      <c r="AH172" s="66" t="n">
        <f aca="false">IF(AND(N($K172)&gt;0,N($Y172)&gt;0),N($Y172),0)</f>
        <v>0</v>
      </c>
    </row>
    <row r="173" customFormat="false" ht="15" hidden="false" customHeight="false" outlineLevel="0" collapsed="false">
      <c r="B173" s="66" t="n">
        <v>168</v>
      </c>
      <c r="C173" s="66" t="str">
        <f aca="false">IFERROR(IF($B173&lt;=MAX(①今日の在庫を貼る!$U$6:$U$10005),INDEX(①今日の在庫を貼る!$I$6:$I$10005,MATCH($B173,①今日の在庫を貼る!$U$6:$U$10005,0)),INDEX(月1回_前回の在庫を貼る!$I$6:$I$10005,MATCH($B173-MAX(①今日の在庫を貼る!$U$6:$U$10005),月1回_前回の在庫を貼る!$U$6:$U$10005,0))),"")</f>
        <v/>
      </c>
      <c r="D173" s="66" t="str">
        <f aca="false">IF($C173="","",IFERROR(INDEX(商品マスタ!$C$6:$C$1005,MATCH($C173,商品マスタ!$B$6:$B$1005,0)),IFERROR(INDEX(①今日の在庫を貼る!$J$6:$J$10005,MATCH($C173,①今日の在庫を貼る!$I$6:$I$10005,0)),IFERROR(INDEX(月1回_前回の在庫を貼る!$J$6:$J$10005,MATCH($C173,月1回_前回の在庫を貼る!$I$6:$I$10005,0)),""))))</f>
        <v/>
      </c>
      <c r="E173" s="66" t="str">
        <f aca="false">IF($C173="","",IFERROR(INDEX(商品マスタ!$D$6:$D$1005,MATCH($C173,商品マスタ!$B$6:$B$1005,0)),IFERROR(INDEX(①今日の在庫を貼る!$H$6:$H$10005,MATCH($C173,①今日の在庫を貼る!$I$6:$I$10005,0)),IFERROR(INDEX(月1回_前回の在庫を貼る!$H$6:$H$10005,MATCH($C173,月1回_前回の在庫を貼る!$I$6:$I$10005,0)),""))))</f>
        <v/>
      </c>
      <c r="F173" s="66" t="str">
        <f aca="false">IF($C173="","",IFERROR(INDEX(商品マスタ!$E$6:$E$1005,MATCH($C173,商品マスタ!$B$6:$B$1005,0)),IFERROR(INDEX(①今日の在庫を貼る!$E$6:$E$10005,MATCH($C173,①今日の在庫を貼る!$I$6:$I$10005,0)),IFERROR(INDEX(月1回_前回の在庫を貼る!$E$6:$E$10005,MATCH($C173,月1回_前回の在庫を貼る!$I$6:$I$10005,0)),""))))</f>
        <v/>
      </c>
      <c r="G173" s="69" t="str">
        <f aca="false">IF($C173="","",IFERROR(INDEX(商品マスタ!$F$6:$F$1005,MATCH($C173,商品マスタ!$B$6:$B$1005,0)),IFERROR(INDEX(①今日の在庫を貼る!$K$6:$K$10005,MATCH($C173,①今日の在庫を貼る!$I$6:$I$10005,0)),IFERROR(INDEX(月1回_前回の在庫を貼る!$K$6:$K$10005,MATCH($C173,月1回_前回の在庫を貼る!$I$6:$I$10005,0)),""))))</f>
        <v/>
      </c>
      <c r="H173" s="71" t="str">
        <f aca="false">IF($C173="","",IFERROR(INDEX(商品マスタ!$G$6:$G$1005,MATCH($C173,商品マスタ!$B$6:$B$1005,0)),IFERROR(INDEX(①今日の在庫を貼る!$Q$6:$Q$10005,MATCH($C173,①今日の在庫を貼る!$I$6:$I$10005,0)),IFERROR(INDEX(月1回_前回の在庫を貼る!$Q$6:$Q$10005,MATCH($C173,月1回_前回の在庫を貼る!$I$6:$I$10005,0)),""))))</f>
        <v/>
      </c>
      <c r="I173" s="66" t="str">
        <f aca="false">IF($C173="","",IFERROR(INDEX(商品マスタ!$H$6:$H$1005,MATCH($C173,商品マスタ!$B$6:$B$1005,0)),3))</f>
        <v/>
      </c>
      <c r="J173" s="66" t="str">
        <f aca="false">IF($C173="","",MAX(1,IFERROR(INDEX(商品マスタ!$I$6:$I$1005,MATCH($C173,商品マスタ!$B$6:$B$1005,0)),1)))</f>
        <v/>
      </c>
      <c r="K173" s="69" t="str">
        <f aca="false">IF($C173="","",SUMIFS(①今日の在庫を貼る!$N$6:$N$10005,①今日の在庫を貼る!$B$6:$B$10005,'設定（最初に1回）'!$C$4,①今日の在庫を貼る!$I$6:$I$10005,$C173))</f>
        <v/>
      </c>
      <c r="L173" s="69" t="str">
        <f aca="false">IF($C173="","",SUMIFS(月1回_前回の在庫を貼る!$N$6:$N$10005,月1回_前回の在庫を貼る!$B$6:$B$10005,'設定（最初に1回）'!$C$4,月1回_前回の在庫を貼る!$I$6:$I$10005,$C173))</f>
        <v/>
      </c>
      <c r="M173" s="69" t="str">
        <f aca="false">IF($C173="","",IF(OR('設定（最初に1回）'!$C$6="",'設定（最初に1回）'!$C$7=""),0,SUMIFS(発注管理!$S$6:$S$1005,発注管理!$C$6:$C$1005,'設定（最初に1回）'!$C$4,発注管理!$F$6:$F$1005,$C173,発注管理!$R$6:$R$1005,"&gt;="&amp;'設定（最初に1回）'!$C$7,発注管理!$R$6:$R$1005,"&lt;="&amp;'設定（最初に1回）'!$C$6)))</f>
        <v/>
      </c>
      <c r="N173" s="69" t="str">
        <f aca="false">IF(OR($C173="",'設定（最初に1回）'!$C$15=0),"",$L173+$M173-$K173)</f>
        <v/>
      </c>
      <c r="O173" s="143" t="str">
        <f aca="false">IF(OR($N173="",'設定（最初に1回）'!$C$8="",'設定（最初に1回）'!$C$8&lt;=0),"",MAX(0,$N173)/'設定（最初に1回）'!$C$8)</f>
        <v/>
      </c>
      <c r="P173" s="143" t="str">
        <f aca="false">IF($C173="","",IFERROR(INDEX(商品マスタ!$M$6:$N$1005,MATCH($C173,商品マスタ!$B$6:$B$1005,0),MATCH("PI値 "&amp;'設定（最初に1回）'!$C$11,商品マスタ!$M$5:$N$5,0)),""))</f>
        <v/>
      </c>
      <c r="Q173" s="143" t="str">
        <f aca="false">IF(OR($C173="",$P173="",$P173=0,(N($I173)+N($AG173))&lt;=0),"",IFERROR(SUMIFS(随時_動員を入れる!$G$8:$G$97,随時_動員を入れる!$B$8:$B$97,"&gt;="&amp;'設定（最初に1回）'!$C$6,随時_動員を入れる!$B$8:$B$97,"&lt;="&amp;'設定（最初に1回）'!$C$6+(N($I173)+N($AG173))-1)/(N($I173)+N($AG173)),0)*$P173/100)</f>
        <v/>
      </c>
      <c r="R173" s="69" t="str">
        <f aca="false">IF($C173="","",SUMIFS(①今日の在庫を貼る!$O$6:$O$10005,①今日の在庫を貼る!$B$6:$B$10005,'設定（最初に1回）'!$C$4,①今日の在庫を貼る!$I$6:$I$10005,$C173))</f>
        <v/>
      </c>
      <c r="S173" s="143" t="str">
        <f aca="false">IF($C173="","",IF('設定（最初に1回）'!$C$9="実績消費",N($O173),IF('設定（最初に1回）'!$C$9="PI値予測",N($Q173),MAX(N($O173),N($Q173)))))</f>
        <v/>
      </c>
      <c r="T173" s="67" t="str">
        <f aca="false">IF(OR($S173="",$S173&lt;=0),"",$K173/$S173)</f>
        <v/>
      </c>
      <c r="U173" s="69" t="str">
        <f aca="false">IF($S173="","",ROUNDUP(N($S173)*'設定（最初に1回）'!$C$12,0))</f>
        <v/>
      </c>
      <c r="V173" s="69" t="str">
        <f aca="false">IF($C173="","",ROUNDUP(N($S173)*(N($I173)+N($AG173))+N($U173),0))</f>
        <v/>
      </c>
      <c r="W173" s="69" t="str">
        <f aca="false">IF($C173="","",SUMIFS(発注管理!$L$6:$L$1005,発注管理!$C$6:$C$1005,'設定（最初に1回）'!$C$4,発注管理!$F$6:$F$1005,$C173,発注管理!$Q$6:$Q$1005,"発注済"))</f>
        <v/>
      </c>
      <c r="X173" s="69" t="str">
        <f aca="false">IF($C173="","",MAX(0,N($V173)-N($K173)-N($W173)))</f>
        <v/>
      </c>
      <c r="Y173" s="147" t="str">
        <f aca="false">IF($C173="","",IF(N($X173)&lt;=0,0,CEILING($X173/MAX(1,N($G173)),MAX(1,N($J173)))))</f>
        <v/>
      </c>
      <c r="Z173" s="138" t="str">
        <f aca="false">IF($C173="","",IF(N($Y173)&gt;0,"要発注","正常"))</f>
        <v/>
      </c>
      <c r="AA173" s="71" t="str">
        <f aca="false">IF($C173="","",N($K173)*N($H173))</f>
        <v/>
      </c>
      <c r="AB173" s="66" t="str">
        <f aca="false">IF($C173="","",_xlfn.TEXTJOIN(" / ",TRUE(),IF(COUNTIF(商品マスタ!$B$6:$B$1005,$C173)=0,"マスタ未登録",""),IF(COUNTIFS(月1回_前回の在庫を貼る!$B$6:$B$10005,'設定（最初に1回）'!$C$4,月1回_前回の在庫を貼る!$I$6:$I$10005,$C173)=0,"新商品",""),IF(COUNTIFS(①今日の在庫を貼る!$B$6:$B$10005,'設定（最初に1回）'!$C$4,①今日の在庫を貼る!$I$6:$I$10005,$C173)=0,"終売候補",""),IF(N($K173)&lt;0,"在庫マイナス",""),IF(AND('設定（最初に1回）'!$C$9="PI値予測",$P173=""),"PI値未設定","")))</f>
        <v/>
      </c>
      <c r="AC173" s="71" t="n">
        <f aca="false">N($Y173)*N($H173)</f>
        <v>0</v>
      </c>
      <c r="AD173" s="66" t="str">
        <f aca="false">IF($C173="","",IFERROR(INDEX(商品マスタ!$K$6:$K$1005,MATCH($C173,商品マスタ!$B$6:$B$1005,0)),"常温"))</f>
        <v/>
      </c>
      <c r="AE173" s="69" t="str">
        <f aca="false">IF($C173="","",MAX(0,ROUNDUP(N($K173)/MAX(1,N($G173)),0)))</f>
        <v/>
      </c>
      <c r="AF173" s="66" t="str">
        <f aca="false">IF($C173="","",IFERROR(INDEX(商品マスタ!$L$6:$L$1005,MATCH($C173,商品マスタ!$B$6:$B$1005,0)),""))</f>
        <v/>
      </c>
      <c r="AG173" s="143" t="str">
        <f aca="false">IF($C173="","",IFERROR(INDEX(定数マスタ!$S$110:$S$119,MATCH($AF173,定数マスタ!$J$110:$J$119,0)),N('設定（最初に1回）'!$C$13)))</f>
        <v/>
      </c>
      <c r="AH173" s="66" t="n">
        <f aca="false">IF(AND(N($K173)&gt;0,N($Y173)&gt;0),N($Y173),0)</f>
        <v>0</v>
      </c>
    </row>
    <row r="174" customFormat="false" ht="15" hidden="false" customHeight="false" outlineLevel="0" collapsed="false">
      <c r="B174" s="66" t="n">
        <v>169</v>
      </c>
      <c r="C174" s="66" t="str">
        <f aca="false">IFERROR(IF($B174&lt;=MAX(①今日の在庫を貼る!$U$6:$U$10005),INDEX(①今日の在庫を貼る!$I$6:$I$10005,MATCH($B174,①今日の在庫を貼る!$U$6:$U$10005,0)),INDEX(月1回_前回の在庫を貼る!$I$6:$I$10005,MATCH($B174-MAX(①今日の在庫を貼る!$U$6:$U$10005),月1回_前回の在庫を貼る!$U$6:$U$10005,0))),"")</f>
        <v/>
      </c>
      <c r="D174" s="66" t="str">
        <f aca="false">IF($C174="","",IFERROR(INDEX(商品マスタ!$C$6:$C$1005,MATCH($C174,商品マスタ!$B$6:$B$1005,0)),IFERROR(INDEX(①今日の在庫を貼る!$J$6:$J$10005,MATCH($C174,①今日の在庫を貼る!$I$6:$I$10005,0)),IFERROR(INDEX(月1回_前回の在庫を貼る!$J$6:$J$10005,MATCH($C174,月1回_前回の在庫を貼る!$I$6:$I$10005,0)),""))))</f>
        <v/>
      </c>
      <c r="E174" s="66" t="str">
        <f aca="false">IF($C174="","",IFERROR(INDEX(商品マスタ!$D$6:$D$1005,MATCH($C174,商品マスタ!$B$6:$B$1005,0)),IFERROR(INDEX(①今日の在庫を貼る!$H$6:$H$10005,MATCH($C174,①今日の在庫を貼る!$I$6:$I$10005,0)),IFERROR(INDEX(月1回_前回の在庫を貼る!$H$6:$H$10005,MATCH($C174,月1回_前回の在庫を貼る!$I$6:$I$10005,0)),""))))</f>
        <v/>
      </c>
      <c r="F174" s="66" t="str">
        <f aca="false">IF($C174="","",IFERROR(INDEX(商品マスタ!$E$6:$E$1005,MATCH($C174,商品マスタ!$B$6:$B$1005,0)),IFERROR(INDEX(①今日の在庫を貼る!$E$6:$E$10005,MATCH($C174,①今日の在庫を貼る!$I$6:$I$10005,0)),IFERROR(INDEX(月1回_前回の在庫を貼る!$E$6:$E$10005,MATCH($C174,月1回_前回の在庫を貼る!$I$6:$I$10005,0)),""))))</f>
        <v/>
      </c>
      <c r="G174" s="69" t="str">
        <f aca="false">IF($C174="","",IFERROR(INDEX(商品マスタ!$F$6:$F$1005,MATCH($C174,商品マスタ!$B$6:$B$1005,0)),IFERROR(INDEX(①今日の在庫を貼る!$K$6:$K$10005,MATCH($C174,①今日の在庫を貼る!$I$6:$I$10005,0)),IFERROR(INDEX(月1回_前回の在庫を貼る!$K$6:$K$10005,MATCH($C174,月1回_前回の在庫を貼る!$I$6:$I$10005,0)),""))))</f>
        <v/>
      </c>
      <c r="H174" s="71" t="str">
        <f aca="false">IF($C174="","",IFERROR(INDEX(商品マスタ!$G$6:$G$1005,MATCH($C174,商品マスタ!$B$6:$B$1005,0)),IFERROR(INDEX(①今日の在庫を貼る!$Q$6:$Q$10005,MATCH($C174,①今日の在庫を貼る!$I$6:$I$10005,0)),IFERROR(INDEX(月1回_前回の在庫を貼る!$Q$6:$Q$10005,MATCH($C174,月1回_前回の在庫を貼る!$I$6:$I$10005,0)),""))))</f>
        <v/>
      </c>
      <c r="I174" s="66" t="str">
        <f aca="false">IF($C174="","",IFERROR(INDEX(商品マスタ!$H$6:$H$1005,MATCH($C174,商品マスタ!$B$6:$B$1005,0)),3))</f>
        <v/>
      </c>
      <c r="J174" s="66" t="str">
        <f aca="false">IF($C174="","",MAX(1,IFERROR(INDEX(商品マスタ!$I$6:$I$1005,MATCH($C174,商品マスタ!$B$6:$B$1005,0)),1)))</f>
        <v/>
      </c>
      <c r="K174" s="69" t="str">
        <f aca="false">IF($C174="","",SUMIFS(①今日の在庫を貼る!$N$6:$N$10005,①今日の在庫を貼る!$B$6:$B$10005,'設定（最初に1回）'!$C$4,①今日の在庫を貼る!$I$6:$I$10005,$C174))</f>
        <v/>
      </c>
      <c r="L174" s="69" t="str">
        <f aca="false">IF($C174="","",SUMIFS(月1回_前回の在庫を貼る!$N$6:$N$10005,月1回_前回の在庫を貼る!$B$6:$B$10005,'設定（最初に1回）'!$C$4,月1回_前回の在庫を貼る!$I$6:$I$10005,$C174))</f>
        <v/>
      </c>
      <c r="M174" s="69" t="str">
        <f aca="false">IF($C174="","",IF(OR('設定（最初に1回）'!$C$6="",'設定（最初に1回）'!$C$7=""),0,SUMIFS(発注管理!$S$6:$S$1005,発注管理!$C$6:$C$1005,'設定（最初に1回）'!$C$4,発注管理!$F$6:$F$1005,$C174,発注管理!$R$6:$R$1005,"&gt;="&amp;'設定（最初に1回）'!$C$7,発注管理!$R$6:$R$1005,"&lt;="&amp;'設定（最初に1回）'!$C$6)))</f>
        <v/>
      </c>
      <c r="N174" s="69" t="str">
        <f aca="false">IF(OR($C174="",'設定（最初に1回）'!$C$15=0),"",$L174+$M174-$K174)</f>
        <v/>
      </c>
      <c r="O174" s="143" t="str">
        <f aca="false">IF(OR($N174="",'設定（最初に1回）'!$C$8="",'設定（最初に1回）'!$C$8&lt;=0),"",MAX(0,$N174)/'設定（最初に1回）'!$C$8)</f>
        <v/>
      </c>
      <c r="P174" s="143" t="str">
        <f aca="false">IF($C174="","",IFERROR(INDEX(商品マスタ!$M$6:$N$1005,MATCH($C174,商品マスタ!$B$6:$B$1005,0),MATCH("PI値 "&amp;'設定（最初に1回）'!$C$11,商品マスタ!$M$5:$N$5,0)),""))</f>
        <v/>
      </c>
      <c r="Q174" s="143" t="str">
        <f aca="false">IF(OR($C174="",$P174="",$P174=0,(N($I174)+N($AG174))&lt;=0),"",IFERROR(SUMIFS(随時_動員を入れる!$G$8:$G$97,随時_動員を入れる!$B$8:$B$97,"&gt;="&amp;'設定（最初に1回）'!$C$6,随時_動員を入れる!$B$8:$B$97,"&lt;="&amp;'設定（最初に1回）'!$C$6+(N($I174)+N($AG174))-1)/(N($I174)+N($AG174)),0)*$P174/100)</f>
        <v/>
      </c>
      <c r="R174" s="69" t="str">
        <f aca="false">IF($C174="","",SUMIFS(①今日の在庫を貼る!$O$6:$O$10005,①今日の在庫を貼る!$B$6:$B$10005,'設定（最初に1回）'!$C$4,①今日の在庫を貼る!$I$6:$I$10005,$C174))</f>
        <v/>
      </c>
      <c r="S174" s="143" t="str">
        <f aca="false">IF($C174="","",IF('設定（最初に1回）'!$C$9="実績消費",N($O174),IF('設定（最初に1回）'!$C$9="PI値予測",N($Q174),MAX(N($O174),N($Q174)))))</f>
        <v/>
      </c>
      <c r="T174" s="67" t="str">
        <f aca="false">IF(OR($S174="",$S174&lt;=0),"",$K174/$S174)</f>
        <v/>
      </c>
      <c r="U174" s="69" t="str">
        <f aca="false">IF($S174="","",ROUNDUP(N($S174)*'設定（最初に1回）'!$C$12,0))</f>
        <v/>
      </c>
      <c r="V174" s="69" t="str">
        <f aca="false">IF($C174="","",ROUNDUP(N($S174)*(N($I174)+N($AG174))+N($U174),0))</f>
        <v/>
      </c>
      <c r="W174" s="69" t="str">
        <f aca="false">IF($C174="","",SUMIFS(発注管理!$L$6:$L$1005,発注管理!$C$6:$C$1005,'設定（最初に1回）'!$C$4,発注管理!$F$6:$F$1005,$C174,発注管理!$Q$6:$Q$1005,"発注済"))</f>
        <v/>
      </c>
      <c r="X174" s="69" t="str">
        <f aca="false">IF($C174="","",MAX(0,N($V174)-N($K174)-N($W174)))</f>
        <v/>
      </c>
      <c r="Y174" s="147" t="str">
        <f aca="false">IF($C174="","",IF(N($X174)&lt;=0,0,CEILING($X174/MAX(1,N($G174)),MAX(1,N($J174)))))</f>
        <v/>
      </c>
      <c r="Z174" s="138" t="str">
        <f aca="false">IF($C174="","",IF(N($Y174)&gt;0,"要発注","正常"))</f>
        <v/>
      </c>
      <c r="AA174" s="71" t="str">
        <f aca="false">IF($C174="","",N($K174)*N($H174))</f>
        <v/>
      </c>
      <c r="AB174" s="66" t="str">
        <f aca="false">IF($C174="","",_xlfn.TEXTJOIN(" / ",TRUE(),IF(COUNTIF(商品マスタ!$B$6:$B$1005,$C174)=0,"マスタ未登録",""),IF(COUNTIFS(月1回_前回の在庫を貼る!$B$6:$B$10005,'設定（最初に1回）'!$C$4,月1回_前回の在庫を貼る!$I$6:$I$10005,$C174)=0,"新商品",""),IF(COUNTIFS(①今日の在庫を貼る!$B$6:$B$10005,'設定（最初に1回）'!$C$4,①今日の在庫を貼る!$I$6:$I$10005,$C174)=0,"終売候補",""),IF(N($K174)&lt;0,"在庫マイナス",""),IF(AND('設定（最初に1回）'!$C$9="PI値予測",$P174=""),"PI値未設定","")))</f>
        <v/>
      </c>
      <c r="AC174" s="71" t="n">
        <f aca="false">N($Y174)*N($H174)</f>
        <v>0</v>
      </c>
      <c r="AD174" s="66" t="str">
        <f aca="false">IF($C174="","",IFERROR(INDEX(商品マスタ!$K$6:$K$1005,MATCH($C174,商品マスタ!$B$6:$B$1005,0)),"常温"))</f>
        <v/>
      </c>
      <c r="AE174" s="69" t="str">
        <f aca="false">IF($C174="","",MAX(0,ROUNDUP(N($K174)/MAX(1,N($G174)),0)))</f>
        <v/>
      </c>
      <c r="AF174" s="66" t="str">
        <f aca="false">IF($C174="","",IFERROR(INDEX(商品マスタ!$L$6:$L$1005,MATCH($C174,商品マスタ!$B$6:$B$1005,0)),""))</f>
        <v/>
      </c>
      <c r="AG174" s="143" t="str">
        <f aca="false">IF($C174="","",IFERROR(INDEX(定数マスタ!$S$110:$S$119,MATCH($AF174,定数マスタ!$J$110:$J$119,0)),N('設定（最初に1回）'!$C$13)))</f>
        <v/>
      </c>
      <c r="AH174" s="66" t="n">
        <f aca="false">IF(AND(N($K174)&gt;0,N($Y174)&gt;0),N($Y174),0)</f>
        <v>0</v>
      </c>
    </row>
    <row r="175" customFormat="false" ht="15" hidden="false" customHeight="false" outlineLevel="0" collapsed="false">
      <c r="B175" s="66" t="n">
        <v>170</v>
      </c>
      <c r="C175" s="66" t="str">
        <f aca="false">IFERROR(IF($B175&lt;=MAX(①今日の在庫を貼る!$U$6:$U$10005),INDEX(①今日の在庫を貼る!$I$6:$I$10005,MATCH($B175,①今日の在庫を貼る!$U$6:$U$10005,0)),INDEX(月1回_前回の在庫を貼る!$I$6:$I$10005,MATCH($B175-MAX(①今日の在庫を貼る!$U$6:$U$10005),月1回_前回の在庫を貼る!$U$6:$U$10005,0))),"")</f>
        <v/>
      </c>
      <c r="D175" s="66" t="str">
        <f aca="false">IF($C175="","",IFERROR(INDEX(商品マスタ!$C$6:$C$1005,MATCH($C175,商品マスタ!$B$6:$B$1005,0)),IFERROR(INDEX(①今日の在庫を貼る!$J$6:$J$10005,MATCH($C175,①今日の在庫を貼る!$I$6:$I$10005,0)),IFERROR(INDEX(月1回_前回の在庫を貼る!$J$6:$J$10005,MATCH($C175,月1回_前回の在庫を貼る!$I$6:$I$10005,0)),""))))</f>
        <v/>
      </c>
      <c r="E175" s="66" t="str">
        <f aca="false">IF($C175="","",IFERROR(INDEX(商品マスタ!$D$6:$D$1005,MATCH($C175,商品マスタ!$B$6:$B$1005,0)),IFERROR(INDEX(①今日の在庫を貼る!$H$6:$H$10005,MATCH($C175,①今日の在庫を貼る!$I$6:$I$10005,0)),IFERROR(INDEX(月1回_前回の在庫を貼る!$H$6:$H$10005,MATCH($C175,月1回_前回の在庫を貼る!$I$6:$I$10005,0)),""))))</f>
        <v/>
      </c>
      <c r="F175" s="66" t="str">
        <f aca="false">IF($C175="","",IFERROR(INDEX(商品マスタ!$E$6:$E$1005,MATCH($C175,商品マスタ!$B$6:$B$1005,0)),IFERROR(INDEX(①今日の在庫を貼る!$E$6:$E$10005,MATCH($C175,①今日の在庫を貼る!$I$6:$I$10005,0)),IFERROR(INDEX(月1回_前回の在庫を貼る!$E$6:$E$10005,MATCH($C175,月1回_前回の在庫を貼る!$I$6:$I$10005,0)),""))))</f>
        <v/>
      </c>
      <c r="G175" s="69" t="str">
        <f aca="false">IF($C175="","",IFERROR(INDEX(商品マスタ!$F$6:$F$1005,MATCH($C175,商品マスタ!$B$6:$B$1005,0)),IFERROR(INDEX(①今日の在庫を貼る!$K$6:$K$10005,MATCH($C175,①今日の在庫を貼る!$I$6:$I$10005,0)),IFERROR(INDEX(月1回_前回の在庫を貼る!$K$6:$K$10005,MATCH($C175,月1回_前回の在庫を貼る!$I$6:$I$10005,0)),""))))</f>
        <v/>
      </c>
      <c r="H175" s="71" t="str">
        <f aca="false">IF($C175="","",IFERROR(INDEX(商品マスタ!$G$6:$G$1005,MATCH($C175,商品マスタ!$B$6:$B$1005,0)),IFERROR(INDEX(①今日の在庫を貼る!$Q$6:$Q$10005,MATCH($C175,①今日の在庫を貼る!$I$6:$I$10005,0)),IFERROR(INDEX(月1回_前回の在庫を貼る!$Q$6:$Q$10005,MATCH($C175,月1回_前回の在庫を貼る!$I$6:$I$10005,0)),""))))</f>
        <v/>
      </c>
      <c r="I175" s="66" t="str">
        <f aca="false">IF($C175="","",IFERROR(INDEX(商品マスタ!$H$6:$H$1005,MATCH($C175,商品マスタ!$B$6:$B$1005,0)),3))</f>
        <v/>
      </c>
      <c r="J175" s="66" t="str">
        <f aca="false">IF($C175="","",MAX(1,IFERROR(INDEX(商品マスタ!$I$6:$I$1005,MATCH($C175,商品マスタ!$B$6:$B$1005,0)),1)))</f>
        <v/>
      </c>
      <c r="K175" s="69" t="str">
        <f aca="false">IF($C175="","",SUMIFS(①今日の在庫を貼る!$N$6:$N$10005,①今日の在庫を貼る!$B$6:$B$10005,'設定（最初に1回）'!$C$4,①今日の在庫を貼る!$I$6:$I$10005,$C175))</f>
        <v/>
      </c>
      <c r="L175" s="69" t="str">
        <f aca="false">IF($C175="","",SUMIFS(月1回_前回の在庫を貼る!$N$6:$N$10005,月1回_前回の在庫を貼る!$B$6:$B$10005,'設定（最初に1回）'!$C$4,月1回_前回の在庫を貼る!$I$6:$I$10005,$C175))</f>
        <v/>
      </c>
      <c r="M175" s="69" t="str">
        <f aca="false">IF($C175="","",IF(OR('設定（最初に1回）'!$C$6="",'設定（最初に1回）'!$C$7=""),0,SUMIFS(発注管理!$S$6:$S$1005,発注管理!$C$6:$C$1005,'設定（最初に1回）'!$C$4,発注管理!$F$6:$F$1005,$C175,発注管理!$R$6:$R$1005,"&gt;="&amp;'設定（最初に1回）'!$C$7,発注管理!$R$6:$R$1005,"&lt;="&amp;'設定（最初に1回）'!$C$6)))</f>
        <v/>
      </c>
      <c r="N175" s="69" t="str">
        <f aca="false">IF(OR($C175="",'設定（最初に1回）'!$C$15=0),"",$L175+$M175-$K175)</f>
        <v/>
      </c>
      <c r="O175" s="143" t="str">
        <f aca="false">IF(OR($N175="",'設定（最初に1回）'!$C$8="",'設定（最初に1回）'!$C$8&lt;=0),"",MAX(0,$N175)/'設定（最初に1回）'!$C$8)</f>
        <v/>
      </c>
      <c r="P175" s="143" t="str">
        <f aca="false">IF($C175="","",IFERROR(INDEX(商品マスタ!$M$6:$N$1005,MATCH($C175,商品マスタ!$B$6:$B$1005,0),MATCH("PI値 "&amp;'設定（最初に1回）'!$C$11,商品マスタ!$M$5:$N$5,0)),""))</f>
        <v/>
      </c>
      <c r="Q175" s="143" t="str">
        <f aca="false">IF(OR($C175="",$P175="",$P175=0,(N($I175)+N($AG175))&lt;=0),"",IFERROR(SUMIFS(随時_動員を入れる!$G$8:$G$97,随時_動員を入れる!$B$8:$B$97,"&gt;="&amp;'設定（最初に1回）'!$C$6,随時_動員を入れる!$B$8:$B$97,"&lt;="&amp;'設定（最初に1回）'!$C$6+(N($I175)+N($AG175))-1)/(N($I175)+N($AG175)),0)*$P175/100)</f>
        <v/>
      </c>
      <c r="R175" s="69" t="str">
        <f aca="false">IF($C175="","",SUMIFS(①今日の在庫を貼る!$O$6:$O$10005,①今日の在庫を貼る!$B$6:$B$10005,'設定（最初に1回）'!$C$4,①今日の在庫を貼る!$I$6:$I$10005,$C175))</f>
        <v/>
      </c>
      <c r="S175" s="143" t="str">
        <f aca="false">IF($C175="","",IF('設定（最初に1回）'!$C$9="実績消費",N($O175),IF('設定（最初に1回）'!$C$9="PI値予測",N($Q175),MAX(N($O175),N($Q175)))))</f>
        <v/>
      </c>
      <c r="T175" s="67" t="str">
        <f aca="false">IF(OR($S175="",$S175&lt;=0),"",$K175/$S175)</f>
        <v/>
      </c>
      <c r="U175" s="69" t="str">
        <f aca="false">IF($S175="","",ROUNDUP(N($S175)*'設定（最初に1回）'!$C$12,0))</f>
        <v/>
      </c>
      <c r="V175" s="69" t="str">
        <f aca="false">IF($C175="","",ROUNDUP(N($S175)*(N($I175)+N($AG175))+N($U175),0))</f>
        <v/>
      </c>
      <c r="W175" s="69" t="str">
        <f aca="false">IF($C175="","",SUMIFS(発注管理!$L$6:$L$1005,発注管理!$C$6:$C$1005,'設定（最初に1回）'!$C$4,発注管理!$F$6:$F$1005,$C175,発注管理!$Q$6:$Q$1005,"発注済"))</f>
        <v/>
      </c>
      <c r="X175" s="69" t="str">
        <f aca="false">IF($C175="","",MAX(0,N($V175)-N($K175)-N($W175)))</f>
        <v/>
      </c>
      <c r="Y175" s="147" t="str">
        <f aca="false">IF($C175="","",IF(N($X175)&lt;=0,0,CEILING($X175/MAX(1,N($G175)),MAX(1,N($J175)))))</f>
        <v/>
      </c>
      <c r="Z175" s="138" t="str">
        <f aca="false">IF($C175="","",IF(N($Y175)&gt;0,"要発注","正常"))</f>
        <v/>
      </c>
      <c r="AA175" s="71" t="str">
        <f aca="false">IF($C175="","",N($K175)*N($H175))</f>
        <v/>
      </c>
      <c r="AB175" s="66" t="str">
        <f aca="false">IF($C175="","",_xlfn.TEXTJOIN(" / ",TRUE(),IF(COUNTIF(商品マスタ!$B$6:$B$1005,$C175)=0,"マスタ未登録",""),IF(COUNTIFS(月1回_前回の在庫を貼る!$B$6:$B$10005,'設定（最初に1回）'!$C$4,月1回_前回の在庫を貼る!$I$6:$I$10005,$C175)=0,"新商品",""),IF(COUNTIFS(①今日の在庫を貼る!$B$6:$B$10005,'設定（最初に1回）'!$C$4,①今日の在庫を貼る!$I$6:$I$10005,$C175)=0,"終売候補",""),IF(N($K175)&lt;0,"在庫マイナス",""),IF(AND('設定（最初に1回）'!$C$9="PI値予測",$P175=""),"PI値未設定","")))</f>
        <v/>
      </c>
      <c r="AC175" s="71" t="n">
        <f aca="false">N($Y175)*N($H175)</f>
        <v>0</v>
      </c>
      <c r="AD175" s="66" t="str">
        <f aca="false">IF($C175="","",IFERROR(INDEX(商品マスタ!$K$6:$K$1005,MATCH($C175,商品マスタ!$B$6:$B$1005,0)),"常温"))</f>
        <v/>
      </c>
      <c r="AE175" s="69" t="str">
        <f aca="false">IF($C175="","",MAX(0,ROUNDUP(N($K175)/MAX(1,N($G175)),0)))</f>
        <v/>
      </c>
      <c r="AF175" s="66" t="str">
        <f aca="false">IF($C175="","",IFERROR(INDEX(商品マスタ!$L$6:$L$1005,MATCH($C175,商品マスタ!$B$6:$B$1005,0)),""))</f>
        <v/>
      </c>
      <c r="AG175" s="143" t="str">
        <f aca="false">IF($C175="","",IFERROR(INDEX(定数マスタ!$S$110:$S$119,MATCH($AF175,定数マスタ!$J$110:$J$119,0)),N('設定（最初に1回）'!$C$13)))</f>
        <v/>
      </c>
      <c r="AH175" s="66" t="n">
        <f aca="false">IF(AND(N($K175)&gt;0,N($Y175)&gt;0),N($Y175),0)</f>
        <v>0</v>
      </c>
    </row>
    <row r="176" customFormat="false" ht="15" hidden="false" customHeight="false" outlineLevel="0" collapsed="false">
      <c r="B176" s="66" t="n">
        <v>171</v>
      </c>
      <c r="C176" s="66" t="str">
        <f aca="false">IFERROR(IF($B176&lt;=MAX(①今日の在庫を貼る!$U$6:$U$10005),INDEX(①今日の在庫を貼る!$I$6:$I$10005,MATCH($B176,①今日の在庫を貼る!$U$6:$U$10005,0)),INDEX(月1回_前回の在庫を貼る!$I$6:$I$10005,MATCH($B176-MAX(①今日の在庫を貼る!$U$6:$U$10005),月1回_前回の在庫を貼る!$U$6:$U$10005,0))),"")</f>
        <v/>
      </c>
      <c r="D176" s="66" t="str">
        <f aca="false">IF($C176="","",IFERROR(INDEX(商品マスタ!$C$6:$C$1005,MATCH($C176,商品マスタ!$B$6:$B$1005,0)),IFERROR(INDEX(①今日の在庫を貼る!$J$6:$J$10005,MATCH($C176,①今日の在庫を貼る!$I$6:$I$10005,0)),IFERROR(INDEX(月1回_前回の在庫を貼る!$J$6:$J$10005,MATCH($C176,月1回_前回の在庫を貼る!$I$6:$I$10005,0)),""))))</f>
        <v/>
      </c>
      <c r="E176" s="66" t="str">
        <f aca="false">IF($C176="","",IFERROR(INDEX(商品マスタ!$D$6:$D$1005,MATCH($C176,商品マスタ!$B$6:$B$1005,0)),IFERROR(INDEX(①今日の在庫を貼る!$H$6:$H$10005,MATCH($C176,①今日の在庫を貼る!$I$6:$I$10005,0)),IFERROR(INDEX(月1回_前回の在庫を貼る!$H$6:$H$10005,MATCH($C176,月1回_前回の在庫を貼る!$I$6:$I$10005,0)),""))))</f>
        <v/>
      </c>
      <c r="F176" s="66" t="str">
        <f aca="false">IF($C176="","",IFERROR(INDEX(商品マスタ!$E$6:$E$1005,MATCH($C176,商品マスタ!$B$6:$B$1005,0)),IFERROR(INDEX(①今日の在庫を貼る!$E$6:$E$10005,MATCH($C176,①今日の在庫を貼る!$I$6:$I$10005,0)),IFERROR(INDEX(月1回_前回の在庫を貼る!$E$6:$E$10005,MATCH($C176,月1回_前回の在庫を貼る!$I$6:$I$10005,0)),""))))</f>
        <v/>
      </c>
      <c r="G176" s="69" t="str">
        <f aca="false">IF($C176="","",IFERROR(INDEX(商品マスタ!$F$6:$F$1005,MATCH($C176,商品マスタ!$B$6:$B$1005,0)),IFERROR(INDEX(①今日の在庫を貼る!$K$6:$K$10005,MATCH($C176,①今日の在庫を貼る!$I$6:$I$10005,0)),IFERROR(INDEX(月1回_前回の在庫を貼る!$K$6:$K$10005,MATCH($C176,月1回_前回の在庫を貼る!$I$6:$I$10005,0)),""))))</f>
        <v/>
      </c>
      <c r="H176" s="71" t="str">
        <f aca="false">IF($C176="","",IFERROR(INDEX(商品マスタ!$G$6:$G$1005,MATCH($C176,商品マスタ!$B$6:$B$1005,0)),IFERROR(INDEX(①今日の在庫を貼る!$Q$6:$Q$10005,MATCH($C176,①今日の在庫を貼る!$I$6:$I$10005,0)),IFERROR(INDEX(月1回_前回の在庫を貼る!$Q$6:$Q$10005,MATCH($C176,月1回_前回の在庫を貼る!$I$6:$I$10005,0)),""))))</f>
        <v/>
      </c>
      <c r="I176" s="66" t="str">
        <f aca="false">IF($C176="","",IFERROR(INDEX(商品マスタ!$H$6:$H$1005,MATCH($C176,商品マスタ!$B$6:$B$1005,0)),3))</f>
        <v/>
      </c>
      <c r="J176" s="66" t="str">
        <f aca="false">IF($C176="","",MAX(1,IFERROR(INDEX(商品マスタ!$I$6:$I$1005,MATCH($C176,商品マスタ!$B$6:$B$1005,0)),1)))</f>
        <v/>
      </c>
      <c r="K176" s="69" t="str">
        <f aca="false">IF($C176="","",SUMIFS(①今日の在庫を貼る!$N$6:$N$10005,①今日の在庫を貼る!$B$6:$B$10005,'設定（最初に1回）'!$C$4,①今日の在庫を貼る!$I$6:$I$10005,$C176))</f>
        <v/>
      </c>
      <c r="L176" s="69" t="str">
        <f aca="false">IF($C176="","",SUMIFS(月1回_前回の在庫を貼る!$N$6:$N$10005,月1回_前回の在庫を貼る!$B$6:$B$10005,'設定（最初に1回）'!$C$4,月1回_前回の在庫を貼る!$I$6:$I$10005,$C176))</f>
        <v/>
      </c>
      <c r="M176" s="69" t="str">
        <f aca="false">IF($C176="","",IF(OR('設定（最初に1回）'!$C$6="",'設定（最初に1回）'!$C$7=""),0,SUMIFS(発注管理!$S$6:$S$1005,発注管理!$C$6:$C$1005,'設定（最初に1回）'!$C$4,発注管理!$F$6:$F$1005,$C176,発注管理!$R$6:$R$1005,"&gt;="&amp;'設定（最初に1回）'!$C$7,発注管理!$R$6:$R$1005,"&lt;="&amp;'設定（最初に1回）'!$C$6)))</f>
        <v/>
      </c>
      <c r="N176" s="69" t="str">
        <f aca="false">IF(OR($C176="",'設定（最初に1回）'!$C$15=0),"",$L176+$M176-$K176)</f>
        <v/>
      </c>
      <c r="O176" s="143" t="str">
        <f aca="false">IF(OR($N176="",'設定（最初に1回）'!$C$8="",'設定（最初に1回）'!$C$8&lt;=0),"",MAX(0,$N176)/'設定（最初に1回）'!$C$8)</f>
        <v/>
      </c>
      <c r="P176" s="143" t="str">
        <f aca="false">IF($C176="","",IFERROR(INDEX(商品マスタ!$M$6:$N$1005,MATCH($C176,商品マスタ!$B$6:$B$1005,0),MATCH("PI値 "&amp;'設定（最初に1回）'!$C$11,商品マスタ!$M$5:$N$5,0)),""))</f>
        <v/>
      </c>
      <c r="Q176" s="143" t="str">
        <f aca="false">IF(OR($C176="",$P176="",$P176=0,(N($I176)+N($AG176))&lt;=0),"",IFERROR(SUMIFS(随時_動員を入れる!$G$8:$G$97,随時_動員を入れる!$B$8:$B$97,"&gt;="&amp;'設定（最初に1回）'!$C$6,随時_動員を入れる!$B$8:$B$97,"&lt;="&amp;'設定（最初に1回）'!$C$6+(N($I176)+N($AG176))-1)/(N($I176)+N($AG176)),0)*$P176/100)</f>
        <v/>
      </c>
      <c r="R176" s="69" t="str">
        <f aca="false">IF($C176="","",SUMIFS(①今日の在庫を貼る!$O$6:$O$10005,①今日の在庫を貼る!$B$6:$B$10005,'設定（最初に1回）'!$C$4,①今日の在庫を貼る!$I$6:$I$10005,$C176))</f>
        <v/>
      </c>
      <c r="S176" s="143" t="str">
        <f aca="false">IF($C176="","",IF('設定（最初に1回）'!$C$9="実績消費",N($O176),IF('設定（最初に1回）'!$C$9="PI値予測",N($Q176),MAX(N($O176),N($Q176)))))</f>
        <v/>
      </c>
      <c r="T176" s="67" t="str">
        <f aca="false">IF(OR($S176="",$S176&lt;=0),"",$K176/$S176)</f>
        <v/>
      </c>
      <c r="U176" s="69" t="str">
        <f aca="false">IF($S176="","",ROUNDUP(N($S176)*'設定（最初に1回）'!$C$12,0))</f>
        <v/>
      </c>
      <c r="V176" s="69" t="str">
        <f aca="false">IF($C176="","",ROUNDUP(N($S176)*(N($I176)+N($AG176))+N($U176),0))</f>
        <v/>
      </c>
      <c r="W176" s="69" t="str">
        <f aca="false">IF($C176="","",SUMIFS(発注管理!$L$6:$L$1005,発注管理!$C$6:$C$1005,'設定（最初に1回）'!$C$4,発注管理!$F$6:$F$1005,$C176,発注管理!$Q$6:$Q$1005,"発注済"))</f>
        <v/>
      </c>
      <c r="X176" s="69" t="str">
        <f aca="false">IF($C176="","",MAX(0,N($V176)-N($K176)-N($W176)))</f>
        <v/>
      </c>
      <c r="Y176" s="147" t="str">
        <f aca="false">IF($C176="","",IF(N($X176)&lt;=0,0,CEILING($X176/MAX(1,N($G176)),MAX(1,N($J176)))))</f>
        <v/>
      </c>
      <c r="Z176" s="138" t="str">
        <f aca="false">IF($C176="","",IF(N($Y176)&gt;0,"要発注","正常"))</f>
        <v/>
      </c>
      <c r="AA176" s="71" t="str">
        <f aca="false">IF($C176="","",N($K176)*N($H176))</f>
        <v/>
      </c>
      <c r="AB176" s="66" t="str">
        <f aca="false">IF($C176="","",_xlfn.TEXTJOIN(" / ",TRUE(),IF(COUNTIF(商品マスタ!$B$6:$B$1005,$C176)=0,"マスタ未登録",""),IF(COUNTIFS(月1回_前回の在庫を貼る!$B$6:$B$10005,'設定（最初に1回）'!$C$4,月1回_前回の在庫を貼る!$I$6:$I$10005,$C176)=0,"新商品",""),IF(COUNTIFS(①今日の在庫を貼る!$B$6:$B$10005,'設定（最初に1回）'!$C$4,①今日の在庫を貼る!$I$6:$I$10005,$C176)=0,"終売候補",""),IF(N($K176)&lt;0,"在庫マイナス",""),IF(AND('設定（最初に1回）'!$C$9="PI値予測",$P176=""),"PI値未設定","")))</f>
        <v/>
      </c>
      <c r="AC176" s="71" t="n">
        <f aca="false">N($Y176)*N($H176)</f>
        <v>0</v>
      </c>
      <c r="AD176" s="66" t="str">
        <f aca="false">IF($C176="","",IFERROR(INDEX(商品マスタ!$K$6:$K$1005,MATCH($C176,商品マスタ!$B$6:$B$1005,0)),"常温"))</f>
        <v/>
      </c>
      <c r="AE176" s="69" t="str">
        <f aca="false">IF($C176="","",MAX(0,ROUNDUP(N($K176)/MAX(1,N($G176)),0)))</f>
        <v/>
      </c>
      <c r="AF176" s="66" t="str">
        <f aca="false">IF($C176="","",IFERROR(INDEX(商品マスタ!$L$6:$L$1005,MATCH($C176,商品マスタ!$B$6:$B$1005,0)),""))</f>
        <v/>
      </c>
      <c r="AG176" s="143" t="str">
        <f aca="false">IF($C176="","",IFERROR(INDEX(定数マスタ!$S$110:$S$119,MATCH($AF176,定数マスタ!$J$110:$J$119,0)),N('設定（最初に1回）'!$C$13)))</f>
        <v/>
      </c>
      <c r="AH176" s="66" t="n">
        <f aca="false">IF(AND(N($K176)&gt;0,N($Y176)&gt;0),N($Y176),0)</f>
        <v>0</v>
      </c>
    </row>
    <row r="177" customFormat="false" ht="15" hidden="false" customHeight="false" outlineLevel="0" collapsed="false">
      <c r="B177" s="66" t="n">
        <v>172</v>
      </c>
      <c r="C177" s="66" t="str">
        <f aca="false">IFERROR(IF($B177&lt;=MAX(①今日の在庫を貼る!$U$6:$U$10005),INDEX(①今日の在庫を貼る!$I$6:$I$10005,MATCH($B177,①今日の在庫を貼る!$U$6:$U$10005,0)),INDEX(月1回_前回の在庫を貼る!$I$6:$I$10005,MATCH($B177-MAX(①今日の在庫を貼る!$U$6:$U$10005),月1回_前回の在庫を貼る!$U$6:$U$10005,0))),"")</f>
        <v/>
      </c>
      <c r="D177" s="66" t="str">
        <f aca="false">IF($C177="","",IFERROR(INDEX(商品マスタ!$C$6:$C$1005,MATCH($C177,商品マスタ!$B$6:$B$1005,0)),IFERROR(INDEX(①今日の在庫を貼る!$J$6:$J$10005,MATCH($C177,①今日の在庫を貼る!$I$6:$I$10005,0)),IFERROR(INDEX(月1回_前回の在庫を貼る!$J$6:$J$10005,MATCH($C177,月1回_前回の在庫を貼る!$I$6:$I$10005,0)),""))))</f>
        <v/>
      </c>
      <c r="E177" s="66" t="str">
        <f aca="false">IF($C177="","",IFERROR(INDEX(商品マスタ!$D$6:$D$1005,MATCH($C177,商品マスタ!$B$6:$B$1005,0)),IFERROR(INDEX(①今日の在庫を貼る!$H$6:$H$10005,MATCH($C177,①今日の在庫を貼る!$I$6:$I$10005,0)),IFERROR(INDEX(月1回_前回の在庫を貼る!$H$6:$H$10005,MATCH($C177,月1回_前回の在庫を貼る!$I$6:$I$10005,0)),""))))</f>
        <v/>
      </c>
      <c r="F177" s="66" t="str">
        <f aca="false">IF($C177="","",IFERROR(INDEX(商品マスタ!$E$6:$E$1005,MATCH($C177,商品マスタ!$B$6:$B$1005,0)),IFERROR(INDEX(①今日の在庫を貼る!$E$6:$E$10005,MATCH($C177,①今日の在庫を貼る!$I$6:$I$10005,0)),IFERROR(INDEX(月1回_前回の在庫を貼る!$E$6:$E$10005,MATCH($C177,月1回_前回の在庫を貼る!$I$6:$I$10005,0)),""))))</f>
        <v/>
      </c>
      <c r="G177" s="69" t="str">
        <f aca="false">IF($C177="","",IFERROR(INDEX(商品マスタ!$F$6:$F$1005,MATCH($C177,商品マスタ!$B$6:$B$1005,0)),IFERROR(INDEX(①今日の在庫を貼る!$K$6:$K$10005,MATCH($C177,①今日の在庫を貼る!$I$6:$I$10005,0)),IFERROR(INDEX(月1回_前回の在庫を貼る!$K$6:$K$10005,MATCH($C177,月1回_前回の在庫を貼る!$I$6:$I$10005,0)),""))))</f>
        <v/>
      </c>
      <c r="H177" s="71" t="str">
        <f aca="false">IF($C177="","",IFERROR(INDEX(商品マスタ!$G$6:$G$1005,MATCH($C177,商品マスタ!$B$6:$B$1005,0)),IFERROR(INDEX(①今日の在庫を貼る!$Q$6:$Q$10005,MATCH($C177,①今日の在庫を貼る!$I$6:$I$10005,0)),IFERROR(INDEX(月1回_前回の在庫を貼る!$Q$6:$Q$10005,MATCH($C177,月1回_前回の在庫を貼る!$I$6:$I$10005,0)),""))))</f>
        <v/>
      </c>
      <c r="I177" s="66" t="str">
        <f aca="false">IF($C177="","",IFERROR(INDEX(商品マスタ!$H$6:$H$1005,MATCH($C177,商品マスタ!$B$6:$B$1005,0)),3))</f>
        <v/>
      </c>
      <c r="J177" s="66" t="str">
        <f aca="false">IF($C177="","",MAX(1,IFERROR(INDEX(商品マスタ!$I$6:$I$1005,MATCH($C177,商品マスタ!$B$6:$B$1005,0)),1)))</f>
        <v/>
      </c>
      <c r="K177" s="69" t="str">
        <f aca="false">IF($C177="","",SUMIFS(①今日の在庫を貼る!$N$6:$N$10005,①今日の在庫を貼る!$B$6:$B$10005,'設定（最初に1回）'!$C$4,①今日の在庫を貼る!$I$6:$I$10005,$C177))</f>
        <v/>
      </c>
      <c r="L177" s="69" t="str">
        <f aca="false">IF($C177="","",SUMIFS(月1回_前回の在庫を貼る!$N$6:$N$10005,月1回_前回の在庫を貼る!$B$6:$B$10005,'設定（最初に1回）'!$C$4,月1回_前回の在庫を貼る!$I$6:$I$10005,$C177))</f>
        <v/>
      </c>
      <c r="M177" s="69" t="str">
        <f aca="false">IF($C177="","",IF(OR('設定（最初に1回）'!$C$6="",'設定（最初に1回）'!$C$7=""),0,SUMIFS(発注管理!$S$6:$S$1005,発注管理!$C$6:$C$1005,'設定（最初に1回）'!$C$4,発注管理!$F$6:$F$1005,$C177,発注管理!$R$6:$R$1005,"&gt;="&amp;'設定（最初に1回）'!$C$7,発注管理!$R$6:$R$1005,"&lt;="&amp;'設定（最初に1回）'!$C$6)))</f>
        <v/>
      </c>
      <c r="N177" s="69" t="str">
        <f aca="false">IF(OR($C177="",'設定（最初に1回）'!$C$15=0),"",$L177+$M177-$K177)</f>
        <v/>
      </c>
      <c r="O177" s="143" t="str">
        <f aca="false">IF(OR($N177="",'設定（最初に1回）'!$C$8="",'設定（最初に1回）'!$C$8&lt;=0),"",MAX(0,$N177)/'設定（最初に1回）'!$C$8)</f>
        <v/>
      </c>
      <c r="P177" s="143" t="str">
        <f aca="false">IF($C177="","",IFERROR(INDEX(商品マスタ!$M$6:$N$1005,MATCH($C177,商品マスタ!$B$6:$B$1005,0),MATCH("PI値 "&amp;'設定（最初に1回）'!$C$11,商品マスタ!$M$5:$N$5,0)),""))</f>
        <v/>
      </c>
      <c r="Q177" s="143" t="str">
        <f aca="false">IF(OR($C177="",$P177="",$P177=0,(N($I177)+N($AG177))&lt;=0),"",IFERROR(SUMIFS(随時_動員を入れる!$G$8:$G$97,随時_動員を入れる!$B$8:$B$97,"&gt;="&amp;'設定（最初に1回）'!$C$6,随時_動員を入れる!$B$8:$B$97,"&lt;="&amp;'設定（最初に1回）'!$C$6+(N($I177)+N($AG177))-1)/(N($I177)+N($AG177)),0)*$P177/100)</f>
        <v/>
      </c>
      <c r="R177" s="69" t="str">
        <f aca="false">IF($C177="","",SUMIFS(①今日の在庫を貼る!$O$6:$O$10005,①今日の在庫を貼る!$B$6:$B$10005,'設定（最初に1回）'!$C$4,①今日の在庫を貼る!$I$6:$I$10005,$C177))</f>
        <v/>
      </c>
      <c r="S177" s="143" t="str">
        <f aca="false">IF($C177="","",IF('設定（最初に1回）'!$C$9="実績消費",N($O177),IF('設定（最初に1回）'!$C$9="PI値予測",N($Q177),MAX(N($O177),N($Q177)))))</f>
        <v/>
      </c>
      <c r="T177" s="67" t="str">
        <f aca="false">IF(OR($S177="",$S177&lt;=0),"",$K177/$S177)</f>
        <v/>
      </c>
      <c r="U177" s="69" t="str">
        <f aca="false">IF($S177="","",ROUNDUP(N($S177)*'設定（最初に1回）'!$C$12,0))</f>
        <v/>
      </c>
      <c r="V177" s="69" t="str">
        <f aca="false">IF($C177="","",ROUNDUP(N($S177)*(N($I177)+N($AG177))+N($U177),0))</f>
        <v/>
      </c>
      <c r="W177" s="69" t="str">
        <f aca="false">IF($C177="","",SUMIFS(発注管理!$L$6:$L$1005,発注管理!$C$6:$C$1005,'設定（最初に1回）'!$C$4,発注管理!$F$6:$F$1005,$C177,発注管理!$Q$6:$Q$1005,"発注済"))</f>
        <v/>
      </c>
      <c r="X177" s="69" t="str">
        <f aca="false">IF($C177="","",MAX(0,N($V177)-N($K177)-N($W177)))</f>
        <v/>
      </c>
      <c r="Y177" s="147" t="str">
        <f aca="false">IF($C177="","",IF(N($X177)&lt;=0,0,CEILING($X177/MAX(1,N($G177)),MAX(1,N($J177)))))</f>
        <v/>
      </c>
      <c r="Z177" s="138" t="str">
        <f aca="false">IF($C177="","",IF(N($Y177)&gt;0,"要発注","正常"))</f>
        <v/>
      </c>
      <c r="AA177" s="71" t="str">
        <f aca="false">IF($C177="","",N($K177)*N($H177))</f>
        <v/>
      </c>
      <c r="AB177" s="66" t="str">
        <f aca="false">IF($C177="","",_xlfn.TEXTJOIN(" / ",TRUE(),IF(COUNTIF(商品マスタ!$B$6:$B$1005,$C177)=0,"マスタ未登録",""),IF(COUNTIFS(月1回_前回の在庫を貼る!$B$6:$B$10005,'設定（最初に1回）'!$C$4,月1回_前回の在庫を貼る!$I$6:$I$10005,$C177)=0,"新商品",""),IF(COUNTIFS(①今日の在庫を貼る!$B$6:$B$10005,'設定（最初に1回）'!$C$4,①今日の在庫を貼る!$I$6:$I$10005,$C177)=0,"終売候補",""),IF(N($K177)&lt;0,"在庫マイナス",""),IF(AND('設定（最初に1回）'!$C$9="PI値予測",$P177=""),"PI値未設定","")))</f>
        <v/>
      </c>
      <c r="AC177" s="71" t="n">
        <f aca="false">N($Y177)*N($H177)</f>
        <v>0</v>
      </c>
      <c r="AD177" s="66" t="str">
        <f aca="false">IF($C177="","",IFERROR(INDEX(商品マスタ!$K$6:$K$1005,MATCH($C177,商品マスタ!$B$6:$B$1005,0)),"常温"))</f>
        <v/>
      </c>
      <c r="AE177" s="69" t="str">
        <f aca="false">IF($C177="","",MAX(0,ROUNDUP(N($K177)/MAX(1,N($G177)),0)))</f>
        <v/>
      </c>
      <c r="AF177" s="66" t="str">
        <f aca="false">IF($C177="","",IFERROR(INDEX(商品マスタ!$L$6:$L$1005,MATCH($C177,商品マスタ!$B$6:$B$1005,0)),""))</f>
        <v/>
      </c>
      <c r="AG177" s="143" t="str">
        <f aca="false">IF($C177="","",IFERROR(INDEX(定数マスタ!$S$110:$S$119,MATCH($AF177,定数マスタ!$J$110:$J$119,0)),N('設定（最初に1回）'!$C$13)))</f>
        <v/>
      </c>
      <c r="AH177" s="66" t="n">
        <f aca="false">IF(AND(N($K177)&gt;0,N($Y177)&gt;0),N($Y177),0)</f>
        <v>0</v>
      </c>
    </row>
    <row r="178" customFormat="false" ht="15" hidden="false" customHeight="false" outlineLevel="0" collapsed="false">
      <c r="B178" s="66" t="n">
        <v>173</v>
      </c>
      <c r="C178" s="66" t="str">
        <f aca="false">IFERROR(IF($B178&lt;=MAX(①今日の在庫を貼る!$U$6:$U$10005),INDEX(①今日の在庫を貼る!$I$6:$I$10005,MATCH($B178,①今日の在庫を貼る!$U$6:$U$10005,0)),INDEX(月1回_前回の在庫を貼る!$I$6:$I$10005,MATCH($B178-MAX(①今日の在庫を貼る!$U$6:$U$10005),月1回_前回の在庫を貼る!$U$6:$U$10005,0))),"")</f>
        <v/>
      </c>
      <c r="D178" s="66" t="str">
        <f aca="false">IF($C178="","",IFERROR(INDEX(商品マスタ!$C$6:$C$1005,MATCH($C178,商品マスタ!$B$6:$B$1005,0)),IFERROR(INDEX(①今日の在庫を貼る!$J$6:$J$10005,MATCH($C178,①今日の在庫を貼る!$I$6:$I$10005,0)),IFERROR(INDEX(月1回_前回の在庫を貼る!$J$6:$J$10005,MATCH($C178,月1回_前回の在庫を貼る!$I$6:$I$10005,0)),""))))</f>
        <v/>
      </c>
      <c r="E178" s="66" t="str">
        <f aca="false">IF($C178="","",IFERROR(INDEX(商品マスタ!$D$6:$D$1005,MATCH($C178,商品マスタ!$B$6:$B$1005,0)),IFERROR(INDEX(①今日の在庫を貼る!$H$6:$H$10005,MATCH($C178,①今日の在庫を貼る!$I$6:$I$10005,0)),IFERROR(INDEX(月1回_前回の在庫を貼る!$H$6:$H$10005,MATCH($C178,月1回_前回の在庫を貼る!$I$6:$I$10005,0)),""))))</f>
        <v/>
      </c>
      <c r="F178" s="66" t="str">
        <f aca="false">IF($C178="","",IFERROR(INDEX(商品マスタ!$E$6:$E$1005,MATCH($C178,商品マスタ!$B$6:$B$1005,0)),IFERROR(INDEX(①今日の在庫を貼る!$E$6:$E$10005,MATCH($C178,①今日の在庫を貼る!$I$6:$I$10005,0)),IFERROR(INDEX(月1回_前回の在庫を貼る!$E$6:$E$10005,MATCH($C178,月1回_前回の在庫を貼る!$I$6:$I$10005,0)),""))))</f>
        <v/>
      </c>
      <c r="G178" s="69" t="str">
        <f aca="false">IF($C178="","",IFERROR(INDEX(商品マスタ!$F$6:$F$1005,MATCH($C178,商品マスタ!$B$6:$B$1005,0)),IFERROR(INDEX(①今日の在庫を貼る!$K$6:$K$10005,MATCH($C178,①今日の在庫を貼る!$I$6:$I$10005,0)),IFERROR(INDEX(月1回_前回の在庫を貼る!$K$6:$K$10005,MATCH($C178,月1回_前回の在庫を貼る!$I$6:$I$10005,0)),""))))</f>
        <v/>
      </c>
      <c r="H178" s="71" t="str">
        <f aca="false">IF($C178="","",IFERROR(INDEX(商品マスタ!$G$6:$G$1005,MATCH($C178,商品マスタ!$B$6:$B$1005,0)),IFERROR(INDEX(①今日の在庫を貼る!$Q$6:$Q$10005,MATCH($C178,①今日の在庫を貼る!$I$6:$I$10005,0)),IFERROR(INDEX(月1回_前回の在庫を貼る!$Q$6:$Q$10005,MATCH($C178,月1回_前回の在庫を貼る!$I$6:$I$10005,0)),""))))</f>
        <v/>
      </c>
      <c r="I178" s="66" t="str">
        <f aca="false">IF($C178="","",IFERROR(INDEX(商品マスタ!$H$6:$H$1005,MATCH($C178,商品マスタ!$B$6:$B$1005,0)),3))</f>
        <v/>
      </c>
      <c r="J178" s="66" t="str">
        <f aca="false">IF($C178="","",MAX(1,IFERROR(INDEX(商品マスタ!$I$6:$I$1005,MATCH($C178,商品マスタ!$B$6:$B$1005,0)),1)))</f>
        <v/>
      </c>
      <c r="K178" s="69" t="str">
        <f aca="false">IF($C178="","",SUMIFS(①今日の在庫を貼る!$N$6:$N$10005,①今日の在庫を貼る!$B$6:$B$10005,'設定（最初に1回）'!$C$4,①今日の在庫を貼る!$I$6:$I$10005,$C178))</f>
        <v/>
      </c>
      <c r="L178" s="69" t="str">
        <f aca="false">IF($C178="","",SUMIFS(月1回_前回の在庫を貼る!$N$6:$N$10005,月1回_前回の在庫を貼る!$B$6:$B$10005,'設定（最初に1回）'!$C$4,月1回_前回の在庫を貼る!$I$6:$I$10005,$C178))</f>
        <v/>
      </c>
      <c r="M178" s="69" t="str">
        <f aca="false">IF($C178="","",IF(OR('設定（最初に1回）'!$C$6="",'設定（最初に1回）'!$C$7=""),0,SUMIFS(発注管理!$S$6:$S$1005,発注管理!$C$6:$C$1005,'設定（最初に1回）'!$C$4,発注管理!$F$6:$F$1005,$C178,発注管理!$R$6:$R$1005,"&gt;="&amp;'設定（最初に1回）'!$C$7,発注管理!$R$6:$R$1005,"&lt;="&amp;'設定（最初に1回）'!$C$6)))</f>
        <v/>
      </c>
      <c r="N178" s="69" t="str">
        <f aca="false">IF(OR($C178="",'設定（最初に1回）'!$C$15=0),"",$L178+$M178-$K178)</f>
        <v/>
      </c>
      <c r="O178" s="143" t="str">
        <f aca="false">IF(OR($N178="",'設定（最初に1回）'!$C$8="",'設定（最初に1回）'!$C$8&lt;=0),"",MAX(0,$N178)/'設定（最初に1回）'!$C$8)</f>
        <v/>
      </c>
      <c r="P178" s="143" t="str">
        <f aca="false">IF($C178="","",IFERROR(INDEX(商品マスタ!$M$6:$N$1005,MATCH($C178,商品マスタ!$B$6:$B$1005,0),MATCH("PI値 "&amp;'設定（最初に1回）'!$C$11,商品マスタ!$M$5:$N$5,0)),""))</f>
        <v/>
      </c>
      <c r="Q178" s="143" t="str">
        <f aca="false">IF(OR($C178="",$P178="",$P178=0,(N($I178)+N($AG178))&lt;=0),"",IFERROR(SUMIFS(随時_動員を入れる!$G$8:$G$97,随時_動員を入れる!$B$8:$B$97,"&gt;="&amp;'設定（最初に1回）'!$C$6,随時_動員を入れる!$B$8:$B$97,"&lt;="&amp;'設定（最初に1回）'!$C$6+(N($I178)+N($AG178))-1)/(N($I178)+N($AG178)),0)*$P178/100)</f>
        <v/>
      </c>
      <c r="R178" s="69" t="str">
        <f aca="false">IF($C178="","",SUMIFS(①今日の在庫を貼る!$O$6:$O$10005,①今日の在庫を貼る!$B$6:$B$10005,'設定（最初に1回）'!$C$4,①今日の在庫を貼る!$I$6:$I$10005,$C178))</f>
        <v/>
      </c>
      <c r="S178" s="143" t="str">
        <f aca="false">IF($C178="","",IF('設定（最初に1回）'!$C$9="実績消費",N($O178),IF('設定（最初に1回）'!$C$9="PI値予測",N($Q178),MAX(N($O178),N($Q178)))))</f>
        <v/>
      </c>
      <c r="T178" s="67" t="str">
        <f aca="false">IF(OR($S178="",$S178&lt;=0),"",$K178/$S178)</f>
        <v/>
      </c>
      <c r="U178" s="69" t="str">
        <f aca="false">IF($S178="","",ROUNDUP(N($S178)*'設定（最初に1回）'!$C$12,0))</f>
        <v/>
      </c>
      <c r="V178" s="69" t="str">
        <f aca="false">IF($C178="","",ROUNDUP(N($S178)*(N($I178)+N($AG178))+N($U178),0))</f>
        <v/>
      </c>
      <c r="W178" s="69" t="str">
        <f aca="false">IF($C178="","",SUMIFS(発注管理!$L$6:$L$1005,発注管理!$C$6:$C$1005,'設定（最初に1回）'!$C$4,発注管理!$F$6:$F$1005,$C178,発注管理!$Q$6:$Q$1005,"発注済"))</f>
        <v/>
      </c>
      <c r="X178" s="69" t="str">
        <f aca="false">IF($C178="","",MAX(0,N($V178)-N($K178)-N($W178)))</f>
        <v/>
      </c>
      <c r="Y178" s="147" t="str">
        <f aca="false">IF($C178="","",IF(N($X178)&lt;=0,0,CEILING($X178/MAX(1,N($G178)),MAX(1,N($J178)))))</f>
        <v/>
      </c>
      <c r="Z178" s="138" t="str">
        <f aca="false">IF($C178="","",IF(N($Y178)&gt;0,"要発注","正常"))</f>
        <v/>
      </c>
      <c r="AA178" s="71" t="str">
        <f aca="false">IF($C178="","",N($K178)*N($H178))</f>
        <v/>
      </c>
      <c r="AB178" s="66" t="str">
        <f aca="false">IF($C178="","",_xlfn.TEXTJOIN(" / ",TRUE(),IF(COUNTIF(商品マスタ!$B$6:$B$1005,$C178)=0,"マスタ未登録",""),IF(COUNTIFS(月1回_前回の在庫を貼る!$B$6:$B$10005,'設定（最初に1回）'!$C$4,月1回_前回の在庫を貼る!$I$6:$I$10005,$C178)=0,"新商品",""),IF(COUNTIFS(①今日の在庫を貼る!$B$6:$B$10005,'設定（最初に1回）'!$C$4,①今日の在庫を貼る!$I$6:$I$10005,$C178)=0,"終売候補",""),IF(N($K178)&lt;0,"在庫マイナス",""),IF(AND('設定（最初に1回）'!$C$9="PI値予測",$P178=""),"PI値未設定","")))</f>
        <v/>
      </c>
      <c r="AC178" s="71" t="n">
        <f aca="false">N($Y178)*N($H178)</f>
        <v>0</v>
      </c>
      <c r="AD178" s="66" t="str">
        <f aca="false">IF($C178="","",IFERROR(INDEX(商品マスタ!$K$6:$K$1005,MATCH($C178,商品マスタ!$B$6:$B$1005,0)),"常温"))</f>
        <v/>
      </c>
      <c r="AE178" s="69" t="str">
        <f aca="false">IF($C178="","",MAX(0,ROUNDUP(N($K178)/MAX(1,N($G178)),0)))</f>
        <v/>
      </c>
      <c r="AF178" s="66" t="str">
        <f aca="false">IF($C178="","",IFERROR(INDEX(商品マスタ!$L$6:$L$1005,MATCH($C178,商品マスタ!$B$6:$B$1005,0)),""))</f>
        <v/>
      </c>
      <c r="AG178" s="143" t="str">
        <f aca="false">IF($C178="","",IFERROR(INDEX(定数マスタ!$S$110:$S$119,MATCH($AF178,定数マスタ!$J$110:$J$119,0)),N('設定（最初に1回）'!$C$13)))</f>
        <v/>
      </c>
      <c r="AH178" s="66" t="n">
        <f aca="false">IF(AND(N($K178)&gt;0,N($Y178)&gt;0),N($Y178),0)</f>
        <v>0</v>
      </c>
    </row>
    <row r="179" customFormat="false" ht="15" hidden="false" customHeight="false" outlineLevel="0" collapsed="false">
      <c r="B179" s="66" t="n">
        <v>174</v>
      </c>
      <c r="C179" s="66" t="str">
        <f aca="false">IFERROR(IF($B179&lt;=MAX(①今日の在庫を貼る!$U$6:$U$10005),INDEX(①今日の在庫を貼る!$I$6:$I$10005,MATCH($B179,①今日の在庫を貼る!$U$6:$U$10005,0)),INDEX(月1回_前回の在庫を貼る!$I$6:$I$10005,MATCH($B179-MAX(①今日の在庫を貼る!$U$6:$U$10005),月1回_前回の在庫を貼る!$U$6:$U$10005,0))),"")</f>
        <v/>
      </c>
      <c r="D179" s="66" t="str">
        <f aca="false">IF($C179="","",IFERROR(INDEX(商品マスタ!$C$6:$C$1005,MATCH($C179,商品マスタ!$B$6:$B$1005,0)),IFERROR(INDEX(①今日の在庫を貼る!$J$6:$J$10005,MATCH($C179,①今日の在庫を貼る!$I$6:$I$10005,0)),IFERROR(INDEX(月1回_前回の在庫を貼る!$J$6:$J$10005,MATCH($C179,月1回_前回の在庫を貼る!$I$6:$I$10005,0)),""))))</f>
        <v/>
      </c>
      <c r="E179" s="66" t="str">
        <f aca="false">IF($C179="","",IFERROR(INDEX(商品マスタ!$D$6:$D$1005,MATCH($C179,商品マスタ!$B$6:$B$1005,0)),IFERROR(INDEX(①今日の在庫を貼る!$H$6:$H$10005,MATCH($C179,①今日の在庫を貼る!$I$6:$I$10005,0)),IFERROR(INDEX(月1回_前回の在庫を貼る!$H$6:$H$10005,MATCH($C179,月1回_前回の在庫を貼る!$I$6:$I$10005,0)),""))))</f>
        <v/>
      </c>
      <c r="F179" s="66" t="str">
        <f aca="false">IF($C179="","",IFERROR(INDEX(商品マスタ!$E$6:$E$1005,MATCH($C179,商品マスタ!$B$6:$B$1005,0)),IFERROR(INDEX(①今日の在庫を貼る!$E$6:$E$10005,MATCH($C179,①今日の在庫を貼る!$I$6:$I$10005,0)),IFERROR(INDEX(月1回_前回の在庫を貼る!$E$6:$E$10005,MATCH($C179,月1回_前回の在庫を貼る!$I$6:$I$10005,0)),""))))</f>
        <v/>
      </c>
      <c r="G179" s="69" t="str">
        <f aca="false">IF($C179="","",IFERROR(INDEX(商品マスタ!$F$6:$F$1005,MATCH($C179,商品マスタ!$B$6:$B$1005,0)),IFERROR(INDEX(①今日の在庫を貼る!$K$6:$K$10005,MATCH($C179,①今日の在庫を貼る!$I$6:$I$10005,0)),IFERROR(INDEX(月1回_前回の在庫を貼る!$K$6:$K$10005,MATCH($C179,月1回_前回の在庫を貼る!$I$6:$I$10005,0)),""))))</f>
        <v/>
      </c>
      <c r="H179" s="71" t="str">
        <f aca="false">IF($C179="","",IFERROR(INDEX(商品マスタ!$G$6:$G$1005,MATCH($C179,商品マスタ!$B$6:$B$1005,0)),IFERROR(INDEX(①今日の在庫を貼る!$Q$6:$Q$10005,MATCH($C179,①今日の在庫を貼る!$I$6:$I$10005,0)),IFERROR(INDEX(月1回_前回の在庫を貼る!$Q$6:$Q$10005,MATCH($C179,月1回_前回の在庫を貼る!$I$6:$I$10005,0)),""))))</f>
        <v/>
      </c>
      <c r="I179" s="66" t="str">
        <f aca="false">IF($C179="","",IFERROR(INDEX(商品マスタ!$H$6:$H$1005,MATCH($C179,商品マスタ!$B$6:$B$1005,0)),3))</f>
        <v/>
      </c>
      <c r="J179" s="66" t="str">
        <f aca="false">IF($C179="","",MAX(1,IFERROR(INDEX(商品マスタ!$I$6:$I$1005,MATCH($C179,商品マスタ!$B$6:$B$1005,0)),1)))</f>
        <v/>
      </c>
      <c r="K179" s="69" t="str">
        <f aca="false">IF($C179="","",SUMIFS(①今日の在庫を貼る!$N$6:$N$10005,①今日の在庫を貼る!$B$6:$B$10005,'設定（最初に1回）'!$C$4,①今日の在庫を貼る!$I$6:$I$10005,$C179))</f>
        <v/>
      </c>
      <c r="L179" s="69" t="str">
        <f aca="false">IF($C179="","",SUMIFS(月1回_前回の在庫を貼る!$N$6:$N$10005,月1回_前回の在庫を貼る!$B$6:$B$10005,'設定（最初に1回）'!$C$4,月1回_前回の在庫を貼る!$I$6:$I$10005,$C179))</f>
        <v/>
      </c>
      <c r="M179" s="69" t="str">
        <f aca="false">IF($C179="","",IF(OR('設定（最初に1回）'!$C$6="",'設定（最初に1回）'!$C$7=""),0,SUMIFS(発注管理!$S$6:$S$1005,発注管理!$C$6:$C$1005,'設定（最初に1回）'!$C$4,発注管理!$F$6:$F$1005,$C179,発注管理!$R$6:$R$1005,"&gt;="&amp;'設定（最初に1回）'!$C$7,発注管理!$R$6:$R$1005,"&lt;="&amp;'設定（最初に1回）'!$C$6)))</f>
        <v/>
      </c>
      <c r="N179" s="69" t="str">
        <f aca="false">IF(OR($C179="",'設定（最初に1回）'!$C$15=0),"",$L179+$M179-$K179)</f>
        <v/>
      </c>
      <c r="O179" s="143" t="str">
        <f aca="false">IF(OR($N179="",'設定（最初に1回）'!$C$8="",'設定（最初に1回）'!$C$8&lt;=0),"",MAX(0,$N179)/'設定（最初に1回）'!$C$8)</f>
        <v/>
      </c>
      <c r="P179" s="143" t="str">
        <f aca="false">IF($C179="","",IFERROR(INDEX(商品マスタ!$M$6:$N$1005,MATCH($C179,商品マスタ!$B$6:$B$1005,0),MATCH("PI値 "&amp;'設定（最初に1回）'!$C$11,商品マスタ!$M$5:$N$5,0)),""))</f>
        <v/>
      </c>
      <c r="Q179" s="143" t="str">
        <f aca="false">IF(OR($C179="",$P179="",$P179=0,(N($I179)+N($AG179))&lt;=0),"",IFERROR(SUMIFS(随時_動員を入れる!$G$8:$G$97,随時_動員を入れる!$B$8:$B$97,"&gt;="&amp;'設定（最初に1回）'!$C$6,随時_動員を入れる!$B$8:$B$97,"&lt;="&amp;'設定（最初に1回）'!$C$6+(N($I179)+N($AG179))-1)/(N($I179)+N($AG179)),0)*$P179/100)</f>
        <v/>
      </c>
      <c r="R179" s="69" t="str">
        <f aca="false">IF($C179="","",SUMIFS(①今日の在庫を貼る!$O$6:$O$10005,①今日の在庫を貼る!$B$6:$B$10005,'設定（最初に1回）'!$C$4,①今日の在庫を貼る!$I$6:$I$10005,$C179))</f>
        <v/>
      </c>
      <c r="S179" s="143" t="str">
        <f aca="false">IF($C179="","",IF('設定（最初に1回）'!$C$9="実績消費",N($O179),IF('設定（最初に1回）'!$C$9="PI値予測",N($Q179),MAX(N($O179),N($Q179)))))</f>
        <v/>
      </c>
      <c r="T179" s="67" t="str">
        <f aca="false">IF(OR($S179="",$S179&lt;=0),"",$K179/$S179)</f>
        <v/>
      </c>
      <c r="U179" s="69" t="str">
        <f aca="false">IF($S179="","",ROUNDUP(N($S179)*'設定（最初に1回）'!$C$12,0))</f>
        <v/>
      </c>
      <c r="V179" s="69" t="str">
        <f aca="false">IF($C179="","",ROUNDUP(N($S179)*(N($I179)+N($AG179))+N($U179),0))</f>
        <v/>
      </c>
      <c r="W179" s="69" t="str">
        <f aca="false">IF($C179="","",SUMIFS(発注管理!$L$6:$L$1005,発注管理!$C$6:$C$1005,'設定（最初に1回）'!$C$4,発注管理!$F$6:$F$1005,$C179,発注管理!$Q$6:$Q$1005,"発注済"))</f>
        <v/>
      </c>
      <c r="X179" s="69" t="str">
        <f aca="false">IF($C179="","",MAX(0,N($V179)-N($K179)-N($W179)))</f>
        <v/>
      </c>
      <c r="Y179" s="147" t="str">
        <f aca="false">IF($C179="","",IF(N($X179)&lt;=0,0,CEILING($X179/MAX(1,N($G179)),MAX(1,N($J179)))))</f>
        <v/>
      </c>
      <c r="Z179" s="138" t="str">
        <f aca="false">IF($C179="","",IF(N($Y179)&gt;0,"要発注","正常"))</f>
        <v/>
      </c>
      <c r="AA179" s="71" t="str">
        <f aca="false">IF($C179="","",N($K179)*N($H179))</f>
        <v/>
      </c>
      <c r="AB179" s="66" t="str">
        <f aca="false">IF($C179="","",_xlfn.TEXTJOIN(" / ",TRUE(),IF(COUNTIF(商品マスタ!$B$6:$B$1005,$C179)=0,"マスタ未登録",""),IF(COUNTIFS(月1回_前回の在庫を貼る!$B$6:$B$10005,'設定（最初に1回）'!$C$4,月1回_前回の在庫を貼る!$I$6:$I$10005,$C179)=0,"新商品",""),IF(COUNTIFS(①今日の在庫を貼る!$B$6:$B$10005,'設定（最初に1回）'!$C$4,①今日の在庫を貼る!$I$6:$I$10005,$C179)=0,"終売候補",""),IF(N($K179)&lt;0,"在庫マイナス",""),IF(AND('設定（最初に1回）'!$C$9="PI値予測",$P179=""),"PI値未設定","")))</f>
        <v/>
      </c>
      <c r="AC179" s="71" t="n">
        <f aca="false">N($Y179)*N($H179)</f>
        <v>0</v>
      </c>
      <c r="AD179" s="66" t="str">
        <f aca="false">IF($C179="","",IFERROR(INDEX(商品マスタ!$K$6:$K$1005,MATCH($C179,商品マスタ!$B$6:$B$1005,0)),"常温"))</f>
        <v/>
      </c>
      <c r="AE179" s="69" t="str">
        <f aca="false">IF($C179="","",MAX(0,ROUNDUP(N($K179)/MAX(1,N($G179)),0)))</f>
        <v/>
      </c>
      <c r="AF179" s="66" t="str">
        <f aca="false">IF($C179="","",IFERROR(INDEX(商品マスタ!$L$6:$L$1005,MATCH($C179,商品マスタ!$B$6:$B$1005,0)),""))</f>
        <v/>
      </c>
      <c r="AG179" s="143" t="str">
        <f aca="false">IF($C179="","",IFERROR(INDEX(定数マスタ!$S$110:$S$119,MATCH($AF179,定数マスタ!$J$110:$J$119,0)),N('設定（最初に1回）'!$C$13)))</f>
        <v/>
      </c>
      <c r="AH179" s="66" t="n">
        <f aca="false">IF(AND(N($K179)&gt;0,N($Y179)&gt;0),N($Y179),0)</f>
        <v>0</v>
      </c>
    </row>
    <row r="180" customFormat="false" ht="15" hidden="false" customHeight="false" outlineLevel="0" collapsed="false">
      <c r="B180" s="66" t="n">
        <v>175</v>
      </c>
      <c r="C180" s="66" t="str">
        <f aca="false">IFERROR(IF($B180&lt;=MAX(①今日の在庫を貼る!$U$6:$U$10005),INDEX(①今日の在庫を貼る!$I$6:$I$10005,MATCH($B180,①今日の在庫を貼る!$U$6:$U$10005,0)),INDEX(月1回_前回の在庫を貼る!$I$6:$I$10005,MATCH($B180-MAX(①今日の在庫を貼る!$U$6:$U$10005),月1回_前回の在庫を貼る!$U$6:$U$10005,0))),"")</f>
        <v/>
      </c>
      <c r="D180" s="66" t="str">
        <f aca="false">IF($C180="","",IFERROR(INDEX(商品マスタ!$C$6:$C$1005,MATCH($C180,商品マスタ!$B$6:$B$1005,0)),IFERROR(INDEX(①今日の在庫を貼る!$J$6:$J$10005,MATCH($C180,①今日の在庫を貼る!$I$6:$I$10005,0)),IFERROR(INDEX(月1回_前回の在庫を貼る!$J$6:$J$10005,MATCH($C180,月1回_前回の在庫を貼る!$I$6:$I$10005,0)),""))))</f>
        <v/>
      </c>
      <c r="E180" s="66" t="str">
        <f aca="false">IF($C180="","",IFERROR(INDEX(商品マスタ!$D$6:$D$1005,MATCH($C180,商品マスタ!$B$6:$B$1005,0)),IFERROR(INDEX(①今日の在庫を貼る!$H$6:$H$10005,MATCH($C180,①今日の在庫を貼る!$I$6:$I$10005,0)),IFERROR(INDEX(月1回_前回の在庫を貼る!$H$6:$H$10005,MATCH($C180,月1回_前回の在庫を貼る!$I$6:$I$10005,0)),""))))</f>
        <v/>
      </c>
      <c r="F180" s="66" t="str">
        <f aca="false">IF($C180="","",IFERROR(INDEX(商品マスタ!$E$6:$E$1005,MATCH($C180,商品マスタ!$B$6:$B$1005,0)),IFERROR(INDEX(①今日の在庫を貼る!$E$6:$E$10005,MATCH($C180,①今日の在庫を貼る!$I$6:$I$10005,0)),IFERROR(INDEX(月1回_前回の在庫を貼る!$E$6:$E$10005,MATCH($C180,月1回_前回の在庫を貼る!$I$6:$I$10005,0)),""))))</f>
        <v/>
      </c>
      <c r="G180" s="69" t="str">
        <f aca="false">IF($C180="","",IFERROR(INDEX(商品マスタ!$F$6:$F$1005,MATCH($C180,商品マスタ!$B$6:$B$1005,0)),IFERROR(INDEX(①今日の在庫を貼る!$K$6:$K$10005,MATCH($C180,①今日の在庫を貼る!$I$6:$I$10005,0)),IFERROR(INDEX(月1回_前回の在庫を貼る!$K$6:$K$10005,MATCH($C180,月1回_前回の在庫を貼る!$I$6:$I$10005,0)),""))))</f>
        <v/>
      </c>
      <c r="H180" s="71" t="str">
        <f aca="false">IF($C180="","",IFERROR(INDEX(商品マスタ!$G$6:$G$1005,MATCH($C180,商品マスタ!$B$6:$B$1005,0)),IFERROR(INDEX(①今日の在庫を貼る!$Q$6:$Q$10005,MATCH($C180,①今日の在庫を貼る!$I$6:$I$10005,0)),IFERROR(INDEX(月1回_前回の在庫を貼る!$Q$6:$Q$10005,MATCH($C180,月1回_前回の在庫を貼る!$I$6:$I$10005,0)),""))))</f>
        <v/>
      </c>
      <c r="I180" s="66" t="str">
        <f aca="false">IF($C180="","",IFERROR(INDEX(商品マスタ!$H$6:$H$1005,MATCH($C180,商品マスタ!$B$6:$B$1005,0)),3))</f>
        <v/>
      </c>
      <c r="J180" s="66" t="str">
        <f aca="false">IF($C180="","",MAX(1,IFERROR(INDEX(商品マスタ!$I$6:$I$1005,MATCH($C180,商品マスタ!$B$6:$B$1005,0)),1)))</f>
        <v/>
      </c>
      <c r="K180" s="69" t="str">
        <f aca="false">IF($C180="","",SUMIFS(①今日の在庫を貼る!$N$6:$N$10005,①今日の在庫を貼る!$B$6:$B$10005,'設定（最初に1回）'!$C$4,①今日の在庫を貼る!$I$6:$I$10005,$C180))</f>
        <v/>
      </c>
      <c r="L180" s="69" t="str">
        <f aca="false">IF($C180="","",SUMIFS(月1回_前回の在庫を貼る!$N$6:$N$10005,月1回_前回の在庫を貼る!$B$6:$B$10005,'設定（最初に1回）'!$C$4,月1回_前回の在庫を貼る!$I$6:$I$10005,$C180))</f>
        <v/>
      </c>
      <c r="M180" s="69" t="str">
        <f aca="false">IF($C180="","",IF(OR('設定（最初に1回）'!$C$6="",'設定（最初に1回）'!$C$7=""),0,SUMIFS(発注管理!$S$6:$S$1005,発注管理!$C$6:$C$1005,'設定（最初に1回）'!$C$4,発注管理!$F$6:$F$1005,$C180,発注管理!$R$6:$R$1005,"&gt;="&amp;'設定（最初に1回）'!$C$7,発注管理!$R$6:$R$1005,"&lt;="&amp;'設定（最初に1回）'!$C$6)))</f>
        <v/>
      </c>
      <c r="N180" s="69" t="str">
        <f aca="false">IF(OR($C180="",'設定（最初に1回）'!$C$15=0),"",$L180+$M180-$K180)</f>
        <v/>
      </c>
      <c r="O180" s="143" t="str">
        <f aca="false">IF(OR($N180="",'設定（最初に1回）'!$C$8="",'設定（最初に1回）'!$C$8&lt;=0),"",MAX(0,$N180)/'設定（最初に1回）'!$C$8)</f>
        <v/>
      </c>
      <c r="P180" s="143" t="str">
        <f aca="false">IF($C180="","",IFERROR(INDEX(商品マスタ!$M$6:$N$1005,MATCH($C180,商品マスタ!$B$6:$B$1005,0),MATCH("PI値 "&amp;'設定（最初に1回）'!$C$11,商品マスタ!$M$5:$N$5,0)),""))</f>
        <v/>
      </c>
      <c r="Q180" s="143" t="str">
        <f aca="false">IF(OR($C180="",$P180="",$P180=0,(N($I180)+N($AG180))&lt;=0),"",IFERROR(SUMIFS(随時_動員を入れる!$G$8:$G$97,随時_動員を入れる!$B$8:$B$97,"&gt;="&amp;'設定（最初に1回）'!$C$6,随時_動員を入れる!$B$8:$B$97,"&lt;="&amp;'設定（最初に1回）'!$C$6+(N($I180)+N($AG180))-1)/(N($I180)+N($AG180)),0)*$P180/100)</f>
        <v/>
      </c>
      <c r="R180" s="69" t="str">
        <f aca="false">IF($C180="","",SUMIFS(①今日の在庫を貼る!$O$6:$O$10005,①今日の在庫を貼る!$B$6:$B$10005,'設定（最初に1回）'!$C$4,①今日の在庫を貼る!$I$6:$I$10005,$C180))</f>
        <v/>
      </c>
      <c r="S180" s="143" t="str">
        <f aca="false">IF($C180="","",IF('設定（最初に1回）'!$C$9="実績消費",N($O180),IF('設定（最初に1回）'!$C$9="PI値予測",N($Q180),MAX(N($O180),N($Q180)))))</f>
        <v/>
      </c>
      <c r="T180" s="67" t="str">
        <f aca="false">IF(OR($S180="",$S180&lt;=0),"",$K180/$S180)</f>
        <v/>
      </c>
      <c r="U180" s="69" t="str">
        <f aca="false">IF($S180="","",ROUNDUP(N($S180)*'設定（最初に1回）'!$C$12,0))</f>
        <v/>
      </c>
      <c r="V180" s="69" t="str">
        <f aca="false">IF($C180="","",ROUNDUP(N($S180)*(N($I180)+N($AG180))+N($U180),0))</f>
        <v/>
      </c>
      <c r="W180" s="69" t="str">
        <f aca="false">IF($C180="","",SUMIFS(発注管理!$L$6:$L$1005,発注管理!$C$6:$C$1005,'設定（最初に1回）'!$C$4,発注管理!$F$6:$F$1005,$C180,発注管理!$Q$6:$Q$1005,"発注済"))</f>
        <v/>
      </c>
      <c r="X180" s="69" t="str">
        <f aca="false">IF($C180="","",MAX(0,N($V180)-N($K180)-N($W180)))</f>
        <v/>
      </c>
      <c r="Y180" s="147" t="str">
        <f aca="false">IF($C180="","",IF(N($X180)&lt;=0,0,CEILING($X180/MAX(1,N($G180)),MAX(1,N($J180)))))</f>
        <v/>
      </c>
      <c r="Z180" s="138" t="str">
        <f aca="false">IF($C180="","",IF(N($Y180)&gt;0,"要発注","正常"))</f>
        <v/>
      </c>
      <c r="AA180" s="71" t="str">
        <f aca="false">IF($C180="","",N($K180)*N($H180))</f>
        <v/>
      </c>
      <c r="AB180" s="66" t="str">
        <f aca="false">IF($C180="","",_xlfn.TEXTJOIN(" / ",TRUE(),IF(COUNTIF(商品マスタ!$B$6:$B$1005,$C180)=0,"マスタ未登録",""),IF(COUNTIFS(月1回_前回の在庫を貼る!$B$6:$B$10005,'設定（最初に1回）'!$C$4,月1回_前回の在庫を貼る!$I$6:$I$10005,$C180)=0,"新商品",""),IF(COUNTIFS(①今日の在庫を貼る!$B$6:$B$10005,'設定（最初に1回）'!$C$4,①今日の在庫を貼る!$I$6:$I$10005,$C180)=0,"終売候補",""),IF(N($K180)&lt;0,"在庫マイナス",""),IF(AND('設定（最初に1回）'!$C$9="PI値予測",$P180=""),"PI値未設定","")))</f>
        <v/>
      </c>
      <c r="AC180" s="71" t="n">
        <f aca="false">N($Y180)*N($H180)</f>
        <v>0</v>
      </c>
      <c r="AD180" s="66" t="str">
        <f aca="false">IF($C180="","",IFERROR(INDEX(商品マスタ!$K$6:$K$1005,MATCH($C180,商品マスタ!$B$6:$B$1005,0)),"常温"))</f>
        <v/>
      </c>
      <c r="AE180" s="69" t="str">
        <f aca="false">IF($C180="","",MAX(0,ROUNDUP(N($K180)/MAX(1,N($G180)),0)))</f>
        <v/>
      </c>
      <c r="AF180" s="66" t="str">
        <f aca="false">IF($C180="","",IFERROR(INDEX(商品マスタ!$L$6:$L$1005,MATCH($C180,商品マスタ!$B$6:$B$1005,0)),""))</f>
        <v/>
      </c>
      <c r="AG180" s="143" t="str">
        <f aca="false">IF($C180="","",IFERROR(INDEX(定数マスタ!$S$110:$S$119,MATCH($AF180,定数マスタ!$J$110:$J$119,0)),N('設定（最初に1回）'!$C$13)))</f>
        <v/>
      </c>
      <c r="AH180" s="66" t="n">
        <f aca="false">IF(AND(N($K180)&gt;0,N($Y180)&gt;0),N($Y180),0)</f>
        <v>0</v>
      </c>
    </row>
    <row r="181" customFormat="false" ht="15" hidden="false" customHeight="false" outlineLevel="0" collapsed="false">
      <c r="B181" s="66" t="n">
        <v>176</v>
      </c>
      <c r="C181" s="66" t="str">
        <f aca="false">IFERROR(IF($B181&lt;=MAX(①今日の在庫を貼る!$U$6:$U$10005),INDEX(①今日の在庫を貼る!$I$6:$I$10005,MATCH($B181,①今日の在庫を貼る!$U$6:$U$10005,0)),INDEX(月1回_前回の在庫を貼る!$I$6:$I$10005,MATCH($B181-MAX(①今日の在庫を貼る!$U$6:$U$10005),月1回_前回の在庫を貼る!$U$6:$U$10005,0))),"")</f>
        <v/>
      </c>
      <c r="D181" s="66" t="str">
        <f aca="false">IF($C181="","",IFERROR(INDEX(商品マスタ!$C$6:$C$1005,MATCH($C181,商品マスタ!$B$6:$B$1005,0)),IFERROR(INDEX(①今日の在庫を貼る!$J$6:$J$10005,MATCH($C181,①今日の在庫を貼る!$I$6:$I$10005,0)),IFERROR(INDEX(月1回_前回の在庫を貼る!$J$6:$J$10005,MATCH($C181,月1回_前回の在庫を貼る!$I$6:$I$10005,0)),""))))</f>
        <v/>
      </c>
      <c r="E181" s="66" t="str">
        <f aca="false">IF($C181="","",IFERROR(INDEX(商品マスタ!$D$6:$D$1005,MATCH($C181,商品マスタ!$B$6:$B$1005,0)),IFERROR(INDEX(①今日の在庫を貼る!$H$6:$H$10005,MATCH($C181,①今日の在庫を貼る!$I$6:$I$10005,0)),IFERROR(INDEX(月1回_前回の在庫を貼る!$H$6:$H$10005,MATCH($C181,月1回_前回の在庫を貼る!$I$6:$I$10005,0)),""))))</f>
        <v/>
      </c>
      <c r="F181" s="66" t="str">
        <f aca="false">IF($C181="","",IFERROR(INDEX(商品マスタ!$E$6:$E$1005,MATCH($C181,商品マスタ!$B$6:$B$1005,0)),IFERROR(INDEX(①今日の在庫を貼る!$E$6:$E$10005,MATCH($C181,①今日の在庫を貼る!$I$6:$I$10005,0)),IFERROR(INDEX(月1回_前回の在庫を貼る!$E$6:$E$10005,MATCH($C181,月1回_前回の在庫を貼る!$I$6:$I$10005,0)),""))))</f>
        <v/>
      </c>
      <c r="G181" s="69" t="str">
        <f aca="false">IF($C181="","",IFERROR(INDEX(商品マスタ!$F$6:$F$1005,MATCH($C181,商品マスタ!$B$6:$B$1005,0)),IFERROR(INDEX(①今日の在庫を貼る!$K$6:$K$10005,MATCH($C181,①今日の在庫を貼る!$I$6:$I$10005,0)),IFERROR(INDEX(月1回_前回の在庫を貼る!$K$6:$K$10005,MATCH($C181,月1回_前回の在庫を貼る!$I$6:$I$10005,0)),""))))</f>
        <v/>
      </c>
      <c r="H181" s="71" t="str">
        <f aca="false">IF($C181="","",IFERROR(INDEX(商品マスタ!$G$6:$G$1005,MATCH($C181,商品マスタ!$B$6:$B$1005,0)),IFERROR(INDEX(①今日の在庫を貼る!$Q$6:$Q$10005,MATCH($C181,①今日の在庫を貼る!$I$6:$I$10005,0)),IFERROR(INDEX(月1回_前回の在庫を貼る!$Q$6:$Q$10005,MATCH($C181,月1回_前回の在庫を貼る!$I$6:$I$10005,0)),""))))</f>
        <v/>
      </c>
      <c r="I181" s="66" t="str">
        <f aca="false">IF($C181="","",IFERROR(INDEX(商品マスタ!$H$6:$H$1005,MATCH($C181,商品マスタ!$B$6:$B$1005,0)),3))</f>
        <v/>
      </c>
      <c r="J181" s="66" t="str">
        <f aca="false">IF($C181="","",MAX(1,IFERROR(INDEX(商品マスタ!$I$6:$I$1005,MATCH($C181,商品マスタ!$B$6:$B$1005,0)),1)))</f>
        <v/>
      </c>
      <c r="K181" s="69" t="str">
        <f aca="false">IF($C181="","",SUMIFS(①今日の在庫を貼る!$N$6:$N$10005,①今日の在庫を貼る!$B$6:$B$10005,'設定（最初に1回）'!$C$4,①今日の在庫を貼る!$I$6:$I$10005,$C181))</f>
        <v/>
      </c>
      <c r="L181" s="69" t="str">
        <f aca="false">IF($C181="","",SUMIFS(月1回_前回の在庫を貼る!$N$6:$N$10005,月1回_前回の在庫を貼る!$B$6:$B$10005,'設定（最初に1回）'!$C$4,月1回_前回の在庫を貼る!$I$6:$I$10005,$C181))</f>
        <v/>
      </c>
      <c r="M181" s="69" t="str">
        <f aca="false">IF($C181="","",IF(OR('設定（最初に1回）'!$C$6="",'設定（最初に1回）'!$C$7=""),0,SUMIFS(発注管理!$S$6:$S$1005,発注管理!$C$6:$C$1005,'設定（最初に1回）'!$C$4,発注管理!$F$6:$F$1005,$C181,発注管理!$R$6:$R$1005,"&gt;="&amp;'設定（最初に1回）'!$C$7,発注管理!$R$6:$R$1005,"&lt;="&amp;'設定（最初に1回）'!$C$6)))</f>
        <v/>
      </c>
      <c r="N181" s="69" t="str">
        <f aca="false">IF(OR($C181="",'設定（最初に1回）'!$C$15=0),"",$L181+$M181-$K181)</f>
        <v/>
      </c>
      <c r="O181" s="143" t="str">
        <f aca="false">IF(OR($N181="",'設定（最初に1回）'!$C$8="",'設定（最初に1回）'!$C$8&lt;=0),"",MAX(0,$N181)/'設定（最初に1回）'!$C$8)</f>
        <v/>
      </c>
      <c r="P181" s="143" t="str">
        <f aca="false">IF($C181="","",IFERROR(INDEX(商品マスタ!$M$6:$N$1005,MATCH($C181,商品マスタ!$B$6:$B$1005,0),MATCH("PI値 "&amp;'設定（最初に1回）'!$C$11,商品マスタ!$M$5:$N$5,0)),""))</f>
        <v/>
      </c>
      <c r="Q181" s="143" t="str">
        <f aca="false">IF(OR($C181="",$P181="",$P181=0,(N($I181)+N($AG181))&lt;=0),"",IFERROR(SUMIFS(随時_動員を入れる!$G$8:$G$97,随時_動員を入れる!$B$8:$B$97,"&gt;="&amp;'設定（最初に1回）'!$C$6,随時_動員を入れる!$B$8:$B$97,"&lt;="&amp;'設定（最初に1回）'!$C$6+(N($I181)+N($AG181))-1)/(N($I181)+N($AG181)),0)*$P181/100)</f>
        <v/>
      </c>
      <c r="R181" s="69" t="str">
        <f aca="false">IF($C181="","",SUMIFS(①今日の在庫を貼る!$O$6:$O$10005,①今日の在庫を貼る!$B$6:$B$10005,'設定（最初に1回）'!$C$4,①今日の在庫を貼る!$I$6:$I$10005,$C181))</f>
        <v/>
      </c>
      <c r="S181" s="143" t="str">
        <f aca="false">IF($C181="","",IF('設定（最初に1回）'!$C$9="実績消費",N($O181),IF('設定（最初に1回）'!$C$9="PI値予測",N($Q181),MAX(N($O181),N($Q181)))))</f>
        <v/>
      </c>
      <c r="T181" s="67" t="str">
        <f aca="false">IF(OR($S181="",$S181&lt;=0),"",$K181/$S181)</f>
        <v/>
      </c>
      <c r="U181" s="69" t="str">
        <f aca="false">IF($S181="","",ROUNDUP(N($S181)*'設定（最初に1回）'!$C$12,0))</f>
        <v/>
      </c>
      <c r="V181" s="69" t="str">
        <f aca="false">IF($C181="","",ROUNDUP(N($S181)*(N($I181)+N($AG181))+N($U181),0))</f>
        <v/>
      </c>
      <c r="W181" s="69" t="str">
        <f aca="false">IF($C181="","",SUMIFS(発注管理!$L$6:$L$1005,発注管理!$C$6:$C$1005,'設定（最初に1回）'!$C$4,発注管理!$F$6:$F$1005,$C181,発注管理!$Q$6:$Q$1005,"発注済"))</f>
        <v/>
      </c>
      <c r="X181" s="69" t="str">
        <f aca="false">IF($C181="","",MAX(0,N($V181)-N($K181)-N($W181)))</f>
        <v/>
      </c>
      <c r="Y181" s="147" t="str">
        <f aca="false">IF($C181="","",IF(N($X181)&lt;=0,0,CEILING($X181/MAX(1,N($G181)),MAX(1,N($J181)))))</f>
        <v/>
      </c>
      <c r="Z181" s="138" t="str">
        <f aca="false">IF($C181="","",IF(N($Y181)&gt;0,"要発注","正常"))</f>
        <v/>
      </c>
      <c r="AA181" s="71" t="str">
        <f aca="false">IF($C181="","",N($K181)*N($H181))</f>
        <v/>
      </c>
      <c r="AB181" s="66" t="str">
        <f aca="false">IF($C181="","",_xlfn.TEXTJOIN(" / ",TRUE(),IF(COUNTIF(商品マスタ!$B$6:$B$1005,$C181)=0,"マスタ未登録",""),IF(COUNTIFS(月1回_前回の在庫を貼る!$B$6:$B$10005,'設定（最初に1回）'!$C$4,月1回_前回の在庫を貼る!$I$6:$I$10005,$C181)=0,"新商品",""),IF(COUNTIFS(①今日の在庫を貼る!$B$6:$B$10005,'設定（最初に1回）'!$C$4,①今日の在庫を貼る!$I$6:$I$10005,$C181)=0,"終売候補",""),IF(N($K181)&lt;0,"在庫マイナス",""),IF(AND('設定（最初に1回）'!$C$9="PI値予測",$P181=""),"PI値未設定","")))</f>
        <v/>
      </c>
      <c r="AC181" s="71" t="n">
        <f aca="false">N($Y181)*N($H181)</f>
        <v>0</v>
      </c>
      <c r="AD181" s="66" t="str">
        <f aca="false">IF($C181="","",IFERROR(INDEX(商品マスタ!$K$6:$K$1005,MATCH($C181,商品マスタ!$B$6:$B$1005,0)),"常温"))</f>
        <v/>
      </c>
      <c r="AE181" s="69" t="str">
        <f aca="false">IF($C181="","",MAX(0,ROUNDUP(N($K181)/MAX(1,N($G181)),0)))</f>
        <v/>
      </c>
      <c r="AF181" s="66" t="str">
        <f aca="false">IF($C181="","",IFERROR(INDEX(商品マスタ!$L$6:$L$1005,MATCH($C181,商品マスタ!$B$6:$B$1005,0)),""))</f>
        <v/>
      </c>
      <c r="AG181" s="143" t="str">
        <f aca="false">IF($C181="","",IFERROR(INDEX(定数マスタ!$S$110:$S$119,MATCH($AF181,定数マスタ!$J$110:$J$119,0)),N('設定（最初に1回）'!$C$13)))</f>
        <v/>
      </c>
      <c r="AH181" s="66" t="n">
        <f aca="false">IF(AND(N($K181)&gt;0,N($Y181)&gt;0),N($Y181),0)</f>
        <v>0</v>
      </c>
    </row>
    <row r="182" customFormat="false" ht="15" hidden="false" customHeight="false" outlineLevel="0" collapsed="false">
      <c r="B182" s="66" t="n">
        <v>177</v>
      </c>
      <c r="C182" s="66" t="str">
        <f aca="false">IFERROR(IF($B182&lt;=MAX(①今日の在庫を貼る!$U$6:$U$10005),INDEX(①今日の在庫を貼る!$I$6:$I$10005,MATCH($B182,①今日の在庫を貼る!$U$6:$U$10005,0)),INDEX(月1回_前回の在庫を貼る!$I$6:$I$10005,MATCH($B182-MAX(①今日の在庫を貼る!$U$6:$U$10005),月1回_前回の在庫を貼る!$U$6:$U$10005,0))),"")</f>
        <v/>
      </c>
      <c r="D182" s="66" t="str">
        <f aca="false">IF($C182="","",IFERROR(INDEX(商品マスタ!$C$6:$C$1005,MATCH($C182,商品マスタ!$B$6:$B$1005,0)),IFERROR(INDEX(①今日の在庫を貼る!$J$6:$J$10005,MATCH($C182,①今日の在庫を貼る!$I$6:$I$10005,0)),IFERROR(INDEX(月1回_前回の在庫を貼る!$J$6:$J$10005,MATCH($C182,月1回_前回の在庫を貼る!$I$6:$I$10005,0)),""))))</f>
        <v/>
      </c>
      <c r="E182" s="66" t="str">
        <f aca="false">IF($C182="","",IFERROR(INDEX(商品マスタ!$D$6:$D$1005,MATCH($C182,商品マスタ!$B$6:$B$1005,0)),IFERROR(INDEX(①今日の在庫を貼る!$H$6:$H$10005,MATCH($C182,①今日の在庫を貼る!$I$6:$I$10005,0)),IFERROR(INDEX(月1回_前回の在庫を貼る!$H$6:$H$10005,MATCH($C182,月1回_前回の在庫を貼る!$I$6:$I$10005,0)),""))))</f>
        <v/>
      </c>
      <c r="F182" s="66" t="str">
        <f aca="false">IF($C182="","",IFERROR(INDEX(商品マスタ!$E$6:$E$1005,MATCH($C182,商品マスタ!$B$6:$B$1005,0)),IFERROR(INDEX(①今日の在庫を貼る!$E$6:$E$10005,MATCH($C182,①今日の在庫を貼る!$I$6:$I$10005,0)),IFERROR(INDEX(月1回_前回の在庫を貼る!$E$6:$E$10005,MATCH($C182,月1回_前回の在庫を貼る!$I$6:$I$10005,0)),""))))</f>
        <v/>
      </c>
      <c r="G182" s="69" t="str">
        <f aca="false">IF($C182="","",IFERROR(INDEX(商品マスタ!$F$6:$F$1005,MATCH($C182,商品マスタ!$B$6:$B$1005,0)),IFERROR(INDEX(①今日の在庫を貼る!$K$6:$K$10005,MATCH($C182,①今日の在庫を貼る!$I$6:$I$10005,0)),IFERROR(INDEX(月1回_前回の在庫を貼る!$K$6:$K$10005,MATCH($C182,月1回_前回の在庫を貼る!$I$6:$I$10005,0)),""))))</f>
        <v/>
      </c>
      <c r="H182" s="71" t="str">
        <f aca="false">IF($C182="","",IFERROR(INDEX(商品マスタ!$G$6:$G$1005,MATCH($C182,商品マスタ!$B$6:$B$1005,0)),IFERROR(INDEX(①今日の在庫を貼る!$Q$6:$Q$10005,MATCH($C182,①今日の在庫を貼る!$I$6:$I$10005,0)),IFERROR(INDEX(月1回_前回の在庫を貼る!$Q$6:$Q$10005,MATCH($C182,月1回_前回の在庫を貼る!$I$6:$I$10005,0)),""))))</f>
        <v/>
      </c>
      <c r="I182" s="66" t="str">
        <f aca="false">IF($C182="","",IFERROR(INDEX(商品マスタ!$H$6:$H$1005,MATCH($C182,商品マスタ!$B$6:$B$1005,0)),3))</f>
        <v/>
      </c>
      <c r="J182" s="66" t="str">
        <f aca="false">IF($C182="","",MAX(1,IFERROR(INDEX(商品マスタ!$I$6:$I$1005,MATCH($C182,商品マスタ!$B$6:$B$1005,0)),1)))</f>
        <v/>
      </c>
      <c r="K182" s="69" t="str">
        <f aca="false">IF($C182="","",SUMIFS(①今日の在庫を貼る!$N$6:$N$10005,①今日の在庫を貼る!$B$6:$B$10005,'設定（最初に1回）'!$C$4,①今日の在庫を貼る!$I$6:$I$10005,$C182))</f>
        <v/>
      </c>
      <c r="L182" s="69" t="str">
        <f aca="false">IF($C182="","",SUMIFS(月1回_前回の在庫を貼る!$N$6:$N$10005,月1回_前回の在庫を貼る!$B$6:$B$10005,'設定（最初に1回）'!$C$4,月1回_前回の在庫を貼る!$I$6:$I$10005,$C182))</f>
        <v/>
      </c>
      <c r="M182" s="69" t="str">
        <f aca="false">IF($C182="","",IF(OR('設定（最初に1回）'!$C$6="",'設定（最初に1回）'!$C$7=""),0,SUMIFS(発注管理!$S$6:$S$1005,発注管理!$C$6:$C$1005,'設定（最初に1回）'!$C$4,発注管理!$F$6:$F$1005,$C182,発注管理!$R$6:$R$1005,"&gt;="&amp;'設定（最初に1回）'!$C$7,発注管理!$R$6:$R$1005,"&lt;="&amp;'設定（最初に1回）'!$C$6)))</f>
        <v/>
      </c>
      <c r="N182" s="69" t="str">
        <f aca="false">IF(OR($C182="",'設定（最初に1回）'!$C$15=0),"",$L182+$M182-$K182)</f>
        <v/>
      </c>
      <c r="O182" s="143" t="str">
        <f aca="false">IF(OR($N182="",'設定（最初に1回）'!$C$8="",'設定（最初に1回）'!$C$8&lt;=0),"",MAX(0,$N182)/'設定（最初に1回）'!$C$8)</f>
        <v/>
      </c>
      <c r="P182" s="143" t="str">
        <f aca="false">IF($C182="","",IFERROR(INDEX(商品マスタ!$M$6:$N$1005,MATCH($C182,商品マスタ!$B$6:$B$1005,0),MATCH("PI値 "&amp;'設定（最初に1回）'!$C$11,商品マスタ!$M$5:$N$5,0)),""))</f>
        <v/>
      </c>
      <c r="Q182" s="143" t="str">
        <f aca="false">IF(OR($C182="",$P182="",$P182=0,(N($I182)+N($AG182))&lt;=0),"",IFERROR(SUMIFS(随時_動員を入れる!$G$8:$G$97,随時_動員を入れる!$B$8:$B$97,"&gt;="&amp;'設定（最初に1回）'!$C$6,随時_動員を入れる!$B$8:$B$97,"&lt;="&amp;'設定（最初に1回）'!$C$6+(N($I182)+N($AG182))-1)/(N($I182)+N($AG182)),0)*$P182/100)</f>
        <v/>
      </c>
      <c r="R182" s="69" t="str">
        <f aca="false">IF($C182="","",SUMIFS(①今日の在庫を貼る!$O$6:$O$10005,①今日の在庫を貼る!$B$6:$B$10005,'設定（最初に1回）'!$C$4,①今日の在庫を貼る!$I$6:$I$10005,$C182))</f>
        <v/>
      </c>
      <c r="S182" s="143" t="str">
        <f aca="false">IF($C182="","",IF('設定（最初に1回）'!$C$9="実績消費",N($O182),IF('設定（最初に1回）'!$C$9="PI値予測",N($Q182),MAX(N($O182),N($Q182)))))</f>
        <v/>
      </c>
      <c r="T182" s="67" t="str">
        <f aca="false">IF(OR($S182="",$S182&lt;=0),"",$K182/$S182)</f>
        <v/>
      </c>
      <c r="U182" s="69" t="str">
        <f aca="false">IF($S182="","",ROUNDUP(N($S182)*'設定（最初に1回）'!$C$12,0))</f>
        <v/>
      </c>
      <c r="V182" s="69" t="str">
        <f aca="false">IF($C182="","",ROUNDUP(N($S182)*(N($I182)+N($AG182))+N($U182),0))</f>
        <v/>
      </c>
      <c r="W182" s="69" t="str">
        <f aca="false">IF($C182="","",SUMIFS(発注管理!$L$6:$L$1005,発注管理!$C$6:$C$1005,'設定（最初に1回）'!$C$4,発注管理!$F$6:$F$1005,$C182,発注管理!$Q$6:$Q$1005,"発注済"))</f>
        <v/>
      </c>
      <c r="X182" s="69" t="str">
        <f aca="false">IF($C182="","",MAX(0,N($V182)-N($K182)-N($W182)))</f>
        <v/>
      </c>
      <c r="Y182" s="147" t="str">
        <f aca="false">IF($C182="","",IF(N($X182)&lt;=0,0,CEILING($X182/MAX(1,N($G182)),MAX(1,N($J182)))))</f>
        <v/>
      </c>
      <c r="Z182" s="138" t="str">
        <f aca="false">IF($C182="","",IF(N($Y182)&gt;0,"要発注","正常"))</f>
        <v/>
      </c>
      <c r="AA182" s="71" t="str">
        <f aca="false">IF($C182="","",N($K182)*N($H182))</f>
        <v/>
      </c>
      <c r="AB182" s="66" t="str">
        <f aca="false">IF($C182="","",_xlfn.TEXTJOIN(" / ",TRUE(),IF(COUNTIF(商品マスタ!$B$6:$B$1005,$C182)=0,"マスタ未登録",""),IF(COUNTIFS(月1回_前回の在庫を貼る!$B$6:$B$10005,'設定（最初に1回）'!$C$4,月1回_前回の在庫を貼る!$I$6:$I$10005,$C182)=0,"新商品",""),IF(COUNTIFS(①今日の在庫を貼る!$B$6:$B$10005,'設定（最初に1回）'!$C$4,①今日の在庫を貼る!$I$6:$I$10005,$C182)=0,"終売候補",""),IF(N($K182)&lt;0,"在庫マイナス",""),IF(AND('設定（最初に1回）'!$C$9="PI値予測",$P182=""),"PI値未設定","")))</f>
        <v/>
      </c>
      <c r="AC182" s="71" t="n">
        <f aca="false">N($Y182)*N($H182)</f>
        <v>0</v>
      </c>
      <c r="AD182" s="66" t="str">
        <f aca="false">IF($C182="","",IFERROR(INDEX(商品マスタ!$K$6:$K$1005,MATCH($C182,商品マスタ!$B$6:$B$1005,0)),"常温"))</f>
        <v/>
      </c>
      <c r="AE182" s="69" t="str">
        <f aca="false">IF($C182="","",MAX(0,ROUNDUP(N($K182)/MAX(1,N($G182)),0)))</f>
        <v/>
      </c>
      <c r="AF182" s="66" t="str">
        <f aca="false">IF($C182="","",IFERROR(INDEX(商品マスタ!$L$6:$L$1005,MATCH($C182,商品マスタ!$B$6:$B$1005,0)),""))</f>
        <v/>
      </c>
      <c r="AG182" s="143" t="str">
        <f aca="false">IF($C182="","",IFERROR(INDEX(定数マスタ!$S$110:$S$119,MATCH($AF182,定数マスタ!$J$110:$J$119,0)),N('設定（最初に1回）'!$C$13)))</f>
        <v/>
      </c>
      <c r="AH182" s="66" t="n">
        <f aca="false">IF(AND(N($K182)&gt;0,N($Y182)&gt;0),N($Y182),0)</f>
        <v>0</v>
      </c>
    </row>
    <row r="183" customFormat="false" ht="15" hidden="false" customHeight="false" outlineLevel="0" collapsed="false">
      <c r="B183" s="66" t="n">
        <v>178</v>
      </c>
      <c r="C183" s="66" t="str">
        <f aca="false">IFERROR(IF($B183&lt;=MAX(①今日の在庫を貼る!$U$6:$U$10005),INDEX(①今日の在庫を貼る!$I$6:$I$10005,MATCH($B183,①今日の在庫を貼る!$U$6:$U$10005,0)),INDEX(月1回_前回の在庫を貼る!$I$6:$I$10005,MATCH($B183-MAX(①今日の在庫を貼る!$U$6:$U$10005),月1回_前回の在庫を貼る!$U$6:$U$10005,0))),"")</f>
        <v/>
      </c>
      <c r="D183" s="66" t="str">
        <f aca="false">IF($C183="","",IFERROR(INDEX(商品マスタ!$C$6:$C$1005,MATCH($C183,商品マスタ!$B$6:$B$1005,0)),IFERROR(INDEX(①今日の在庫を貼る!$J$6:$J$10005,MATCH($C183,①今日の在庫を貼る!$I$6:$I$10005,0)),IFERROR(INDEX(月1回_前回の在庫を貼る!$J$6:$J$10005,MATCH($C183,月1回_前回の在庫を貼る!$I$6:$I$10005,0)),""))))</f>
        <v/>
      </c>
      <c r="E183" s="66" t="str">
        <f aca="false">IF($C183="","",IFERROR(INDEX(商品マスタ!$D$6:$D$1005,MATCH($C183,商品マスタ!$B$6:$B$1005,0)),IFERROR(INDEX(①今日の在庫を貼る!$H$6:$H$10005,MATCH($C183,①今日の在庫を貼る!$I$6:$I$10005,0)),IFERROR(INDEX(月1回_前回の在庫を貼る!$H$6:$H$10005,MATCH($C183,月1回_前回の在庫を貼る!$I$6:$I$10005,0)),""))))</f>
        <v/>
      </c>
      <c r="F183" s="66" t="str">
        <f aca="false">IF($C183="","",IFERROR(INDEX(商品マスタ!$E$6:$E$1005,MATCH($C183,商品マスタ!$B$6:$B$1005,0)),IFERROR(INDEX(①今日の在庫を貼る!$E$6:$E$10005,MATCH($C183,①今日の在庫を貼る!$I$6:$I$10005,0)),IFERROR(INDEX(月1回_前回の在庫を貼る!$E$6:$E$10005,MATCH($C183,月1回_前回の在庫を貼る!$I$6:$I$10005,0)),""))))</f>
        <v/>
      </c>
      <c r="G183" s="69" t="str">
        <f aca="false">IF($C183="","",IFERROR(INDEX(商品マスタ!$F$6:$F$1005,MATCH($C183,商品マスタ!$B$6:$B$1005,0)),IFERROR(INDEX(①今日の在庫を貼る!$K$6:$K$10005,MATCH($C183,①今日の在庫を貼る!$I$6:$I$10005,0)),IFERROR(INDEX(月1回_前回の在庫を貼る!$K$6:$K$10005,MATCH($C183,月1回_前回の在庫を貼る!$I$6:$I$10005,0)),""))))</f>
        <v/>
      </c>
      <c r="H183" s="71" t="str">
        <f aca="false">IF($C183="","",IFERROR(INDEX(商品マスタ!$G$6:$G$1005,MATCH($C183,商品マスタ!$B$6:$B$1005,0)),IFERROR(INDEX(①今日の在庫を貼る!$Q$6:$Q$10005,MATCH($C183,①今日の在庫を貼る!$I$6:$I$10005,0)),IFERROR(INDEX(月1回_前回の在庫を貼る!$Q$6:$Q$10005,MATCH($C183,月1回_前回の在庫を貼る!$I$6:$I$10005,0)),""))))</f>
        <v/>
      </c>
      <c r="I183" s="66" t="str">
        <f aca="false">IF($C183="","",IFERROR(INDEX(商品マスタ!$H$6:$H$1005,MATCH($C183,商品マスタ!$B$6:$B$1005,0)),3))</f>
        <v/>
      </c>
      <c r="J183" s="66" t="str">
        <f aca="false">IF($C183="","",MAX(1,IFERROR(INDEX(商品マスタ!$I$6:$I$1005,MATCH($C183,商品マスタ!$B$6:$B$1005,0)),1)))</f>
        <v/>
      </c>
      <c r="K183" s="69" t="str">
        <f aca="false">IF($C183="","",SUMIFS(①今日の在庫を貼る!$N$6:$N$10005,①今日の在庫を貼る!$B$6:$B$10005,'設定（最初に1回）'!$C$4,①今日の在庫を貼る!$I$6:$I$10005,$C183))</f>
        <v/>
      </c>
      <c r="L183" s="69" t="str">
        <f aca="false">IF($C183="","",SUMIFS(月1回_前回の在庫を貼る!$N$6:$N$10005,月1回_前回の在庫を貼る!$B$6:$B$10005,'設定（最初に1回）'!$C$4,月1回_前回の在庫を貼る!$I$6:$I$10005,$C183))</f>
        <v/>
      </c>
      <c r="M183" s="69" t="str">
        <f aca="false">IF($C183="","",IF(OR('設定（最初に1回）'!$C$6="",'設定（最初に1回）'!$C$7=""),0,SUMIFS(発注管理!$S$6:$S$1005,発注管理!$C$6:$C$1005,'設定（最初に1回）'!$C$4,発注管理!$F$6:$F$1005,$C183,発注管理!$R$6:$R$1005,"&gt;="&amp;'設定（最初に1回）'!$C$7,発注管理!$R$6:$R$1005,"&lt;="&amp;'設定（最初に1回）'!$C$6)))</f>
        <v/>
      </c>
      <c r="N183" s="69" t="str">
        <f aca="false">IF(OR($C183="",'設定（最初に1回）'!$C$15=0),"",$L183+$M183-$K183)</f>
        <v/>
      </c>
      <c r="O183" s="143" t="str">
        <f aca="false">IF(OR($N183="",'設定（最初に1回）'!$C$8="",'設定（最初に1回）'!$C$8&lt;=0),"",MAX(0,$N183)/'設定（最初に1回）'!$C$8)</f>
        <v/>
      </c>
      <c r="P183" s="143" t="str">
        <f aca="false">IF($C183="","",IFERROR(INDEX(商品マスタ!$M$6:$N$1005,MATCH($C183,商品マスタ!$B$6:$B$1005,0),MATCH("PI値 "&amp;'設定（最初に1回）'!$C$11,商品マスタ!$M$5:$N$5,0)),""))</f>
        <v/>
      </c>
      <c r="Q183" s="143" t="str">
        <f aca="false">IF(OR($C183="",$P183="",$P183=0,(N($I183)+N($AG183))&lt;=0),"",IFERROR(SUMIFS(随時_動員を入れる!$G$8:$G$97,随時_動員を入れる!$B$8:$B$97,"&gt;="&amp;'設定（最初に1回）'!$C$6,随時_動員を入れる!$B$8:$B$97,"&lt;="&amp;'設定（最初に1回）'!$C$6+(N($I183)+N($AG183))-1)/(N($I183)+N($AG183)),0)*$P183/100)</f>
        <v/>
      </c>
      <c r="R183" s="69" t="str">
        <f aca="false">IF($C183="","",SUMIFS(①今日の在庫を貼る!$O$6:$O$10005,①今日の在庫を貼る!$B$6:$B$10005,'設定（最初に1回）'!$C$4,①今日の在庫を貼る!$I$6:$I$10005,$C183))</f>
        <v/>
      </c>
      <c r="S183" s="143" t="str">
        <f aca="false">IF($C183="","",IF('設定（最初に1回）'!$C$9="実績消費",N($O183),IF('設定（最初に1回）'!$C$9="PI値予測",N($Q183),MAX(N($O183),N($Q183)))))</f>
        <v/>
      </c>
      <c r="T183" s="67" t="str">
        <f aca="false">IF(OR($S183="",$S183&lt;=0),"",$K183/$S183)</f>
        <v/>
      </c>
      <c r="U183" s="69" t="str">
        <f aca="false">IF($S183="","",ROUNDUP(N($S183)*'設定（最初に1回）'!$C$12,0))</f>
        <v/>
      </c>
      <c r="V183" s="69" t="str">
        <f aca="false">IF($C183="","",ROUNDUP(N($S183)*(N($I183)+N($AG183))+N($U183),0))</f>
        <v/>
      </c>
      <c r="W183" s="69" t="str">
        <f aca="false">IF($C183="","",SUMIFS(発注管理!$L$6:$L$1005,発注管理!$C$6:$C$1005,'設定（最初に1回）'!$C$4,発注管理!$F$6:$F$1005,$C183,発注管理!$Q$6:$Q$1005,"発注済"))</f>
        <v/>
      </c>
      <c r="X183" s="69" t="str">
        <f aca="false">IF($C183="","",MAX(0,N($V183)-N($K183)-N($W183)))</f>
        <v/>
      </c>
      <c r="Y183" s="147" t="str">
        <f aca="false">IF($C183="","",IF(N($X183)&lt;=0,0,CEILING($X183/MAX(1,N($G183)),MAX(1,N($J183)))))</f>
        <v/>
      </c>
      <c r="Z183" s="138" t="str">
        <f aca="false">IF($C183="","",IF(N($Y183)&gt;0,"要発注","正常"))</f>
        <v/>
      </c>
      <c r="AA183" s="71" t="str">
        <f aca="false">IF($C183="","",N($K183)*N($H183))</f>
        <v/>
      </c>
      <c r="AB183" s="66" t="str">
        <f aca="false">IF($C183="","",_xlfn.TEXTJOIN(" / ",TRUE(),IF(COUNTIF(商品マスタ!$B$6:$B$1005,$C183)=0,"マスタ未登録",""),IF(COUNTIFS(月1回_前回の在庫を貼る!$B$6:$B$10005,'設定（最初に1回）'!$C$4,月1回_前回の在庫を貼る!$I$6:$I$10005,$C183)=0,"新商品",""),IF(COUNTIFS(①今日の在庫を貼る!$B$6:$B$10005,'設定（最初に1回）'!$C$4,①今日の在庫を貼る!$I$6:$I$10005,$C183)=0,"終売候補",""),IF(N($K183)&lt;0,"在庫マイナス",""),IF(AND('設定（最初に1回）'!$C$9="PI値予測",$P183=""),"PI値未設定","")))</f>
        <v/>
      </c>
      <c r="AC183" s="71" t="n">
        <f aca="false">N($Y183)*N($H183)</f>
        <v>0</v>
      </c>
      <c r="AD183" s="66" t="str">
        <f aca="false">IF($C183="","",IFERROR(INDEX(商品マスタ!$K$6:$K$1005,MATCH($C183,商品マスタ!$B$6:$B$1005,0)),"常温"))</f>
        <v/>
      </c>
      <c r="AE183" s="69" t="str">
        <f aca="false">IF($C183="","",MAX(0,ROUNDUP(N($K183)/MAX(1,N($G183)),0)))</f>
        <v/>
      </c>
      <c r="AF183" s="66" t="str">
        <f aca="false">IF($C183="","",IFERROR(INDEX(商品マスタ!$L$6:$L$1005,MATCH($C183,商品マスタ!$B$6:$B$1005,0)),""))</f>
        <v/>
      </c>
      <c r="AG183" s="143" t="str">
        <f aca="false">IF($C183="","",IFERROR(INDEX(定数マスタ!$S$110:$S$119,MATCH($AF183,定数マスタ!$J$110:$J$119,0)),N('設定（最初に1回）'!$C$13)))</f>
        <v/>
      </c>
      <c r="AH183" s="66" t="n">
        <f aca="false">IF(AND(N($K183)&gt;0,N($Y183)&gt;0),N($Y183),0)</f>
        <v>0</v>
      </c>
    </row>
    <row r="184" customFormat="false" ht="15" hidden="false" customHeight="false" outlineLevel="0" collapsed="false">
      <c r="B184" s="66" t="n">
        <v>179</v>
      </c>
      <c r="C184" s="66" t="str">
        <f aca="false">IFERROR(IF($B184&lt;=MAX(①今日の在庫を貼る!$U$6:$U$10005),INDEX(①今日の在庫を貼る!$I$6:$I$10005,MATCH($B184,①今日の在庫を貼る!$U$6:$U$10005,0)),INDEX(月1回_前回の在庫を貼る!$I$6:$I$10005,MATCH($B184-MAX(①今日の在庫を貼る!$U$6:$U$10005),月1回_前回の在庫を貼る!$U$6:$U$10005,0))),"")</f>
        <v/>
      </c>
      <c r="D184" s="66" t="str">
        <f aca="false">IF($C184="","",IFERROR(INDEX(商品マスタ!$C$6:$C$1005,MATCH($C184,商品マスタ!$B$6:$B$1005,0)),IFERROR(INDEX(①今日の在庫を貼る!$J$6:$J$10005,MATCH($C184,①今日の在庫を貼る!$I$6:$I$10005,0)),IFERROR(INDEX(月1回_前回の在庫を貼る!$J$6:$J$10005,MATCH($C184,月1回_前回の在庫を貼る!$I$6:$I$10005,0)),""))))</f>
        <v/>
      </c>
      <c r="E184" s="66" t="str">
        <f aca="false">IF($C184="","",IFERROR(INDEX(商品マスタ!$D$6:$D$1005,MATCH($C184,商品マスタ!$B$6:$B$1005,0)),IFERROR(INDEX(①今日の在庫を貼る!$H$6:$H$10005,MATCH($C184,①今日の在庫を貼る!$I$6:$I$10005,0)),IFERROR(INDEX(月1回_前回の在庫を貼る!$H$6:$H$10005,MATCH($C184,月1回_前回の在庫を貼る!$I$6:$I$10005,0)),""))))</f>
        <v/>
      </c>
      <c r="F184" s="66" t="str">
        <f aca="false">IF($C184="","",IFERROR(INDEX(商品マスタ!$E$6:$E$1005,MATCH($C184,商品マスタ!$B$6:$B$1005,0)),IFERROR(INDEX(①今日の在庫を貼る!$E$6:$E$10005,MATCH($C184,①今日の在庫を貼る!$I$6:$I$10005,0)),IFERROR(INDEX(月1回_前回の在庫を貼る!$E$6:$E$10005,MATCH($C184,月1回_前回の在庫を貼る!$I$6:$I$10005,0)),""))))</f>
        <v/>
      </c>
      <c r="G184" s="69" t="str">
        <f aca="false">IF($C184="","",IFERROR(INDEX(商品マスタ!$F$6:$F$1005,MATCH($C184,商品マスタ!$B$6:$B$1005,0)),IFERROR(INDEX(①今日の在庫を貼る!$K$6:$K$10005,MATCH($C184,①今日の在庫を貼る!$I$6:$I$10005,0)),IFERROR(INDEX(月1回_前回の在庫を貼る!$K$6:$K$10005,MATCH($C184,月1回_前回の在庫を貼る!$I$6:$I$10005,0)),""))))</f>
        <v/>
      </c>
      <c r="H184" s="71" t="str">
        <f aca="false">IF($C184="","",IFERROR(INDEX(商品マスタ!$G$6:$G$1005,MATCH($C184,商品マスタ!$B$6:$B$1005,0)),IFERROR(INDEX(①今日の在庫を貼る!$Q$6:$Q$10005,MATCH($C184,①今日の在庫を貼る!$I$6:$I$10005,0)),IFERROR(INDEX(月1回_前回の在庫を貼る!$Q$6:$Q$10005,MATCH($C184,月1回_前回の在庫を貼る!$I$6:$I$10005,0)),""))))</f>
        <v/>
      </c>
      <c r="I184" s="66" t="str">
        <f aca="false">IF($C184="","",IFERROR(INDEX(商品マスタ!$H$6:$H$1005,MATCH($C184,商品マスタ!$B$6:$B$1005,0)),3))</f>
        <v/>
      </c>
      <c r="J184" s="66" t="str">
        <f aca="false">IF($C184="","",MAX(1,IFERROR(INDEX(商品マスタ!$I$6:$I$1005,MATCH($C184,商品マスタ!$B$6:$B$1005,0)),1)))</f>
        <v/>
      </c>
      <c r="K184" s="69" t="str">
        <f aca="false">IF($C184="","",SUMIFS(①今日の在庫を貼る!$N$6:$N$10005,①今日の在庫を貼る!$B$6:$B$10005,'設定（最初に1回）'!$C$4,①今日の在庫を貼る!$I$6:$I$10005,$C184))</f>
        <v/>
      </c>
      <c r="L184" s="69" t="str">
        <f aca="false">IF($C184="","",SUMIFS(月1回_前回の在庫を貼る!$N$6:$N$10005,月1回_前回の在庫を貼る!$B$6:$B$10005,'設定（最初に1回）'!$C$4,月1回_前回の在庫を貼る!$I$6:$I$10005,$C184))</f>
        <v/>
      </c>
      <c r="M184" s="69" t="str">
        <f aca="false">IF($C184="","",IF(OR('設定（最初に1回）'!$C$6="",'設定（最初に1回）'!$C$7=""),0,SUMIFS(発注管理!$S$6:$S$1005,発注管理!$C$6:$C$1005,'設定（最初に1回）'!$C$4,発注管理!$F$6:$F$1005,$C184,発注管理!$R$6:$R$1005,"&gt;="&amp;'設定（最初に1回）'!$C$7,発注管理!$R$6:$R$1005,"&lt;="&amp;'設定（最初に1回）'!$C$6)))</f>
        <v/>
      </c>
      <c r="N184" s="69" t="str">
        <f aca="false">IF(OR($C184="",'設定（最初に1回）'!$C$15=0),"",$L184+$M184-$K184)</f>
        <v/>
      </c>
      <c r="O184" s="143" t="str">
        <f aca="false">IF(OR($N184="",'設定（最初に1回）'!$C$8="",'設定（最初に1回）'!$C$8&lt;=0),"",MAX(0,$N184)/'設定（最初に1回）'!$C$8)</f>
        <v/>
      </c>
      <c r="P184" s="143" t="str">
        <f aca="false">IF($C184="","",IFERROR(INDEX(商品マスタ!$M$6:$N$1005,MATCH($C184,商品マスタ!$B$6:$B$1005,0),MATCH("PI値 "&amp;'設定（最初に1回）'!$C$11,商品マスタ!$M$5:$N$5,0)),""))</f>
        <v/>
      </c>
      <c r="Q184" s="143" t="str">
        <f aca="false">IF(OR($C184="",$P184="",$P184=0,(N($I184)+N($AG184))&lt;=0),"",IFERROR(SUMIFS(随時_動員を入れる!$G$8:$G$97,随時_動員を入れる!$B$8:$B$97,"&gt;="&amp;'設定（最初に1回）'!$C$6,随時_動員を入れる!$B$8:$B$97,"&lt;="&amp;'設定（最初に1回）'!$C$6+(N($I184)+N($AG184))-1)/(N($I184)+N($AG184)),0)*$P184/100)</f>
        <v/>
      </c>
      <c r="R184" s="69" t="str">
        <f aca="false">IF($C184="","",SUMIFS(①今日の在庫を貼る!$O$6:$O$10005,①今日の在庫を貼る!$B$6:$B$10005,'設定（最初に1回）'!$C$4,①今日の在庫を貼る!$I$6:$I$10005,$C184))</f>
        <v/>
      </c>
      <c r="S184" s="143" t="str">
        <f aca="false">IF($C184="","",IF('設定（最初に1回）'!$C$9="実績消費",N($O184),IF('設定（最初に1回）'!$C$9="PI値予測",N($Q184),MAX(N($O184),N($Q184)))))</f>
        <v/>
      </c>
      <c r="T184" s="67" t="str">
        <f aca="false">IF(OR($S184="",$S184&lt;=0),"",$K184/$S184)</f>
        <v/>
      </c>
      <c r="U184" s="69" t="str">
        <f aca="false">IF($S184="","",ROUNDUP(N($S184)*'設定（最初に1回）'!$C$12,0))</f>
        <v/>
      </c>
      <c r="V184" s="69" t="str">
        <f aca="false">IF($C184="","",ROUNDUP(N($S184)*(N($I184)+N($AG184))+N($U184),0))</f>
        <v/>
      </c>
      <c r="W184" s="69" t="str">
        <f aca="false">IF($C184="","",SUMIFS(発注管理!$L$6:$L$1005,発注管理!$C$6:$C$1005,'設定（最初に1回）'!$C$4,発注管理!$F$6:$F$1005,$C184,発注管理!$Q$6:$Q$1005,"発注済"))</f>
        <v/>
      </c>
      <c r="X184" s="69" t="str">
        <f aca="false">IF($C184="","",MAX(0,N($V184)-N($K184)-N($W184)))</f>
        <v/>
      </c>
      <c r="Y184" s="147" t="str">
        <f aca="false">IF($C184="","",IF(N($X184)&lt;=0,0,CEILING($X184/MAX(1,N($G184)),MAX(1,N($J184)))))</f>
        <v/>
      </c>
      <c r="Z184" s="138" t="str">
        <f aca="false">IF($C184="","",IF(N($Y184)&gt;0,"要発注","正常"))</f>
        <v/>
      </c>
      <c r="AA184" s="71" t="str">
        <f aca="false">IF($C184="","",N($K184)*N($H184))</f>
        <v/>
      </c>
      <c r="AB184" s="66" t="str">
        <f aca="false">IF($C184="","",_xlfn.TEXTJOIN(" / ",TRUE(),IF(COUNTIF(商品マスタ!$B$6:$B$1005,$C184)=0,"マスタ未登録",""),IF(COUNTIFS(月1回_前回の在庫を貼る!$B$6:$B$10005,'設定（最初に1回）'!$C$4,月1回_前回の在庫を貼る!$I$6:$I$10005,$C184)=0,"新商品",""),IF(COUNTIFS(①今日の在庫を貼る!$B$6:$B$10005,'設定（最初に1回）'!$C$4,①今日の在庫を貼る!$I$6:$I$10005,$C184)=0,"終売候補",""),IF(N($K184)&lt;0,"在庫マイナス",""),IF(AND('設定（最初に1回）'!$C$9="PI値予測",$P184=""),"PI値未設定","")))</f>
        <v/>
      </c>
      <c r="AC184" s="71" t="n">
        <f aca="false">N($Y184)*N($H184)</f>
        <v>0</v>
      </c>
      <c r="AD184" s="66" t="str">
        <f aca="false">IF($C184="","",IFERROR(INDEX(商品マスタ!$K$6:$K$1005,MATCH($C184,商品マスタ!$B$6:$B$1005,0)),"常温"))</f>
        <v/>
      </c>
      <c r="AE184" s="69" t="str">
        <f aca="false">IF($C184="","",MAX(0,ROUNDUP(N($K184)/MAX(1,N($G184)),0)))</f>
        <v/>
      </c>
      <c r="AF184" s="66" t="str">
        <f aca="false">IF($C184="","",IFERROR(INDEX(商品マスタ!$L$6:$L$1005,MATCH($C184,商品マスタ!$B$6:$B$1005,0)),""))</f>
        <v/>
      </c>
      <c r="AG184" s="143" t="str">
        <f aca="false">IF($C184="","",IFERROR(INDEX(定数マスタ!$S$110:$S$119,MATCH($AF184,定数マスタ!$J$110:$J$119,0)),N('設定（最初に1回）'!$C$13)))</f>
        <v/>
      </c>
      <c r="AH184" s="66" t="n">
        <f aca="false">IF(AND(N($K184)&gt;0,N($Y184)&gt;0),N($Y184),0)</f>
        <v>0</v>
      </c>
    </row>
    <row r="185" customFormat="false" ht="15" hidden="false" customHeight="false" outlineLevel="0" collapsed="false">
      <c r="B185" s="66" t="n">
        <v>180</v>
      </c>
      <c r="C185" s="66" t="str">
        <f aca="false">IFERROR(IF($B185&lt;=MAX(①今日の在庫を貼る!$U$6:$U$10005),INDEX(①今日の在庫を貼る!$I$6:$I$10005,MATCH($B185,①今日の在庫を貼る!$U$6:$U$10005,0)),INDEX(月1回_前回の在庫を貼る!$I$6:$I$10005,MATCH($B185-MAX(①今日の在庫を貼る!$U$6:$U$10005),月1回_前回の在庫を貼る!$U$6:$U$10005,0))),"")</f>
        <v/>
      </c>
      <c r="D185" s="66" t="str">
        <f aca="false">IF($C185="","",IFERROR(INDEX(商品マスタ!$C$6:$C$1005,MATCH($C185,商品マスタ!$B$6:$B$1005,0)),IFERROR(INDEX(①今日の在庫を貼る!$J$6:$J$10005,MATCH($C185,①今日の在庫を貼る!$I$6:$I$10005,0)),IFERROR(INDEX(月1回_前回の在庫を貼る!$J$6:$J$10005,MATCH($C185,月1回_前回の在庫を貼る!$I$6:$I$10005,0)),""))))</f>
        <v/>
      </c>
      <c r="E185" s="66" t="str">
        <f aca="false">IF($C185="","",IFERROR(INDEX(商品マスタ!$D$6:$D$1005,MATCH($C185,商品マスタ!$B$6:$B$1005,0)),IFERROR(INDEX(①今日の在庫を貼る!$H$6:$H$10005,MATCH($C185,①今日の在庫を貼る!$I$6:$I$10005,0)),IFERROR(INDEX(月1回_前回の在庫を貼る!$H$6:$H$10005,MATCH($C185,月1回_前回の在庫を貼る!$I$6:$I$10005,0)),""))))</f>
        <v/>
      </c>
      <c r="F185" s="66" t="str">
        <f aca="false">IF($C185="","",IFERROR(INDEX(商品マスタ!$E$6:$E$1005,MATCH($C185,商品マスタ!$B$6:$B$1005,0)),IFERROR(INDEX(①今日の在庫を貼る!$E$6:$E$10005,MATCH($C185,①今日の在庫を貼る!$I$6:$I$10005,0)),IFERROR(INDEX(月1回_前回の在庫を貼る!$E$6:$E$10005,MATCH($C185,月1回_前回の在庫を貼る!$I$6:$I$10005,0)),""))))</f>
        <v/>
      </c>
      <c r="G185" s="69" t="str">
        <f aca="false">IF($C185="","",IFERROR(INDEX(商品マスタ!$F$6:$F$1005,MATCH($C185,商品マスタ!$B$6:$B$1005,0)),IFERROR(INDEX(①今日の在庫を貼る!$K$6:$K$10005,MATCH($C185,①今日の在庫を貼る!$I$6:$I$10005,0)),IFERROR(INDEX(月1回_前回の在庫を貼る!$K$6:$K$10005,MATCH($C185,月1回_前回の在庫を貼る!$I$6:$I$10005,0)),""))))</f>
        <v/>
      </c>
      <c r="H185" s="71" t="str">
        <f aca="false">IF($C185="","",IFERROR(INDEX(商品マスタ!$G$6:$G$1005,MATCH($C185,商品マスタ!$B$6:$B$1005,0)),IFERROR(INDEX(①今日の在庫を貼る!$Q$6:$Q$10005,MATCH($C185,①今日の在庫を貼る!$I$6:$I$10005,0)),IFERROR(INDEX(月1回_前回の在庫を貼る!$Q$6:$Q$10005,MATCH($C185,月1回_前回の在庫を貼る!$I$6:$I$10005,0)),""))))</f>
        <v/>
      </c>
      <c r="I185" s="66" t="str">
        <f aca="false">IF($C185="","",IFERROR(INDEX(商品マスタ!$H$6:$H$1005,MATCH($C185,商品マスタ!$B$6:$B$1005,0)),3))</f>
        <v/>
      </c>
      <c r="J185" s="66" t="str">
        <f aca="false">IF($C185="","",MAX(1,IFERROR(INDEX(商品マスタ!$I$6:$I$1005,MATCH($C185,商品マスタ!$B$6:$B$1005,0)),1)))</f>
        <v/>
      </c>
      <c r="K185" s="69" t="str">
        <f aca="false">IF($C185="","",SUMIFS(①今日の在庫を貼る!$N$6:$N$10005,①今日の在庫を貼る!$B$6:$B$10005,'設定（最初に1回）'!$C$4,①今日の在庫を貼る!$I$6:$I$10005,$C185))</f>
        <v/>
      </c>
      <c r="L185" s="69" t="str">
        <f aca="false">IF($C185="","",SUMIFS(月1回_前回の在庫を貼る!$N$6:$N$10005,月1回_前回の在庫を貼る!$B$6:$B$10005,'設定（最初に1回）'!$C$4,月1回_前回の在庫を貼る!$I$6:$I$10005,$C185))</f>
        <v/>
      </c>
      <c r="M185" s="69" t="str">
        <f aca="false">IF($C185="","",IF(OR('設定（最初に1回）'!$C$6="",'設定（最初に1回）'!$C$7=""),0,SUMIFS(発注管理!$S$6:$S$1005,発注管理!$C$6:$C$1005,'設定（最初に1回）'!$C$4,発注管理!$F$6:$F$1005,$C185,発注管理!$R$6:$R$1005,"&gt;="&amp;'設定（最初に1回）'!$C$7,発注管理!$R$6:$R$1005,"&lt;="&amp;'設定（最初に1回）'!$C$6)))</f>
        <v/>
      </c>
      <c r="N185" s="69" t="str">
        <f aca="false">IF(OR($C185="",'設定（最初に1回）'!$C$15=0),"",$L185+$M185-$K185)</f>
        <v/>
      </c>
      <c r="O185" s="143" t="str">
        <f aca="false">IF(OR($N185="",'設定（最初に1回）'!$C$8="",'設定（最初に1回）'!$C$8&lt;=0),"",MAX(0,$N185)/'設定（最初に1回）'!$C$8)</f>
        <v/>
      </c>
      <c r="P185" s="143" t="str">
        <f aca="false">IF($C185="","",IFERROR(INDEX(商品マスタ!$M$6:$N$1005,MATCH($C185,商品マスタ!$B$6:$B$1005,0),MATCH("PI値 "&amp;'設定（最初に1回）'!$C$11,商品マスタ!$M$5:$N$5,0)),""))</f>
        <v/>
      </c>
      <c r="Q185" s="143" t="str">
        <f aca="false">IF(OR($C185="",$P185="",$P185=0,(N($I185)+N($AG185))&lt;=0),"",IFERROR(SUMIFS(随時_動員を入れる!$G$8:$G$97,随時_動員を入れる!$B$8:$B$97,"&gt;="&amp;'設定（最初に1回）'!$C$6,随時_動員を入れる!$B$8:$B$97,"&lt;="&amp;'設定（最初に1回）'!$C$6+(N($I185)+N($AG185))-1)/(N($I185)+N($AG185)),0)*$P185/100)</f>
        <v/>
      </c>
      <c r="R185" s="69" t="str">
        <f aca="false">IF($C185="","",SUMIFS(①今日の在庫を貼る!$O$6:$O$10005,①今日の在庫を貼る!$B$6:$B$10005,'設定（最初に1回）'!$C$4,①今日の在庫を貼る!$I$6:$I$10005,$C185))</f>
        <v/>
      </c>
      <c r="S185" s="143" t="str">
        <f aca="false">IF($C185="","",IF('設定（最初に1回）'!$C$9="実績消費",N($O185),IF('設定（最初に1回）'!$C$9="PI値予測",N($Q185),MAX(N($O185),N($Q185)))))</f>
        <v/>
      </c>
      <c r="T185" s="67" t="str">
        <f aca="false">IF(OR($S185="",$S185&lt;=0),"",$K185/$S185)</f>
        <v/>
      </c>
      <c r="U185" s="69" t="str">
        <f aca="false">IF($S185="","",ROUNDUP(N($S185)*'設定（最初に1回）'!$C$12,0))</f>
        <v/>
      </c>
      <c r="V185" s="69" t="str">
        <f aca="false">IF($C185="","",ROUNDUP(N($S185)*(N($I185)+N($AG185))+N($U185),0))</f>
        <v/>
      </c>
      <c r="W185" s="69" t="str">
        <f aca="false">IF($C185="","",SUMIFS(発注管理!$L$6:$L$1005,発注管理!$C$6:$C$1005,'設定（最初に1回）'!$C$4,発注管理!$F$6:$F$1005,$C185,発注管理!$Q$6:$Q$1005,"発注済"))</f>
        <v/>
      </c>
      <c r="X185" s="69" t="str">
        <f aca="false">IF($C185="","",MAX(0,N($V185)-N($K185)-N($W185)))</f>
        <v/>
      </c>
      <c r="Y185" s="147" t="str">
        <f aca="false">IF($C185="","",IF(N($X185)&lt;=0,0,CEILING($X185/MAX(1,N($G185)),MAX(1,N($J185)))))</f>
        <v/>
      </c>
      <c r="Z185" s="138" t="str">
        <f aca="false">IF($C185="","",IF(N($Y185)&gt;0,"要発注","正常"))</f>
        <v/>
      </c>
      <c r="AA185" s="71" t="str">
        <f aca="false">IF($C185="","",N($K185)*N($H185))</f>
        <v/>
      </c>
      <c r="AB185" s="66" t="str">
        <f aca="false">IF($C185="","",_xlfn.TEXTJOIN(" / ",TRUE(),IF(COUNTIF(商品マスタ!$B$6:$B$1005,$C185)=0,"マスタ未登録",""),IF(COUNTIFS(月1回_前回の在庫を貼る!$B$6:$B$10005,'設定（最初に1回）'!$C$4,月1回_前回の在庫を貼る!$I$6:$I$10005,$C185)=0,"新商品",""),IF(COUNTIFS(①今日の在庫を貼る!$B$6:$B$10005,'設定（最初に1回）'!$C$4,①今日の在庫を貼る!$I$6:$I$10005,$C185)=0,"終売候補",""),IF(N($K185)&lt;0,"在庫マイナス",""),IF(AND('設定（最初に1回）'!$C$9="PI値予測",$P185=""),"PI値未設定","")))</f>
        <v/>
      </c>
      <c r="AC185" s="71" t="n">
        <f aca="false">N($Y185)*N($H185)</f>
        <v>0</v>
      </c>
      <c r="AD185" s="66" t="str">
        <f aca="false">IF($C185="","",IFERROR(INDEX(商品マスタ!$K$6:$K$1005,MATCH($C185,商品マスタ!$B$6:$B$1005,0)),"常温"))</f>
        <v/>
      </c>
      <c r="AE185" s="69" t="str">
        <f aca="false">IF($C185="","",MAX(0,ROUNDUP(N($K185)/MAX(1,N($G185)),0)))</f>
        <v/>
      </c>
      <c r="AF185" s="66" t="str">
        <f aca="false">IF($C185="","",IFERROR(INDEX(商品マスタ!$L$6:$L$1005,MATCH($C185,商品マスタ!$B$6:$B$1005,0)),""))</f>
        <v/>
      </c>
      <c r="AG185" s="143" t="str">
        <f aca="false">IF($C185="","",IFERROR(INDEX(定数マスタ!$S$110:$S$119,MATCH($AF185,定数マスタ!$J$110:$J$119,0)),N('設定（最初に1回）'!$C$13)))</f>
        <v/>
      </c>
      <c r="AH185" s="66" t="n">
        <f aca="false">IF(AND(N($K185)&gt;0,N($Y185)&gt;0),N($Y185),0)</f>
        <v>0</v>
      </c>
    </row>
    <row r="186" customFormat="false" ht="15" hidden="false" customHeight="false" outlineLevel="0" collapsed="false">
      <c r="B186" s="66" t="n">
        <v>181</v>
      </c>
      <c r="C186" s="66" t="str">
        <f aca="false">IFERROR(IF($B186&lt;=MAX(①今日の在庫を貼る!$U$6:$U$10005),INDEX(①今日の在庫を貼る!$I$6:$I$10005,MATCH($B186,①今日の在庫を貼る!$U$6:$U$10005,0)),INDEX(月1回_前回の在庫を貼る!$I$6:$I$10005,MATCH($B186-MAX(①今日の在庫を貼る!$U$6:$U$10005),月1回_前回の在庫を貼る!$U$6:$U$10005,0))),"")</f>
        <v/>
      </c>
      <c r="D186" s="66" t="str">
        <f aca="false">IF($C186="","",IFERROR(INDEX(商品マスタ!$C$6:$C$1005,MATCH($C186,商品マスタ!$B$6:$B$1005,0)),IFERROR(INDEX(①今日の在庫を貼る!$J$6:$J$10005,MATCH($C186,①今日の在庫を貼る!$I$6:$I$10005,0)),IFERROR(INDEX(月1回_前回の在庫を貼る!$J$6:$J$10005,MATCH($C186,月1回_前回の在庫を貼る!$I$6:$I$10005,0)),""))))</f>
        <v/>
      </c>
      <c r="E186" s="66" t="str">
        <f aca="false">IF($C186="","",IFERROR(INDEX(商品マスタ!$D$6:$D$1005,MATCH($C186,商品マスタ!$B$6:$B$1005,0)),IFERROR(INDEX(①今日の在庫を貼る!$H$6:$H$10005,MATCH($C186,①今日の在庫を貼る!$I$6:$I$10005,0)),IFERROR(INDEX(月1回_前回の在庫を貼る!$H$6:$H$10005,MATCH($C186,月1回_前回の在庫を貼る!$I$6:$I$10005,0)),""))))</f>
        <v/>
      </c>
      <c r="F186" s="66" t="str">
        <f aca="false">IF($C186="","",IFERROR(INDEX(商品マスタ!$E$6:$E$1005,MATCH($C186,商品マスタ!$B$6:$B$1005,0)),IFERROR(INDEX(①今日の在庫を貼る!$E$6:$E$10005,MATCH($C186,①今日の在庫を貼る!$I$6:$I$10005,0)),IFERROR(INDEX(月1回_前回の在庫を貼る!$E$6:$E$10005,MATCH($C186,月1回_前回の在庫を貼る!$I$6:$I$10005,0)),""))))</f>
        <v/>
      </c>
      <c r="G186" s="69" t="str">
        <f aca="false">IF($C186="","",IFERROR(INDEX(商品マスタ!$F$6:$F$1005,MATCH($C186,商品マスタ!$B$6:$B$1005,0)),IFERROR(INDEX(①今日の在庫を貼る!$K$6:$K$10005,MATCH($C186,①今日の在庫を貼る!$I$6:$I$10005,0)),IFERROR(INDEX(月1回_前回の在庫を貼る!$K$6:$K$10005,MATCH($C186,月1回_前回の在庫を貼る!$I$6:$I$10005,0)),""))))</f>
        <v/>
      </c>
      <c r="H186" s="71" t="str">
        <f aca="false">IF($C186="","",IFERROR(INDEX(商品マスタ!$G$6:$G$1005,MATCH($C186,商品マスタ!$B$6:$B$1005,0)),IFERROR(INDEX(①今日の在庫を貼る!$Q$6:$Q$10005,MATCH($C186,①今日の在庫を貼る!$I$6:$I$10005,0)),IFERROR(INDEX(月1回_前回の在庫を貼る!$Q$6:$Q$10005,MATCH($C186,月1回_前回の在庫を貼る!$I$6:$I$10005,0)),""))))</f>
        <v/>
      </c>
      <c r="I186" s="66" t="str">
        <f aca="false">IF($C186="","",IFERROR(INDEX(商品マスタ!$H$6:$H$1005,MATCH($C186,商品マスタ!$B$6:$B$1005,0)),3))</f>
        <v/>
      </c>
      <c r="J186" s="66" t="str">
        <f aca="false">IF($C186="","",MAX(1,IFERROR(INDEX(商品マスタ!$I$6:$I$1005,MATCH($C186,商品マスタ!$B$6:$B$1005,0)),1)))</f>
        <v/>
      </c>
      <c r="K186" s="69" t="str">
        <f aca="false">IF($C186="","",SUMIFS(①今日の在庫を貼る!$N$6:$N$10005,①今日の在庫を貼る!$B$6:$B$10005,'設定（最初に1回）'!$C$4,①今日の在庫を貼る!$I$6:$I$10005,$C186))</f>
        <v/>
      </c>
      <c r="L186" s="69" t="str">
        <f aca="false">IF($C186="","",SUMIFS(月1回_前回の在庫を貼る!$N$6:$N$10005,月1回_前回の在庫を貼る!$B$6:$B$10005,'設定（最初に1回）'!$C$4,月1回_前回の在庫を貼る!$I$6:$I$10005,$C186))</f>
        <v/>
      </c>
      <c r="M186" s="69" t="str">
        <f aca="false">IF($C186="","",IF(OR('設定（最初に1回）'!$C$6="",'設定（最初に1回）'!$C$7=""),0,SUMIFS(発注管理!$S$6:$S$1005,発注管理!$C$6:$C$1005,'設定（最初に1回）'!$C$4,発注管理!$F$6:$F$1005,$C186,発注管理!$R$6:$R$1005,"&gt;="&amp;'設定（最初に1回）'!$C$7,発注管理!$R$6:$R$1005,"&lt;="&amp;'設定（最初に1回）'!$C$6)))</f>
        <v/>
      </c>
      <c r="N186" s="69" t="str">
        <f aca="false">IF(OR($C186="",'設定（最初に1回）'!$C$15=0),"",$L186+$M186-$K186)</f>
        <v/>
      </c>
      <c r="O186" s="143" t="str">
        <f aca="false">IF(OR($N186="",'設定（最初に1回）'!$C$8="",'設定（最初に1回）'!$C$8&lt;=0),"",MAX(0,$N186)/'設定（最初に1回）'!$C$8)</f>
        <v/>
      </c>
      <c r="P186" s="143" t="str">
        <f aca="false">IF($C186="","",IFERROR(INDEX(商品マスタ!$M$6:$N$1005,MATCH($C186,商品マスタ!$B$6:$B$1005,0),MATCH("PI値 "&amp;'設定（最初に1回）'!$C$11,商品マスタ!$M$5:$N$5,0)),""))</f>
        <v/>
      </c>
      <c r="Q186" s="143" t="str">
        <f aca="false">IF(OR($C186="",$P186="",$P186=0,(N($I186)+N($AG186))&lt;=0),"",IFERROR(SUMIFS(随時_動員を入れる!$G$8:$G$97,随時_動員を入れる!$B$8:$B$97,"&gt;="&amp;'設定（最初に1回）'!$C$6,随時_動員を入れる!$B$8:$B$97,"&lt;="&amp;'設定（最初に1回）'!$C$6+(N($I186)+N($AG186))-1)/(N($I186)+N($AG186)),0)*$P186/100)</f>
        <v/>
      </c>
      <c r="R186" s="69" t="str">
        <f aca="false">IF($C186="","",SUMIFS(①今日の在庫を貼る!$O$6:$O$10005,①今日の在庫を貼る!$B$6:$B$10005,'設定（最初に1回）'!$C$4,①今日の在庫を貼る!$I$6:$I$10005,$C186))</f>
        <v/>
      </c>
      <c r="S186" s="143" t="str">
        <f aca="false">IF($C186="","",IF('設定（最初に1回）'!$C$9="実績消費",N($O186),IF('設定（最初に1回）'!$C$9="PI値予測",N($Q186),MAX(N($O186),N($Q186)))))</f>
        <v/>
      </c>
      <c r="T186" s="67" t="str">
        <f aca="false">IF(OR($S186="",$S186&lt;=0),"",$K186/$S186)</f>
        <v/>
      </c>
      <c r="U186" s="69" t="str">
        <f aca="false">IF($S186="","",ROUNDUP(N($S186)*'設定（最初に1回）'!$C$12,0))</f>
        <v/>
      </c>
      <c r="V186" s="69" t="str">
        <f aca="false">IF($C186="","",ROUNDUP(N($S186)*(N($I186)+N($AG186))+N($U186),0))</f>
        <v/>
      </c>
      <c r="W186" s="69" t="str">
        <f aca="false">IF($C186="","",SUMIFS(発注管理!$L$6:$L$1005,発注管理!$C$6:$C$1005,'設定（最初に1回）'!$C$4,発注管理!$F$6:$F$1005,$C186,発注管理!$Q$6:$Q$1005,"発注済"))</f>
        <v/>
      </c>
      <c r="X186" s="69" t="str">
        <f aca="false">IF($C186="","",MAX(0,N($V186)-N($K186)-N($W186)))</f>
        <v/>
      </c>
      <c r="Y186" s="147" t="str">
        <f aca="false">IF($C186="","",IF(N($X186)&lt;=0,0,CEILING($X186/MAX(1,N($G186)),MAX(1,N($J186)))))</f>
        <v/>
      </c>
      <c r="Z186" s="138" t="str">
        <f aca="false">IF($C186="","",IF(N($Y186)&gt;0,"要発注","正常"))</f>
        <v/>
      </c>
      <c r="AA186" s="71" t="str">
        <f aca="false">IF($C186="","",N($K186)*N($H186))</f>
        <v/>
      </c>
      <c r="AB186" s="66" t="str">
        <f aca="false">IF($C186="","",_xlfn.TEXTJOIN(" / ",TRUE(),IF(COUNTIF(商品マスタ!$B$6:$B$1005,$C186)=0,"マスタ未登録",""),IF(COUNTIFS(月1回_前回の在庫を貼る!$B$6:$B$10005,'設定（最初に1回）'!$C$4,月1回_前回の在庫を貼る!$I$6:$I$10005,$C186)=0,"新商品",""),IF(COUNTIFS(①今日の在庫を貼る!$B$6:$B$10005,'設定（最初に1回）'!$C$4,①今日の在庫を貼る!$I$6:$I$10005,$C186)=0,"終売候補",""),IF(N($K186)&lt;0,"在庫マイナス",""),IF(AND('設定（最初に1回）'!$C$9="PI値予測",$P186=""),"PI値未設定","")))</f>
        <v/>
      </c>
      <c r="AC186" s="71" t="n">
        <f aca="false">N($Y186)*N($H186)</f>
        <v>0</v>
      </c>
      <c r="AD186" s="66" t="str">
        <f aca="false">IF($C186="","",IFERROR(INDEX(商品マスタ!$K$6:$K$1005,MATCH($C186,商品マスタ!$B$6:$B$1005,0)),"常温"))</f>
        <v/>
      </c>
      <c r="AE186" s="69" t="str">
        <f aca="false">IF($C186="","",MAX(0,ROUNDUP(N($K186)/MAX(1,N($G186)),0)))</f>
        <v/>
      </c>
      <c r="AF186" s="66" t="str">
        <f aca="false">IF($C186="","",IFERROR(INDEX(商品マスタ!$L$6:$L$1005,MATCH($C186,商品マスタ!$B$6:$B$1005,0)),""))</f>
        <v/>
      </c>
      <c r="AG186" s="143" t="str">
        <f aca="false">IF($C186="","",IFERROR(INDEX(定数マスタ!$S$110:$S$119,MATCH($AF186,定数マスタ!$J$110:$J$119,0)),N('設定（最初に1回）'!$C$13)))</f>
        <v/>
      </c>
      <c r="AH186" s="66" t="n">
        <f aca="false">IF(AND(N($K186)&gt;0,N($Y186)&gt;0),N($Y186),0)</f>
        <v>0</v>
      </c>
    </row>
    <row r="187" customFormat="false" ht="15" hidden="false" customHeight="false" outlineLevel="0" collapsed="false">
      <c r="B187" s="66" t="n">
        <v>182</v>
      </c>
      <c r="C187" s="66" t="str">
        <f aca="false">IFERROR(IF($B187&lt;=MAX(①今日の在庫を貼る!$U$6:$U$10005),INDEX(①今日の在庫を貼る!$I$6:$I$10005,MATCH($B187,①今日の在庫を貼る!$U$6:$U$10005,0)),INDEX(月1回_前回の在庫を貼る!$I$6:$I$10005,MATCH($B187-MAX(①今日の在庫を貼る!$U$6:$U$10005),月1回_前回の在庫を貼る!$U$6:$U$10005,0))),"")</f>
        <v/>
      </c>
      <c r="D187" s="66" t="str">
        <f aca="false">IF($C187="","",IFERROR(INDEX(商品マスタ!$C$6:$C$1005,MATCH($C187,商品マスタ!$B$6:$B$1005,0)),IFERROR(INDEX(①今日の在庫を貼る!$J$6:$J$10005,MATCH($C187,①今日の在庫を貼る!$I$6:$I$10005,0)),IFERROR(INDEX(月1回_前回の在庫を貼る!$J$6:$J$10005,MATCH($C187,月1回_前回の在庫を貼る!$I$6:$I$10005,0)),""))))</f>
        <v/>
      </c>
      <c r="E187" s="66" t="str">
        <f aca="false">IF($C187="","",IFERROR(INDEX(商品マスタ!$D$6:$D$1005,MATCH($C187,商品マスタ!$B$6:$B$1005,0)),IFERROR(INDEX(①今日の在庫を貼る!$H$6:$H$10005,MATCH($C187,①今日の在庫を貼る!$I$6:$I$10005,0)),IFERROR(INDEX(月1回_前回の在庫を貼る!$H$6:$H$10005,MATCH($C187,月1回_前回の在庫を貼る!$I$6:$I$10005,0)),""))))</f>
        <v/>
      </c>
      <c r="F187" s="66" t="str">
        <f aca="false">IF($C187="","",IFERROR(INDEX(商品マスタ!$E$6:$E$1005,MATCH($C187,商品マスタ!$B$6:$B$1005,0)),IFERROR(INDEX(①今日の在庫を貼る!$E$6:$E$10005,MATCH($C187,①今日の在庫を貼る!$I$6:$I$10005,0)),IFERROR(INDEX(月1回_前回の在庫を貼る!$E$6:$E$10005,MATCH($C187,月1回_前回の在庫を貼る!$I$6:$I$10005,0)),""))))</f>
        <v/>
      </c>
      <c r="G187" s="69" t="str">
        <f aca="false">IF($C187="","",IFERROR(INDEX(商品マスタ!$F$6:$F$1005,MATCH($C187,商品マスタ!$B$6:$B$1005,0)),IFERROR(INDEX(①今日の在庫を貼る!$K$6:$K$10005,MATCH($C187,①今日の在庫を貼る!$I$6:$I$10005,0)),IFERROR(INDEX(月1回_前回の在庫を貼る!$K$6:$K$10005,MATCH($C187,月1回_前回の在庫を貼る!$I$6:$I$10005,0)),""))))</f>
        <v/>
      </c>
      <c r="H187" s="71" t="str">
        <f aca="false">IF($C187="","",IFERROR(INDEX(商品マスタ!$G$6:$G$1005,MATCH($C187,商品マスタ!$B$6:$B$1005,0)),IFERROR(INDEX(①今日の在庫を貼る!$Q$6:$Q$10005,MATCH($C187,①今日の在庫を貼る!$I$6:$I$10005,0)),IFERROR(INDEX(月1回_前回の在庫を貼る!$Q$6:$Q$10005,MATCH($C187,月1回_前回の在庫を貼る!$I$6:$I$10005,0)),""))))</f>
        <v/>
      </c>
      <c r="I187" s="66" t="str">
        <f aca="false">IF($C187="","",IFERROR(INDEX(商品マスタ!$H$6:$H$1005,MATCH($C187,商品マスタ!$B$6:$B$1005,0)),3))</f>
        <v/>
      </c>
      <c r="J187" s="66" t="str">
        <f aca="false">IF($C187="","",MAX(1,IFERROR(INDEX(商品マスタ!$I$6:$I$1005,MATCH($C187,商品マスタ!$B$6:$B$1005,0)),1)))</f>
        <v/>
      </c>
      <c r="K187" s="69" t="str">
        <f aca="false">IF($C187="","",SUMIFS(①今日の在庫を貼る!$N$6:$N$10005,①今日の在庫を貼る!$B$6:$B$10005,'設定（最初に1回）'!$C$4,①今日の在庫を貼る!$I$6:$I$10005,$C187))</f>
        <v/>
      </c>
      <c r="L187" s="69" t="str">
        <f aca="false">IF($C187="","",SUMIFS(月1回_前回の在庫を貼る!$N$6:$N$10005,月1回_前回の在庫を貼る!$B$6:$B$10005,'設定（最初に1回）'!$C$4,月1回_前回の在庫を貼る!$I$6:$I$10005,$C187))</f>
        <v/>
      </c>
      <c r="M187" s="69" t="str">
        <f aca="false">IF($C187="","",IF(OR('設定（最初に1回）'!$C$6="",'設定（最初に1回）'!$C$7=""),0,SUMIFS(発注管理!$S$6:$S$1005,発注管理!$C$6:$C$1005,'設定（最初に1回）'!$C$4,発注管理!$F$6:$F$1005,$C187,発注管理!$R$6:$R$1005,"&gt;="&amp;'設定（最初に1回）'!$C$7,発注管理!$R$6:$R$1005,"&lt;="&amp;'設定（最初に1回）'!$C$6)))</f>
        <v/>
      </c>
      <c r="N187" s="69" t="str">
        <f aca="false">IF(OR($C187="",'設定（最初に1回）'!$C$15=0),"",$L187+$M187-$K187)</f>
        <v/>
      </c>
      <c r="O187" s="143" t="str">
        <f aca="false">IF(OR($N187="",'設定（最初に1回）'!$C$8="",'設定（最初に1回）'!$C$8&lt;=0),"",MAX(0,$N187)/'設定（最初に1回）'!$C$8)</f>
        <v/>
      </c>
      <c r="P187" s="143" t="str">
        <f aca="false">IF($C187="","",IFERROR(INDEX(商品マスタ!$M$6:$N$1005,MATCH($C187,商品マスタ!$B$6:$B$1005,0),MATCH("PI値 "&amp;'設定（最初に1回）'!$C$11,商品マスタ!$M$5:$N$5,0)),""))</f>
        <v/>
      </c>
      <c r="Q187" s="143" t="str">
        <f aca="false">IF(OR($C187="",$P187="",$P187=0,(N($I187)+N($AG187))&lt;=0),"",IFERROR(SUMIFS(随時_動員を入れる!$G$8:$G$97,随時_動員を入れる!$B$8:$B$97,"&gt;="&amp;'設定（最初に1回）'!$C$6,随時_動員を入れる!$B$8:$B$97,"&lt;="&amp;'設定（最初に1回）'!$C$6+(N($I187)+N($AG187))-1)/(N($I187)+N($AG187)),0)*$P187/100)</f>
        <v/>
      </c>
      <c r="R187" s="69" t="str">
        <f aca="false">IF($C187="","",SUMIFS(①今日の在庫を貼る!$O$6:$O$10005,①今日の在庫を貼る!$B$6:$B$10005,'設定（最初に1回）'!$C$4,①今日の在庫を貼る!$I$6:$I$10005,$C187))</f>
        <v/>
      </c>
      <c r="S187" s="143" t="str">
        <f aca="false">IF($C187="","",IF('設定（最初に1回）'!$C$9="実績消費",N($O187),IF('設定（最初に1回）'!$C$9="PI値予測",N($Q187),MAX(N($O187),N($Q187)))))</f>
        <v/>
      </c>
      <c r="T187" s="67" t="str">
        <f aca="false">IF(OR($S187="",$S187&lt;=0),"",$K187/$S187)</f>
        <v/>
      </c>
      <c r="U187" s="69" t="str">
        <f aca="false">IF($S187="","",ROUNDUP(N($S187)*'設定（最初に1回）'!$C$12,0))</f>
        <v/>
      </c>
      <c r="V187" s="69" t="str">
        <f aca="false">IF($C187="","",ROUNDUP(N($S187)*(N($I187)+N($AG187))+N($U187),0))</f>
        <v/>
      </c>
      <c r="W187" s="69" t="str">
        <f aca="false">IF($C187="","",SUMIFS(発注管理!$L$6:$L$1005,発注管理!$C$6:$C$1005,'設定（最初に1回）'!$C$4,発注管理!$F$6:$F$1005,$C187,発注管理!$Q$6:$Q$1005,"発注済"))</f>
        <v/>
      </c>
      <c r="X187" s="69" t="str">
        <f aca="false">IF($C187="","",MAX(0,N($V187)-N($K187)-N($W187)))</f>
        <v/>
      </c>
      <c r="Y187" s="147" t="str">
        <f aca="false">IF($C187="","",IF(N($X187)&lt;=0,0,CEILING($X187/MAX(1,N($G187)),MAX(1,N($J187)))))</f>
        <v/>
      </c>
      <c r="Z187" s="138" t="str">
        <f aca="false">IF($C187="","",IF(N($Y187)&gt;0,"要発注","正常"))</f>
        <v/>
      </c>
      <c r="AA187" s="71" t="str">
        <f aca="false">IF($C187="","",N($K187)*N($H187))</f>
        <v/>
      </c>
      <c r="AB187" s="66" t="str">
        <f aca="false">IF($C187="","",_xlfn.TEXTJOIN(" / ",TRUE(),IF(COUNTIF(商品マスタ!$B$6:$B$1005,$C187)=0,"マスタ未登録",""),IF(COUNTIFS(月1回_前回の在庫を貼る!$B$6:$B$10005,'設定（最初に1回）'!$C$4,月1回_前回の在庫を貼る!$I$6:$I$10005,$C187)=0,"新商品",""),IF(COUNTIFS(①今日の在庫を貼る!$B$6:$B$10005,'設定（最初に1回）'!$C$4,①今日の在庫を貼る!$I$6:$I$10005,$C187)=0,"終売候補",""),IF(N($K187)&lt;0,"在庫マイナス",""),IF(AND('設定（最初に1回）'!$C$9="PI値予測",$P187=""),"PI値未設定","")))</f>
        <v/>
      </c>
      <c r="AC187" s="71" t="n">
        <f aca="false">N($Y187)*N($H187)</f>
        <v>0</v>
      </c>
      <c r="AD187" s="66" t="str">
        <f aca="false">IF($C187="","",IFERROR(INDEX(商品マスタ!$K$6:$K$1005,MATCH($C187,商品マスタ!$B$6:$B$1005,0)),"常温"))</f>
        <v/>
      </c>
      <c r="AE187" s="69" t="str">
        <f aca="false">IF($C187="","",MAX(0,ROUNDUP(N($K187)/MAX(1,N($G187)),0)))</f>
        <v/>
      </c>
      <c r="AF187" s="66" t="str">
        <f aca="false">IF($C187="","",IFERROR(INDEX(商品マスタ!$L$6:$L$1005,MATCH($C187,商品マスタ!$B$6:$B$1005,0)),""))</f>
        <v/>
      </c>
      <c r="AG187" s="143" t="str">
        <f aca="false">IF($C187="","",IFERROR(INDEX(定数マスタ!$S$110:$S$119,MATCH($AF187,定数マスタ!$J$110:$J$119,0)),N('設定（最初に1回）'!$C$13)))</f>
        <v/>
      </c>
      <c r="AH187" s="66" t="n">
        <f aca="false">IF(AND(N($K187)&gt;0,N($Y187)&gt;0),N($Y187),0)</f>
        <v>0</v>
      </c>
    </row>
    <row r="188" customFormat="false" ht="15" hidden="false" customHeight="false" outlineLevel="0" collapsed="false">
      <c r="B188" s="66" t="n">
        <v>183</v>
      </c>
      <c r="C188" s="66" t="str">
        <f aca="false">IFERROR(IF($B188&lt;=MAX(①今日の在庫を貼る!$U$6:$U$10005),INDEX(①今日の在庫を貼る!$I$6:$I$10005,MATCH($B188,①今日の在庫を貼る!$U$6:$U$10005,0)),INDEX(月1回_前回の在庫を貼る!$I$6:$I$10005,MATCH($B188-MAX(①今日の在庫を貼る!$U$6:$U$10005),月1回_前回の在庫を貼る!$U$6:$U$10005,0))),"")</f>
        <v/>
      </c>
      <c r="D188" s="66" t="str">
        <f aca="false">IF($C188="","",IFERROR(INDEX(商品マスタ!$C$6:$C$1005,MATCH($C188,商品マスタ!$B$6:$B$1005,0)),IFERROR(INDEX(①今日の在庫を貼る!$J$6:$J$10005,MATCH($C188,①今日の在庫を貼る!$I$6:$I$10005,0)),IFERROR(INDEX(月1回_前回の在庫を貼る!$J$6:$J$10005,MATCH($C188,月1回_前回の在庫を貼る!$I$6:$I$10005,0)),""))))</f>
        <v/>
      </c>
      <c r="E188" s="66" t="str">
        <f aca="false">IF($C188="","",IFERROR(INDEX(商品マスタ!$D$6:$D$1005,MATCH($C188,商品マスタ!$B$6:$B$1005,0)),IFERROR(INDEX(①今日の在庫を貼る!$H$6:$H$10005,MATCH($C188,①今日の在庫を貼る!$I$6:$I$10005,0)),IFERROR(INDEX(月1回_前回の在庫を貼る!$H$6:$H$10005,MATCH($C188,月1回_前回の在庫を貼る!$I$6:$I$10005,0)),""))))</f>
        <v/>
      </c>
      <c r="F188" s="66" t="str">
        <f aca="false">IF($C188="","",IFERROR(INDEX(商品マスタ!$E$6:$E$1005,MATCH($C188,商品マスタ!$B$6:$B$1005,0)),IFERROR(INDEX(①今日の在庫を貼る!$E$6:$E$10005,MATCH($C188,①今日の在庫を貼る!$I$6:$I$10005,0)),IFERROR(INDEX(月1回_前回の在庫を貼る!$E$6:$E$10005,MATCH($C188,月1回_前回の在庫を貼る!$I$6:$I$10005,0)),""))))</f>
        <v/>
      </c>
      <c r="G188" s="69" t="str">
        <f aca="false">IF($C188="","",IFERROR(INDEX(商品マスタ!$F$6:$F$1005,MATCH($C188,商品マスタ!$B$6:$B$1005,0)),IFERROR(INDEX(①今日の在庫を貼る!$K$6:$K$10005,MATCH($C188,①今日の在庫を貼る!$I$6:$I$10005,0)),IFERROR(INDEX(月1回_前回の在庫を貼る!$K$6:$K$10005,MATCH($C188,月1回_前回の在庫を貼る!$I$6:$I$10005,0)),""))))</f>
        <v/>
      </c>
      <c r="H188" s="71" t="str">
        <f aca="false">IF($C188="","",IFERROR(INDEX(商品マスタ!$G$6:$G$1005,MATCH($C188,商品マスタ!$B$6:$B$1005,0)),IFERROR(INDEX(①今日の在庫を貼る!$Q$6:$Q$10005,MATCH($C188,①今日の在庫を貼る!$I$6:$I$10005,0)),IFERROR(INDEX(月1回_前回の在庫を貼る!$Q$6:$Q$10005,MATCH($C188,月1回_前回の在庫を貼る!$I$6:$I$10005,0)),""))))</f>
        <v/>
      </c>
      <c r="I188" s="66" t="str">
        <f aca="false">IF($C188="","",IFERROR(INDEX(商品マスタ!$H$6:$H$1005,MATCH($C188,商品マスタ!$B$6:$B$1005,0)),3))</f>
        <v/>
      </c>
      <c r="J188" s="66" t="str">
        <f aca="false">IF($C188="","",MAX(1,IFERROR(INDEX(商品マスタ!$I$6:$I$1005,MATCH($C188,商品マスタ!$B$6:$B$1005,0)),1)))</f>
        <v/>
      </c>
      <c r="K188" s="69" t="str">
        <f aca="false">IF($C188="","",SUMIFS(①今日の在庫を貼る!$N$6:$N$10005,①今日の在庫を貼る!$B$6:$B$10005,'設定（最初に1回）'!$C$4,①今日の在庫を貼る!$I$6:$I$10005,$C188))</f>
        <v/>
      </c>
      <c r="L188" s="69" t="str">
        <f aca="false">IF($C188="","",SUMIFS(月1回_前回の在庫を貼る!$N$6:$N$10005,月1回_前回の在庫を貼る!$B$6:$B$10005,'設定（最初に1回）'!$C$4,月1回_前回の在庫を貼る!$I$6:$I$10005,$C188))</f>
        <v/>
      </c>
      <c r="M188" s="69" t="str">
        <f aca="false">IF($C188="","",IF(OR('設定（最初に1回）'!$C$6="",'設定（最初に1回）'!$C$7=""),0,SUMIFS(発注管理!$S$6:$S$1005,発注管理!$C$6:$C$1005,'設定（最初に1回）'!$C$4,発注管理!$F$6:$F$1005,$C188,発注管理!$R$6:$R$1005,"&gt;="&amp;'設定（最初に1回）'!$C$7,発注管理!$R$6:$R$1005,"&lt;="&amp;'設定（最初に1回）'!$C$6)))</f>
        <v/>
      </c>
      <c r="N188" s="69" t="str">
        <f aca="false">IF(OR($C188="",'設定（最初に1回）'!$C$15=0),"",$L188+$M188-$K188)</f>
        <v/>
      </c>
      <c r="O188" s="143" t="str">
        <f aca="false">IF(OR($N188="",'設定（最初に1回）'!$C$8="",'設定（最初に1回）'!$C$8&lt;=0),"",MAX(0,$N188)/'設定（最初に1回）'!$C$8)</f>
        <v/>
      </c>
      <c r="P188" s="143" t="str">
        <f aca="false">IF($C188="","",IFERROR(INDEX(商品マスタ!$M$6:$N$1005,MATCH($C188,商品マスタ!$B$6:$B$1005,0),MATCH("PI値 "&amp;'設定（最初に1回）'!$C$11,商品マスタ!$M$5:$N$5,0)),""))</f>
        <v/>
      </c>
      <c r="Q188" s="143" t="str">
        <f aca="false">IF(OR($C188="",$P188="",$P188=0,(N($I188)+N($AG188))&lt;=0),"",IFERROR(SUMIFS(随時_動員を入れる!$G$8:$G$97,随時_動員を入れる!$B$8:$B$97,"&gt;="&amp;'設定（最初に1回）'!$C$6,随時_動員を入れる!$B$8:$B$97,"&lt;="&amp;'設定（最初に1回）'!$C$6+(N($I188)+N($AG188))-1)/(N($I188)+N($AG188)),0)*$P188/100)</f>
        <v/>
      </c>
      <c r="R188" s="69" t="str">
        <f aca="false">IF($C188="","",SUMIFS(①今日の在庫を貼る!$O$6:$O$10005,①今日の在庫を貼る!$B$6:$B$10005,'設定（最初に1回）'!$C$4,①今日の在庫を貼る!$I$6:$I$10005,$C188))</f>
        <v/>
      </c>
      <c r="S188" s="143" t="str">
        <f aca="false">IF($C188="","",IF('設定（最初に1回）'!$C$9="実績消費",N($O188),IF('設定（最初に1回）'!$C$9="PI値予測",N($Q188),MAX(N($O188),N($Q188)))))</f>
        <v/>
      </c>
      <c r="T188" s="67" t="str">
        <f aca="false">IF(OR($S188="",$S188&lt;=0),"",$K188/$S188)</f>
        <v/>
      </c>
      <c r="U188" s="69" t="str">
        <f aca="false">IF($S188="","",ROUNDUP(N($S188)*'設定（最初に1回）'!$C$12,0))</f>
        <v/>
      </c>
      <c r="V188" s="69" t="str">
        <f aca="false">IF($C188="","",ROUNDUP(N($S188)*(N($I188)+N($AG188))+N($U188),0))</f>
        <v/>
      </c>
      <c r="W188" s="69" t="str">
        <f aca="false">IF($C188="","",SUMIFS(発注管理!$L$6:$L$1005,発注管理!$C$6:$C$1005,'設定（最初に1回）'!$C$4,発注管理!$F$6:$F$1005,$C188,発注管理!$Q$6:$Q$1005,"発注済"))</f>
        <v/>
      </c>
      <c r="X188" s="69" t="str">
        <f aca="false">IF($C188="","",MAX(0,N($V188)-N($K188)-N($W188)))</f>
        <v/>
      </c>
      <c r="Y188" s="147" t="str">
        <f aca="false">IF($C188="","",IF(N($X188)&lt;=0,0,CEILING($X188/MAX(1,N($G188)),MAX(1,N($J188)))))</f>
        <v/>
      </c>
      <c r="Z188" s="138" t="str">
        <f aca="false">IF($C188="","",IF(N($Y188)&gt;0,"要発注","正常"))</f>
        <v/>
      </c>
      <c r="AA188" s="71" t="str">
        <f aca="false">IF($C188="","",N($K188)*N($H188))</f>
        <v/>
      </c>
      <c r="AB188" s="66" t="str">
        <f aca="false">IF($C188="","",_xlfn.TEXTJOIN(" / ",TRUE(),IF(COUNTIF(商品マスタ!$B$6:$B$1005,$C188)=0,"マスタ未登録",""),IF(COUNTIFS(月1回_前回の在庫を貼る!$B$6:$B$10005,'設定（最初に1回）'!$C$4,月1回_前回の在庫を貼る!$I$6:$I$10005,$C188)=0,"新商品",""),IF(COUNTIFS(①今日の在庫を貼る!$B$6:$B$10005,'設定（最初に1回）'!$C$4,①今日の在庫を貼る!$I$6:$I$10005,$C188)=0,"終売候補",""),IF(N($K188)&lt;0,"在庫マイナス",""),IF(AND('設定（最初に1回）'!$C$9="PI値予測",$P188=""),"PI値未設定","")))</f>
        <v/>
      </c>
      <c r="AC188" s="71" t="n">
        <f aca="false">N($Y188)*N($H188)</f>
        <v>0</v>
      </c>
      <c r="AD188" s="66" t="str">
        <f aca="false">IF($C188="","",IFERROR(INDEX(商品マスタ!$K$6:$K$1005,MATCH($C188,商品マスタ!$B$6:$B$1005,0)),"常温"))</f>
        <v/>
      </c>
      <c r="AE188" s="69" t="str">
        <f aca="false">IF($C188="","",MAX(0,ROUNDUP(N($K188)/MAX(1,N($G188)),0)))</f>
        <v/>
      </c>
      <c r="AF188" s="66" t="str">
        <f aca="false">IF($C188="","",IFERROR(INDEX(商品マスタ!$L$6:$L$1005,MATCH($C188,商品マスタ!$B$6:$B$1005,0)),""))</f>
        <v/>
      </c>
      <c r="AG188" s="143" t="str">
        <f aca="false">IF($C188="","",IFERROR(INDEX(定数マスタ!$S$110:$S$119,MATCH($AF188,定数マスタ!$J$110:$J$119,0)),N('設定（最初に1回）'!$C$13)))</f>
        <v/>
      </c>
      <c r="AH188" s="66" t="n">
        <f aca="false">IF(AND(N($K188)&gt;0,N($Y188)&gt;0),N($Y188),0)</f>
        <v>0</v>
      </c>
    </row>
    <row r="189" customFormat="false" ht="15" hidden="false" customHeight="false" outlineLevel="0" collapsed="false">
      <c r="B189" s="66" t="n">
        <v>184</v>
      </c>
      <c r="C189" s="66" t="str">
        <f aca="false">IFERROR(IF($B189&lt;=MAX(①今日の在庫を貼る!$U$6:$U$10005),INDEX(①今日の在庫を貼る!$I$6:$I$10005,MATCH($B189,①今日の在庫を貼る!$U$6:$U$10005,0)),INDEX(月1回_前回の在庫を貼る!$I$6:$I$10005,MATCH($B189-MAX(①今日の在庫を貼る!$U$6:$U$10005),月1回_前回の在庫を貼る!$U$6:$U$10005,0))),"")</f>
        <v/>
      </c>
      <c r="D189" s="66" t="str">
        <f aca="false">IF($C189="","",IFERROR(INDEX(商品マスタ!$C$6:$C$1005,MATCH($C189,商品マスタ!$B$6:$B$1005,0)),IFERROR(INDEX(①今日の在庫を貼る!$J$6:$J$10005,MATCH($C189,①今日の在庫を貼る!$I$6:$I$10005,0)),IFERROR(INDEX(月1回_前回の在庫を貼る!$J$6:$J$10005,MATCH($C189,月1回_前回の在庫を貼る!$I$6:$I$10005,0)),""))))</f>
        <v/>
      </c>
      <c r="E189" s="66" t="str">
        <f aca="false">IF($C189="","",IFERROR(INDEX(商品マスタ!$D$6:$D$1005,MATCH($C189,商品マスタ!$B$6:$B$1005,0)),IFERROR(INDEX(①今日の在庫を貼る!$H$6:$H$10005,MATCH($C189,①今日の在庫を貼る!$I$6:$I$10005,0)),IFERROR(INDEX(月1回_前回の在庫を貼る!$H$6:$H$10005,MATCH($C189,月1回_前回の在庫を貼る!$I$6:$I$10005,0)),""))))</f>
        <v/>
      </c>
      <c r="F189" s="66" t="str">
        <f aca="false">IF($C189="","",IFERROR(INDEX(商品マスタ!$E$6:$E$1005,MATCH($C189,商品マスタ!$B$6:$B$1005,0)),IFERROR(INDEX(①今日の在庫を貼る!$E$6:$E$10005,MATCH($C189,①今日の在庫を貼る!$I$6:$I$10005,0)),IFERROR(INDEX(月1回_前回の在庫を貼る!$E$6:$E$10005,MATCH($C189,月1回_前回の在庫を貼る!$I$6:$I$10005,0)),""))))</f>
        <v/>
      </c>
      <c r="G189" s="69" t="str">
        <f aca="false">IF($C189="","",IFERROR(INDEX(商品マスタ!$F$6:$F$1005,MATCH($C189,商品マスタ!$B$6:$B$1005,0)),IFERROR(INDEX(①今日の在庫を貼る!$K$6:$K$10005,MATCH($C189,①今日の在庫を貼る!$I$6:$I$10005,0)),IFERROR(INDEX(月1回_前回の在庫を貼る!$K$6:$K$10005,MATCH($C189,月1回_前回の在庫を貼る!$I$6:$I$10005,0)),""))))</f>
        <v/>
      </c>
      <c r="H189" s="71" t="str">
        <f aca="false">IF($C189="","",IFERROR(INDEX(商品マスタ!$G$6:$G$1005,MATCH($C189,商品マスタ!$B$6:$B$1005,0)),IFERROR(INDEX(①今日の在庫を貼る!$Q$6:$Q$10005,MATCH($C189,①今日の在庫を貼る!$I$6:$I$10005,0)),IFERROR(INDEX(月1回_前回の在庫を貼る!$Q$6:$Q$10005,MATCH($C189,月1回_前回の在庫を貼る!$I$6:$I$10005,0)),""))))</f>
        <v/>
      </c>
      <c r="I189" s="66" t="str">
        <f aca="false">IF($C189="","",IFERROR(INDEX(商品マスタ!$H$6:$H$1005,MATCH($C189,商品マスタ!$B$6:$B$1005,0)),3))</f>
        <v/>
      </c>
      <c r="J189" s="66" t="str">
        <f aca="false">IF($C189="","",MAX(1,IFERROR(INDEX(商品マスタ!$I$6:$I$1005,MATCH($C189,商品マスタ!$B$6:$B$1005,0)),1)))</f>
        <v/>
      </c>
      <c r="K189" s="69" t="str">
        <f aca="false">IF($C189="","",SUMIFS(①今日の在庫を貼る!$N$6:$N$10005,①今日の在庫を貼る!$B$6:$B$10005,'設定（最初に1回）'!$C$4,①今日の在庫を貼る!$I$6:$I$10005,$C189))</f>
        <v/>
      </c>
      <c r="L189" s="69" t="str">
        <f aca="false">IF($C189="","",SUMIFS(月1回_前回の在庫を貼る!$N$6:$N$10005,月1回_前回の在庫を貼る!$B$6:$B$10005,'設定（最初に1回）'!$C$4,月1回_前回の在庫を貼る!$I$6:$I$10005,$C189))</f>
        <v/>
      </c>
      <c r="M189" s="69" t="str">
        <f aca="false">IF($C189="","",IF(OR('設定（最初に1回）'!$C$6="",'設定（最初に1回）'!$C$7=""),0,SUMIFS(発注管理!$S$6:$S$1005,発注管理!$C$6:$C$1005,'設定（最初に1回）'!$C$4,発注管理!$F$6:$F$1005,$C189,発注管理!$R$6:$R$1005,"&gt;="&amp;'設定（最初に1回）'!$C$7,発注管理!$R$6:$R$1005,"&lt;="&amp;'設定（最初に1回）'!$C$6)))</f>
        <v/>
      </c>
      <c r="N189" s="69" t="str">
        <f aca="false">IF(OR($C189="",'設定（最初に1回）'!$C$15=0),"",$L189+$M189-$K189)</f>
        <v/>
      </c>
      <c r="O189" s="143" t="str">
        <f aca="false">IF(OR($N189="",'設定（最初に1回）'!$C$8="",'設定（最初に1回）'!$C$8&lt;=0),"",MAX(0,$N189)/'設定（最初に1回）'!$C$8)</f>
        <v/>
      </c>
      <c r="P189" s="143" t="str">
        <f aca="false">IF($C189="","",IFERROR(INDEX(商品マスタ!$M$6:$N$1005,MATCH($C189,商品マスタ!$B$6:$B$1005,0),MATCH("PI値 "&amp;'設定（最初に1回）'!$C$11,商品マスタ!$M$5:$N$5,0)),""))</f>
        <v/>
      </c>
      <c r="Q189" s="143" t="str">
        <f aca="false">IF(OR($C189="",$P189="",$P189=0,(N($I189)+N($AG189))&lt;=0),"",IFERROR(SUMIFS(随時_動員を入れる!$G$8:$G$97,随時_動員を入れる!$B$8:$B$97,"&gt;="&amp;'設定（最初に1回）'!$C$6,随時_動員を入れる!$B$8:$B$97,"&lt;="&amp;'設定（最初に1回）'!$C$6+(N($I189)+N($AG189))-1)/(N($I189)+N($AG189)),0)*$P189/100)</f>
        <v/>
      </c>
      <c r="R189" s="69" t="str">
        <f aca="false">IF($C189="","",SUMIFS(①今日の在庫を貼る!$O$6:$O$10005,①今日の在庫を貼る!$B$6:$B$10005,'設定（最初に1回）'!$C$4,①今日の在庫を貼る!$I$6:$I$10005,$C189))</f>
        <v/>
      </c>
      <c r="S189" s="143" t="str">
        <f aca="false">IF($C189="","",IF('設定（最初に1回）'!$C$9="実績消費",N($O189),IF('設定（最初に1回）'!$C$9="PI値予測",N($Q189),MAX(N($O189),N($Q189)))))</f>
        <v/>
      </c>
      <c r="T189" s="67" t="str">
        <f aca="false">IF(OR($S189="",$S189&lt;=0),"",$K189/$S189)</f>
        <v/>
      </c>
      <c r="U189" s="69" t="str">
        <f aca="false">IF($S189="","",ROUNDUP(N($S189)*'設定（最初に1回）'!$C$12,0))</f>
        <v/>
      </c>
      <c r="V189" s="69" t="str">
        <f aca="false">IF($C189="","",ROUNDUP(N($S189)*(N($I189)+N($AG189))+N($U189),0))</f>
        <v/>
      </c>
      <c r="W189" s="69" t="str">
        <f aca="false">IF($C189="","",SUMIFS(発注管理!$L$6:$L$1005,発注管理!$C$6:$C$1005,'設定（最初に1回）'!$C$4,発注管理!$F$6:$F$1005,$C189,発注管理!$Q$6:$Q$1005,"発注済"))</f>
        <v/>
      </c>
      <c r="X189" s="69" t="str">
        <f aca="false">IF($C189="","",MAX(0,N($V189)-N($K189)-N($W189)))</f>
        <v/>
      </c>
      <c r="Y189" s="147" t="str">
        <f aca="false">IF($C189="","",IF(N($X189)&lt;=0,0,CEILING($X189/MAX(1,N($G189)),MAX(1,N($J189)))))</f>
        <v/>
      </c>
      <c r="Z189" s="138" t="str">
        <f aca="false">IF($C189="","",IF(N($Y189)&gt;0,"要発注","正常"))</f>
        <v/>
      </c>
      <c r="AA189" s="71" t="str">
        <f aca="false">IF($C189="","",N($K189)*N($H189))</f>
        <v/>
      </c>
      <c r="AB189" s="66" t="str">
        <f aca="false">IF($C189="","",_xlfn.TEXTJOIN(" / ",TRUE(),IF(COUNTIF(商品マスタ!$B$6:$B$1005,$C189)=0,"マスタ未登録",""),IF(COUNTIFS(月1回_前回の在庫を貼る!$B$6:$B$10005,'設定（最初に1回）'!$C$4,月1回_前回の在庫を貼る!$I$6:$I$10005,$C189)=0,"新商品",""),IF(COUNTIFS(①今日の在庫を貼る!$B$6:$B$10005,'設定（最初に1回）'!$C$4,①今日の在庫を貼る!$I$6:$I$10005,$C189)=0,"終売候補",""),IF(N($K189)&lt;0,"在庫マイナス",""),IF(AND('設定（最初に1回）'!$C$9="PI値予測",$P189=""),"PI値未設定","")))</f>
        <v/>
      </c>
      <c r="AC189" s="71" t="n">
        <f aca="false">N($Y189)*N($H189)</f>
        <v>0</v>
      </c>
      <c r="AD189" s="66" t="str">
        <f aca="false">IF($C189="","",IFERROR(INDEX(商品マスタ!$K$6:$K$1005,MATCH($C189,商品マスタ!$B$6:$B$1005,0)),"常温"))</f>
        <v/>
      </c>
      <c r="AE189" s="69" t="str">
        <f aca="false">IF($C189="","",MAX(0,ROUNDUP(N($K189)/MAX(1,N($G189)),0)))</f>
        <v/>
      </c>
      <c r="AF189" s="66" t="str">
        <f aca="false">IF($C189="","",IFERROR(INDEX(商品マスタ!$L$6:$L$1005,MATCH($C189,商品マスタ!$B$6:$B$1005,0)),""))</f>
        <v/>
      </c>
      <c r="AG189" s="143" t="str">
        <f aca="false">IF($C189="","",IFERROR(INDEX(定数マスタ!$S$110:$S$119,MATCH($AF189,定数マスタ!$J$110:$J$119,0)),N('設定（最初に1回）'!$C$13)))</f>
        <v/>
      </c>
      <c r="AH189" s="66" t="n">
        <f aca="false">IF(AND(N($K189)&gt;0,N($Y189)&gt;0),N($Y189),0)</f>
        <v>0</v>
      </c>
    </row>
    <row r="190" customFormat="false" ht="15" hidden="false" customHeight="false" outlineLevel="0" collapsed="false">
      <c r="B190" s="66" t="n">
        <v>185</v>
      </c>
      <c r="C190" s="66" t="str">
        <f aca="false">IFERROR(IF($B190&lt;=MAX(①今日の在庫を貼る!$U$6:$U$10005),INDEX(①今日の在庫を貼る!$I$6:$I$10005,MATCH($B190,①今日の在庫を貼る!$U$6:$U$10005,0)),INDEX(月1回_前回の在庫を貼る!$I$6:$I$10005,MATCH($B190-MAX(①今日の在庫を貼る!$U$6:$U$10005),月1回_前回の在庫を貼る!$U$6:$U$10005,0))),"")</f>
        <v/>
      </c>
      <c r="D190" s="66" t="str">
        <f aca="false">IF($C190="","",IFERROR(INDEX(商品マスタ!$C$6:$C$1005,MATCH($C190,商品マスタ!$B$6:$B$1005,0)),IFERROR(INDEX(①今日の在庫を貼る!$J$6:$J$10005,MATCH($C190,①今日の在庫を貼る!$I$6:$I$10005,0)),IFERROR(INDEX(月1回_前回の在庫を貼る!$J$6:$J$10005,MATCH($C190,月1回_前回の在庫を貼る!$I$6:$I$10005,0)),""))))</f>
        <v/>
      </c>
      <c r="E190" s="66" t="str">
        <f aca="false">IF($C190="","",IFERROR(INDEX(商品マスタ!$D$6:$D$1005,MATCH($C190,商品マスタ!$B$6:$B$1005,0)),IFERROR(INDEX(①今日の在庫を貼る!$H$6:$H$10005,MATCH($C190,①今日の在庫を貼る!$I$6:$I$10005,0)),IFERROR(INDEX(月1回_前回の在庫を貼る!$H$6:$H$10005,MATCH($C190,月1回_前回の在庫を貼る!$I$6:$I$10005,0)),""))))</f>
        <v/>
      </c>
      <c r="F190" s="66" t="str">
        <f aca="false">IF($C190="","",IFERROR(INDEX(商品マスタ!$E$6:$E$1005,MATCH($C190,商品マスタ!$B$6:$B$1005,0)),IFERROR(INDEX(①今日の在庫を貼る!$E$6:$E$10005,MATCH($C190,①今日の在庫を貼る!$I$6:$I$10005,0)),IFERROR(INDEX(月1回_前回の在庫を貼る!$E$6:$E$10005,MATCH($C190,月1回_前回の在庫を貼る!$I$6:$I$10005,0)),""))))</f>
        <v/>
      </c>
      <c r="G190" s="69" t="str">
        <f aca="false">IF($C190="","",IFERROR(INDEX(商品マスタ!$F$6:$F$1005,MATCH($C190,商品マスタ!$B$6:$B$1005,0)),IFERROR(INDEX(①今日の在庫を貼る!$K$6:$K$10005,MATCH($C190,①今日の在庫を貼る!$I$6:$I$10005,0)),IFERROR(INDEX(月1回_前回の在庫を貼る!$K$6:$K$10005,MATCH($C190,月1回_前回の在庫を貼る!$I$6:$I$10005,0)),""))))</f>
        <v/>
      </c>
      <c r="H190" s="71" t="str">
        <f aca="false">IF($C190="","",IFERROR(INDEX(商品マスタ!$G$6:$G$1005,MATCH($C190,商品マスタ!$B$6:$B$1005,0)),IFERROR(INDEX(①今日の在庫を貼る!$Q$6:$Q$10005,MATCH($C190,①今日の在庫を貼る!$I$6:$I$10005,0)),IFERROR(INDEX(月1回_前回の在庫を貼る!$Q$6:$Q$10005,MATCH($C190,月1回_前回の在庫を貼る!$I$6:$I$10005,0)),""))))</f>
        <v/>
      </c>
      <c r="I190" s="66" t="str">
        <f aca="false">IF($C190="","",IFERROR(INDEX(商品マスタ!$H$6:$H$1005,MATCH($C190,商品マスタ!$B$6:$B$1005,0)),3))</f>
        <v/>
      </c>
      <c r="J190" s="66" t="str">
        <f aca="false">IF($C190="","",MAX(1,IFERROR(INDEX(商品マスタ!$I$6:$I$1005,MATCH($C190,商品マスタ!$B$6:$B$1005,0)),1)))</f>
        <v/>
      </c>
      <c r="K190" s="69" t="str">
        <f aca="false">IF($C190="","",SUMIFS(①今日の在庫を貼る!$N$6:$N$10005,①今日の在庫を貼る!$B$6:$B$10005,'設定（最初に1回）'!$C$4,①今日の在庫を貼る!$I$6:$I$10005,$C190))</f>
        <v/>
      </c>
      <c r="L190" s="69" t="str">
        <f aca="false">IF($C190="","",SUMIFS(月1回_前回の在庫を貼る!$N$6:$N$10005,月1回_前回の在庫を貼る!$B$6:$B$10005,'設定（最初に1回）'!$C$4,月1回_前回の在庫を貼る!$I$6:$I$10005,$C190))</f>
        <v/>
      </c>
      <c r="M190" s="69" t="str">
        <f aca="false">IF($C190="","",IF(OR('設定（最初に1回）'!$C$6="",'設定（最初に1回）'!$C$7=""),0,SUMIFS(発注管理!$S$6:$S$1005,発注管理!$C$6:$C$1005,'設定（最初に1回）'!$C$4,発注管理!$F$6:$F$1005,$C190,発注管理!$R$6:$R$1005,"&gt;="&amp;'設定（最初に1回）'!$C$7,発注管理!$R$6:$R$1005,"&lt;="&amp;'設定（最初に1回）'!$C$6)))</f>
        <v/>
      </c>
      <c r="N190" s="69" t="str">
        <f aca="false">IF(OR($C190="",'設定（最初に1回）'!$C$15=0),"",$L190+$M190-$K190)</f>
        <v/>
      </c>
      <c r="O190" s="143" t="str">
        <f aca="false">IF(OR($N190="",'設定（最初に1回）'!$C$8="",'設定（最初に1回）'!$C$8&lt;=0),"",MAX(0,$N190)/'設定（最初に1回）'!$C$8)</f>
        <v/>
      </c>
      <c r="P190" s="143" t="str">
        <f aca="false">IF($C190="","",IFERROR(INDEX(商品マスタ!$M$6:$N$1005,MATCH($C190,商品マスタ!$B$6:$B$1005,0),MATCH("PI値 "&amp;'設定（最初に1回）'!$C$11,商品マスタ!$M$5:$N$5,0)),""))</f>
        <v/>
      </c>
      <c r="Q190" s="143" t="str">
        <f aca="false">IF(OR($C190="",$P190="",$P190=0,(N($I190)+N($AG190))&lt;=0),"",IFERROR(SUMIFS(随時_動員を入れる!$G$8:$G$97,随時_動員を入れる!$B$8:$B$97,"&gt;="&amp;'設定（最初に1回）'!$C$6,随時_動員を入れる!$B$8:$B$97,"&lt;="&amp;'設定（最初に1回）'!$C$6+(N($I190)+N($AG190))-1)/(N($I190)+N($AG190)),0)*$P190/100)</f>
        <v/>
      </c>
      <c r="R190" s="69" t="str">
        <f aca="false">IF($C190="","",SUMIFS(①今日の在庫を貼る!$O$6:$O$10005,①今日の在庫を貼る!$B$6:$B$10005,'設定（最初に1回）'!$C$4,①今日の在庫を貼る!$I$6:$I$10005,$C190))</f>
        <v/>
      </c>
      <c r="S190" s="143" t="str">
        <f aca="false">IF($C190="","",IF('設定（最初に1回）'!$C$9="実績消費",N($O190),IF('設定（最初に1回）'!$C$9="PI値予測",N($Q190),MAX(N($O190),N($Q190)))))</f>
        <v/>
      </c>
      <c r="T190" s="67" t="str">
        <f aca="false">IF(OR($S190="",$S190&lt;=0),"",$K190/$S190)</f>
        <v/>
      </c>
      <c r="U190" s="69" t="str">
        <f aca="false">IF($S190="","",ROUNDUP(N($S190)*'設定（最初に1回）'!$C$12,0))</f>
        <v/>
      </c>
      <c r="V190" s="69" t="str">
        <f aca="false">IF($C190="","",ROUNDUP(N($S190)*(N($I190)+N($AG190))+N($U190),0))</f>
        <v/>
      </c>
      <c r="W190" s="69" t="str">
        <f aca="false">IF($C190="","",SUMIFS(発注管理!$L$6:$L$1005,発注管理!$C$6:$C$1005,'設定（最初に1回）'!$C$4,発注管理!$F$6:$F$1005,$C190,発注管理!$Q$6:$Q$1005,"発注済"))</f>
        <v/>
      </c>
      <c r="X190" s="69" t="str">
        <f aca="false">IF($C190="","",MAX(0,N($V190)-N($K190)-N($W190)))</f>
        <v/>
      </c>
      <c r="Y190" s="147" t="str">
        <f aca="false">IF($C190="","",IF(N($X190)&lt;=0,0,CEILING($X190/MAX(1,N($G190)),MAX(1,N($J190)))))</f>
        <v/>
      </c>
      <c r="Z190" s="138" t="str">
        <f aca="false">IF($C190="","",IF(N($Y190)&gt;0,"要発注","正常"))</f>
        <v/>
      </c>
      <c r="AA190" s="71" t="str">
        <f aca="false">IF($C190="","",N($K190)*N($H190))</f>
        <v/>
      </c>
      <c r="AB190" s="66" t="str">
        <f aca="false">IF($C190="","",_xlfn.TEXTJOIN(" / ",TRUE(),IF(COUNTIF(商品マスタ!$B$6:$B$1005,$C190)=0,"マスタ未登録",""),IF(COUNTIFS(月1回_前回の在庫を貼る!$B$6:$B$10005,'設定（最初に1回）'!$C$4,月1回_前回の在庫を貼る!$I$6:$I$10005,$C190)=0,"新商品",""),IF(COUNTIFS(①今日の在庫を貼る!$B$6:$B$10005,'設定（最初に1回）'!$C$4,①今日の在庫を貼る!$I$6:$I$10005,$C190)=0,"終売候補",""),IF(N($K190)&lt;0,"在庫マイナス",""),IF(AND('設定（最初に1回）'!$C$9="PI値予測",$P190=""),"PI値未設定","")))</f>
        <v/>
      </c>
      <c r="AC190" s="71" t="n">
        <f aca="false">N($Y190)*N($H190)</f>
        <v>0</v>
      </c>
      <c r="AD190" s="66" t="str">
        <f aca="false">IF($C190="","",IFERROR(INDEX(商品マスタ!$K$6:$K$1005,MATCH($C190,商品マスタ!$B$6:$B$1005,0)),"常温"))</f>
        <v/>
      </c>
      <c r="AE190" s="69" t="str">
        <f aca="false">IF($C190="","",MAX(0,ROUNDUP(N($K190)/MAX(1,N($G190)),0)))</f>
        <v/>
      </c>
      <c r="AF190" s="66" t="str">
        <f aca="false">IF($C190="","",IFERROR(INDEX(商品マスタ!$L$6:$L$1005,MATCH($C190,商品マスタ!$B$6:$B$1005,0)),""))</f>
        <v/>
      </c>
      <c r="AG190" s="143" t="str">
        <f aca="false">IF($C190="","",IFERROR(INDEX(定数マスタ!$S$110:$S$119,MATCH($AF190,定数マスタ!$J$110:$J$119,0)),N('設定（最初に1回）'!$C$13)))</f>
        <v/>
      </c>
      <c r="AH190" s="66" t="n">
        <f aca="false">IF(AND(N($K190)&gt;0,N($Y190)&gt;0),N($Y190),0)</f>
        <v>0</v>
      </c>
    </row>
    <row r="191" customFormat="false" ht="15" hidden="false" customHeight="false" outlineLevel="0" collapsed="false">
      <c r="B191" s="66" t="n">
        <v>186</v>
      </c>
      <c r="C191" s="66" t="str">
        <f aca="false">IFERROR(IF($B191&lt;=MAX(①今日の在庫を貼る!$U$6:$U$10005),INDEX(①今日の在庫を貼る!$I$6:$I$10005,MATCH($B191,①今日の在庫を貼る!$U$6:$U$10005,0)),INDEX(月1回_前回の在庫を貼る!$I$6:$I$10005,MATCH($B191-MAX(①今日の在庫を貼る!$U$6:$U$10005),月1回_前回の在庫を貼る!$U$6:$U$10005,0))),"")</f>
        <v/>
      </c>
      <c r="D191" s="66" t="str">
        <f aca="false">IF($C191="","",IFERROR(INDEX(商品マスタ!$C$6:$C$1005,MATCH($C191,商品マスタ!$B$6:$B$1005,0)),IFERROR(INDEX(①今日の在庫を貼る!$J$6:$J$10005,MATCH($C191,①今日の在庫を貼る!$I$6:$I$10005,0)),IFERROR(INDEX(月1回_前回の在庫を貼る!$J$6:$J$10005,MATCH($C191,月1回_前回の在庫を貼る!$I$6:$I$10005,0)),""))))</f>
        <v/>
      </c>
      <c r="E191" s="66" t="str">
        <f aca="false">IF($C191="","",IFERROR(INDEX(商品マスタ!$D$6:$D$1005,MATCH($C191,商品マスタ!$B$6:$B$1005,0)),IFERROR(INDEX(①今日の在庫を貼る!$H$6:$H$10005,MATCH($C191,①今日の在庫を貼る!$I$6:$I$10005,0)),IFERROR(INDEX(月1回_前回の在庫を貼る!$H$6:$H$10005,MATCH($C191,月1回_前回の在庫を貼る!$I$6:$I$10005,0)),""))))</f>
        <v/>
      </c>
      <c r="F191" s="66" t="str">
        <f aca="false">IF($C191="","",IFERROR(INDEX(商品マスタ!$E$6:$E$1005,MATCH($C191,商品マスタ!$B$6:$B$1005,0)),IFERROR(INDEX(①今日の在庫を貼る!$E$6:$E$10005,MATCH($C191,①今日の在庫を貼る!$I$6:$I$10005,0)),IFERROR(INDEX(月1回_前回の在庫を貼る!$E$6:$E$10005,MATCH($C191,月1回_前回の在庫を貼る!$I$6:$I$10005,0)),""))))</f>
        <v/>
      </c>
      <c r="G191" s="69" t="str">
        <f aca="false">IF($C191="","",IFERROR(INDEX(商品マスタ!$F$6:$F$1005,MATCH($C191,商品マスタ!$B$6:$B$1005,0)),IFERROR(INDEX(①今日の在庫を貼る!$K$6:$K$10005,MATCH($C191,①今日の在庫を貼る!$I$6:$I$10005,0)),IFERROR(INDEX(月1回_前回の在庫を貼る!$K$6:$K$10005,MATCH($C191,月1回_前回の在庫を貼る!$I$6:$I$10005,0)),""))))</f>
        <v/>
      </c>
      <c r="H191" s="71" t="str">
        <f aca="false">IF($C191="","",IFERROR(INDEX(商品マスタ!$G$6:$G$1005,MATCH($C191,商品マスタ!$B$6:$B$1005,0)),IFERROR(INDEX(①今日の在庫を貼る!$Q$6:$Q$10005,MATCH($C191,①今日の在庫を貼る!$I$6:$I$10005,0)),IFERROR(INDEX(月1回_前回の在庫を貼る!$Q$6:$Q$10005,MATCH($C191,月1回_前回の在庫を貼る!$I$6:$I$10005,0)),""))))</f>
        <v/>
      </c>
      <c r="I191" s="66" t="str">
        <f aca="false">IF($C191="","",IFERROR(INDEX(商品マスタ!$H$6:$H$1005,MATCH($C191,商品マスタ!$B$6:$B$1005,0)),3))</f>
        <v/>
      </c>
      <c r="J191" s="66" t="str">
        <f aca="false">IF($C191="","",MAX(1,IFERROR(INDEX(商品マスタ!$I$6:$I$1005,MATCH($C191,商品マスタ!$B$6:$B$1005,0)),1)))</f>
        <v/>
      </c>
      <c r="K191" s="69" t="str">
        <f aca="false">IF($C191="","",SUMIFS(①今日の在庫を貼る!$N$6:$N$10005,①今日の在庫を貼る!$B$6:$B$10005,'設定（最初に1回）'!$C$4,①今日の在庫を貼る!$I$6:$I$10005,$C191))</f>
        <v/>
      </c>
      <c r="L191" s="69" t="str">
        <f aca="false">IF($C191="","",SUMIFS(月1回_前回の在庫を貼る!$N$6:$N$10005,月1回_前回の在庫を貼る!$B$6:$B$10005,'設定（最初に1回）'!$C$4,月1回_前回の在庫を貼る!$I$6:$I$10005,$C191))</f>
        <v/>
      </c>
      <c r="M191" s="69" t="str">
        <f aca="false">IF($C191="","",IF(OR('設定（最初に1回）'!$C$6="",'設定（最初に1回）'!$C$7=""),0,SUMIFS(発注管理!$S$6:$S$1005,発注管理!$C$6:$C$1005,'設定（最初に1回）'!$C$4,発注管理!$F$6:$F$1005,$C191,発注管理!$R$6:$R$1005,"&gt;="&amp;'設定（最初に1回）'!$C$7,発注管理!$R$6:$R$1005,"&lt;="&amp;'設定（最初に1回）'!$C$6)))</f>
        <v/>
      </c>
      <c r="N191" s="69" t="str">
        <f aca="false">IF(OR($C191="",'設定（最初に1回）'!$C$15=0),"",$L191+$M191-$K191)</f>
        <v/>
      </c>
      <c r="O191" s="143" t="str">
        <f aca="false">IF(OR($N191="",'設定（最初に1回）'!$C$8="",'設定（最初に1回）'!$C$8&lt;=0),"",MAX(0,$N191)/'設定（最初に1回）'!$C$8)</f>
        <v/>
      </c>
      <c r="P191" s="143" t="str">
        <f aca="false">IF($C191="","",IFERROR(INDEX(商品マスタ!$M$6:$N$1005,MATCH($C191,商品マスタ!$B$6:$B$1005,0),MATCH("PI値 "&amp;'設定（最初に1回）'!$C$11,商品マスタ!$M$5:$N$5,0)),""))</f>
        <v/>
      </c>
      <c r="Q191" s="143" t="str">
        <f aca="false">IF(OR($C191="",$P191="",$P191=0,(N($I191)+N($AG191))&lt;=0),"",IFERROR(SUMIFS(随時_動員を入れる!$G$8:$G$97,随時_動員を入れる!$B$8:$B$97,"&gt;="&amp;'設定（最初に1回）'!$C$6,随時_動員を入れる!$B$8:$B$97,"&lt;="&amp;'設定（最初に1回）'!$C$6+(N($I191)+N($AG191))-1)/(N($I191)+N($AG191)),0)*$P191/100)</f>
        <v/>
      </c>
      <c r="R191" s="69" t="str">
        <f aca="false">IF($C191="","",SUMIFS(①今日の在庫を貼る!$O$6:$O$10005,①今日の在庫を貼る!$B$6:$B$10005,'設定（最初に1回）'!$C$4,①今日の在庫を貼る!$I$6:$I$10005,$C191))</f>
        <v/>
      </c>
      <c r="S191" s="143" t="str">
        <f aca="false">IF($C191="","",IF('設定（最初に1回）'!$C$9="実績消費",N($O191),IF('設定（最初に1回）'!$C$9="PI値予測",N($Q191),MAX(N($O191),N($Q191)))))</f>
        <v/>
      </c>
      <c r="T191" s="67" t="str">
        <f aca="false">IF(OR($S191="",$S191&lt;=0),"",$K191/$S191)</f>
        <v/>
      </c>
      <c r="U191" s="69" t="str">
        <f aca="false">IF($S191="","",ROUNDUP(N($S191)*'設定（最初に1回）'!$C$12,0))</f>
        <v/>
      </c>
      <c r="V191" s="69" t="str">
        <f aca="false">IF($C191="","",ROUNDUP(N($S191)*(N($I191)+N($AG191))+N($U191),0))</f>
        <v/>
      </c>
      <c r="W191" s="69" t="str">
        <f aca="false">IF($C191="","",SUMIFS(発注管理!$L$6:$L$1005,発注管理!$C$6:$C$1005,'設定（最初に1回）'!$C$4,発注管理!$F$6:$F$1005,$C191,発注管理!$Q$6:$Q$1005,"発注済"))</f>
        <v/>
      </c>
      <c r="X191" s="69" t="str">
        <f aca="false">IF($C191="","",MAX(0,N($V191)-N($K191)-N($W191)))</f>
        <v/>
      </c>
      <c r="Y191" s="147" t="str">
        <f aca="false">IF($C191="","",IF(N($X191)&lt;=0,0,CEILING($X191/MAX(1,N($G191)),MAX(1,N($J191)))))</f>
        <v/>
      </c>
      <c r="Z191" s="138" t="str">
        <f aca="false">IF($C191="","",IF(N($Y191)&gt;0,"要発注","正常"))</f>
        <v/>
      </c>
      <c r="AA191" s="71" t="str">
        <f aca="false">IF($C191="","",N($K191)*N($H191))</f>
        <v/>
      </c>
      <c r="AB191" s="66" t="str">
        <f aca="false">IF($C191="","",_xlfn.TEXTJOIN(" / ",TRUE(),IF(COUNTIF(商品マスタ!$B$6:$B$1005,$C191)=0,"マスタ未登録",""),IF(COUNTIFS(月1回_前回の在庫を貼る!$B$6:$B$10005,'設定（最初に1回）'!$C$4,月1回_前回の在庫を貼る!$I$6:$I$10005,$C191)=0,"新商品",""),IF(COUNTIFS(①今日の在庫を貼る!$B$6:$B$10005,'設定（最初に1回）'!$C$4,①今日の在庫を貼る!$I$6:$I$10005,$C191)=0,"終売候補",""),IF(N($K191)&lt;0,"在庫マイナス",""),IF(AND('設定（最初に1回）'!$C$9="PI値予測",$P191=""),"PI値未設定","")))</f>
        <v/>
      </c>
      <c r="AC191" s="71" t="n">
        <f aca="false">N($Y191)*N($H191)</f>
        <v>0</v>
      </c>
      <c r="AD191" s="66" t="str">
        <f aca="false">IF($C191="","",IFERROR(INDEX(商品マスタ!$K$6:$K$1005,MATCH($C191,商品マスタ!$B$6:$B$1005,0)),"常温"))</f>
        <v/>
      </c>
      <c r="AE191" s="69" t="str">
        <f aca="false">IF($C191="","",MAX(0,ROUNDUP(N($K191)/MAX(1,N($G191)),0)))</f>
        <v/>
      </c>
      <c r="AF191" s="66" t="str">
        <f aca="false">IF($C191="","",IFERROR(INDEX(商品マスタ!$L$6:$L$1005,MATCH($C191,商品マスタ!$B$6:$B$1005,0)),""))</f>
        <v/>
      </c>
      <c r="AG191" s="143" t="str">
        <f aca="false">IF($C191="","",IFERROR(INDEX(定数マスタ!$S$110:$S$119,MATCH($AF191,定数マスタ!$J$110:$J$119,0)),N('設定（最初に1回）'!$C$13)))</f>
        <v/>
      </c>
      <c r="AH191" s="66" t="n">
        <f aca="false">IF(AND(N($K191)&gt;0,N($Y191)&gt;0),N($Y191),0)</f>
        <v>0</v>
      </c>
    </row>
    <row r="192" customFormat="false" ht="15" hidden="false" customHeight="false" outlineLevel="0" collapsed="false">
      <c r="B192" s="66" t="n">
        <v>187</v>
      </c>
      <c r="C192" s="66" t="str">
        <f aca="false">IFERROR(IF($B192&lt;=MAX(①今日の在庫を貼る!$U$6:$U$10005),INDEX(①今日の在庫を貼る!$I$6:$I$10005,MATCH($B192,①今日の在庫を貼る!$U$6:$U$10005,0)),INDEX(月1回_前回の在庫を貼る!$I$6:$I$10005,MATCH($B192-MAX(①今日の在庫を貼る!$U$6:$U$10005),月1回_前回の在庫を貼る!$U$6:$U$10005,0))),"")</f>
        <v/>
      </c>
      <c r="D192" s="66" t="str">
        <f aca="false">IF($C192="","",IFERROR(INDEX(商品マスタ!$C$6:$C$1005,MATCH($C192,商品マスタ!$B$6:$B$1005,0)),IFERROR(INDEX(①今日の在庫を貼る!$J$6:$J$10005,MATCH($C192,①今日の在庫を貼る!$I$6:$I$10005,0)),IFERROR(INDEX(月1回_前回の在庫を貼る!$J$6:$J$10005,MATCH($C192,月1回_前回の在庫を貼る!$I$6:$I$10005,0)),""))))</f>
        <v/>
      </c>
      <c r="E192" s="66" t="str">
        <f aca="false">IF($C192="","",IFERROR(INDEX(商品マスタ!$D$6:$D$1005,MATCH($C192,商品マスタ!$B$6:$B$1005,0)),IFERROR(INDEX(①今日の在庫を貼る!$H$6:$H$10005,MATCH($C192,①今日の在庫を貼る!$I$6:$I$10005,0)),IFERROR(INDEX(月1回_前回の在庫を貼る!$H$6:$H$10005,MATCH($C192,月1回_前回の在庫を貼る!$I$6:$I$10005,0)),""))))</f>
        <v/>
      </c>
      <c r="F192" s="66" t="str">
        <f aca="false">IF($C192="","",IFERROR(INDEX(商品マスタ!$E$6:$E$1005,MATCH($C192,商品マスタ!$B$6:$B$1005,0)),IFERROR(INDEX(①今日の在庫を貼る!$E$6:$E$10005,MATCH($C192,①今日の在庫を貼る!$I$6:$I$10005,0)),IFERROR(INDEX(月1回_前回の在庫を貼る!$E$6:$E$10005,MATCH($C192,月1回_前回の在庫を貼る!$I$6:$I$10005,0)),""))))</f>
        <v/>
      </c>
      <c r="G192" s="69" t="str">
        <f aca="false">IF($C192="","",IFERROR(INDEX(商品マスタ!$F$6:$F$1005,MATCH($C192,商品マスタ!$B$6:$B$1005,0)),IFERROR(INDEX(①今日の在庫を貼る!$K$6:$K$10005,MATCH($C192,①今日の在庫を貼る!$I$6:$I$10005,0)),IFERROR(INDEX(月1回_前回の在庫を貼る!$K$6:$K$10005,MATCH($C192,月1回_前回の在庫を貼る!$I$6:$I$10005,0)),""))))</f>
        <v/>
      </c>
      <c r="H192" s="71" t="str">
        <f aca="false">IF($C192="","",IFERROR(INDEX(商品マスタ!$G$6:$G$1005,MATCH($C192,商品マスタ!$B$6:$B$1005,0)),IFERROR(INDEX(①今日の在庫を貼る!$Q$6:$Q$10005,MATCH($C192,①今日の在庫を貼る!$I$6:$I$10005,0)),IFERROR(INDEX(月1回_前回の在庫を貼る!$Q$6:$Q$10005,MATCH($C192,月1回_前回の在庫を貼る!$I$6:$I$10005,0)),""))))</f>
        <v/>
      </c>
      <c r="I192" s="66" t="str">
        <f aca="false">IF($C192="","",IFERROR(INDEX(商品マスタ!$H$6:$H$1005,MATCH($C192,商品マスタ!$B$6:$B$1005,0)),3))</f>
        <v/>
      </c>
      <c r="J192" s="66" t="str">
        <f aca="false">IF($C192="","",MAX(1,IFERROR(INDEX(商品マスタ!$I$6:$I$1005,MATCH($C192,商品マスタ!$B$6:$B$1005,0)),1)))</f>
        <v/>
      </c>
      <c r="K192" s="69" t="str">
        <f aca="false">IF($C192="","",SUMIFS(①今日の在庫を貼る!$N$6:$N$10005,①今日の在庫を貼る!$B$6:$B$10005,'設定（最初に1回）'!$C$4,①今日の在庫を貼る!$I$6:$I$10005,$C192))</f>
        <v/>
      </c>
      <c r="L192" s="69" t="str">
        <f aca="false">IF($C192="","",SUMIFS(月1回_前回の在庫を貼る!$N$6:$N$10005,月1回_前回の在庫を貼る!$B$6:$B$10005,'設定（最初に1回）'!$C$4,月1回_前回の在庫を貼る!$I$6:$I$10005,$C192))</f>
        <v/>
      </c>
      <c r="M192" s="69" t="str">
        <f aca="false">IF($C192="","",IF(OR('設定（最初に1回）'!$C$6="",'設定（最初に1回）'!$C$7=""),0,SUMIFS(発注管理!$S$6:$S$1005,発注管理!$C$6:$C$1005,'設定（最初に1回）'!$C$4,発注管理!$F$6:$F$1005,$C192,発注管理!$R$6:$R$1005,"&gt;="&amp;'設定（最初に1回）'!$C$7,発注管理!$R$6:$R$1005,"&lt;="&amp;'設定（最初に1回）'!$C$6)))</f>
        <v/>
      </c>
      <c r="N192" s="69" t="str">
        <f aca="false">IF(OR($C192="",'設定（最初に1回）'!$C$15=0),"",$L192+$M192-$K192)</f>
        <v/>
      </c>
      <c r="O192" s="143" t="str">
        <f aca="false">IF(OR($N192="",'設定（最初に1回）'!$C$8="",'設定（最初に1回）'!$C$8&lt;=0),"",MAX(0,$N192)/'設定（最初に1回）'!$C$8)</f>
        <v/>
      </c>
      <c r="P192" s="143" t="str">
        <f aca="false">IF($C192="","",IFERROR(INDEX(商品マスタ!$M$6:$N$1005,MATCH($C192,商品マスタ!$B$6:$B$1005,0),MATCH("PI値 "&amp;'設定（最初に1回）'!$C$11,商品マスタ!$M$5:$N$5,0)),""))</f>
        <v/>
      </c>
      <c r="Q192" s="143" t="str">
        <f aca="false">IF(OR($C192="",$P192="",$P192=0,(N($I192)+N($AG192))&lt;=0),"",IFERROR(SUMIFS(随時_動員を入れる!$G$8:$G$97,随時_動員を入れる!$B$8:$B$97,"&gt;="&amp;'設定（最初に1回）'!$C$6,随時_動員を入れる!$B$8:$B$97,"&lt;="&amp;'設定（最初に1回）'!$C$6+(N($I192)+N($AG192))-1)/(N($I192)+N($AG192)),0)*$P192/100)</f>
        <v/>
      </c>
      <c r="R192" s="69" t="str">
        <f aca="false">IF($C192="","",SUMIFS(①今日の在庫を貼る!$O$6:$O$10005,①今日の在庫を貼る!$B$6:$B$10005,'設定（最初に1回）'!$C$4,①今日の在庫を貼る!$I$6:$I$10005,$C192))</f>
        <v/>
      </c>
      <c r="S192" s="143" t="str">
        <f aca="false">IF($C192="","",IF('設定（最初に1回）'!$C$9="実績消費",N($O192),IF('設定（最初に1回）'!$C$9="PI値予測",N($Q192),MAX(N($O192),N($Q192)))))</f>
        <v/>
      </c>
      <c r="T192" s="67" t="str">
        <f aca="false">IF(OR($S192="",$S192&lt;=0),"",$K192/$S192)</f>
        <v/>
      </c>
      <c r="U192" s="69" t="str">
        <f aca="false">IF($S192="","",ROUNDUP(N($S192)*'設定（最初に1回）'!$C$12,0))</f>
        <v/>
      </c>
      <c r="V192" s="69" t="str">
        <f aca="false">IF($C192="","",ROUNDUP(N($S192)*(N($I192)+N($AG192))+N($U192),0))</f>
        <v/>
      </c>
      <c r="W192" s="69" t="str">
        <f aca="false">IF($C192="","",SUMIFS(発注管理!$L$6:$L$1005,発注管理!$C$6:$C$1005,'設定（最初に1回）'!$C$4,発注管理!$F$6:$F$1005,$C192,発注管理!$Q$6:$Q$1005,"発注済"))</f>
        <v/>
      </c>
      <c r="X192" s="69" t="str">
        <f aca="false">IF($C192="","",MAX(0,N($V192)-N($K192)-N($W192)))</f>
        <v/>
      </c>
      <c r="Y192" s="147" t="str">
        <f aca="false">IF($C192="","",IF(N($X192)&lt;=0,0,CEILING($X192/MAX(1,N($G192)),MAX(1,N($J192)))))</f>
        <v/>
      </c>
      <c r="Z192" s="138" t="str">
        <f aca="false">IF($C192="","",IF(N($Y192)&gt;0,"要発注","正常"))</f>
        <v/>
      </c>
      <c r="AA192" s="71" t="str">
        <f aca="false">IF($C192="","",N($K192)*N($H192))</f>
        <v/>
      </c>
      <c r="AB192" s="66" t="str">
        <f aca="false">IF($C192="","",_xlfn.TEXTJOIN(" / ",TRUE(),IF(COUNTIF(商品マスタ!$B$6:$B$1005,$C192)=0,"マスタ未登録",""),IF(COUNTIFS(月1回_前回の在庫を貼る!$B$6:$B$10005,'設定（最初に1回）'!$C$4,月1回_前回の在庫を貼る!$I$6:$I$10005,$C192)=0,"新商品",""),IF(COUNTIFS(①今日の在庫を貼る!$B$6:$B$10005,'設定（最初に1回）'!$C$4,①今日の在庫を貼る!$I$6:$I$10005,$C192)=0,"終売候補",""),IF(N($K192)&lt;0,"在庫マイナス",""),IF(AND('設定（最初に1回）'!$C$9="PI値予測",$P192=""),"PI値未設定","")))</f>
        <v/>
      </c>
      <c r="AC192" s="71" t="n">
        <f aca="false">N($Y192)*N($H192)</f>
        <v>0</v>
      </c>
      <c r="AD192" s="66" t="str">
        <f aca="false">IF($C192="","",IFERROR(INDEX(商品マスタ!$K$6:$K$1005,MATCH($C192,商品マスタ!$B$6:$B$1005,0)),"常温"))</f>
        <v/>
      </c>
      <c r="AE192" s="69" t="str">
        <f aca="false">IF($C192="","",MAX(0,ROUNDUP(N($K192)/MAX(1,N($G192)),0)))</f>
        <v/>
      </c>
      <c r="AF192" s="66" t="str">
        <f aca="false">IF($C192="","",IFERROR(INDEX(商品マスタ!$L$6:$L$1005,MATCH($C192,商品マスタ!$B$6:$B$1005,0)),""))</f>
        <v/>
      </c>
      <c r="AG192" s="143" t="str">
        <f aca="false">IF($C192="","",IFERROR(INDEX(定数マスタ!$S$110:$S$119,MATCH($AF192,定数マスタ!$J$110:$J$119,0)),N('設定（最初に1回）'!$C$13)))</f>
        <v/>
      </c>
      <c r="AH192" s="66" t="n">
        <f aca="false">IF(AND(N($K192)&gt;0,N($Y192)&gt;0),N($Y192),0)</f>
        <v>0</v>
      </c>
    </row>
    <row r="193" customFormat="false" ht="15" hidden="false" customHeight="false" outlineLevel="0" collapsed="false">
      <c r="B193" s="66" t="n">
        <v>188</v>
      </c>
      <c r="C193" s="66" t="str">
        <f aca="false">IFERROR(IF($B193&lt;=MAX(①今日の在庫を貼る!$U$6:$U$10005),INDEX(①今日の在庫を貼る!$I$6:$I$10005,MATCH($B193,①今日の在庫を貼る!$U$6:$U$10005,0)),INDEX(月1回_前回の在庫を貼る!$I$6:$I$10005,MATCH($B193-MAX(①今日の在庫を貼る!$U$6:$U$10005),月1回_前回の在庫を貼る!$U$6:$U$10005,0))),"")</f>
        <v/>
      </c>
      <c r="D193" s="66" t="str">
        <f aca="false">IF($C193="","",IFERROR(INDEX(商品マスタ!$C$6:$C$1005,MATCH($C193,商品マスタ!$B$6:$B$1005,0)),IFERROR(INDEX(①今日の在庫を貼る!$J$6:$J$10005,MATCH($C193,①今日の在庫を貼る!$I$6:$I$10005,0)),IFERROR(INDEX(月1回_前回の在庫を貼る!$J$6:$J$10005,MATCH($C193,月1回_前回の在庫を貼る!$I$6:$I$10005,0)),""))))</f>
        <v/>
      </c>
      <c r="E193" s="66" t="str">
        <f aca="false">IF($C193="","",IFERROR(INDEX(商品マスタ!$D$6:$D$1005,MATCH($C193,商品マスタ!$B$6:$B$1005,0)),IFERROR(INDEX(①今日の在庫を貼る!$H$6:$H$10005,MATCH($C193,①今日の在庫を貼る!$I$6:$I$10005,0)),IFERROR(INDEX(月1回_前回の在庫を貼る!$H$6:$H$10005,MATCH($C193,月1回_前回の在庫を貼る!$I$6:$I$10005,0)),""))))</f>
        <v/>
      </c>
      <c r="F193" s="66" t="str">
        <f aca="false">IF($C193="","",IFERROR(INDEX(商品マスタ!$E$6:$E$1005,MATCH($C193,商品マスタ!$B$6:$B$1005,0)),IFERROR(INDEX(①今日の在庫を貼る!$E$6:$E$10005,MATCH($C193,①今日の在庫を貼る!$I$6:$I$10005,0)),IFERROR(INDEX(月1回_前回の在庫を貼る!$E$6:$E$10005,MATCH($C193,月1回_前回の在庫を貼る!$I$6:$I$10005,0)),""))))</f>
        <v/>
      </c>
      <c r="G193" s="69" t="str">
        <f aca="false">IF($C193="","",IFERROR(INDEX(商品マスタ!$F$6:$F$1005,MATCH($C193,商品マスタ!$B$6:$B$1005,0)),IFERROR(INDEX(①今日の在庫を貼る!$K$6:$K$10005,MATCH($C193,①今日の在庫を貼る!$I$6:$I$10005,0)),IFERROR(INDEX(月1回_前回の在庫を貼る!$K$6:$K$10005,MATCH($C193,月1回_前回の在庫を貼る!$I$6:$I$10005,0)),""))))</f>
        <v/>
      </c>
      <c r="H193" s="71" t="str">
        <f aca="false">IF($C193="","",IFERROR(INDEX(商品マスタ!$G$6:$G$1005,MATCH($C193,商品マスタ!$B$6:$B$1005,0)),IFERROR(INDEX(①今日の在庫を貼る!$Q$6:$Q$10005,MATCH($C193,①今日の在庫を貼る!$I$6:$I$10005,0)),IFERROR(INDEX(月1回_前回の在庫を貼る!$Q$6:$Q$10005,MATCH($C193,月1回_前回の在庫を貼る!$I$6:$I$10005,0)),""))))</f>
        <v/>
      </c>
      <c r="I193" s="66" t="str">
        <f aca="false">IF($C193="","",IFERROR(INDEX(商品マスタ!$H$6:$H$1005,MATCH($C193,商品マスタ!$B$6:$B$1005,0)),3))</f>
        <v/>
      </c>
      <c r="J193" s="66" t="str">
        <f aca="false">IF($C193="","",MAX(1,IFERROR(INDEX(商品マスタ!$I$6:$I$1005,MATCH($C193,商品マスタ!$B$6:$B$1005,0)),1)))</f>
        <v/>
      </c>
      <c r="K193" s="69" t="str">
        <f aca="false">IF($C193="","",SUMIFS(①今日の在庫を貼る!$N$6:$N$10005,①今日の在庫を貼る!$B$6:$B$10005,'設定（最初に1回）'!$C$4,①今日の在庫を貼る!$I$6:$I$10005,$C193))</f>
        <v/>
      </c>
      <c r="L193" s="69" t="str">
        <f aca="false">IF($C193="","",SUMIFS(月1回_前回の在庫を貼る!$N$6:$N$10005,月1回_前回の在庫を貼る!$B$6:$B$10005,'設定（最初に1回）'!$C$4,月1回_前回の在庫を貼る!$I$6:$I$10005,$C193))</f>
        <v/>
      </c>
      <c r="M193" s="69" t="str">
        <f aca="false">IF($C193="","",IF(OR('設定（最初に1回）'!$C$6="",'設定（最初に1回）'!$C$7=""),0,SUMIFS(発注管理!$S$6:$S$1005,発注管理!$C$6:$C$1005,'設定（最初に1回）'!$C$4,発注管理!$F$6:$F$1005,$C193,発注管理!$R$6:$R$1005,"&gt;="&amp;'設定（最初に1回）'!$C$7,発注管理!$R$6:$R$1005,"&lt;="&amp;'設定（最初に1回）'!$C$6)))</f>
        <v/>
      </c>
      <c r="N193" s="69" t="str">
        <f aca="false">IF(OR($C193="",'設定（最初に1回）'!$C$15=0),"",$L193+$M193-$K193)</f>
        <v/>
      </c>
      <c r="O193" s="143" t="str">
        <f aca="false">IF(OR($N193="",'設定（最初に1回）'!$C$8="",'設定（最初に1回）'!$C$8&lt;=0),"",MAX(0,$N193)/'設定（最初に1回）'!$C$8)</f>
        <v/>
      </c>
      <c r="P193" s="143" t="str">
        <f aca="false">IF($C193="","",IFERROR(INDEX(商品マスタ!$M$6:$N$1005,MATCH($C193,商品マスタ!$B$6:$B$1005,0),MATCH("PI値 "&amp;'設定（最初に1回）'!$C$11,商品マスタ!$M$5:$N$5,0)),""))</f>
        <v/>
      </c>
      <c r="Q193" s="143" t="str">
        <f aca="false">IF(OR($C193="",$P193="",$P193=0,(N($I193)+N($AG193))&lt;=0),"",IFERROR(SUMIFS(随時_動員を入れる!$G$8:$G$97,随時_動員を入れる!$B$8:$B$97,"&gt;="&amp;'設定（最初に1回）'!$C$6,随時_動員を入れる!$B$8:$B$97,"&lt;="&amp;'設定（最初に1回）'!$C$6+(N($I193)+N($AG193))-1)/(N($I193)+N($AG193)),0)*$P193/100)</f>
        <v/>
      </c>
      <c r="R193" s="69" t="str">
        <f aca="false">IF($C193="","",SUMIFS(①今日の在庫を貼る!$O$6:$O$10005,①今日の在庫を貼る!$B$6:$B$10005,'設定（最初に1回）'!$C$4,①今日の在庫を貼る!$I$6:$I$10005,$C193))</f>
        <v/>
      </c>
      <c r="S193" s="143" t="str">
        <f aca="false">IF($C193="","",IF('設定（最初に1回）'!$C$9="実績消費",N($O193),IF('設定（最初に1回）'!$C$9="PI値予測",N($Q193),MAX(N($O193),N($Q193)))))</f>
        <v/>
      </c>
      <c r="T193" s="67" t="str">
        <f aca="false">IF(OR($S193="",$S193&lt;=0),"",$K193/$S193)</f>
        <v/>
      </c>
      <c r="U193" s="69" t="str">
        <f aca="false">IF($S193="","",ROUNDUP(N($S193)*'設定（最初に1回）'!$C$12,0))</f>
        <v/>
      </c>
      <c r="V193" s="69" t="str">
        <f aca="false">IF($C193="","",ROUNDUP(N($S193)*(N($I193)+N($AG193))+N($U193),0))</f>
        <v/>
      </c>
      <c r="W193" s="69" t="str">
        <f aca="false">IF($C193="","",SUMIFS(発注管理!$L$6:$L$1005,発注管理!$C$6:$C$1005,'設定（最初に1回）'!$C$4,発注管理!$F$6:$F$1005,$C193,発注管理!$Q$6:$Q$1005,"発注済"))</f>
        <v/>
      </c>
      <c r="X193" s="69" t="str">
        <f aca="false">IF($C193="","",MAX(0,N($V193)-N($K193)-N($W193)))</f>
        <v/>
      </c>
      <c r="Y193" s="147" t="str">
        <f aca="false">IF($C193="","",IF(N($X193)&lt;=0,0,CEILING($X193/MAX(1,N($G193)),MAX(1,N($J193)))))</f>
        <v/>
      </c>
      <c r="Z193" s="138" t="str">
        <f aca="false">IF($C193="","",IF(N($Y193)&gt;0,"要発注","正常"))</f>
        <v/>
      </c>
      <c r="AA193" s="71" t="str">
        <f aca="false">IF($C193="","",N($K193)*N($H193))</f>
        <v/>
      </c>
      <c r="AB193" s="66" t="str">
        <f aca="false">IF($C193="","",_xlfn.TEXTJOIN(" / ",TRUE(),IF(COUNTIF(商品マスタ!$B$6:$B$1005,$C193)=0,"マスタ未登録",""),IF(COUNTIFS(月1回_前回の在庫を貼る!$B$6:$B$10005,'設定（最初に1回）'!$C$4,月1回_前回の在庫を貼る!$I$6:$I$10005,$C193)=0,"新商品",""),IF(COUNTIFS(①今日の在庫を貼る!$B$6:$B$10005,'設定（最初に1回）'!$C$4,①今日の在庫を貼る!$I$6:$I$10005,$C193)=0,"終売候補",""),IF(N($K193)&lt;0,"在庫マイナス",""),IF(AND('設定（最初に1回）'!$C$9="PI値予測",$P193=""),"PI値未設定","")))</f>
        <v/>
      </c>
      <c r="AC193" s="71" t="n">
        <f aca="false">N($Y193)*N($H193)</f>
        <v>0</v>
      </c>
      <c r="AD193" s="66" t="str">
        <f aca="false">IF($C193="","",IFERROR(INDEX(商品マスタ!$K$6:$K$1005,MATCH($C193,商品マスタ!$B$6:$B$1005,0)),"常温"))</f>
        <v/>
      </c>
      <c r="AE193" s="69" t="str">
        <f aca="false">IF($C193="","",MAX(0,ROUNDUP(N($K193)/MAX(1,N($G193)),0)))</f>
        <v/>
      </c>
      <c r="AF193" s="66" t="str">
        <f aca="false">IF($C193="","",IFERROR(INDEX(商品マスタ!$L$6:$L$1005,MATCH($C193,商品マスタ!$B$6:$B$1005,0)),""))</f>
        <v/>
      </c>
      <c r="AG193" s="143" t="str">
        <f aca="false">IF($C193="","",IFERROR(INDEX(定数マスタ!$S$110:$S$119,MATCH($AF193,定数マスタ!$J$110:$J$119,0)),N('設定（最初に1回）'!$C$13)))</f>
        <v/>
      </c>
      <c r="AH193" s="66" t="n">
        <f aca="false">IF(AND(N($K193)&gt;0,N($Y193)&gt;0),N($Y193),0)</f>
        <v>0</v>
      </c>
    </row>
    <row r="194" customFormat="false" ht="15" hidden="false" customHeight="false" outlineLevel="0" collapsed="false">
      <c r="B194" s="66" t="n">
        <v>189</v>
      </c>
      <c r="C194" s="66" t="str">
        <f aca="false">IFERROR(IF($B194&lt;=MAX(①今日の在庫を貼る!$U$6:$U$10005),INDEX(①今日の在庫を貼る!$I$6:$I$10005,MATCH($B194,①今日の在庫を貼る!$U$6:$U$10005,0)),INDEX(月1回_前回の在庫を貼る!$I$6:$I$10005,MATCH($B194-MAX(①今日の在庫を貼る!$U$6:$U$10005),月1回_前回の在庫を貼る!$U$6:$U$10005,0))),"")</f>
        <v/>
      </c>
      <c r="D194" s="66" t="str">
        <f aca="false">IF($C194="","",IFERROR(INDEX(商品マスタ!$C$6:$C$1005,MATCH($C194,商品マスタ!$B$6:$B$1005,0)),IFERROR(INDEX(①今日の在庫を貼る!$J$6:$J$10005,MATCH($C194,①今日の在庫を貼る!$I$6:$I$10005,0)),IFERROR(INDEX(月1回_前回の在庫を貼る!$J$6:$J$10005,MATCH($C194,月1回_前回の在庫を貼る!$I$6:$I$10005,0)),""))))</f>
        <v/>
      </c>
      <c r="E194" s="66" t="str">
        <f aca="false">IF($C194="","",IFERROR(INDEX(商品マスタ!$D$6:$D$1005,MATCH($C194,商品マスタ!$B$6:$B$1005,0)),IFERROR(INDEX(①今日の在庫を貼る!$H$6:$H$10005,MATCH($C194,①今日の在庫を貼る!$I$6:$I$10005,0)),IFERROR(INDEX(月1回_前回の在庫を貼る!$H$6:$H$10005,MATCH($C194,月1回_前回の在庫を貼る!$I$6:$I$10005,0)),""))))</f>
        <v/>
      </c>
      <c r="F194" s="66" t="str">
        <f aca="false">IF($C194="","",IFERROR(INDEX(商品マスタ!$E$6:$E$1005,MATCH($C194,商品マスタ!$B$6:$B$1005,0)),IFERROR(INDEX(①今日の在庫を貼る!$E$6:$E$10005,MATCH($C194,①今日の在庫を貼る!$I$6:$I$10005,0)),IFERROR(INDEX(月1回_前回の在庫を貼る!$E$6:$E$10005,MATCH($C194,月1回_前回の在庫を貼る!$I$6:$I$10005,0)),""))))</f>
        <v/>
      </c>
      <c r="G194" s="69" t="str">
        <f aca="false">IF($C194="","",IFERROR(INDEX(商品マスタ!$F$6:$F$1005,MATCH($C194,商品マスタ!$B$6:$B$1005,0)),IFERROR(INDEX(①今日の在庫を貼る!$K$6:$K$10005,MATCH($C194,①今日の在庫を貼る!$I$6:$I$10005,0)),IFERROR(INDEX(月1回_前回の在庫を貼る!$K$6:$K$10005,MATCH($C194,月1回_前回の在庫を貼る!$I$6:$I$10005,0)),""))))</f>
        <v/>
      </c>
      <c r="H194" s="71" t="str">
        <f aca="false">IF($C194="","",IFERROR(INDEX(商品マスタ!$G$6:$G$1005,MATCH($C194,商品マスタ!$B$6:$B$1005,0)),IFERROR(INDEX(①今日の在庫を貼る!$Q$6:$Q$10005,MATCH($C194,①今日の在庫を貼る!$I$6:$I$10005,0)),IFERROR(INDEX(月1回_前回の在庫を貼る!$Q$6:$Q$10005,MATCH($C194,月1回_前回の在庫を貼る!$I$6:$I$10005,0)),""))))</f>
        <v/>
      </c>
      <c r="I194" s="66" t="str">
        <f aca="false">IF($C194="","",IFERROR(INDEX(商品マスタ!$H$6:$H$1005,MATCH($C194,商品マスタ!$B$6:$B$1005,0)),3))</f>
        <v/>
      </c>
      <c r="J194" s="66" t="str">
        <f aca="false">IF($C194="","",MAX(1,IFERROR(INDEX(商品マスタ!$I$6:$I$1005,MATCH($C194,商品マスタ!$B$6:$B$1005,0)),1)))</f>
        <v/>
      </c>
      <c r="K194" s="69" t="str">
        <f aca="false">IF($C194="","",SUMIFS(①今日の在庫を貼る!$N$6:$N$10005,①今日の在庫を貼る!$B$6:$B$10005,'設定（最初に1回）'!$C$4,①今日の在庫を貼る!$I$6:$I$10005,$C194))</f>
        <v/>
      </c>
      <c r="L194" s="69" t="str">
        <f aca="false">IF($C194="","",SUMIFS(月1回_前回の在庫を貼る!$N$6:$N$10005,月1回_前回の在庫を貼る!$B$6:$B$10005,'設定（最初に1回）'!$C$4,月1回_前回の在庫を貼る!$I$6:$I$10005,$C194))</f>
        <v/>
      </c>
      <c r="M194" s="69" t="str">
        <f aca="false">IF($C194="","",IF(OR('設定（最初に1回）'!$C$6="",'設定（最初に1回）'!$C$7=""),0,SUMIFS(発注管理!$S$6:$S$1005,発注管理!$C$6:$C$1005,'設定（最初に1回）'!$C$4,発注管理!$F$6:$F$1005,$C194,発注管理!$R$6:$R$1005,"&gt;="&amp;'設定（最初に1回）'!$C$7,発注管理!$R$6:$R$1005,"&lt;="&amp;'設定（最初に1回）'!$C$6)))</f>
        <v/>
      </c>
      <c r="N194" s="69" t="str">
        <f aca="false">IF(OR($C194="",'設定（最初に1回）'!$C$15=0),"",$L194+$M194-$K194)</f>
        <v/>
      </c>
      <c r="O194" s="143" t="str">
        <f aca="false">IF(OR($N194="",'設定（最初に1回）'!$C$8="",'設定（最初に1回）'!$C$8&lt;=0),"",MAX(0,$N194)/'設定（最初に1回）'!$C$8)</f>
        <v/>
      </c>
      <c r="P194" s="143" t="str">
        <f aca="false">IF($C194="","",IFERROR(INDEX(商品マスタ!$M$6:$N$1005,MATCH($C194,商品マスタ!$B$6:$B$1005,0),MATCH("PI値 "&amp;'設定（最初に1回）'!$C$11,商品マスタ!$M$5:$N$5,0)),""))</f>
        <v/>
      </c>
      <c r="Q194" s="143" t="str">
        <f aca="false">IF(OR($C194="",$P194="",$P194=0,(N($I194)+N($AG194))&lt;=0),"",IFERROR(SUMIFS(随時_動員を入れる!$G$8:$G$97,随時_動員を入れる!$B$8:$B$97,"&gt;="&amp;'設定（最初に1回）'!$C$6,随時_動員を入れる!$B$8:$B$97,"&lt;="&amp;'設定（最初に1回）'!$C$6+(N($I194)+N($AG194))-1)/(N($I194)+N($AG194)),0)*$P194/100)</f>
        <v/>
      </c>
      <c r="R194" s="69" t="str">
        <f aca="false">IF($C194="","",SUMIFS(①今日の在庫を貼る!$O$6:$O$10005,①今日の在庫を貼る!$B$6:$B$10005,'設定（最初に1回）'!$C$4,①今日の在庫を貼る!$I$6:$I$10005,$C194))</f>
        <v/>
      </c>
      <c r="S194" s="143" t="str">
        <f aca="false">IF($C194="","",IF('設定（最初に1回）'!$C$9="実績消費",N($O194),IF('設定（最初に1回）'!$C$9="PI値予測",N($Q194),MAX(N($O194),N($Q194)))))</f>
        <v/>
      </c>
      <c r="T194" s="67" t="str">
        <f aca="false">IF(OR($S194="",$S194&lt;=0),"",$K194/$S194)</f>
        <v/>
      </c>
      <c r="U194" s="69" t="str">
        <f aca="false">IF($S194="","",ROUNDUP(N($S194)*'設定（最初に1回）'!$C$12,0))</f>
        <v/>
      </c>
      <c r="V194" s="69" t="str">
        <f aca="false">IF($C194="","",ROUNDUP(N($S194)*(N($I194)+N($AG194))+N($U194),0))</f>
        <v/>
      </c>
      <c r="W194" s="69" t="str">
        <f aca="false">IF($C194="","",SUMIFS(発注管理!$L$6:$L$1005,発注管理!$C$6:$C$1005,'設定（最初に1回）'!$C$4,発注管理!$F$6:$F$1005,$C194,発注管理!$Q$6:$Q$1005,"発注済"))</f>
        <v/>
      </c>
      <c r="X194" s="69" t="str">
        <f aca="false">IF($C194="","",MAX(0,N($V194)-N($K194)-N($W194)))</f>
        <v/>
      </c>
      <c r="Y194" s="147" t="str">
        <f aca="false">IF($C194="","",IF(N($X194)&lt;=0,0,CEILING($X194/MAX(1,N($G194)),MAX(1,N($J194)))))</f>
        <v/>
      </c>
      <c r="Z194" s="138" t="str">
        <f aca="false">IF($C194="","",IF(N($Y194)&gt;0,"要発注","正常"))</f>
        <v/>
      </c>
      <c r="AA194" s="71" t="str">
        <f aca="false">IF($C194="","",N($K194)*N($H194))</f>
        <v/>
      </c>
      <c r="AB194" s="66" t="str">
        <f aca="false">IF($C194="","",_xlfn.TEXTJOIN(" / ",TRUE(),IF(COUNTIF(商品マスタ!$B$6:$B$1005,$C194)=0,"マスタ未登録",""),IF(COUNTIFS(月1回_前回の在庫を貼る!$B$6:$B$10005,'設定（最初に1回）'!$C$4,月1回_前回の在庫を貼る!$I$6:$I$10005,$C194)=0,"新商品",""),IF(COUNTIFS(①今日の在庫を貼る!$B$6:$B$10005,'設定（最初に1回）'!$C$4,①今日の在庫を貼る!$I$6:$I$10005,$C194)=0,"終売候補",""),IF(N($K194)&lt;0,"在庫マイナス",""),IF(AND('設定（最初に1回）'!$C$9="PI値予測",$P194=""),"PI値未設定","")))</f>
        <v/>
      </c>
      <c r="AC194" s="71" t="n">
        <f aca="false">N($Y194)*N($H194)</f>
        <v>0</v>
      </c>
      <c r="AD194" s="66" t="str">
        <f aca="false">IF($C194="","",IFERROR(INDEX(商品マスタ!$K$6:$K$1005,MATCH($C194,商品マスタ!$B$6:$B$1005,0)),"常温"))</f>
        <v/>
      </c>
      <c r="AE194" s="69" t="str">
        <f aca="false">IF($C194="","",MAX(0,ROUNDUP(N($K194)/MAX(1,N($G194)),0)))</f>
        <v/>
      </c>
      <c r="AF194" s="66" t="str">
        <f aca="false">IF($C194="","",IFERROR(INDEX(商品マスタ!$L$6:$L$1005,MATCH($C194,商品マスタ!$B$6:$B$1005,0)),""))</f>
        <v/>
      </c>
      <c r="AG194" s="143" t="str">
        <f aca="false">IF($C194="","",IFERROR(INDEX(定数マスタ!$S$110:$S$119,MATCH($AF194,定数マスタ!$J$110:$J$119,0)),N('設定（最初に1回）'!$C$13)))</f>
        <v/>
      </c>
      <c r="AH194" s="66" t="n">
        <f aca="false">IF(AND(N($K194)&gt;0,N($Y194)&gt;0),N($Y194),0)</f>
        <v>0</v>
      </c>
    </row>
    <row r="195" customFormat="false" ht="15" hidden="false" customHeight="false" outlineLevel="0" collapsed="false">
      <c r="B195" s="66" t="n">
        <v>190</v>
      </c>
      <c r="C195" s="66" t="str">
        <f aca="false">IFERROR(IF($B195&lt;=MAX(①今日の在庫を貼る!$U$6:$U$10005),INDEX(①今日の在庫を貼る!$I$6:$I$10005,MATCH($B195,①今日の在庫を貼る!$U$6:$U$10005,0)),INDEX(月1回_前回の在庫を貼る!$I$6:$I$10005,MATCH($B195-MAX(①今日の在庫を貼る!$U$6:$U$10005),月1回_前回の在庫を貼る!$U$6:$U$10005,0))),"")</f>
        <v/>
      </c>
      <c r="D195" s="66" t="str">
        <f aca="false">IF($C195="","",IFERROR(INDEX(商品マスタ!$C$6:$C$1005,MATCH($C195,商品マスタ!$B$6:$B$1005,0)),IFERROR(INDEX(①今日の在庫を貼る!$J$6:$J$10005,MATCH($C195,①今日の在庫を貼る!$I$6:$I$10005,0)),IFERROR(INDEX(月1回_前回の在庫を貼る!$J$6:$J$10005,MATCH($C195,月1回_前回の在庫を貼る!$I$6:$I$10005,0)),""))))</f>
        <v/>
      </c>
      <c r="E195" s="66" t="str">
        <f aca="false">IF($C195="","",IFERROR(INDEX(商品マスタ!$D$6:$D$1005,MATCH($C195,商品マスタ!$B$6:$B$1005,0)),IFERROR(INDEX(①今日の在庫を貼る!$H$6:$H$10005,MATCH($C195,①今日の在庫を貼る!$I$6:$I$10005,0)),IFERROR(INDEX(月1回_前回の在庫を貼る!$H$6:$H$10005,MATCH($C195,月1回_前回の在庫を貼る!$I$6:$I$10005,0)),""))))</f>
        <v/>
      </c>
      <c r="F195" s="66" t="str">
        <f aca="false">IF($C195="","",IFERROR(INDEX(商品マスタ!$E$6:$E$1005,MATCH($C195,商品マスタ!$B$6:$B$1005,0)),IFERROR(INDEX(①今日の在庫を貼る!$E$6:$E$10005,MATCH($C195,①今日の在庫を貼る!$I$6:$I$10005,0)),IFERROR(INDEX(月1回_前回の在庫を貼る!$E$6:$E$10005,MATCH($C195,月1回_前回の在庫を貼る!$I$6:$I$10005,0)),""))))</f>
        <v/>
      </c>
      <c r="G195" s="69" t="str">
        <f aca="false">IF($C195="","",IFERROR(INDEX(商品マスタ!$F$6:$F$1005,MATCH($C195,商品マスタ!$B$6:$B$1005,0)),IFERROR(INDEX(①今日の在庫を貼る!$K$6:$K$10005,MATCH($C195,①今日の在庫を貼る!$I$6:$I$10005,0)),IFERROR(INDEX(月1回_前回の在庫を貼る!$K$6:$K$10005,MATCH($C195,月1回_前回の在庫を貼る!$I$6:$I$10005,0)),""))))</f>
        <v/>
      </c>
      <c r="H195" s="71" t="str">
        <f aca="false">IF($C195="","",IFERROR(INDEX(商品マスタ!$G$6:$G$1005,MATCH($C195,商品マスタ!$B$6:$B$1005,0)),IFERROR(INDEX(①今日の在庫を貼る!$Q$6:$Q$10005,MATCH($C195,①今日の在庫を貼る!$I$6:$I$10005,0)),IFERROR(INDEX(月1回_前回の在庫を貼る!$Q$6:$Q$10005,MATCH($C195,月1回_前回の在庫を貼る!$I$6:$I$10005,0)),""))))</f>
        <v/>
      </c>
      <c r="I195" s="66" t="str">
        <f aca="false">IF($C195="","",IFERROR(INDEX(商品マスタ!$H$6:$H$1005,MATCH($C195,商品マスタ!$B$6:$B$1005,0)),3))</f>
        <v/>
      </c>
      <c r="J195" s="66" t="str">
        <f aca="false">IF($C195="","",MAX(1,IFERROR(INDEX(商品マスタ!$I$6:$I$1005,MATCH($C195,商品マスタ!$B$6:$B$1005,0)),1)))</f>
        <v/>
      </c>
      <c r="K195" s="69" t="str">
        <f aca="false">IF($C195="","",SUMIFS(①今日の在庫を貼る!$N$6:$N$10005,①今日の在庫を貼る!$B$6:$B$10005,'設定（最初に1回）'!$C$4,①今日の在庫を貼る!$I$6:$I$10005,$C195))</f>
        <v/>
      </c>
      <c r="L195" s="69" t="str">
        <f aca="false">IF($C195="","",SUMIFS(月1回_前回の在庫を貼る!$N$6:$N$10005,月1回_前回の在庫を貼る!$B$6:$B$10005,'設定（最初に1回）'!$C$4,月1回_前回の在庫を貼る!$I$6:$I$10005,$C195))</f>
        <v/>
      </c>
      <c r="M195" s="69" t="str">
        <f aca="false">IF($C195="","",IF(OR('設定（最初に1回）'!$C$6="",'設定（最初に1回）'!$C$7=""),0,SUMIFS(発注管理!$S$6:$S$1005,発注管理!$C$6:$C$1005,'設定（最初に1回）'!$C$4,発注管理!$F$6:$F$1005,$C195,発注管理!$R$6:$R$1005,"&gt;="&amp;'設定（最初に1回）'!$C$7,発注管理!$R$6:$R$1005,"&lt;="&amp;'設定（最初に1回）'!$C$6)))</f>
        <v/>
      </c>
      <c r="N195" s="69" t="str">
        <f aca="false">IF(OR($C195="",'設定（最初に1回）'!$C$15=0),"",$L195+$M195-$K195)</f>
        <v/>
      </c>
      <c r="O195" s="143" t="str">
        <f aca="false">IF(OR($N195="",'設定（最初に1回）'!$C$8="",'設定（最初に1回）'!$C$8&lt;=0),"",MAX(0,$N195)/'設定（最初に1回）'!$C$8)</f>
        <v/>
      </c>
      <c r="P195" s="143" t="str">
        <f aca="false">IF($C195="","",IFERROR(INDEX(商品マスタ!$M$6:$N$1005,MATCH($C195,商品マスタ!$B$6:$B$1005,0),MATCH("PI値 "&amp;'設定（最初に1回）'!$C$11,商品マスタ!$M$5:$N$5,0)),""))</f>
        <v/>
      </c>
      <c r="Q195" s="143" t="str">
        <f aca="false">IF(OR($C195="",$P195="",$P195=0,(N($I195)+N($AG195))&lt;=0),"",IFERROR(SUMIFS(随時_動員を入れる!$G$8:$G$97,随時_動員を入れる!$B$8:$B$97,"&gt;="&amp;'設定（最初に1回）'!$C$6,随時_動員を入れる!$B$8:$B$97,"&lt;="&amp;'設定（最初に1回）'!$C$6+(N($I195)+N($AG195))-1)/(N($I195)+N($AG195)),0)*$P195/100)</f>
        <v/>
      </c>
      <c r="R195" s="69" t="str">
        <f aca="false">IF($C195="","",SUMIFS(①今日の在庫を貼る!$O$6:$O$10005,①今日の在庫を貼る!$B$6:$B$10005,'設定（最初に1回）'!$C$4,①今日の在庫を貼る!$I$6:$I$10005,$C195))</f>
        <v/>
      </c>
      <c r="S195" s="143" t="str">
        <f aca="false">IF($C195="","",IF('設定（最初に1回）'!$C$9="実績消費",N($O195),IF('設定（最初に1回）'!$C$9="PI値予測",N($Q195),MAX(N($O195),N($Q195)))))</f>
        <v/>
      </c>
      <c r="T195" s="67" t="str">
        <f aca="false">IF(OR($S195="",$S195&lt;=0),"",$K195/$S195)</f>
        <v/>
      </c>
      <c r="U195" s="69" t="str">
        <f aca="false">IF($S195="","",ROUNDUP(N($S195)*'設定（最初に1回）'!$C$12,0))</f>
        <v/>
      </c>
      <c r="V195" s="69" t="str">
        <f aca="false">IF($C195="","",ROUNDUP(N($S195)*(N($I195)+N($AG195))+N($U195),0))</f>
        <v/>
      </c>
      <c r="W195" s="69" t="str">
        <f aca="false">IF($C195="","",SUMIFS(発注管理!$L$6:$L$1005,発注管理!$C$6:$C$1005,'設定（最初に1回）'!$C$4,発注管理!$F$6:$F$1005,$C195,発注管理!$Q$6:$Q$1005,"発注済"))</f>
        <v/>
      </c>
      <c r="X195" s="69" t="str">
        <f aca="false">IF($C195="","",MAX(0,N($V195)-N($K195)-N($W195)))</f>
        <v/>
      </c>
      <c r="Y195" s="147" t="str">
        <f aca="false">IF($C195="","",IF(N($X195)&lt;=0,0,CEILING($X195/MAX(1,N($G195)),MAX(1,N($J195)))))</f>
        <v/>
      </c>
      <c r="Z195" s="138" t="str">
        <f aca="false">IF($C195="","",IF(N($Y195)&gt;0,"要発注","正常"))</f>
        <v/>
      </c>
      <c r="AA195" s="71" t="str">
        <f aca="false">IF($C195="","",N($K195)*N($H195))</f>
        <v/>
      </c>
      <c r="AB195" s="66" t="str">
        <f aca="false">IF($C195="","",_xlfn.TEXTJOIN(" / ",TRUE(),IF(COUNTIF(商品マスタ!$B$6:$B$1005,$C195)=0,"マスタ未登録",""),IF(COUNTIFS(月1回_前回の在庫を貼る!$B$6:$B$10005,'設定（最初に1回）'!$C$4,月1回_前回の在庫を貼る!$I$6:$I$10005,$C195)=0,"新商品",""),IF(COUNTIFS(①今日の在庫を貼る!$B$6:$B$10005,'設定（最初に1回）'!$C$4,①今日の在庫を貼る!$I$6:$I$10005,$C195)=0,"終売候補",""),IF(N($K195)&lt;0,"在庫マイナス",""),IF(AND('設定（最初に1回）'!$C$9="PI値予測",$P195=""),"PI値未設定","")))</f>
        <v/>
      </c>
      <c r="AC195" s="71" t="n">
        <f aca="false">N($Y195)*N($H195)</f>
        <v>0</v>
      </c>
      <c r="AD195" s="66" t="str">
        <f aca="false">IF($C195="","",IFERROR(INDEX(商品マスタ!$K$6:$K$1005,MATCH($C195,商品マスタ!$B$6:$B$1005,0)),"常温"))</f>
        <v/>
      </c>
      <c r="AE195" s="69" t="str">
        <f aca="false">IF($C195="","",MAX(0,ROUNDUP(N($K195)/MAX(1,N($G195)),0)))</f>
        <v/>
      </c>
      <c r="AF195" s="66" t="str">
        <f aca="false">IF($C195="","",IFERROR(INDEX(商品マスタ!$L$6:$L$1005,MATCH($C195,商品マスタ!$B$6:$B$1005,0)),""))</f>
        <v/>
      </c>
      <c r="AG195" s="143" t="str">
        <f aca="false">IF($C195="","",IFERROR(INDEX(定数マスタ!$S$110:$S$119,MATCH($AF195,定数マスタ!$J$110:$J$119,0)),N('設定（最初に1回）'!$C$13)))</f>
        <v/>
      </c>
      <c r="AH195" s="66" t="n">
        <f aca="false">IF(AND(N($K195)&gt;0,N($Y195)&gt;0),N($Y195),0)</f>
        <v>0</v>
      </c>
    </row>
    <row r="196" customFormat="false" ht="15" hidden="false" customHeight="false" outlineLevel="0" collapsed="false">
      <c r="B196" s="66" t="n">
        <v>191</v>
      </c>
      <c r="C196" s="66" t="str">
        <f aca="false">IFERROR(IF($B196&lt;=MAX(①今日の在庫を貼る!$U$6:$U$10005),INDEX(①今日の在庫を貼る!$I$6:$I$10005,MATCH($B196,①今日の在庫を貼る!$U$6:$U$10005,0)),INDEX(月1回_前回の在庫を貼る!$I$6:$I$10005,MATCH($B196-MAX(①今日の在庫を貼る!$U$6:$U$10005),月1回_前回の在庫を貼る!$U$6:$U$10005,0))),"")</f>
        <v/>
      </c>
      <c r="D196" s="66" t="str">
        <f aca="false">IF($C196="","",IFERROR(INDEX(商品マスタ!$C$6:$C$1005,MATCH($C196,商品マスタ!$B$6:$B$1005,0)),IFERROR(INDEX(①今日の在庫を貼る!$J$6:$J$10005,MATCH($C196,①今日の在庫を貼る!$I$6:$I$10005,0)),IFERROR(INDEX(月1回_前回の在庫を貼る!$J$6:$J$10005,MATCH($C196,月1回_前回の在庫を貼る!$I$6:$I$10005,0)),""))))</f>
        <v/>
      </c>
      <c r="E196" s="66" t="str">
        <f aca="false">IF($C196="","",IFERROR(INDEX(商品マスタ!$D$6:$D$1005,MATCH($C196,商品マスタ!$B$6:$B$1005,0)),IFERROR(INDEX(①今日の在庫を貼る!$H$6:$H$10005,MATCH($C196,①今日の在庫を貼る!$I$6:$I$10005,0)),IFERROR(INDEX(月1回_前回の在庫を貼る!$H$6:$H$10005,MATCH($C196,月1回_前回の在庫を貼る!$I$6:$I$10005,0)),""))))</f>
        <v/>
      </c>
      <c r="F196" s="66" t="str">
        <f aca="false">IF($C196="","",IFERROR(INDEX(商品マスタ!$E$6:$E$1005,MATCH($C196,商品マスタ!$B$6:$B$1005,0)),IFERROR(INDEX(①今日の在庫を貼る!$E$6:$E$10005,MATCH($C196,①今日の在庫を貼る!$I$6:$I$10005,0)),IFERROR(INDEX(月1回_前回の在庫を貼る!$E$6:$E$10005,MATCH($C196,月1回_前回の在庫を貼る!$I$6:$I$10005,0)),""))))</f>
        <v/>
      </c>
      <c r="G196" s="69" t="str">
        <f aca="false">IF($C196="","",IFERROR(INDEX(商品マスタ!$F$6:$F$1005,MATCH($C196,商品マスタ!$B$6:$B$1005,0)),IFERROR(INDEX(①今日の在庫を貼る!$K$6:$K$10005,MATCH($C196,①今日の在庫を貼る!$I$6:$I$10005,0)),IFERROR(INDEX(月1回_前回の在庫を貼る!$K$6:$K$10005,MATCH($C196,月1回_前回の在庫を貼る!$I$6:$I$10005,0)),""))))</f>
        <v/>
      </c>
      <c r="H196" s="71" t="str">
        <f aca="false">IF($C196="","",IFERROR(INDEX(商品マスタ!$G$6:$G$1005,MATCH($C196,商品マスタ!$B$6:$B$1005,0)),IFERROR(INDEX(①今日の在庫を貼る!$Q$6:$Q$10005,MATCH($C196,①今日の在庫を貼る!$I$6:$I$10005,0)),IFERROR(INDEX(月1回_前回の在庫を貼る!$Q$6:$Q$10005,MATCH($C196,月1回_前回の在庫を貼る!$I$6:$I$10005,0)),""))))</f>
        <v/>
      </c>
      <c r="I196" s="66" t="str">
        <f aca="false">IF($C196="","",IFERROR(INDEX(商品マスタ!$H$6:$H$1005,MATCH($C196,商品マスタ!$B$6:$B$1005,0)),3))</f>
        <v/>
      </c>
      <c r="J196" s="66" t="str">
        <f aca="false">IF($C196="","",MAX(1,IFERROR(INDEX(商品マスタ!$I$6:$I$1005,MATCH($C196,商品マスタ!$B$6:$B$1005,0)),1)))</f>
        <v/>
      </c>
      <c r="K196" s="69" t="str">
        <f aca="false">IF($C196="","",SUMIFS(①今日の在庫を貼る!$N$6:$N$10005,①今日の在庫を貼る!$B$6:$B$10005,'設定（最初に1回）'!$C$4,①今日の在庫を貼る!$I$6:$I$10005,$C196))</f>
        <v/>
      </c>
      <c r="L196" s="69" t="str">
        <f aca="false">IF($C196="","",SUMIFS(月1回_前回の在庫を貼る!$N$6:$N$10005,月1回_前回の在庫を貼る!$B$6:$B$10005,'設定（最初に1回）'!$C$4,月1回_前回の在庫を貼る!$I$6:$I$10005,$C196))</f>
        <v/>
      </c>
      <c r="M196" s="69" t="str">
        <f aca="false">IF($C196="","",IF(OR('設定（最初に1回）'!$C$6="",'設定（最初に1回）'!$C$7=""),0,SUMIFS(発注管理!$S$6:$S$1005,発注管理!$C$6:$C$1005,'設定（最初に1回）'!$C$4,発注管理!$F$6:$F$1005,$C196,発注管理!$R$6:$R$1005,"&gt;="&amp;'設定（最初に1回）'!$C$7,発注管理!$R$6:$R$1005,"&lt;="&amp;'設定（最初に1回）'!$C$6)))</f>
        <v/>
      </c>
      <c r="N196" s="69" t="str">
        <f aca="false">IF(OR($C196="",'設定（最初に1回）'!$C$15=0),"",$L196+$M196-$K196)</f>
        <v/>
      </c>
      <c r="O196" s="143" t="str">
        <f aca="false">IF(OR($N196="",'設定（最初に1回）'!$C$8="",'設定（最初に1回）'!$C$8&lt;=0),"",MAX(0,$N196)/'設定（最初に1回）'!$C$8)</f>
        <v/>
      </c>
      <c r="P196" s="143" t="str">
        <f aca="false">IF($C196="","",IFERROR(INDEX(商品マスタ!$M$6:$N$1005,MATCH($C196,商品マスタ!$B$6:$B$1005,0),MATCH("PI値 "&amp;'設定（最初に1回）'!$C$11,商品マスタ!$M$5:$N$5,0)),""))</f>
        <v/>
      </c>
      <c r="Q196" s="143" t="str">
        <f aca="false">IF(OR($C196="",$P196="",$P196=0,(N($I196)+N($AG196))&lt;=0),"",IFERROR(SUMIFS(随時_動員を入れる!$G$8:$G$97,随時_動員を入れる!$B$8:$B$97,"&gt;="&amp;'設定（最初に1回）'!$C$6,随時_動員を入れる!$B$8:$B$97,"&lt;="&amp;'設定（最初に1回）'!$C$6+(N($I196)+N($AG196))-1)/(N($I196)+N($AG196)),0)*$P196/100)</f>
        <v/>
      </c>
      <c r="R196" s="69" t="str">
        <f aca="false">IF($C196="","",SUMIFS(①今日の在庫を貼る!$O$6:$O$10005,①今日の在庫を貼る!$B$6:$B$10005,'設定（最初に1回）'!$C$4,①今日の在庫を貼る!$I$6:$I$10005,$C196))</f>
        <v/>
      </c>
      <c r="S196" s="143" t="str">
        <f aca="false">IF($C196="","",IF('設定（最初に1回）'!$C$9="実績消費",N($O196),IF('設定（最初に1回）'!$C$9="PI値予測",N($Q196),MAX(N($O196),N($Q196)))))</f>
        <v/>
      </c>
      <c r="T196" s="67" t="str">
        <f aca="false">IF(OR($S196="",$S196&lt;=0),"",$K196/$S196)</f>
        <v/>
      </c>
      <c r="U196" s="69" t="str">
        <f aca="false">IF($S196="","",ROUNDUP(N($S196)*'設定（最初に1回）'!$C$12,0))</f>
        <v/>
      </c>
      <c r="V196" s="69" t="str">
        <f aca="false">IF($C196="","",ROUNDUP(N($S196)*(N($I196)+N($AG196))+N($U196),0))</f>
        <v/>
      </c>
      <c r="W196" s="69" t="str">
        <f aca="false">IF($C196="","",SUMIFS(発注管理!$L$6:$L$1005,発注管理!$C$6:$C$1005,'設定（最初に1回）'!$C$4,発注管理!$F$6:$F$1005,$C196,発注管理!$Q$6:$Q$1005,"発注済"))</f>
        <v/>
      </c>
      <c r="X196" s="69" t="str">
        <f aca="false">IF($C196="","",MAX(0,N($V196)-N($K196)-N($W196)))</f>
        <v/>
      </c>
      <c r="Y196" s="147" t="str">
        <f aca="false">IF($C196="","",IF(N($X196)&lt;=0,0,CEILING($X196/MAX(1,N($G196)),MAX(1,N($J196)))))</f>
        <v/>
      </c>
      <c r="Z196" s="138" t="str">
        <f aca="false">IF($C196="","",IF(N($Y196)&gt;0,"要発注","正常"))</f>
        <v/>
      </c>
      <c r="AA196" s="71" t="str">
        <f aca="false">IF($C196="","",N($K196)*N($H196))</f>
        <v/>
      </c>
      <c r="AB196" s="66" t="str">
        <f aca="false">IF($C196="","",_xlfn.TEXTJOIN(" / ",TRUE(),IF(COUNTIF(商品マスタ!$B$6:$B$1005,$C196)=0,"マスタ未登録",""),IF(COUNTIFS(月1回_前回の在庫を貼る!$B$6:$B$10005,'設定（最初に1回）'!$C$4,月1回_前回の在庫を貼る!$I$6:$I$10005,$C196)=0,"新商品",""),IF(COUNTIFS(①今日の在庫を貼る!$B$6:$B$10005,'設定（最初に1回）'!$C$4,①今日の在庫を貼る!$I$6:$I$10005,$C196)=0,"終売候補",""),IF(N($K196)&lt;0,"在庫マイナス",""),IF(AND('設定（最初に1回）'!$C$9="PI値予測",$P196=""),"PI値未設定","")))</f>
        <v/>
      </c>
      <c r="AC196" s="71" t="n">
        <f aca="false">N($Y196)*N($H196)</f>
        <v>0</v>
      </c>
      <c r="AD196" s="66" t="str">
        <f aca="false">IF($C196="","",IFERROR(INDEX(商品マスタ!$K$6:$K$1005,MATCH($C196,商品マスタ!$B$6:$B$1005,0)),"常温"))</f>
        <v/>
      </c>
      <c r="AE196" s="69" t="str">
        <f aca="false">IF($C196="","",MAX(0,ROUNDUP(N($K196)/MAX(1,N($G196)),0)))</f>
        <v/>
      </c>
      <c r="AF196" s="66" t="str">
        <f aca="false">IF($C196="","",IFERROR(INDEX(商品マスタ!$L$6:$L$1005,MATCH($C196,商品マスタ!$B$6:$B$1005,0)),""))</f>
        <v/>
      </c>
      <c r="AG196" s="143" t="str">
        <f aca="false">IF($C196="","",IFERROR(INDEX(定数マスタ!$S$110:$S$119,MATCH($AF196,定数マスタ!$J$110:$J$119,0)),N('設定（最初に1回）'!$C$13)))</f>
        <v/>
      </c>
      <c r="AH196" s="66" t="n">
        <f aca="false">IF(AND(N($K196)&gt;0,N($Y196)&gt;0),N($Y196),0)</f>
        <v>0</v>
      </c>
    </row>
    <row r="197" customFormat="false" ht="15" hidden="false" customHeight="false" outlineLevel="0" collapsed="false">
      <c r="B197" s="66" t="n">
        <v>192</v>
      </c>
      <c r="C197" s="66" t="str">
        <f aca="false">IFERROR(IF($B197&lt;=MAX(①今日の在庫を貼る!$U$6:$U$10005),INDEX(①今日の在庫を貼る!$I$6:$I$10005,MATCH($B197,①今日の在庫を貼る!$U$6:$U$10005,0)),INDEX(月1回_前回の在庫を貼る!$I$6:$I$10005,MATCH($B197-MAX(①今日の在庫を貼る!$U$6:$U$10005),月1回_前回の在庫を貼る!$U$6:$U$10005,0))),"")</f>
        <v/>
      </c>
      <c r="D197" s="66" t="str">
        <f aca="false">IF($C197="","",IFERROR(INDEX(商品マスタ!$C$6:$C$1005,MATCH($C197,商品マスタ!$B$6:$B$1005,0)),IFERROR(INDEX(①今日の在庫を貼る!$J$6:$J$10005,MATCH($C197,①今日の在庫を貼る!$I$6:$I$10005,0)),IFERROR(INDEX(月1回_前回の在庫を貼る!$J$6:$J$10005,MATCH($C197,月1回_前回の在庫を貼る!$I$6:$I$10005,0)),""))))</f>
        <v/>
      </c>
      <c r="E197" s="66" t="str">
        <f aca="false">IF($C197="","",IFERROR(INDEX(商品マスタ!$D$6:$D$1005,MATCH($C197,商品マスタ!$B$6:$B$1005,0)),IFERROR(INDEX(①今日の在庫を貼る!$H$6:$H$10005,MATCH($C197,①今日の在庫を貼る!$I$6:$I$10005,0)),IFERROR(INDEX(月1回_前回の在庫を貼る!$H$6:$H$10005,MATCH($C197,月1回_前回の在庫を貼る!$I$6:$I$10005,0)),""))))</f>
        <v/>
      </c>
      <c r="F197" s="66" t="str">
        <f aca="false">IF($C197="","",IFERROR(INDEX(商品マスタ!$E$6:$E$1005,MATCH($C197,商品マスタ!$B$6:$B$1005,0)),IFERROR(INDEX(①今日の在庫を貼る!$E$6:$E$10005,MATCH($C197,①今日の在庫を貼る!$I$6:$I$10005,0)),IFERROR(INDEX(月1回_前回の在庫を貼る!$E$6:$E$10005,MATCH($C197,月1回_前回の在庫を貼る!$I$6:$I$10005,0)),""))))</f>
        <v/>
      </c>
      <c r="G197" s="69" t="str">
        <f aca="false">IF($C197="","",IFERROR(INDEX(商品マスタ!$F$6:$F$1005,MATCH($C197,商品マスタ!$B$6:$B$1005,0)),IFERROR(INDEX(①今日の在庫を貼る!$K$6:$K$10005,MATCH($C197,①今日の在庫を貼る!$I$6:$I$10005,0)),IFERROR(INDEX(月1回_前回の在庫を貼る!$K$6:$K$10005,MATCH($C197,月1回_前回の在庫を貼る!$I$6:$I$10005,0)),""))))</f>
        <v/>
      </c>
      <c r="H197" s="71" t="str">
        <f aca="false">IF($C197="","",IFERROR(INDEX(商品マスタ!$G$6:$G$1005,MATCH($C197,商品マスタ!$B$6:$B$1005,0)),IFERROR(INDEX(①今日の在庫を貼る!$Q$6:$Q$10005,MATCH($C197,①今日の在庫を貼る!$I$6:$I$10005,0)),IFERROR(INDEX(月1回_前回の在庫を貼る!$Q$6:$Q$10005,MATCH($C197,月1回_前回の在庫を貼る!$I$6:$I$10005,0)),""))))</f>
        <v/>
      </c>
      <c r="I197" s="66" t="str">
        <f aca="false">IF($C197="","",IFERROR(INDEX(商品マスタ!$H$6:$H$1005,MATCH($C197,商品マスタ!$B$6:$B$1005,0)),3))</f>
        <v/>
      </c>
      <c r="J197" s="66" t="str">
        <f aca="false">IF($C197="","",MAX(1,IFERROR(INDEX(商品マスタ!$I$6:$I$1005,MATCH($C197,商品マスタ!$B$6:$B$1005,0)),1)))</f>
        <v/>
      </c>
      <c r="K197" s="69" t="str">
        <f aca="false">IF($C197="","",SUMIFS(①今日の在庫を貼る!$N$6:$N$10005,①今日の在庫を貼る!$B$6:$B$10005,'設定（最初に1回）'!$C$4,①今日の在庫を貼る!$I$6:$I$10005,$C197))</f>
        <v/>
      </c>
      <c r="L197" s="69" t="str">
        <f aca="false">IF($C197="","",SUMIFS(月1回_前回の在庫を貼る!$N$6:$N$10005,月1回_前回の在庫を貼る!$B$6:$B$10005,'設定（最初に1回）'!$C$4,月1回_前回の在庫を貼る!$I$6:$I$10005,$C197))</f>
        <v/>
      </c>
      <c r="M197" s="69" t="str">
        <f aca="false">IF($C197="","",IF(OR('設定（最初に1回）'!$C$6="",'設定（最初に1回）'!$C$7=""),0,SUMIFS(発注管理!$S$6:$S$1005,発注管理!$C$6:$C$1005,'設定（最初に1回）'!$C$4,発注管理!$F$6:$F$1005,$C197,発注管理!$R$6:$R$1005,"&gt;="&amp;'設定（最初に1回）'!$C$7,発注管理!$R$6:$R$1005,"&lt;="&amp;'設定（最初に1回）'!$C$6)))</f>
        <v/>
      </c>
      <c r="N197" s="69" t="str">
        <f aca="false">IF(OR($C197="",'設定（最初に1回）'!$C$15=0),"",$L197+$M197-$K197)</f>
        <v/>
      </c>
      <c r="O197" s="143" t="str">
        <f aca="false">IF(OR($N197="",'設定（最初に1回）'!$C$8="",'設定（最初に1回）'!$C$8&lt;=0),"",MAX(0,$N197)/'設定（最初に1回）'!$C$8)</f>
        <v/>
      </c>
      <c r="P197" s="143" t="str">
        <f aca="false">IF($C197="","",IFERROR(INDEX(商品マスタ!$M$6:$N$1005,MATCH($C197,商品マスタ!$B$6:$B$1005,0),MATCH("PI値 "&amp;'設定（最初に1回）'!$C$11,商品マスタ!$M$5:$N$5,0)),""))</f>
        <v/>
      </c>
      <c r="Q197" s="143" t="str">
        <f aca="false">IF(OR($C197="",$P197="",$P197=0,(N($I197)+N($AG197))&lt;=0),"",IFERROR(SUMIFS(随時_動員を入れる!$G$8:$G$97,随時_動員を入れる!$B$8:$B$97,"&gt;="&amp;'設定（最初に1回）'!$C$6,随時_動員を入れる!$B$8:$B$97,"&lt;="&amp;'設定（最初に1回）'!$C$6+(N($I197)+N($AG197))-1)/(N($I197)+N($AG197)),0)*$P197/100)</f>
        <v/>
      </c>
      <c r="R197" s="69" t="str">
        <f aca="false">IF($C197="","",SUMIFS(①今日の在庫を貼る!$O$6:$O$10005,①今日の在庫を貼る!$B$6:$B$10005,'設定（最初に1回）'!$C$4,①今日の在庫を貼る!$I$6:$I$10005,$C197))</f>
        <v/>
      </c>
      <c r="S197" s="143" t="str">
        <f aca="false">IF($C197="","",IF('設定（最初に1回）'!$C$9="実績消費",N($O197),IF('設定（最初に1回）'!$C$9="PI値予測",N($Q197),MAX(N($O197),N($Q197)))))</f>
        <v/>
      </c>
      <c r="T197" s="67" t="str">
        <f aca="false">IF(OR($S197="",$S197&lt;=0),"",$K197/$S197)</f>
        <v/>
      </c>
      <c r="U197" s="69" t="str">
        <f aca="false">IF($S197="","",ROUNDUP(N($S197)*'設定（最初に1回）'!$C$12,0))</f>
        <v/>
      </c>
      <c r="V197" s="69" t="str">
        <f aca="false">IF($C197="","",ROUNDUP(N($S197)*(N($I197)+N($AG197))+N($U197),0))</f>
        <v/>
      </c>
      <c r="W197" s="69" t="str">
        <f aca="false">IF($C197="","",SUMIFS(発注管理!$L$6:$L$1005,発注管理!$C$6:$C$1005,'設定（最初に1回）'!$C$4,発注管理!$F$6:$F$1005,$C197,発注管理!$Q$6:$Q$1005,"発注済"))</f>
        <v/>
      </c>
      <c r="X197" s="69" t="str">
        <f aca="false">IF($C197="","",MAX(0,N($V197)-N($K197)-N($W197)))</f>
        <v/>
      </c>
      <c r="Y197" s="147" t="str">
        <f aca="false">IF($C197="","",IF(N($X197)&lt;=0,0,CEILING($X197/MAX(1,N($G197)),MAX(1,N($J197)))))</f>
        <v/>
      </c>
      <c r="Z197" s="138" t="str">
        <f aca="false">IF($C197="","",IF(N($Y197)&gt;0,"要発注","正常"))</f>
        <v/>
      </c>
      <c r="AA197" s="71" t="str">
        <f aca="false">IF($C197="","",N($K197)*N($H197))</f>
        <v/>
      </c>
      <c r="AB197" s="66" t="str">
        <f aca="false">IF($C197="","",_xlfn.TEXTJOIN(" / ",TRUE(),IF(COUNTIF(商品マスタ!$B$6:$B$1005,$C197)=0,"マスタ未登録",""),IF(COUNTIFS(月1回_前回の在庫を貼る!$B$6:$B$10005,'設定（最初に1回）'!$C$4,月1回_前回の在庫を貼る!$I$6:$I$10005,$C197)=0,"新商品",""),IF(COUNTIFS(①今日の在庫を貼る!$B$6:$B$10005,'設定（最初に1回）'!$C$4,①今日の在庫を貼る!$I$6:$I$10005,$C197)=0,"終売候補",""),IF(N($K197)&lt;0,"在庫マイナス",""),IF(AND('設定（最初に1回）'!$C$9="PI値予測",$P197=""),"PI値未設定","")))</f>
        <v/>
      </c>
      <c r="AC197" s="71" t="n">
        <f aca="false">N($Y197)*N($H197)</f>
        <v>0</v>
      </c>
      <c r="AD197" s="66" t="str">
        <f aca="false">IF($C197="","",IFERROR(INDEX(商品マスタ!$K$6:$K$1005,MATCH($C197,商品マスタ!$B$6:$B$1005,0)),"常温"))</f>
        <v/>
      </c>
      <c r="AE197" s="69" t="str">
        <f aca="false">IF($C197="","",MAX(0,ROUNDUP(N($K197)/MAX(1,N($G197)),0)))</f>
        <v/>
      </c>
      <c r="AF197" s="66" t="str">
        <f aca="false">IF($C197="","",IFERROR(INDEX(商品マスタ!$L$6:$L$1005,MATCH($C197,商品マスタ!$B$6:$B$1005,0)),""))</f>
        <v/>
      </c>
      <c r="AG197" s="143" t="str">
        <f aca="false">IF($C197="","",IFERROR(INDEX(定数マスタ!$S$110:$S$119,MATCH($AF197,定数マスタ!$J$110:$J$119,0)),N('設定（最初に1回）'!$C$13)))</f>
        <v/>
      </c>
      <c r="AH197" s="66" t="n">
        <f aca="false">IF(AND(N($K197)&gt;0,N($Y197)&gt;0),N($Y197),0)</f>
        <v>0</v>
      </c>
    </row>
    <row r="198" customFormat="false" ht="15" hidden="false" customHeight="false" outlineLevel="0" collapsed="false">
      <c r="B198" s="66" t="n">
        <v>193</v>
      </c>
      <c r="C198" s="66" t="str">
        <f aca="false">IFERROR(IF($B198&lt;=MAX(①今日の在庫を貼る!$U$6:$U$10005),INDEX(①今日の在庫を貼る!$I$6:$I$10005,MATCH($B198,①今日の在庫を貼る!$U$6:$U$10005,0)),INDEX(月1回_前回の在庫を貼る!$I$6:$I$10005,MATCH($B198-MAX(①今日の在庫を貼る!$U$6:$U$10005),月1回_前回の在庫を貼る!$U$6:$U$10005,0))),"")</f>
        <v/>
      </c>
      <c r="D198" s="66" t="str">
        <f aca="false">IF($C198="","",IFERROR(INDEX(商品マスタ!$C$6:$C$1005,MATCH($C198,商品マスタ!$B$6:$B$1005,0)),IFERROR(INDEX(①今日の在庫を貼る!$J$6:$J$10005,MATCH($C198,①今日の在庫を貼る!$I$6:$I$10005,0)),IFERROR(INDEX(月1回_前回の在庫を貼る!$J$6:$J$10005,MATCH($C198,月1回_前回の在庫を貼る!$I$6:$I$10005,0)),""))))</f>
        <v/>
      </c>
      <c r="E198" s="66" t="str">
        <f aca="false">IF($C198="","",IFERROR(INDEX(商品マスタ!$D$6:$D$1005,MATCH($C198,商品マスタ!$B$6:$B$1005,0)),IFERROR(INDEX(①今日の在庫を貼る!$H$6:$H$10005,MATCH($C198,①今日の在庫を貼る!$I$6:$I$10005,0)),IFERROR(INDEX(月1回_前回の在庫を貼る!$H$6:$H$10005,MATCH($C198,月1回_前回の在庫を貼る!$I$6:$I$10005,0)),""))))</f>
        <v/>
      </c>
      <c r="F198" s="66" t="str">
        <f aca="false">IF($C198="","",IFERROR(INDEX(商品マスタ!$E$6:$E$1005,MATCH($C198,商品マスタ!$B$6:$B$1005,0)),IFERROR(INDEX(①今日の在庫を貼る!$E$6:$E$10005,MATCH($C198,①今日の在庫を貼る!$I$6:$I$10005,0)),IFERROR(INDEX(月1回_前回の在庫を貼る!$E$6:$E$10005,MATCH($C198,月1回_前回の在庫を貼る!$I$6:$I$10005,0)),""))))</f>
        <v/>
      </c>
      <c r="G198" s="69" t="str">
        <f aca="false">IF($C198="","",IFERROR(INDEX(商品マスタ!$F$6:$F$1005,MATCH($C198,商品マスタ!$B$6:$B$1005,0)),IFERROR(INDEX(①今日の在庫を貼る!$K$6:$K$10005,MATCH($C198,①今日の在庫を貼る!$I$6:$I$10005,0)),IFERROR(INDEX(月1回_前回の在庫を貼る!$K$6:$K$10005,MATCH($C198,月1回_前回の在庫を貼る!$I$6:$I$10005,0)),""))))</f>
        <v/>
      </c>
      <c r="H198" s="71" t="str">
        <f aca="false">IF($C198="","",IFERROR(INDEX(商品マスタ!$G$6:$G$1005,MATCH($C198,商品マスタ!$B$6:$B$1005,0)),IFERROR(INDEX(①今日の在庫を貼る!$Q$6:$Q$10005,MATCH($C198,①今日の在庫を貼る!$I$6:$I$10005,0)),IFERROR(INDEX(月1回_前回の在庫を貼る!$Q$6:$Q$10005,MATCH($C198,月1回_前回の在庫を貼る!$I$6:$I$10005,0)),""))))</f>
        <v/>
      </c>
      <c r="I198" s="66" t="str">
        <f aca="false">IF($C198="","",IFERROR(INDEX(商品マスタ!$H$6:$H$1005,MATCH($C198,商品マスタ!$B$6:$B$1005,0)),3))</f>
        <v/>
      </c>
      <c r="J198" s="66" t="str">
        <f aca="false">IF($C198="","",MAX(1,IFERROR(INDEX(商品マスタ!$I$6:$I$1005,MATCH($C198,商品マスタ!$B$6:$B$1005,0)),1)))</f>
        <v/>
      </c>
      <c r="K198" s="69" t="str">
        <f aca="false">IF($C198="","",SUMIFS(①今日の在庫を貼る!$N$6:$N$10005,①今日の在庫を貼る!$B$6:$B$10005,'設定（最初に1回）'!$C$4,①今日の在庫を貼る!$I$6:$I$10005,$C198))</f>
        <v/>
      </c>
      <c r="L198" s="69" t="str">
        <f aca="false">IF($C198="","",SUMIFS(月1回_前回の在庫を貼る!$N$6:$N$10005,月1回_前回の在庫を貼る!$B$6:$B$10005,'設定（最初に1回）'!$C$4,月1回_前回の在庫を貼る!$I$6:$I$10005,$C198))</f>
        <v/>
      </c>
      <c r="M198" s="69" t="str">
        <f aca="false">IF($C198="","",IF(OR('設定（最初に1回）'!$C$6="",'設定（最初に1回）'!$C$7=""),0,SUMIFS(発注管理!$S$6:$S$1005,発注管理!$C$6:$C$1005,'設定（最初に1回）'!$C$4,発注管理!$F$6:$F$1005,$C198,発注管理!$R$6:$R$1005,"&gt;="&amp;'設定（最初に1回）'!$C$7,発注管理!$R$6:$R$1005,"&lt;="&amp;'設定（最初に1回）'!$C$6)))</f>
        <v/>
      </c>
      <c r="N198" s="69" t="str">
        <f aca="false">IF(OR($C198="",'設定（最初に1回）'!$C$15=0),"",$L198+$M198-$K198)</f>
        <v/>
      </c>
      <c r="O198" s="143" t="str">
        <f aca="false">IF(OR($N198="",'設定（最初に1回）'!$C$8="",'設定（最初に1回）'!$C$8&lt;=0),"",MAX(0,$N198)/'設定（最初に1回）'!$C$8)</f>
        <v/>
      </c>
      <c r="P198" s="143" t="str">
        <f aca="false">IF($C198="","",IFERROR(INDEX(商品マスタ!$M$6:$N$1005,MATCH($C198,商品マスタ!$B$6:$B$1005,0),MATCH("PI値 "&amp;'設定（最初に1回）'!$C$11,商品マスタ!$M$5:$N$5,0)),""))</f>
        <v/>
      </c>
      <c r="Q198" s="143" t="str">
        <f aca="false">IF(OR($C198="",$P198="",$P198=0,(N($I198)+N($AG198))&lt;=0),"",IFERROR(SUMIFS(随時_動員を入れる!$G$8:$G$97,随時_動員を入れる!$B$8:$B$97,"&gt;="&amp;'設定（最初に1回）'!$C$6,随時_動員を入れる!$B$8:$B$97,"&lt;="&amp;'設定（最初に1回）'!$C$6+(N($I198)+N($AG198))-1)/(N($I198)+N($AG198)),0)*$P198/100)</f>
        <v/>
      </c>
      <c r="R198" s="69" t="str">
        <f aca="false">IF($C198="","",SUMIFS(①今日の在庫を貼る!$O$6:$O$10005,①今日の在庫を貼る!$B$6:$B$10005,'設定（最初に1回）'!$C$4,①今日の在庫を貼る!$I$6:$I$10005,$C198))</f>
        <v/>
      </c>
      <c r="S198" s="143" t="str">
        <f aca="false">IF($C198="","",IF('設定（最初に1回）'!$C$9="実績消費",N($O198),IF('設定（最初に1回）'!$C$9="PI値予測",N($Q198),MAX(N($O198),N($Q198)))))</f>
        <v/>
      </c>
      <c r="T198" s="67" t="str">
        <f aca="false">IF(OR($S198="",$S198&lt;=0),"",$K198/$S198)</f>
        <v/>
      </c>
      <c r="U198" s="69" t="str">
        <f aca="false">IF($S198="","",ROUNDUP(N($S198)*'設定（最初に1回）'!$C$12,0))</f>
        <v/>
      </c>
      <c r="V198" s="69" t="str">
        <f aca="false">IF($C198="","",ROUNDUP(N($S198)*(N($I198)+N($AG198))+N($U198),0))</f>
        <v/>
      </c>
      <c r="W198" s="69" t="str">
        <f aca="false">IF($C198="","",SUMIFS(発注管理!$L$6:$L$1005,発注管理!$C$6:$C$1005,'設定（最初に1回）'!$C$4,発注管理!$F$6:$F$1005,$C198,発注管理!$Q$6:$Q$1005,"発注済"))</f>
        <v/>
      </c>
      <c r="X198" s="69" t="str">
        <f aca="false">IF($C198="","",MAX(0,N($V198)-N($K198)-N($W198)))</f>
        <v/>
      </c>
      <c r="Y198" s="147" t="str">
        <f aca="false">IF($C198="","",IF(N($X198)&lt;=0,0,CEILING($X198/MAX(1,N($G198)),MAX(1,N($J198)))))</f>
        <v/>
      </c>
      <c r="Z198" s="138" t="str">
        <f aca="false">IF($C198="","",IF(N($Y198)&gt;0,"要発注","正常"))</f>
        <v/>
      </c>
      <c r="AA198" s="71" t="str">
        <f aca="false">IF($C198="","",N($K198)*N($H198))</f>
        <v/>
      </c>
      <c r="AB198" s="66" t="str">
        <f aca="false">IF($C198="","",_xlfn.TEXTJOIN(" / ",TRUE(),IF(COUNTIF(商品マスタ!$B$6:$B$1005,$C198)=0,"マスタ未登録",""),IF(COUNTIFS(月1回_前回の在庫を貼る!$B$6:$B$10005,'設定（最初に1回）'!$C$4,月1回_前回の在庫を貼る!$I$6:$I$10005,$C198)=0,"新商品",""),IF(COUNTIFS(①今日の在庫を貼る!$B$6:$B$10005,'設定（最初に1回）'!$C$4,①今日の在庫を貼る!$I$6:$I$10005,$C198)=0,"終売候補",""),IF(N($K198)&lt;0,"在庫マイナス",""),IF(AND('設定（最初に1回）'!$C$9="PI値予測",$P198=""),"PI値未設定","")))</f>
        <v/>
      </c>
      <c r="AC198" s="71" t="n">
        <f aca="false">N($Y198)*N($H198)</f>
        <v>0</v>
      </c>
      <c r="AD198" s="66" t="str">
        <f aca="false">IF($C198="","",IFERROR(INDEX(商品マスタ!$K$6:$K$1005,MATCH($C198,商品マスタ!$B$6:$B$1005,0)),"常温"))</f>
        <v/>
      </c>
      <c r="AE198" s="69" t="str">
        <f aca="false">IF($C198="","",MAX(0,ROUNDUP(N($K198)/MAX(1,N($G198)),0)))</f>
        <v/>
      </c>
      <c r="AF198" s="66" t="str">
        <f aca="false">IF($C198="","",IFERROR(INDEX(商品マスタ!$L$6:$L$1005,MATCH($C198,商品マスタ!$B$6:$B$1005,0)),""))</f>
        <v/>
      </c>
      <c r="AG198" s="143" t="str">
        <f aca="false">IF($C198="","",IFERROR(INDEX(定数マスタ!$S$110:$S$119,MATCH($AF198,定数マスタ!$J$110:$J$119,0)),N('設定（最初に1回）'!$C$13)))</f>
        <v/>
      </c>
      <c r="AH198" s="66" t="n">
        <f aca="false">IF(AND(N($K198)&gt;0,N($Y198)&gt;0),N($Y198),0)</f>
        <v>0</v>
      </c>
    </row>
    <row r="199" customFormat="false" ht="15" hidden="false" customHeight="false" outlineLevel="0" collapsed="false">
      <c r="B199" s="66" t="n">
        <v>194</v>
      </c>
      <c r="C199" s="66" t="str">
        <f aca="false">IFERROR(IF($B199&lt;=MAX(①今日の在庫を貼る!$U$6:$U$10005),INDEX(①今日の在庫を貼る!$I$6:$I$10005,MATCH($B199,①今日の在庫を貼る!$U$6:$U$10005,0)),INDEX(月1回_前回の在庫を貼る!$I$6:$I$10005,MATCH($B199-MAX(①今日の在庫を貼る!$U$6:$U$10005),月1回_前回の在庫を貼る!$U$6:$U$10005,0))),"")</f>
        <v/>
      </c>
      <c r="D199" s="66" t="str">
        <f aca="false">IF($C199="","",IFERROR(INDEX(商品マスタ!$C$6:$C$1005,MATCH($C199,商品マスタ!$B$6:$B$1005,0)),IFERROR(INDEX(①今日の在庫を貼る!$J$6:$J$10005,MATCH($C199,①今日の在庫を貼る!$I$6:$I$10005,0)),IFERROR(INDEX(月1回_前回の在庫を貼る!$J$6:$J$10005,MATCH($C199,月1回_前回の在庫を貼る!$I$6:$I$10005,0)),""))))</f>
        <v/>
      </c>
      <c r="E199" s="66" t="str">
        <f aca="false">IF($C199="","",IFERROR(INDEX(商品マスタ!$D$6:$D$1005,MATCH($C199,商品マスタ!$B$6:$B$1005,0)),IFERROR(INDEX(①今日の在庫を貼る!$H$6:$H$10005,MATCH($C199,①今日の在庫を貼る!$I$6:$I$10005,0)),IFERROR(INDEX(月1回_前回の在庫を貼る!$H$6:$H$10005,MATCH($C199,月1回_前回の在庫を貼る!$I$6:$I$10005,0)),""))))</f>
        <v/>
      </c>
      <c r="F199" s="66" t="str">
        <f aca="false">IF($C199="","",IFERROR(INDEX(商品マスタ!$E$6:$E$1005,MATCH($C199,商品マスタ!$B$6:$B$1005,0)),IFERROR(INDEX(①今日の在庫を貼る!$E$6:$E$10005,MATCH($C199,①今日の在庫を貼る!$I$6:$I$10005,0)),IFERROR(INDEX(月1回_前回の在庫を貼る!$E$6:$E$10005,MATCH($C199,月1回_前回の在庫を貼る!$I$6:$I$10005,0)),""))))</f>
        <v/>
      </c>
      <c r="G199" s="69" t="str">
        <f aca="false">IF($C199="","",IFERROR(INDEX(商品マスタ!$F$6:$F$1005,MATCH($C199,商品マスタ!$B$6:$B$1005,0)),IFERROR(INDEX(①今日の在庫を貼る!$K$6:$K$10005,MATCH($C199,①今日の在庫を貼る!$I$6:$I$10005,0)),IFERROR(INDEX(月1回_前回の在庫を貼る!$K$6:$K$10005,MATCH($C199,月1回_前回の在庫を貼る!$I$6:$I$10005,0)),""))))</f>
        <v/>
      </c>
      <c r="H199" s="71" t="str">
        <f aca="false">IF($C199="","",IFERROR(INDEX(商品マスタ!$G$6:$G$1005,MATCH($C199,商品マスタ!$B$6:$B$1005,0)),IFERROR(INDEX(①今日の在庫を貼る!$Q$6:$Q$10005,MATCH($C199,①今日の在庫を貼る!$I$6:$I$10005,0)),IFERROR(INDEX(月1回_前回の在庫を貼る!$Q$6:$Q$10005,MATCH($C199,月1回_前回の在庫を貼る!$I$6:$I$10005,0)),""))))</f>
        <v/>
      </c>
      <c r="I199" s="66" t="str">
        <f aca="false">IF($C199="","",IFERROR(INDEX(商品マスタ!$H$6:$H$1005,MATCH($C199,商品マスタ!$B$6:$B$1005,0)),3))</f>
        <v/>
      </c>
      <c r="J199" s="66" t="str">
        <f aca="false">IF($C199="","",MAX(1,IFERROR(INDEX(商品マスタ!$I$6:$I$1005,MATCH($C199,商品マスタ!$B$6:$B$1005,0)),1)))</f>
        <v/>
      </c>
      <c r="K199" s="69" t="str">
        <f aca="false">IF($C199="","",SUMIFS(①今日の在庫を貼る!$N$6:$N$10005,①今日の在庫を貼る!$B$6:$B$10005,'設定（最初に1回）'!$C$4,①今日の在庫を貼る!$I$6:$I$10005,$C199))</f>
        <v/>
      </c>
      <c r="L199" s="69" t="str">
        <f aca="false">IF($C199="","",SUMIFS(月1回_前回の在庫を貼る!$N$6:$N$10005,月1回_前回の在庫を貼る!$B$6:$B$10005,'設定（最初に1回）'!$C$4,月1回_前回の在庫を貼る!$I$6:$I$10005,$C199))</f>
        <v/>
      </c>
      <c r="M199" s="69" t="str">
        <f aca="false">IF($C199="","",IF(OR('設定（最初に1回）'!$C$6="",'設定（最初に1回）'!$C$7=""),0,SUMIFS(発注管理!$S$6:$S$1005,発注管理!$C$6:$C$1005,'設定（最初に1回）'!$C$4,発注管理!$F$6:$F$1005,$C199,発注管理!$R$6:$R$1005,"&gt;="&amp;'設定（最初に1回）'!$C$7,発注管理!$R$6:$R$1005,"&lt;="&amp;'設定（最初に1回）'!$C$6)))</f>
        <v/>
      </c>
      <c r="N199" s="69" t="str">
        <f aca="false">IF(OR($C199="",'設定（最初に1回）'!$C$15=0),"",$L199+$M199-$K199)</f>
        <v/>
      </c>
      <c r="O199" s="143" t="str">
        <f aca="false">IF(OR($N199="",'設定（最初に1回）'!$C$8="",'設定（最初に1回）'!$C$8&lt;=0),"",MAX(0,$N199)/'設定（最初に1回）'!$C$8)</f>
        <v/>
      </c>
      <c r="P199" s="143" t="str">
        <f aca="false">IF($C199="","",IFERROR(INDEX(商品マスタ!$M$6:$N$1005,MATCH($C199,商品マスタ!$B$6:$B$1005,0),MATCH("PI値 "&amp;'設定（最初に1回）'!$C$11,商品マスタ!$M$5:$N$5,0)),""))</f>
        <v/>
      </c>
      <c r="Q199" s="143" t="str">
        <f aca="false">IF(OR($C199="",$P199="",$P199=0,(N($I199)+N($AG199))&lt;=0),"",IFERROR(SUMIFS(随時_動員を入れる!$G$8:$G$97,随時_動員を入れる!$B$8:$B$97,"&gt;="&amp;'設定（最初に1回）'!$C$6,随時_動員を入れる!$B$8:$B$97,"&lt;="&amp;'設定（最初に1回）'!$C$6+(N($I199)+N($AG199))-1)/(N($I199)+N($AG199)),0)*$P199/100)</f>
        <v/>
      </c>
      <c r="R199" s="69" t="str">
        <f aca="false">IF($C199="","",SUMIFS(①今日の在庫を貼る!$O$6:$O$10005,①今日の在庫を貼る!$B$6:$B$10005,'設定（最初に1回）'!$C$4,①今日の在庫を貼る!$I$6:$I$10005,$C199))</f>
        <v/>
      </c>
      <c r="S199" s="143" t="str">
        <f aca="false">IF($C199="","",IF('設定（最初に1回）'!$C$9="実績消費",N($O199),IF('設定（最初に1回）'!$C$9="PI値予測",N($Q199),MAX(N($O199),N($Q199)))))</f>
        <v/>
      </c>
      <c r="T199" s="67" t="str">
        <f aca="false">IF(OR($S199="",$S199&lt;=0),"",$K199/$S199)</f>
        <v/>
      </c>
      <c r="U199" s="69" t="str">
        <f aca="false">IF($S199="","",ROUNDUP(N($S199)*'設定（最初に1回）'!$C$12,0))</f>
        <v/>
      </c>
      <c r="V199" s="69" t="str">
        <f aca="false">IF($C199="","",ROUNDUP(N($S199)*(N($I199)+N($AG199))+N($U199),0))</f>
        <v/>
      </c>
      <c r="W199" s="69" t="str">
        <f aca="false">IF($C199="","",SUMIFS(発注管理!$L$6:$L$1005,発注管理!$C$6:$C$1005,'設定（最初に1回）'!$C$4,発注管理!$F$6:$F$1005,$C199,発注管理!$Q$6:$Q$1005,"発注済"))</f>
        <v/>
      </c>
      <c r="X199" s="69" t="str">
        <f aca="false">IF($C199="","",MAX(0,N($V199)-N($K199)-N($W199)))</f>
        <v/>
      </c>
      <c r="Y199" s="147" t="str">
        <f aca="false">IF($C199="","",IF(N($X199)&lt;=0,0,CEILING($X199/MAX(1,N($G199)),MAX(1,N($J199)))))</f>
        <v/>
      </c>
      <c r="Z199" s="138" t="str">
        <f aca="false">IF($C199="","",IF(N($Y199)&gt;0,"要発注","正常"))</f>
        <v/>
      </c>
      <c r="AA199" s="71" t="str">
        <f aca="false">IF($C199="","",N($K199)*N($H199))</f>
        <v/>
      </c>
      <c r="AB199" s="66" t="str">
        <f aca="false">IF($C199="","",_xlfn.TEXTJOIN(" / ",TRUE(),IF(COUNTIF(商品マスタ!$B$6:$B$1005,$C199)=0,"マスタ未登録",""),IF(COUNTIFS(月1回_前回の在庫を貼る!$B$6:$B$10005,'設定（最初に1回）'!$C$4,月1回_前回の在庫を貼る!$I$6:$I$10005,$C199)=0,"新商品",""),IF(COUNTIFS(①今日の在庫を貼る!$B$6:$B$10005,'設定（最初に1回）'!$C$4,①今日の在庫を貼る!$I$6:$I$10005,$C199)=0,"終売候補",""),IF(N($K199)&lt;0,"在庫マイナス",""),IF(AND('設定（最初に1回）'!$C$9="PI値予測",$P199=""),"PI値未設定","")))</f>
        <v/>
      </c>
      <c r="AC199" s="71" t="n">
        <f aca="false">N($Y199)*N($H199)</f>
        <v>0</v>
      </c>
      <c r="AD199" s="66" t="str">
        <f aca="false">IF($C199="","",IFERROR(INDEX(商品マスタ!$K$6:$K$1005,MATCH($C199,商品マスタ!$B$6:$B$1005,0)),"常温"))</f>
        <v/>
      </c>
      <c r="AE199" s="69" t="str">
        <f aca="false">IF($C199="","",MAX(0,ROUNDUP(N($K199)/MAX(1,N($G199)),0)))</f>
        <v/>
      </c>
      <c r="AF199" s="66" t="str">
        <f aca="false">IF($C199="","",IFERROR(INDEX(商品マスタ!$L$6:$L$1005,MATCH($C199,商品マスタ!$B$6:$B$1005,0)),""))</f>
        <v/>
      </c>
      <c r="AG199" s="143" t="str">
        <f aca="false">IF($C199="","",IFERROR(INDEX(定数マスタ!$S$110:$S$119,MATCH($AF199,定数マスタ!$J$110:$J$119,0)),N('設定（最初に1回）'!$C$13)))</f>
        <v/>
      </c>
      <c r="AH199" s="66" t="n">
        <f aca="false">IF(AND(N($K199)&gt;0,N($Y199)&gt;0),N($Y199),0)</f>
        <v>0</v>
      </c>
    </row>
    <row r="200" customFormat="false" ht="15" hidden="false" customHeight="false" outlineLevel="0" collapsed="false">
      <c r="B200" s="66" t="n">
        <v>195</v>
      </c>
      <c r="C200" s="66" t="str">
        <f aca="false">IFERROR(IF($B200&lt;=MAX(①今日の在庫を貼る!$U$6:$U$10005),INDEX(①今日の在庫を貼る!$I$6:$I$10005,MATCH($B200,①今日の在庫を貼る!$U$6:$U$10005,0)),INDEX(月1回_前回の在庫を貼る!$I$6:$I$10005,MATCH($B200-MAX(①今日の在庫を貼る!$U$6:$U$10005),月1回_前回の在庫を貼る!$U$6:$U$10005,0))),"")</f>
        <v/>
      </c>
      <c r="D200" s="66" t="str">
        <f aca="false">IF($C200="","",IFERROR(INDEX(商品マスタ!$C$6:$C$1005,MATCH($C200,商品マスタ!$B$6:$B$1005,0)),IFERROR(INDEX(①今日の在庫を貼る!$J$6:$J$10005,MATCH($C200,①今日の在庫を貼る!$I$6:$I$10005,0)),IFERROR(INDEX(月1回_前回の在庫を貼る!$J$6:$J$10005,MATCH($C200,月1回_前回の在庫を貼る!$I$6:$I$10005,0)),""))))</f>
        <v/>
      </c>
      <c r="E200" s="66" t="str">
        <f aca="false">IF($C200="","",IFERROR(INDEX(商品マスタ!$D$6:$D$1005,MATCH($C200,商品マスタ!$B$6:$B$1005,0)),IFERROR(INDEX(①今日の在庫を貼る!$H$6:$H$10005,MATCH($C200,①今日の在庫を貼る!$I$6:$I$10005,0)),IFERROR(INDEX(月1回_前回の在庫を貼る!$H$6:$H$10005,MATCH($C200,月1回_前回の在庫を貼る!$I$6:$I$10005,0)),""))))</f>
        <v/>
      </c>
      <c r="F200" s="66" t="str">
        <f aca="false">IF($C200="","",IFERROR(INDEX(商品マスタ!$E$6:$E$1005,MATCH($C200,商品マスタ!$B$6:$B$1005,0)),IFERROR(INDEX(①今日の在庫を貼る!$E$6:$E$10005,MATCH($C200,①今日の在庫を貼る!$I$6:$I$10005,0)),IFERROR(INDEX(月1回_前回の在庫を貼る!$E$6:$E$10005,MATCH($C200,月1回_前回の在庫を貼る!$I$6:$I$10005,0)),""))))</f>
        <v/>
      </c>
      <c r="G200" s="69" t="str">
        <f aca="false">IF($C200="","",IFERROR(INDEX(商品マスタ!$F$6:$F$1005,MATCH($C200,商品マスタ!$B$6:$B$1005,0)),IFERROR(INDEX(①今日の在庫を貼る!$K$6:$K$10005,MATCH($C200,①今日の在庫を貼る!$I$6:$I$10005,0)),IFERROR(INDEX(月1回_前回の在庫を貼る!$K$6:$K$10005,MATCH($C200,月1回_前回の在庫を貼る!$I$6:$I$10005,0)),""))))</f>
        <v/>
      </c>
      <c r="H200" s="71" t="str">
        <f aca="false">IF($C200="","",IFERROR(INDEX(商品マスタ!$G$6:$G$1005,MATCH($C200,商品マスタ!$B$6:$B$1005,0)),IFERROR(INDEX(①今日の在庫を貼る!$Q$6:$Q$10005,MATCH($C200,①今日の在庫を貼る!$I$6:$I$10005,0)),IFERROR(INDEX(月1回_前回の在庫を貼る!$Q$6:$Q$10005,MATCH($C200,月1回_前回の在庫を貼る!$I$6:$I$10005,0)),""))))</f>
        <v/>
      </c>
      <c r="I200" s="66" t="str">
        <f aca="false">IF($C200="","",IFERROR(INDEX(商品マスタ!$H$6:$H$1005,MATCH($C200,商品マスタ!$B$6:$B$1005,0)),3))</f>
        <v/>
      </c>
      <c r="J200" s="66" t="str">
        <f aca="false">IF($C200="","",MAX(1,IFERROR(INDEX(商品マスタ!$I$6:$I$1005,MATCH($C200,商品マスタ!$B$6:$B$1005,0)),1)))</f>
        <v/>
      </c>
      <c r="K200" s="69" t="str">
        <f aca="false">IF($C200="","",SUMIFS(①今日の在庫を貼る!$N$6:$N$10005,①今日の在庫を貼る!$B$6:$B$10005,'設定（最初に1回）'!$C$4,①今日の在庫を貼る!$I$6:$I$10005,$C200))</f>
        <v/>
      </c>
      <c r="L200" s="69" t="str">
        <f aca="false">IF($C200="","",SUMIFS(月1回_前回の在庫を貼る!$N$6:$N$10005,月1回_前回の在庫を貼る!$B$6:$B$10005,'設定（最初に1回）'!$C$4,月1回_前回の在庫を貼る!$I$6:$I$10005,$C200))</f>
        <v/>
      </c>
      <c r="M200" s="69" t="str">
        <f aca="false">IF($C200="","",IF(OR('設定（最初に1回）'!$C$6="",'設定（最初に1回）'!$C$7=""),0,SUMIFS(発注管理!$S$6:$S$1005,発注管理!$C$6:$C$1005,'設定（最初に1回）'!$C$4,発注管理!$F$6:$F$1005,$C200,発注管理!$R$6:$R$1005,"&gt;="&amp;'設定（最初に1回）'!$C$7,発注管理!$R$6:$R$1005,"&lt;="&amp;'設定（最初に1回）'!$C$6)))</f>
        <v/>
      </c>
      <c r="N200" s="69" t="str">
        <f aca="false">IF(OR($C200="",'設定（最初に1回）'!$C$15=0),"",$L200+$M200-$K200)</f>
        <v/>
      </c>
      <c r="O200" s="143" t="str">
        <f aca="false">IF(OR($N200="",'設定（最初に1回）'!$C$8="",'設定（最初に1回）'!$C$8&lt;=0),"",MAX(0,$N200)/'設定（最初に1回）'!$C$8)</f>
        <v/>
      </c>
      <c r="P200" s="143" t="str">
        <f aca="false">IF($C200="","",IFERROR(INDEX(商品マスタ!$M$6:$N$1005,MATCH($C200,商品マスタ!$B$6:$B$1005,0),MATCH("PI値 "&amp;'設定（最初に1回）'!$C$11,商品マスタ!$M$5:$N$5,0)),""))</f>
        <v/>
      </c>
      <c r="Q200" s="143" t="str">
        <f aca="false">IF(OR($C200="",$P200="",$P200=0,(N($I200)+N($AG200))&lt;=0),"",IFERROR(SUMIFS(随時_動員を入れる!$G$8:$G$97,随時_動員を入れる!$B$8:$B$97,"&gt;="&amp;'設定（最初に1回）'!$C$6,随時_動員を入れる!$B$8:$B$97,"&lt;="&amp;'設定（最初に1回）'!$C$6+(N($I200)+N($AG200))-1)/(N($I200)+N($AG200)),0)*$P200/100)</f>
        <v/>
      </c>
      <c r="R200" s="69" t="str">
        <f aca="false">IF($C200="","",SUMIFS(①今日の在庫を貼る!$O$6:$O$10005,①今日の在庫を貼る!$B$6:$B$10005,'設定（最初に1回）'!$C$4,①今日の在庫を貼る!$I$6:$I$10005,$C200))</f>
        <v/>
      </c>
      <c r="S200" s="143" t="str">
        <f aca="false">IF($C200="","",IF('設定（最初に1回）'!$C$9="実績消費",N($O200),IF('設定（最初に1回）'!$C$9="PI値予測",N($Q200),MAX(N($O200),N($Q200)))))</f>
        <v/>
      </c>
      <c r="T200" s="67" t="str">
        <f aca="false">IF(OR($S200="",$S200&lt;=0),"",$K200/$S200)</f>
        <v/>
      </c>
      <c r="U200" s="69" t="str">
        <f aca="false">IF($S200="","",ROUNDUP(N($S200)*'設定（最初に1回）'!$C$12,0))</f>
        <v/>
      </c>
      <c r="V200" s="69" t="str">
        <f aca="false">IF($C200="","",ROUNDUP(N($S200)*(N($I200)+N($AG200))+N($U200),0))</f>
        <v/>
      </c>
      <c r="W200" s="69" t="str">
        <f aca="false">IF($C200="","",SUMIFS(発注管理!$L$6:$L$1005,発注管理!$C$6:$C$1005,'設定（最初に1回）'!$C$4,発注管理!$F$6:$F$1005,$C200,発注管理!$Q$6:$Q$1005,"発注済"))</f>
        <v/>
      </c>
      <c r="X200" s="69" t="str">
        <f aca="false">IF($C200="","",MAX(0,N($V200)-N($K200)-N($W200)))</f>
        <v/>
      </c>
      <c r="Y200" s="147" t="str">
        <f aca="false">IF($C200="","",IF(N($X200)&lt;=0,0,CEILING($X200/MAX(1,N($G200)),MAX(1,N($J200)))))</f>
        <v/>
      </c>
      <c r="Z200" s="138" t="str">
        <f aca="false">IF($C200="","",IF(N($Y200)&gt;0,"要発注","正常"))</f>
        <v/>
      </c>
      <c r="AA200" s="71" t="str">
        <f aca="false">IF($C200="","",N($K200)*N($H200))</f>
        <v/>
      </c>
      <c r="AB200" s="66" t="str">
        <f aca="false">IF($C200="","",_xlfn.TEXTJOIN(" / ",TRUE(),IF(COUNTIF(商品マスタ!$B$6:$B$1005,$C200)=0,"マスタ未登録",""),IF(COUNTIFS(月1回_前回の在庫を貼る!$B$6:$B$10005,'設定（最初に1回）'!$C$4,月1回_前回の在庫を貼る!$I$6:$I$10005,$C200)=0,"新商品",""),IF(COUNTIFS(①今日の在庫を貼る!$B$6:$B$10005,'設定（最初に1回）'!$C$4,①今日の在庫を貼る!$I$6:$I$10005,$C200)=0,"終売候補",""),IF(N($K200)&lt;0,"在庫マイナス",""),IF(AND('設定（最初に1回）'!$C$9="PI値予測",$P200=""),"PI値未設定","")))</f>
        <v/>
      </c>
      <c r="AC200" s="71" t="n">
        <f aca="false">N($Y200)*N($H200)</f>
        <v>0</v>
      </c>
      <c r="AD200" s="66" t="str">
        <f aca="false">IF($C200="","",IFERROR(INDEX(商品マスタ!$K$6:$K$1005,MATCH($C200,商品マスタ!$B$6:$B$1005,0)),"常温"))</f>
        <v/>
      </c>
      <c r="AE200" s="69" t="str">
        <f aca="false">IF($C200="","",MAX(0,ROUNDUP(N($K200)/MAX(1,N($G200)),0)))</f>
        <v/>
      </c>
      <c r="AF200" s="66" t="str">
        <f aca="false">IF($C200="","",IFERROR(INDEX(商品マスタ!$L$6:$L$1005,MATCH($C200,商品マスタ!$B$6:$B$1005,0)),""))</f>
        <v/>
      </c>
      <c r="AG200" s="143" t="str">
        <f aca="false">IF($C200="","",IFERROR(INDEX(定数マスタ!$S$110:$S$119,MATCH($AF200,定数マスタ!$J$110:$J$119,0)),N('設定（最初に1回）'!$C$13)))</f>
        <v/>
      </c>
      <c r="AH200" s="66" t="n">
        <f aca="false">IF(AND(N($K200)&gt;0,N($Y200)&gt;0),N($Y200),0)</f>
        <v>0</v>
      </c>
    </row>
    <row r="201" customFormat="false" ht="15" hidden="false" customHeight="false" outlineLevel="0" collapsed="false">
      <c r="B201" s="66" t="n">
        <v>196</v>
      </c>
      <c r="C201" s="66" t="str">
        <f aca="false">IFERROR(IF($B201&lt;=MAX(①今日の在庫を貼る!$U$6:$U$10005),INDEX(①今日の在庫を貼る!$I$6:$I$10005,MATCH($B201,①今日の在庫を貼る!$U$6:$U$10005,0)),INDEX(月1回_前回の在庫を貼る!$I$6:$I$10005,MATCH($B201-MAX(①今日の在庫を貼る!$U$6:$U$10005),月1回_前回の在庫を貼る!$U$6:$U$10005,0))),"")</f>
        <v/>
      </c>
      <c r="D201" s="66" t="str">
        <f aca="false">IF($C201="","",IFERROR(INDEX(商品マスタ!$C$6:$C$1005,MATCH($C201,商品マスタ!$B$6:$B$1005,0)),IFERROR(INDEX(①今日の在庫を貼る!$J$6:$J$10005,MATCH($C201,①今日の在庫を貼る!$I$6:$I$10005,0)),IFERROR(INDEX(月1回_前回の在庫を貼る!$J$6:$J$10005,MATCH($C201,月1回_前回の在庫を貼る!$I$6:$I$10005,0)),""))))</f>
        <v/>
      </c>
      <c r="E201" s="66" t="str">
        <f aca="false">IF($C201="","",IFERROR(INDEX(商品マスタ!$D$6:$D$1005,MATCH($C201,商品マスタ!$B$6:$B$1005,0)),IFERROR(INDEX(①今日の在庫を貼る!$H$6:$H$10005,MATCH($C201,①今日の在庫を貼る!$I$6:$I$10005,0)),IFERROR(INDEX(月1回_前回の在庫を貼る!$H$6:$H$10005,MATCH($C201,月1回_前回の在庫を貼る!$I$6:$I$10005,0)),""))))</f>
        <v/>
      </c>
      <c r="F201" s="66" t="str">
        <f aca="false">IF($C201="","",IFERROR(INDEX(商品マスタ!$E$6:$E$1005,MATCH($C201,商品マスタ!$B$6:$B$1005,0)),IFERROR(INDEX(①今日の在庫を貼る!$E$6:$E$10005,MATCH($C201,①今日の在庫を貼る!$I$6:$I$10005,0)),IFERROR(INDEX(月1回_前回の在庫を貼る!$E$6:$E$10005,MATCH($C201,月1回_前回の在庫を貼る!$I$6:$I$10005,0)),""))))</f>
        <v/>
      </c>
      <c r="G201" s="69" t="str">
        <f aca="false">IF($C201="","",IFERROR(INDEX(商品マスタ!$F$6:$F$1005,MATCH($C201,商品マスタ!$B$6:$B$1005,0)),IFERROR(INDEX(①今日の在庫を貼る!$K$6:$K$10005,MATCH($C201,①今日の在庫を貼る!$I$6:$I$10005,0)),IFERROR(INDEX(月1回_前回の在庫を貼る!$K$6:$K$10005,MATCH($C201,月1回_前回の在庫を貼る!$I$6:$I$10005,0)),""))))</f>
        <v/>
      </c>
      <c r="H201" s="71" t="str">
        <f aca="false">IF($C201="","",IFERROR(INDEX(商品マスタ!$G$6:$G$1005,MATCH($C201,商品マスタ!$B$6:$B$1005,0)),IFERROR(INDEX(①今日の在庫を貼る!$Q$6:$Q$10005,MATCH($C201,①今日の在庫を貼る!$I$6:$I$10005,0)),IFERROR(INDEX(月1回_前回の在庫を貼る!$Q$6:$Q$10005,MATCH($C201,月1回_前回の在庫を貼る!$I$6:$I$10005,0)),""))))</f>
        <v/>
      </c>
      <c r="I201" s="66" t="str">
        <f aca="false">IF($C201="","",IFERROR(INDEX(商品マスタ!$H$6:$H$1005,MATCH($C201,商品マスタ!$B$6:$B$1005,0)),3))</f>
        <v/>
      </c>
      <c r="J201" s="66" t="str">
        <f aca="false">IF($C201="","",MAX(1,IFERROR(INDEX(商品マスタ!$I$6:$I$1005,MATCH($C201,商品マスタ!$B$6:$B$1005,0)),1)))</f>
        <v/>
      </c>
      <c r="K201" s="69" t="str">
        <f aca="false">IF($C201="","",SUMIFS(①今日の在庫を貼る!$N$6:$N$10005,①今日の在庫を貼る!$B$6:$B$10005,'設定（最初に1回）'!$C$4,①今日の在庫を貼る!$I$6:$I$10005,$C201))</f>
        <v/>
      </c>
      <c r="L201" s="69" t="str">
        <f aca="false">IF($C201="","",SUMIFS(月1回_前回の在庫を貼る!$N$6:$N$10005,月1回_前回の在庫を貼る!$B$6:$B$10005,'設定（最初に1回）'!$C$4,月1回_前回の在庫を貼る!$I$6:$I$10005,$C201))</f>
        <v/>
      </c>
      <c r="M201" s="69" t="str">
        <f aca="false">IF($C201="","",IF(OR('設定（最初に1回）'!$C$6="",'設定（最初に1回）'!$C$7=""),0,SUMIFS(発注管理!$S$6:$S$1005,発注管理!$C$6:$C$1005,'設定（最初に1回）'!$C$4,発注管理!$F$6:$F$1005,$C201,発注管理!$R$6:$R$1005,"&gt;="&amp;'設定（最初に1回）'!$C$7,発注管理!$R$6:$R$1005,"&lt;="&amp;'設定（最初に1回）'!$C$6)))</f>
        <v/>
      </c>
      <c r="N201" s="69" t="str">
        <f aca="false">IF(OR($C201="",'設定（最初に1回）'!$C$15=0),"",$L201+$M201-$K201)</f>
        <v/>
      </c>
      <c r="O201" s="143" t="str">
        <f aca="false">IF(OR($N201="",'設定（最初に1回）'!$C$8="",'設定（最初に1回）'!$C$8&lt;=0),"",MAX(0,$N201)/'設定（最初に1回）'!$C$8)</f>
        <v/>
      </c>
      <c r="P201" s="143" t="str">
        <f aca="false">IF($C201="","",IFERROR(INDEX(商品マスタ!$M$6:$N$1005,MATCH($C201,商品マスタ!$B$6:$B$1005,0),MATCH("PI値 "&amp;'設定（最初に1回）'!$C$11,商品マスタ!$M$5:$N$5,0)),""))</f>
        <v/>
      </c>
      <c r="Q201" s="143" t="str">
        <f aca="false">IF(OR($C201="",$P201="",$P201=0,(N($I201)+N($AG201))&lt;=0),"",IFERROR(SUMIFS(随時_動員を入れる!$G$8:$G$97,随時_動員を入れる!$B$8:$B$97,"&gt;="&amp;'設定（最初に1回）'!$C$6,随時_動員を入れる!$B$8:$B$97,"&lt;="&amp;'設定（最初に1回）'!$C$6+(N($I201)+N($AG201))-1)/(N($I201)+N($AG201)),0)*$P201/100)</f>
        <v/>
      </c>
      <c r="R201" s="69" t="str">
        <f aca="false">IF($C201="","",SUMIFS(①今日の在庫を貼る!$O$6:$O$10005,①今日の在庫を貼る!$B$6:$B$10005,'設定（最初に1回）'!$C$4,①今日の在庫を貼る!$I$6:$I$10005,$C201))</f>
        <v/>
      </c>
      <c r="S201" s="143" t="str">
        <f aca="false">IF($C201="","",IF('設定（最初に1回）'!$C$9="実績消費",N($O201),IF('設定（最初に1回）'!$C$9="PI値予測",N($Q201),MAX(N($O201),N($Q201)))))</f>
        <v/>
      </c>
      <c r="T201" s="67" t="str">
        <f aca="false">IF(OR($S201="",$S201&lt;=0),"",$K201/$S201)</f>
        <v/>
      </c>
      <c r="U201" s="69" t="str">
        <f aca="false">IF($S201="","",ROUNDUP(N($S201)*'設定（最初に1回）'!$C$12,0))</f>
        <v/>
      </c>
      <c r="V201" s="69" t="str">
        <f aca="false">IF($C201="","",ROUNDUP(N($S201)*(N($I201)+N($AG201))+N($U201),0))</f>
        <v/>
      </c>
      <c r="W201" s="69" t="str">
        <f aca="false">IF($C201="","",SUMIFS(発注管理!$L$6:$L$1005,発注管理!$C$6:$C$1005,'設定（最初に1回）'!$C$4,発注管理!$F$6:$F$1005,$C201,発注管理!$Q$6:$Q$1005,"発注済"))</f>
        <v/>
      </c>
      <c r="X201" s="69" t="str">
        <f aca="false">IF($C201="","",MAX(0,N($V201)-N($K201)-N($W201)))</f>
        <v/>
      </c>
      <c r="Y201" s="147" t="str">
        <f aca="false">IF($C201="","",IF(N($X201)&lt;=0,0,CEILING($X201/MAX(1,N($G201)),MAX(1,N($J201)))))</f>
        <v/>
      </c>
      <c r="Z201" s="138" t="str">
        <f aca="false">IF($C201="","",IF(N($Y201)&gt;0,"要発注","正常"))</f>
        <v/>
      </c>
      <c r="AA201" s="71" t="str">
        <f aca="false">IF($C201="","",N($K201)*N($H201))</f>
        <v/>
      </c>
      <c r="AB201" s="66" t="str">
        <f aca="false">IF($C201="","",_xlfn.TEXTJOIN(" / ",TRUE(),IF(COUNTIF(商品マスタ!$B$6:$B$1005,$C201)=0,"マスタ未登録",""),IF(COUNTIFS(月1回_前回の在庫を貼る!$B$6:$B$10005,'設定（最初に1回）'!$C$4,月1回_前回の在庫を貼る!$I$6:$I$10005,$C201)=0,"新商品",""),IF(COUNTIFS(①今日の在庫を貼る!$B$6:$B$10005,'設定（最初に1回）'!$C$4,①今日の在庫を貼る!$I$6:$I$10005,$C201)=0,"終売候補",""),IF(N($K201)&lt;0,"在庫マイナス",""),IF(AND('設定（最初に1回）'!$C$9="PI値予測",$P201=""),"PI値未設定","")))</f>
        <v/>
      </c>
      <c r="AC201" s="71" t="n">
        <f aca="false">N($Y201)*N($H201)</f>
        <v>0</v>
      </c>
      <c r="AD201" s="66" t="str">
        <f aca="false">IF($C201="","",IFERROR(INDEX(商品マスタ!$K$6:$K$1005,MATCH($C201,商品マスタ!$B$6:$B$1005,0)),"常温"))</f>
        <v/>
      </c>
      <c r="AE201" s="69" t="str">
        <f aca="false">IF($C201="","",MAX(0,ROUNDUP(N($K201)/MAX(1,N($G201)),0)))</f>
        <v/>
      </c>
      <c r="AF201" s="66" t="str">
        <f aca="false">IF($C201="","",IFERROR(INDEX(商品マスタ!$L$6:$L$1005,MATCH($C201,商品マスタ!$B$6:$B$1005,0)),""))</f>
        <v/>
      </c>
      <c r="AG201" s="143" t="str">
        <f aca="false">IF($C201="","",IFERROR(INDEX(定数マスタ!$S$110:$S$119,MATCH($AF201,定数マスタ!$J$110:$J$119,0)),N('設定（最初に1回）'!$C$13)))</f>
        <v/>
      </c>
      <c r="AH201" s="66" t="n">
        <f aca="false">IF(AND(N($K201)&gt;0,N($Y201)&gt;0),N($Y201),0)</f>
        <v>0</v>
      </c>
    </row>
    <row r="202" customFormat="false" ht="15" hidden="false" customHeight="false" outlineLevel="0" collapsed="false">
      <c r="B202" s="66" t="n">
        <v>197</v>
      </c>
      <c r="C202" s="66" t="str">
        <f aca="false">IFERROR(IF($B202&lt;=MAX(①今日の在庫を貼る!$U$6:$U$10005),INDEX(①今日の在庫を貼る!$I$6:$I$10005,MATCH($B202,①今日の在庫を貼る!$U$6:$U$10005,0)),INDEX(月1回_前回の在庫を貼る!$I$6:$I$10005,MATCH($B202-MAX(①今日の在庫を貼る!$U$6:$U$10005),月1回_前回の在庫を貼る!$U$6:$U$10005,0))),"")</f>
        <v/>
      </c>
      <c r="D202" s="66" t="str">
        <f aca="false">IF($C202="","",IFERROR(INDEX(商品マスタ!$C$6:$C$1005,MATCH($C202,商品マスタ!$B$6:$B$1005,0)),IFERROR(INDEX(①今日の在庫を貼る!$J$6:$J$10005,MATCH($C202,①今日の在庫を貼る!$I$6:$I$10005,0)),IFERROR(INDEX(月1回_前回の在庫を貼る!$J$6:$J$10005,MATCH($C202,月1回_前回の在庫を貼る!$I$6:$I$10005,0)),""))))</f>
        <v/>
      </c>
      <c r="E202" s="66" t="str">
        <f aca="false">IF($C202="","",IFERROR(INDEX(商品マスタ!$D$6:$D$1005,MATCH($C202,商品マスタ!$B$6:$B$1005,0)),IFERROR(INDEX(①今日の在庫を貼る!$H$6:$H$10005,MATCH($C202,①今日の在庫を貼る!$I$6:$I$10005,0)),IFERROR(INDEX(月1回_前回の在庫を貼る!$H$6:$H$10005,MATCH($C202,月1回_前回の在庫を貼る!$I$6:$I$10005,0)),""))))</f>
        <v/>
      </c>
      <c r="F202" s="66" t="str">
        <f aca="false">IF($C202="","",IFERROR(INDEX(商品マスタ!$E$6:$E$1005,MATCH($C202,商品マスタ!$B$6:$B$1005,0)),IFERROR(INDEX(①今日の在庫を貼る!$E$6:$E$10005,MATCH($C202,①今日の在庫を貼る!$I$6:$I$10005,0)),IFERROR(INDEX(月1回_前回の在庫を貼る!$E$6:$E$10005,MATCH($C202,月1回_前回の在庫を貼る!$I$6:$I$10005,0)),""))))</f>
        <v/>
      </c>
      <c r="G202" s="69" t="str">
        <f aca="false">IF($C202="","",IFERROR(INDEX(商品マスタ!$F$6:$F$1005,MATCH($C202,商品マスタ!$B$6:$B$1005,0)),IFERROR(INDEX(①今日の在庫を貼る!$K$6:$K$10005,MATCH($C202,①今日の在庫を貼る!$I$6:$I$10005,0)),IFERROR(INDEX(月1回_前回の在庫を貼る!$K$6:$K$10005,MATCH($C202,月1回_前回の在庫を貼る!$I$6:$I$10005,0)),""))))</f>
        <v/>
      </c>
      <c r="H202" s="71" t="str">
        <f aca="false">IF($C202="","",IFERROR(INDEX(商品マスタ!$G$6:$G$1005,MATCH($C202,商品マスタ!$B$6:$B$1005,0)),IFERROR(INDEX(①今日の在庫を貼る!$Q$6:$Q$10005,MATCH($C202,①今日の在庫を貼る!$I$6:$I$10005,0)),IFERROR(INDEX(月1回_前回の在庫を貼る!$Q$6:$Q$10005,MATCH($C202,月1回_前回の在庫を貼る!$I$6:$I$10005,0)),""))))</f>
        <v/>
      </c>
      <c r="I202" s="66" t="str">
        <f aca="false">IF($C202="","",IFERROR(INDEX(商品マスタ!$H$6:$H$1005,MATCH($C202,商品マスタ!$B$6:$B$1005,0)),3))</f>
        <v/>
      </c>
      <c r="J202" s="66" t="str">
        <f aca="false">IF($C202="","",MAX(1,IFERROR(INDEX(商品マスタ!$I$6:$I$1005,MATCH($C202,商品マスタ!$B$6:$B$1005,0)),1)))</f>
        <v/>
      </c>
      <c r="K202" s="69" t="str">
        <f aca="false">IF($C202="","",SUMIFS(①今日の在庫を貼る!$N$6:$N$10005,①今日の在庫を貼る!$B$6:$B$10005,'設定（最初に1回）'!$C$4,①今日の在庫を貼る!$I$6:$I$10005,$C202))</f>
        <v/>
      </c>
      <c r="L202" s="69" t="str">
        <f aca="false">IF($C202="","",SUMIFS(月1回_前回の在庫を貼る!$N$6:$N$10005,月1回_前回の在庫を貼る!$B$6:$B$10005,'設定（最初に1回）'!$C$4,月1回_前回の在庫を貼る!$I$6:$I$10005,$C202))</f>
        <v/>
      </c>
      <c r="M202" s="69" t="str">
        <f aca="false">IF($C202="","",IF(OR('設定（最初に1回）'!$C$6="",'設定（最初に1回）'!$C$7=""),0,SUMIFS(発注管理!$S$6:$S$1005,発注管理!$C$6:$C$1005,'設定（最初に1回）'!$C$4,発注管理!$F$6:$F$1005,$C202,発注管理!$R$6:$R$1005,"&gt;="&amp;'設定（最初に1回）'!$C$7,発注管理!$R$6:$R$1005,"&lt;="&amp;'設定（最初に1回）'!$C$6)))</f>
        <v/>
      </c>
      <c r="N202" s="69" t="str">
        <f aca="false">IF(OR($C202="",'設定（最初に1回）'!$C$15=0),"",$L202+$M202-$K202)</f>
        <v/>
      </c>
      <c r="O202" s="143" t="str">
        <f aca="false">IF(OR($N202="",'設定（最初に1回）'!$C$8="",'設定（最初に1回）'!$C$8&lt;=0),"",MAX(0,$N202)/'設定（最初に1回）'!$C$8)</f>
        <v/>
      </c>
      <c r="P202" s="143" t="str">
        <f aca="false">IF($C202="","",IFERROR(INDEX(商品マスタ!$M$6:$N$1005,MATCH($C202,商品マスタ!$B$6:$B$1005,0),MATCH("PI値 "&amp;'設定（最初に1回）'!$C$11,商品マスタ!$M$5:$N$5,0)),""))</f>
        <v/>
      </c>
      <c r="Q202" s="143" t="str">
        <f aca="false">IF(OR($C202="",$P202="",$P202=0,(N($I202)+N($AG202))&lt;=0),"",IFERROR(SUMIFS(随時_動員を入れる!$G$8:$G$97,随時_動員を入れる!$B$8:$B$97,"&gt;="&amp;'設定（最初に1回）'!$C$6,随時_動員を入れる!$B$8:$B$97,"&lt;="&amp;'設定（最初に1回）'!$C$6+(N($I202)+N($AG202))-1)/(N($I202)+N($AG202)),0)*$P202/100)</f>
        <v/>
      </c>
      <c r="R202" s="69" t="str">
        <f aca="false">IF($C202="","",SUMIFS(①今日の在庫を貼る!$O$6:$O$10005,①今日の在庫を貼る!$B$6:$B$10005,'設定（最初に1回）'!$C$4,①今日の在庫を貼る!$I$6:$I$10005,$C202))</f>
        <v/>
      </c>
      <c r="S202" s="143" t="str">
        <f aca="false">IF($C202="","",IF('設定（最初に1回）'!$C$9="実績消費",N($O202),IF('設定（最初に1回）'!$C$9="PI値予測",N($Q202),MAX(N($O202),N($Q202)))))</f>
        <v/>
      </c>
      <c r="T202" s="67" t="str">
        <f aca="false">IF(OR($S202="",$S202&lt;=0),"",$K202/$S202)</f>
        <v/>
      </c>
      <c r="U202" s="69" t="str">
        <f aca="false">IF($S202="","",ROUNDUP(N($S202)*'設定（最初に1回）'!$C$12,0))</f>
        <v/>
      </c>
      <c r="V202" s="69" t="str">
        <f aca="false">IF($C202="","",ROUNDUP(N($S202)*(N($I202)+N($AG202))+N($U202),0))</f>
        <v/>
      </c>
      <c r="W202" s="69" t="str">
        <f aca="false">IF($C202="","",SUMIFS(発注管理!$L$6:$L$1005,発注管理!$C$6:$C$1005,'設定（最初に1回）'!$C$4,発注管理!$F$6:$F$1005,$C202,発注管理!$Q$6:$Q$1005,"発注済"))</f>
        <v/>
      </c>
      <c r="X202" s="69" t="str">
        <f aca="false">IF($C202="","",MAX(0,N($V202)-N($K202)-N($W202)))</f>
        <v/>
      </c>
      <c r="Y202" s="147" t="str">
        <f aca="false">IF($C202="","",IF(N($X202)&lt;=0,0,CEILING($X202/MAX(1,N($G202)),MAX(1,N($J202)))))</f>
        <v/>
      </c>
      <c r="Z202" s="138" t="str">
        <f aca="false">IF($C202="","",IF(N($Y202)&gt;0,"要発注","正常"))</f>
        <v/>
      </c>
      <c r="AA202" s="71" t="str">
        <f aca="false">IF($C202="","",N($K202)*N($H202))</f>
        <v/>
      </c>
      <c r="AB202" s="66" t="str">
        <f aca="false">IF($C202="","",_xlfn.TEXTJOIN(" / ",TRUE(),IF(COUNTIF(商品マスタ!$B$6:$B$1005,$C202)=0,"マスタ未登録",""),IF(COUNTIFS(月1回_前回の在庫を貼る!$B$6:$B$10005,'設定（最初に1回）'!$C$4,月1回_前回の在庫を貼る!$I$6:$I$10005,$C202)=0,"新商品",""),IF(COUNTIFS(①今日の在庫を貼る!$B$6:$B$10005,'設定（最初に1回）'!$C$4,①今日の在庫を貼る!$I$6:$I$10005,$C202)=0,"終売候補",""),IF(N($K202)&lt;0,"在庫マイナス",""),IF(AND('設定（最初に1回）'!$C$9="PI値予測",$P202=""),"PI値未設定","")))</f>
        <v/>
      </c>
      <c r="AC202" s="71" t="n">
        <f aca="false">N($Y202)*N($H202)</f>
        <v>0</v>
      </c>
      <c r="AD202" s="66" t="str">
        <f aca="false">IF($C202="","",IFERROR(INDEX(商品マスタ!$K$6:$K$1005,MATCH($C202,商品マスタ!$B$6:$B$1005,0)),"常温"))</f>
        <v/>
      </c>
      <c r="AE202" s="69" t="str">
        <f aca="false">IF($C202="","",MAX(0,ROUNDUP(N($K202)/MAX(1,N($G202)),0)))</f>
        <v/>
      </c>
      <c r="AF202" s="66" t="str">
        <f aca="false">IF($C202="","",IFERROR(INDEX(商品マスタ!$L$6:$L$1005,MATCH($C202,商品マスタ!$B$6:$B$1005,0)),""))</f>
        <v/>
      </c>
      <c r="AG202" s="143" t="str">
        <f aca="false">IF($C202="","",IFERROR(INDEX(定数マスタ!$S$110:$S$119,MATCH($AF202,定数マスタ!$J$110:$J$119,0)),N('設定（最初に1回）'!$C$13)))</f>
        <v/>
      </c>
      <c r="AH202" s="66" t="n">
        <f aca="false">IF(AND(N($K202)&gt;0,N($Y202)&gt;0),N($Y202),0)</f>
        <v>0</v>
      </c>
    </row>
    <row r="203" customFormat="false" ht="15" hidden="false" customHeight="false" outlineLevel="0" collapsed="false">
      <c r="B203" s="66" t="n">
        <v>198</v>
      </c>
      <c r="C203" s="66" t="str">
        <f aca="false">IFERROR(IF($B203&lt;=MAX(①今日の在庫を貼る!$U$6:$U$10005),INDEX(①今日の在庫を貼る!$I$6:$I$10005,MATCH($B203,①今日の在庫を貼る!$U$6:$U$10005,0)),INDEX(月1回_前回の在庫を貼る!$I$6:$I$10005,MATCH($B203-MAX(①今日の在庫を貼る!$U$6:$U$10005),月1回_前回の在庫を貼る!$U$6:$U$10005,0))),"")</f>
        <v/>
      </c>
      <c r="D203" s="66" t="str">
        <f aca="false">IF($C203="","",IFERROR(INDEX(商品マスタ!$C$6:$C$1005,MATCH($C203,商品マスタ!$B$6:$B$1005,0)),IFERROR(INDEX(①今日の在庫を貼る!$J$6:$J$10005,MATCH($C203,①今日の在庫を貼る!$I$6:$I$10005,0)),IFERROR(INDEX(月1回_前回の在庫を貼る!$J$6:$J$10005,MATCH($C203,月1回_前回の在庫を貼る!$I$6:$I$10005,0)),""))))</f>
        <v/>
      </c>
      <c r="E203" s="66" t="str">
        <f aca="false">IF($C203="","",IFERROR(INDEX(商品マスタ!$D$6:$D$1005,MATCH($C203,商品マスタ!$B$6:$B$1005,0)),IFERROR(INDEX(①今日の在庫を貼る!$H$6:$H$10005,MATCH($C203,①今日の在庫を貼る!$I$6:$I$10005,0)),IFERROR(INDEX(月1回_前回の在庫を貼る!$H$6:$H$10005,MATCH($C203,月1回_前回の在庫を貼る!$I$6:$I$10005,0)),""))))</f>
        <v/>
      </c>
      <c r="F203" s="66" t="str">
        <f aca="false">IF($C203="","",IFERROR(INDEX(商品マスタ!$E$6:$E$1005,MATCH($C203,商品マスタ!$B$6:$B$1005,0)),IFERROR(INDEX(①今日の在庫を貼る!$E$6:$E$10005,MATCH($C203,①今日の在庫を貼る!$I$6:$I$10005,0)),IFERROR(INDEX(月1回_前回の在庫を貼る!$E$6:$E$10005,MATCH($C203,月1回_前回の在庫を貼る!$I$6:$I$10005,0)),""))))</f>
        <v/>
      </c>
      <c r="G203" s="69" t="str">
        <f aca="false">IF($C203="","",IFERROR(INDEX(商品マスタ!$F$6:$F$1005,MATCH($C203,商品マスタ!$B$6:$B$1005,0)),IFERROR(INDEX(①今日の在庫を貼る!$K$6:$K$10005,MATCH($C203,①今日の在庫を貼る!$I$6:$I$10005,0)),IFERROR(INDEX(月1回_前回の在庫を貼る!$K$6:$K$10005,MATCH($C203,月1回_前回の在庫を貼る!$I$6:$I$10005,0)),""))))</f>
        <v/>
      </c>
      <c r="H203" s="71" t="str">
        <f aca="false">IF($C203="","",IFERROR(INDEX(商品マスタ!$G$6:$G$1005,MATCH($C203,商品マスタ!$B$6:$B$1005,0)),IFERROR(INDEX(①今日の在庫を貼る!$Q$6:$Q$10005,MATCH($C203,①今日の在庫を貼る!$I$6:$I$10005,0)),IFERROR(INDEX(月1回_前回の在庫を貼る!$Q$6:$Q$10005,MATCH($C203,月1回_前回の在庫を貼る!$I$6:$I$10005,0)),""))))</f>
        <v/>
      </c>
      <c r="I203" s="66" t="str">
        <f aca="false">IF($C203="","",IFERROR(INDEX(商品マスタ!$H$6:$H$1005,MATCH($C203,商品マスタ!$B$6:$B$1005,0)),3))</f>
        <v/>
      </c>
      <c r="J203" s="66" t="str">
        <f aca="false">IF($C203="","",MAX(1,IFERROR(INDEX(商品マスタ!$I$6:$I$1005,MATCH($C203,商品マスタ!$B$6:$B$1005,0)),1)))</f>
        <v/>
      </c>
      <c r="K203" s="69" t="str">
        <f aca="false">IF($C203="","",SUMIFS(①今日の在庫を貼る!$N$6:$N$10005,①今日の在庫を貼る!$B$6:$B$10005,'設定（最初に1回）'!$C$4,①今日の在庫を貼る!$I$6:$I$10005,$C203))</f>
        <v/>
      </c>
      <c r="L203" s="69" t="str">
        <f aca="false">IF($C203="","",SUMIFS(月1回_前回の在庫を貼る!$N$6:$N$10005,月1回_前回の在庫を貼る!$B$6:$B$10005,'設定（最初に1回）'!$C$4,月1回_前回の在庫を貼る!$I$6:$I$10005,$C203))</f>
        <v/>
      </c>
      <c r="M203" s="69" t="str">
        <f aca="false">IF($C203="","",IF(OR('設定（最初に1回）'!$C$6="",'設定（最初に1回）'!$C$7=""),0,SUMIFS(発注管理!$S$6:$S$1005,発注管理!$C$6:$C$1005,'設定（最初に1回）'!$C$4,発注管理!$F$6:$F$1005,$C203,発注管理!$R$6:$R$1005,"&gt;="&amp;'設定（最初に1回）'!$C$7,発注管理!$R$6:$R$1005,"&lt;="&amp;'設定（最初に1回）'!$C$6)))</f>
        <v/>
      </c>
      <c r="N203" s="69" t="str">
        <f aca="false">IF(OR($C203="",'設定（最初に1回）'!$C$15=0),"",$L203+$M203-$K203)</f>
        <v/>
      </c>
      <c r="O203" s="143" t="str">
        <f aca="false">IF(OR($N203="",'設定（最初に1回）'!$C$8="",'設定（最初に1回）'!$C$8&lt;=0),"",MAX(0,$N203)/'設定（最初に1回）'!$C$8)</f>
        <v/>
      </c>
      <c r="P203" s="143" t="str">
        <f aca="false">IF($C203="","",IFERROR(INDEX(商品マスタ!$M$6:$N$1005,MATCH($C203,商品マスタ!$B$6:$B$1005,0),MATCH("PI値 "&amp;'設定（最初に1回）'!$C$11,商品マスタ!$M$5:$N$5,0)),""))</f>
        <v/>
      </c>
      <c r="Q203" s="143" t="str">
        <f aca="false">IF(OR($C203="",$P203="",$P203=0,(N($I203)+N($AG203))&lt;=0),"",IFERROR(SUMIFS(随時_動員を入れる!$G$8:$G$97,随時_動員を入れる!$B$8:$B$97,"&gt;="&amp;'設定（最初に1回）'!$C$6,随時_動員を入れる!$B$8:$B$97,"&lt;="&amp;'設定（最初に1回）'!$C$6+(N($I203)+N($AG203))-1)/(N($I203)+N($AG203)),0)*$P203/100)</f>
        <v/>
      </c>
      <c r="R203" s="69" t="str">
        <f aca="false">IF($C203="","",SUMIFS(①今日の在庫を貼る!$O$6:$O$10005,①今日の在庫を貼る!$B$6:$B$10005,'設定（最初に1回）'!$C$4,①今日の在庫を貼る!$I$6:$I$10005,$C203))</f>
        <v/>
      </c>
      <c r="S203" s="143" t="str">
        <f aca="false">IF($C203="","",IF('設定（最初に1回）'!$C$9="実績消費",N($O203),IF('設定（最初に1回）'!$C$9="PI値予測",N($Q203),MAX(N($O203),N($Q203)))))</f>
        <v/>
      </c>
      <c r="T203" s="67" t="str">
        <f aca="false">IF(OR($S203="",$S203&lt;=0),"",$K203/$S203)</f>
        <v/>
      </c>
      <c r="U203" s="69" t="str">
        <f aca="false">IF($S203="","",ROUNDUP(N($S203)*'設定（最初に1回）'!$C$12,0))</f>
        <v/>
      </c>
      <c r="V203" s="69" t="str">
        <f aca="false">IF($C203="","",ROUNDUP(N($S203)*(N($I203)+N($AG203))+N($U203),0))</f>
        <v/>
      </c>
      <c r="W203" s="69" t="str">
        <f aca="false">IF($C203="","",SUMIFS(発注管理!$L$6:$L$1005,発注管理!$C$6:$C$1005,'設定（最初に1回）'!$C$4,発注管理!$F$6:$F$1005,$C203,発注管理!$Q$6:$Q$1005,"発注済"))</f>
        <v/>
      </c>
      <c r="X203" s="69" t="str">
        <f aca="false">IF($C203="","",MAX(0,N($V203)-N($K203)-N($W203)))</f>
        <v/>
      </c>
      <c r="Y203" s="147" t="str">
        <f aca="false">IF($C203="","",IF(N($X203)&lt;=0,0,CEILING($X203/MAX(1,N($G203)),MAX(1,N($J203)))))</f>
        <v/>
      </c>
      <c r="Z203" s="138" t="str">
        <f aca="false">IF($C203="","",IF(N($Y203)&gt;0,"要発注","正常"))</f>
        <v/>
      </c>
      <c r="AA203" s="71" t="str">
        <f aca="false">IF($C203="","",N($K203)*N($H203))</f>
        <v/>
      </c>
      <c r="AB203" s="66" t="str">
        <f aca="false">IF($C203="","",_xlfn.TEXTJOIN(" / ",TRUE(),IF(COUNTIF(商品マスタ!$B$6:$B$1005,$C203)=0,"マスタ未登録",""),IF(COUNTIFS(月1回_前回の在庫を貼る!$B$6:$B$10005,'設定（最初に1回）'!$C$4,月1回_前回の在庫を貼る!$I$6:$I$10005,$C203)=0,"新商品",""),IF(COUNTIFS(①今日の在庫を貼る!$B$6:$B$10005,'設定（最初に1回）'!$C$4,①今日の在庫を貼る!$I$6:$I$10005,$C203)=0,"終売候補",""),IF(N($K203)&lt;0,"在庫マイナス",""),IF(AND('設定（最初に1回）'!$C$9="PI値予測",$P203=""),"PI値未設定","")))</f>
        <v/>
      </c>
      <c r="AC203" s="71" t="n">
        <f aca="false">N($Y203)*N($H203)</f>
        <v>0</v>
      </c>
      <c r="AD203" s="66" t="str">
        <f aca="false">IF($C203="","",IFERROR(INDEX(商品マスタ!$K$6:$K$1005,MATCH($C203,商品マスタ!$B$6:$B$1005,0)),"常温"))</f>
        <v/>
      </c>
      <c r="AE203" s="69" t="str">
        <f aca="false">IF($C203="","",MAX(0,ROUNDUP(N($K203)/MAX(1,N($G203)),0)))</f>
        <v/>
      </c>
      <c r="AF203" s="66" t="str">
        <f aca="false">IF($C203="","",IFERROR(INDEX(商品マスタ!$L$6:$L$1005,MATCH($C203,商品マスタ!$B$6:$B$1005,0)),""))</f>
        <v/>
      </c>
      <c r="AG203" s="143" t="str">
        <f aca="false">IF($C203="","",IFERROR(INDEX(定数マスタ!$S$110:$S$119,MATCH($AF203,定数マスタ!$J$110:$J$119,0)),N('設定（最初に1回）'!$C$13)))</f>
        <v/>
      </c>
      <c r="AH203" s="66" t="n">
        <f aca="false">IF(AND(N($K203)&gt;0,N($Y203)&gt;0),N($Y203),0)</f>
        <v>0</v>
      </c>
    </row>
    <row r="204" customFormat="false" ht="15" hidden="false" customHeight="false" outlineLevel="0" collapsed="false">
      <c r="B204" s="66" t="n">
        <v>199</v>
      </c>
      <c r="C204" s="66" t="str">
        <f aca="false">IFERROR(IF($B204&lt;=MAX(①今日の在庫を貼る!$U$6:$U$10005),INDEX(①今日の在庫を貼る!$I$6:$I$10005,MATCH($B204,①今日の在庫を貼る!$U$6:$U$10005,0)),INDEX(月1回_前回の在庫を貼る!$I$6:$I$10005,MATCH($B204-MAX(①今日の在庫を貼る!$U$6:$U$10005),月1回_前回の在庫を貼る!$U$6:$U$10005,0))),"")</f>
        <v/>
      </c>
      <c r="D204" s="66" t="str">
        <f aca="false">IF($C204="","",IFERROR(INDEX(商品マスタ!$C$6:$C$1005,MATCH($C204,商品マスタ!$B$6:$B$1005,0)),IFERROR(INDEX(①今日の在庫を貼る!$J$6:$J$10005,MATCH($C204,①今日の在庫を貼る!$I$6:$I$10005,0)),IFERROR(INDEX(月1回_前回の在庫を貼る!$J$6:$J$10005,MATCH($C204,月1回_前回の在庫を貼る!$I$6:$I$10005,0)),""))))</f>
        <v/>
      </c>
      <c r="E204" s="66" t="str">
        <f aca="false">IF($C204="","",IFERROR(INDEX(商品マスタ!$D$6:$D$1005,MATCH($C204,商品マスタ!$B$6:$B$1005,0)),IFERROR(INDEX(①今日の在庫を貼る!$H$6:$H$10005,MATCH($C204,①今日の在庫を貼る!$I$6:$I$10005,0)),IFERROR(INDEX(月1回_前回の在庫を貼る!$H$6:$H$10005,MATCH($C204,月1回_前回の在庫を貼る!$I$6:$I$10005,0)),""))))</f>
        <v/>
      </c>
      <c r="F204" s="66" t="str">
        <f aca="false">IF($C204="","",IFERROR(INDEX(商品マスタ!$E$6:$E$1005,MATCH($C204,商品マスタ!$B$6:$B$1005,0)),IFERROR(INDEX(①今日の在庫を貼る!$E$6:$E$10005,MATCH($C204,①今日の在庫を貼る!$I$6:$I$10005,0)),IFERROR(INDEX(月1回_前回の在庫を貼る!$E$6:$E$10005,MATCH($C204,月1回_前回の在庫を貼る!$I$6:$I$10005,0)),""))))</f>
        <v/>
      </c>
      <c r="G204" s="69" t="str">
        <f aca="false">IF($C204="","",IFERROR(INDEX(商品マスタ!$F$6:$F$1005,MATCH($C204,商品マスタ!$B$6:$B$1005,0)),IFERROR(INDEX(①今日の在庫を貼る!$K$6:$K$10005,MATCH($C204,①今日の在庫を貼る!$I$6:$I$10005,0)),IFERROR(INDEX(月1回_前回の在庫を貼る!$K$6:$K$10005,MATCH($C204,月1回_前回の在庫を貼る!$I$6:$I$10005,0)),""))))</f>
        <v/>
      </c>
      <c r="H204" s="71" t="str">
        <f aca="false">IF($C204="","",IFERROR(INDEX(商品マスタ!$G$6:$G$1005,MATCH($C204,商品マスタ!$B$6:$B$1005,0)),IFERROR(INDEX(①今日の在庫を貼る!$Q$6:$Q$10005,MATCH($C204,①今日の在庫を貼る!$I$6:$I$10005,0)),IFERROR(INDEX(月1回_前回の在庫を貼る!$Q$6:$Q$10005,MATCH($C204,月1回_前回の在庫を貼る!$I$6:$I$10005,0)),""))))</f>
        <v/>
      </c>
      <c r="I204" s="66" t="str">
        <f aca="false">IF($C204="","",IFERROR(INDEX(商品マスタ!$H$6:$H$1005,MATCH($C204,商品マスタ!$B$6:$B$1005,0)),3))</f>
        <v/>
      </c>
      <c r="J204" s="66" t="str">
        <f aca="false">IF($C204="","",MAX(1,IFERROR(INDEX(商品マスタ!$I$6:$I$1005,MATCH($C204,商品マスタ!$B$6:$B$1005,0)),1)))</f>
        <v/>
      </c>
      <c r="K204" s="69" t="str">
        <f aca="false">IF($C204="","",SUMIFS(①今日の在庫を貼る!$N$6:$N$10005,①今日の在庫を貼る!$B$6:$B$10005,'設定（最初に1回）'!$C$4,①今日の在庫を貼る!$I$6:$I$10005,$C204))</f>
        <v/>
      </c>
      <c r="L204" s="69" t="str">
        <f aca="false">IF($C204="","",SUMIFS(月1回_前回の在庫を貼る!$N$6:$N$10005,月1回_前回の在庫を貼る!$B$6:$B$10005,'設定（最初に1回）'!$C$4,月1回_前回の在庫を貼る!$I$6:$I$10005,$C204))</f>
        <v/>
      </c>
      <c r="M204" s="69" t="str">
        <f aca="false">IF($C204="","",IF(OR('設定（最初に1回）'!$C$6="",'設定（最初に1回）'!$C$7=""),0,SUMIFS(発注管理!$S$6:$S$1005,発注管理!$C$6:$C$1005,'設定（最初に1回）'!$C$4,発注管理!$F$6:$F$1005,$C204,発注管理!$R$6:$R$1005,"&gt;="&amp;'設定（最初に1回）'!$C$7,発注管理!$R$6:$R$1005,"&lt;="&amp;'設定（最初に1回）'!$C$6)))</f>
        <v/>
      </c>
      <c r="N204" s="69" t="str">
        <f aca="false">IF(OR($C204="",'設定（最初に1回）'!$C$15=0),"",$L204+$M204-$K204)</f>
        <v/>
      </c>
      <c r="O204" s="143" t="str">
        <f aca="false">IF(OR($N204="",'設定（最初に1回）'!$C$8="",'設定（最初に1回）'!$C$8&lt;=0),"",MAX(0,$N204)/'設定（最初に1回）'!$C$8)</f>
        <v/>
      </c>
      <c r="P204" s="143" t="str">
        <f aca="false">IF($C204="","",IFERROR(INDEX(商品マスタ!$M$6:$N$1005,MATCH($C204,商品マスタ!$B$6:$B$1005,0),MATCH("PI値 "&amp;'設定（最初に1回）'!$C$11,商品マスタ!$M$5:$N$5,0)),""))</f>
        <v/>
      </c>
      <c r="Q204" s="143" t="str">
        <f aca="false">IF(OR($C204="",$P204="",$P204=0,(N($I204)+N($AG204))&lt;=0),"",IFERROR(SUMIFS(随時_動員を入れる!$G$8:$G$97,随時_動員を入れる!$B$8:$B$97,"&gt;="&amp;'設定（最初に1回）'!$C$6,随時_動員を入れる!$B$8:$B$97,"&lt;="&amp;'設定（最初に1回）'!$C$6+(N($I204)+N($AG204))-1)/(N($I204)+N($AG204)),0)*$P204/100)</f>
        <v/>
      </c>
      <c r="R204" s="69" t="str">
        <f aca="false">IF($C204="","",SUMIFS(①今日の在庫を貼る!$O$6:$O$10005,①今日の在庫を貼る!$B$6:$B$10005,'設定（最初に1回）'!$C$4,①今日の在庫を貼る!$I$6:$I$10005,$C204))</f>
        <v/>
      </c>
      <c r="S204" s="143" t="str">
        <f aca="false">IF($C204="","",IF('設定（最初に1回）'!$C$9="実績消費",N($O204),IF('設定（最初に1回）'!$C$9="PI値予測",N($Q204),MAX(N($O204),N($Q204)))))</f>
        <v/>
      </c>
      <c r="T204" s="67" t="str">
        <f aca="false">IF(OR($S204="",$S204&lt;=0),"",$K204/$S204)</f>
        <v/>
      </c>
      <c r="U204" s="69" t="str">
        <f aca="false">IF($S204="","",ROUNDUP(N($S204)*'設定（最初に1回）'!$C$12,0))</f>
        <v/>
      </c>
      <c r="V204" s="69" t="str">
        <f aca="false">IF($C204="","",ROUNDUP(N($S204)*(N($I204)+N($AG204))+N($U204),0))</f>
        <v/>
      </c>
      <c r="W204" s="69" t="str">
        <f aca="false">IF($C204="","",SUMIFS(発注管理!$L$6:$L$1005,発注管理!$C$6:$C$1005,'設定（最初に1回）'!$C$4,発注管理!$F$6:$F$1005,$C204,発注管理!$Q$6:$Q$1005,"発注済"))</f>
        <v/>
      </c>
      <c r="X204" s="69" t="str">
        <f aca="false">IF($C204="","",MAX(0,N($V204)-N($K204)-N($W204)))</f>
        <v/>
      </c>
      <c r="Y204" s="147" t="str">
        <f aca="false">IF($C204="","",IF(N($X204)&lt;=0,0,CEILING($X204/MAX(1,N($G204)),MAX(1,N($J204)))))</f>
        <v/>
      </c>
      <c r="Z204" s="138" t="str">
        <f aca="false">IF($C204="","",IF(N($Y204)&gt;0,"要発注","正常"))</f>
        <v/>
      </c>
      <c r="AA204" s="71" t="str">
        <f aca="false">IF($C204="","",N($K204)*N($H204))</f>
        <v/>
      </c>
      <c r="AB204" s="66" t="str">
        <f aca="false">IF($C204="","",_xlfn.TEXTJOIN(" / ",TRUE(),IF(COUNTIF(商品マスタ!$B$6:$B$1005,$C204)=0,"マスタ未登録",""),IF(COUNTIFS(月1回_前回の在庫を貼る!$B$6:$B$10005,'設定（最初に1回）'!$C$4,月1回_前回の在庫を貼る!$I$6:$I$10005,$C204)=0,"新商品",""),IF(COUNTIFS(①今日の在庫を貼る!$B$6:$B$10005,'設定（最初に1回）'!$C$4,①今日の在庫を貼る!$I$6:$I$10005,$C204)=0,"終売候補",""),IF(N($K204)&lt;0,"在庫マイナス",""),IF(AND('設定（最初に1回）'!$C$9="PI値予測",$P204=""),"PI値未設定","")))</f>
        <v/>
      </c>
      <c r="AC204" s="71" t="n">
        <f aca="false">N($Y204)*N($H204)</f>
        <v>0</v>
      </c>
      <c r="AD204" s="66" t="str">
        <f aca="false">IF($C204="","",IFERROR(INDEX(商品マスタ!$K$6:$K$1005,MATCH($C204,商品マスタ!$B$6:$B$1005,0)),"常温"))</f>
        <v/>
      </c>
      <c r="AE204" s="69" t="str">
        <f aca="false">IF($C204="","",MAX(0,ROUNDUP(N($K204)/MAX(1,N($G204)),0)))</f>
        <v/>
      </c>
      <c r="AF204" s="66" t="str">
        <f aca="false">IF($C204="","",IFERROR(INDEX(商品マスタ!$L$6:$L$1005,MATCH($C204,商品マスタ!$B$6:$B$1005,0)),""))</f>
        <v/>
      </c>
      <c r="AG204" s="143" t="str">
        <f aca="false">IF($C204="","",IFERROR(INDEX(定数マスタ!$S$110:$S$119,MATCH($AF204,定数マスタ!$J$110:$J$119,0)),N('設定（最初に1回）'!$C$13)))</f>
        <v/>
      </c>
      <c r="AH204" s="66" t="n">
        <f aca="false">IF(AND(N($K204)&gt;0,N($Y204)&gt;0),N($Y204),0)</f>
        <v>0</v>
      </c>
    </row>
    <row r="205" customFormat="false" ht="15" hidden="false" customHeight="false" outlineLevel="0" collapsed="false">
      <c r="B205" s="66" t="n">
        <v>200</v>
      </c>
      <c r="C205" s="66" t="str">
        <f aca="false">IFERROR(IF($B205&lt;=MAX(①今日の在庫を貼る!$U$6:$U$10005),INDEX(①今日の在庫を貼る!$I$6:$I$10005,MATCH($B205,①今日の在庫を貼る!$U$6:$U$10005,0)),INDEX(月1回_前回の在庫を貼る!$I$6:$I$10005,MATCH($B205-MAX(①今日の在庫を貼る!$U$6:$U$10005),月1回_前回の在庫を貼る!$U$6:$U$10005,0))),"")</f>
        <v/>
      </c>
      <c r="D205" s="66" t="str">
        <f aca="false">IF($C205="","",IFERROR(INDEX(商品マスタ!$C$6:$C$1005,MATCH($C205,商品マスタ!$B$6:$B$1005,0)),IFERROR(INDEX(①今日の在庫を貼る!$J$6:$J$10005,MATCH($C205,①今日の在庫を貼る!$I$6:$I$10005,0)),IFERROR(INDEX(月1回_前回の在庫を貼る!$J$6:$J$10005,MATCH($C205,月1回_前回の在庫を貼る!$I$6:$I$10005,0)),""))))</f>
        <v/>
      </c>
      <c r="E205" s="66" t="str">
        <f aca="false">IF($C205="","",IFERROR(INDEX(商品マスタ!$D$6:$D$1005,MATCH($C205,商品マスタ!$B$6:$B$1005,0)),IFERROR(INDEX(①今日の在庫を貼る!$H$6:$H$10005,MATCH($C205,①今日の在庫を貼る!$I$6:$I$10005,0)),IFERROR(INDEX(月1回_前回の在庫を貼る!$H$6:$H$10005,MATCH($C205,月1回_前回の在庫を貼る!$I$6:$I$10005,0)),""))))</f>
        <v/>
      </c>
      <c r="F205" s="66" t="str">
        <f aca="false">IF($C205="","",IFERROR(INDEX(商品マスタ!$E$6:$E$1005,MATCH($C205,商品マスタ!$B$6:$B$1005,0)),IFERROR(INDEX(①今日の在庫を貼る!$E$6:$E$10005,MATCH($C205,①今日の在庫を貼る!$I$6:$I$10005,0)),IFERROR(INDEX(月1回_前回の在庫を貼る!$E$6:$E$10005,MATCH($C205,月1回_前回の在庫を貼る!$I$6:$I$10005,0)),""))))</f>
        <v/>
      </c>
      <c r="G205" s="69" t="str">
        <f aca="false">IF($C205="","",IFERROR(INDEX(商品マスタ!$F$6:$F$1005,MATCH($C205,商品マスタ!$B$6:$B$1005,0)),IFERROR(INDEX(①今日の在庫を貼る!$K$6:$K$10005,MATCH($C205,①今日の在庫を貼る!$I$6:$I$10005,0)),IFERROR(INDEX(月1回_前回の在庫を貼る!$K$6:$K$10005,MATCH($C205,月1回_前回の在庫を貼る!$I$6:$I$10005,0)),""))))</f>
        <v/>
      </c>
      <c r="H205" s="71" t="str">
        <f aca="false">IF($C205="","",IFERROR(INDEX(商品マスタ!$G$6:$G$1005,MATCH($C205,商品マスタ!$B$6:$B$1005,0)),IFERROR(INDEX(①今日の在庫を貼る!$Q$6:$Q$10005,MATCH($C205,①今日の在庫を貼る!$I$6:$I$10005,0)),IFERROR(INDEX(月1回_前回の在庫を貼る!$Q$6:$Q$10005,MATCH($C205,月1回_前回の在庫を貼る!$I$6:$I$10005,0)),""))))</f>
        <v/>
      </c>
      <c r="I205" s="66" t="str">
        <f aca="false">IF($C205="","",IFERROR(INDEX(商品マスタ!$H$6:$H$1005,MATCH($C205,商品マスタ!$B$6:$B$1005,0)),3))</f>
        <v/>
      </c>
      <c r="J205" s="66" t="str">
        <f aca="false">IF($C205="","",MAX(1,IFERROR(INDEX(商品マスタ!$I$6:$I$1005,MATCH($C205,商品マスタ!$B$6:$B$1005,0)),1)))</f>
        <v/>
      </c>
      <c r="K205" s="69" t="str">
        <f aca="false">IF($C205="","",SUMIFS(①今日の在庫を貼る!$N$6:$N$10005,①今日の在庫を貼る!$B$6:$B$10005,'設定（最初に1回）'!$C$4,①今日の在庫を貼る!$I$6:$I$10005,$C205))</f>
        <v/>
      </c>
      <c r="L205" s="69" t="str">
        <f aca="false">IF($C205="","",SUMIFS(月1回_前回の在庫を貼る!$N$6:$N$10005,月1回_前回の在庫を貼る!$B$6:$B$10005,'設定（最初に1回）'!$C$4,月1回_前回の在庫を貼る!$I$6:$I$10005,$C205))</f>
        <v/>
      </c>
      <c r="M205" s="69" t="str">
        <f aca="false">IF($C205="","",IF(OR('設定（最初に1回）'!$C$6="",'設定（最初に1回）'!$C$7=""),0,SUMIFS(発注管理!$S$6:$S$1005,発注管理!$C$6:$C$1005,'設定（最初に1回）'!$C$4,発注管理!$F$6:$F$1005,$C205,発注管理!$R$6:$R$1005,"&gt;="&amp;'設定（最初に1回）'!$C$7,発注管理!$R$6:$R$1005,"&lt;="&amp;'設定（最初に1回）'!$C$6)))</f>
        <v/>
      </c>
      <c r="N205" s="69" t="str">
        <f aca="false">IF(OR($C205="",'設定（最初に1回）'!$C$15=0),"",$L205+$M205-$K205)</f>
        <v/>
      </c>
      <c r="O205" s="143" t="str">
        <f aca="false">IF(OR($N205="",'設定（最初に1回）'!$C$8="",'設定（最初に1回）'!$C$8&lt;=0),"",MAX(0,$N205)/'設定（最初に1回）'!$C$8)</f>
        <v/>
      </c>
      <c r="P205" s="143" t="str">
        <f aca="false">IF($C205="","",IFERROR(INDEX(商品マスタ!$M$6:$N$1005,MATCH($C205,商品マスタ!$B$6:$B$1005,0),MATCH("PI値 "&amp;'設定（最初に1回）'!$C$11,商品マスタ!$M$5:$N$5,0)),""))</f>
        <v/>
      </c>
      <c r="Q205" s="143" t="str">
        <f aca="false">IF(OR($C205="",$P205="",$P205=0,(N($I205)+N($AG205))&lt;=0),"",IFERROR(SUMIFS(随時_動員を入れる!$G$8:$G$97,随時_動員を入れる!$B$8:$B$97,"&gt;="&amp;'設定（最初に1回）'!$C$6,随時_動員を入れる!$B$8:$B$97,"&lt;="&amp;'設定（最初に1回）'!$C$6+(N($I205)+N($AG205))-1)/(N($I205)+N($AG205)),0)*$P205/100)</f>
        <v/>
      </c>
      <c r="R205" s="69" t="str">
        <f aca="false">IF($C205="","",SUMIFS(①今日の在庫を貼る!$O$6:$O$10005,①今日の在庫を貼る!$B$6:$B$10005,'設定（最初に1回）'!$C$4,①今日の在庫を貼る!$I$6:$I$10005,$C205))</f>
        <v/>
      </c>
      <c r="S205" s="143" t="str">
        <f aca="false">IF($C205="","",IF('設定（最初に1回）'!$C$9="実績消費",N($O205),IF('設定（最初に1回）'!$C$9="PI値予測",N($Q205),MAX(N($O205),N($Q205)))))</f>
        <v/>
      </c>
      <c r="T205" s="67" t="str">
        <f aca="false">IF(OR($S205="",$S205&lt;=0),"",$K205/$S205)</f>
        <v/>
      </c>
      <c r="U205" s="69" t="str">
        <f aca="false">IF($S205="","",ROUNDUP(N($S205)*'設定（最初に1回）'!$C$12,0))</f>
        <v/>
      </c>
      <c r="V205" s="69" t="str">
        <f aca="false">IF($C205="","",ROUNDUP(N($S205)*(N($I205)+N($AG205))+N($U205),0))</f>
        <v/>
      </c>
      <c r="W205" s="69" t="str">
        <f aca="false">IF($C205="","",SUMIFS(発注管理!$L$6:$L$1005,発注管理!$C$6:$C$1005,'設定（最初に1回）'!$C$4,発注管理!$F$6:$F$1005,$C205,発注管理!$Q$6:$Q$1005,"発注済"))</f>
        <v/>
      </c>
      <c r="X205" s="69" t="str">
        <f aca="false">IF($C205="","",MAX(0,N($V205)-N($K205)-N($W205)))</f>
        <v/>
      </c>
      <c r="Y205" s="147" t="str">
        <f aca="false">IF($C205="","",IF(N($X205)&lt;=0,0,CEILING($X205/MAX(1,N($G205)),MAX(1,N($J205)))))</f>
        <v/>
      </c>
      <c r="Z205" s="138" t="str">
        <f aca="false">IF($C205="","",IF(N($Y205)&gt;0,"要発注","正常"))</f>
        <v/>
      </c>
      <c r="AA205" s="71" t="str">
        <f aca="false">IF($C205="","",N($K205)*N($H205))</f>
        <v/>
      </c>
      <c r="AB205" s="66" t="str">
        <f aca="false">IF($C205="","",_xlfn.TEXTJOIN(" / ",TRUE(),IF(COUNTIF(商品マスタ!$B$6:$B$1005,$C205)=0,"マスタ未登録",""),IF(COUNTIFS(月1回_前回の在庫を貼る!$B$6:$B$10005,'設定（最初に1回）'!$C$4,月1回_前回の在庫を貼る!$I$6:$I$10005,$C205)=0,"新商品",""),IF(COUNTIFS(①今日の在庫を貼る!$B$6:$B$10005,'設定（最初に1回）'!$C$4,①今日の在庫を貼る!$I$6:$I$10005,$C205)=0,"終売候補",""),IF(N($K205)&lt;0,"在庫マイナス",""),IF(AND('設定（最初に1回）'!$C$9="PI値予測",$P205=""),"PI値未設定","")))</f>
        <v/>
      </c>
      <c r="AC205" s="71" t="n">
        <f aca="false">N($Y205)*N($H205)</f>
        <v>0</v>
      </c>
      <c r="AD205" s="66" t="str">
        <f aca="false">IF($C205="","",IFERROR(INDEX(商品マスタ!$K$6:$K$1005,MATCH($C205,商品マスタ!$B$6:$B$1005,0)),"常温"))</f>
        <v/>
      </c>
      <c r="AE205" s="69" t="str">
        <f aca="false">IF($C205="","",MAX(0,ROUNDUP(N($K205)/MAX(1,N($G205)),0)))</f>
        <v/>
      </c>
      <c r="AF205" s="66" t="str">
        <f aca="false">IF($C205="","",IFERROR(INDEX(商品マスタ!$L$6:$L$1005,MATCH($C205,商品マスタ!$B$6:$B$1005,0)),""))</f>
        <v/>
      </c>
      <c r="AG205" s="143" t="str">
        <f aca="false">IF($C205="","",IFERROR(INDEX(定数マスタ!$S$110:$S$119,MATCH($AF205,定数マスタ!$J$110:$J$119,0)),N('設定（最初に1回）'!$C$13)))</f>
        <v/>
      </c>
      <c r="AH205" s="66" t="n">
        <f aca="false">IF(AND(N($K205)&gt;0,N($Y205)&gt;0),N($Y205),0)</f>
        <v>0</v>
      </c>
    </row>
    <row r="206" customFormat="false" ht="15" hidden="false" customHeight="false" outlineLevel="0" collapsed="false">
      <c r="B206" s="66" t="n">
        <v>201</v>
      </c>
      <c r="C206" s="66" t="str">
        <f aca="false">IFERROR(IF($B206&lt;=MAX(①今日の在庫を貼る!$U$6:$U$10005),INDEX(①今日の在庫を貼る!$I$6:$I$10005,MATCH($B206,①今日の在庫を貼る!$U$6:$U$10005,0)),INDEX(月1回_前回の在庫を貼る!$I$6:$I$10005,MATCH($B206-MAX(①今日の在庫を貼る!$U$6:$U$10005),月1回_前回の在庫を貼る!$U$6:$U$10005,0))),"")</f>
        <v/>
      </c>
      <c r="D206" s="66" t="str">
        <f aca="false">IF($C206="","",IFERROR(INDEX(商品マスタ!$C$6:$C$1005,MATCH($C206,商品マスタ!$B$6:$B$1005,0)),IFERROR(INDEX(①今日の在庫を貼る!$J$6:$J$10005,MATCH($C206,①今日の在庫を貼る!$I$6:$I$10005,0)),IFERROR(INDEX(月1回_前回の在庫を貼る!$J$6:$J$10005,MATCH($C206,月1回_前回の在庫を貼る!$I$6:$I$10005,0)),""))))</f>
        <v/>
      </c>
      <c r="E206" s="66" t="str">
        <f aca="false">IF($C206="","",IFERROR(INDEX(商品マスタ!$D$6:$D$1005,MATCH($C206,商品マスタ!$B$6:$B$1005,0)),IFERROR(INDEX(①今日の在庫を貼る!$H$6:$H$10005,MATCH($C206,①今日の在庫を貼る!$I$6:$I$10005,0)),IFERROR(INDEX(月1回_前回の在庫を貼る!$H$6:$H$10005,MATCH($C206,月1回_前回の在庫を貼る!$I$6:$I$10005,0)),""))))</f>
        <v/>
      </c>
      <c r="F206" s="66" t="str">
        <f aca="false">IF($C206="","",IFERROR(INDEX(商品マスタ!$E$6:$E$1005,MATCH($C206,商品マスタ!$B$6:$B$1005,0)),IFERROR(INDEX(①今日の在庫を貼る!$E$6:$E$10005,MATCH($C206,①今日の在庫を貼る!$I$6:$I$10005,0)),IFERROR(INDEX(月1回_前回の在庫を貼る!$E$6:$E$10005,MATCH($C206,月1回_前回の在庫を貼る!$I$6:$I$10005,0)),""))))</f>
        <v/>
      </c>
      <c r="G206" s="69" t="str">
        <f aca="false">IF($C206="","",IFERROR(INDEX(商品マスタ!$F$6:$F$1005,MATCH($C206,商品マスタ!$B$6:$B$1005,0)),IFERROR(INDEX(①今日の在庫を貼る!$K$6:$K$10005,MATCH($C206,①今日の在庫を貼る!$I$6:$I$10005,0)),IFERROR(INDEX(月1回_前回の在庫を貼る!$K$6:$K$10005,MATCH($C206,月1回_前回の在庫を貼る!$I$6:$I$10005,0)),""))))</f>
        <v/>
      </c>
      <c r="H206" s="71" t="str">
        <f aca="false">IF($C206="","",IFERROR(INDEX(商品マスタ!$G$6:$G$1005,MATCH($C206,商品マスタ!$B$6:$B$1005,0)),IFERROR(INDEX(①今日の在庫を貼る!$Q$6:$Q$10005,MATCH($C206,①今日の在庫を貼る!$I$6:$I$10005,0)),IFERROR(INDEX(月1回_前回の在庫を貼る!$Q$6:$Q$10005,MATCH($C206,月1回_前回の在庫を貼る!$I$6:$I$10005,0)),""))))</f>
        <v/>
      </c>
      <c r="I206" s="66" t="str">
        <f aca="false">IF($C206="","",IFERROR(INDEX(商品マスタ!$H$6:$H$1005,MATCH($C206,商品マスタ!$B$6:$B$1005,0)),3))</f>
        <v/>
      </c>
      <c r="J206" s="66" t="str">
        <f aca="false">IF($C206="","",MAX(1,IFERROR(INDEX(商品マスタ!$I$6:$I$1005,MATCH($C206,商品マスタ!$B$6:$B$1005,0)),1)))</f>
        <v/>
      </c>
      <c r="K206" s="69" t="str">
        <f aca="false">IF($C206="","",SUMIFS(①今日の在庫を貼る!$N$6:$N$10005,①今日の在庫を貼る!$B$6:$B$10005,'設定（最初に1回）'!$C$4,①今日の在庫を貼る!$I$6:$I$10005,$C206))</f>
        <v/>
      </c>
      <c r="L206" s="69" t="str">
        <f aca="false">IF($C206="","",SUMIFS(月1回_前回の在庫を貼る!$N$6:$N$10005,月1回_前回の在庫を貼る!$B$6:$B$10005,'設定（最初に1回）'!$C$4,月1回_前回の在庫を貼る!$I$6:$I$10005,$C206))</f>
        <v/>
      </c>
      <c r="M206" s="69" t="str">
        <f aca="false">IF($C206="","",IF(OR('設定（最初に1回）'!$C$6="",'設定（最初に1回）'!$C$7=""),0,SUMIFS(発注管理!$S$6:$S$1005,発注管理!$C$6:$C$1005,'設定（最初に1回）'!$C$4,発注管理!$F$6:$F$1005,$C206,発注管理!$R$6:$R$1005,"&gt;="&amp;'設定（最初に1回）'!$C$7,発注管理!$R$6:$R$1005,"&lt;="&amp;'設定（最初に1回）'!$C$6)))</f>
        <v/>
      </c>
      <c r="N206" s="69" t="str">
        <f aca="false">IF(OR($C206="",'設定（最初に1回）'!$C$15=0),"",$L206+$M206-$K206)</f>
        <v/>
      </c>
      <c r="O206" s="143" t="str">
        <f aca="false">IF(OR($N206="",'設定（最初に1回）'!$C$8="",'設定（最初に1回）'!$C$8&lt;=0),"",MAX(0,$N206)/'設定（最初に1回）'!$C$8)</f>
        <v/>
      </c>
      <c r="P206" s="143" t="str">
        <f aca="false">IF($C206="","",IFERROR(INDEX(商品マスタ!$M$6:$N$1005,MATCH($C206,商品マスタ!$B$6:$B$1005,0),MATCH("PI値 "&amp;'設定（最初に1回）'!$C$11,商品マスタ!$M$5:$N$5,0)),""))</f>
        <v/>
      </c>
      <c r="Q206" s="143" t="str">
        <f aca="false">IF(OR($C206="",$P206="",$P206=0,(N($I206)+N($AG206))&lt;=0),"",IFERROR(SUMIFS(随時_動員を入れる!$G$8:$G$97,随時_動員を入れる!$B$8:$B$97,"&gt;="&amp;'設定（最初に1回）'!$C$6,随時_動員を入れる!$B$8:$B$97,"&lt;="&amp;'設定（最初に1回）'!$C$6+(N($I206)+N($AG206))-1)/(N($I206)+N($AG206)),0)*$P206/100)</f>
        <v/>
      </c>
      <c r="R206" s="69" t="str">
        <f aca="false">IF($C206="","",SUMIFS(①今日の在庫を貼る!$O$6:$O$10005,①今日の在庫を貼る!$B$6:$B$10005,'設定（最初に1回）'!$C$4,①今日の在庫を貼る!$I$6:$I$10005,$C206))</f>
        <v/>
      </c>
      <c r="S206" s="143" t="str">
        <f aca="false">IF($C206="","",IF('設定（最初に1回）'!$C$9="実績消費",N($O206),IF('設定（最初に1回）'!$C$9="PI値予測",N($Q206),MAX(N($O206),N($Q206)))))</f>
        <v/>
      </c>
      <c r="T206" s="67" t="str">
        <f aca="false">IF(OR($S206="",$S206&lt;=0),"",$K206/$S206)</f>
        <v/>
      </c>
      <c r="U206" s="69" t="str">
        <f aca="false">IF($S206="","",ROUNDUP(N($S206)*'設定（最初に1回）'!$C$12,0))</f>
        <v/>
      </c>
      <c r="V206" s="69" t="str">
        <f aca="false">IF($C206="","",ROUNDUP(N($S206)*(N($I206)+N($AG206))+N($U206),0))</f>
        <v/>
      </c>
      <c r="W206" s="69" t="str">
        <f aca="false">IF($C206="","",SUMIFS(発注管理!$L$6:$L$1005,発注管理!$C$6:$C$1005,'設定（最初に1回）'!$C$4,発注管理!$F$6:$F$1005,$C206,発注管理!$Q$6:$Q$1005,"発注済"))</f>
        <v/>
      </c>
      <c r="X206" s="69" t="str">
        <f aca="false">IF($C206="","",MAX(0,N($V206)-N($K206)-N($W206)))</f>
        <v/>
      </c>
      <c r="Y206" s="147" t="str">
        <f aca="false">IF($C206="","",IF(N($X206)&lt;=0,0,CEILING($X206/MAX(1,N($G206)),MAX(1,N($J206)))))</f>
        <v/>
      </c>
      <c r="Z206" s="138" t="str">
        <f aca="false">IF($C206="","",IF(N($Y206)&gt;0,"要発注","正常"))</f>
        <v/>
      </c>
      <c r="AA206" s="71" t="str">
        <f aca="false">IF($C206="","",N($K206)*N($H206))</f>
        <v/>
      </c>
      <c r="AB206" s="66" t="str">
        <f aca="false">IF($C206="","",_xlfn.TEXTJOIN(" / ",TRUE(),IF(COUNTIF(商品マスタ!$B$6:$B$1005,$C206)=0,"マスタ未登録",""),IF(COUNTIFS(月1回_前回の在庫を貼る!$B$6:$B$10005,'設定（最初に1回）'!$C$4,月1回_前回の在庫を貼る!$I$6:$I$10005,$C206)=0,"新商品",""),IF(COUNTIFS(①今日の在庫を貼る!$B$6:$B$10005,'設定（最初に1回）'!$C$4,①今日の在庫を貼る!$I$6:$I$10005,$C206)=0,"終売候補",""),IF(N($K206)&lt;0,"在庫マイナス",""),IF(AND('設定（最初に1回）'!$C$9="PI値予測",$P206=""),"PI値未設定","")))</f>
        <v/>
      </c>
      <c r="AC206" s="71" t="n">
        <f aca="false">N($Y206)*N($H206)</f>
        <v>0</v>
      </c>
      <c r="AD206" s="66" t="str">
        <f aca="false">IF($C206="","",IFERROR(INDEX(商品マスタ!$K$6:$K$1005,MATCH($C206,商品マスタ!$B$6:$B$1005,0)),"常温"))</f>
        <v/>
      </c>
      <c r="AE206" s="69" t="str">
        <f aca="false">IF($C206="","",MAX(0,ROUNDUP(N($K206)/MAX(1,N($G206)),0)))</f>
        <v/>
      </c>
      <c r="AF206" s="66" t="str">
        <f aca="false">IF($C206="","",IFERROR(INDEX(商品マスタ!$L$6:$L$1005,MATCH($C206,商品マスタ!$B$6:$B$1005,0)),""))</f>
        <v/>
      </c>
      <c r="AG206" s="143" t="str">
        <f aca="false">IF($C206="","",IFERROR(INDEX(定数マスタ!$S$110:$S$119,MATCH($AF206,定数マスタ!$J$110:$J$119,0)),N('設定（最初に1回）'!$C$13)))</f>
        <v/>
      </c>
      <c r="AH206" s="66" t="n">
        <f aca="false">IF(AND(N($K206)&gt;0,N($Y206)&gt;0),N($Y206),0)</f>
        <v>0</v>
      </c>
    </row>
    <row r="207" customFormat="false" ht="15" hidden="false" customHeight="false" outlineLevel="0" collapsed="false">
      <c r="B207" s="66" t="n">
        <v>202</v>
      </c>
      <c r="C207" s="66" t="str">
        <f aca="false">IFERROR(IF($B207&lt;=MAX(①今日の在庫を貼る!$U$6:$U$10005),INDEX(①今日の在庫を貼る!$I$6:$I$10005,MATCH($B207,①今日の在庫を貼る!$U$6:$U$10005,0)),INDEX(月1回_前回の在庫を貼る!$I$6:$I$10005,MATCH($B207-MAX(①今日の在庫を貼る!$U$6:$U$10005),月1回_前回の在庫を貼る!$U$6:$U$10005,0))),"")</f>
        <v/>
      </c>
      <c r="D207" s="66" t="str">
        <f aca="false">IF($C207="","",IFERROR(INDEX(商品マスタ!$C$6:$C$1005,MATCH($C207,商品マスタ!$B$6:$B$1005,0)),IFERROR(INDEX(①今日の在庫を貼る!$J$6:$J$10005,MATCH($C207,①今日の在庫を貼る!$I$6:$I$10005,0)),IFERROR(INDEX(月1回_前回の在庫を貼る!$J$6:$J$10005,MATCH($C207,月1回_前回の在庫を貼る!$I$6:$I$10005,0)),""))))</f>
        <v/>
      </c>
      <c r="E207" s="66" t="str">
        <f aca="false">IF($C207="","",IFERROR(INDEX(商品マスタ!$D$6:$D$1005,MATCH($C207,商品マスタ!$B$6:$B$1005,0)),IFERROR(INDEX(①今日の在庫を貼る!$H$6:$H$10005,MATCH($C207,①今日の在庫を貼る!$I$6:$I$10005,0)),IFERROR(INDEX(月1回_前回の在庫を貼る!$H$6:$H$10005,MATCH($C207,月1回_前回の在庫を貼る!$I$6:$I$10005,0)),""))))</f>
        <v/>
      </c>
      <c r="F207" s="66" t="str">
        <f aca="false">IF($C207="","",IFERROR(INDEX(商品マスタ!$E$6:$E$1005,MATCH($C207,商品マスタ!$B$6:$B$1005,0)),IFERROR(INDEX(①今日の在庫を貼る!$E$6:$E$10005,MATCH($C207,①今日の在庫を貼る!$I$6:$I$10005,0)),IFERROR(INDEX(月1回_前回の在庫を貼る!$E$6:$E$10005,MATCH($C207,月1回_前回の在庫を貼る!$I$6:$I$10005,0)),""))))</f>
        <v/>
      </c>
      <c r="G207" s="69" t="str">
        <f aca="false">IF($C207="","",IFERROR(INDEX(商品マスタ!$F$6:$F$1005,MATCH($C207,商品マスタ!$B$6:$B$1005,0)),IFERROR(INDEX(①今日の在庫を貼る!$K$6:$K$10005,MATCH($C207,①今日の在庫を貼る!$I$6:$I$10005,0)),IFERROR(INDEX(月1回_前回の在庫を貼る!$K$6:$K$10005,MATCH($C207,月1回_前回の在庫を貼る!$I$6:$I$10005,0)),""))))</f>
        <v/>
      </c>
      <c r="H207" s="71" t="str">
        <f aca="false">IF($C207="","",IFERROR(INDEX(商品マスタ!$G$6:$G$1005,MATCH($C207,商品マスタ!$B$6:$B$1005,0)),IFERROR(INDEX(①今日の在庫を貼る!$Q$6:$Q$10005,MATCH($C207,①今日の在庫を貼る!$I$6:$I$10005,0)),IFERROR(INDEX(月1回_前回の在庫を貼る!$Q$6:$Q$10005,MATCH($C207,月1回_前回の在庫を貼る!$I$6:$I$10005,0)),""))))</f>
        <v/>
      </c>
      <c r="I207" s="66" t="str">
        <f aca="false">IF($C207="","",IFERROR(INDEX(商品マスタ!$H$6:$H$1005,MATCH($C207,商品マスタ!$B$6:$B$1005,0)),3))</f>
        <v/>
      </c>
      <c r="J207" s="66" t="str">
        <f aca="false">IF($C207="","",MAX(1,IFERROR(INDEX(商品マスタ!$I$6:$I$1005,MATCH($C207,商品マスタ!$B$6:$B$1005,0)),1)))</f>
        <v/>
      </c>
      <c r="K207" s="69" t="str">
        <f aca="false">IF($C207="","",SUMIFS(①今日の在庫を貼る!$N$6:$N$10005,①今日の在庫を貼る!$B$6:$B$10005,'設定（最初に1回）'!$C$4,①今日の在庫を貼る!$I$6:$I$10005,$C207))</f>
        <v/>
      </c>
      <c r="L207" s="69" t="str">
        <f aca="false">IF($C207="","",SUMIFS(月1回_前回の在庫を貼る!$N$6:$N$10005,月1回_前回の在庫を貼る!$B$6:$B$10005,'設定（最初に1回）'!$C$4,月1回_前回の在庫を貼る!$I$6:$I$10005,$C207))</f>
        <v/>
      </c>
      <c r="M207" s="69" t="str">
        <f aca="false">IF($C207="","",IF(OR('設定（最初に1回）'!$C$6="",'設定（最初に1回）'!$C$7=""),0,SUMIFS(発注管理!$S$6:$S$1005,発注管理!$C$6:$C$1005,'設定（最初に1回）'!$C$4,発注管理!$F$6:$F$1005,$C207,発注管理!$R$6:$R$1005,"&gt;="&amp;'設定（最初に1回）'!$C$7,発注管理!$R$6:$R$1005,"&lt;="&amp;'設定（最初に1回）'!$C$6)))</f>
        <v/>
      </c>
      <c r="N207" s="69" t="str">
        <f aca="false">IF(OR($C207="",'設定（最初に1回）'!$C$15=0),"",$L207+$M207-$K207)</f>
        <v/>
      </c>
      <c r="O207" s="143" t="str">
        <f aca="false">IF(OR($N207="",'設定（最初に1回）'!$C$8="",'設定（最初に1回）'!$C$8&lt;=0),"",MAX(0,$N207)/'設定（最初に1回）'!$C$8)</f>
        <v/>
      </c>
      <c r="P207" s="143" t="str">
        <f aca="false">IF($C207="","",IFERROR(INDEX(商品マスタ!$M$6:$N$1005,MATCH($C207,商品マスタ!$B$6:$B$1005,0),MATCH("PI値 "&amp;'設定（最初に1回）'!$C$11,商品マスタ!$M$5:$N$5,0)),""))</f>
        <v/>
      </c>
      <c r="Q207" s="143" t="str">
        <f aca="false">IF(OR($C207="",$P207="",$P207=0,(N($I207)+N($AG207))&lt;=0),"",IFERROR(SUMIFS(随時_動員を入れる!$G$8:$G$97,随時_動員を入れる!$B$8:$B$97,"&gt;="&amp;'設定（最初に1回）'!$C$6,随時_動員を入れる!$B$8:$B$97,"&lt;="&amp;'設定（最初に1回）'!$C$6+(N($I207)+N($AG207))-1)/(N($I207)+N($AG207)),0)*$P207/100)</f>
        <v/>
      </c>
      <c r="R207" s="69" t="str">
        <f aca="false">IF($C207="","",SUMIFS(①今日の在庫を貼る!$O$6:$O$10005,①今日の在庫を貼る!$B$6:$B$10005,'設定（最初に1回）'!$C$4,①今日の在庫を貼る!$I$6:$I$10005,$C207))</f>
        <v/>
      </c>
      <c r="S207" s="143" t="str">
        <f aca="false">IF($C207="","",IF('設定（最初に1回）'!$C$9="実績消費",N($O207),IF('設定（最初に1回）'!$C$9="PI値予測",N($Q207),MAX(N($O207),N($Q207)))))</f>
        <v/>
      </c>
      <c r="T207" s="67" t="str">
        <f aca="false">IF(OR($S207="",$S207&lt;=0),"",$K207/$S207)</f>
        <v/>
      </c>
      <c r="U207" s="69" t="str">
        <f aca="false">IF($S207="","",ROUNDUP(N($S207)*'設定（最初に1回）'!$C$12,0))</f>
        <v/>
      </c>
      <c r="V207" s="69" t="str">
        <f aca="false">IF($C207="","",ROUNDUP(N($S207)*(N($I207)+N($AG207))+N($U207),0))</f>
        <v/>
      </c>
      <c r="W207" s="69" t="str">
        <f aca="false">IF($C207="","",SUMIFS(発注管理!$L$6:$L$1005,発注管理!$C$6:$C$1005,'設定（最初に1回）'!$C$4,発注管理!$F$6:$F$1005,$C207,発注管理!$Q$6:$Q$1005,"発注済"))</f>
        <v/>
      </c>
      <c r="X207" s="69" t="str">
        <f aca="false">IF($C207="","",MAX(0,N($V207)-N($K207)-N($W207)))</f>
        <v/>
      </c>
      <c r="Y207" s="147" t="str">
        <f aca="false">IF($C207="","",IF(N($X207)&lt;=0,0,CEILING($X207/MAX(1,N($G207)),MAX(1,N($J207)))))</f>
        <v/>
      </c>
      <c r="Z207" s="138" t="str">
        <f aca="false">IF($C207="","",IF(N($Y207)&gt;0,"要発注","正常"))</f>
        <v/>
      </c>
      <c r="AA207" s="71" t="str">
        <f aca="false">IF($C207="","",N($K207)*N($H207))</f>
        <v/>
      </c>
      <c r="AB207" s="66" t="str">
        <f aca="false">IF($C207="","",_xlfn.TEXTJOIN(" / ",TRUE(),IF(COUNTIF(商品マスタ!$B$6:$B$1005,$C207)=0,"マスタ未登録",""),IF(COUNTIFS(月1回_前回の在庫を貼る!$B$6:$B$10005,'設定（最初に1回）'!$C$4,月1回_前回の在庫を貼る!$I$6:$I$10005,$C207)=0,"新商品",""),IF(COUNTIFS(①今日の在庫を貼る!$B$6:$B$10005,'設定（最初に1回）'!$C$4,①今日の在庫を貼る!$I$6:$I$10005,$C207)=0,"終売候補",""),IF(N($K207)&lt;0,"在庫マイナス",""),IF(AND('設定（最初に1回）'!$C$9="PI値予測",$P207=""),"PI値未設定","")))</f>
        <v/>
      </c>
      <c r="AC207" s="71" t="n">
        <f aca="false">N($Y207)*N($H207)</f>
        <v>0</v>
      </c>
      <c r="AD207" s="66" t="str">
        <f aca="false">IF($C207="","",IFERROR(INDEX(商品マスタ!$K$6:$K$1005,MATCH($C207,商品マスタ!$B$6:$B$1005,0)),"常温"))</f>
        <v/>
      </c>
      <c r="AE207" s="69" t="str">
        <f aca="false">IF($C207="","",MAX(0,ROUNDUP(N($K207)/MAX(1,N($G207)),0)))</f>
        <v/>
      </c>
      <c r="AF207" s="66" t="str">
        <f aca="false">IF($C207="","",IFERROR(INDEX(商品マスタ!$L$6:$L$1005,MATCH($C207,商品マスタ!$B$6:$B$1005,0)),""))</f>
        <v/>
      </c>
      <c r="AG207" s="143" t="str">
        <f aca="false">IF($C207="","",IFERROR(INDEX(定数マスタ!$S$110:$S$119,MATCH($AF207,定数マスタ!$J$110:$J$119,0)),N('設定（最初に1回）'!$C$13)))</f>
        <v/>
      </c>
      <c r="AH207" s="66" t="n">
        <f aca="false">IF(AND(N($K207)&gt;0,N($Y207)&gt;0),N($Y207),0)</f>
        <v>0</v>
      </c>
    </row>
    <row r="208" customFormat="false" ht="15" hidden="false" customHeight="false" outlineLevel="0" collapsed="false">
      <c r="B208" s="66" t="n">
        <v>203</v>
      </c>
      <c r="C208" s="66" t="str">
        <f aca="false">IFERROR(IF($B208&lt;=MAX(①今日の在庫を貼る!$U$6:$U$10005),INDEX(①今日の在庫を貼る!$I$6:$I$10005,MATCH($B208,①今日の在庫を貼る!$U$6:$U$10005,0)),INDEX(月1回_前回の在庫を貼る!$I$6:$I$10005,MATCH($B208-MAX(①今日の在庫を貼る!$U$6:$U$10005),月1回_前回の在庫を貼る!$U$6:$U$10005,0))),"")</f>
        <v/>
      </c>
      <c r="D208" s="66" t="str">
        <f aca="false">IF($C208="","",IFERROR(INDEX(商品マスタ!$C$6:$C$1005,MATCH($C208,商品マスタ!$B$6:$B$1005,0)),IFERROR(INDEX(①今日の在庫を貼る!$J$6:$J$10005,MATCH($C208,①今日の在庫を貼る!$I$6:$I$10005,0)),IFERROR(INDEX(月1回_前回の在庫を貼る!$J$6:$J$10005,MATCH($C208,月1回_前回の在庫を貼る!$I$6:$I$10005,0)),""))))</f>
        <v/>
      </c>
      <c r="E208" s="66" t="str">
        <f aca="false">IF($C208="","",IFERROR(INDEX(商品マスタ!$D$6:$D$1005,MATCH($C208,商品マスタ!$B$6:$B$1005,0)),IFERROR(INDEX(①今日の在庫を貼る!$H$6:$H$10005,MATCH($C208,①今日の在庫を貼る!$I$6:$I$10005,0)),IFERROR(INDEX(月1回_前回の在庫を貼る!$H$6:$H$10005,MATCH($C208,月1回_前回の在庫を貼る!$I$6:$I$10005,0)),""))))</f>
        <v/>
      </c>
      <c r="F208" s="66" t="str">
        <f aca="false">IF($C208="","",IFERROR(INDEX(商品マスタ!$E$6:$E$1005,MATCH($C208,商品マスタ!$B$6:$B$1005,0)),IFERROR(INDEX(①今日の在庫を貼る!$E$6:$E$10005,MATCH($C208,①今日の在庫を貼る!$I$6:$I$10005,0)),IFERROR(INDEX(月1回_前回の在庫を貼る!$E$6:$E$10005,MATCH($C208,月1回_前回の在庫を貼る!$I$6:$I$10005,0)),""))))</f>
        <v/>
      </c>
      <c r="G208" s="69" t="str">
        <f aca="false">IF($C208="","",IFERROR(INDEX(商品マスタ!$F$6:$F$1005,MATCH($C208,商品マスタ!$B$6:$B$1005,0)),IFERROR(INDEX(①今日の在庫を貼る!$K$6:$K$10005,MATCH($C208,①今日の在庫を貼る!$I$6:$I$10005,0)),IFERROR(INDEX(月1回_前回の在庫を貼る!$K$6:$K$10005,MATCH($C208,月1回_前回の在庫を貼る!$I$6:$I$10005,0)),""))))</f>
        <v/>
      </c>
      <c r="H208" s="71" t="str">
        <f aca="false">IF($C208="","",IFERROR(INDEX(商品マスタ!$G$6:$G$1005,MATCH($C208,商品マスタ!$B$6:$B$1005,0)),IFERROR(INDEX(①今日の在庫を貼る!$Q$6:$Q$10005,MATCH($C208,①今日の在庫を貼る!$I$6:$I$10005,0)),IFERROR(INDEX(月1回_前回の在庫を貼る!$Q$6:$Q$10005,MATCH($C208,月1回_前回の在庫を貼る!$I$6:$I$10005,0)),""))))</f>
        <v/>
      </c>
      <c r="I208" s="66" t="str">
        <f aca="false">IF($C208="","",IFERROR(INDEX(商品マスタ!$H$6:$H$1005,MATCH($C208,商品マスタ!$B$6:$B$1005,0)),3))</f>
        <v/>
      </c>
      <c r="J208" s="66" t="str">
        <f aca="false">IF($C208="","",MAX(1,IFERROR(INDEX(商品マスタ!$I$6:$I$1005,MATCH($C208,商品マスタ!$B$6:$B$1005,0)),1)))</f>
        <v/>
      </c>
      <c r="K208" s="69" t="str">
        <f aca="false">IF($C208="","",SUMIFS(①今日の在庫を貼る!$N$6:$N$10005,①今日の在庫を貼る!$B$6:$B$10005,'設定（最初に1回）'!$C$4,①今日の在庫を貼る!$I$6:$I$10005,$C208))</f>
        <v/>
      </c>
      <c r="L208" s="69" t="str">
        <f aca="false">IF($C208="","",SUMIFS(月1回_前回の在庫を貼る!$N$6:$N$10005,月1回_前回の在庫を貼る!$B$6:$B$10005,'設定（最初に1回）'!$C$4,月1回_前回の在庫を貼る!$I$6:$I$10005,$C208))</f>
        <v/>
      </c>
      <c r="M208" s="69" t="str">
        <f aca="false">IF($C208="","",IF(OR('設定（最初に1回）'!$C$6="",'設定（最初に1回）'!$C$7=""),0,SUMIFS(発注管理!$S$6:$S$1005,発注管理!$C$6:$C$1005,'設定（最初に1回）'!$C$4,発注管理!$F$6:$F$1005,$C208,発注管理!$R$6:$R$1005,"&gt;="&amp;'設定（最初に1回）'!$C$7,発注管理!$R$6:$R$1005,"&lt;="&amp;'設定（最初に1回）'!$C$6)))</f>
        <v/>
      </c>
      <c r="N208" s="69" t="str">
        <f aca="false">IF(OR($C208="",'設定（最初に1回）'!$C$15=0),"",$L208+$M208-$K208)</f>
        <v/>
      </c>
      <c r="O208" s="143" t="str">
        <f aca="false">IF(OR($N208="",'設定（最初に1回）'!$C$8="",'設定（最初に1回）'!$C$8&lt;=0),"",MAX(0,$N208)/'設定（最初に1回）'!$C$8)</f>
        <v/>
      </c>
      <c r="P208" s="143" t="str">
        <f aca="false">IF($C208="","",IFERROR(INDEX(商品マスタ!$M$6:$N$1005,MATCH($C208,商品マスタ!$B$6:$B$1005,0),MATCH("PI値 "&amp;'設定（最初に1回）'!$C$11,商品マスタ!$M$5:$N$5,0)),""))</f>
        <v/>
      </c>
      <c r="Q208" s="143" t="str">
        <f aca="false">IF(OR($C208="",$P208="",$P208=0,(N($I208)+N($AG208))&lt;=0),"",IFERROR(SUMIFS(随時_動員を入れる!$G$8:$G$97,随時_動員を入れる!$B$8:$B$97,"&gt;="&amp;'設定（最初に1回）'!$C$6,随時_動員を入れる!$B$8:$B$97,"&lt;="&amp;'設定（最初に1回）'!$C$6+(N($I208)+N($AG208))-1)/(N($I208)+N($AG208)),0)*$P208/100)</f>
        <v/>
      </c>
      <c r="R208" s="69" t="str">
        <f aca="false">IF($C208="","",SUMIFS(①今日の在庫を貼る!$O$6:$O$10005,①今日の在庫を貼る!$B$6:$B$10005,'設定（最初に1回）'!$C$4,①今日の在庫を貼る!$I$6:$I$10005,$C208))</f>
        <v/>
      </c>
      <c r="S208" s="143" t="str">
        <f aca="false">IF($C208="","",IF('設定（最初に1回）'!$C$9="実績消費",N($O208),IF('設定（最初に1回）'!$C$9="PI値予測",N($Q208),MAX(N($O208),N($Q208)))))</f>
        <v/>
      </c>
      <c r="T208" s="67" t="str">
        <f aca="false">IF(OR($S208="",$S208&lt;=0),"",$K208/$S208)</f>
        <v/>
      </c>
      <c r="U208" s="69" t="str">
        <f aca="false">IF($S208="","",ROUNDUP(N($S208)*'設定（最初に1回）'!$C$12,0))</f>
        <v/>
      </c>
      <c r="V208" s="69" t="str">
        <f aca="false">IF($C208="","",ROUNDUP(N($S208)*(N($I208)+N($AG208))+N($U208),0))</f>
        <v/>
      </c>
      <c r="W208" s="69" t="str">
        <f aca="false">IF($C208="","",SUMIFS(発注管理!$L$6:$L$1005,発注管理!$C$6:$C$1005,'設定（最初に1回）'!$C$4,発注管理!$F$6:$F$1005,$C208,発注管理!$Q$6:$Q$1005,"発注済"))</f>
        <v/>
      </c>
      <c r="X208" s="69" t="str">
        <f aca="false">IF($C208="","",MAX(0,N($V208)-N($K208)-N($W208)))</f>
        <v/>
      </c>
      <c r="Y208" s="147" t="str">
        <f aca="false">IF($C208="","",IF(N($X208)&lt;=0,0,CEILING($X208/MAX(1,N($G208)),MAX(1,N($J208)))))</f>
        <v/>
      </c>
      <c r="Z208" s="138" t="str">
        <f aca="false">IF($C208="","",IF(N($Y208)&gt;0,"要発注","正常"))</f>
        <v/>
      </c>
      <c r="AA208" s="71" t="str">
        <f aca="false">IF($C208="","",N($K208)*N($H208))</f>
        <v/>
      </c>
      <c r="AB208" s="66" t="str">
        <f aca="false">IF($C208="","",_xlfn.TEXTJOIN(" / ",TRUE(),IF(COUNTIF(商品マスタ!$B$6:$B$1005,$C208)=0,"マスタ未登録",""),IF(COUNTIFS(月1回_前回の在庫を貼る!$B$6:$B$10005,'設定（最初に1回）'!$C$4,月1回_前回の在庫を貼る!$I$6:$I$10005,$C208)=0,"新商品",""),IF(COUNTIFS(①今日の在庫を貼る!$B$6:$B$10005,'設定（最初に1回）'!$C$4,①今日の在庫を貼る!$I$6:$I$10005,$C208)=0,"終売候補",""),IF(N($K208)&lt;0,"在庫マイナス",""),IF(AND('設定（最初に1回）'!$C$9="PI値予測",$P208=""),"PI値未設定","")))</f>
        <v/>
      </c>
      <c r="AC208" s="71" t="n">
        <f aca="false">N($Y208)*N($H208)</f>
        <v>0</v>
      </c>
      <c r="AD208" s="66" t="str">
        <f aca="false">IF($C208="","",IFERROR(INDEX(商品マスタ!$K$6:$K$1005,MATCH($C208,商品マスタ!$B$6:$B$1005,0)),"常温"))</f>
        <v/>
      </c>
      <c r="AE208" s="69" t="str">
        <f aca="false">IF($C208="","",MAX(0,ROUNDUP(N($K208)/MAX(1,N($G208)),0)))</f>
        <v/>
      </c>
      <c r="AF208" s="66" t="str">
        <f aca="false">IF($C208="","",IFERROR(INDEX(商品マスタ!$L$6:$L$1005,MATCH($C208,商品マスタ!$B$6:$B$1005,0)),""))</f>
        <v/>
      </c>
      <c r="AG208" s="143" t="str">
        <f aca="false">IF($C208="","",IFERROR(INDEX(定数マスタ!$S$110:$S$119,MATCH($AF208,定数マスタ!$J$110:$J$119,0)),N('設定（最初に1回）'!$C$13)))</f>
        <v/>
      </c>
      <c r="AH208" s="66" t="n">
        <f aca="false">IF(AND(N($K208)&gt;0,N($Y208)&gt;0),N($Y208),0)</f>
        <v>0</v>
      </c>
    </row>
    <row r="209" customFormat="false" ht="15" hidden="false" customHeight="false" outlineLevel="0" collapsed="false">
      <c r="B209" s="66" t="n">
        <v>204</v>
      </c>
      <c r="C209" s="66" t="str">
        <f aca="false">IFERROR(IF($B209&lt;=MAX(①今日の在庫を貼る!$U$6:$U$10005),INDEX(①今日の在庫を貼る!$I$6:$I$10005,MATCH($B209,①今日の在庫を貼る!$U$6:$U$10005,0)),INDEX(月1回_前回の在庫を貼る!$I$6:$I$10005,MATCH($B209-MAX(①今日の在庫を貼る!$U$6:$U$10005),月1回_前回の在庫を貼る!$U$6:$U$10005,0))),"")</f>
        <v/>
      </c>
      <c r="D209" s="66" t="str">
        <f aca="false">IF($C209="","",IFERROR(INDEX(商品マスタ!$C$6:$C$1005,MATCH($C209,商品マスタ!$B$6:$B$1005,0)),IFERROR(INDEX(①今日の在庫を貼る!$J$6:$J$10005,MATCH($C209,①今日の在庫を貼る!$I$6:$I$10005,0)),IFERROR(INDEX(月1回_前回の在庫を貼る!$J$6:$J$10005,MATCH($C209,月1回_前回の在庫を貼る!$I$6:$I$10005,0)),""))))</f>
        <v/>
      </c>
      <c r="E209" s="66" t="str">
        <f aca="false">IF($C209="","",IFERROR(INDEX(商品マスタ!$D$6:$D$1005,MATCH($C209,商品マスタ!$B$6:$B$1005,0)),IFERROR(INDEX(①今日の在庫を貼る!$H$6:$H$10005,MATCH($C209,①今日の在庫を貼る!$I$6:$I$10005,0)),IFERROR(INDEX(月1回_前回の在庫を貼る!$H$6:$H$10005,MATCH($C209,月1回_前回の在庫を貼る!$I$6:$I$10005,0)),""))))</f>
        <v/>
      </c>
      <c r="F209" s="66" t="str">
        <f aca="false">IF($C209="","",IFERROR(INDEX(商品マスタ!$E$6:$E$1005,MATCH($C209,商品マスタ!$B$6:$B$1005,0)),IFERROR(INDEX(①今日の在庫を貼る!$E$6:$E$10005,MATCH($C209,①今日の在庫を貼る!$I$6:$I$10005,0)),IFERROR(INDEX(月1回_前回の在庫を貼る!$E$6:$E$10005,MATCH($C209,月1回_前回の在庫を貼る!$I$6:$I$10005,0)),""))))</f>
        <v/>
      </c>
      <c r="G209" s="69" t="str">
        <f aca="false">IF($C209="","",IFERROR(INDEX(商品マスタ!$F$6:$F$1005,MATCH($C209,商品マスタ!$B$6:$B$1005,0)),IFERROR(INDEX(①今日の在庫を貼る!$K$6:$K$10005,MATCH($C209,①今日の在庫を貼る!$I$6:$I$10005,0)),IFERROR(INDEX(月1回_前回の在庫を貼る!$K$6:$K$10005,MATCH($C209,月1回_前回の在庫を貼る!$I$6:$I$10005,0)),""))))</f>
        <v/>
      </c>
      <c r="H209" s="71" t="str">
        <f aca="false">IF($C209="","",IFERROR(INDEX(商品マスタ!$G$6:$G$1005,MATCH($C209,商品マスタ!$B$6:$B$1005,0)),IFERROR(INDEX(①今日の在庫を貼る!$Q$6:$Q$10005,MATCH($C209,①今日の在庫を貼る!$I$6:$I$10005,0)),IFERROR(INDEX(月1回_前回の在庫を貼る!$Q$6:$Q$10005,MATCH($C209,月1回_前回の在庫を貼る!$I$6:$I$10005,0)),""))))</f>
        <v/>
      </c>
      <c r="I209" s="66" t="str">
        <f aca="false">IF($C209="","",IFERROR(INDEX(商品マスタ!$H$6:$H$1005,MATCH($C209,商品マスタ!$B$6:$B$1005,0)),3))</f>
        <v/>
      </c>
      <c r="J209" s="66" t="str">
        <f aca="false">IF($C209="","",MAX(1,IFERROR(INDEX(商品マスタ!$I$6:$I$1005,MATCH($C209,商品マスタ!$B$6:$B$1005,0)),1)))</f>
        <v/>
      </c>
      <c r="K209" s="69" t="str">
        <f aca="false">IF($C209="","",SUMIFS(①今日の在庫を貼る!$N$6:$N$10005,①今日の在庫を貼る!$B$6:$B$10005,'設定（最初に1回）'!$C$4,①今日の在庫を貼る!$I$6:$I$10005,$C209))</f>
        <v/>
      </c>
      <c r="L209" s="69" t="str">
        <f aca="false">IF($C209="","",SUMIFS(月1回_前回の在庫を貼る!$N$6:$N$10005,月1回_前回の在庫を貼る!$B$6:$B$10005,'設定（最初に1回）'!$C$4,月1回_前回の在庫を貼る!$I$6:$I$10005,$C209))</f>
        <v/>
      </c>
      <c r="M209" s="69" t="str">
        <f aca="false">IF($C209="","",IF(OR('設定（最初に1回）'!$C$6="",'設定（最初に1回）'!$C$7=""),0,SUMIFS(発注管理!$S$6:$S$1005,発注管理!$C$6:$C$1005,'設定（最初に1回）'!$C$4,発注管理!$F$6:$F$1005,$C209,発注管理!$R$6:$R$1005,"&gt;="&amp;'設定（最初に1回）'!$C$7,発注管理!$R$6:$R$1005,"&lt;="&amp;'設定（最初に1回）'!$C$6)))</f>
        <v/>
      </c>
      <c r="N209" s="69" t="str">
        <f aca="false">IF(OR($C209="",'設定（最初に1回）'!$C$15=0),"",$L209+$M209-$K209)</f>
        <v/>
      </c>
      <c r="O209" s="143" t="str">
        <f aca="false">IF(OR($N209="",'設定（最初に1回）'!$C$8="",'設定（最初に1回）'!$C$8&lt;=0),"",MAX(0,$N209)/'設定（最初に1回）'!$C$8)</f>
        <v/>
      </c>
      <c r="P209" s="143" t="str">
        <f aca="false">IF($C209="","",IFERROR(INDEX(商品マスタ!$M$6:$N$1005,MATCH($C209,商品マスタ!$B$6:$B$1005,0),MATCH("PI値 "&amp;'設定（最初に1回）'!$C$11,商品マスタ!$M$5:$N$5,0)),""))</f>
        <v/>
      </c>
      <c r="Q209" s="143" t="str">
        <f aca="false">IF(OR($C209="",$P209="",$P209=0,(N($I209)+N($AG209))&lt;=0),"",IFERROR(SUMIFS(随時_動員を入れる!$G$8:$G$97,随時_動員を入れる!$B$8:$B$97,"&gt;="&amp;'設定（最初に1回）'!$C$6,随時_動員を入れる!$B$8:$B$97,"&lt;="&amp;'設定（最初に1回）'!$C$6+(N($I209)+N($AG209))-1)/(N($I209)+N($AG209)),0)*$P209/100)</f>
        <v/>
      </c>
      <c r="R209" s="69" t="str">
        <f aca="false">IF($C209="","",SUMIFS(①今日の在庫を貼る!$O$6:$O$10005,①今日の在庫を貼る!$B$6:$B$10005,'設定（最初に1回）'!$C$4,①今日の在庫を貼る!$I$6:$I$10005,$C209))</f>
        <v/>
      </c>
      <c r="S209" s="143" t="str">
        <f aca="false">IF($C209="","",IF('設定（最初に1回）'!$C$9="実績消費",N($O209),IF('設定（最初に1回）'!$C$9="PI値予測",N($Q209),MAX(N($O209),N($Q209)))))</f>
        <v/>
      </c>
      <c r="T209" s="67" t="str">
        <f aca="false">IF(OR($S209="",$S209&lt;=0),"",$K209/$S209)</f>
        <v/>
      </c>
      <c r="U209" s="69" t="str">
        <f aca="false">IF($S209="","",ROUNDUP(N($S209)*'設定（最初に1回）'!$C$12,0))</f>
        <v/>
      </c>
      <c r="V209" s="69" t="str">
        <f aca="false">IF($C209="","",ROUNDUP(N($S209)*(N($I209)+N($AG209))+N($U209),0))</f>
        <v/>
      </c>
      <c r="W209" s="69" t="str">
        <f aca="false">IF($C209="","",SUMIFS(発注管理!$L$6:$L$1005,発注管理!$C$6:$C$1005,'設定（最初に1回）'!$C$4,発注管理!$F$6:$F$1005,$C209,発注管理!$Q$6:$Q$1005,"発注済"))</f>
        <v/>
      </c>
      <c r="X209" s="69" t="str">
        <f aca="false">IF($C209="","",MAX(0,N($V209)-N($K209)-N($W209)))</f>
        <v/>
      </c>
      <c r="Y209" s="147" t="str">
        <f aca="false">IF($C209="","",IF(N($X209)&lt;=0,0,CEILING($X209/MAX(1,N($G209)),MAX(1,N($J209)))))</f>
        <v/>
      </c>
      <c r="Z209" s="138" t="str">
        <f aca="false">IF($C209="","",IF(N($Y209)&gt;0,"要発注","正常"))</f>
        <v/>
      </c>
      <c r="AA209" s="71" t="str">
        <f aca="false">IF($C209="","",N($K209)*N($H209))</f>
        <v/>
      </c>
      <c r="AB209" s="66" t="str">
        <f aca="false">IF($C209="","",_xlfn.TEXTJOIN(" / ",TRUE(),IF(COUNTIF(商品マスタ!$B$6:$B$1005,$C209)=0,"マスタ未登録",""),IF(COUNTIFS(月1回_前回の在庫を貼る!$B$6:$B$10005,'設定（最初に1回）'!$C$4,月1回_前回の在庫を貼る!$I$6:$I$10005,$C209)=0,"新商品",""),IF(COUNTIFS(①今日の在庫を貼る!$B$6:$B$10005,'設定（最初に1回）'!$C$4,①今日の在庫を貼る!$I$6:$I$10005,$C209)=0,"終売候補",""),IF(N($K209)&lt;0,"在庫マイナス",""),IF(AND('設定（最初に1回）'!$C$9="PI値予測",$P209=""),"PI値未設定","")))</f>
        <v/>
      </c>
      <c r="AC209" s="71" t="n">
        <f aca="false">N($Y209)*N($H209)</f>
        <v>0</v>
      </c>
      <c r="AD209" s="66" t="str">
        <f aca="false">IF($C209="","",IFERROR(INDEX(商品マスタ!$K$6:$K$1005,MATCH($C209,商品マスタ!$B$6:$B$1005,0)),"常温"))</f>
        <v/>
      </c>
      <c r="AE209" s="69" t="str">
        <f aca="false">IF($C209="","",MAX(0,ROUNDUP(N($K209)/MAX(1,N($G209)),0)))</f>
        <v/>
      </c>
      <c r="AF209" s="66" t="str">
        <f aca="false">IF($C209="","",IFERROR(INDEX(商品マスタ!$L$6:$L$1005,MATCH($C209,商品マスタ!$B$6:$B$1005,0)),""))</f>
        <v/>
      </c>
      <c r="AG209" s="143" t="str">
        <f aca="false">IF($C209="","",IFERROR(INDEX(定数マスタ!$S$110:$S$119,MATCH($AF209,定数マスタ!$J$110:$J$119,0)),N('設定（最初に1回）'!$C$13)))</f>
        <v/>
      </c>
      <c r="AH209" s="66" t="n">
        <f aca="false">IF(AND(N($K209)&gt;0,N($Y209)&gt;0),N($Y209),0)</f>
        <v>0</v>
      </c>
    </row>
    <row r="210" customFormat="false" ht="15" hidden="false" customHeight="false" outlineLevel="0" collapsed="false">
      <c r="B210" s="66" t="n">
        <v>205</v>
      </c>
      <c r="C210" s="66" t="str">
        <f aca="false">IFERROR(IF($B210&lt;=MAX(①今日の在庫を貼る!$U$6:$U$10005),INDEX(①今日の在庫を貼る!$I$6:$I$10005,MATCH($B210,①今日の在庫を貼る!$U$6:$U$10005,0)),INDEX(月1回_前回の在庫を貼る!$I$6:$I$10005,MATCH($B210-MAX(①今日の在庫を貼る!$U$6:$U$10005),月1回_前回の在庫を貼る!$U$6:$U$10005,0))),"")</f>
        <v/>
      </c>
      <c r="D210" s="66" t="str">
        <f aca="false">IF($C210="","",IFERROR(INDEX(商品マスタ!$C$6:$C$1005,MATCH($C210,商品マスタ!$B$6:$B$1005,0)),IFERROR(INDEX(①今日の在庫を貼る!$J$6:$J$10005,MATCH($C210,①今日の在庫を貼る!$I$6:$I$10005,0)),IFERROR(INDEX(月1回_前回の在庫を貼る!$J$6:$J$10005,MATCH($C210,月1回_前回の在庫を貼る!$I$6:$I$10005,0)),""))))</f>
        <v/>
      </c>
      <c r="E210" s="66" t="str">
        <f aca="false">IF($C210="","",IFERROR(INDEX(商品マスタ!$D$6:$D$1005,MATCH($C210,商品マスタ!$B$6:$B$1005,0)),IFERROR(INDEX(①今日の在庫を貼る!$H$6:$H$10005,MATCH($C210,①今日の在庫を貼る!$I$6:$I$10005,0)),IFERROR(INDEX(月1回_前回の在庫を貼る!$H$6:$H$10005,MATCH($C210,月1回_前回の在庫を貼る!$I$6:$I$10005,0)),""))))</f>
        <v/>
      </c>
      <c r="F210" s="66" t="str">
        <f aca="false">IF($C210="","",IFERROR(INDEX(商品マスタ!$E$6:$E$1005,MATCH($C210,商品マスタ!$B$6:$B$1005,0)),IFERROR(INDEX(①今日の在庫を貼る!$E$6:$E$10005,MATCH($C210,①今日の在庫を貼る!$I$6:$I$10005,0)),IFERROR(INDEX(月1回_前回の在庫を貼る!$E$6:$E$10005,MATCH($C210,月1回_前回の在庫を貼る!$I$6:$I$10005,0)),""))))</f>
        <v/>
      </c>
      <c r="G210" s="69" t="str">
        <f aca="false">IF($C210="","",IFERROR(INDEX(商品マスタ!$F$6:$F$1005,MATCH($C210,商品マスタ!$B$6:$B$1005,0)),IFERROR(INDEX(①今日の在庫を貼る!$K$6:$K$10005,MATCH($C210,①今日の在庫を貼る!$I$6:$I$10005,0)),IFERROR(INDEX(月1回_前回の在庫を貼る!$K$6:$K$10005,MATCH($C210,月1回_前回の在庫を貼る!$I$6:$I$10005,0)),""))))</f>
        <v/>
      </c>
      <c r="H210" s="71" t="str">
        <f aca="false">IF($C210="","",IFERROR(INDEX(商品マスタ!$G$6:$G$1005,MATCH($C210,商品マスタ!$B$6:$B$1005,0)),IFERROR(INDEX(①今日の在庫を貼る!$Q$6:$Q$10005,MATCH($C210,①今日の在庫を貼る!$I$6:$I$10005,0)),IFERROR(INDEX(月1回_前回の在庫を貼る!$Q$6:$Q$10005,MATCH($C210,月1回_前回の在庫を貼る!$I$6:$I$10005,0)),""))))</f>
        <v/>
      </c>
      <c r="I210" s="66" t="str">
        <f aca="false">IF($C210="","",IFERROR(INDEX(商品マスタ!$H$6:$H$1005,MATCH($C210,商品マスタ!$B$6:$B$1005,0)),3))</f>
        <v/>
      </c>
      <c r="J210" s="66" t="str">
        <f aca="false">IF($C210="","",MAX(1,IFERROR(INDEX(商品マスタ!$I$6:$I$1005,MATCH($C210,商品マスタ!$B$6:$B$1005,0)),1)))</f>
        <v/>
      </c>
      <c r="K210" s="69" t="str">
        <f aca="false">IF($C210="","",SUMIFS(①今日の在庫を貼る!$N$6:$N$10005,①今日の在庫を貼る!$B$6:$B$10005,'設定（最初に1回）'!$C$4,①今日の在庫を貼る!$I$6:$I$10005,$C210))</f>
        <v/>
      </c>
      <c r="L210" s="69" t="str">
        <f aca="false">IF($C210="","",SUMIFS(月1回_前回の在庫を貼る!$N$6:$N$10005,月1回_前回の在庫を貼る!$B$6:$B$10005,'設定（最初に1回）'!$C$4,月1回_前回の在庫を貼る!$I$6:$I$10005,$C210))</f>
        <v/>
      </c>
      <c r="M210" s="69" t="str">
        <f aca="false">IF($C210="","",IF(OR('設定（最初に1回）'!$C$6="",'設定（最初に1回）'!$C$7=""),0,SUMIFS(発注管理!$S$6:$S$1005,発注管理!$C$6:$C$1005,'設定（最初に1回）'!$C$4,発注管理!$F$6:$F$1005,$C210,発注管理!$R$6:$R$1005,"&gt;="&amp;'設定（最初に1回）'!$C$7,発注管理!$R$6:$R$1005,"&lt;="&amp;'設定（最初に1回）'!$C$6)))</f>
        <v/>
      </c>
      <c r="N210" s="69" t="str">
        <f aca="false">IF(OR($C210="",'設定（最初に1回）'!$C$15=0),"",$L210+$M210-$K210)</f>
        <v/>
      </c>
      <c r="O210" s="143" t="str">
        <f aca="false">IF(OR($N210="",'設定（最初に1回）'!$C$8="",'設定（最初に1回）'!$C$8&lt;=0),"",MAX(0,$N210)/'設定（最初に1回）'!$C$8)</f>
        <v/>
      </c>
      <c r="P210" s="143" t="str">
        <f aca="false">IF($C210="","",IFERROR(INDEX(商品マスタ!$M$6:$N$1005,MATCH($C210,商品マスタ!$B$6:$B$1005,0),MATCH("PI値 "&amp;'設定（最初に1回）'!$C$11,商品マスタ!$M$5:$N$5,0)),""))</f>
        <v/>
      </c>
      <c r="Q210" s="143" t="str">
        <f aca="false">IF(OR($C210="",$P210="",$P210=0,(N($I210)+N($AG210))&lt;=0),"",IFERROR(SUMIFS(随時_動員を入れる!$G$8:$G$97,随時_動員を入れる!$B$8:$B$97,"&gt;="&amp;'設定（最初に1回）'!$C$6,随時_動員を入れる!$B$8:$B$97,"&lt;="&amp;'設定（最初に1回）'!$C$6+(N($I210)+N($AG210))-1)/(N($I210)+N($AG210)),0)*$P210/100)</f>
        <v/>
      </c>
      <c r="R210" s="69" t="str">
        <f aca="false">IF($C210="","",SUMIFS(①今日の在庫を貼る!$O$6:$O$10005,①今日の在庫を貼る!$B$6:$B$10005,'設定（最初に1回）'!$C$4,①今日の在庫を貼る!$I$6:$I$10005,$C210))</f>
        <v/>
      </c>
      <c r="S210" s="143" t="str">
        <f aca="false">IF($C210="","",IF('設定（最初に1回）'!$C$9="実績消費",N($O210),IF('設定（最初に1回）'!$C$9="PI値予測",N($Q210),MAX(N($O210),N($Q210)))))</f>
        <v/>
      </c>
      <c r="T210" s="67" t="str">
        <f aca="false">IF(OR($S210="",$S210&lt;=0),"",$K210/$S210)</f>
        <v/>
      </c>
      <c r="U210" s="69" t="str">
        <f aca="false">IF($S210="","",ROUNDUP(N($S210)*'設定（最初に1回）'!$C$12,0))</f>
        <v/>
      </c>
      <c r="V210" s="69" t="str">
        <f aca="false">IF($C210="","",ROUNDUP(N($S210)*(N($I210)+N($AG210))+N($U210),0))</f>
        <v/>
      </c>
      <c r="W210" s="69" t="str">
        <f aca="false">IF($C210="","",SUMIFS(発注管理!$L$6:$L$1005,発注管理!$C$6:$C$1005,'設定（最初に1回）'!$C$4,発注管理!$F$6:$F$1005,$C210,発注管理!$Q$6:$Q$1005,"発注済"))</f>
        <v/>
      </c>
      <c r="X210" s="69" t="str">
        <f aca="false">IF($C210="","",MAX(0,N($V210)-N($K210)-N($W210)))</f>
        <v/>
      </c>
      <c r="Y210" s="147" t="str">
        <f aca="false">IF($C210="","",IF(N($X210)&lt;=0,0,CEILING($X210/MAX(1,N($G210)),MAX(1,N($J210)))))</f>
        <v/>
      </c>
      <c r="Z210" s="138" t="str">
        <f aca="false">IF($C210="","",IF(N($Y210)&gt;0,"要発注","正常"))</f>
        <v/>
      </c>
      <c r="AA210" s="71" t="str">
        <f aca="false">IF($C210="","",N($K210)*N($H210))</f>
        <v/>
      </c>
      <c r="AB210" s="66" t="str">
        <f aca="false">IF($C210="","",_xlfn.TEXTJOIN(" / ",TRUE(),IF(COUNTIF(商品マスタ!$B$6:$B$1005,$C210)=0,"マスタ未登録",""),IF(COUNTIFS(月1回_前回の在庫を貼る!$B$6:$B$10005,'設定（最初に1回）'!$C$4,月1回_前回の在庫を貼る!$I$6:$I$10005,$C210)=0,"新商品",""),IF(COUNTIFS(①今日の在庫を貼る!$B$6:$B$10005,'設定（最初に1回）'!$C$4,①今日の在庫を貼る!$I$6:$I$10005,$C210)=0,"終売候補",""),IF(N($K210)&lt;0,"在庫マイナス",""),IF(AND('設定（最初に1回）'!$C$9="PI値予測",$P210=""),"PI値未設定","")))</f>
        <v/>
      </c>
      <c r="AC210" s="71" t="n">
        <f aca="false">N($Y210)*N($H210)</f>
        <v>0</v>
      </c>
      <c r="AD210" s="66" t="str">
        <f aca="false">IF($C210="","",IFERROR(INDEX(商品マスタ!$K$6:$K$1005,MATCH($C210,商品マスタ!$B$6:$B$1005,0)),"常温"))</f>
        <v/>
      </c>
      <c r="AE210" s="69" t="str">
        <f aca="false">IF($C210="","",MAX(0,ROUNDUP(N($K210)/MAX(1,N($G210)),0)))</f>
        <v/>
      </c>
      <c r="AF210" s="66" t="str">
        <f aca="false">IF($C210="","",IFERROR(INDEX(商品マスタ!$L$6:$L$1005,MATCH($C210,商品マスタ!$B$6:$B$1005,0)),""))</f>
        <v/>
      </c>
      <c r="AG210" s="143" t="str">
        <f aca="false">IF($C210="","",IFERROR(INDEX(定数マスタ!$S$110:$S$119,MATCH($AF210,定数マスタ!$J$110:$J$119,0)),N('設定（最初に1回）'!$C$13)))</f>
        <v/>
      </c>
      <c r="AH210" s="66" t="n">
        <f aca="false">IF(AND(N($K210)&gt;0,N($Y210)&gt;0),N($Y210),0)</f>
        <v>0</v>
      </c>
    </row>
    <row r="211" customFormat="false" ht="15" hidden="false" customHeight="false" outlineLevel="0" collapsed="false">
      <c r="B211" s="66" t="n">
        <v>206</v>
      </c>
      <c r="C211" s="66" t="str">
        <f aca="false">IFERROR(IF($B211&lt;=MAX(①今日の在庫を貼る!$U$6:$U$10005),INDEX(①今日の在庫を貼る!$I$6:$I$10005,MATCH($B211,①今日の在庫を貼る!$U$6:$U$10005,0)),INDEX(月1回_前回の在庫を貼る!$I$6:$I$10005,MATCH($B211-MAX(①今日の在庫を貼る!$U$6:$U$10005),月1回_前回の在庫を貼る!$U$6:$U$10005,0))),"")</f>
        <v/>
      </c>
      <c r="D211" s="66" t="str">
        <f aca="false">IF($C211="","",IFERROR(INDEX(商品マスタ!$C$6:$C$1005,MATCH($C211,商品マスタ!$B$6:$B$1005,0)),IFERROR(INDEX(①今日の在庫を貼る!$J$6:$J$10005,MATCH($C211,①今日の在庫を貼る!$I$6:$I$10005,0)),IFERROR(INDEX(月1回_前回の在庫を貼る!$J$6:$J$10005,MATCH($C211,月1回_前回の在庫を貼る!$I$6:$I$10005,0)),""))))</f>
        <v/>
      </c>
      <c r="E211" s="66" t="str">
        <f aca="false">IF($C211="","",IFERROR(INDEX(商品マスタ!$D$6:$D$1005,MATCH($C211,商品マスタ!$B$6:$B$1005,0)),IFERROR(INDEX(①今日の在庫を貼る!$H$6:$H$10005,MATCH($C211,①今日の在庫を貼る!$I$6:$I$10005,0)),IFERROR(INDEX(月1回_前回の在庫を貼る!$H$6:$H$10005,MATCH($C211,月1回_前回の在庫を貼る!$I$6:$I$10005,0)),""))))</f>
        <v/>
      </c>
      <c r="F211" s="66" t="str">
        <f aca="false">IF($C211="","",IFERROR(INDEX(商品マスタ!$E$6:$E$1005,MATCH($C211,商品マスタ!$B$6:$B$1005,0)),IFERROR(INDEX(①今日の在庫を貼る!$E$6:$E$10005,MATCH($C211,①今日の在庫を貼る!$I$6:$I$10005,0)),IFERROR(INDEX(月1回_前回の在庫を貼る!$E$6:$E$10005,MATCH($C211,月1回_前回の在庫を貼る!$I$6:$I$10005,0)),""))))</f>
        <v/>
      </c>
      <c r="G211" s="69" t="str">
        <f aca="false">IF($C211="","",IFERROR(INDEX(商品マスタ!$F$6:$F$1005,MATCH($C211,商品マスタ!$B$6:$B$1005,0)),IFERROR(INDEX(①今日の在庫を貼る!$K$6:$K$10005,MATCH($C211,①今日の在庫を貼る!$I$6:$I$10005,0)),IFERROR(INDEX(月1回_前回の在庫を貼る!$K$6:$K$10005,MATCH($C211,月1回_前回の在庫を貼る!$I$6:$I$10005,0)),""))))</f>
        <v/>
      </c>
      <c r="H211" s="71" t="str">
        <f aca="false">IF($C211="","",IFERROR(INDEX(商品マスタ!$G$6:$G$1005,MATCH($C211,商品マスタ!$B$6:$B$1005,0)),IFERROR(INDEX(①今日の在庫を貼る!$Q$6:$Q$10005,MATCH($C211,①今日の在庫を貼る!$I$6:$I$10005,0)),IFERROR(INDEX(月1回_前回の在庫を貼る!$Q$6:$Q$10005,MATCH($C211,月1回_前回の在庫を貼る!$I$6:$I$10005,0)),""))))</f>
        <v/>
      </c>
      <c r="I211" s="66" t="str">
        <f aca="false">IF($C211="","",IFERROR(INDEX(商品マスタ!$H$6:$H$1005,MATCH($C211,商品マスタ!$B$6:$B$1005,0)),3))</f>
        <v/>
      </c>
      <c r="J211" s="66" t="str">
        <f aca="false">IF($C211="","",MAX(1,IFERROR(INDEX(商品マスタ!$I$6:$I$1005,MATCH($C211,商品マスタ!$B$6:$B$1005,0)),1)))</f>
        <v/>
      </c>
      <c r="K211" s="69" t="str">
        <f aca="false">IF($C211="","",SUMIFS(①今日の在庫を貼る!$N$6:$N$10005,①今日の在庫を貼る!$B$6:$B$10005,'設定（最初に1回）'!$C$4,①今日の在庫を貼る!$I$6:$I$10005,$C211))</f>
        <v/>
      </c>
      <c r="L211" s="69" t="str">
        <f aca="false">IF($C211="","",SUMIFS(月1回_前回の在庫を貼る!$N$6:$N$10005,月1回_前回の在庫を貼る!$B$6:$B$10005,'設定（最初に1回）'!$C$4,月1回_前回の在庫を貼る!$I$6:$I$10005,$C211))</f>
        <v/>
      </c>
      <c r="M211" s="69" t="str">
        <f aca="false">IF($C211="","",IF(OR('設定（最初に1回）'!$C$6="",'設定（最初に1回）'!$C$7=""),0,SUMIFS(発注管理!$S$6:$S$1005,発注管理!$C$6:$C$1005,'設定（最初に1回）'!$C$4,発注管理!$F$6:$F$1005,$C211,発注管理!$R$6:$R$1005,"&gt;="&amp;'設定（最初に1回）'!$C$7,発注管理!$R$6:$R$1005,"&lt;="&amp;'設定（最初に1回）'!$C$6)))</f>
        <v/>
      </c>
      <c r="N211" s="69" t="str">
        <f aca="false">IF(OR($C211="",'設定（最初に1回）'!$C$15=0),"",$L211+$M211-$K211)</f>
        <v/>
      </c>
      <c r="O211" s="143" t="str">
        <f aca="false">IF(OR($N211="",'設定（最初に1回）'!$C$8="",'設定（最初に1回）'!$C$8&lt;=0),"",MAX(0,$N211)/'設定（最初に1回）'!$C$8)</f>
        <v/>
      </c>
      <c r="P211" s="143" t="str">
        <f aca="false">IF($C211="","",IFERROR(INDEX(商品マスタ!$M$6:$N$1005,MATCH($C211,商品マスタ!$B$6:$B$1005,0),MATCH("PI値 "&amp;'設定（最初に1回）'!$C$11,商品マスタ!$M$5:$N$5,0)),""))</f>
        <v/>
      </c>
      <c r="Q211" s="143" t="str">
        <f aca="false">IF(OR($C211="",$P211="",$P211=0,(N($I211)+N($AG211))&lt;=0),"",IFERROR(SUMIFS(随時_動員を入れる!$G$8:$G$97,随時_動員を入れる!$B$8:$B$97,"&gt;="&amp;'設定（最初に1回）'!$C$6,随時_動員を入れる!$B$8:$B$97,"&lt;="&amp;'設定（最初に1回）'!$C$6+(N($I211)+N($AG211))-1)/(N($I211)+N($AG211)),0)*$P211/100)</f>
        <v/>
      </c>
      <c r="R211" s="69" t="str">
        <f aca="false">IF($C211="","",SUMIFS(①今日の在庫を貼る!$O$6:$O$10005,①今日の在庫を貼る!$B$6:$B$10005,'設定（最初に1回）'!$C$4,①今日の在庫を貼る!$I$6:$I$10005,$C211))</f>
        <v/>
      </c>
      <c r="S211" s="143" t="str">
        <f aca="false">IF($C211="","",IF('設定（最初に1回）'!$C$9="実績消費",N($O211),IF('設定（最初に1回）'!$C$9="PI値予測",N($Q211),MAX(N($O211),N($Q211)))))</f>
        <v/>
      </c>
      <c r="T211" s="67" t="str">
        <f aca="false">IF(OR($S211="",$S211&lt;=0),"",$K211/$S211)</f>
        <v/>
      </c>
      <c r="U211" s="69" t="str">
        <f aca="false">IF($S211="","",ROUNDUP(N($S211)*'設定（最初に1回）'!$C$12,0))</f>
        <v/>
      </c>
      <c r="V211" s="69" t="str">
        <f aca="false">IF($C211="","",ROUNDUP(N($S211)*(N($I211)+N($AG211))+N($U211),0))</f>
        <v/>
      </c>
      <c r="W211" s="69" t="str">
        <f aca="false">IF($C211="","",SUMIFS(発注管理!$L$6:$L$1005,発注管理!$C$6:$C$1005,'設定（最初に1回）'!$C$4,発注管理!$F$6:$F$1005,$C211,発注管理!$Q$6:$Q$1005,"発注済"))</f>
        <v/>
      </c>
      <c r="X211" s="69" t="str">
        <f aca="false">IF($C211="","",MAX(0,N($V211)-N($K211)-N($W211)))</f>
        <v/>
      </c>
      <c r="Y211" s="147" t="str">
        <f aca="false">IF($C211="","",IF(N($X211)&lt;=0,0,CEILING($X211/MAX(1,N($G211)),MAX(1,N($J211)))))</f>
        <v/>
      </c>
      <c r="Z211" s="138" t="str">
        <f aca="false">IF($C211="","",IF(N($Y211)&gt;0,"要発注","正常"))</f>
        <v/>
      </c>
      <c r="AA211" s="71" t="str">
        <f aca="false">IF($C211="","",N($K211)*N($H211))</f>
        <v/>
      </c>
      <c r="AB211" s="66" t="str">
        <f aca="false">IF($C211="","",_xlfn.TEXTJOIN(" / ",TRUE(),IF(COUNTIF(商品マスタ!$B$6:$B$1005,$C211)=0,"マスタ未登録",""),IF(COUNTIFS(月1回_前回の在庫を貼る!$B$6:$B$10005,'設定（最初に1回）'!$C$4,月1回_前回の在庫を貼る!$I$6:$I$10005,$C211)=0,"新商品",""),IF(COUNTIFS(①今日の在庫を貼る!$B$6:$B$10005,'設定（最初に1回）'!$C$4,①今日の在庫を貼る!$I$6:$I$10005,$C211)=0,"終売候補",""),IF(N($K211)&lt;0,"在庫マイナス",""),IF(AND('設定（最初に1回）'!$C$9="PI値予測",$P211=""),"PI値未設定","")))</f>
        <v/>
      </c>
      <c r="AC211" s="71" t="n">
        <f aca="false">N($Y211)*N($H211)</f>
        <v>0</v>
      </c>
      <c r="AD211" s="66" t="str">
        <f aca="false">IF($C211="","",IFERROR(INDEX(商品マスタ!$K$6:$K$1005,MATCH($C211,商品マスタ!$B$6:$B$1005,0)),"常温"))</f>
        <v/>
      </c>
      <c r="AE211" s="69" t="str">
        <f aca="false">IF($C211="","",MAX(0,ROUNDUP(N($K211)/MAX(1,N($G211)),0)))</f>
        <v/>
      </c>
      <c r="AF211" s="66" t="str">
        <f aca="false">IF($C211="","",IFERROR(INDEX(商品マスタ!$L$6:$L$1005,MATCH($C211,商品マスタ!$B$6:$B$1005,0)),""))</f>
        <v/>
      </c>
      <c r="AG211" s="143" t="str">
        <f aca="false">IF($C211="","",IFERROR(INDEX(定数マスタ!$S$110:$S$119,MATCH($AF211,定数マスタ!$J$110:$J$119,0)),N('設定（最初に1回）'!$C$13)))</f>
        <v/>
      </c>
      <c r="AH211" s="66" t="n">
        <f aca="false">IF(AND(N($K211)&gt;0,N($Y211)&gt;0),N($Y211),0)</f>
        <v>0</v>
      </c>
    </row>
    <row r="212" customFormat="false" ht="15" hidden="false" customHeight="false" outlineLevel="0" collapsed="false">
      <c r="B212" s="66" t="n">
        <v>207</v>
      </c>
      <c r="C212" s="66" t="str">
        <f aca="false">IFERROR(IF($B212&lt;=MAX(①今日の在庫を貼る!$U$6:$U$10005),INDEX(①今日の在庫を貼る!$I$6:$I$10005,MATCH($B212,①今日の在庫を貼る!$U$6:$U$10005,0)),INDEX(月1回_前回の在庫を貼る!$I$6:$I$10005,MATCH($B212-MAX(①今日の在庫を貼る!$U$6:$U$10005),月1回_前回の在庫を貼る!$U$6:$U$10005,0))),"")</f>
        <v/>
      </c>
      <c r="D212" s="66" t="str">
        <f aca="false">IF($C212="","",IFERROR(INDEX(商品マスタ!$C$6:$C$1005,MATCH($C212,商品マスタ!$B$6:$B$1005,0)),IFERROR(INDEX(①今日の在庫を貼る!$J$6:$J$10005,MATCH($C212,①今日の在庫を貼る!$I$6:$I$10005,0)),IFERROR(INDEX(月1回_前回の在庫を貼る!$J$6:$J$10005,MATCH($C212,月1回_前回の在庫を貼る!$I$6:$I$10005,0)),""))))</f>
        <v/>
      </c>
      <c r="E212" s="66" t="str">
        <f aca="false">IF($C212="","",IFERROR(INDEX(商品マスタ!$D$6:$D$1005,MATCH($C212,商品マスタ!$B$6:$B$1005,0)),IFERROR(INDEX(①今日の在庫を貼る!$H$6:$H$10005,MATCH($C212,①今日の在庫を貼る!$I$6:$I$10005,0)),IFERROR(INDEX(月1回_前回の在庫を貼る!$H$6:$H$10005,MATCH($C212,月1回_前回の在庫を貼る!$I$6:$I$10005,0)),""))))</f>
        <v/>
      </c>
      <c r="F212" s="66" t="str">
        <f aca="false">IF($C212="","",IFERROR(INDEX(商品マスタ!$E$6:$E$1005,MATCH($C212,商品マスタ!$B$6:$B$1005,0)),IFERROR(INDEX(①今日の在庫を貼る!$E$6:$E$10005,MATCH($C212,①今日の在庫を貼る!$I$6:$I$10005,0)),IFERROR(INDEX(月1回_前回の在庫を貼る!$E$6:$E$10005,MATCH($C212,月1回_前回の在庫を貼る!$I$6:$I$10005,0)),""))))</f>
        <v/>
      </c>
      <c r="G212" s="69" t="str">
        <f aca="false">IF($C212="","",IFERROR(INDEX(商品マスタ!$F$6:$F$1005,MATCH($C212,商品マスタ!$B$6:$B$1005,0)),IFERROR(INDEX(①今日の在庫を貼る!$K$6:$K$10005,MATCH($C212,①今日の在庫を貼る!$I$6:$I$10005,0)),IFERROR(INDEX(月1回_前回の在庫を貼る!$K$6:$K$10005,MATCH($C212,月1回_前回の在庫を貼る!$I$6:$I$10005,0)),""))))</f>
        <v/>
      </c>
      <c r="H212" s="71" t="str">
        <f aca="false">IF($C212="","",IFERROR(INDEX(商品マスタ!$G$6:$G$1005,MATCH($C212,商品マスタ!$B$6:$B$1005,0)),IFERROR(INDEX(①今日の在庫を貼る!$Q$6:$Q$10005,MATCH($C212,①今日の在庫を貼る!$I$6:$I$10005,0)),IFERROR(INDEX(月1回_前回の在庫を貼る!$Q$6:$Q$10005,MATCH($C212,月1回_前回の在庫を貼る!$I$6:$I$10005,0)),""))))</f>
        <v/>
      </c>
      <c r="I212" s="66" t="str">
        <f aca="false">IF($C212="","",IFERROR(INDEX(商品マスタ!$H$6:$H$1005,MATCH($C212,商品マスタ!$B$6:$B$1005,0)),3))</f>
        <v/>
      </c>
      <c r="J212" s="66" t="str">
        <f aca="false">IF($C212="","",MAX(1,IFERROR(INDEX(商品マスタ!$I$6:$I$1005,MATCH($C212,商品マスタ!$B$6:$B$1005,0)),1)))</f>
        <v/>
      </c>
      <c r="K212" s="69" t="str">
        <f aca="false">IF($C212="","",SUMIFS(①今日の在庫を貼る!$N$6:$N$10005,①今日の在庫を貼る!$B$6:$B$10005,'設定（最初に1回）'!$C$4,①今日の在庫を貼る!$I$6:$I$10005,$C212))</f>
        <v/>
      </c>
      <c r="L212" s="69" t="str">
        <f aca="false">IF($C212="","",SUMIFS(月1回_前回の在庫を貼る!$N$6:$N$10005,月1回_前回の在庫を貼る!$B$6:$B$10005,'設定（最初に1回）'!$C$4,月1回_前回の在庫を貼る!$I$6:$I$10005,$C212))</f>
        <v/>
      </c>
      <c r="M212" s="69" t="str">
        <f aca="false">IF($C212="","",IF(OR('設定（最初に1回）'!$C$6="",'設定（最初に1回）'!$C$7=""),0,SUMIFS(発注管理!$S$6:$S$1005,発注管理!$C$6:$C$1005,'設定（最初に1回）'!$C$4,発注管理!$F$6:$F$1005,$C212,発注管理!$R$6:$R$1005,"&gt;="&amp;'設定（最初に1回）'!$C$7,発注管理!$R$6:$R$1005,"&lt;="&amp;'設定（最初に1回）'!$C$6)))</f>
        <v/>
      </c>
      <c r="N212" s="69" t="str">
        <f aca="false">IF(OR($C212="",'設定（最初に1回）'!$C$15=0),"",$L212+$M212-$K212)</f>
        <v/>
      </c>
      <c r="O212" s="143" t="str">
        <f aca="false">IF(OR($N212="",'設定（最初に1回）'!$C$8="",'設定（最初に1回）'!$C$8&lt;=0),"",MAX(0,$N212)/'設定（最初に1回）'!$C$8)</f>
        <v/>
      </c>
      <c r="P212" s="143" t="str">
        <f aca="false">IF($C212="","",IFERROR(INDEX(商品マスタ!$M$6:$N$1005,MATCH($C212,商品マスタ!$B$6:$B$1005,0),MATCH("PI値 "&amp;'設定（最初に1回）'!$C$11,商品マスタ!$M$5:$N$5,0)),""))</f>
        <v/>
      </c>
      <c r="Q212" s="143" t="str">
        <f aca="false">IF(OR($C212="",$P212="",$P212=0,(N($I212)+N($AG212))&lt;=0),"",IFERROR(SUMIFS(随時_動員を入れる!$G$8:$G$97,随時_動員を入れる!$B$8:$B$97,"&gt;="&amp;'設定（最初に1回）'!$C$6,随時_動員を入れる!$B$8:$B$97,"&lt;="&amp;'設定（最初に1回）'!$C$6+(N($I212)+N($AG212))-1)/(N($I212)+N($AG212)),0)*$P212/100)</f>
        <v/>
      </c>
      <c r="R212" s="69" t="str">
        <f aca="false">IF($C212="","",SUMIFS(①今日の在庫を貼る!$O$6:$O$10005,①今日の在庫を貼る!$B$6:$B$10005,'設定（最初に1回）'!$C$4,①今日の在庫を貼る!$I$6:$I$10005,$C212))</f>
        <v/>
      </c>
      <c r="S212" s="143" t="str">
        <f aca="false">IF($C212="","",IF('設定（最初に1回）'!$C$9="実績消費",N($O212),IF('設定（最初に1回）'!$C$9="PI値予測",N($Q212),MAX(N($O212),N($Q212)))))</f>
        <v/>
      </c>
      <c r="T212" s="67" t="str">
        <f aca="false">IF(OR($S212="",$S212&lt;=0),"",$K212/$S212)</f>
        <v/>
      </c>
      <c r="U212" s="69" t="str">
        <f aca="false">IF($S212="","",ROUNDUP(N($S212)*'設定（最初に1回）'!$C$12,0))</f>
        <v/>
      </c>
      <c r="V212" s="69" t="str">
        <f aca="false">IF($C212="","",ROUNDUP(N($S212)*(N($I212)+N($AG212))+N($U212),0))</f>
        <v/>
      </c>
      <c r="W212" s="69" t="str">
        <f aca="false">IF($C212="","",SUMIFS(発注管理!$L$6:$L$1005,発注管理!$C$6:$C$1005,'設定（最初に1回）'!$C$4,発注管理!$F$6:$F$1005,$C212,発注管理!$Q$6:$Q$1005,"発注済"))</f>
        <v/>
      </c>
      <c r="X212" s="69" t="str">
        <f aca="false">IF($C212="","",MAX(0,N($V212)-N($K212)-N($W212)))</f>
        <v/>
      </c>
      <c r="Y212" s="147" t="str">
        <f aca="false">IF($C212="","",IF(N($X212)&lt;=0,0,CEILING($X212/MAX(1,N($G212)),MAX(1,N($J212)))))</f>
        <v/>
      </c>
      <c r="Z212" s="138" t="str">
        <f aca="false">IF($C212="","",IF(N($Y212)&gt;0,"要発注","正常"))</f>
        <v/>
      </c>
      <c r="AA212" s="71" t="str">
        <f aca="false">IF($C212="","",N($K212)*N($H212))</f>
        <v/>
      </c>
      <c r="AB212" s="66" t="str">
        <f aca="false">IF($C212="","",_xlfn.TEXTJOIN(" / ",TRUE(),IF(COUNTIF(商品マスタ!$B$6:$B$1005,$C212)=0,"マスタ未登録",""),IF(COUNTIFS(月1回_前回の在庫を貼る!$B$6:$B$10005,'設定（最初に1回）'!$C$4,月1回_前回の在庫を貼る!$I$6:$I$10005,$C212)=0,"新商品",""),IF(COUNTIFS(①今日の在庫を貼る!$B$6:$B$10005,'設定（最初に1回）'!$C$4,①今日の在庫を貼る!$I$6:$I$10005,$C212)=0,"終売候補",""),IF(N($K212)&lt;0,"在庫マイナス",""),IF(AND('設定（最初に1回）'!$C$9="PI値予測",$P212=""),"PI値未設定","")))</f>
        <v/>
      </c>
      <c r="AC212" s="71" t="n">
        <f aca="false">N($Y212)*N($H212)</f>
        <v>0</v>
      </c>
      <c r="AD212" s="66" t="str">
        <f aca="false">IF($C212="","",IFERROR(INDEX(商品マスタ!$K$6:$K$1005,MATCH($C212,商品マスタ!$B$6:$B$1005,0)),"常温"))</f>
        <v/>
      </c>
      <c r="AE212" s="69" t="str">
        <f aca="false">IF($C212="","",MAX(0,ROUNDUP(N($K212)/MAX(1,N($G212)),0)))</f>
        <v/>
      </c>
      <c r="AF212" s="66" t="str">
        <f aca="false">IF($C212="","",IFERROR(INDEX(商品マスタ!$L$6:$L$1005,MATCH($C212,商品マスタ!$B$6:$B$1005,0)),""))</f>
        <v/>
      </c>
      <c r="AG212" s="143" t="str">
        <f aca="false">IF($C212="","",IFERROR(INDEX(定数マスタ!$S$110:$S$119,MATCH($AF212,定数マスタ!$J$110:$J$119,0)),N('設定（最初に1回）'!$C$13)))</f>
        <v/>
      </c>
      <c r="AH212" s="66" t="n">
        <f aca="false">IF(AND(N($K212)&gt;0,N($Y212)&gt;0),N($Y212),0)</f>
        <v>0</v>
      </c>
    </row>
    <row r="213" customFormat="false" ht="15" hidden="false" customHeight="false" outlineLevel="0" collapsed="false">
      <c r="B213" s="66" t="n">
        <v>208</v>
      </c>
      <c r="C213" s="66" t="str">
        <f aca="false">IFERROR(IF($B213&lt;=MAX(①今日の在庫を貼る!$U$6:$U$10005),INDEX(①今日の在庫を貼る!$I$6:$I$10005,MATCH($B213,①今日の在庫を貼る!$U$6:$U$10005,0)),INDEX(月1回_前回の在庫を貼る!$I$6:$I$10005,MATCH($B213-MAX(①今日の在庫を貼る!$U$6:$U$10005),月1回_前回の在庫を貼る!$U$6:$U$10005,0))),"")</f>
        <v/>
      </c>
      <c r="D213" s="66" t="str">
        <f aca="false">IF($C213="","",IFERROR(INDEX(商品マスタ!$C$6:$C$1005,MATCH($C213,商品マスタ!$B$6:$B$1005,0)),IFERROR(INDEX(①今日の在庫を貼る!$J$6:$J$10005,MATCH($C213,①今日の在庫を貼る!$I$6:$I$10005,0)),IFERROR(INDEX(月1回_前回の在庫を貼る!$J$6:$J$10005,MATCH($C213,月1回_前回の在庫を貼る!$I$6:$I$10005,0)),""))))</f>
        <v/>
      </c>
      <c r="E213" s="66" t="str">
        <f aca="false">IF($C213="","",IFERROR(INDEX(商品マスタ!$D$6:$D$1005,MATCH($C213,商品マスタ!$B$6:$B$1005,0)),IFERROR(INDEX(①今日の在庫を貼る!$H$6:$H$10005,MATCH($C213,①今日の在庫を貼る!$I$6:$I$10005,0)),IFERROR(INDEX(月1回_前回の在庫を貼る!$H$6:$H$10005,MATCH($C213,月1回_前回の在庫を貼る!$I$6:$I$10005,0)),""))))</f>
        <v/>
      </c>
      <c r="F213" s="66" t="str">
        <f aca="false">IF($C213="","",IFERROR(INDEX(商品マスタ!$E$6:$E$1005,MATCH($C213,商品マスタ!$B$6:$B$1005,0)),IFERROR(INDEX(①今日の在庫を貼る!$E$6:$E$10005,MATCH($C213,①今日の在庫を貼る!$I$6:$I$10005,0)),IFERROR(INDEX(月1回_前回の在庫を貼る!$E$6:$E$10005,MATCH($C213,月1回_前回の在庫を貼る!$I$6:$I$10005,0)),""))))</f>
        <v/>
      </c>
      <c r="G213" s="69" t="str">
        <f aca="false">IF($C213="","",IFERROR(INDEX(商品マスタ!$F$6:$F$1005,MATCH($C213,商品マスタ!$B$6:$B$1005,0)),IFERROR(INDEX(①今日の在庫を貼る!$K$6:$K$10005,MATCH($C213,①今日の在庫を貼る!$I$6:$I$10005,0)),IFERROR(INDEX(月1回_前回の在庫を貼る!$K$6:$K$10005,MATCH($C213,月1回_前回の在庫を貼る!$I$6:$I$10005,0)),""))))</f>
        <v/>
      </c>
      <c r="H213" s="71" t="str">
        <f aca="false">IF($C213="","",IFERROR(INDEX(商品マスタ!$G$6:$G$1005,MATCH($C213,商品マスタ!$B$6:$B$1005,0)),IFERROR(INDEX(①今日の在庫を貼る!$Q$6:$Q$10005,MATCH($C213,①今日の在庫を貼る!$I$6:$I$10005,0)),IFERROR(INDEX(月1回_前回の在庫を貼る!$Q$6:$Q$10005,MATCH($C213,月1回_前回の在庫を貼る!$I$6:$I$10005,0)),""))))</f>
        <v/>
      </c>
      <c r="I213" s="66" t="str">
        <f aca="false">IF($C213="","",IFERROR(INDEX(商品マスタ!$H$6:$H$1005,MATCH($C213,商品マスタ!$B$6:$B$1005,0)),3))</f>
        <v/>
      </c>
      <c r="J213" s="66" t="str">
        <f aca="false">IF($C213="","",MAX(1,IFERROR(INDEX(商品マスタ!$I$6:$I$1005,MATCH($C213,商品マスタ!$B$6:$B$1005,0)),1)))</f>
        <v/>
      </c>
      <c r="K213" s="69" t="str">
        <f aca="false">IF($C213="","",SUMIFS(①今日の在庫を貼る!$N$6:$N$10005,①今日の在庫を貼る!$B$6:$B$10005,'設定（最初に1回）'!$C$4,①今日の在庫を貼る!$I$6:$I$10005,$C213))</f>
        <v/>
      </c>
      <c r="L213" s="69" t="str">
        <f aca="false">IF($C213="","",SUMIFS(月1回_前回の在庫を貼る!$N$6:$N$10005,月1回_前回の在庫を貼る!$B$6:$B$10005,'設定（最初に1回）'!$C$4,月1回_前回の在庫を貼る!$I$6:$I$10005,$C213))</f>
        <v/>
      </c>
      <c r="M213" s="69" t="str">
        <f aca="false">IF($C213="","",IF(OR('設定（最初に1回）'!$C$6="",'設定（最初に1回）'!$C$7=""),0,SUMIFS(発注管理!$S$6:$S$1005,発注管理!$C$6:$C$1005,'設定（最初に1回）'!$C$4,発注管理!$F$6:$F$1005,$C213,発注管理!$R$6:$R$1005,"&gt;="&amp;'設定（最初に1回）'!$C$7,発注管理!$R$6:$R$1005,"&lt;="&amp;'設定（最初に1回）'!$C$6)))</f>
        <v/>
      </c>
      <c r="N213" s="69" t="str">
        <f aca="false">IF(OR($C213="",'設定（最初に1回）'!$C$15=0),"",$L213+$M213-$K213)</f>
        <v/>
      </c>
      <c r="O213" s="143" t="str">
        <f aca="false">IF(OR($N213="",'設定（最初に1回）'!$C$8="",'設定（最初に1回）'!$C$8&lt;=0),"",MAX(0,$N213)/'設定（最初に1回）'!$C$8)</f>
        <v/>
      </c>
      <c r="P213" s="143" t="str">
        <f aca="false">IF($C213="","",IFERROR(INDEX(商品マスタ!$M$6:$N$1005,MATCH($C213,商品マスタ!$B$6:$B$1005,0),MATCH("PI値 "&amp;'設定（最初に1回）'!$C$11,商品マスタ!$M$5:$N$5,0)),""))</f>
        <v/>
      </c>
      <c r="Q213" s="143" t="str">
        <f aca="false">IF(OR($C213="",$P213="",$P213=0,(N($I213)+N($AG213))&lt;=0),"",IFERROR(SUMIFS(随時_動員を入れる!$G$8:$G$97,随時_動員を入れる!$B$8:$B$97,"&gt;="&amp;'設定（最初に1回）'!$C$6,随時_動員を入れる!$B$8:$B$97,"&lt;="&amp;'設定（最初に1回）'!$C$6+(N($I213)+N($AG213))-1)/(N($I213)+N($AG213)),0)*$P213/100)</f>
        <v/>
      </c>
      <c r="R213" s="69" t="str">
        <f aca="false">IF($C213="","",SUMIFS(①今日の在庫を貼る!$O$6:$O$10005,①今日の在庫を貼る!$B$6:$B$10005,'設定（最初に1回）'!$C$4,①今日の在庫を貼る!$I$6:$I$10005,$C213))</f>
        <v/>
      </c>
      <c r="S213" s="143" t="str">
        <f aca="false">IF($C213="","",IF('設定（最初に1回）'!$C$9="実績消費",N($O213),IF('設定（最初に1回）'!$C$9="PI値予測",N($Q213),MAX(N($O213),N($Q213)))))</f>
        <v/>
      </c>
      <c r="T213" s="67" t="str">
        <f aca="false">IF(OR($S213="",$S213&lt;=0),"",$K213/$S213)</f>
        <v/>
      </c>
      <c r="U213" s="69" t="str">
        <f aca="false">IF($S213="","",ROUNDUP(N($S213)*'設定（最初に1回）'!$C$12,0))</f>
        <v/>
      </c>
      <c r="V213" s="69" t="str">
        <f aca="false">IF($C213="","",ROUNDUP(N($S213)*(N($I213)+N($AG213))+N($U213),0))</f>
        <v/>
      </c>
      <c r="W213" s="69" t="str">
        <f aca="false">IF($C213="","",SUMIFS(発注管理!$L$6:$L$1005,発注管理!$C$6:$C$1005,'設定（最初に1回）'!$C$4,発注管理!$F$6:$F$1005,$C213,発注管理!$Q$6:$Q$1005,"発注済"))</f>
        <v/>
      </c>
      <c r="X213" s="69" t="str">
        <f aca="false">IF($C213="","",MAX(0,N($V213)-N($K213)-N($W213)))</f>
        <v/>
      </c>
      <c r="Y213" s="147" t="str">
        <f aca="false">IF($C213="","",IF(N($X213)&lt;=0,0,CEILING($X213/MAX(1,N($G213)),MAX(1,N($J213)))))</f>
        <v/>
      </c>
      <c r="Z213" s="138" t="str">
        <f aca="false">IF($C213="","",IF(N($Y213)&gt;0,"要発注","正常"))</f>
        <v/>
      </c>
      <c r="AA213" s="71" t="str">
        <f aca="false">IF($C213="","",N($K213)*N($H213))</f>
        <v/>
      </c>
      <c r="AB213" s="66" t="str">
        <f aca="false">IF($C213="","",_xlfn.TEXTJOIN(" / ",TRUE(),IF(COUNTIF(商品マスタ!$B$6:$B$1005,$C213)=0,"マスタ未登録",""),IF(COUNTIFS(月1回_前回の在庫を貼る!$B$6:$B$10005,'設定（最初に1回）'!$C$4,月1回_前回の在庫を貼る!$I$6:$I$10005,$C213)=0,"新商品",""),IF(COUNTIFS(①今日の在庫を貼る!$B$6:$B$10005,'設定（最初に1回）'!$C$4,①今日の在庫を貼る!$I$6:$I$10005,$C213)=0,"終売候補",""),IF(N($K213)&lt;0,"在庫マイナス",""),IF(AND('設定（最初に1回）'!$C$9="PI値予測",$P213=""),"PI値未設定","")))</f>
        <v/>
      </c>
      <c r="AC213" s="71" t="n">
        <f aca="false">N($Y213)*N($H213)</f>
        <v>0</v>
      </c>
      <c r="AD213" s="66" t="str">
        <f aca="false">IF($C213="","",IFERROR(INDEX(商品マスタ!$K$6:$K$1005,MATCH($C213,商品マスタ!$B$6:$B$1005,0)),"常温"))</f>
        <v/>
      </c>
      <c r="AE213" s="69" t="str">
        <f aca="false">IF($C213="","",MAX(0,ROUNDUP(N($K213)/MAX(1,N($G213)),0)))</f>
        <v/>
      </c>
      <c r="AF213" s="66" t="str">
        <f aca="false">IF($C213="","",IFERROR(INDEX(商品マスタ!$L$6:$L$1005,MATCH($C213,商品マスタ!$B$6:$B$1005,0)),""))</f>
        <v/>
      </c>
      <c r="AG213" s="143" t="str">
        <f aca="false">IF($C213="","",IFERROR(INDEX(定数マスタ!$S$110:$S$119,MATCH($AF213,定数マスタ!$J$110:$J$119,0)),N('設定（最初に1回）'!$C$13)))</f>
        <v/>
      </c>
      <c r="AH213" s="66" t="n">
        <f aca="false">IF(AND(N($K213)&gt;0,N($Y213)&gt;0),N($Y213),0)</f>
        <v>0</v>
      </c>
    </row>
    <row r="214" customFormat="false" ht="15" hidden="false" customHeight="false" outlineLevel="0" collapsed="false">
      <c r="B214" s="66" t="n">
        <v>209</v>
      </c>
      <c r="C214" s="66" t="str">
        <f aca="false">IFERROR(IF($B214&lt;=MAX(①今日の在庫を貼る!$U$6:$U$10005),INDEX(①今日の在庫を貼る!$I$6:$I$10005,MATCH($B214,①今日の在庫を貼る!$U$6:$U$10005,0)),INDEX(月1回_前回の在庫を貼る!$I$6:$I$10005,MATCH($B214-MAX(①今日の在庫を貼る!$U$6:$U$10005),月1回_前回の在庫を貼る!$U$6:$U$10005,0))),"")</f>
        <v/>
      </c>
      <c r="D214" s="66" t="str">
        <f aca="false">IF($C214="","",IFERROR(INDEX(商品マスタ!$C$6:$C$1005,MATCH($C214,商品マスタ!$B$6:$B$1005,0)),IFERROR(INDEX(①今日の在庫を貼る!$J$6:$J$10005,MATCH($C214,①今日の在庫を貼る!$I$6:$I$10005,0)),IFERROR(INDEX(月1回_前回の在庫を貼る!$J$6:$J$10005,MATCH($C214,月1回_前回の在庫を貼る!$I$6:$I$10005,0)),""))))</f>
        <v/>
      </c>
      <c r="E214" s="66" t="str">
        <f aca="false">IF($C214="","",IFERROR(INDEX(商品マスタ!$D$6:$D$1005,MATCH($C214,商品マスタ!$B$6:$B$1005,0)),IFERROR(INDEX(①今日の在庫を貼る!$H$6:$H$10005,MATCH($C214,①今日の在庫を貼る!$I$6:$I$10005,0)),IFERROR(INDEX(月1回_前回の在庫を貼る!$H$6:$H$10005,MATCH($C214,月1回_前回の在庫を貼る!$I$6:$I$10005,0)),""))))</f>
        <v/>
      </c>
      <c r="F214" s="66" t="str">
        <f aca="false">IF($C214="","",IFERROR(INDEX(商品マスタ!$E$6:$E$1005,MATCH($C214,商品マスタ!$B$6:$B$1005,0)),IFERROR(INDEX(①今日の在庫を貼る!$E$6:$E$10005,MATCH($C214,①今日の在庫を貼る!$I$6:$I$10005,0)),IFERROR(INDEX(月1回_前回の在庫を貼る!$E$6:$E$10005,MATCH($C214,月1回_前回の在庫を貼る!$I$6:$I$10005,0)),""))))</f>
        <v/>
      </c>
      <c r="G214" s="69" t="str">
        <f aca="false">IF($C214="","",IFERROR(INDEX(商品マスタ!$F$6:$F$1005,MATCH($C214,商品マスタ!$B$6:$B$1005,0)),IFERROR(INDEX(①今日の在庫を貼る!$K$6:$K$10005,MATCH($C214,①今日の在庫を貼る!$I$6:$I$10005,0)),IFERROR(INDEX(月1回_前回の在庫を貼る!$K$6:$K$10005,MATCH($C214,月1回_前回の在庫を貼る!$I$6:$I$10005,0)),""))))</f>
        <v/>
      </c>
      <c r="H214" s="71" t="str">
        <f aca="false">IF($C214="","",IFERROR(INDEX(商品マスタ!$G$6:$G$1005,MATCH($C214,商品マスタ!$B$6:$B$1005,0)),IFERROR(INDEX(①今日の在庫を貼る!$Q$6:$Q$10005,MATCH($C214,①今日の在庫を貼る!$I$6:$I$10005,0)),IFERROR(INDEX(月1回_前回の在庫を貼る!$Q$6:$Q$10005,MATCH($C214,月1回_前回の在庫を貼る!$I$6:$I$10005,0)),""))))</f>
        <v/>
      </c>
      <c r="I214" s="66" t="str">
        <f aca="false">IF($C214="","",IFERROR(INDEX(商品マスタ!$H$6:$H$1005,MATCH($C214,商品マスタ!$B$6:$B$1005,0)),3))</f>
        <v/>
      </c>
      <c r="J214" s="66" t="str">
        <f aca="false">IF($C214="","",MAX(1,IFERROR(INDEX(商品マスタ!$I$6:$I$1005,MATCH($C214,商品マスタ!$B$6:$B$1005,0)),1)))</f>
        <v/>
      </c>
      <c r="K214" s="69" t="str">
        <f aca="false">IF($C214="","",SUMIFS(①今日の在庫を貼る!$N$6:$N$10005,①今日の在庫を貼る!$B$6:$B$10005,'設定（最初に1回）'!$C$4,①今日の在庫を貼る!$I$6:$I$10005,$C214))</f>
        <v/>
      </c>
      <c r="L214" s="69" t="str">
        <f aca="false">IF($C214="","",SUMIFS(月1回_前回の在庫を貼る!$N$6:$N$10005,月1回_前回の在庫を貼る!$B$6:$B$10005,'設定（最初に1回）'!$C$4,月1回_前回の在庫を貼る!$I$6:$I$10005,$C214))</f>
        <v/>
      </c>
      <c r="M214" s="69" t="str">
        <f aca="false">IF($C214="","",IF(OR('設定（最初に1回）'!$C$6="",'設定（最初に1回）'!$C$7=""),0,SUMIFS(発注管理!$S$6:$S$1005,発注管理!$C$6:$C$1005,'設定（最初に1回）'!$C$4,発注管理!$F$6:$F$1005,$C214,発注管理!$R$6:$R$1005,"&gt;="&amp;'設定（最初に1回）'!$C$7,発注管理!$R$6:$R$1005,"&lt;="&amp;'設定（最初に1回）'!$C$6)))</f>
        <v/>
      </c>
      <c r="N214" s="69" t="str">
        <f aca="false">IF(OR($C214="",'設定（最初に1回）'!$C$15=0),"",$L214+$M214-$K214)</f>
        <v/>
      </c>
      <c r="O214" s="143" t="str">
        <f aca="false">IF(OR($N214="",'設定（最初に1回）'!$C$8="",'設定（最初に1回）'!$C$8&lt;=0),"",MAX(0,$N214)/'設定（最初に1回）'!$C$8)</f>
        <v/>
      </c>
      <c r="P214" s="143" t="str">
        <f aca="false">IF($C214="","",IFERROR(INDEX(商品マスタ!$M$6:$N$1005,MATCH($C214,商品マスタ!$B$6:$B$1005,0),MATCH("PI値 "&amp;'設定（最初に1回）'!$C$11,商品マスタ!$M$5:$N$5,0)),""))</f>
        <v/>
      </c>
      <c r="Q214" s="143" t="str">
        <f aca="false">IF(OR($C214="",$P214="",$P214=0,(N($I214)+N($AG214))&lt;=0),"",IFERROR(SUMIFS(随時_動員を入れる!$G$8:$G$97,随時_動員を入れる!$B$8:$B$97,"&gt;="&amp;'設定（最初に1回）'!$C$6,随時_動員を入れる!$B$8:$B$97,"&lt;="&amp;'設定（最初に1回）'!$C$6+(N($I214)+N($AG214))-1)/(N($I214)+N($AG214)),0)*$P214/100)</f>
        <v/>
      </c>
      <c r="R214" s="69" t="str">
        <f aca="false">IF($C214="","",SUMIFS(①今日の在庫を貼る!$O$6:$O$10005,①今日の在庫を貼る!$B$6:$B$10005,'設定（最初に1回）'!$C$4,①今日の在庫を貼る!$I$6:$I$10005,$C214))</f>
        <v/>
      </c>
      <c r="S214" s="143" t="str">
        <f aca="false">IF($C214="","",IF('設定（最初に1回）'!$C$9="実績消費",N($O214),IF('設定（最初に1回）'!$C$9="PI値予測",N($Q214),MAX(N($O214),N($Q214)))))</f>
        <v/>
      </c>
      <c r="T214" s="67" t="str">
        <f aca="false">IF(OR($S214="",$S214&lt;=0),"",$K214/$S214)</f>
        <v/>
      </c>
      <c r="U214" s="69" t="str">
        <f aca="false">IF($S214="","",ROUNDUP(N($S214)*'設定（最初に1回）'!$C$12,0))</f>
        <v/>
      </c>
      <c r="V214" s="69" t="str">
        <f aca="false">IF($C214="","",ROUNDUP(N($S214)*(N($I214)+N($AG214))+N($U214),0))</f>
        <v/>
      </c>
      <c r="W214" s="69" t="str">
        <f aca="false">IF($C214="","",SUMIFS(発注管理!$L$6:$L$1005,発注管理!$C$6:$C$1005,'設定（最初に1回）'!$C$4,発注管理!$F$6:$F$1005,$C214,発注管理!$Q$6:$Q$1005,"発注済"))</f>
        <v/>
      </c>
      <c r="X214" s="69" t="str">
        <f aca="false">IF($C214="","",MAX(0,N($V214)-N($K214)-N($W214)))</f>
        <v/>
      </c>
      <c r="Y214" s="147" t="str">
        <f aca="false">IF($C214="","",IF(N($X214)&lt;=0,0,CEILING($X214/MAX(1,N($G214)),MAX(1,N($J214)))))</f>
        <v/>
      </c>
      <c r="Z214" s="138" t="str">
        <f aca="false">IF($C214="","",IF(N($Y214)&gt;0,"要発注","正常"))</f>
        <v/>
      </c>
      <c r="AA214" s="71" t="str">
        <f aca="false">IF($C214="","",N($K214)*N($H214))</f>
        <v/>
      </c>
      <c r="AB214" s="66" t="str">
        <f aca="false">IF($C214="","",_xlfn.TEXTJOIN(" / ",TRUE(),IF(COUNTIF(商品マスタ!$B$6:$B$1005,$C214)=0,"マスタ未登録",""),IF(COUNTIFS(月1回_前回の在庫を貼る!$B$6:$B$10005,'設定（最初に1回）'!$C$4,月1回_前回の在庫を貼る!$I$6:$I$10005,$C214)=0,"新商品",""),IF(COUNTIFS(①今日の在庫を貼る!$B$6:$B$10005,'設定（最初に1回）'!$C$4,①今日の在庫を貼る!$I$6:$I$10005,$C214)=0,"終売候補",""),IF(N($K214)&lt;0,"在庫マイナス",""),IF(AND('設定（最初に1回）'!$C$9="PI値予測",$P214=""),"PI値未設定","")))</f>
        <v/>
      </c>
      <c r="AC214" s="71" t="n">
        <f aca="false">N($Y214)*N($H214)</f>
        <v>0</v>
      </c>
      <c r="AD214" s="66" t="str">
        <f aca="false">IF($C214="","",IFERROR(INDEX(商品マスタ!$K$6:$K$1005,MATCH($C214,商品マスタ!$B$6:$B$1005,0)),"常温"))</f>
        <v/>
      </c>
      <c r="AE214" s="69" t="str">
        <f aca="false">IF($C214="","",MAX(0,ROUNDUP(N($K214)/MAX(1,N($G214)),0)))</f>
        <v/>
      </c>
      <c r="AF214" s="66" t="str">
        <f aca="false">IF($C214="","",IFERROR(INDEX(商品マスタ!$L$6:$L$1005,MATCH($C214,商品マスタ!$B$6:$B$1005,0)),""))</f>
        <v/>
      </c>
      <c r="AG214" s="143" t="str">
        <f aca="false">IF($C214="","",IFERROR(INDEX(定数マスタ!$S$110:$S$119,MATCH($AF214,定数マスタ!$J$110:$J$119,0)),N('設定（最初に1回）'!$C$13)))</f>
        <v/>
      </c>
      <c r="AH214" s="66" t="n">
        <f aca="false">IF(AND(N($K214)&gt;0,N($Y214)&gt;0),N($Y214),0)</f>
        <v>0</v>
      </c>
    </row>
    <row r="215" customFormat="false" ht="15" hidden="false" customHeight="false" outlineLevel="0" collapsed="false">
      <c r="B215" s="66" t="n">
        <v>210</v>
      </c>
      <c r="C215" s="66" t="str">
        <f aca="false">IFERROR(IF($B215&lt;=MAX(①今日の在庫を貼る!$U$6:$U$10005),INDEX(①今日の在庫を貼る!$I$6:$I$10005,MATCH($B215,①今日の在庫を貼る!$U$6:$U$10005,0)),INDEX(月1回_前回の在庫を貼る!$I$6:$I$10005,MATCH($B215-MAX(①今日の在庫を貼る!$U$6:$U$10005),月1回_前回の在庫を貼る!$U$6:$U$10005,0))),"")</f>
        <v/>
      </c>
      <c r="D215" s="66" t="str">
        <f aca="false">IF($C215="","",IFERROR(INDEX(商品マスタ!$C$6:$C$1005,MATCH($C215,商品マスタ!$B$6:$B$1005,0)),IFERROR(INDEX(①今日の在庫を貼る!$J$6:$J$10005,MATCH($C215,①今日の在庫を貼る!$I$6:$I$10005,0)),IFERROR(INDEX(月1回_前回の在庫を貼る!$J$6:$J$10005,MATCH($C215,月1回_前回の在庫を貼る!$I$6:$I$10005,0)),""))))</f>
        <v/>
      </c>
      <c r="E215" s="66" t="str">
        <f aca="false">IF($C215="","",IFERROR(INDEX(商品マスタ!$D$6:$D$1005,MATCH($C215,商品マスタ!$B$6:$B$1005,0)),IFERROR(INDEX(①今日の在庫を貼る!$H$6:$H$10005,MATCH($C215,①今日の在庫を貼る!$I$6:$I$10005,0)),IFERROR(INDEX(月1回_前回の在庫を貼る!$H$6:$H$10005,MATCH($C215,月1回_前回の在庫を貼る!$I$6:$I$10005,0)),""))))</f>
        <v/>
      </c>
      <c r="F215" s="66" t="str">
        <f aca="false">IF($C215="","",IFERROR(INDEX(商品マスタ!$E$6:$E$1005,MATCH($C215,商品マスタ!$B$6:$B$1005,0)),IFERROR(INDEX(①今日の在庫を貼る!$E$6:$E$10005,MATCH($C215,①今日の在庫を貼る!$I$6:$I$10005,0)),IFERROR(INDEX(月1回_前回の在庫を貼る!$E$6:$E$10005,MATCH($C215,月1回_前回の在庫を貼る!$I$6:$I$10005,0)),""))))</f>
        <v/>
      </c>
      <c r="G215" s="69" t="str">
        <f aca="false">IF($C215="","",IFERROR(INDEX(商品マスタ!$F$6:$F$1005,MATCH($C215,商品マスタ!$B$6:$B$1005,0)),IFERROR(INDEX(①今日の在庫を貼る!$K$6:$K$10005,MATCH($C215,①今日の在庫を貼る!$I$6:$I$10005,0)),IFERROR(INDEX(月1回_前回の在庫を貼る!$K$6:$K$10005,MATCH($C215,月1回_前回の在庫を貼る!$I$6:$I$10005,0)),""))))</f>
        <v/>
      </c>
      <c r="H215" s="71" t="str">
        <f aca="false">IF($C215="","",IFERROR(INDEX(商品マスタ!$G$6:$G$1005,MATCH($C215,商品マスタ!$B$6:$B$1005,0)),IFERROR(INDEX(①今日の在庫を貼る!$Q$6:$Q$10005,MATCH($C215,①今日の在庫を貼る!$I$6:$I$10005,0)),IFERROR(INDEX(月1回_前回の在庫を貼る!$Q$6:$Q$10005,MATCH($C215,月1回_前回の在庫を貼る!$I$6:$I$10005,0)),""))))</f>
        <v/>
      </c>
      <c r="I215" s="66" t="str">
        <f aca="false">IF($C215="","",IFERROR(INDEX(商品マスタ!$H$6:$H$1005,MATCH($C215,商品マスタ!$B$6:$B$1005,0)),3))</f>
        <v/>
      </c>
      <c r="J215" s="66" t="str">
        <f aca="false">IF($C215="","",MAX(1,IFERROR(INDEX(商品マスタ!$I$6:$I$1005,MATCH($C215,商品マスタ!$B$6:$B$1005,0)),1)))</f>
        <v/>
      </c>
      <c r="K215" s="69" t="str">
        <f aca="false">IF($C215="","",SUMIFS(①今日の在庫を貼る!$N$6:$N$10005,①今日の在庫を貼る!$B$6:$B$10005,'設定（最初に1回）'!$C$4,①今日の在庫を貼る!$I$6:$I$10005,$C215))</f>
        <v/>
      </c>
      <c r="L215" s="69" t="str">
        <f aca="false">IF($C215="","",SUMIFS(月1回_前回の在庫を貼る!$N$6:$N$10005,月1回_前回の在庫を貼る!$B$6:$B$10005,'設定（最初に1回）'!$C$4,月1回_前回の在庫を貼る!$I$6:$I$10005,$C215))</f>
        <v/>
      </c>
      <c r="M215" s="69" t="str">
        <f aca="false">IF($C215="","",IF(OR('設定（最初に1回）'!$C$6="",'設定（最初に1回）'!$C$7=""),0,SUMIFS(発注管理!$S$6:$S$1005,発注管理!$C$6:$C$1005,'設定（最初に1回）'!$C$4,発注管理!$F$6:$F$1005,$C215,発注管理!$R$6:$R$1005,"&gt;="&amp;'設定（最初に1回）'!$C$7,発注管理!$R$6:$R$1005,"&lt;="&amp;'設定（最初に1回）'!$C$6)))</f>
        <v/>
      </c>
      <c r="N215" s="69" t="str">
        <f aca="false">IF(OR($C215="",'設定（最初に1回）'!$C$15=0),"",$L215+$M215-$K215)</f>
        <v/>
      </c>
      <c r="O215" s="143" t="str">
        <f aca="false">IF(OR($N215="",'設定（最初に1回）'!$C$8="",'設定（最初に1回）'!$C$8&lt;=0),"",MAX(0,$N215)/'設定（最初に1回）'!$C$8)</f>
        <v/>
      </c>
      <c r="P215" s="143" t="str">
        <f aca="false">IF($C215="","",IFERROR(INDEX(商品マスタ!$M$6:$N$1005,MATCH($C215,商品マスタ!$B$6:$B$1005,0),MATCH("PI値 "&amp;'設定（最初に1回）'!$C$11,商品マスタ!$M$5:$N$5,0)),""))</f>
        <v/>
      </c>
      <c r="Q215" s="143" t="str">
        <f aca="false">IF(OR($C215="",$P215="",$P215=0,(N($I215)+N($AG215))&lt;=0),"",IFERROR(SUMIFS(随時_動員を入れる!$G$8:$G$97,随時_動員を入れる!$B$8:$B$97,"&gt;="&amp;'設定（最初に1回）'!$C$6,随時_動員を入れる!$B$8:$B$97,"&lt;="&amp;'設定（最初に1回）'!$C$6+(N($I215)+N($AG215))-1)/(N($I215)+N($AG215)),0)*$P215/100)</f>
        <v/>
      </c>
      <c r="R215" s="69" t="str">
        <f aca="false">IF($C215="","",SUMIFS(①今日の在庫を貼る!$O$6:$O$10005,①今日の在庫を貼る!$B$6:$B$10005,'設定（最初に1回）'!$C$4,①今日の在庫を貼る!$I$6:$I$10005,$C215))</f>
        <v/>
      </c>
      <c r="S215" s="143" t="str">
        <f aca="false">IF($C215="","",IF('設定（最初に1回）'!$C$9="実績消費",N($O215),IF('設定（最初に1回）'!$C$9="PI値予測",N($Q215),MAX(N($O215),N($Q215)))))</f>
        <v/>
      </c>
      <c r="T215" s="67" t="str">
        <f aca="false">IF(OR($S215="",$S215&lt;=0),"",$K215/$S215)</f>
        <v/>
      </c>
      <c r="U215" s="69" t="str">
        <f aca="false">IF($S215="","",ROUNDUP(N($S215)*'設定（最初に1回）'!$C$12,0))</f>
        <v/>
      </c>
      <c r="V215" s="69" t="str">
        <f aca="false">IF($C215="","",ROUNDUP(N($S215)*(N($I215)+N($AG215))+N($U215),0))</f>
        <v/>
      </c>
      <c r="W215" s="69" t="str">
        <f aca="false">IF($C215="","",SUMIFS(発注管理!$L$6:$L$1005,発注管理!$C$6:$C$1005,'設定（最初に1回）'!$C$4,発注管理!$F$6:$F$1005,$C215,発注管理!$Q$6:$Q$1005,"発注済"))</f>
        <v/>
      </c>
      <c r="X215" s="69" t="str">
        <f aca="false">IF($C215="","",MAX(0,N($V215)-N($K215)-N($W215)))</f>
        <v/>
      </c>
      <c r="Y215" s="147" t="str">
        <f aca="false">IF($C215="","",IF(N($X215)&lt;=0,0,CEILING($X215/MAX(1,N($G215)),MAX(1,N($J215)))))</f>
        <v/>
      </c>
      <c r="Z215" s="138" t="str">
        <f aca="false">IF($C215="","",IF(N($Y215)&gt;0,"要発注","正常"))</f>
        <v/>
      </c>
      <c r="AA215" s="71" t="str">
        <f aca="false">IF($C215="","",N($K215)*N($H215))</f>
        <v/>
      </c>
      <c r="AB215" s="66" t="str">
        <f aca="false">IF($C215="","",_xlfn.TEXTJOIN(" / ",TRUE(),IF(COUNTIF(商品マスタ!$B$6:$B$1005,$C215)=0,"マスタ未登録",""),IF(COUNTIFS(月1回_前回の在庫を貼る!$B$6:$B$10005,'設定（最初に1回）'!$C$4,月1回_前回の在庫を貼る!$I$6:$I$10005,$C215)=0,"新商品",""),IF(COUNTIFS(①今日の在庫を貼る!$B$6:$B$10005,'設定（最初に1回）'!$C$4,①今日の在庫を貼る!$I$6:$I$10005,$C215)=0,"終売候補",""),IF(N($K215)&lt;0,"在庫マイナス",""),IF(AND('設定（最初に1回）'!$C$9="PI値予測",$P215=""),"PI値未設定","")))</f>
        <v/>
      </c>
      <c r="AC215" s="71" t="n">
        <f aca="false">N($Y215)*N($H215)</f>
        <v>0</v>
      </c>
      <c r="AD215" s="66" t="str">
        <f aca="false">IF($C215="","",IFERROR(INDEX(商品マスタ!$K$6:$K$1005,MATCH($C215,商品マスタ!$B$6:$B$1005,0)),"常温"))</f>
        <v/>
      </c>
      <c r="AE215" s="69" t="str">
        <f aca="false">IF($C215="","",MAX(0,ROUNDUP(N($K215)/MAX(1,N($G215)),0)))</f>
        <v/>
      </c>
      <c r="AF215" s="66" t="str">
        <f aca="false">IF($C215="","",IFERROR(INDEX(商品マスタ!$L$6:$L$1005,MATCH($C215,商品マスタ!$B$6:$B$1005,0)),""))</f>
        <v/>
      </c>
      <c r="AG215" s="143" t="str">
        <f aca="false">IF($C215="","",IFERROR(INDEX(定数マスタ!$S$110:$S$119,MATCH($AF215,定数マスタ!$J$110:$J$119,0)),N('設定（最初に1回）'!$C$13)))</f>
        <v/>
      </c>
      <c r="AH215" s="66" t="n">
        <f aca="false">IF(AND(N($K215)&gt;0,N($Y215)&gt;0),N($Y215),0)</f>
        <v>0</v>
      </c>
    </row>
    <row r="216" customFormat="false" ht="15" hidden="false" customHeight="false" outlineLevel="0" collapsed="false">
      <c r="B216" s="66" t="n">
        <v>211</v>
      </c>
      <c r="C216" s="66" t="str">
        <f aca="false">IFERROR(IF($B216&lt;=MAX(①今日の在庫を貼る!$U$6:$U$10005),INDEX(①今日の在庫を貼る!$I$6:$I$10005,MATCH($B216,①今日の在庫を貼る!$U$6:$U$10005,0)),INDEX(月1回_前回の在庫を貼る!$I$6:$I$10005,MATCH($B216-MAX(①今日の在庫を貼る!$U$6:$U$10005),月1回_前回の在庫を貼る!$U$6:$U$10005,0))),"")</f>
        <v/>
      </c>
      <c r="D216" s="66" t="str">
        <f aca="false">IF($C216="","",IFERROR(INDEX(商品マスタ!$C$6:$C$1005,MATCH($C216,商品マスタ!$B$6:$B$1005,0)),IFERROR(INDEX(①今日の在庫を貼る!$J$6:$J$10005,MATCH($C216,①今日の在庫を貼る!$I$6:$I$10005,0)),IFERROR(INDEX(月1回_前回の在庫を貼る!$J$6:$J$10005,MATCH($C216,月1回_前回の在庫を貼る!$I$6:$I$10005,0)),""))))</f>
        <v/>
      </c>
      <c r="E216" s="66" t="str">
        <f aca="false">IF($C216="","",IFERROR(INDEX(商品マスタ!$D$6:$D$1005,MATCH($C216,商品マスタ!$B$6:$B$1005,0)),IFERROR(INDEX(①今日の在庫を貼る!$H$6:$H$10005,MATCH($C216,①今日の在庫を貼る!$I$6:$I$10005,0)),IFERROR(INDEX(月1回_前回の在庫を貼る!$H$6:$H$10005,MATCH($C216,月1回_前回の在庫を貼る!$I$6:$I$10005,0)),""))))</f>
        <v/>
      </c>
      <c r="F216" s="66" t="str">
        <f aca="false">IF($C216="","",IFERROR(INDEX(商品マスタ!$E$6:$E$1005,MATCH($C216,商品マスタ!$B$6:$B$1005,0)),IFERROR(INDEX(①今日の在庫を貼る!$E$6:$E$10005,MATCH($C216,①今日の在庫を貼る!$I$6:$I$10005,0)),IFERROR(INDEX(月1回_前回の在庫を貼る!$E$6:$E$10005,MATCH($C216,月1回_前回の在庫を貼る!$I$6:$I$10005,0)),""))))</f>
        <v/>
      </c>
      <c r="G216" s="69" t="str">
        <f aca="false">IF($C216="","",IFERROR(INDEX(商品マスタ!$F$6:$F$1005,MATCH($C216,商品マスタ!$B$6:$B$1005,0)),IFERROR(INDEX(①今日の在庫を貼る!$K$6:$K$10005,MATCH($C216,①今日の在庫を貼る!$I$6:$I$10005,0)),IFERROR(INDEX(月1回_前回の在庫を貼る!$K$6:$K$10005,MATCH($C216,月1回_前回の在庫を貼る!$I$6:$I$10005,0)),""))))</f>
        <v/>
      </c>
      <c r="H216" s="71" t="str">
        <f aca="false">IF($C216="","",IFERROR(INDEX(商品マスタ!$G$6:$G$1005,MATCH($C216,商品マスタ!$B$6:$B$1005,0)),IFERROR(INDEX(①今日の在庫を貼る!$Q$6:$Q$10005,MATCH($C216,①今日の在庫を貼る!$I$6:$I$10005,0)),IFERROR(INDEX(月1回_前回の在庫を貼る!$Q$6:$Q$10005,MATCH($C216,月1回_前回の在庫を貼る!$I$6:$I$10005,0)),""))))</f>
        <v/>
      </c>
      <c r="I216" s="66" t="str">
        <f aca="false">IF($C216="","",IFERROR(INDEX(商品マスタ!$H$6:$H$1005,MATCH($C216,商品マスタ!$B$6:$B$1005,0)),3))</f>
        <v/>
      </c>
      <c r="J216" s="66" t="str">
        <f aca="false">IF($C216="","",MAX(1,IFERROR(INDEX(商品マスタ!$I$6:$I$1005,MATCH($C216,商品マスタ!$B$6:$B$1005,0)),1)))</f>
        <v/>
      </c>
      <c r="K216" s="69" t="str">
        <f aca="false">IF($C216="","",SUMIFS(①今日の在庫を貼る!$N$6:$N$10005,①今日の在庫を貼る!$B$6:$B$10005,'設定（最初に1回）'!$C$4,①今日の在庫を貼る!$I$6:$I$10005,$C216))</f>
        <v/>
      </c>
      <c r="L216" s="69" t="str">
        <f aca="false">IF($C216="","",SUMIFS(月1回_前回の在庫を貼る!$N$6:$N$10005,月1回_前回の在庫を貼る!$B$6:$B$10005,'設定（最初に1回）'!$C$4,月1回_前回の在庫を貼る!$I$6:$I$10005,$C216))</f>
        <v/>
      </c>
      <c r="M216" s="69" t="str">
        <f aca="false">IF($C216="","",IF(OR('設定（最初に1回）'!$C$6="",'設定（最初に1回）'!$C$7=""),0,SUMIFS(発注管理!$S$6:$S$1005,発注管理!$C$6:$C$1005,'設定（最初に1回）'!$C$4,発注管理!$F$6:$F$1005,$C216,発注管理!$R$6:$R$1005,"&gt;="&amp;'設定（最初に1回）'!$C$7,発注管理!$R$6:$R$1005,"&lt;="&amp;'設定（最初に1回）'!$C$6)))</f>
        <v/>
      </c>
      <c r="N216" s="69" t="str">
        <f aca="false">IF(OR($C216="",'設定（最初に1回）'!$C$15=0),"",$L216+$M216-$K216)</f>
        <v/>
      </c>
      <c r="O216" s="143" t="str">
        <f aca="false">IF(OR($N216="",'設定（最初に1回）'!$C$8="",'設定（最初に1回）'!$C$8&lt;=0),"",MAX(0,$N216)/'設定（最初に1回）'!$C$8)</f>
        <v/>
      </c>
      <c r="P216" s="143" t="str">
        <f aca="false">IF($C216="","",IFERROR(INDEX(商品マスタ!$M$6:$N$1005,MATCH($C216,商品マスタ!$B$6:$B$1005,0),MATCH("PI値 "&amp;'設定（最初に1回）'!$C$11,商品マスタ!$M$5:$N$5,0)),""))</f>
        <v/>
      </c>
      <c r="Q216" s="143" t="str">
        <f aca="false">IF(OR($C216="",$P216="",$P216=0,(N($I216)+N($AG216))&lt;=0),"",IFERROR(SUMIFS(随時_動員を入れる!$G$8:$G$97,随時_動員を入れる!$B$8:$B$97,"&gt;="&amp;'設定（最初に1回）'!$C$6,随時_動員を入れる!$B$8:$B$97,"&lt;="&amp;'設定（最初に1回）'!$C$6+(N($I216)+N($AG216))-1)/(N($I216)+N($AG216)),0)*$P216/100)</f>
        <v/>
      </c>
      <c r="R216" s="69" t="str">
        <f aca="false">IF($C216="","",SUMIFS(①今日の在庫を貼る!$O$6:$O$10005,①今日の在庫を貼る!$B$6:$B$10005,'設定（最初に1回）'!$C$4,①今日の在庫を貼る!$I$6:$I$10005,$C216))</f>
        <v/>
      </c>
      <c r="S216" s="143" t="str">
        <f aca="false">IF($C216="","",IF('設定（最初に1回）'!$C$9="実績消費",N($O216),IF('設定（最初に1回）'!$C$9="PI値予測",N($Q216),MAX(N($O216),N($Q216)))))</f>
        <v/>
      </c>
      <c r="T216" s="67" t="str">
        <f aca="false">IF(OR($S216="",$S216&lt;=0),"",$K216/$S216)</f>
        <v/>
      </c>
      <c r="U216" s="69" t="str">
        <f aca="false">IF($S216="","",ROUNDUP(N($S216)*'設定（最初に1回）'!$C$12,0))</f>
        <v/>
      </c>
      <c r="V216" s="69" t="str">
        <f aca="false">IF($C216="","",ROUNDUP(N($S216)*(N($I216)+N($AG216))+N($U216),0))</f>
        <v/>
      </c>
      <c r="W216" s="69" t="str">
        <f aca="false">IF($C216="","",SUMIFS(発注管理!$L$6:$L$1005,発注管理!$C$6:$C$1005,'設定（最初に1回）'!$C$4,発注管理!$F$6:$F$1005,$C216,発注管理!$Q$6:$Q$1005,"発注済"))</f>
        <v/>
      </c>
      <c r="X216" s="69" t="str">
        <f aca="false">IF($C216="","",MAX(0,N($V216)-N($K216)-N($W216)))</f>
        <v/>
      </c>
      <c r="Y216" s="147" t="str">
        <f aca="false">IF($C216="","",IF(N($X216)&lt;=0,0,CEILING($X216/MAX(1,N($G216)),MAX(1,N($J216)))))</f>
        <v/>
      </c>
      <c r="Z216" s="138" t="str">
        <f aca="false">IF($C216="","",IF(N($Y216)&gt;0,"要発注","正常"))</f>
        <v/>
      </c>
      <c r="AA216" s="71" t="str">
        <f aca="false">IF($C216="","",N($K216)*N($H216))</f>
        <v/>
      </c>
      <c r="AB216" s="66" t="str">
        <f aca="false">IF($C216="","",_xlfn.TEXTJOIN(" / ",TRUE(),IF(COUNTIF(商品マスタ!$B$6:$B$1005,$C216)=0,"マスタ未登録",""),IF(COUNTIFS(月1回_前回の在庫を貼る!$B$6:$B$10005,'設定（最初に1回）'!$C$4,月1回_前回の在庫を貼る!$I$6:$I$10005,$C216)=0,"新商品",""),IF(COUNTIFS(①今日の在庫を貼る!$B$6:$B$10005,'設定（最初に1回）'!$C$4,①今日の在庫を貼る!$I$6:$I$10005,$C216)=0,"終売候補",""),IF(N($K216)&lt;0,"在庫マイナス",""),IF(AND('設定（最初に1回）'!$C$9="PI値予測",$P216=""),"PI値未設定","")))</f>
        <v/>
      </c>
      <c r="AC216" s="71" t="n">
        <f aca="false">N($Y216)*N($H216)</f>
        <v>0</v>
      </c>
      <c r="AD216" s="66" t="str">
        <f aca="false">IF($C216="","",IFERROR(INDEX(商品マスタ!$K$6:$K$1005,MATCH($C216,商品マスタ!$B$6:$B$1005,0)),"常温"))</f>
        <v/>
      </c>
      <c r="AE216" s="69" t="str">
        <f aca="false">IF($C216="","",MAX(0,ROUNDUP(N($K216)/MAX(1,N($G216)),0)))</f>
        <v/>
      </c>
      <c r="AF216" s="66" t="str">
        <f aca="false">IF($C216="","",IFERROR(INDEX(商品マスタ!$L$6:$L$1005,MATCH($C216,商品マスタ!$B$6:$B$1005,0)),""))</f>
        <v/>
      </c>
      <c r="AG216" s="143" t="str">
        <f aca="false">IF($C216="","",IFERROR(INDEX(定数マスタ!$S$110:$S$119,MATCH($AF216,定数マスタ!$J$110:$J$119,0)),N('設定（最初に1回）'!$C$13)))</f>
        <v/>
      </c>
      <c r="AH216" s="66" t="n">
        <f aca="false">IF(AND(N($K216)&gt;0,N($Y216)&gt;0),N($Y216),0)</f>
        <v>0</v>
      </c>
    </row>
    <row r="217" customFormat="false" ht="15" hidden="false" customHeight="false" outlineLevel="0" collapsed="false">
      <c r="B217" s="66" t="n">
        <v>212</v>
      </c>
      <c r="C217" s="66" t="str">
        <f aca="false">IFERROR(IF($B217&lt;=MAX(①今日の在庫を貼る!$U$6:$U$10005),INDEX(①今日の在庫を貼る!$I$6:$I$10005,MATCH($B217,①今日の在庫を貼る!$U$6:$U$10005,0)),INDEX(月1回_前回の在庫を貼る!$I$6:$I$10005,MATCH($B217-MAX(①今日の在庫を貼る!$U$6:$U$10005),月1回_前回の在庫を貼る!$U$6:$U$10005,0))),"")</f>
        <v/>
      </c>
      <c r="D217" s="66" t="str">
        <f aca="false">IF($C217="","",IFERROR(INDEX(商品マスタ!$C$6:$C$1005,MATCH($C217,商品マスタ!$B$6:$B$1005,0)),IFERROR(INDEX(①今日の在庫を貼る!$J$6:$J$10005,MATCH($C217,①今日の在庫を貼る!$I$6:$I$10005,0)),IFERROR(INDEX(月1回_前回の在庫を貼る!$J$6:$J$10005,MATCH($C217,月1回_前回の在庫を貼る!$I$6:$I$10005,0)),""))))</f>
        <v/>
      </c>
      <c r="E217" s="66" t="str">
        <f aca="false">IF($C217="","",IFERROR(INDEX(商品マスタ!$D$6:$D$1005,MATCH($C217,商品マスタ!$B$6:$B$1005,0)),IFERROR(INDEX(①今日の在庫を貼る!$H$6:$H$10005,MATCH($C217,①今日の在庫を貼る!$I$6:$I$10005,0)),IFERROR(INDEX(月1回_前回の在庫を貼る!$H$6:$H$10005,MATCH($C217,月1回_前回の在庫を貼る!$I$6:$I$10005,0)),""))))</f>
        <v/>
      </c>
      <c r="F217" s="66" t="str">
        <f aca="false">IF($C217="","",IFERROR(INDEX(商品マスタ!$E$6:$E$1005,MATCH($C217,商品マスタ!$B$6:$B$1005,0)),IFERROR(INDEX(①今日の在庫を貼る!$E$6:$E$10005,MATCH($C217,①今日の在庫を貼る!$I$6:$I$10005,0)),IFERROR(INDEX(月1回_前回の在庫を貼る!$E$6:$E$10005,MATCH($C217,月1回_前回の在庫を貼る!$I$6:$I$10005,0)),""))))</f>
        <v/>
      </c>
      <c r="G217" s="69" t="str">
        <f aca="false">IF($C217="","",IFERROR(INDEX(商品マスタ!$F$6:$F$1005,MATCH($C217,商品マスタ!$B$6:$B$1005,0)),IFERROR(INDEX(①今日の在庫を貼る!$K$6:$K$10005,MATCH($C217,①今日の在庫を貼る!$I$6:$I$10005,0)),IFERROR(INDEX(月1回_前回の在庫を貼る!$K$6:$K$10005,MATCH($C217,月1回_前回の在庫を貼る!$I$6:$I$10005,0)),""))))</f>
        <v/>
      </c>
      <c r="H217" s="71" t="str">
        <f aca="false">IF($C217="","",IFERROR(INDEX(商品マスタ!$G$6:$G$1005,MATCH($C217,商品マスタ!$B$6:$B$1005,0)),IFERROR(INDEX(①今日の在庫を貼る!$Q$6:$Q$10005,MATCH($C217,①今日の在庫を貼る!$I$6:$I$10005,0)),IFERROR(INDEX(月1回_前回の在庫を貼る!$Q$6:$Q$10005,MATCH($C217,月1回_前回の在庫を貼る!$I$6:$I$10005,0)),""))))</f>
        <v/>
      </c>
      <c r="I217" s="66" t="str">
        <f aca="false">IF($C217="","",IFERROR(INDEX(商品マスタ!$H$6:$H$1005,MATCH($C217,商品マスタ!$B$6:$B$1005,0)),3))</f>
        <v/>
      </c>
      <c r="J217" s="66" t="str">
        <f aca="false">IF($C217="","",MAX(1,IFERROR(INDEX(商品マスタ!$I$6:$I$1005,MATCH($C217,商品マスタ!$B$6:$B$1005,0)),1)))</f>
        <v/>
      </c>
      <c r="K217" s="69" t="str">
        <f aca="false">IF($C217="","",SUMIFS(①今日の在庫を貼る!$N$6:$N$10005,①今日の在庫を貼る!$B$6:$B$10005,'設定（最初に1回）'!$C$4,①今日の在庫を貼る!$I$6:$I$10005,$C217))</f>
        <v/>
      </c>
      <c r="L217" s="69" t="str">
        <f aca="false">IF($C217="","",SUMIFS(月1回_前回の在庫を貼る!$N$6:$N$10005,月1回_前回の在庫を貼る!$B$6:$B$10005,'設定（最初に1回）'!$C$4,月1回_前回の在庫を貼る!$I$6:$I$10005,$C217))</f>
        <v/>
      </c>
      <c r="M217" s="69" t="str">
        <f aca="false">IF($C217="","",IF(OR('設定（最初に1回）'!$C$6="",'設定（最初に1回）'!$C$7=""),0,SUMIFS(発注管理!$S$6:$S$1005,発注管理!$C$6:$C$1005,'設定（最初に1回）'!$C$4,発注管理!$F$6:$F$1005,$C217,発注管理!$R$6:$R$1005,"&gt;="&amp;'設定（最初に1回）'!$C$7,発注管理!$R$6:$R$1005,"&lt;="&amp;'設定（最初に1回）'!$C$6)))</f>
        <v/>
      </c>
      <c r="N217" s="69" t="str">
        <f aca="false">IF(OR($C217="",'設定（最初に1回）'!$C$15=0),"",$L217+$M217-$K217)</f>
        <v/>
      </c>
      <c r="O217" s="143" t="str">
        <f aca="false">IF(OR($N217="",'設定（最初に1回）'!$C$8="",'設定（最初に1回）'!$C$8&lt;=0),"",MAX(0,$N217)/'設定（最初に1回）'!$C$8)</f>
        <v/>
      </c>
      <c r="P217" s="143" t="str">
        <f aca="false">IF($C217="","",IFERROR(INDEX(商品マスタ!$M$6:$N$1005,MATCH($C217,商品マスタ!$B$6:$B$1005,0),MATCH("PI値 "&amp;'設定（最初に1回）'!$C$11,商品マスタ!$M$5:$N$5,0)),""))</f>
        <v/>
      </c>
      <c r="Q217" s="143" t="str">
        <f aca="false">IF(OR($C217="",$P217="",$P217=0,(N($I217)+N($AG217))&lt;=0),"",IFERROR(SUMIFS(随時_動員を入れる!$G$8:$G$97,随時_動員を入れる!$B$8:$B$97,"&gt;="&amp;'設定（最初に1回）'!$C$6,随時_動員を入れる!$B$8:$B$97,"&lt;="&amp;'設定（最初に1回）'!$C$6+(N($I217)+N($AG217))-1)/(N($I217)+N($AG217)),0)*$P217/100)</f>
        <v/>
      </c>
      <c r="R217" s="69" t="str">
        <f aca="false">IF($C217="","",SUMIFS(①今日の在庫を貼る!$O$6:$O$10005,①今日の在庫を貼る!$B$6:$B$10005,'設定（最初に1回）'!$C$4,①今日の在庫を貼る!$I$6:$I$10005,$C217))</f>
        <v/>
      </c>
      <c r="S217" s="143" t="str">
        <f aca="false">IF($C217="","",IF('設定（最初に1回）'!$C$9="実績消費",N($O217),IF('設定（最初に1回）'!$C$9="PI値予測",N($Q217),MAX(N($O217),N($Q217)))))</f>
        <v/>
      </c>
      <c r="T217" s="67" t="str">
        <f aca="false">IF(OR($S217="",$S217&lt;=0),"",$K217/$S217)</f>
        <v/>
      </c>
      <c r="U217" s="69" t="str">
        <f aca="false">IF($S217="","",ROUNDUP(N($S217)*'設定（最初に1回）'!$C$12,0))</f>
        <v/>
      </c>
      <c r="V217" s="69" t="str">
        <f aca="false">IF($C217="","",ROUNDUP(N($S217)*(N($I217)+N($AG217))+N($U217),0))</f>
        <v/>
      </c>
      <c r="W217" s="69" t="str">
        <f aca="false">IF($C217="","",SUMIFS(発注管理!$L$6:$L$1005,発注管理!$C$6:$C$1005,'設定（最初に1回）'!$C$4,発注管理!$F$6:$F$1005,$C217,発注管理!$Q$6:$Q$1005,"発注済"))</f>
        <v/>
      </c>
      <c r="X217" s="69" t="str">
        <f aca="false">IF($C217="","",MAX(0,N($V217)-N($K217)-N($W217)))</f>
        <v/>
      </c>
      <c r="Y217" s="147" t="str">
        <f aca="false">IF($C217="","",IF(N($X217)&lt;=0,0,CEILING($X217/MAX(1,N($G217)),MAX(1,N($J217)))))</f>
        <v/>
      </c>
      <c r="Z217" s="138" t="str">
        <f aca="false">IF($C217="","",IF(N($Y217)&gt;0,"要発注","正常"))</f>
        <v/>
      </c>
      <c r="AA217" s="71" t="str">
        <f aca="false">IF($C217="","",N($K217)*N($H217))</f>
        <v/>
      </c>
      <c r="AB217" s="66" t="str">
        <f aca="false">IF($C217="","",_xlfn.TEXTJOIN(" / ",TRUE(),IF(COUNTIF(商品マスタ!$B$6:$B$1005,$C217)=0,"マスタ未登録",""),IF(COUNTIFS(月1回_前回の在庫を貼る!$B$6:$B$10005,'設定（最初に1回）'!$C$4,月1回_前回の在庫を貼る!$I$6:$I$10005,$C217)=0,"新商品",""),IF(COUNTIFS(①今日の在庫を貼る!$B$6:$B$10005,'設定（最初に1回）'!$C$4,①今日の在庫を貼る!$I$6:$I$10005,$C217)=0,"終売候補",""),IF(N($K217)&lt;0,"在庫マイナス",""),IF(AND('設定（最初に1回）'!$C$9="PI値予測",$P217=""),"PI値未設定","")))</f>
        <v/>
      </c>
      <c r="AC217" s="71" t="n">
        <f aca="false">N($Y217)*N($H217)</f>
        <v>0</v>
      </c>
      <c r="AD217" s="66" t="str">
        <f aca="false">IF($C217="","",IFERROR(INDEX(商品マスタ!$K$6:$K$1005,MATCH($C217,商品マスタ!$B$6:$B$1005,0)),"常温"))</f>
        <v/>
      </c>
      <c r="AE217" s="69" t="str">
        <f aca="false">IF($C217="","",MAX(0,ROUNDUP(N($K217)/MAX(1,N($G217)),0)))</f>
        <v/>
      </c>
      <c r="AF217" s="66" t="str">
        <f aca="false">IF($C217="","",IFERROR(INDEX(商品マスタ!$L$6:$L$1005,MATCH($C217,商品マスタ!$B$6:$B$1005,0)),""))</f>
        <v/>
      </c>
      <c r="AG217" s="143" t="str">
        <f aca="false">IF($C217="","",IFERROR(INDEX(定数マスタ!$S$110:$S$119,MATCH($AF217,定数マスタ!$J$110:$J$119,0)),N('設定（最初に1回）'!$C$13)))</f>
        <v/>
      </c>
      <c r="AH217" s="66" t="n">
        <f aca="false">IF(AND(N($K217)&gt;0,N($Y217)&gt;0),N($Y217),0)</f>
        <v>0</v>
      </c>
    </row>
    <row r="218" customFormat="false" ht="15" hidden="false" customHeight="false" outlineLevel="0" collapsed="false">
      <c r="B218" s="66" t="n">
        <v>213</v>
      </c>
      <c r="C218" s="66" t="str">
        <f aca="false">IFERROR(IF($B218&lt;=MAX(①今日の在庫を貼る!$U$6:$U$10005),INDEX(①今日の在庫を貼る!$I$6:$I$10005,MATCH($B218,①今日の在庫を貼る!$U$6:$U$10005,0)),INDEX(月1回_前回の在庫を貼る!$I$6:$I$10005,MATCH($B218-MAX(①今日の在庫を貼る!$U$6:$U$10005),月1回_前回の在庫を貼る!$U$6:$U$10005,0))),"")</f>
        <v/>
      </c>
      <c r="D218" s="66" t="str">
        <f aca="false">IF($C218="","",IFERROR(INDEX(商品マスタ!$C$6:$C$1005,MATCH($C218,商品マスタ!$B$6:$B$1005,0)),IFERROR(INDEX(①今日の在庫を貼る!$J$6:$J$10005,MATCH($C218,①今日の在庫を貼る!$I$6:$I$10005,0)),IFERROR(INDEX(月1回_前回の在庫を貼る!$J$6:$J$10005,MATCH($C218,月1回_前回の在庫を貼る!$I$6:$I$10005,0)),""))))</f>
        <v/>
      </c>
      <c r="E218" s="66" t="str">
        <f aca="false">IF($C218="","",IFERROR(INDEX(商品マスタ!$D$6:$D$1005,MATCH($C218,商品マスタ!$B$6:$B$1005,0)),IFERROR(INDEX(①今日の在庫を貼る!$H$6:$H$10005,MATCH($C218,①今日の在庫を貼る!$I$6:$I$10005,0)),IFERROR(INDEX(月1回_前回の在庫を貼る!$H$6:$H$10005,MATCH($C218,月1回_前回の在庫を貼る!$I$6:$I$10005,0)),""))))</f>
        <v/>
      </c>
      <c r="F218" s="66" t="str">
        <f aca="false">IF($C218="","",IFERROR(INDEX(商品マスタ!$E$6:$E$1005,MATCH($C218,商品マスタ!$B$6:$B$1005,0)),IFERROR(INDEX(①今日の在庫を貼る!$E$6:$E$10005,MATCH($C218,①今日の在庫を貼る!$I$6:$I$10005,0)),IFERROR(INDEX(月1回_前回の在庫を貼る!$E$6:$E$10005,MATCH($C218,月1回_前回の在庫を貼る!$I$6:$I$10005,0)),""))))</f>
        <v/>
      </c>
      <c r="G218" s="69" t="str">
        <f aca="false">IF($C218="","",IFERROR(INDEX(商品マスタ!$F$6:$F$1005,MATCH($C218,商品マスタ!$B$6:$B$1005,0)),IFERROR(INDEX(①今日の在庫を貼る!$K$6:$K$10005,MATCH($C218,①今日の在庫を貼る!$I$6:$I$10005,0)),IFERROR(INDEX(月1回_前回の在庫を貼る!$K$6:$K$10005,MATCH($C218,月1回_前回の在庫を貼る!$I$6:$I$10005,0)),""))))</f>
        <v/>
      </c>
      <c r="H218" s="71" t="str">
        <f aca="false">IF($C218="","",IFERROR(INDEX(商品マスタ!$G$6:$G$1005,MATCH($C218,商品マスタ!$B$6:$B$1005,0)),IFERROR(INDEX(①今日の在庫を貼る!$Q$6:$Q$10005,MATCH($C218,①今日の在庫を貼る!$I$6:$I$10005,0)),IFERROR(INDEX(月1回_前回の在庫を貼る!$Q$6:$Q$10005,MATCH($C218,月1回_前回の在庫を貼る!$I$6:$I$10005,0)),""))))</f>
        <v/>
      </c>
      <c r="I218" s="66" t="str">
        <f aca="false">IF($C218="","",IFERROR(INDEX(商品マスタ!$H$6:$H$1005,MATCH($C218,商品マスタ!$B$6:$B$1005,0)),3))</f>
        <v/>
      </c>
      <c r="J218" s="66" t="str">
        <f aca="false">IF($C218="","",MAX(1,IFERROR(INDEX(商品マスタ!$I$6:$I$1005,MATCH($C218,商品マスタ!$B$6:$B$1005,0)),1)))</f>
        <v/>
      </c>
      <c r="K218" s="69" t="str">
        <f aca="false">IF($C218="","",SUMIFS(①今日の在庫を貼る!$N$6:$N$10005,①今日の在庫を貼る!$B$6:$B$10005,'設定（最初に1回）'!$C$4,①今日の在庫を貼る!$I$6:$I$10005,$C218))</f>
        <v/>
      </c>
      <c r="L218" s="69" t="str">
        <f aca="false">IF($C218="","",SUMIFS(月1回_前回の在庫を貼る!$N$6:$N$10005,月1回_前回の在庫を貼る!$B$6:$B$10005,'設定（最初に1回）'!$C$4,月1回_前回の在庫を貼る!$I$6:$I$10005,$C218))</f>
        <v/>
      </c>
      <c r="M218" s="69" t="str">
        <f aca="false">IF($C218="","",IF(OR('設定（最初に1回）'!$C$6="",'設定（最初に1回）'!$C$7=""),0,SUMIFS(発注管理!$S$6:$S$1005,発注管理!$C$6:$C$1005,'設定（最初に1回）'!$C$4,発注管理!$F$6:$F$1005,$C218,発注管理!$R$6:$R$1005,"&gt;="&amp;'設定（最初に1回）'!$C$7,発注管理!$R$6:$R$1005,"&lt;="&amp;'設定（最初に1回）'!$C$6)))</f>
        <v/>
      </c>
      <c r="N218" s="69" t="str">
        <f aca="false">IF(OR($C218="",'設定（最初に1回）'!$C$15=0),"",$L218+$M218-$K218)</f>
        <v/>
      </c>
      <c r="O218" s="143" t="str">
        <f aca="false">IF(OR($N218="",'設定（最初に1回）'!$C$8="",'設定（最初に1回）'!$C$8&lt;=0),"",MAX(0,$N218)/'設定（最初に1回）'!$C$8)</f>
        <v/>
      </c>
      <c r="P218" s="143" t="str">
        <f aca="false">IF($C218="","",IFERROR(INDEX(商品マスタ!$M$6:$N$1005,MATCH($C218,商品マスタ!$B$6:$B$1005,0),MATCH("PI値 "&amp;'設定（最初に1回）'!$C$11,商品マスタ!$M$5:$N$5,0)),""))</f>
        <v/>
      </c>
      <c r="Q218" s="143" t="str">
        <f aca="false">IF(OR($C218="",$P218="",$P218=0,(N($I218)+N($AG218))&lt;=0),"",IFERROR(SUMIFS(随時_動員を入れる!$G$8:$G$97,随時_動員を入れる!$B$8:$B$97,"&gt;="&amp;'設定（最初に1回）'!$C$6,随時_動員を入れる!$B$8:$B$97,"&lt;="&amp;'設定（最初に1回）'!$C$6+(N($I218)+N($AG218))-1)/(N($I218)+N($AG218)),0)*$P218/100)</f>
        <v/>
      </c>
      <c r="R218" s="69" t="str">
        <f aca="false">IF($C218="","",SUMIFS(①今日の在庫を貼る!$O$6:$O$10005,①今日の在庫を貼る!$B$6:$B$10005,'設定（最初に1回）'!$C$4,①今日の在庫を貼る!$I$6:$I$10005,$C218))</f>
        <v/>
      </c>
      <c r="S218" s="143" t="str">
        <f aca="false">IF($C218="","",IF('設定（最初に1回）'!$C$9="実績消費",N($O218),IF('設定（最初に1回）'!$C$9="PI値予測",N($Q218),MAX(N($O218),N($Q218)))))</f>
        <v/>
      </c>
      <c r="T218" s="67" t="str">
        <f aca="false">IF(OR($S218="",$S218&lt;=0),"",$K218/$S218)</f>
        <v/>
      </c>
      <c r="U218" s="69" t="str">
        <f aca="false">IF($S218="","",ROUNDUP(N($S218)*'設定（最初に1回）'!$C$12,0))</f>
        <v/>
      </c>
      <c r="V218" s="69" t="str">
        <f aca="false">IF($C218="","",ROUNDUP(N($S218)*(N($I218)+N($AG218))+N($U218),0))</f>
        <v/>
      </c>
      <c r="W218" s="69" t="str">
        <f aca="false">IF($C218="","",SUMIFS(発注管理!$L$6:$L$1005,発注管理!$C$6:$C$1005,'設定（最初に1回）'!$C$4,発注管理!$F$6:$F$1005,$C218,発注管理!$Q$6:$Q$1005,"発注済"))</f>
        <v/>
      </c>
      <c r="X218" s="69" t="str">
        <f aca="false">IF($C218="","",MAX(0,N($V218)-N($K218)-N($W218)))</f>
        <v/>
      </c>
      <c r="Y218" s="147" t="str">
        <f aca="false">IF($C218="","",IF(N($X218)&lt;=0,0,CEILING($X218/MAX(1,N($G218)),MAX(1,N($J218)))))</f>
        <v/>
      </c>
      <c r="Z218" s="138" t="str">
        <f aca="false">IF($C218="","",IF(N($Y218)&gt;0,"要発注","正常"))</f>
        <v/>
      </c>
      <c r="AA218" s="71" t="str">
        <f aca="false">IF($C218="","",N($K218)*N($H218))</f>
        <v/>
      </c>
      <c r="AB218" s="66" t="str">
        <f aca="false">IF($C218="","",_xlfn.TEXTJOIN(" / ",TRUE(),IF(COUNTIF(商品マスタ!$B$6:$B$1005,$C218)=0,"マスタ未登録",""),IF(COUNTIFS(月1回_前回の在庫を貼る!$B$6:$B$10005,'設定（最初に1回）'!$C$4,月1回_前回の在庫を貼る!$I$6:$I$10005,$C218)=0,"新商品",""),IF(COUNTIFS(①今日の在庫を貼る!$B$6:$B$10005,'設定（最初に1回）'!$C$4,①今日の在庫を貼る!$I$6:$I$10005,$C218)=0,"終売候補",""),IF(N($K218)&lt;0,"在庫マイナス",""),IF(AND('設定（最初に1回）'!$C$9="PI値予測",$P218=""),"PI値未設定","")))</f>
        <v/>
      </c>
      <c r="AC218" s="71" t="n">
        <f aca="false">N($Y218)*N($H218)</f>
        <v>0</v>
      </c>
      <c r="AD218" s="66" t="str">
        <f aca="false">IF($C218="","",IFERROR(INDEX(商品マスタ!$K$6:$K$1005,MATCH($C218,商品マスタ!$B$6:$B$1005,0)),"常温"))</f>
        <v/>
      </c>
      <c r="AE218" s="69" t="str">
        <f aca="false">IF($C218="","",MAX(0,ROUNDUP(N($K218)/MAX(1,N($G218)),0)))</f>
        <v/>
      </c>
      <c r="AF218" s="66" t="str">
        <f aca="false">IF($C218="","",IFERROR(INDEX(商品マスタ!$L$6:$L$1005,MATCH($C218,商品マスタ!$B$6:$B$1005,0)),""))</f>
        <v/>
      </c>
      <c r="AG218" s="143" t="str">
        <f aca="false">IF($C218="","",IFERROR(INDEX(定数マスタ!$S$110:$S$119,MATCH($AF218,定数マスタ!$J$110:$J$119,0)),N('設定（最初に1回）'!$C$13)))</f>
        <v/>
      </c>
      <c r="AH218" s="66" t="n">
        <f aca="false">IF(AND(N($K218)&gt;0,N($Y218)&gt;0),N($Y218),0)</f>
        <v>0</v>
      </c>
    </row>
    <row r="219" customFormat="false" ht="15" hidden="false" customHeight="false" outlineLevel="0" collapsed="false">
      <c r="B219" s="66" t="n">
        <v>214</v>
      </c>
      <c r="C219" s="66" t="str">
        <f aca="false">IFERROR(IF($B219&lt;=MAX(①今日の在庫を貼る!$U$6:$U$10005),INDEX(①今日の在庫を貼る!$I$6:$I$10005,MATCH($B219,①今日の在庫を貼る!$U$6:$U$10005,0)),INDEX(月1回_前回の在庫を貼る!$I$6:$I$10005,MATCH($B219-MAX(①今日の在庫を貼る!$U$6:$U$10005),月1回_前回の在庫を貼る!$U$6:$U$10005,0))),"")</f>
        <v/>
      </c>
      <c r="D219" s="66" t="str">
        <f aca="false">IF($C219="","",IFERROR(INDEX(商品マスタ!$C$6:$C$1005,MATCH($C219,商品マスタ!$B$6:$B$1005,0)),IFERROR(INDEX(①今日の在庫を貼る!$J$6:$J$10005,MATCH($C219,①今日の在庫を貼る!$I$6:$I$10005,0)),IFERROR(INDEX(月1回_前回の在庫を貼る!$J$6:$J$10005,MATCH($C219,月1回_前回の在庫を貼る!$I$6:$I$10005,0)),""))))</f>
        <v/>
      </c>
      <c r="E219" s="66" t="str">
        <f aca="false">IF($C219="","",IFERROR(INDEX(商品マスタ!$D$6:$D$1005,MATCH($C219,商品マスタ!$B$6:$B$1005,0)),IFERROR(INDEX(①今日の在庫を貼る!$H$6:$H$10005,MATCH($C219,①今日の在庫を貼る!$I$6:$I$10005,0)),IFERROR(INDEX(月1回_前回の在庫を貼る!$H$6:$H$10005,MATCH($C219,月1回_前回の在庫を貼る!$I$6:$I$10005,0)),""))))</f>
        <v/>
      </c>
      <c r="F219" s="66" t="str">
        <f aca="false">IF($C219="","",IFERROR(INDEX(商品マスタ!$E$6:$E$1005,MATCH($C219,商品マスタ!$B$6:$B$1005,0)),IFERROR(INDEX(①今日の在庫を貼る!$E$6:$E$10005,MATCH($C219,①今日の在庫を貼る!$I$6:$I$10005,0)),IFERROR(INDEX(月1回_前回の在庫を貼る!$E$6:$E$10005,MATCH($C219,月1回_前回の在庫を貼る!$I$6:$I$10005,0)),""))))</f>
        <v/>
      </c>
      <c r="G219" s="69" t="str">
        <f aca="false">IF($C219="","",IFERROR(INDEX(商品マスタ!$F$6:$F$1005,MATCH($C219,商品マスタ!$B$6:$B$1005,0)),IFERROR(INDEX(①今日の在庫を貼る!$K$6:$K$10005,MATCH($C219,①今日の在庫を貼る!$I$6:$I$10005,0)),IFERROR(INDEX(月1回_前回の在庫を貼る!$K$6:$K$10005,MATCH($C219,月1回_前回の在庫を貼る!$I$6:$I$10005,0)),""))))</f>
        <v/>
      </c>
      <c r="H219" s="71" t="str">
        <f aca="false">IF($C219="","",IFERROR(INDEX(商品マスタ!$G$6:$G$1005,MATCH($C219,商品マスタ!$B$6:$B$1005,0)),IFERROR(INDEX(①今日の在庫を貼る!$Q$6:$Q$10005,MATCH($C219,①今日の在庫を貼る!$I$6:$I$10005,0)),IFERROR(INDEX(月1回_前回の在庫を貼る!$Q$6:$Q$10005,MATCH($C219,月1回_前回の在庫を貼る!$I$6:$I$10005,0)),""))))</f>
        <v/>
      </c>
      <c r="I219" s="66" t="str">
        <f aca="false">IF($C219="","",IFERROR(INDEX(商品マスタ!$H$6:$H$1005,MATCH($C219,商品マスタ!$B$6:$B$1005,0)),3))</f>
        <v/>
      </c>
      <c r="J219" s="66" t="str">
        <f aca="false">IF($C219="","",MAX(1,IFERROR(INDEX(商品マスタ!$I$6:$I$1005,MATCH($C219,商品マスタ!$B$6:$B$1005,0)),1)))</f>
        <v/>
      </c>
      <c r="K219" s="69" t="str">
        <f aca="false">IF($C219="","",SUMIFS(①今日の在庫を貼る!$N$6:$N$10005,①今日の在庫を貼る!$B$6:$B$10005,'設定（最初に1回）'!$C$4,①今日の在庫を貼る!$I$6:$I$10005,$C219))</f>
        <v/>
      </c>
      <c r="L219" s="69" t="str">
        <f aca="false">IF($C219="","",SUMIFS(月1回_前回の在庫を貼る!$N$6:$N$10005,月1回_前回の在庫を貼る!$B$6:$B$10005,'設定（最初に1回）'!$C$4,月1回_前回の在庫を貼る!$I$6:$I$10005,$C219))</f>
        <v/>
      </c>
      <c r="M219" s="69" t="str">
        <f aca="false">IF($C219="","",IF(OR('設定（最初に1回）'!$C$6="",'設定（最初に1回）'!$C$7=""),0,SUMIFS(発注管理!$S$6:$S$1005,発注管理!$C$6:$C$1005,'設定（最初に1回）'!$C$4,発注管理!$F$6:$F$1005,$C219,発注管理!$R$6:$R$1005,"&gt;="&amp;'設定（最初に1回）'!$C$7,発注管理!$R$6:$R$1005,"&lt;="&amp;'設定（最初に1回）'!$C$6)))</f>
        <v/>
      </c>
      <c r="N219" s="69" t="str">
        <f aca="false">IF(OR($C219="",'設定（最初に1回）'!$C$15=0),"",$L219+$M219-$K219)</f>
        <v/>
      </c>
      <c r="O219" s="143" t="str">
        <f aca="false">IF(OR($N219="",'設定（最初に1回）'!$C$8="",'設定（最初に1回）'!$C$8&lt;=0),"",MAX(0,$N219)/'設定（最初に1回）'!$C$8)</f>
        <v/>
      </c>
      <c r="P219" s="143" t="str">
        <f aca="false">IF($C219="","",IFERROR(INDEX(商品マスタ!$M$6:$N$1005,MATCH($C219,商品マスタ!$B$6:$B$1005,0),MATCH("PI値 "&amp;'設定（最初に1回）'!$C$11,商品マスタ!$M$5:$N$5,0)),""))</f>
        <v/>
      </c>
      <c r="Q219" s="143" t="str">
        <f aca="false">IF(OR($C219="",$P219="",$P219=0,(N($I219)+N($AG219))&lt;=0),"",IFERROR(SUMIFS(随時_動員を入れる!$G$8:$G$97,随時_動員を入れる!$B$8:$B$97,"&gt;="&amp;'設定（最初に1回）'!$C$6,随時_動員を入れる!$B$8:$B$97,"&lt;="&amp;'設定（最初に1回）'!$C$6+(N($I219)+N($AG219))-1)/(N($I219)+N($AG219)),0)*$P219/100)</f>
        <v/>
      </c>
      <c r="R219" s="69" t="str">
        <f aca="false">IF($C219="","",SUMIFS(①今日の在庫を貼る!$O$6:$O$10005,①今日の在庫を貼る!$B$6:$B$10005,'設定（最初に1回）'!$C$4,①今日の在庫を貼る!$I$6:$I$10005,$C219))</f>
        <v/>
      </c>
      <c r="S219" s="143" t="str">
        <f aca="false">IF($C219="","",IF('設定（最初に1回）'!$C$9="実績消費",N($O219),IF('設定（最初に1回）'!$C$9="PI値予測",N($Q219),MAX(N($O219),N($Q219)))))</f>
        <v/>
      </c>
      <c r="T219" s="67" t="str">
        <f aca="false">IF(OR($S219="",$S219&lt;=0),"",$K219/$S219)</f>
        <v/>
      </c>
      <c r="U219" s="69" t="str">
        <f aca="false">IF($S219="","",ROUNDUP(N($S219)*'設定（最初に1回）'!$C$12,0))</f>
        <v/>
      </c>
      <c r="V219" s="69" t="str">
        <f aca="false">IF($C219="","",ROUNDUP(N($S219)*(N($I219)+N($AG219))+N($U219),0))</f>
        <v/>
      </c>
      <c r="W219" s="69" t="str">
        <f aca="false">IF($C219="","",SUMIFS(発注管理!$L$6:$L$1005,発注管理!$C$6:$C$1005,'設定（最初に1回）'!$C$4,発注管理!$F$6:$F$1005,$C219,発注管理!$Q$6:$Q$1005,"発注済"))</f>
        <v/>
      </c>
      <c r="X219" s="69" t="str">
        <f aca="false">IF($C219="","",MAX(0,N($V219)-N($K219)-N($W219)))</f>
        <v/>
      </c>
      <c r="Y219" s="147" t="str">
        <f aca="false">IF($C219="","",IF(N($X219)&lt;=0,0,CEILING($X219/MAX(1,N($G219)),MAX(1,N($J219)))))</f>
        <v/>
      </c>
      <c r="Z219" s="138" t="str">
        <f aca="false">IF($C219="","",IF(N($Y219)&gt;0,"要発注","正常"))</f>
        <v/>
      </c>
      <c r="AA219" s="71" t="str">
        <f aca="false">IF($C219="","",N($K219)*N($H219))</f>
        <v/>
      </c>
      <c r="AB219" s="66" t="str">
        <f aca="false">IF($C219="","",_xlfn.TEXTJOIN(" / ",TRUE(),IF(COUNTIF(商品マスタ!$B$6:$B$1005,$C219)=0,"マスタ未登録",""),IF(COUNTIFS(月1回_前回の在庫を貼る!$B$6:$B$10005,'設定（最初に1回）'!$C$4,月1回_前回の在庫を貼る!$I$6:$I$10005,$C219)=0,"新商品",""),IF(COUNTIFS(①今日の在庫を貼る!$B$6:$B$10005,'設定（最初に1回）'!$C$4,①今日の在庫を貼る!$I$6:$I$10005,$C219)=0,"終売候補",""),IF(N($K219)&lt;0,"在庫マイナス",""),IF(AND('設定（最初に1回）'!$C$9="PI値予測",$P219=""),"PI値未設定","")))</f>
        <v/>
      </c>
      <c r="AC219" s="71" t="n">
        <f aca="false">N($Y219)*N($H219)</f>
        <v>0</v>
      </c>
      <c r="AD219" s="66" t="str">
        <f aca="false">IF($C219="","",IFERROR(INDEX(商品マスタ!$K$6:$K$1005,MATCH($C219,商品マスタ!$B$6:$B$1005,0)),"常温"))</f>
        <v/>
      </c>
      <c r="AE219" s="69" t="str">
        <f aca="false">IF($C219="","",MAX(0,ROUNDUP(N($K219)/MAX(1,N($G219)),0)))</f>
        <v/>
      </c>
      <c r="AF219" s="66" t="str">
        <f aca="false">IF($C219="","",IFERROR(INDEX(商品マスタ!$L$6:$L$1005,MATCH($C219,商品マスタ!$B$6:$B$1005,0)),""))</f>
        <v/>
      </c>
      <c r="AG219" s="143" t="str">
        <f aca="false">IF($C219="","",IFERROR(INDEX(定数マスタ!$S$110:$S$119,MATCH($AF219,定数マスタ!$J$110:$J$119,0)),N('設定（最初に1回）'!$C$13)))</f>
        <v/>
      </c>
      <c r="AH219" s="66" t="n">
        <f aca="false">IF(AND(N($K219)&gt;0,N($Y219)&gt;0),N($Y219),0)</f>
        <v>0</v>
      </c>
    </row>
    <row r="220" customFormat="false" ht="15" hidden="false" customHeight="false" outlineLevel="0" collapsed="false">
      <c r="B220" s="66" t="n">
        <v>215</v>
      </c>
      <c r="C220" s="66" t="str">
        <f aca="false">IFERROR(IF($B220&lt;=MAX(①今日の在庫を貼る!$U$6:$U$10005),INDEX(①今日の在庫を貼る!$I$6:$I$10005,MATCH($B220,①今日の在庫を貼る!$U$6:$U$10005,0)),INDEX(月1回_前回の在庫を貼る!$I$6:$I$10005,MATCH($B220-MAX(①今日の在庫を貼る!$U$6:$U$10005),月1回_前回の在庫を貼る!$U$6:$U$10005,0))),"")</f>
        <v/>
      </c>
      <c r="D220" s="66" t="str">
        <f aca="false">IF($C220="","",IFERROR(INDEX(商品マスタ!$C$6:$C$1005,MATCH($C220,商品マスタ!$B$6:$B$1005,0)),IFERROR(INDEX(①今日の在庫を貼る!$J$6:$J$10005,MATCH($C220,①今日の在庫を貼る!$I$6:$I$10005,0)),IFERROR(INDEX(月1回_前回の在庫を貼る!$J$6:$J$10005,MATCH($C220,月1回_前回の在庫を貼る!$I$6:$I$10005,0)),""))))</f>
        <v/>
      </c>
      <c r="E220" s="66" t="str">
        <f aca="false">IF($C220="","",IFERROR(INDEX(商品マスタ!$D$6:$D$1005,MATCH($C220,商品マスタ!$B$6:$B$1005,0)),IFERROR(INDEX(①今日の在庫を貼る!$H$6:$H$10005,MATCH($C220,①今日の在庫を貼る!$I$6:$I$10005,0)),IFERROR(INDEX(月1回_前回の在庫を貼る!$H$6:$H$10005,MATCH($C220,月1回_前回の在庫を貼る!$I$6:$I$10005,0)),""))))</f>
        <v/>
      </c>
      <c r="F220" s="66" t="str">
        <f aca="false">IF($C220="","",IFERROR(INDEX(商品マスタ!$E$6:$E$1005,MATCH($C220,商品マスタ!$B$6:$B$1005,0)),IFERROR(INDEX(①今日の在庫を貼る!$E$6:$E$10005,MATCH($C220,①今日の在庫を貼る!$I$6:$I$10005,0)),IFERROR(INDEX(月1回_前回の在庫を貼る!$E$6:$E$10005,MATCH($C220,月1回_前回の在庫を貼る!$I$6:$I$10005,0)),""))))</f>
        <v/>
      </c>
      <c r="G220" s="69" t="str">
        <f aca="false">IF($C220="","",IFERROR(INDEX(商品マスタ!$F$6:$F$1005,MATCH($C220,商品マスタ!$B$6:$B$1005,0)),IFERROR(INDEX(①今日の在庫を貼る!$K$6:$K$10005,MATCH($C220,①今日の在庫を貼る!$I$6:$I$10005,0)),IFERROR(INDEX(月1回_前回の在庫を貼る!$K$6:$K$10005,MATCH($C220,月1回_前回の在庫を貼る!$I$6:$I$10005,0)),""))))</f>
        <v/>
      </c>
      <c r="H220" s="71" t="str">
        <f aca="false">IF($C220="","",IFERROR(INDEX(商品マスタ!$G$6:$G$1005,MATCH($C220,商品マスタ!$B$6:$B$1005,0)),IFERROR(INDEX(①今日の在庫を貼る!$Q$6:$Q$10005,MATCH($C220,①今日の在庫を貼る!$I$6:$I$10005,0)),IFERROR(INDEX(月1回_前回の在庫を貼る!$Q$6:$Q$10005,MATCH($C220,月1回_前回の在庫を貼る!$I$6:$I$10005,0)),""))))</f>
        <v/>
      </c>
      <c r="I220" s="66" t="str">
        <f aca="false">IF($C220="","",IFERROR(INDEX(商品マスタ!$H$6:$H$1005,MATCH($C220,商品マスタ!$B$6:$B$1005,0)),3))</f>
        <v/>
      </c>
      <c r="J220" s="66" t="str">
        <f aca="false">IF($C220="","",MAX(1,IFERROR(INDEX(商品マスタ!$I$6:$I$1005,MATCH($C220,商品マスタ!$B$6:$B$1005,0)),1)))</f>
        <v/>
      </c>
      <c r="K220" s="69" t="str">
        <f aca="false">IF($C220="","",SUMIFS(①今日の在庫を貼る!$N$6:$N$10005,①今日の在庫を貼る!$B$6:$B$10005,'設定（最初に1回）'!$C$4,①今日の在庫を貼る!$I$6:$I$10005,$C220))</f>
        <v/>
      </c>
      <c r="L220" s="69" t="str">
        <f aca="false">IF($C220="","",SUMIFS(月1回_前回の在庫を貼る!$N$6:$N$10005,月1回_前回の在庫を貼る!$B$6:$B$10005,'設定（最初に1回）'!$C$4,月1回_前回の在庫を貼る!$I$6:$I$10005,$C220))</f>
        <v/>
      </c>
      <c r="M220" s="69" t="str">
        <f aca="false">IF($C220="","",IF(OR('設定（最初に1回）'!$C$6="",'設定（最初に1回）'!$C$7=""),0,SUMIFS(発注管理!$S$6:$S$1005,発注管理!$C$6:$C$1005,'設定（最初に1回）'!$C$4,発注管理!$F$6:$F$1005,$C220,発注管理!$R$6:$R$1005,"&gt;="&amp;'設定（最初に1回）'!$C$7,発注管理!$R$6:$R$1005,"&lt;="&amp;'設定（最初に1回）'!$C$6)))</f>
        <v/>
      </c>
      <c r="N220" s="69" t="str">
        <f aca="false">IF(OR($C220="",'設定（最初に1回）'!$C$15=0),"",$L220+$M220-$K220)</f>
        <v/>
      </c>
      <c r="O220" s="143" t="str">
        <f aca="false">IF(OR($N220="",'設定（最初に1回）'!$C$8="",'設定（最初に1回）'!$C$8&lt;=0),"",MAX(0,$N220)/'設定（最初に1回）'!$C$8)</f>
        <v/>
      </c>
      <c r="P220" s="143" t="str">
        <f aca="false">IF($C220="","",IFERROR(INDEX(商品マスタ!$M$6:$N$1005,MATCH($C220,商品マスタ!$B$6:$B$1005,0),MATCH("PI値 "&amp;'設定（最初に1回）'!$C$11,商品マスタ!$M$5:$N$5,0)),""))</f>
        <v/>
      </c>
      <c r="Q220" s="143" t="str">
        <f aca="false">IF(OR($C220="",$P220="",$P220=0,(N($I220)+N($AG220))&lt;=0),"",IFERROR(SUMIFS(随時_動員を入れる!$G$8:$G$97,随時_動員を入れる!$B$8:$B$97,"&gt;="&amp;'設定（最初に1回）'!$C$6,随時_動員を入れる!$B$8:$B$97,"&lt;="&amp;'設定（最初に1回）'!$C$6+(N($I220)+N($AG220))-1)/(N($I220)+N($AG220)),0)*$P220/100)</f>
        <v/>
      </c>
      <c r="R220" s="69" t="str">
        <f aca="false">IF($C220="","",SUMIFS(①今日の在庫を貼る!$O$6:$O$10005,①今日の在庫を貼る!$B$6:$B$10005,'設定（最初に1回）'!$C$4,①今日の在庫を貼る!$I$6:$I$10005,$C220))</f>
        <v/>
      </c>
      <c r="S220" s="143" t="str">
        <f aca="false">IF($C220="","",IF('設定（最初に1回）'!$C$9="実績消費",N($O220),IF('設定（最初に1回）'!$C$9="PI値予測",N($Q220),MAX(N($O220),N($Q220)))))</f>
        <v/>
      </c>
      <c r="T220" s="67" t="str">
        <f aca="false">IF(OR($S220="",$S220&lt;=0),"",$K220/$S220)</f>
        <v/>
      </c>
      <c r="U220" s="69" t="str">
        <f aca="false">IF($S220="","",ROUNDUP(N($S220)*'設定（最初に1回）'!$C$12,0))</f>
        <v/>
      </c>
      <c r="V220" s="69" t="str">
        <f aca="false">IF($C220="","",ROUNDUP(N($S220)*(N($I220)+N($AG220))+N($U220),0))</f>
        <v/>
      </c>
      <c r="W220" s="69" t="str">
        <f aca="false">IF($C220="","",SUMIFS(発注管理!$L$6:$L$1005,発注管理!$C$6:$C$1005,'設定（最初に1回）'!$C$4,発注管理!$F$6:$F$1005,$C220,発注管理!$Q$6:$Q$1005,"発注済"))</f>
        <v/>
      </c>
      <c r="X220" s="69" t="str">
        <f aca="false">IF($C220="","",MAX(0,N($V220)-N($K220)-N($W220)))</f>
        <v/>
      </c>
      <c r="Y220" s="147" t="str">
        <f aca="false">IF($C220="","",IF(N($X220)&lt;=0,0,CEILING($X220/MAX(1,N($G220)),MAX(1,N($J220)))))</f>
        <v/>
      </c>
      <c r="Z220" s="138" t="str">
        <f aca="false">IF($C220="","",IF(N($Y220)&gt;0,"要発注","正常"))</f>
        <v/>
      </c>
      <c r="AA220" s="71" t="str">
        <f aca="false">IF($C220="","",N($K220)*N($H220))</f>
        <v/>
      </c>
      <c r="AB220" s="66" t="str">
        <f aca="false">IF($C220="","",_xlfn.TEXTJOIN(" / ",TRUE(),IF(COUNTIF(商品マスタ!$B$6:$B$1005,$C220)=0,"マスタ未登録",""),IF(COUNTIFS(月1回_前回の在庫を貼る!$B$6:$B$10005,'設定（最初に1回）'!$C$4,月1回_前回の在庫を貼る!$I$6:$I$10005,$C220)=0,"新商品",""),IF(COUNTIFS(①今日の在庫を貼る!$B$6:$B$10005,'設定（最初に1回）'!$C$4,①今日の在庫を貼る!$I$6:$I$10005,$C220)=0,"終売候補",""),IF(N($K220)&lt;0,"在庫マイナス",""),IF(AND('設定（最初に1回）'!$C$9="PI値予測",$P220=""),"PI値未設定","")))</f>
        <v/>
      </c>
      <c r="AC220" s="71" t="n">
        <f aca="false">N($Y220)*N($H220)</f>
        <v>0</v>
      </c>
      <c r="AD220" s="66" t="str">
        <f aca="false">IF($C220="","",IFERROR(INDEX(商品マスタ!$K$6:$K$1005,MATCH($C220,商品マスタ!$B$6:$B$1005,0)),"常温"))</f>
        <v/>
      </c>
      <c r="AE220" s="69" t="str">
        <f aca="false">IF($C220="","",MAX(0,ROUNDUP(N($K220)/MAX(1,N($G220)),0)))</f>
        <v/>
      </c>
      <c r="AF220" s="66" t="str">
        <f aca="false">IF($C220="","",IFERROR(INDEX(商品マスタ!$L$6:$L$1005,MATCH($C220,商品マスタ!$B$6:$B$1005,0)),""))</f>
        <v/>
      </c>
      <c r="AG220" s="143" t="str">
        <f aca="false">IF($C220="","",IFERROR(INDEX(定数マスタ!$S$110:$S$119,MATCH($AF220,定数マスタ!$J$110:$J$119,0)),N('設定（最初に1回）'!$C$13)))</f>
        <v/>
      </c>
      <c r="AH220" s="66" t="n">
        <f aca="false">IF(AND(N($K220)&gt;0,N($Y220)&gt;0),N($Y220),0)</f>
        <v>0</v>
      </c>
    </row>
    <row r="221" customFormat="false" ht="15" hidden="false" customHeight="false" outlineLevel="0" collapsed="false">
      <c r="B221" s="66" t="n">
        <v>216</v>
      </c>
      <c r="C221" s="66" t="str">
        <f aca="false">IFERROR(IF($B221&lt;=MAX(①今日の在庫を貼る!$U$6:$U$10005),INDEX(①今日の在庫を貼る!$I$6:$I$10005,MATCH($B221,①今日の在庫を貼る!$U$6:$U$10005,0)),INDEX(月1回_前回の在庫を貼る!$I$6:$I$10005,MATCH($B221-MAX(①今日の在庫を貼る!$U$6:$U$10005),月1回_前回の在庫を貼る!$U$6:$U$10005,0))),"")</f>
        <v/>
      </c>
      <c r="D221" s="66" t="str">
        <f aca="false">IF($C221="","",IFERROR(INDEX(商品マスタ!$C$6:$C$1005,MATCH($C221,商品マスタ!$B$6:$B$1005,0)),IFERROR(INDEX(①今日の在庫を貼る!$J$6:$J$10005,MATCH($C221,①今日の在庫を貼る!$I$6:$I$10005,0)),IFERROR(INDEX(月1回_前回の在庫を貼る!$J$6:$J$10005,MATCH($C221,月1回_前回の在庫を貼る!$I$6:$I$10005,0)),""))))</f>
        <v/>
      </c>
      <c r="E221" s="66" t="str">
        <f aca="false">IF($C221="","",IFERROR(INDEX(商品マスタ!$D$6:$D$1005,MATCH($C221,商品マスタ!$B$6:$B$1005,0)),IFERROR(INDEX(①今日の在庫を貼る!$H$6:$H$10005,MATCH($C221,①今日の在庫を貼る!$I$6:$I$10005,0)),IFERROR(INDEX(月1回_前回の在庫を貼る!$H$6:$H$10005,MATCH($C221,月1回_前回の在庫を貼る!$I$6:$I$10005,0)),""))))</f>
        <v/>
      </c>
      <c r="F221" s="66" t="str">
        <f aca="false">IF($C221="","",IFERROR(INDEX(商品マスタ!$E$6:$E$1005,MATCH($C221,商品マスタ!$B$6:$B$1005,0)),IFERROR(INDEX(①今日の在庫を貼る!$E$6:$E$10005,MATCH($C221,①今日の在庫を貼る!$I$6:$I$10005,0)),IFERROR(INDEX(月1回_前回の在庫を貼る!$E$6:$E$10005,MATCH($C221,月1回_前回の在庫を貼る!$I$6:$I$10005,0)),""))))</f>
        <v/>
      </c>
      <c r="G221" s="69" t="str">
        <f aca="false">IF($C221="","",IFERROR(INDEX(商品マスタ!$F$6:$F$1005,MATCH($C221,商品マスタ!$B$6:$B$1005,0)),IFERROR(INDEX(①今日の在庫を貼る!$K$6:$K$10005,MATCH($C221,①今日の在庫を貼る!$I$6:$I$10005,0)),IFERROR(INDEX(月1回_前回の在庫を貼る!$K$6:$K$10005,MATCH($C221,月1回_前回の在庫を貼る!$I$6:$I$10005,0)),""))))</f>
        <v/>
      </c>
      <c r="H221" s="71" t="str">
        <f aca="false">IF($C221="","",IFERROR(INDEX(商品マスタ!$G$6:$G$1005,MATCH($C221,商品マスタ!$B$6:$B$1005,0)),IFERROR(INDEX(①今日の在庫を貼る!$Q$6:$Q$10005,MATCH($C221,①今日の在庫を貼る!$I$6:$I$10005,0)),IFERROR(INDEX(月1回_前回の在庫を貼る!$Q$6:$Q$10005,MATCH($C221,月1回_前回の在庫を貼る!$I$6:$I$10005,0)),""))))</f>
        <v/>
      </c>
      <c r="I221" s="66" t="str">
        <f aca="false">IF($C221="","",IFERROR(INDEX(商品マスタ!$H$6:$H$1005,MATCH($C221,商品マスタ!$B$6:$B$1005,0)),3))</f>
        <v/>
      </c>
      <c r="J221" s="66" t="str">
        <f aca="false">IF($C221="","",MAX(1,IFERROR(INDEX(商品マスタ!$I$6:$I$1005,MATCH($C221,商品マスタ!$B$6:$B$1005,0)),1)))</f>
        <v/>
      </c>
      <c r="K221" s="69" t="str">
        <f aca="false">IF($C221="","",SUMIFS(①今日の在庫を貼る!$N$6:$N$10005,①今日の在庫を貼る!$B$6:$B$10005,'設定（最初に1回）'!$C$4,①今日の在庫を貼る!$I$6:$I$10005,$C221))</f>
        <v/>
      </c>
      <c r="L221" s="69" t="str">
        <f aca="false">IF($C221="","",SUMIFS(月1回_前回の在庫を貼る!$N$6:$N$10005,月1回_前回の在庫を貼る!$B$6:$B$10005,'設定（最初に1回）'!$C$4,月1回_前回の在庫を貼る!$I$6:$I$10005,$C221))</f>
        <v/>
      </c>
      <c r="M221" s="69" t="str">
        <f aca="false">IF($C221="","",IF(OR('設定（最初に1回）'!$C$6="",'設定（最初に1回）'!$C$7=""),0,SUMIFS(発注管理!$S$6:$S$1005,発注管理!$C$6:$C$1005,'設定（最初に1回）'!$C$4,発注管理!$F$6:$F$1005,$C221,発注管理!$R$6:$R$1005,"&gt;="&amp;'設定（最初に1回）'!$C$7,発注管理!$R$6:$R$1005,"&lt;="&amp;'設定（最初に1回）'!$C$6)))</f>
        <v/>
      </c>
      <c r="N221" s="69" t="str">
        <f aca="false">IF(OR($C221="",'設定（最初に1回）'!$C$15=0),"",$L221+$M221-$K221)</f>
        <v/>
      </c>
      <c r="O221" s="143" t="str">
        <f aca="false">IF(OR($N221="",'設定（最初に1回）'!$C$8="",'設定（最初に1回）'!$C$8&lt;=0),"",MAX(0,$N221)/'設定（最初に1回）'!$C$8)</f>
        <v/>
      </c>
      <c r="P221" s="143" t="str">
        <f aca="false">IF($C221="","",IFERROR(INDEX(商品マスタ!$M$6:$N$1005,MATCH($C221,商品マスタ!$B$6:$B$1005,0),MATCH("PI値 "&amp;'設定（最初に1回）'!$C$11,商品マスタ!$M$5:$N$5,0)),""))</f>
        <v/>
      </c>
      <c r="Q221" s="143" t="str">
        <f aca="false">IF(OR($C221="",$P221="",$P221=0,(N($I221)+N($AG221))&lt;=0),"",IFERROR(SUMIFS(随時_動員を入れる!$G$8:$G$97,随時_動員を入れる!$B$8:$B$97,"&gt;="&amp;'設定（最初に1回）'!$C$6,随時_動員を入れる!$B$8:$B$97,"&lt;="&amp;'設定（最初に1回）'!$C$6+(N($I221)+N($AG221))-1)/(N($I221)+N($AG221)),0)*$P221/100)</f>
        <v/>
      </c>
      <c r="R221" s="69" t="str">
        <f aca="false">IF($C221="","",SUMIFS(①今日の在庫を貼る!$O$6:$O$10005,①今日の在庫を貼る!$B$6:$B$10005,'設定（最初に1回）'!$C$4,①今日の在庫を貼る!$I$6:$I$10005,$C221))</f>
        <v/>
      </c>
      <c r="S221" s="143" t="str">
        <f aca="false">IF($C221="","",IF('設定（最初に1回）'!$C$9="実績消費",N($O221),IF('設定（最初に1回）'!$C$9="PI値予測",N($Q221),MAX(N($O221),N($Q221)))))</f>
        <v/>
      </c>
      <c r="T221" s="67" t="str">
        <f aca="false">IF(OR($S221="",$S221&lt;=0),"",$K221/$S221)</f>
        <v/>
      </c>
      <c r="U221" s="69" t="str">
        <f aca="false">IF($S221="","",ROUNDUP(N($S221)*'設定（最初に1回）'!$C$12,0))</f>
        <v/>
      </c>
      <c r="V221" s="69" t="str">
        <f aca="false">IF($C221="","",ROUNDUP(N($S221)*(N($I221)+N($AG221))+N($U221),0))</f>
        <v/>
      </c>
      <c r="W221" s="69" t="str">
        <f aca="false">IF($C221="","",SUMIFS(発注管理!$L$6:$L$1005,発注管理!$C$6:$C$1005,'設定（最初に1回）'!$C$4,発注管理!$F$6:$F$1005,$C221,発注管理!$Q$6:$Q$1005,"発注済"))</f>
        <v/>
      </c>
      <c r="X221" s="69" t="str">
        <f aca="false">IF($C221="","",MAX(0,N($V221)-N($K221)-N($W221)))</f>
        <v/>
      </c>
      <c r="Y221" s="147" t="str">
        <f aca="false">IF($C221="","",IF(N($X221)&lt;=0,0,CEILING($X221/MAX(1,N($G221)),MAX(1,N($J221)))))</f>
        <v/>
      </c>
      <c r="Z221" s="138" t="str">
        <f aca="false">IF($C221="","",IF(N($Y221)&gt;0,"要発注","正常"))</f>
        <v/>
      </c>
      <c r="AA221" s="71" t="str">
        <f aca="false">IF($C221="","",N($K221)*N($H221))</f>
        <v/>
      </c>
      <c r="AB221" s="66" t="str">
        <f aca="false">IF($C221="","",_xlfn.TEXTJOIN(" / ",TRUE(),IF(COUNTIF(商品マスタ!$B$6:$B$1005,$C221)=0,"マスタ未登録",""),IF(COUNTIFS(月1回_前回の在庫を貼る!$B$6:$B$10005,'設定（最初に1回）'!$C$4,月1回_前回の在庫を貼る!$I$6:$I$10005,$C221)=0,"新商品",""),IF(COUNTIFS(①今日の在庫を貼る!$B$6:$B$10005,'設定（最初に1回）'!$C$4,①今日の在庫を貼る!$I$6:$I$10005,$C221)=0,"終売候補",""),IF(N($K221)&lt;0,"在庫マイナス",""),IF(AND('設定（最初に1回）'!$C$9="PI値予測",$P221=""),"PI値未設定","")))</f>
        <v/>
      </c>
      <c r="AC221" s="71" t="n">
        <f aca="false">N($Y221)*N($H221)</f>
        <v>0</v>
      </c>
      <c r="AD221" s="66" t="str">
        <f aca="false">IF($C221="","",IFERROR(INDEX(商品マスタ!$K$6:$K$1005,MATCH($C221,商品マスタ!$B$6:$B$1005,0)),"常温"))</f>
        <v/>
      </c>
      <c r="AE221" s="69" t="str">
        <f aca="false">IF($C221="","",MAX(0,ROUNDUP(N($K221)/MAX(1,N($G221)),0)))</f>
        <v/>
      </c>
      <c r="AF221" s="66" t="str">
        <f aca="false">IF($C221="","",IFERROR(INDEX(商品マスタ!$L$6:$L$1005,MATCH($C221,商品マスタ!$B$6:$B$1005,0)),""))</f>
        <v/>
      </c>
      <c r="AG221" s="143" t="str">
        <f aca="false">IF($C221="","",IFERROR(INDEX(定数マスタ!$S$110:$S$119,MATCH($AF221,定数マスタ!$J$110:$J$119,0)),N('設定（最初に1回）'!$C$13)))</f>
        <v/>
      </c>
      <c r="AH221" s="66" t="n">
        <f aca="false">IF(AND(N($K221)&gt;0,N($Y221)&gt;0),N($Y221),0)</f>
        <v>0</v>
      </c>
    </row>
    <row r="222" customFormat="false" ht="15" hidden="false" customHeight="false" outlineLevel="0" collapsed="false">
      <c r="B222" s="66" t="n">
        <v>217</v>
      </c>
      <c r="C222" s="66" t="str">
        <f aca="false">IFERROR(IF($B222&lt;=MAX(①今日の在庫を貼る!$U$6:$U$10005),INDEX(①今日の在庫を貼る!$I$6:$I$10005,MATCH($B222,①今日の在庫を貼る!$U$6:$U$10005,0)),INDEX(月1回_前回の在庫を貼る!$I$6:$I$10005,MATCH($B222-MAX(①今日の在庫を貼る!$U$6:$U$10005),月1回_前回の在庫を貼る!$U$6:$U$10005,0))),"")</f>
        <v/>
      </c>
      <c r="D222" s="66" t="str">
        <f aca="false">IF($C222="","",IFERROR(INDEX(商品マスタ!$C$6:$C$1005,MATCH($C222,商品マスタ!$B$6:$B$1005,0)),IFERROR(INDEX(①今日の在庫を貼る!$J$6:$J$10005,MATCH($C222,①今日の在庫を貼る!$I$6:$I$10005,0)),IFERROR(INDEX(月1回_前回の在庫を貼る!$J$6:$J$10005,MATCH($C222,月1回_前回の在庫を貼る!$I$6:$I$10005,0)),""))))</f>
        <v/>
      </c>
      <c r="E222" s="66" t="str">
        <f aca="false">IF($C222="","",IFERROR(INDEX(商品マスタ!$D$6:$D$1005,MATCH($C222,商品マスタ!$B$6:$B$1005,0)),IFERROR(INDEX(①今日の在庫を貼る!$H$6:$H$10005,MATCH($C222,①今日の在庫を貼る!$I$6:$I$10005,0)),IFERROR(INDEX(月1回_前回の在庫を貼る!$H$6:$H$10005,MATCH($C222,月1回_前回の在庫を貼る!$I$6:$I$10005,0)),""))))</f>
        <v/>
      </c>
      <c r="F222" s="66" t="str">
        <f aca="false">IF($C222="","",IFERROR(INDEX(商品マスタ!$E$6:$E$1005,MATCH($C222,商品マスタ!$B$6:$B$1005,0)),IFERROR(INDEX(①今日の在庫を貼る!$E$6:$E$10005,MATCH($C222,①今日の在庫を貼る!$I$6:$I$10005,0)),IFERROR(INDEX(月1回_前回の在庫を貼る!$E$6:$E$10005,MATCH($C222,月1回_前回の在庫を貼る!$I$6:$I$10005,0)),""))))</f>
        <v/>
      </c>
      <c r="G222" s="69" t="str">
        <f aca="false">IF($C222="","",IFERROR(INDEX(商品マスタ!$F$6:$F$1005,MATCH($C222,商品マスタ!$B$6:$B$1005,0)),IFERROR(INDEX(①今日の在庫を貼る!$K$6:$K$10005,MATCH($C222,①今日の在庫を貼る!$I$6:$I$10005,0)),IFERROR(INDEX(月1回_前回の在庫を貼る!$K$6:$K$10005,MATCH($C222,月1回_前回の在庫を貼る!$I$6:$I$10005,0)),""))))</f>
        <v/>
      </c>
      <c r="H222" s="71" t="str">
        <f aca="false">IF($C222="","",IFERROR(INDEX(商品マスタ!$G$6:$G$1005,MATCH($C222,商品マスタ!$B$6:$B$1005,0)),IFERROR(INDEX(①今日の在庫を貼る!$Q$6:$Q$10005,MATCH($C222,①今日の在庫を貼る!$I$6:$I$10005,0)),IFERROR(INDEX(月1回_前回の在庫を貼る!$Q$6:$Q$10005,MATCH($C222,月1回_前回の在庫を貼る!$I$6:$I$10005,0)),""))))</f>
        <v/>
      </c>
      <c r="I222" s="66" t="str">
        <f aca="false">IF($C222="","",IFERROR(INDEX(商品マスタ!$H$6:$H$1005,MATCH($C222,商品マスタ!$B$6:$B$1005,0)),3))</f>
        <v/>
      </c>
      <c r="J222" s="66" t="str">
        <f aca="false">IF($C222="","",MAX(1,IFERROR(INDEX(商品マスタ!$I$6:$I$1005,MATCH($C222,商品マスタ!$B$6:$B$1005,0)),1)))</f>
        <v/>
      </c>
      <c r="K222" s="69" t="str">
        <f aca="false">IF($C222="","",SUMIFS(①今日の在庫を貼る!$N$6:$N$10005,①今日の在庫を貼る!$B$6:$B$10005,'設定（最初に1回）'!$C$4,①今日の在庫を貼る!$I$6:$I$10005,$C222))</f>
        <v/>
      </c>
      <c r="L222" s="69" t="str">
        <f aca="false">IF($C222="","",SUMIFS(月1回_前回の在庫を貼る!$N$6:$N$10005,月1回_前回の在庫を貼る!$B$6:$B$10005,'設定（最初に1回）'!$C$4,月1回_前回の在庫を貼る!$I$6:$I$10005,$C222))</f>
        <v/>
      </c>
      <c r="M222" s="69" t="str">
        <f aca="false">IF($C222="","",IF(OR('設定（最初に1回）'!$C$6="",'設定（最初に1回）'!$C$7=""),0,SUMIFS(発注管理!$S$6:$S$1005,発注管理!$C$6:$C$1005,'設定（最初に1回）'!$C$4,発注管理!$F$6:$F$1005,$C222,発注管理!$R$6:$R$1005,"&gt;="&amp;'設定（最初に1回）'!$C$7,発注管理!$R$6:$R$1005,"&lt;="&amp;'設定（最初に1回）'!$C$6)))</f>
        <v/>
      </c>
      <c r="N222" s="69" t="str">
        <f aca="false">IF(OR($C222="",'設定（最初に1回）'!$C$15=0),"",$L222+$M222-$K222)</f>
        <v/>
      </c>
      <c r="O222" s="143" t="str">
        <f aca="false">IF(OR($N222="",'設定（最初に1回）'!$C$8="",'設定（最初に1回）'!$C$8&lt;=0),"",MAX(0,$N222)/'設定（最初に1回）'!$C$8)</f>
        <v/>
      </c>
      <c r="P222" s="143" t="str">
        <f aca="false">IF($C222="","",IFERROR(INDEX(商品マスタ!$M$6:$N$1005,MATCH($C222,商品マスタ!$B$6:$B$1005,0),MATCH("PI値 "&amp;'設定（最初に1回）'!$C$11,商品マスタ!$M$5:$N$5,0)),""))</f>
        <v/>
      </c>
      <c r="Q222" s="143" t="str">
        <f aca="false">IF(OR($C222="",$P222="",$P222=0,(N($I222)+N($AG222))&lt;=0),"",IFERROR(SUMIFS(随時_動員を入れる!$G$8:$G$97,随時_動員を入れる!$B$8:$B$97,"&gt;="&amp;'設定（最初に1回）'!$C$6,随時_動員を入れる!$B$8:$B$97,"&lt;="&amp;'設定（最初に1回）'!$C$6+(N($I222)+N($AG222))-1)/(N($I222)+N($AG222)),0)*$P222/100)</f>
        <v/>
      </c>
      <c r="R222" s="69" t="str">
        <f aca="false">IF($C222="","",SUMIFS(①今日の在庫を貼る!$O$6:$O$10005,①今日の在庫を貼る!$B$6:$B$10005,'設定（最初に1回）'!$C$4,①今日の在庫を貼る!$I$6:$I$10005,$C222))</f>
        <v/>
      </c>
      <c r="S222" s="143" t="str">
        <f aca="false">IF($C222="","",IF('設定（最初に1回）'!$C$9="実績消費",N($O222),IF('設定（最初に1回）'!$C$9="PI値予測",N($Q222),MAX(N($O222),N($Q222)))))</f>
        <v/>
      </c>
      <c r="T222" s="67" t="str">
        <f aca="false">IF(OR($S222="",$S222&lt;=0),"",$K222/$S222)</f>
        <v/>
      </c>
      <c r="U222" s="69" t="str">
        <f aca="false">IF($S222="","",ROUNDUP(N($S222)*'設定（最初に1回）'!$C$12,0))</f>
        <v/>
      </c>
      <c r="V222" s="69" t="str">
        <f aca="false">IF($C222="","",ROUNDUP(N($S222)*(N($I222)+N($AG222))+N($U222),0))</f>
        <v/>
      </c>
      <c r="W222" s="69" t="str">
        <f aca="false">IF($C222="","",SUMIFS(発注管理!$L$6:$L$1005,発注管理!$C$6:$C$1005,'設定（最初に1回）'!$C$4,発注管理!$F$6:$F$1005,$C222,発注管理!$Q$6:$Q$1005,"発注済"))</f>
        <v/>
      </c>
      <c r="X222" s="69" t="str">
        <f aca="false">IF($C222="","",MAX(0,N($V222)-N($K222)-N($W222)))</f>
        <v/>
      </c>
      <c r="Y222" s="147" t="str">
        <f aca="false">IF($C222="","",IF(N($X222)&lt;=0,0,CEILING($X222/MAX(1,N($G222)),MAX(1,N($J222)))))</f>
        <v/>
      </c>
      <c r="Z222" s="138" t="str">
        <f aca="false">IF($C222="","",IF(N($Y222)&gt;0,"要発注","正常"))</f>
        <v/>
      </c>
      <c r="AA222" s="71" t="str">
        <f aca="false">IF($C222="","",N($K222)*N($H222))</f>
        <v/>
      </c>
      <c r="AB222" s="66" t="str">
        <f aca="false">IF($C222="","",_xlfn.TEXTJOIN(" / ",TRUE(),IF(COUNTIF(商品マスタ!$B$6:$B$1005,$C222)=0,"マスタ未登録",""),IF(COUNTIFS(月1回_前回の在庫を貼る!$B$6:$B$10005,'設定（最初に1回）'!$C$4,月1回_前回の在庫を貼る!$I$6:$I$10005,$C222)=0,"新商品",""),IF(COUNTIFS(①今日の在庫を貼る!$B$6:$B$10005,'設定（最初に1回）'!$C$4,①今日の在庫を貼る!$I$6:$I$10005,$C222)=0,"終売候補",""),IF(N($K222)&lt;0,"在庫マイナス",""),IF(AND('設定（最初に1回）'!$C$9="PI値予測",$P222=""),"PI値未設定","")))</f>
        <v/>
      </c>
      <c r="AC222" s="71" t="n">
        <f aca="false">N($Y222)*N($H222)</f>
        <v>0</v>
      </c>
      <c r="AD222" s="66" t="str">
        <f aca="false">IF($C222="","",IFERROR(INDEX(商品マスタ!$K$6:$K$1005,MATCH($C222,商品マスタ!$B$6:$B$1005,0)),"常温"))</f>
        <v/>
      </c>
      <c r="AE222" s="69" t="str">
        <f aca="false">IF($C222="","",MAX(0,ROUNDUP(N($K222)/MAX(1,N($G222)),0)))</f>
        <v/>
      </c>
      <c r="AF222" s="66" t="str">
        <f aca="false">IF($C222="","",IFERROR(INDEX(商品マスタ!$L$6:$L$1005,MATCH($C222,商品マスタ!$B$6:$B$1005,0)),""))</f>
        <v/>
      </c>
      <c r="AG222" s="143" t="str">
        <f aca="false">IF($C222="","",IFERROR(INDEX(定数マスタ!$S$110:$S$119,MATCH($AF222,定数マスタ!$J$110:$J$119,0)),N('設定（最初に1回）'!$C$13)))</f>
        <v/>
      </c>
      <c r="AH222" s="66" t="n">
        <f aca="false">IF(AND(N($K222)&gt;0,N($Y222)&gt;0),N($Y222),0)</f>
        <v>0</v>
      </c>
    </row>
    <row r="223" customFormat="false" ht="15" hidden="false" customHeight="false" outlineLevel="0" collapsed="false">
      <c r="B223" s="66" t="n">
        <v>218</v>
      </c>
      <c r="C223" s="66" t="str">
        <f aca="false">IFERROR(IF($B223&lt;=MAX(①今日の在庫を貼る!$U$6:$U$10005),INDEX(①今日の在庫を貼る!$I$6:$I$10005,MATCH($B223,①今日の在庫を貼る!$U$6:$U$10005,0)),INDEX(月1回_前回の在庫を貼る!$I$6:$I$10005,MATCH($B223-MAX(①今日の在庫を貼る!$U$6:$U$10005),月1回_前回の在庫を貼る!$U$6:$U$10005,0))),"")</f>
        <v/>
      </c>
      <c r="D223" s="66" t="str">
        <f aca="false">IF($C223="","",IFERROR(INDEX(商品マスタ!$C$6:$C$1005,MATCH($C223,商品マスタ!$B$6:$B$1005,0)),IFERROR(INDEX(①今日の在庫を貼る!$J$6:$J$10005,MATCH($C223,①今日の在庫を貼る!$I$6:$I$10005,0)),IFERROR(INDEX(月1回_前回の在庫を貼る!$J$6:$J$10005,MATCH($C223,月1回_前回の在庫を貼る!$I$6:$I$10005,0)),""))))</f>
        <v/>
      </c>
      <c r="E223" s="66" t="str">
        <f aca="false">IF($C223="","",IFERROR(INDEX(商品マスタ!$D$6:$D$1005,MATCH($C223,商品マスタ!$B$6:$B$1005,0)),IFERROR(INDEX(①今日の在庫を貼る!$H$6:$H$10005,MATCH($C223,①今日の在庫を貼る!$I$6:$I$10005,0)),IFERROR(INDEX(月1回_前回の在庫を貼る!$H$6:$H$10005,MATCH($C223,月1回_前回の在庫を貼る!$I$6:$I$10005,0)),""))))</f>
        <v/>
      </c>
      <c r="F223" s="66" t="str">
        <f aca="false">IF($C223="","",IFERROR(INDEX(商品マスタ!$E$6:$E$1005,MATCH($C223,商品マスタ!$B$6:$B$1005,0)),IFERROR(INDEX(①今日の在庫を貼る!$E$6:$E$10005,MATCH($C223,①今日の在庫を貼る!$I$6:$I$10005,0)),IFERROR(INDEX(月1回_前回の在庫を貼る!$E$6:$E$10005,MATCH($C223,月1回_前回の在庫を貼る!$I$6:$I$10005,0)),""))))</f>
        <v/>
      </c>
      <c r="G223" s="69" t="str">
        <f aca="false">IF($C223="","",IFERROR(INDEX(商品マスタ!$F$6:$F$1005,MATCH($C223,商品マスタ!$B$6:$B$1005,0)),IFERROR(INDEX(①今日の在庫を貼る!$K$6:$K$10005,MATCH($C223,①今日の在庫を貼る!$I$6:$I$10005,0)),IFERROR(INDEX(月1回_前回の在庫を貼る!$K$6:$K$10005,MATCH($C223,月1回_前回の在庫を貼る!$I$6:$I$10005,0)),""))))</f>
        <v/>
      </c>
      <c r="H223" s="71" t="str">
        <f aca="false">IF($C223="","",IFERROR(INDEX(商品マスタ!$G$6:$G$1005,MATCH($C223,商品マスタ!$B$6:$B$1005,0)),IFERROR(INDEX(①今日の在庫を貼る!$Q$6:$Q$10005,MATCH($C223,①今日の在庫を貼る!$I$6:$I$10005,0)),IFERROR(INDEX(月1回_前回の在庫を貼る!$Q$6:$Q$10005,MATCH($C223,月1回_前回の在庫を貼る!$I$6:$I$10005,0)),""))))</f>
        <v/>
      </c>
      <c r="I223" s="66" t="str">
        <f aca="false">IF($C223="","",IFERROR(INDEX(商品マスタ!$H$6:$H$1005,MATCH($C223,商品マスタ!$B$6:$B$1005,0)),3))</f>
        <v/>
      </c>
      <c r="J223" s="66" t="str">
        <f aca="false">IF($C223="","",MAX(1,IFERROR(INDEX(商品マスタ!$I$6:$I$1005,MATCH($C223,商品マスタ!$B$6:$B$1005,0)),1)))</f>
        <v/>
      </c>
      <c r="K223" s="69" t="str">
        <f aca="false">IF($C223="","",SUMIFS(①今日の在庫を貼る!$N$6:$N$10005,①今日の在庫を貼る!$B$6:$B$10005,'設定（最初に1回）'!$C$4,①今日の在庫を貼る!$I$6:$I$10005,$C223))</f>
        <v/>
      </c>
      <c r="L223" s="69" t="str">
        <f aca="false">IF($C223="","",SUMIFS(月1回_前回の在庫を貼る!$N$6:$N$10005,月1回_前回の在庫を貼る!$B$6:$B$10005,'設定（最初に1回）'!$C$4,月1回_前回の在庫を貼る!$I$6:$I$10005,$C223))</f>
        <v/>
      </c>
      <c r="M223" s="69" t="str">
        <f aca="false">IF($C223="","",IF(OR('設定（最初に1回）'!$C$6="",'設定（最初に1回）'!$C$7=""),0,SUMIFS(発注管理!$S$6:$S$1005,発注管理!$C$6:$C$1005,'設定（最初に1回）'!$C$4,発注管理!$F$6:$F$1005,$C223,発注管理!$R$6:$R$1005,"&gt;="&amp;'設定（最初に1回）'!$C$7,発注管理!$R$6:$R$1005,"&lt;="&amp;'設定（最初に1回）'!$C$6)))</f>
        <v/>
      </c>
      <c r="N223" s="69" t="str">
        <f aca="false">IF(OR($C223="",'設定（最初に1回）'!$C$15=0),"",$L223+$M223-$K223)</f>
        <v/>
      </c>
      <c r="O223" s="143" t="str">
        <f aca="false">IF(OR($N223="",'設定（最初に1回）'!$C$8="",'設定（最初に1回）'!$C$8&lt;=0),"",MAX(0,$N223)/'設定（最初に1回）'!$C$8)</f>
        <v/>
      </c>
      <c r="P223" s="143" t="str">
        <f aca="false">IF($C223="","",IFERROR(INDEX(商品マスタ!$M$6:$N$1005,MATCH($C223,商品マスタ!$B$6:$B$1005,0),MATCH("PI値 "&amp;'設定（最初に1回）'!$C$11,商品マスタ!$M$5:$N$5,0)),""))</f>
        <v/>
      </c>
      <c r="Q223" s="143" t="str">
        <f aca="false">IF(OR($C223="",$P223="",$P223=0,(N($I223)+N($AG223))&lt;=0),"",IFERROR(SUMIFS(随時_動員を入れる!$G$8:$G$97,随時_動員を入れる!$B$8:$B$97,"&gt;="&amp;'設定（最初に1回）'!$C$6,随時_動員を入れる!$B$8:$B$97,"&lt;="&amp;'設定（最初に1回）'!$C$6+(N($I223)+N($AG223))-1)/(N($I223)+N($AG223)),0)*$P223/100)</f>
        <v/>
      </c>
      <c r="R223" s="69" t="str">
        <f aca="false">IF($C223="","",SUMIFS(①今日の在庫を貼る!$O$6:$O$10005,①今日の在庫を貼る!$B$6:$B$10005,'設定（最初に1回）'!$C$4,①今日の在庫を貼る!$I$6:$I$10005,$C223))</f>
        <v/>
      </c>
      <c r="S223" s="143" t="str">
        <f aca="false">IF($C223="","",IF('設定（最初に1回）'!$C$9="実績消費",N($O223),IF('設定（最初に1回）'!$C$9="PI値予測",N($Q223),MAX(N($O223),N($Q223)))))</f>
        <v/>
      </c>
      <c r="T223" s="67" t="str">
        <f aca="false">IF(OR($S223="",$S223&lt;=0),"",$K223/$S223)</f>
        <v/>
      </c>
      <c r="U223" s="69" t="str">
        <f aca="false">IF($S223="","",ROUNDUP(N($S223)*'設定（最初に1回）'!$C$12,0))</f>
        <v/>
      </c>
      <c r="V223" s="69" t="str">
        <f aca="false">IF($C223="","",ROUNDUP(N($S223)*(N($I223)+N($AG223))+N($U223),0))</f>
        <v/>
      </c>
      <c r="W223" s="69" t="str">
        <f aca="false">IF($C223="","",SUMIFS(発注管理!$L$6:$L$1005,発注管理!$C$6:$C$1005,'設定（最初に1回）'!$C$4,発注管理!$F$6:$F$1005,$C223,発注管理!$Q$6:$Q$1005,"発注済"))</f>
        <v/>
      </c>
      <c r="X223" s="69" t="str">
        <f aca="false">IF($C223="","",MAX(0,N($V223)-N($K223)-N($W223)))</f>
        <v/>
      </c>
      <c r="Y223" s="147" t="str">
        <f aca="false">IF($C223="","",IF(N($X223)&lt;=0,0,CEILING($X223/MAX(1,N($G223)),MAX(1,N($J223)))))</f>
        <v/>
      </c>
      <c r="Z223" s="138" t="str">
        <f aca="false">IF($C223="","",IF(N($Y223)&gt;0,"要発注","正常"))</f>
        <v/>
      </c>
      <c r="AA223" s="71" t="str">
        <f aca="false">IF($C223="","",N($K223)*N($H223))</f>
        <v/>
      </c>
      <c r="AB223" s="66" t="str">
        <f aca="false">IF($C223="","",_xlfn.TEXTJOIN(" / ",TRUE(),IF(COUNTIF(商品マスタ!$B$6:$B$1005,$C223)=0,"マスタ未登録",""),IF(COUNTIFS(月1回_前回の在庫を貼る!$B$6:$B$10005,'設定（最初に1回）'!$C$4,月1回_前回の在庫を貼る!$I$6:$I$10005,$C223)=0,"新商品",""),IF(COUNTIFS(①今日の在庫を貼る!$B$6:$B$10005,'設定（最初に1回）'!$C$4,①今日の在庫を貼る!$I$6:$I$10005,$C223)=0,"終売候補",""),IF(N($K223)&lt;0,"在庫マイナス",""),IF(AND('設定（最初に1回）'!$C$9="PI値予測",$P223=""),"PI値未設定","")))</f>
        <v/>
      </c>
      <c r="AC223" s="71" t="n">
        <f aca="false">N($Y223)*N($H223)</f>
        <v>0</v>
      </c>
      <c r="AD223" s="66" t="str">
        <f aca="false">IF($C223="","",IFERROR(INDEX(商品マスタ!$K$6:$K$1005,MATCH($C223,商品マスタ!$B$6:$B$1005,0)),"常温"))</f>
        <v/>
      </c>
      <c r="AE223" s="69" t="str">
        <f aca="false">IF($C223="","",MAX(0,ROUNDUP(N($K223)/MAX(1,N($G223)),0)))</f>
        <v/>
      </c>
      <c r="AF223" s="66" t="str">
        <f aca="false">IF($C223="","",IFERROR(INDEX(商品マスタ!$L$6:$L$1005,MATCH($C223,商品マスタ!$B$6:$B$1005,0)),""))</f>
        <v/>
      </c>
      <c r="AG223" s="143" t="str">
        <f aca="false">IF($C223="","",IFERROR(INDEX(定数マスタ!$S$110:$S$119,MATCH($AF223,定数マスタ!$J$110:$J$119,0)),N('設定（最初に1回）'!$C$13)))</f>
        <v/>
      </c>
      <c r="AH223" s="66" t="n">
        <f aca="false">IF(AND(N($K223)&gt;0,N($Y223)&gt;0),N($Y223),0)</f>
        <v>0</v>
      </c>
    </row>
    <row r="224" customFormat="false" ht="15" hidden="false" customHeight="false" outlineLevel="0" collapsed="false">
      <c r="B224" s="66" t="n">
        <v>219</v>
      </c>
      <c r="C224" s="66" t="str">
        <f aca="false">IFERROR(IF($B224&lt;=MAX(①今日の在庫を貼る!$U$6:$U$10005),INDEX(①今日の在庫を貼る!$I$6:$I$10005,MATCH($B224,①今日の在庫を貼る!$U$6:$U$10005,0)),INDEX(月1回_前回の在庫を貼る!$I$6:$I$10005,MATCH($B224-MAX(①今日の在庫を貼る!$U$6:$U$10005),月1回_前回の在庫を貼る!$U$6:$U$10005,0))),"")</f>
        <v/>
      </c>
      <c r="D224" s="66" t="str">
        <f aca="false">IF($C224="","",IFERROR(INDEX(商品マスタ!$C$6:$C$1005,MATCH($C224,商品マスタ!$B$6:$B$1005,0)),IFERROR(INDEX(①今日の在庫を貼る!$J$6:$J$10005,MATCH($C224,①今日の在庫を貼る!$I$6:$I$10005,0)),IFERROR(INDEX(月1回_前回の在庫を貼る!$J$6:$J$10005,MATCH($C224,月1回_前回の在庫を貼る!$I$6:$I$10005,0)),""))))</f>
        <v/>
      </c>
      <c r="E224" s="66" t="str">
        <f aca="false">IF($C224="","",IFERROR(INDEX(商品マスタ!$D$6:$D$1005,MATCH($C224,商品マスタ!$B$6:$B$1005,0)),IFERROR(INDEX(①今日の在庫を貼る!$H$6:$H$10005,MATCH($C224,①今日の在庫を貼る!$I$6:$I$10005,0)),IFERROR(INDEX(月1回_前回の在庫を貼る!$H$6:$H$10005,MATCH($C224,月1回_前回の在庫を貼る!$I$6:$I$10005,0)),""))))</f>
        <v/>
      </c>
      <c r="F224" s="66" t="str">
        <f aca="false">IF($C224="","",IFERROR(INDEX(商品マスタ!$E$6:$E$1005,MATCH($C224,商品マスタ!$B$6:$B$1005,0)),IFERROR(INDEX(①今日の在庫を貼る!$E$6:$E$10005,MATCH($C224,①今日の在庫を貼る!$I$6:$I$10005,0)),IFERROR(INDEX(月1回_前回の在庫を貼る!$E$6:$E$10005,MATCH($C224,月1回_前回の在庫を貼る!$I$6:$I$10005,0)),""))))</f>
        <v/>
      </c>
      <c r="G224" s="69" t="str">
        <f aca="false">IF($C224="","",IFERROR(INDEX(商品マスタ!$F$6:$F$1005,MATCH($C224,商品マスタ!$B$6:$B$1005,0)),IFERROR(INDEX(①今日の在庫を貼る!$K$6:$K$10005,MATCH($C224,①今日の在庫を貼る!$I$6:$I$10005,0)),IFERROR(INDEX(月1回_前回の在庫を貼る!$K$6:$K$10005,MATCH($C224,月1回_前回の在庫を貼る!$I$6:$I$10005,0)),""))))</f>
        <v/>
      </c>
      <c r="H224" s="71" t="str">
        <f aca="false">IF($C224="","",IFERROR(INDEX(商品マスタ!$G$6:$G$1005,MATCH($C224,商品マスタ!$B$6:$B$1005,0)),IFERROR(INDEX(①今日の在庫を貼る!$Q$6:$Q$10005,MATCH($C224,①今日の在庫を貼る!$I$6:$I$10005,0)),IFERROR(INDEX(月1回_前回の在庫を貼る!$Q$6:$Q$10005,MATCH($C224,月1回_前回の在庫を貼る!$I$6:$I$10005,0)),""))))</f>
        <v/>
      </c>
      <c r="I224" s="66" t="str">
        <f aca="false">IF($C224="","",IFERROR(INDEX(商品マスタ!$H$6:$H$1005,MATCH($C224,商品マスタ!$B$6:$B$1005,0)),3))</f>
        <v/>
      </c>
      <c r="J224" s="66" t="str">
        <f aca="false">IF($C224="","",MAX(1,IFERROR(INDEX(商品マスタ!$I$6:$I$1005,MATCH($C224,商品マスタ!$B$6:$B$1005,0)),1)))</f>
        <v/>
      </c>
      <c r="K224" s="69" t="str">
        <f aca="false">IF($C224="","",SUMIFS(①今日の在庫を貼る!$N$6:$N$10005,①今日の在庫を貼る!$B$6:$B$10005,'設定（最初に1回）'!$C$4,①今日の在庫を貼る!$I$6:$I$10005,$C224))</f>
        <v/>
      </c>
      <c r="L224" s="69" t="str">
        <f aca="false">IF($C224="","",SUMIFS(月1回_前回の在庫を貼る!$N$6:$N$10005,月1回_前回の在庫を貼る!$B$6:$B$10005,'設定（最初に1回）'!$C$4,月1回_前回の在庫を貼る!$I$6:$I$10005,$C224))</f>
        <v/>
      </c>
      <c r="M224" s="69" t="str">
        <f aca="false">IF($C224="","",IF(OR('設定（最初に1回）'!$C$6="",'設定（最初に1回）'!$C$7=""),0,SUMIFS(発注管理!$S$6:$S$1005,発注管理!$C$6:$C$1005,'設定（最初に1回）'!$C$4,発注管理!$F$6:$F$1005,$C224,発注管理!$R$6:$R$1005,"&gt;="&amp;'設定（最初に1回）'!$C$7,発注管理!$R$6:$R$1005,"&lt;="&amp;'設定（最初に1回）'!$C$6)))</f>
        <v/>
      </c>
      <c r="N224" s="69" t="str">
        <f aca="false">IF(OR($C224="",'設定（最初に1回）'!$C$15=0),"",$L224+$M224-$K224)</f>
        <v/>
      </c>
      <c r="O224" s="143" t="str">
        <f aca="false">IF(OR($N224="",'設定（最初に1回）'!$C$8="",'設定（最初に1回）'!$C$8&lt;=0),"",MAX(0,$N224)/'設定（最初に1回）'!$C$8)</f>
        <v/>
      </c>
      <c r="P224" s="143" t="str">
        <f aca="false">IF($C224="","",IFERROR(INDEX(商品マスタ!$M$6:$N$1005,MATCH($C224,商品マスタ!$B$6:$B$1005,0),MATCH("PI値 "&amp;'設定（最初に1回）'!$C$11,商品マスタ!$M$5:$N$5,0)),""))</f>
        <v/>
      </c>
      <c r="Q224" s="143" t="str">
        <f aca="false">IF(OR($C224="",$P224="",$P224=0,(N($I224)+N($AG224))&lt;=0),"",IFERROR(SUMIFS(随時_動員を入れる!$G$8:$G$97,随時_動員を入れる!$B$8:$B$97,"&gt;="&amp;'設定（最初に1回）'!$C$6,随時_動員を入れる!$B$8:$B$97,"&lt;="&amp;'設定（最初に1回）'!$C$6+(N($I224)+N($AG224))-1)/(N($I224)+N($AG224)),0)*$P224/100)</f>
        <v/>
      </c>
      <c r="R224" s="69" t="str">
        <f aca="false">IF($C224="","",SUMIFS(①今日の在庫を貼る!$O$6:$O$10005,①今日の在庫を貼る!$B$6:$B$10005,'設定（最初に1回）'!$C$4,①今日の在庫を貼る!$I$6:$I$10005,$C224))</f>
        <v/>
      </c>
      <c r="S224" s="143" t="str">
        <f aca="false">IF($C224="","",IF('設定（最初に1回）'!$C$9="実績消費",N($O224),IF('設定（最初に1回）'!$C$9="PI値予測",N($Q224),MAX(N($O224),N($Q224)))))</f>
        <v/>
      </c>
      <c r="T224" s="67" t="str">
        <f aca="false">IF(OR($S224="",$S224&lt;=0),"",$K224/$S224)</f>
        <v/>
      </c>
      <c r="U224" s="69" t="str">
        <f aca="false">IF($S224="","",ROUNDUP(N($S224)*'設定（最初に1回）'!$C$12,0))</f>
        <v/>
      </c>
      <c r="V224" s="69" t="str">
        <f aca="false">IF($C224="","",ROUNDUP(N($S224)*(N($I224)+N($AG224))+N($U224),0))</f>
        <v/>
      </c>
      <c r="W224" s="69" t="str">
        <f aca="false">IF($C224="","",SUMIFS(発注管理!$L$6:$L$1005,発注管理!$C$6:$C$1005,'設定（最初に1回）'!$C$4,発注管理!$F$6:$F$1005,$C224,発注管理!$Q$6:$Q$1005,"発注済"))</f>
        <v/>
      </c>
      <c r="X224" s="69" t="str">
        <f aca="false">IF($C224="","",MAX(0,N($V224)-N($K224)-N($W224)))</f>
        <v/>
      </c>
      <c r="Y224" s="147" t="str">
        <f aca="false">IF($C224="","",IF(N($X224)&lt;=0,0,CEILING($X224/MAX(1,N($G224)),MAX(1,N($J224)))))</f>
        <v/>
      </c>
      <c r="Z224" s="138" t="str">
        <f aca="false">IF($C224="","",IF(N($Y224)&gt;0,"要発注","正常"))</f>
        <v/>
      </c>
      <c r="AA224" s="71" t="str">
        <f aca="false">IF($C224="","",N($K224)*N($H224))</f>
        <v/>
      </c>
      <c r="AB224" s="66" t="str">
        <f aca="false">IF($C224="","",_xlfn.TEXTJOIN(" / ",TRUE(),IF(COUNTIF(商品マスタ!$B$6:$B$1005,$C224)=0,"マスタ未登録",""),IF(COUNTIFS(月1回_前回の在庫を貼る!$B$6:$B$10005,'設定（最初に1回）'!$C$4,月1回_前回の在庫を貼る!$I$6:$I$10005,$C224)=0,"新商品",""),IF(COUNTIFS(①今日の在庫を貼る!$B$6:$B$10005,'設定（最初に1回）'!$C$4,①今日の在庫を貼る!$I$6:$I$10005,$C224)=0,"終売候補",""),IF(N($K224)&lt;0,"在庫マイナス",""),IF(AND('設定（最初に1回）'!$C$9="PI値予測",$P224=""),"PI値未設定","")))</f>
        <v/>
      </c>
      <c r="AC224" s="71" t="n">
        <f aca="false">N($Y224)*N($H224)</f>
        <v>0</v>
      </c>
      <c r="AD224" s="66" t="str">
        <f aca="false">IF($C224="","",IFERROR(INDEX(商品マスタ!$K$6:$K$1005,MATCH($C224,商品マスタ!$B$6:$B$1005,0)),"常温"))</f>
        <v/>
      </c>
      <c r="AE224" s="69" t="str">
        <f aca="false">IF($C224="","",MAX(0,ROUNDUP(N($K224)/MAX(1,N($G224)),0)))</f>
        <v/>
      </c>
      <c r="AF224" s="66" t="str">
        <f aca="false">IF($C224="","",IFERROR(INDEX(商品マスタ!$L$6:$L$1005,MATCH($C224,商品マスタ!$B$6:$B$1005,0)),""))</f>
        <v/>
      </c>
      <c r="AG224" s="143" t="str">
        <f aca="false">IF($C224="","",IFERROR(INDEX(定数マスタ!$S$110:$S$119,MATCH($AF224,定数マスタ!$J$110:$J$119,0)),N('設定（最初に1回）'!$C$13)))</f>
        <v/>
      </c>
      <c r="AH224" s="66" t="n">
        <f aca="false">IF(AND(N($K224)&gt;0,N($Y224)&gt;0),N($Y224),0)</f>
        <v>0</v>
      </c>
    </row>
    <row r="225" customFormat="false" ht="15" hidden="false" customHeight="false" outlineLevel="0" collapsed="false">
      <c r="B225" s="66" t="n">
        <v>220</v>
      </c>
      <c r="C225" s="66" t="str">
        <f aca="false">IFERROR(IF($B225&lt;=MAX(①今日の在庫を貼る!$U$6:$U$10005),INDEX(①今日の在庫を貼る!$I$6:$I$10005,MATCH($B225,①今日の在庫を貼る!$U$6:$U$10005,0)),INDEX(月1回_前回の在庫を貼る!$I$6:$I$10005,MATCH($B225-MAX(①今日の在庫を貼る!$U$6:$U$10005),月1回_前回の在庫を貼る!$U$6:$U$10005,0))),"")</f>
        <v/>
      </c>
      <c r="D225" s="66" t="str">
        <f aca="false">IF($C225="","",IFERROR(INDEX(商品マスタ!$C$6:$C$1005,MATCH($C225,商品マスタ!$B$6:$B$1005,0)),IFERROR(INDEX(①今日の在庫を貼る!$J$6:$J$10005,MATCH($C225,①今日の在庫を貼る!$I$6:$I$10005,0)),IFERROR(INDEX(月1回_前回の在庫を貼る!$J$6:$J$10005,MATCH($C225,月1回_前回の在庫を貼る!$I$6:$I$10005,0)),""))))</f>
        <v/>
      </c>
      <c r="E225" s="66" t="str">
        <f aca="false">IF($C225="","",IFERROR(INDEX(商品マスタ!$D$6:$D$1005,MATCH($C225,商品マスタ!$B$6:$B$1005,0)),IFERROR(INDEX(①今日の在庫を貼る!$H$6:$H$10005,MATCH($C225,①今日の在庫を貼る!$I$6:$I$10005,0)),IFERROR(INDEX(月1回_前回の在庫を貼る!$H$6:$H$10005,MATCH($C225,月1回_前回の在庫を貼る!$I$6:$I$10005,0)),""))))</f>
        <v/>
      </c>
      <c r="F225" s="66" t="str">
        <f aca="false">IF($C225="","",IFERROR(INDEX(商品マスタ!$E$6:$E$1005,MATCH($C225,商品マスタ!$B$6:$B$1005,0)),IFERROR(INDEX(①今日の在庫を貼る!$E$6:$E$10005,MATCH($C225,①今日の在庫を貼る!$I$6:$I$10005,0)),IFERROR(INDEX(月1回_前回の在庫を貼る!$E$6:$E$10005,MATCH($C225,月1回_前回の在庫を貼る!$I$6:$I$10005,0)),""))))</f>
        <v/>
      </c>
      <c r="G225" s="69" t="str">
        <f aca="false">IF($C225="","",IFERROR(INDEX(商品マスタ!$F$6:$F$1005,MATCH($C225,商品マスタ!$B$6:$B$1005,0)),IFERROR(INDEX(①今日の在庫を貼る!$K$6:$K$10005,MATCH($C225,①今日の在庫を貼る!$I$6:$I$10005,0)),IFERROR(INDEX(月1回_前回の在庫を貼る!$K$6:$K$10005,MATCH($C225,月1回_前回の在庫を貼る!$I$6:$I$10005,0)),""))))</f>
        <v/>
      </c>
      <c r="H225" s="71" t="str">
        <f aca="false">IF($C225="","",IFERROR(INDEX(商品マスタ!$G$6:$G$1005,MATCH($C225,商品マスタ!$B$6:$B$1005,0)),IFERROR(INDEX(①今日の在庫を貼る!$Q$6:$Q$10005,MATCH($C225,①今日の在庫を貼る!$I$6:$I$10005,0)),IFERROR(INDEX(月1回_前回の在庫を貼る!$Q$6:$Q$10005,MATCH($C225,月1回_前回の在庫を貼る!$I$6:$I$10005,0)),""))))</f>
        <v/>
      </c>
      <c r="I225" s="66" t="str">
        <f aca="false">IF($C225="","",IFERROR(INDEX(商品マスタ!$H$6:$H$1005,MATCH($C225,商品マスタ!$B$6:$B$1005,0)),3))</f>
        <v/>
      </c>
      <c r="J225" s="66" t="str">
        <f aca="false">IF($C225="","",MAX(1,IFERROR(INDEX(商品マスタ!$I$6:$I$1005,MATCH($C225,商品マスタ!$B$6:$B$1005,0)),1)))</f>
        <v/>
      </c>
      <c r="K225" s="69" t="str">
        <f aca="false">IF($C225="","",SUMIFS(①今日の在庫を貼る!$N$6:$N$10005,①今日の在庫を貼る!$B$6:$B$10005,'設定（最初に1回）'!$C$4,①今日の在庫を貼る!$I$6:$I$10005,$C225))</f>
        <v/>
      </c>
      <c r="L225" s="69" t="str">
        <f aca="false">IF($C225="","",SUMIFS(月1回_前回の在庫を貼る!$N$6:$N$10005,月1回_前回の在庫を貼る!$B$6:$B$10005,'設定（最初に1回）'!$C$4,月1回_前回の在庫を貼る!$I$6:$I$10005,$C225))</f>
        <v/>
      </c>
      <c r="M225" s="69" t="str">
        <f aca="false">IF($C225="","",IF(OR('設定（最初に1回）'!$C$6="",'設定（最初に1回）'!$C$7=""),0,SUMIFS(発注管理!$S$6:$S$1005,発注管理!$C$6:$C$1005,'設定（最初に1回）'!$C$4,発注管理!$F$6:$F$1005,$C225,発注管理!$R$6:$R$1005,"&gt;="&amp;'設定（最初に1回）'!$C$7,発注管理!$R$6:$R$1005,"&lt;="&amp;'設定（最初に1回）'!$C$6)))</f>
        <v/>
      </c>
      <c r="N225" s="69" t="str">
        <f aca="false">IF(OR($C225="",'設定（最初に1回）'!$C$15=0),"",$L225+$M225-$K225)</f>
        <v/>
      </c>
      <c r="O225" s="143" t="str">
        <f aca="false">IF(OR($N225="",'設定（最初に1回）'!$C$8="",'設定（最初に1回）'!$C$8&lt;=0),"",MAX(0,$N225)/'設定（最初に1回）'!$C$8)</f>
        <v/>
      </c>
      <c r="P225" s="143" t="str">
        <f aca="false">IF($C225="","",IFERROR(INDEX(商品マスタ!$M$6:$N$1005,MATCH($C225,商品マスタ!$B$6:$B$1005,0),MATCH("PI値 "&amp;'設定（最初に1回）'!$C$11,商品マスタ!$M$5:$N$5,0)),""))</f>
        <v/>
      </c>
      <c r="Q225" s="143" t="str">
        <f aca="false">IF(OR($C225="",$P225="",$P225=0,(N($I225)+N($AG225))&lt;=0),"",IFERROR(SUMIFS(随時_動員を入れる!$G$8:$G$97,随時_動員を入れる!$B$8:$B$97,"&gt;="&amp;'設定（最初に1回）'!$C$6,随時_動員を入れる!$B$8:$B$97,"&lt;="&amp;'設定（最初に1回）'!$C$6+(N($I225)+N($AG225))-1)/(N($I225)+N($AG225)),0)*$P225/100)</f>
        <v/>
      </c>
      <c r="R225" s="69" t="str">
        <f aca="false">IF($C225="","",SUMIFS(①今日の在庫を貼る!$O$6:$O$10005,①今日の在庫を貼る!$B$6:$B$10005,'設定（最初に1回）'!$C$4,①今日の在庫を貼る!$I$6:$I$10005,$C225))</f>
        <v/>
      </c>
      <c r="S225" s="143" t="str">
        <f aca="false">IF($C225="","",IF('設定（最初に1回）'!$C$9="実績消費",N($O225),IF('設定（最初に1回）'!$C$9="PI値予測",N($Q225),MAX(N($O225),N($Q225)))))</f>
        <v/>
      </c>
      <c r="T225" s="67" t="str">
        <f aca="false">IF(OR($S225="",$S225&lt;=0),"",$K225/$S225)</f>
        <v/>
      </c>
      <c r="U225" s="69" t="str">
        <f aca="false">IF($S225="","",ROUNDUP(N($S225)*'設定（最初に1回）'!$C$12,0))</f>
        <v/>
      </c>
      <c r="V225" s="69" t="str">
        <f aca="false">IF($C225="","",ROUNDUP(N($S225)*(N($I225)+N($AG225))+N($U225),0))</f>
        <v/>
      </c>
      <c r="W225" s="69" t="str">
        <f aca="false">IF($C225="","",SUMIFS(発注管理!$L$6:$L$1005,発注管理!$C$6:$C$1005,'設定（最初に1回）'!$C$4,発注管理!$F$6:$F$1005,$C225,発注管理!$Q$6:$Q$1005,"発注済"))</f>
        <v/>
      </c>
      <c r="X225" s="69" t="str">
        <f aca="false">IF($C225="","",MAX(0,N($V225)-N($K225)-N($W225)))</f>
        <v/>
      </c>
      <c r="Y225" s="147" t="str">
        <f aca="false">IF($C225="","",IF(N($X225)&lt;=0,0,CEILING($X225/MAX(1,N($G225)),MAX(1,N($J225)))))</f>
        <v/>
      </c>
      <c r="Z225" s="138" t="str">
        <f aca="false">IF($C225="","",IF(N($Y225)&gt;0,"要発注","正常"))</f>
        <v/>
      </c>
      <c r="AA225" s="71" t="str">
        <f aca="false">IF($C225="","",N($K225)*N($H225))</f>
        <v/>
      </c>
      <c r="AB225" s="66" t="str">
        <f aca="false">IF($C225="","",_xlfn.TEXTJOIN(" / ",TRUE(),IF(COUNTIF(商品マスタ!$B$6:$B$1005,$C225)=0,"マスタ未登録",""),IF(COUNTIFS(月1回_前回の在庫を貼る!$B$6:$B$10005,'設定（最初に1回）'!$C$4,月1回_前回の在庫を貼る!$I$6:$I$10005,$C225)=0,"新商品",""),IF(COUNTIFS(①今日の在庫を貼る!$B$6:$B$10005,'設定（最初に1回）'!$C$4,①今日の在庫を貼る!$I$6:$I$10005,$C225)=0,"終売候補",""),IF(N($K225)&lt;0,"在庫マイナス",""),IF(AND('設定（最初に1回）'!$C$9="PI値予測",$P225=""),"PI値未設定","")))</f>
        <v/>
      </c>
      <c r="AC225" s="71" t="n">
        <f aca="false">N($Y225)*N($H225)</f>
        <v>0</v>
      </c>
      <c r="AD225" s="66" t="str">
        <f aca="false">IF($C225="","",IFERROR(INDEX(商品マスタ!$K$6:$K$1005,MATCH($C225,商品マスタ!$B$6:$B$1005,0)),"常温"))</f>
        <v/>
      </c>
      <c r="AE225" s="69" t="str">
        <f aca="false">IF($C225="","",MAX(0,ROUNDUP(N($K225)/MAX(1,N($G225)),0)))</f>
        <v/>
      </c>
      <c r="AF225" s="66" t="str">
        <f aca="false">IF($C225="","",IFERROR(INDEX(商品マスタ!$L$6:$L$1005,MATCH($C225,商品マスタ!$B$6:$B$1005,0)),""))</f>
        <v/>
      </c>
      <c r="AG225" s="143" t="str">
        <f aca="false">IF($C225="","",IFERROR(INDEX(定数マスタ!$S$110:$S$119,MATCH($AF225,定数マスタ!$J$110:$J$119,0)),N('設定（最初に1回）'!$C$13)))</f>
        <v/>
      </c>
      <c r="AH225" s="66" t="n">
        <f aca="false">IF(AND(N($K225)&gt;0,N($Y225)&gt;0),N($Y225),0)</f>
        <v>0</v>
      </c>
    </row>
    <row r="226" customFormat="false" ht="15" hidden="false" customHeight="false" outlineLevel="0" collapsed="false">
      <c r="B226" s="66" t="n">
        <v>221</v>
      </c>
      <c r="C226" s="66" t="str">
        <f aca="false">IFERROR(IF($B226&lt;=MAX(①今日の在庫を貼る!$U$6:$U$10005),INDEX(①今日の在庫を貼る!$I$6:$I$10005,MATCH($B226,①今日の在庫を貼る!$U$6:$U$10005,0)),INDEX(月1回_前回の在庫を貼る!$I$6:$I$10005,MATCH($B226-MAX(①今日の在庫を貼る!$U$6:$U$10005),月1回_前回の在庫を貼る!$U$6:$U$10005,0))),"")</f>
        <v/>
      </c>
      <c r="D226" s="66" t="str">
        <f aca="false">IF($C226="","",IFERROR(INDEX(商品マスタ!$C$6:$C$1005,MATCH($C226,商品マスタ!$B$6:$B$1005,0)),IFERROR(INDEX(①今日の在庫を貼る!$J$6:$J$10005,MATCH($C226,①今日の在庫を貼る!$I$6:$I$10005,0)),IFERROR(INDEX(月1回_前回の在庫を貼る!$J$6:$J$10005,MATCH($C226,月1回_前回の在庫を貼る!$I$6:$I$10005,0)),""))))</f>
        <v/>
      </c>
      <c r="E226" s="66" t="str">
        <f aca="false">IF($C226="","",IFERROR(INDEX(商品マスタ!$D$6:$D$1005,MATCH($C226,商品マスタ!$B$6:$B$1005,0)),IFERROR(INDEX(①今日の在庫を貼る!$H$6:$H$10005,MATCH($C226,①今日の在庫を貼る!$I$6:$I$10005,0)),IFERROR(INDEX(月1回_前回の在庫を貼る!$H$6:$H$10005,MATCH($C226,月1回_前回の在庫を貼る!$I$6:$I$10005,0)),""))))</f>
        <v/>
      </c>
      <c r="F226" s="66" t="str">
        <f aca="false">IF($C226="","",IFERROR(INDEX(商品マスタ!$E$6:$E$1005,MATCH($C226,商品マスタ!$B$6:$B$1005,0)),IFERROR(INDEX(①今日の在庫を貼る!$E$6:$E$10005,MATCH($C226,①今日の在庫を貼る!$I$6:$I$10005,0)),IFERROR(INDEX(月1回_前回の在庫を貼る!$E$6:$E$10005,MATCH($C226,月1回_前回の在庫を貼る!$I$6:$I$10005,0)),""))))</f>
        <v/>
      </c>
      <c r="G226" s="69" t="str">
        <f aca="false">IF($C226="","",IFERROR(INDEX(商品マスタ!$F$6:$F$1005,MATCH($C226,商品マスタ!$B$6:$B$1005,0)),IFERROR(INDEX(①今日の在庫を貼る!$K$6:$K$10005,MATCH($C226,①今日の在庫を貼る!$I$6:$I$10005,0)),IFERROR(INDEX(月1回_前回の在庫を貼る!$K$6:$K$10005,MATCH($C226,月1回_前回の在庫を貼る!$I$6:$I$10005,0)),""))))</f>
        <v/>
      </c>
      <c r="H226" s="71" t="str">
        <f aca="false">IF($C226="","",IFERROR(INDEX(商品マスタ!$G$6:$G$1005,MATCH($C226,商品マスタ!$B$6:$B$1005,0)),IFERROR(INDEX(①今日の在庫を貼る!$Q$6:$Q$10005,MATCH($C226,①今日の在庫を貼る!$I$6:$I$10005,0)),IFERROR(INDEX(月1回_前回の在庫を貼る!$Q$6:$Q$10005,MATCH($C226,月1回_前回の在庫を貼る!$I$6:$I$10005,0)),""))))</f>
        <v/>
      </c>
      <c r="I226" s="66" t="str">
        <f aca="false">IF($C226="","",IFERROR(INDEX(商品マスタ!$H$6:$H$1005,MATCH($C226,商品マスタ!$B$6:$B$1005,0)),3))</f>
        <v/>
      </c>
      <c r="J226" s="66" t="str">
        <f aca="false">IF($C226="","",MAX(1,IFERROR(INDEX(商品マスタ!$I$6:$I$1005,MATCH($C226,商品マスタ!$B$6:$B$1005,0)),1)))</f>
        <v/>
      </c>
      <c r="K226" s="69" t="str">
        <f aca="false">IF($C226="","",SUMIFS(①今日の在庫を貼る!$N$6:$N$10005,①今日の在庫を貼る!$B$6:$B$10005,'設定（最初に1回）'!$C$4,①今日の在庫を貼る!$I$6:$I$10005,$C226))</f>
        <v/>
      </c>
      <c r="L226" s="69" t="str">
        <f aca="false">IF($C226="","",SUMIFS(月1回_前回の在庫を貼る!$N$6:$N$10005,月1回_前回の在庫を貼る!$B$6:$B$10005,'設定（最初に1回）'!$C$4,月1回_前回の在庫を貼る!$I$6:$I$10005,$C226))</f>
        <v/>
      </c>
      <c r="M226" s="69" t="str">
        <f aca="false">IF($C226="","",IF(OR('設定（最初に1回）'!$C$6="",'設定（最初に1回）'!$C$7=""),0,SUMIFS(発注管理!$S$6:$S$1005,発注管理!$C$6:$C$1005,'設定（最初に1回）'!$C$4,発注管理!$F$6:$F$1005,$C226,発注管理!$R$6:$R$1005,"&gt;="&amp;'設定（最初に1回）'!$C$7,発注管理!$R$6:$R$1005,"&lt;="&amp;'設定（最初に1回）'!$C$6)))</f>
        <v/>
      </c>
      <c r="N226" s="69" t="str">
        <f aca="false">IF(OR($C226="",'設定（最初に1回）'!$C$15=0),"",$L226+$M226-$K226)</f>
        <v/>
      </c>
      <c r="O226" s="143" t="str">
        <f aca="false">IF(OR($N226="",'設定（最初に1回）'!$C$8="",'設定（最初に1回）'!$C$8&lt;=0),"",MAX(0,$N226)/'設定（最初に1回）'!$C$8)</f>
        <v/>
      </c>
      <c r="P226" s="143" t="str">
        <f aca="false">IF($C226="","",IFERROR(INDEX(商品マスタ!$M$6:$N$1005,MATCH($C226,商品マスタ!$B$6:$B$1005,0),MATCH("PI値 "&amp;'設定（最初に1回）'!$C$11,商品マスタ!$M$5:$N$5,0)),""))</f>
        <v/>
      </c>
      <c r="Q226" s="143" t="str">
        <f aca="false">IF(OR($C226="",$P226="",$P226=0,(N($I226)+N($AG226))&lt;=0),"",IFERROR(SUMIFS(随時_動員を入れる!$G$8:$G$97,随時_動員を入れる!$B$8:$B$97,"&gt;="&amp;'設定（最初に1回）'!$C$6,随時_動員を入れる!$B$8:$B$97,"&lt;="&amp;'設定（最初に1回）'!$C$6+(N($I226)+N($AG226))-1)/(N($I226)+N($AG226)),0)*$P226/100)</f>
        <v/>
      </c>
      <c r="R226" s="69" t="str">
        <f aca="false">IF($C226="","",SUMIFS(①今日の在庫を貼る!$O$6:$O$10005,①今日の在庫を貼る!$B$6:$B$10005,'設定（最初に1回）'!$C$4,①今日の在庫を貼る!$I$6:$I$10005,$C226))</f>
        <v/>
      </c>
      <c r="S226" s="143" t="str">
        <f aca="false">IF($C226="","",IF('設定（最初に1回）'!$C$9="実績消費",N($O226),IF('設定（最初に1回）'!$C$9="PI値予測",N($Q226),MAX(N($O226),N($Q226)))))</f>
        <v/>
      </c>
      <c r="T226" s="67" t="str">
        <f aca="false">IF(OR($S226="",$S226&lt;=0),"",$K226/$S226)</f>
        <v/>
      </c>
      <c r="U226" s="69" t="str">
        <f aca="false">IF($S226="","",ROUNDUP(N($S226)*'設定（最初に1回）'!$C$12,0))</f>
        <v/>
      </c>
      <c r="V226" s="69" t="str">
        <f aca="false">IF($C226="","",ROUNDUP(N($S226)*(N($I226)+N($AG226))+N($U226),0))</f>
        <v/>
      </c>
      <c r="W226" s="69" t="str">
        <f aca="false">IF($C226="","",SUMIFS(発注管理!$L$6:$L$1005,発注管理!$C$6:$C$1005,'設定（最初に1回）'!$C$4,発注管理!$F$6:$F$1005,$C226,発注管理!$Q$6:$Q$1005,"発注済"))</f>
        <v/>
      </c>
      <c r="X226" s="69" t="str">
        <f aca="false">IF($C226="","",MAX(0,N($V226)-N($K226)-N($W226)))</f>
        <v/>
      </c>
      <c r="Y226" s="147" t="str">
        <f aca="false">IF($C226="","",IF(N($X226)&lt;=0,0,CEILING($X226/MAX(1,N($G226)),MAX(1,N($J226)))))</f>
        <v/>
      </c>
      <c r="Z226" s="138" t="str">
        <f aca="false">IF($C226="","",IF(N($Y226)&gt;0,"要発注","正常"))</f>
        <v/>
      </c>
      <c r="AA226" s="71" t="str">
        <f aca="false">IF($C226="","",N($K226)*N($H226))</f>
        <v/>
      </c>
      <c r="AB226" s="66" t="str">
        <f aca="false">IF($C226="","",_xlfn.TEXTJOIN(" / ",TRUE(),IF(COUNTIF(商品マスタ!$B$6:$B$1005,$C226)=0,"マスタ未登録",""),IF(COUNTIFS(月1回_前回の在庫を貼る!$B$6:$B$10005,'設定（最初に1回）'!$C$4,月1回_前回の在庫を貼る!$I$6:$I$10005,$C226)=0,"新商品",""),IF(COUNTIFS(①今日の在庫を貼る!$B$6:$B$10005,'設定（最初に1回）'!$C$4,①今日の在庫を貼る!$I$6:$I$10005,$C226)=0,"終売候補",""),IF(N($K226)&lt;0,"在庫マイナス",""),IF(AND('設定（最初に1回）'!$C$9="PI値予測",$P226=""),"PI値未設定","")))</f>
        <v/>
      </c>
      <c r="AC226" s="71" t="n">
        <f aca="false">N($Y226)*N($H226)</f>
        <v>0</v>
      </c>
      <c r="AD226" s="66" t="str">
        <f aca="false">IF($C226="","",IFERROR(INDEX(商品マスタ!$K$6:$K$1005,MATCH($C226,商品マスタ!$B$6:$B$1005,0)),"常温"))</f>
        <v/>
      </c>
      <c r="AE226" s="69" t="str">
        <f aca="false">IF($C226="","",MAX(0,ROUNDUP(N($K226)/MAX(1,N($G226)),0)))</f>
        <v/>
      </c>
      <c r="AF226" s="66" t="str">
        <f aca="false">IF($C226="","",IFERROR(INDEX(商品マスタ!$L$6:$L$1005,MATCH($C226,商品マスタ!$B$6:$B$1005,0)),""))</f>
        <v/>
      </c>
      <c r="AG226" s="143" t="str">
        <f aca="false">IF($C226="","",IFERROR(INDEX(定数マスタ!$S$110:$S$119,MATCH($AF226,定数マスタ!$J$110:$J$119,0)),N('設定（最初に1回）'!$C$13)))</f>
        <v/>
      </c>
      <c r="AH226" s="66" t="n">
        <f aca="false">IF(AND(N($K226)&gt;0,N($Y226)&gt;0),N($Y226),0)</f>
        <v>0</v>
      </c>
    </row>
    <row r="227" customFormat="false" ht="15" hidden="false" customHeight="false" outlineLevel="0" collapsed="false">
      <c r="B227" s="66" t="n">
        <v>222</v>
      </c>
      <c r="C227" s="66" t="str">
        <f aca="false">IFERROR(IF($B227&lt;=MAX(①今日の在庫を貼る!$U$6:$U$10005),INDEX(①今日の在庫を貼る!$I$6:$I$10005,MATCH($B227,①今日の在庫を貼る!$U$6:$U$10005,0)),INDEX(月1回_前回の在庫を貼る!$I$6:$I$10005,MATCH($B227-MAX(①今日の在庫を貼る!$U$6:$U$10005),月1回_前回の在庫を貼る!$U$6:$U$10005,0))),"")</f>
        <v/>
      </c>
      <c r="D227" s="66" t="str">
        <f aca="false">IF($C227="","",IFERROR(INDEX(商品マスタ!$C$6:$C$1005,MATCH($C227,商品マスタ!$B$6:$B$1005,0)),IFERROR(INDEX(①今日の在庫を貼る!$J$6:$J$10005,MATCH($C227,①今日の在庫を貼る!$I$6:$I$10005,0)),IFERROR(INDEX(月1回_前回の在庫を貼る!$J$6:$J$10005,MATCH($C227,月1回_前回の在庫を貼る!$I$6:$I$10005,0)),""))))</f>
        <v/>
      </c>
      <c r="E227" s="66" t="str">
        <f aca="false">IF($C227="","",IFERROR(INDEX(商品マスタ!$D$6:$D$1005,MATCH($C227,商品マスタ!$B$6:$B$1005,0)),IFERROR(INDEX(①今日の在庫を貼る!$H$6:$H$10005,MATCH($C227,①今日の在庫を貼る!$I$6:$I$10005,0)),IFERROR(INDEX(月1回_前回の在庫を貼る!$H$6:$H$10005,MATCH($C227,月1回_前回の在庫を貼る!$I$6:$I$10005,0)),""))))</f>
        <v/>
      </c>
      <c r="F227" s="66" t="str">
        <f aca="false">IF($C227="","",IFERROR(INDEX(商品マスタ!$E$6:$E$1005,MATCH($C227,商品マスタ!$B$6:$B$1005,0)),IFERROR(INDEX(①今日の在庫を貼る!$E$6:$E$10005,MATCH($C227,①今日の在庫を貼る!$I$6:$I$10005,0)),IFERROR(INDEX(月1回_前回の在庫を貼る!$E$6:$E$10005,MATCH($C227,月1回_前回の在庫を貼る!$I$6:$I$10005,0)),""))))</f>
        <v/>
      </c>
      <c r="G227" s="69" t="str">
        <f aca="false">IF($C227="","",IFERROR(INDEX(商品マスタ!$F$6:$F$1005,MATCH($C227,商品マスタ!$B$6:$B$1005,0)),IFERROR(INDEX(①今日の在庫を貼る!$K$6:$K$10005,MATCH($C227,①今日の在庫を貼る!$I$6:$I$10005,0)),IFERROR(INDEX(月1回_前回の在庫を貼る!$K$6:$K$10005,MATCH($C227,月1回_前回の在庫を貼る!$I$6:$I$10005,0)),""))))</f>
        <v/>
      </c>
      <c r="H227" s="71" t="str">
        <f aca="false">IF($C227="","",IFERROR(INDEX(商品マスタ!$G$6:$G$1005,MATCH($C227,商品マスタ!$B$6:$B$1005,0)),IFERROR(INDEX(①今日の在庫を貼る!$Q$6:$Q$10005,MATCH($C227,①今日の在庫を貼る!$I$6:$I$10005,0)),IFERROR(INDEX(月1回_前回の在庫を貼る!$Q$6:$Q$10005,MATCH($C227,月1回_前回の在庫を貼る!$I$6:$I$10005,0)),""))))</f>
        <v/>
      </c>
      <c r="I227" s="66" t="str">
        <f aca="false">IF($C227="","",IFERROR(INDEX(商品マスタ!$H$6:$H$1005,MATCH($C227,商品マスタ!$B$6:$B$1005,0)),3))</f>
        <v/>
      </c>
      <c r="J227" s="66" t="str">
        <f aca="false">IF($C227="","",MAX(1,IFERROR(INDEX(商品マスタ!$I$6:$I$1005,MATCH($C227,商品マスタ!$B$6:$B$1005,0)),1)))</f>
        <v/>
      </c>
      <c r="K227" s="69" t="str">
        <f aca="false">IF($C227="","",SUMIFS(①今日の在庫を貼る!$N$6:$N$10005,①今日の在庫を貼る!$B$6:$B$10005,'設定（最初に1回）'!$C$4,①今日の在庫を貼る!$I$6:$I$10005,$C227))</f>
        <v/>
      </c>
      <c r="L227" s="69" t="str">
        <f aca="false">IF($C227="","",SUMIFS(月1回_前回の在庫を貼る!$N$6:$N$10005,月1回_前回の在庫を貼る!$B$6:$B$10005,'設定（最初に1回）'!$C$4,月1回_前回の在庫を貼る!$I$6:$I$10005,$C227))</f>
        <v/>
      </c>
      <c r="M227" s="69" t="str">
        <f aca="false">IF($C227="","",IF(OR('設定（最初に1回）'!$C$6="",'設定（最初に1回）'!$C$7=""),0,SUMIFS(発注管理!$S$6:$S$1005,発注管理!$C$6:$C$1005,'設定（最初に1回）'!$C$4,発注管理!$F$6:$F$1005,$C227,発注管理!$R$6:$R$1005,"&gt;="&amp;'設定（最初に1回）'!$C$7,発注管理!$R$6:$R$1005,"&lt;="&amp;'設定（最初に1回）'!$C$6)))</f>
        <v/>
      </c>
      <c r="N227" s="69" t="str">
        <f aca="false">IF(OR($C227="",'設定（最初に1回）'!$C$15=0),"",$L227+$M227-$K227)</f>
        <v/>
      </c>
      <c r="O227" s="143" t="str">
        <f aca="false">IF(OR($N227="",'設定（最初に1回）'!$C$8="",'設定（最初に1回）'!$C$8&lt;=0),"",MAX(0,$N227)/'設定（最初に1回）'!$C$8)</f>
        <v/>
      </c>
      <c r="P227" s="143" t="str">
        <f aca="false">IF($C227="","",IFERROR(INDEX(商品マスタ!$M$6:$N$1005,MATCH($C227,商品マスタ!$B$6:$B$1005,0),MATCH("PI値 "&amp;'設定（最初に1回）'!$C$11,商品マスタ!$M$5:$N$5,0)),""))</f>
        <v/>
      </c>
      <c r="Q227" s="143" t="str">
        <f aca="false">IF(OR($C227="",$P227="",$P227=0,(N($I227)+N($AG227))&lt;=0),"",IFERROR(SUMIFS(随時_動員を入れる!$G$8:$G$97,随時_動員を入れる!$B$8:$B$97,"&gt;="&amp;'設定（最初に1回）'!$C$6,随時_動員を入れる!$B$8:$B$97,"&lt;="&amp;'設定（最初に1回）'!$C$6+(N($I227)+N($AG227))-1)/(N($I227)+N($AG227)),0)*$P227/100)</f>
        <v/>
      </c>
      <c r="R227" s="69" t="str">
        <f aca="false">IF($C227="","",SUMIFS(①今日の在庫を貼る!$O$6:$O$10005,①今日の在庫を貼る!$B$6:$B$10005,'設定（最初に1回）'!$C$4,①今日の在庫を貼る!$I$6:$I$10005,$C227))</f>
        <v/>
      </c>
      <c r="S227" s="143" t="str">
        <f aca="false">IF($C227="","",IF('設定（最初に1回）'!$C$9="実績消費",N($O227),IF('設定（最初に1回）'!$C$9="PI値予測",N($Q227),MAX(N($O227),N($Q227)))))</f>
        <v/>
      </c>
      <c r="T227" s="67" t="str">
        <f aca="false">IF(OR($S227="",$S227&lt;=0),"",$K227/$S227)</f>
        <v/>
      </c>
      <c r="U227" s="69" t="str">
        <f aca="false">IF($S227="","",ROUNDUP(N($S227)*'設定（最初に1回）'!$C$12,0))</f>
        <v/>
      </c>
      <c r="V227" s="69" t="str">
        <f aca="false">IF($C227="","",ROUNDUP(N($S227)*(N($I227)+N($AG227))+N($U227),0))</f>
        <v/>
      </c>
      <c r="W227" s="69" t="str">
        <f aca="false">IF($C227="","",SUMIFS(発注管理!$L$6:$L$1005,発注管理!$C$6:$C$1005,'設定（最初に1回）'!$C$4,発注管理!$F$6:$F$1005,$C227,発注管理!$Q$6:$Q$1005,"発注済"))</f>
        <v/>
      </c>
      <c r="X227" s="69" t="str">
        <f aca="false">IF($C227="","",MAX(0,N($V227)-N($K227)-N($W227)))</f>
        <v/>
      </c>
      <c r="Y227" s="147" t="str">
        <f aca="false">IF($C227="","",IF(N($X227)&lt;=0,0,CEILING($X227/MAX(1,N($G227)),MAX(1,N($J227)))))</f>
        <v/>
      </c>
      <c r="Z227" s="138" t="str">
        <f aca="false">IF($C227="","",IF(N($Y227)&gt;0,"要発注","正常"))</f>
        <v/>
      </c>
      <c r="AA227" s="71" t="str">
        <f aca="false">IF($C227="","",N($K227)*N($H227))</f>
        <v/>
      </c>
      <c r="AB227" s="66" t="str">
        <f aca="false">IF($C227="","",_xlfn.TEXTJOIN(" / ",TRUE(),IF(COUNTIF(商品マスタ!$B$6:$B$1005,$C227)=0,"マスタ未登録",""),IF(COUNTIFS(月1回_前回の在庫を貼る!$B$6:$B$10005,'設定（最初に1回）'!$C$4,月1回_前回の在庫を貼る!$I$6:$I$10005,$C227)=0,"新商品",""),IF(COUNTIFS(①今日の在庫を貼る!$B$6:$B$10005,'設定（最初に1回）'!$C$4,①今日の在庫を貼る!$I$6:$I$10005,$C227)=0,"終売候補",""),IF(N($K227)&lt;0,"在庫マイナス",""),IF(AND('設定（最初に1回）'!$C$9="PI値予測",$P227=""),"PI値未設定","")))</f>
        <v/>
      </c>
      <c r="AC227" s="71" t="n">
        <f aca="false">N($Y227)*N($H227)</f>
        <v>0</v>
      </c>
      <c r="AD227" s="66" t="str">
        <f aca="false">IF($C227="","",IFERROR(INDEX(商品マスタ!$K$6:$K$1005,MATCH($C227,商品マスタ!$B$6:$B$1005,0)),"常温"))</f>
        <v/>
      </c>
      <c r="AE227" s="69" t="str">
        <f aca="false">IF($C227="","",MAX(0,ROUNDUP(N($K227)/MAX(1,N($G227)),0)))</f>
        <v/>
      </c>
      <c r="AF227" s="66" t="str">
        <f aca="false">IF($C227="","",IFERROR(INDEX(商品マスタ!$L$6:$L$1005,MATCH($C227,商品マスタ!$B$6:$B$1005,0)),""))</f>
        <v/>
      </c>
      <c r="AG227" s="143" t="str">
        <f aca="false">IF($C227="","",IFERROR(INDEX(定数マスタ!$S$110:$S$119,MATCH($AF227,定数マスタ!$J$110:$J$119,0)),N('設定（最初に1回）'!$C$13)))</f>
        <v/>
      </c>
      <c r="AH227" s="66" t="n">
        <f aca="false">IF(AND(N($K227)&gt;0,N($Y227)&gt;0),N($Y227),0)</f>
        <v>0</v>
      </c>
    </row>
    <row r="228" customFormat="false" ht="15" hidden="false" customHeight="false" outlineLevel="0" collapsed="false">
      <c r="B228" s="66" t="n">
        <v>223</v>
      </c>
      <c r="C228" s="66" t="str">
        <f aca="false">IFERROR(IF($B228&lt;=MAX(①今日の在庫を貼る!$U$6:$U$10005),INDEX(①今日の在庫を貼る!$I$6:$I$10005,MATCH($B228,①今日の在庫を貼る!$U$6:$U$10005,0)),INDEX(月1回_前回の在庫を貼る!$I$6:$I$10005,MATCH($B228-MAX(①今日の在庫を貼る!$U$6:$U$10005),月1回_前回の在庫を貼る!$U$6:$U$10005,0))),"")</f>
        <v/>
      </c>
      <c r="D228" s="66" t="str">
        <f aca="false">IF($C228="","",IFERROR(INDEX(商品マスタ!$C$6:$C$1005,MATCH($C228,商品マスタ!$B$6:$B$1005,0)),IFERROR(INDEX(①今日の在庫を貼る!$J$6:$J$10005,MATCH($C228,①今日の在庫を貼る!$I$6:$I$10005,0)),IFERROR(INDEX(月1回_前回の在庫を貼る!$J$6:$J$10005,MATCH($C228,月1回_前回の在庫を貼る!$I$6:$I$10005,0)),""))))</f>
        <v/>
      </c>
      <c r="E228" s="66" t="str">
        <f aca="false">IF($C228="","",IFERROR(INDEX(商品マスタ!$D$6:$D$1005,MATCH($C228,商品マスタ!$B$6:$B$1005,0)),IFERROR(INDEX(①今日の在庫を貼る!$H$6:$H$10005,MATCH($C228,①今日の在庫を貼る!$I$6:$I$10005,0)),IFERROR(INDEX(月1回_前回の在庫を貼る!$H$6:$H$10005,MATCH($C228,月1回_前回の在庫を貼る!$I$6:$I$10005,0)),""))))</f>
        <v/>
      </c>
      <c r="F228" s="66" t="str">
        <f aca="false">IF($C228="","",IFERROR(INDEX(商品マスタ!$E$6:$E$1005,MATCH($C228,商品マスタ!$B$6:$B$1005,0)),IFERROR(INDEX(①今日の在庫を貼る!$E$6:$E$10005,MATCH($C228,①今日の在庫を貼る!$I$6:$I$10005,0)),IFERROR(INDEX(月1回_前回の在庫を貼る!$E$6:$E$10005,MATCH($C228,月1回_前回の在庫を貼る!$I$6:$I$10005,0)),""))))</f>
        <v/>
      </c>
      <c r="G228" s="69" t="str">
        <f aca="false">IF($C228="","",IFERROR(INDEX(商品マスタ!$F$6:$F$1005,MATCH($C228,商品マスタ!$B$6:$B$1005,0)),IFERROR(INDEX(①今日の在庫を貼る!$K$6:$K$10005,MATCH($C228,①今日の在庫を貼る!$I$6:$I$10005,0)),IFERROR(INDEX(月1回_前回の在庫を貼る!$K$6:$K$10005,MATCH($C228,月1回_前回の在庫を貼る!$I$6:$I$10005,0)),""))))</f>
        <v/>
      </c>
      <c r="H228" s="71" t="str">
        <f aca="false">IF($C228="","",IFERROR(INDEX(商品マスタ!$G$6:$G$1005,MATCH($C228,商品マスタ!$B$6:$B$1005,0)),IFERROR(INDEX(①今日の在庫を貼る!$Q$6:$Q$10005,MATCH($C228,①今日の在庫を貼る!$I$6:$I$10005,0)),IFERROR(INDEX(月1回_前回の在庫を貼る!$Q$6:$Q$10005,MATCH($C228,月1回_前回の在庫を貼る!$I$6:$I$10005,0)),""))))</f>
        <v/>
      </c>
      <c r="I228" s="66" t="str">
        <f aca="false">IF($C228="","",IFERROR(INDEX(商品マスタ!$H$6:$H$1005,MATCH($C228,商品マスタ!$B$6:$B$1005,0)),3))</f>
        <v/>
      </c>
      <c r="J228" s="66" t="str">
        <f aca="false">IF($C228="","",MAX(1,IFERROR(INDEX(商品マスタ!$I$6:$I$1005,MATCH($C228,商品マスタ!$B$6:$B$1005,0)),1)))</f>
        <v/>
      </c>
      <c r="K228" s="69" t="str">
        <f aca="false">IF($C228="","",SUMIFS(①今日の在庫を貼る!$N$6:$N$10005,①今日の在庫を貼る!$B$6:$B$10005,'設定（最初に1回）'!$C$4,①今日の在庫を貼る!$I$6:$I$10005,$C228))</f>
        <v/>
      </c>
      <c r="L228" s="69" t="str">
        <f aca="false">IF($C228="","",SUMIFS(月1回_前回の在庫を貼る!$N$6:$N$10005,月1回_前回の在庫を貼る!$B$6:$B$10005,'設定（最初に1回）'!$C$4,月1回_前回の在庫を貼る!$I$6:$I$10005,$C228))</f>
        <v/>
      </c>
      <c r="M228" s="69" t="str">
        <f aca="false">IF($C228="","",IF(OR('設定（最初に1回）'!$C$6="",'設定（最初に1回）'!$C$7=""),0,SUMIFS(発注管理!$S$6:$S$1005,発注管理!$C$6:$C$1005,'設定（最初に1回）'!$C$4,発注管理!$F$6:$F$1005,$C228,発注管理!$R$6:$R$1005,"&gt;="&amp;'設定（最初に1回）'!$C$7,発注管理!$R$6:$R$1005,"&lt;="&amp;'設定（最初に1回）'!$C$6)))</f>
        <v/>
      </c>
      <c r="N228" s="69" t="str">
        <f aca="false">IF(OR($C228="",'設定（最初に1回）'!$C$15=0),"",$L228+$M228-$K228)</f>
        <v/>
      </c>
      <c r="O228" s="143" t="str">
        <f aca="false">IF(OR($N228="",'設定（最初に1回）'!$C$8="",'設定（最初に1回）'!$C$8&lt;=0),"",MAX(0,$N228)/'設定（最初に1回）'!$C$8)</f>
        <v/>
      </c>
      <c r="P228" s="143" t="str">
        <f aca="false">IF($C228="","",IFERROR(INDEX(商品マスタ!$M$6:$N$1005,MATCH($C228,商品マスタ!$B$6:$B$1005,0),MATCH("PI値 "&amp;'設定（最初に1回）'!$C$11,商品マスタ!$M$5:$N$5,0)),""))</f>
        <v/>
      </c>
      <c r="Q228" s="143" t="str">
        <f aca="false">IF(OR($C228="",$P228="",$P228=0,(N($I228)+N($AG228))&lt;=0),"",IFERROR(SUMIFS(随時_動員を入れる!$G$8:$G$97,随時_動員を入れる!$B$8:$B$97,"&gt;="&amp;'設定（最初に1回）'!$C$6,随時_動員を入れる!$B$8:$B$97,"&lt;="&amp;'設定（最初に1回）'!$C$6+(N($I228)+N($AG228))-1)/(N($I228)+N($AG228)),0)*$P228/100)</f>
        <v/>
      </c>
      <c r="R228" s="69" t="str">
        <f aca="false">IF($C228="","",SUMIFS(①今日の在庫を貼る!$O$6:$O$10005,①今日の在庫を貼る!$B$6:$B$10005,'設定（最初に1回）'!$C$4,①今日の在庫を貼る!$I$6:$I$10005,$C228))</f>
        <v/>
      </c>
      <c r="S228" s="143" t="str">
        <f aca="false">IF($C228="","",IF('設定（最初に1回）'!$C$9="実績消費",N($O228),IF('設定（最初に1回）'!$C$9="PI値予測",N($Q228),MAX(N($O228),N($Q228)))))</f>
        <v/>
      </c>
      <c r="T228" s="67" t="str">
        <f aca="false">IF(OR($S228="",$S228&lt;=0),"",$K228/$S228)</f>
        <v/>
      </c>
      <c r="U228" s="69" t="str">
        <f aca="false">IF($S228="","",ROUNDUP(N($S228)*'設定（最初に1回）'!$C$12,0))</f>
        <v/>
      </c>
      <c r="V228" s="69" t="str">
        <f aca="false">IF($C228="","",ROUNDUP(N($S228)*(N($I228)+N($AG228))+N($U228),0))</f>
        <v/>
      </c>
      <c r="W228" s="69" t="str">
        <f aca="false">IF($C228="","",SUMIFS(発注管理!$L$6:$L$1005,発注管理!$C$6:$C$1005,'設定（最初に1回）'!$C$4,発注管理!$F$6:$F$1005,$C228,発注管理!$Q$6:$Q$1005,"発注済"))</f>
        <v/>
      </c>
      <c r="X228" s="69" t="str">
        <f aca="false">IF($C228="","",MAX(0,N($V228)-N($K228)-N($W228)))</f>
        <v/>
      </c>
      <c r="Y228" s="147" t="str">
        <f aca="false">IF($C228="","",IF(N($X228)&lt;=0,0,CEILING($X228/MAX(1,N($G228)),MAX(1,N($J228)))))</f>
        <v/>
      </c>
      <c r="Z228" s="138" t="str">
        <f aca="false">IF($C228="","",IF(N($Y228)&gt;0,"要発注","正常"))</f>
        <v/>
      </c>
      <c r="AA228" s="71" t="str">
        <f aca="false">IF($C228="","",N($K228)*N($H228))</f>
        <v/>
      </c>
      <c r="AB228" s="66" t="str">
        <f aca="false">IF($C228="","",_xlfn.TEXTJOIN(" / ",TRUE(),IF(COUNTIF(商品マスタ!$B$6:$B$1005,$C228)=0,"マスタ未登録",""),IF(COUNTIFS(月1回_前回の在庫を貼る!$B$6:$B$10005,'設定（最初に1回）'!$C$4,月1回_前回の在庫を貼る!$I$6:$I$10005,$C228)=0,"新商品",""),IF(COUNTIFS(①今日の在庫を貼る!$B$6:$B$10005,'設定（最初に1回）'!$C$4,①今日の在庫を貼る!$I$6:$I$10005,$C228)=0,"終売候補",""),IF(N($K228)&lt;0,"在庫マイナス",""),IF(AND('設定（最初に1回）'!$C$9="PI値予測",$P228=""),"PI値未設定","")))</f>
        <v/>
      </c>
      <c r="AC228" s="71" t="n">
        <f aca="false">N($Y228)*N($H228)</f>
        <v>0</v>
      </c>
      <c r="AD228" s="66" t="str">
        <f aca="false">IF($C228="","",IFERROR(INDEX(商品マスタ!$K$6:$K$1005,MATCH($C228,商品マスタ!$B$6:$B$1005,0)),"常温"))</f>
        <v/>
      </c>
      <c r="AE228" s="69" t="str">
        <f aca="false">IF($C228="","",MAX(0,ROUNDUP(N($K228)/MAX(1,N($G228)),0)))</f>
        <v/>
      </c>
      <c r="AF228" s="66" t="str">
        <f aca="false">IF($C228="","",IFERROR(INDEX(商品マスタ!$L$6:$L$1005,MATCH($C228,商品マスタ!$B$6:$B$1005,0)),""))</f>
        <v/>
      </c>
      <c r="AG228" s="143" t="str">
        <f aca="false">IF($C228="","",IFERROR(INDEX(定数マスタ!$S$110:$S$119,MATCH($AF228,定数マスタ!$J$110:$J$119,0)),N('設定（最初に1回）'!$C$13)))</f>
        <v/>
      </c>
      <c r="AH228" s="66" t="n">
        <f aca="false">IF(AND(N($K228)&gt;0,N($Y228)&gt;0),N($Y228),0)</f>
        <v>0</v>
      </c>
    </row>
    <row r="229" customFormat="false" ht="15" hidden="false" customHeight="false" outlineLevel="0" collapsed="false">
      <c r="B229" s="66" t="n">
        <v>224</v>
      </c>
      <c r="C229" s="66" t="str">
        <f aca="false">IFERROR(IF($B229&lt;=MAX(①今日の在庫を貼る!$U$6:$U$10005),INDEX(①今日の在庫を貼る!$I$6:$I$10005,MATCH($B229,①今日の在庫を貼る!$U$6:$U$10005,0)),INDEX(月1回_前回の在庫を貼る!$I$6:$I$10005,MATCH($B229-MAX(①今日の在庫を貼る!$U$6:$U$10005),月1回_前回の在庫を貼る!$U$6:$U$10005,0))),"")</f>
        <v/>
      </c>
      <c r="D229" s="66" t="str">
        <f aca="false">IF($C229="","",IFERROR(INDEX(商品マスタ!$C$6:$C$1005,MATCH($C229,商品マスタ!$B$6:$B$1005,0)),IFERROR(INDEX(①今日の在庫を貼る!$J$6:$J$10005,MATCH($C229,①今日の在庫を貼る!$I$6:$I$10005,0)),IFERROR(INDEX(月1回_前回の在庫を貼る!$J$6:$J$10005,MATCH($C229,月1回_前回の在庫を貼る!$I$6:$I$10005,0)),""))))</f>
        <v/>
      </c>
      <c r="E229" s="66" t="str">
        <f aca="false">IF($C229="","",IFERROR(INDEX(商品マスタ!$D$6:$D$1005,MATCH($C229,商品マスタ!$B$6:$B$1005,0)),IFERROR(INDEX(①今日の在庫を貼る!$H$6:$H$10005,MATCH($C229,①今日の在庫を貼る!$I$6:$I$10005,0)),IFERROR(INDEX(月1回_前回の在庫を貼る!$H$6:$H$10005,MATCH($C229,月1回_前回の在庫を貼る!$I$6:$I$10005,0)),""))))</f>
        <v/>
      </c>
      <c r="F229" s="66" t="str">
        <f aca="false">IF($C229="","",IFERROR(INDEX(商品マスタ!$E$6:$E$1005,MATCH($C229,商品マスタ!$B$6:$B$1005,0)),IFERROR(INDEX(①今日の在庫を貼る!$E$6:$E$10005,MATCH($C229,①今日の在庫を貼る!$I$6:$I$10005,0)),IFERROR(INDEX(月1回_前回の在庫を貼る!$E$6:$E$10005,MATCH($C229,月1回_前回の在庫を貼る!$I$6:$I$10005,0)),""))))</f>
        <v/>
      </c>
      <c r="G229" s="69" t="str">
        <f aca="false">IF($C229="","",IFERROR(INDEX(商品マスタ!$F$6:$F$1005,MATCH($C229,商品マスタ!$B$6:$B$1005,0)),IFERROR(INDEX(①今日の在庫を貼る!$K$6:$K$10005,MATCH($C229,①今日の在庫を貼る!$I$6:$I$10005,0)),IFERROR(INDEX(月1回_前回の在庫を貼る!$K$6:$K$10005,MATCH($C229,月1回_前回の在庫を貼る!$I$6:$I$10005,0)),""))))</f>
        <v/>
      </c>
      <c r="H229" s="71" t="str">
        <f aca="false">IF($C229="","",IFERROR(INDEX(商品マスタ!$G$6:$G$1005,MATCH($C229,商品マスタ!$B$6:$B$1005,0)),IFERROR(INDEX(①今日の在庫を貼る!$Q$6:$Q$10005,MATCH($C229,①今日の在庫を貼る!$I$6:$I$10005,0)),IFERROR(INDEX(月1回_前回の在庫を貼る!$Q$6:$Q$10005,MATCH($C229,月1回_前回の在庫を貼る!$I$6:$I$10005,0)),""))))</f>
        <v/>
      </c>
      <c r="I229" s="66" t="str">
        <f aca="false">IF($C229="","",IFERROR(INDEX(商品マスタ!$H$6:$H$1005,MATCH($C229,商品マスタ!$B$6:$B$1005,0)),3))</f>
        <v/>
      </c>
      <c r="J229" s="66" t="str">
        <f aca="false">IF($C229="","",MAX(1,IFERROR(INDEX(商品マスタ!$I$6:$I$1005,MATCH($C229,商品マスタ!$B$6:$B$1005,0)),1)))</f>
        <v/>
      </c>
      <c r="K229" s="69" t="str">
        <f aca="false">IF($C229="","",SUMIFS(①今日の在庫を貼る!$N$6:$N$10005,①今日の在庫を貼る!$B$6:$B$10005,'設定（最初に1回）'!$C$4,①今日の在庫を貼る!$I$6:$I$10005,$C229))</f>
        <v/>
      </c>
      <c r="L229" s="69" t="str">
        <f aca="false">IF($C229="","",SUMIFS(月1回_前回の在庫を貼る!$N$6:$N$10005,月1回_前回の在庫を貼る!$B$6:$B$10005,'設定（最初に1回）'!$C$4,月1回_前回の在庫を貼る!$I$6:$I$10005,$C229))</f>
        <v/>
      </c>
      <c r="M229" s="69" t="str">
        <f aca="false">IF($C229="","",IF(OR('設定（最初に1回）'!$C$6="",'設定（最初に1回）'!$C$7=""),0,SUMIFS(発注管理!$S$6:$S$1005,発注管理!$C$6:$C$1005,'設定（最初に1回）'!$C$4,発注管理!$F$6:$F$1005,$C229,発注管理!$R$6:$R$1005,"&gt;="&amp;'設定（最初に1回）'!$C$7,発注管理!$R$6:$R$1005,"&lt;="&amp;'設定（最初に1回）'!$C$6)))</f>
        <v/>
      </c>
      <c r="N229" s="69" t="str">
        <f aca="false">IF(OR($C229="",'設定（最初に1回）'!$C$15=0),"",$L229+$M229-$K229)</f>
        <v/>
      </c>
      <c r="O229" s="143" t="str">
        <f aca="false">IF(OR($N229="",'設定（最初に1回）'!$C$8="",'設定（最初に1回）'!$C$8&lt;=0),"",MAX(0,$N229)/'設定（最初に1回）'!$C$8)</f>
        <v/>
      </c>
      <c r="P229" s="143" t="str">
        <f aca="false">IF($C229="","",IFERROR(INDEX(商品マスタ!$M$6:$N$1005,MATCH($C229,商品マスタ!$B$6:$B$1005,0),MATCH("PI値 "&amp;'設定（最初に1回）'!$C$11,商品マスタ!$M$5:$N$5,0)),""))</f>
        <v/>
      </c>
      <c r="Q229" s="143" t="str">
        <f aca="false">IF(OR($C229="",$P229="",$P229=0,(N($I229)+N($AG229))&lt;=0),"",IFERROR(SUMIFS(随時_動員を入れる!$G$8:$G$97,随時_動員を入れる!$B$8:$B$97,"&gt;="&amp;'設定（最初に1回）'!$C$6,随時_動員を入れる!$B$8:$B$97,"&lt;="&amp;'設定（最初に1回）'!$C$6+(N($I229)+N($AG229))-1)/(N($I229)+N($AG229)),0)*$P229/100)</f>
        <v/>
      </c>
      <c r="R229" s="69" t="str">
        <f aca="false">IF($C229="","",SUMIFS(①今日の在庫を貼る!$O$6:$O$10005,①今日の在庫を貼る!$B$6:$B$10005,'設定（最初に1回）'!$C$4,①今日の在庫を貼る!$I$6:$I$10005,$C229))</f>
        <v/>
      </c>
      <c r="S229" s="143" t="str">
        <f aca="false">IF($C229="","",IF('設定（最初に1回）'!$C$9="実績消費",N($O229),IF('設定（最初に1回）'!$C$9="PI値予測",N($Q229),MAX(N($O229),N($Q229)))))</f>
        <v/>
      </c>
      <c r="T229" s="67" t="str">
        <f aca="false">IF(OR($S229="",$S229&lt;=0),"",$K229/$S229)</f>
        <v/>
      </c>
      <c r="U229" s="69" t="str">
        <f aca="false">IF($S229="","",ROUNDUP(N($S229)*'設定（最初に1回）'!$C$12,0))</f>
        <v/>
      </c>
      <c r="V229" s="69" t="str">
        <f aca="false">IF($C229="","",ROUNDUP(N($S229)*(N($I229)+N($AG229))+N($U229),0))</f>
        <v/>
      </c>
      <c r="W229" s="69" t="str">
        <f aca="false">IF($C229="","",SUMIFS(発注管理!$L$6:$L$1005,発注管理!$C$6:$C$1005,'設定（最初に1回）'!$C$4,発注管理!$F$6:$F$1005,$C229,発注管理!$Q$6:$Q$1005,"発注済"))</f>
        <v/>
      </c>
      <c r="X229" s="69" t="str">
        <f aca="false">IF($C229="","",MAX(0,N($V229)-N($K229)-N($W229)))</f>
        <v/>
      </c>
      <c r="Y229" s="147" t="str">
        <f aca="false">IF($C229="","",IF(N($X229)&lt;=0,0,CEILING($X229/MAX(1,N($G229)),MAX(1,N($J229)))))</f>
        <v/>
      </c>
      <c r="Z229" s="138" t="str">
        <f aca="false">IF($C229="","",IF(N($Y229)&gt;0,"要発注","正常"))</f>
        <v/>
      </c>
      <c r="AA229" s="71" t="str">
        <f aca="false">IF($C229="","",N($K229)*N($H229))</f>
        <v/>
      </c>
      <c r="AB229" s="66" t="str">
        <f aca="false">IF($C229="","",_xlfn.TEXTJOIN(" / ",TRUE(),IF(COUNTIF(商品マスタ!$B$6:$B$1005,$C229)=0,"マスタ未登録",""),IF(COUNTIFS(月1回_前回の在庫を貼る!$B$6:$B$10005,'設定（最初に1回）'!$C$4,月1回_前回の在庫を貼る!$I$6:$I$10005,$C229)=0,"新商品",""),IF(COUNTIFS(①今日の在庫を貼る!$B$6:$B$10005,'設定（最初に1回）'!$C$4,①今日の在庫を貼る!$I$6:$I$10005,$C229)=0,"終売候補",""),IF(N($K229)&lt;0,"在庫マイナス",""),IF(AND('設定（最初に1回）'!$C$9="PI値予測",$P229=""),"PI値未設定","")))</f>
        <v/>
      </c>
      <c r="AC229" s="71" t="n">
        <f aca="false">N($Y229)*N($H229)</f>
        <v>0</v>
      </c>
      <c r="AD229" s="66" t="str">
        <f aca="false">IF($C229="","",IFERROR(INDEX(商品マスタ!$K$6:$K$1005,MATCH($C229,商品マスタ!$B$6:$B$1005,0)),"常温"))</f>
        <v/>
      </c>
      <c r="AE229" s="69" t="str">
        <f aca="false">IF($C229="","",MAX(0,ROUNDUP(N($K229)/MAX(1,N($G229)),0)))</f>
        <v/>
      </c>
      <c r="AF229" s="66" t="str">
        <f aca="false">IF($C229="","",IFERROR(INDEX(商品マスタ!$L$6:$L$1005,MATCH($C229,商品マスタ!$B$6:$B$1005,0)),""))</f>
        <v/>
      </c>
      <c r="AG229" s="143" t="str">
        <f aca="false">IF($C229="","",IFERROR(INDEX(定数マスタ!$S$110:$S$119,MATCH($AF229,定数マスタ!$J$110:$J$119,0)),N('設定（最初に1回）'!$C$13)))</f>
        <v/>
      </c>
      <c r="AH229" s="66" t="n">
        <f aca="false">IF(AND(N($K229)&gt;0,N($Y229)&gt;0),N($Y229),0)</f>
        <v>0</v>
      </c>
    </row>
    <row r="230" customFormat="false" ht="15" hidden="false" customHeight="false" outlineLevel="0" collapsed="false">
      <c r="B230" s="66" t="n">
        <v>225</v>
      </c>
      <c r="C230" s="66" t="str">
        <f aca="false">IFERROR(IF($B230&lt;=MAX(①今日の在庫を貼る!$U$6:$U$10005),INDEX(①今日の在庫を貼る!$I$6:$I$10005,MATCH($B230,①今日の在庫を貼る!$U$6:$U$10005,0)),INDEX(月1回_前回の在庫を貼る!$I$6:$I$10005,MATCH($B230-MAX(①今日の在庫を貼る!$U$6:$U$10005),月1回_前回の在庫を貼る!$U$6:$U$10005,0))),"")</f>
        <v/>
      </c>
      <c r="D230" s="66" t="str">
        <f aca="false">IF($C230="","",IFERROR(INDEX(商品マスタ!$C$6:$C$1005,MATCH($C230,商品マスタ!$B$6:$B$1005,0)),IFERROR(INDEX(①今日の在庫を貼る!$J$6:$J$10005,MATCH($C230,①今日の在庫を貼る!$I$6:$I$10005,0)),IFERROR(INDEX(月1回_前回の在庫を貼る!$J$6:$J$10005,MATCH($C230,月1回_前回の在庫を貼る!$I$6:$I$10005,0)),""))))</f>
        <v/>
      </c>
      <c r="E230" s="66" t="str">
        <f aca="false">IF($C230="","",IFERROR(INDEX(商品マスタ!$D$6:$D$1005,MATCH($C230,商品マスタ!$B$6:$B$1005,0)),IFERROR(INDEX(①今日の在庫を貼る!$H$6:$H$10005,MATCH($C230,①今日の在庫を貼る!$I$6:$I$10005,0)),IFERROR(INDEX(月1回_前回の在庫を貼る!$H$6:$H$10005,MATCH($C230,月1回_前回の在庫を貼る!$I$6:$I$10005,0)),""))))</f>
        <v/>
      </c>
      <c r="F230" s="66" t="str">
        <f aca="false">IF($C230="","",IFERROR(INDEX(商品マスタ!$E$6:$E$1005,MATCH($C230,商品マスタ!$B$6:$B$1005,0)),IFERROR(INDEX(①今日の在庫を貼る!$E$6:$E$10005,MATCH($C230,①今日の在庫を貼る!$I$6:$I$10005,0)),IFERROR(INDEX(月1回_前回の在庫を貼る!$E$6:$E$10005,MATCH($C230,月1回_前回の在庫を貼る!$I$6:$I$10005,0)),""))))</f>
        <v/>
      </c>
      <c r="G230" s="69" t="str">
        <f aca="false">IF($C230="","",IFERROR(INDEX(商品マスタ!$F$6:$F$1005,MATCH($C230,商品マスタ!$B$6:$B$1005,0)),IFERROR(INDEX(①今日の在庫を貼る!$K$6:$K$10005,MATCH($C230,①今日の在庫を貼る!$I$6:$I$10005,0)),IFERROR(INDEX(月1回_前回の在庫を貼る!$K$6:$K$10005,MATCH($C230,月1回_前回の在庫を貼る!$I$6:$I$10005,0)),""))))</f>
        <v/>
      </c>
      <c r="H230" s="71" t="str">
        <f aca="false">IF($C230="","",IFERROR(INDEX(商品マスタ!$G$6:$G$1005,MATCH($C230,商品マスタ!$B$6:$B$1005,0)),IFERROR(INDEX(①今日の在庫を貼る!$Q$6:$Q$10005,MATCH($C230,①今日の在庫を貼る!$I$6:$I$10005,0)),IFERROR(INDEX(月1回_前回の在庫を貼る!$Q$6:$Q$10005,MATCH($C230,月1回_前回の在庫を貼る!$I$6:$I$10005,0)),""))))</f>
        <v/>
      </c>
      <c r="I230" s="66" t="str">
        <f aca="false">IF($C230="","",IFERROR(INDEX(商品マスタ!$H$6:$H$1005,MATCH($C230,商品マスタ!$B$6:$B$1005,0)),3))</f>
        <v/>
      </c>
      <c r="J230" s="66" t="str">
        <f aca="false">IF($C230="","",MAX(1,IFERROR(INDEX(商品マスタ!$I$6:$I$1005,MATCH($C230,商品マスタ!$B$6:$B$1005,0)),1)))</f>
        <v/>
      </c>
      <c r="K230" s="69" t="str">
        <f aca="false">IF($C230="","",SUMIFS(①今日の在庫を貼る!$N$6:$N$10005,①今日の在庫を貼る!$B$6:$B$10005,'設定（最初に1回）'!$C$4,①今日の在庫を貼る!$I$6:$I$10005,$C230))</f>
        <v/>
      </c>
      <c r="L230" s="69" t="str">
        <f aca="false">IF($C230="","",SUMIFS(月1回_前回の在庫を貼る!$N$6:$N$10005,月1回_前回の在庫を貼る!$B$6:$B$10005,'設定（最初に1回）'!$C$4,月1回_前回の在庫を貼る!$I$6:$I$10005,$C230))</f>
        <v/>
      </c>
      <c r="M230" s="69" t="str">
        <f aca="false">IF($C230="","",IF(OR('設定（最初に1回）'!$C$6="",'設定（最初に1回）'!$C$7=""),0,SUMIFS(発注管理!$S$6:$S$1005,発注管理!$C$6:$C$1005,'設定（最初に1回）'!$C$4,発注管理!$F$6:$F$1005,$C230,発注管理!$R$6:$R$1005,"&gt;="&amp;'設定（最初に1回）'!$C$7,発注管理!$R$6:$R$1005,"&lt;="&amp;'設定（最初に1回）'!$C$6)))</f>
        <v/>
      </c>
      <c r="N230" s="69" t="str">
        <f aca="false">IF(OR($C230="",'設定（最初に1回）'!$C$15=0),"",$L230+$M230-$K230)</f>
        <v/>
      </c>
      <c r="O230" s="143" t="str">
        <f aca="false">IF(OR($N230="",'設定（最初に1回）'!$C$8="",'設定（最初に1回）'!$C$8&lt;=0),"",MAX(0,$N230)/'設定（最初に1回）'!$C$8)</f>
        <v/>
      </c>
      <c r="P230" s="143" t="str">
        <f aca="false">IF($C230="","",IFERROR(INDEX(商品マスタ!$M$6:$N$1005,MATCH($C230,商品マスタ!$B$6:$B$1005,0),MATCH("PI値 "&amp;'設定（最初に1回）'!$C$11,商品マスタ!$M$5:$N$5,0)),""))</f>
        <v/>
      </c>
      <c r="Q230" s="143" t="str">
        <f aca="false">IF(OR($C230="",$P230="",$P230=0,(N($I230)+N($AG230))&lt;=0),"",IFERROR(SUMIFS(随時_動員を入れる!$G$8:$G$97,随時_動員を入れる!$B$8:$B$97,"&gt;="&amp;'設定（最初に1回）'!$C$6,随時_動員を入れる!$B$8:$B$97,"&lt;="&amp;'設定（最初に1回）'!$C$6+(N($I230)+N($AG230))-1)/(N($I230)+N($AG230)),0)*$P230/100)</f>
        <v/>
      </c>
      <c r="R230" s="69" t="str">
        <f aca="false">IF($C230="","",SUMIFS(①今日の在庫を貼る!$O$6:$O$10005,①今日の在庫を貼る!$B$6:$B$10005,'設定（最初に1回）'!$C$4,①今日の在庫を貼る!$I$6:$I$10005,$C230))</f>
        <v/>
      </c>
      <c r="S230" s="143" t="str">
        <f aca="false">IF($C230="","",IF('設定（最初に1回）'!$C$9="実績消費",N($O230),IF('設定（最初に1回）'!$C$9="PI値予測",N($Q230),MAX(N($O230),N($Q230)))))</f>
        <v/>
      </c>
      <c r="T230" s="67" t="str">
        <f aca="false">IF(OR($S230="",$S230&lt;=0),"",$K230/$S230)</f>
        <v/>
      </c>
      <c r="U230" s="69" t="str">
        <f aca="false">IF($S230="","",ROUNDUP(N($S230)*'設定（最初に1回）'!$C$12,0))</f>
        <v/>
      </c>
      <c r="V230" s="69" t="str">
        <f aca="false">IF($C230="","",ROUNDUP(N($S230)*(N($I230)+N($AG230))+N($U230),0))</f>
        <v/>
      </c>
      <c r="W230" s="69" t="str">
        <f aca="false">IF($C230="","",SUMIFS(発注管理!$L$6:$L$1005,発注管理!$C$6:$C$1005,'設定（最初に1回）'!$C$4,発注管理!$F$6:$F$1005,$C230,発注管理!$Q$6:$Q$1005,"発注済"))</f>
        <v/>
      </c>
      <c r="X230" s="69" t="str">
        <f aca="false">IF($C230="","",MAX(0,N($V230)-N($K230)-N($W230)))</f>
        <v/>
      </c>
      <c r="Y230" s="147" t="str">
        <f aca="false">IF($C230="","",IF(N($X230)&lt;=0,0,CEILING($X230/MAX(1,N($G230)),MAX(1,N($J230)))))</f>
        <v/>
      </c>
      <c r="Z230" s="138" t="str">
        <f aca="false">IF($C230="","",IF(N($Y230)&gt;0,"要発注","正常"))</f>
        <v/>
      </c>
      <c r="AA230" s="71" t="str">
        <f aca="false">IF($C230="","",N($K230)*N($H230))</f>
        <v/>
      </c>
      <c r="AB230" s="66" t="str">
        <f aca="false">IF($C230="","",_xlfn.TEXTJOIN(" / ",TRUE(),IF(COUNTIF(商品マスタ!$B$6:$B$1005,$C230)=0,"マスタ未登録",""),IF(COUNTIFS(月1回_前回の在庫を貼る!$B$6:$B$10005,'設定（最初に1回）'!$C$4,月1回_前回の在庫を貼る!$I$6:$I$10005,$C230)=0,"新商品",""),IF(COUNTIFS(①今日の在庫を貼る!$B$6:$B$10005,'設定（最初に1回）'!$C$4,①今日の在庫を貼る!$I$6:$I$10005,$C230)=0,"終売候補",""),IF(N($K230)&lt;0,"在庫マイナス",""),IF(AND('設定（最初に1回）'!$C$9="PI値予測",$P230=""),"PI値未設定","")))</f>
        <v/>
      </c>
      <c r="AC230" s="71" t="n">
        <f aca="false">N($Y230)*N($H230)</f>
        <v>0</v>
      </c>
      <c r="AD230" s="66" t="str">
        <f aca="false">IF($C230="","",IFERROR(INDEX(商品マスタ!$K$6:$K$1005,MATCH($C230,商品マスタ!$B$6:$B$1005,0)),"常温"))</f>
        <v/>
      </c>
      <c r="AE230" s="69" t="str">
        <f aca="false">IF($C230="","",MAX(0,ROUNDUP(N($K230)/MAX(1,N($G230)),0)))</f>
        <v/>
      </c>
      <c r="AF230" s="66" t="str">
        <f aca="false">IF($C230="","",IFERROR(INDEX(商品マスタ!$L$6:$L$1005,MATCH($C230,商品マスタ!$B$6:$B$1005,0)),""))</f>
        <v/>
      </c>
      <c r="AG230" s="143" t="str">
        <f aca="false">IF($C230="","",IFERROR(INDEX(定数マスタ!$S$110:$S$119,MATCH($AF230,定数マスタ!$J$110:$J$119,0)),N('設定（最初に1回）'!$C$13)))</f>
        <v/>
      </c>
      <c r="AH230" s="66" t="n">
        <f aca="false">IF(AND(N($K230)&gt;0,N($Y230)&gt;0),N($Y230),0)</f>
        <v>0</v>
      </c>
    </row>
    <row r="231" customFormat="false" ht="15" hidden="false" customHeight="false" outlineLevel="0" collapsed="false">
      <c r="B231" s="66" t="n">
        <v>226</v>
      </c>
      <c r="C231" s="66" t="str">
        <f aca="false">IFERROR(IF($B231&lt;=MAX(①今日の在庫を貼る!$U$6:$U$10005),INDEX(①今日の在庫を貼る!$I$6:$I$10005,MATCH($B231,①今日の在庫を貼る!$U$6:$U$10005,0)),INDEX(月1回_前回の在庫を貼る!$I$6:$I$10005,MATCH($B231-MAX(①今日の在庫を貼る!$U$6:$U$10005),月1回_前回の在庫を貼る!$U$6:$U$10005,0))),"")</f>
        <v/>
      </c>
      <c r="D231" s="66" t="str">
        <f aca="false">IF($C231="","",IFERROR(INDEX(商品マスタ!$C$6:$C$1005,MATCH($C231,商品マスタ!$B$6:$B$1005,0)),IFERROR(INDEX(①今日の在庫を貼る!$J$6:$J$10005,MATCH($C231,①今日の在庫を貼る!$I$6:$I$10005,0)),IFERROR(INDEX(月1回_前回の在庫を貼る!$J$6:$J$10005,MATCH($C231,月1回_前回の在庫を貼る!$I$6:$I$10005,0)),""))))</f>
        <v/>
      </c>
      <c r="E231" s="66" t="str">
        <f aca="false">IF($C231="","",IFERROR(INDEX(商品マスタ!$D$6:$D$1005,MATCH($C231,商品マスタ!$B$6:$B$1005,0)),IFERROR(INDEX(①今日の在庫を貼る!$H$6:$H$10005,MATCH($C231,①今日の在庫を貼る!$I$6:$I$10005,0)),IFERROR(INDEX(月1回_前回の在庫を貼る!$H$6:$H$10005,MATCH($C231,月1回_前回の在庫を貼る!$I$6:$I$10005,0)),""))))</f>
        <v/>
      </c>
      <c r="F231" s="66" t="str">
        <f aca="false">IF($C231="","",IFERROR(INDEX(商品マスタ!$E$6:$E$1005,MATCH($C231,商品マスタ!$B$6:$B$1005,0)),IFERROR(INDEX(①今日の在庫を貼る!$E$6:$E$10005,MATCH($C231,①今日の在庫を貼る!$I$6:$I$10005,0)),IFERROR(INDEX(月1回_前回の在庫を貼る!$E$6:$E$10005,MATCH($C231,月1回_前回の在庫を貼る!$I$6:$I$10005,0)),""))))</f>
        <v/>
      </c>
      <c r="G231" s="69" t="str">
        <f aca="false">IF($C231="","",IFERROR(INDEX(商品マスタ!$F$6:$F$1005,MATCH($C231,商品マスタ!$B$6:$B$1005,0)),IFERROR(INDEX(①今日の在庫を貼る!$K$6:$K$10005,MATCH($C231,①今日の在庫を貼る!$I$6:$I$10005,0)),IFERROR(INDEX(月1回_前回の在庫を貼る!$K$6:$K$10005,MATCH($C231,月1回_前回の在庫を貼る!$I$6:$I$10005,0)),""))))</f>
        <v/>
      </c>
      <c r="H231" s="71" t="str">
        <f aca="false">IF($C231="","",IFERROR(INDEX(商品マスタ!$G$6:$G$1005,MATCH($C231,商品マスタ!$B$6:$B$1005,0)),IFERROR(INDEX(①今日の在庫を貼る!$Q$6:$Q$10005,MATCH($C231,①今日の在庫を貼る!$I$6:$I$10005,0)),IFERROR(INDEX(月1回_前回の在庫を貼る!$Q$6:$Q$10005,MATCH($C231,月1回_前回の在庫を貼る!$I$6:$I$10005,0)),""))))</f>
        <v/>
      </c>
      <c r="I231" s="66" t="str">
        <f aca="false">IF($C231="","",IFERROR(INDEX(商品マスタ!$H$6:$H$1005,MATCH($C231,商品マスタ!$B$6:$B$1005,0)),3))</f>
        <v/>
      </c>
      <c r="J231" s="66" t="str">
        <f aca="false">IF($C231="","",MAX(1,IFERROR(INDEX(商品マスタ!$I$6:$I$1005,MATCH($C231,商品マスタ!$B$6:$B$1005,0)),1)))</f>
        <v/>
      </c>
      <c r="K231" s="69" t="str">
        <f aca="false">IF($C231="","",SUMIFS(①今日の在庫を貼る!$N$6:$N$10005,①今日の在庫を貼る!$B$6:$B$10005,'設定（最初に1回）'!$C$4,①今日の在庫を貼る!$I$6:$I$10005,$C231))</f>
        <v/>
      </c>
      <c r="L231" s="69" t="str">
        <f aca="false">IF($C231="","",SUMIFS(月1回_前回の在庫を貼る!$N$6:$N$10005,月1回_前回の在庫を貼る!$B$6:$B$10005,'設定（最初に1回）'!$C$4,月1回_前回の在庫を貼る!$I$6:$I$10005,$C231))</f>
        <v/>
      </c>
      <c r="M231" s="69" t="str">
        <f aca="false">IF($C231="","",IF(OR('設定（最初に1回）'!$C$6="",'設定（最初に1回）'!$C$7=""),0,SUMIFS(発注管理!$S$6:$S$1005,発注管理!$C$6:$C$1005,'設定（最初に1回）'!$C$4,発注管理!$F$6:$F$1005,$C231,発注管理!$R$6:$R$1005,"&gt;="&amp;'設定（最初に1回）'!$C$7,発注管理!$R$6:$R$1005,"&lt;="&amp;'設定（最初に1回）'!$C$6)))</f>
        <v/>
      </c>
      <c r="N231" s="69" t="str">
        <f aca="false">IF(OR($C231="",'設定（最初に1回）'!$C$15=0),"",$L231+$M231-$K231)</f>
        <v/>
      </c>
      <c r="O231" s="143" t="str">
        <f aca="false">IF(OR($N231="",'設定（最初に1回）'!$C$8="",'設定（最初に1回）'!$C$8&lt;=0),"",MAX(0,$N231)/'設定（最初に1回）'!$C$8)</f>
        <v/>
      </c>
      <c r="P231" s="143" t="str">
        <f aca="false">IF($C231="","",IFERROR(INDEX(商品マスタ!$M$6:$N$1005,MATCH($C231,商品マスタ!$B$6:$B$1005,0),MATCH("PI値 "&amp;'設定（最初に1回）'!$C$11,商品マスタ!$M$5:$N$5,0)),""))</f>
        <v/>
      </c>
      <c r="Q231" s="143" t="str">
        <f aca="false">IF(OR($C231="",$P231="",$P231=0,(N($I231)+N($AG231))&lt;=0),"",IFERROR(SUMIFS(随時_動員を入れる!$G$8:$G$97,随時_動員を入れる!$B$8:$B$97,"&gt;="&amp;'設定（最初に1回）'!$C$6,随時_動員を入れる!$B$8:$B$97,"&lt;="&amp;'設定（最初に1回）'!$C$6+(N($I231)+N($AG231))-1)/(N($I231)+N($AG231)),0)*$P231/100)</f>
        <v/>
      </c>
      <c r="R231" s="69" t="str">
        <f aca="false">IF($C231="","",SUMIFS(①今日の在庫を貼る!$O$6:$O$10005,①今日の在庫を貼る!$B$6:$B$10005,'設定（最初に1回）'!$C$4,①今日の在庫を貼る!$I$6:$I$10005,$C231))</f>
        <v/>
      </c>
      <c r="S231" s="143" t="str">
        <f aca="false">IF($C231="","",IF('設定（最初に1回）'!$C$9="実績消費",N($O231),IF('設定（最初に1回）'!$C$9="PI値予測",N($Q231),MAX(N($O231),N($Q231)))))</f>
        <v/>
      </c>
      <c r="T231" s="67" t="str">
        <f aca="false">IF(OR($S231="",$S231&lt;=0),"",$K231/$S231)</f>
        <v/>
      </c>
      <c r="U231" s="69" t="str">
        <f aca="false">IF($S231="","",ROUNDUP(N($S231)*'設定（最初に1回）'!$C$12,0))</f>
        <v/>
      </c>
      <c r="V231" s="69" t="str">
        <f aca="false">IF($C231="","",ROUNDUP(N($S231)*(N($I231)+N($AG231))+N($U231),0))</f>
        <v/>
      </c>
      <c r="W231" s="69" t="str">
        <f aca="false">IF($C231="","",SUMIFS(発注管理!$L$6:$L$1005,発注管理!$C$6:$C$1005,'設定（最初に1回）'!$C$4,発注管理!$F$6:$F$1005,$C231,発注管理!$Q$6:$Q$1005,"発注済"))</f>
        <v/>
      </c>
      <c r="X231" s="69" t="str">
        <f aca="false">IF($C231="","",MAX(0,N($V231)-N($K231)-N($W231)))</f>
        <v/>
      </c>
      <c r="Y231" s="147" t="str">
        <f aca="false">IF($C231="","",IF(N($X231)&lt;=0,0,CEILING($X231/MAX(1,N($G231)),MAX(1,N($J231)))))</f>
        <v/>
      </c>
      <c r="Z231" s="138" t="str">
        <f aca="false">IF($C231="","",IF(N($Y231)&gt;0,"要発注","正常"))</f>
        <v/>
      </c>
      <c r="AA231" s="71" t="str">
        <f aca="false">IF($C231="","",N($K231)*N($H231))</f>
        <v/>
      </c>
      <c r="AB231" s="66" t="str">
        <f aca="false">IF($C231="","",_xlfn.TEXTJOIN(" / ",TRUE(),IF(COUNTIF(商品マスタ!$B$6:$B$1005,$C231)=0,"マスタ未登録",""),IF(COUNTIFS(月1回_前回の在庫を貼る!$B$6:$B$10005,'設定（最初に1回）'!$C$4,月1回_前回の在庫を貼る!$I$6:$I$10005,$C231)=0,"新商品",""),IF(COUNTIFS(①今日の在庫を貼る!$B$6:$B$10005,'設定（最初に1回）'!$C$4,①今日の在庫を貼る!$I$6:$I$10005,$C231)=0,"終売候補",""),IF(N($K231)&lt;0,"在庫マイナス",""),IF(AND('設定（最初に1回）'!$C$9="PI値予測",$P231=""),"PI値未設定","")))</f>
        <v/>
      </c>
      <c r="AC231" s="71" t="n">
        <f aca="false">N($Y231)*N($H231)</f>
        <v>0</v>
      </c>
      <c r="AD231" s="66" t="str">
        <f aca="false">IF($C231="","",IFERROR(INDEX(商品マスタ!$K$6:$K$1005,MATCH($C231,商品マスタ!$B$6:$B$1005,0)),"常温"))</f>
        <v/>
      </c>
      <c r="AE231" s="69" t="str">
        <f aca="false">IF($C231="","",MAX(0,ROUNDUP(N($K231)/MAX(1,N($G231)),0)))</f>
        <v/>
      </c>
      <c r="AF231" s="66" t="str">
        <f aca="false">IF($C231="","",IFERROR(INDEX(商品マスタ!$L$6:$L$1005,MATCH($C231,商品マスタ!$B$6:$B$1005,0)),""))</f>
        <v/>
      </c>
      <c r="AG231" s="143" t="str">
        <f aca="false">IF($C231="","",IFERROR(INDEX(定数マスタ!$S$110:$S$119,MATCH($AF231,定数マスタ!$J$110:$J$119,0)),N('設定（最初に1回）'!$C$13)))</f>
        <v/>
      </c>
      <c r="AH231" s="66" t="n">
        <f aca="false">IF(AND(N($K231)&gt;0,N($Y231)&gt;0),N($Y231),0)</f>
        <v>0</v>
      </c>
    </row>
    <row r="232" customFormat="false" ht="15" hidden="false" customHeight="false" outlineLevel="0" collapsed="false">
      <c r="B232" s="66" t="n">
        <v>227</v>
      </c>
      <c r="C232" s="66" t="str">
        <f aca="false">IFERROR(IF($B232&lt;=MAX(①今日の在庫を貼る!$U$6:$U$10005),INDEX(①今日の在庫を貼る!$I$6:$I$10005,MATCH($B232,①今日の在庫を貼る!$U$6:$U$10005,0)),INDEX(月1回_前回の在庫を貼る!$I$6:$I$10005,MATCH($B232-MAX(①今日の在庫を貼る!$U$6:$U$10005),月1回_前回の在庫を貼る!$U$6:$U$10005,0))),"")</f>
        <v/>
      </c>
      <c r="D232" s="66" t="str">
        <f aca="false">IF($C232="","",IFERROR(INDEX(商品マスタ!$C$6:$C$1005,MATCH($C232,商品マスタ!$B$6:$B$1005,0)),IFERROR(INDEX(①今日の在庫を貼る!$J$6:$J$10005,MATCH($C232,①今日の在庫を貼る!$I$6:$I$10005,0)),IFERROR(INDEX(月1回_前回の在庫を貼る!$J$6:$J$10005,MATCH($C232,月1回_前回の在庫を貼る!$I$6:$I$10005,0)),""))))</f>
        <v/>
      </c>
      <c r="E232" s="66" t="str">
        <f aca="false">IF($C232="","",IFERROR(INDEX(商品マスタ!$D$6:$D$1005,MATCH($C232,商品マスタ!$B$6:$B$1005,0)),IFERROR(INDEX(①今日の在庫を貼る!$H$6:$H$10005,MATCH($C232,①今日の在庫を貼る!$I$6:$I$10005,0)),IFERROR(INDEX(月1回_前回の在庫を貼る!$H$6:$H$10005,MATCH($C232,月1回_前回の在庫を貼る!$I$6:$I$10005,0)),""))))</f>
        <v/>
      </c>
      <c r="F232" s="66" t="str">
        <f aca="false">IF($C232="","",IFERROR(INDEX(商品マスタ!$E$6:$E$1005,MATCH($C232,商品マスタ!$B$6:$B$1005,0)),IFERROR(INDEX(①今日の在庫を貼る!$E$6:$E$10005,MATCH($C232,①今日の在庫を貼る!$I$6:$I$10005,0)),IFERROR(INDEX(月1回_前回の在庫を貼る!$E$6:$E$10005,MATCH($C232,月1回_前回の在庫を貼る!$I$6:$I$10005,0)),""))))</f>
        <v/>
      </c>
      <c r="G232" s="69" t="str">
        <f aca="false">IF($C232="","",IFERROR(INDEX(商品マスタ!$F$6:$F$1005,MATCH($C232,商品マスタ!$B$6:$B$1005,0)),IFERROR(INDEX(①今日の在庫を貼る!$K$6:$K$10005,MATCH($C232,①今日の在庫を貼る!$I$6:$I$10005,0)),IFERROR(INDEX(月1回_前回の在庫を貼る!$K$6:$K$10005,MATCH($C232,月1回_前回の在庫を貼る!$I$6:$I$10005,0)),""))))</f>
        <v/>
      </c>
      <c r="H232" s="71" t="str">
        <f aca="false">IF($C232="","",IFERROR(INDEX(商品マスタ!$G$6:$G$1005,MATCH($C232,商品マスタ!$B$6:$B$1005,0)),IFERROR(INDEX(①今日の在庫を貼る!$Q$6:$Q$10005,MATCH($C232,①今日の在庫を貼る!$I$6:$I$10005,0)),IFERROR(INDEX(月1回_前回の在庫を貼る!$Q$6:$Q$10005,MATCH($C232,月1回_前回の在庫を貼る!$I$6:$I$10005,0)),""))))</f>
        <v/>
      </c>
      <c r="I232" s="66" t="str">
        <f aca="false">IF($C232="","",IFERROR(INDEX(商品マスタ!$H$6:$H$1005,MATCH($C232,商品マスタ!$B$6:$B$1005,0)),3))</f>
        <v/>
      </c>
      <c r="J232" s="66" t="str">
        <f aca="false">IF($C232="","",MAX(1,IFERROR(INDEX(商品マスタ!$I$6:$I$1005,MATCH($C232,商品マスタ!$B$6:$B$1005,0)),1)))</f>
        <v/>
      </c>
      <c r="K232" s="69" t="str">
        <f aca="false">IF($C232="","",SUMIFS(①今日の在庫を貼る!$N$6:$N$10005,①今日の在庫を貼る!$B$6:$B$10005,'設定（最初に1回）'!$C$4,①今日の在庫を貼る!$I$6:$I$10005,$C232))</f>
        <v/>
      </c>
      <c r="L232" s="69" t="str">
        <f aca="false">IF($C232="","",SUMIFS(月1回_前回の在庫を貼る!$N$6:$N$10005,月1回_前回の在庫を貼る!$B$6:$B$10005,'設定（最初に1回）'!$C$4,月1回_前回の在庫を貼る!$I$6:$I$10005,$C232))</f>
        <v/>
      </c>
      <c r="M232" s="69" t="str">
        <f aca="false">IF($C232="","",IF(OR('設定（最初に1回）'!$C$6="",'設定（最初に1回）'!$C$7=""),0,SUMIFS(発注管理!$S$6:$S$1005,発注管理!$C$6:$C$1005,'設定（最初に1回）'!$C$4,発注管理!$F$6:$F$1005,$C232,発注管理!$R$6:$R$1005,"&gt;="&amp;'設定（最初に1回）'!$C$7,発注管理!$R$6:$R$1005,"&lt;="&amp;'設定（最初に1回）'!$C$6)))</f>
        <v/>
      </c>
      <c r="N232" s="69" t="str">
        <f aca="false">IF(OR($C232="",'設定（最初に1回）'!$C$15=0),"",$L232+$M232-$K232)</f>
        <v/>
      </c>
      <c r="O232" s="143" t="str">
        <f aca="false">IF(OR($N232="",'設定（最初に1回）'!$C$8="",'設定（最初に1回）'!$C$8&lt;=0),"",MAX(0,$N232)/'設定（最初に1回）'!$C$8)</f>
        <v/>
      </c>
      <c r="P232" s="143" t="str">
        <f aca="false">IF($C232="","",IFERROR(INDEX(商品マスタ!$M$6:$N$1005,MATCH($C232,商品マスタ!$B$6:$B$1005,0),MATCH("PI値 "&amp;'設定（最初に1回）'!$C$11,商品マスタ!$M$5:$N$5,0)),""))</f>
        <v/>
      </c>
      <c r="Q232" s="143" t="str">
        <f aca="false">IF(OR($C232="",$P232="",$P232=0,(N($I232)+N($AG232))&lt;=0),"",IFERROR(SUMIFS(随時_動員を入れる!$G$8:$G$97,随時_動員を入れる!$B$8:$B$97,"&gt;="&amp;'設定（最初に1回）'!$C$6,随時_動員を入れる!$B$8:$B$97,"&lt;="&amp;'設定（最初に1回）'!$C$6+(N($I232)+N($AG232))-1)/(N($I232)+N($AG232)),0)*$P232/100)</f>
        <v/>
      </c>
      <c r="R232" s="69" t="str">
        <f aca="false">IF($C232="","",SUMIFS(①今日の在庫を貼る!$O$6:$O$10005,①今日の在庫を貼る!$B$6:$B$10005,'設定（最初に1回）'!$C$4,①今日の在庫を貼る!$I$6:$I$10005,$C232))</f>
        <v/>
      </c>
      <c r="S232" s="143" t="str">
        <f aca="false">IF($C232="","",IF('設定（最初に1回）'!$C$9="実績消費",N($O232),IF('設定（最初に1回）'!$C$9="PI値予測",N($Q232),MAX(N($O232),N($Q232)))))</f>
        <v/>
      </c>
      <c r="T232" s="67" t="str">
        <f aca="false">IF(OR($S232="",$S232&lt;=0),"",$K232/$S232)</f>
        <v/>
      </c>
      <c r="U232" s="69" t="str">
        <f aca="false">IF($S232="","",ROUNDUP(N($S232)*'設定（最初に1回）'!$C$12,0))</f>
        <v/>
      </c>
      <c r="V232" s="69" t="str">
        <f aca="false">IF($C232="","",ROUNDUP(N($S232)*(N($I232)+N($AG232))+N($U232),0))</f>
        <v/>
      </c>
      <c r="W232" s="69" t="str">
        <f aca="false">IF($C232="","",SUMIFS(発注管理!$L$6:$L$1005,発注管理!$C$6:$C$1005,'設定（最初に1回）'!$C$4,発注管理!$F$6:$F$1005,$C232,発注管理!$Q$6:$Q$1005,"発注済"))</f>
        <v/>
      </c>
      <c r="X232" s="69" t="str">
        <f aca="false">IF($C232="","",MAX(0,N($V232)-N($K232)-N($W232)))</f>
        <v/>
      </c>
      <c r="Y232" s="147" t="str">
        <f aca="false">IF($C232="","",IF(N($X232)&lt;=0,0,CEILING($X232/MAX(1,N($G232)),MAX(1,N($J232)))))</f>
        <v/>
      </c>
      <c r="Z232" s="138" t="str">
        <f aca="false">IF($C232="","",IF(N($Y232)&gt;0,"要発注","正常"))</f>
        <v/>
      </c>
      <c r="AA232" s="71" t="str">
        <f aca="false">IF($C232="","",N($K232)*N($H232))</f>
        <v/>
      </c>
      <c r="AB232" s="66" t="str">
        <f aca="false">IF($C232="","",_xlfn.TEXTJOIN(" / ",TRUE(),IF(COUNTIF(商品マスタ!$B$6:$B$1005,$C232)=0,"マスタ未登録",""),IF(COUNTIFS(月1回_前回の在庫を貼る!$B$6:$B$10005,'設定（最初に1回）'!$C$4,月1回_前回の在庫を貼る!$I$6:$I$10005,$C232)=0,"新商品",""),IF(COUNTIFS(①今日の在庫を貼る!$B$6:$B$10005,'設定（最初に1回）'!$C$4,①今日の在庫を貼る!$I$6:$I$10005,$C232)=0,"終売候補",""),IF(N($K232)&lt;0,"在庫マイナス",""),IF(AND('設定（最初に1回）'!$C$9="PI値予測",$P232=""),"PI値未設定","")))</f>
        <v/>
      </c>
      <c r="AC232" s="71" t="n">
        <f aca="false">N($Y232)*N($H232)</f>
        <v>0</v>
      </c>
      <c r="AD232" s="66" t="str">
        <f aca="false">IF($C232="","",IFERROR(INDEX(商品マスタ!$K$6:$K$1005,MATCH($C232,商品マスタ!$B$6:$B$1005,0)),"常温"))</f>
        <v/>
      </c>
      <c r="AE232" s="69" t="str">
        <f aca="false">IF($C232="","",MAX(0,ROUNDUP(N($K232)/MAX(1,N($G232)),0)))</f>
        <v/>
      </c>
      <c r="AF232" s="66" t="str">
        <f aca="false">IF($C232="","",IFERROR(INDEX(商品マスタ!$L$6:$L$1005,MATCH($C232,商品マスタ!$B$6:$B$1005,0)),""))</f>
        <v/>
      </c>
      <c r="AG232" s="143" t="str">
        <f aca="false">IF($C232="","",IFERROR(INDEX(定数マスタ!$S$110:$S$119,MATCH($AF232,定数マスタ!$J$110:$J$119,0)),N('設定（最初に1回）'!$C$13)))</f>
        <v/>
      </c>
      <c r="AH232" s="66" t="n">
        <f aca="false">IF(AND(N($K232)&gt;0,N($Y232)&gt;0),N($Y232),0)</f>
        <v>0</v>
      </c>
    </row>
    <row r="233" customFormat="false" ht="15" hidden="false" customHeight="false" outlineLevel="0" collapsed="false">
      <c r="B233" s="66" t="n">
        <v>228</v>
      </c>
      <c r="C233" s="66" t="str">
        <f aca="false">IFERROR(IF($B233&lt;=MAX(①今日の在庫を貼る!$U$6:$U$10005),INDEX(①今日の在庫を貼る!$I$6:$I$10005,MATCH($B233,①今日の在庫を貼る!$U$6:$U$10005,0)),INDEX(月1回_前回の在庫を貼る!$I$6:$I$10005,MATCH($B233-MAX(①今日の在庫を貼る!$U$6:$U$10005),月1回_前回の在庫を貼る!$U$6:$U$10005,0))),"")</f>
        <v/>
      </c>
      <c r="D233" s="66" t="str">
        <f aca="false">IF($C233="","",IFERROR(INDEX(商品マスタ!$C$6:$C$1005,MATCH($C233,商品マスタ!$B$6:$B$1005,0)),IFERROR(INDEX(①今日の在庫を貼る!$J$6:$J$10005,MATCH($C233,①今日の在庫を貼る!$I$6:$I$10005,0)),IFERROR(INDEX(月1回_前回の在庫を貼る!$J$6:$J$10005,MATCH($C233,月1回_前回の在庫を貼る!$I$6:$I$10005,0)),""))))</f>
        <v/>
      </c>
      <c r="E233" s="66" t="str">
        <f aca="false">IF($C233="","",IFERROR(INDEX(商品マスタ!$D$6:$D$1005,MATCH($C233,商品マスタ!$B$6:$B$1005,0)),IFERROR(INDEX(①今日の在庫を貼る!$H$6:$H$10005,MATCH($C233,①今日の在庫を貼る!$I$6:$I$10005,0)),IFERROR(INDEX(月1回_前回の在庫を貼る!$H$6:$H$10005,MATCH($C233,月1回_前回の在庫を貼る!$I$6:$I$10005,0)),""))))</f>
        <v/>
      </c>
      <c r="F233" s="66" t="str">
        <f aca="false">IF($C233="","",IFERROR(INDEX(商品マスタ!$E$6:$E$1005,MATCH($C233,商品マスタ!$B$6:$B$1005,0)),IFERROR(INDEX(①今日の在庫を貼る!$E$6:$E$10005,MATCH($C233,①今日の在庫を貼る!$I$6:$I$10005,0)),IFERROR(INDEX(月1回_前回の在庫を貼る!$E$6:$E$10005,MATCH($C233,月1回_前回の在庫を貼る!$I$6:$I$10005,0)),""))))</f>
        <v/>
      </c>
      <c r="G233" s="69" t="str">
        <f aca="false">IF($C233="","",IFERROR(INDEX(商品マスタ!$F$6:$F$1005,MATCH($C233,商品マスタ!$B$6:$B$1005,0)),IFERROR(INDEX(①今日の在庫を貼る!$K$6:$K$10005,MATCH($C233,①今日の在庫を貼る!$I$6:$I$10005,0)),IFERROR(INDEX(月1回_前回の在庫を貼る!$K$6:$K$10005,MATCH($C233,月1回_前回の在庫を貼る!$I$6:$I$10005,0)),""))))</f>
        <v/>
      </c>
      <c r="H233" s="71" t="str">
        <f aca="false">IF($C233="","",IFERROR(INDEX(商品マスタ!$G$6:$G$1005,MATCH($C233,商品マスタ!$B$6:$B$1005,0)),IFERROR(INDEX(①今日の在庫を貼る!$Q$6:$Q$10005,MATCH($C233,①今日の在庫を貼る!$I$6:$I$10005,0)),IFERROR(INDEX(月1回_前回の在庫を貼る!$Q$6:$Q$10005,MATCH($C233,月1回_前回の在庫を貼る!$I$6:$I$10005,0)),""))))</f>
        <v/>
      </c>
      <c r="I233" s="66" t="str">
        <f aca="false">IF($C233="","",IFERROR(INDEX(商品マスタ!$H$6:$H$1005,MATCH($C233,商品マスタ!$B$6:$B$1005,0)),3))</f>
        <v/>
      </c>
      <c r="J233" s="66" t="str">
        <f aca="false">IF($C233="","",MAX(1,IFERROR(INDEX(商品マスタ!$I$6:$I$1005,MATCH($C233,商品マスタ!$B$6:$B$1005,0)),1)))</f>
        <v/>
      </c>
      <c r="K233" s="69" t="str">
        <f aca="false">IF($C233="","",SUMIFS(①今日の在庫を貼る!$N$6:$N$10005,①今日の在庫を貼る!$B$6:$B$10005,'設定（最初に1回）'!$C$4,①今日の在庫を貼る!$I$6:$I$10005,$C233))</f>
        <v/>
      </c>
      <c r="L233" s="69" t="str">
        <f aca="false">IF($C233="","",SUMIFS(月1回_前回の在庫を貼る!$N$6:$N$10005,月1回_前回の在庫を貼る!$B$6:$B$10005,'設定（最初に1回）'!$C$4,月1回_前回の在庫を貼る!$I$6:$I$10005,$C233))</f>
        <v/>
      </c>
      <c r="M233" s="69" t="str">
        <f aca="false">IF($C233="","",IF(OR('設定（最初に1回）'!$C$6="",'設定（最初に1回）'!$C$7=""),0,SUMIFS(発注管理!$S$6:$S$1005,発注管理!$C$6:$C$1005,'設定（最初に1回）'!$C$4,発注管理!$F$6:$F$1005,$C233,発注管理!$R$6:$R$1005,"&gt;="&amp;'設定（最初に1回）'!$C$7,発注管理!$R$6:$R$1005,"&lt;="&amp;'設定（最初に1回）'!$C$6)))</f>
        <v/>
      </c>
      <c r="N233" s="69" t="str">
        <f aca="false">IF(OR($C233="",'設定（最初に1回）'!$C$15=0),"",$L233+$M233-$K233)</f>
        <v/>
      </c>
      <c r="O233" s="143" t="str">
        <f aca="false">IF(OR($N233="",'設定（最初に1回）'!$C$8="",'設定（最初に1回）'!$C$8&lt;=0),"",MAX(0,$N233)/'設定（最初に1回）'!$C$8)</f>
        <v/>
      </c>
      <c r="P233" s="143" t="str">
        <f aca="false">IF($C233="","",IFERROR(INDEX(商品マスタ!$M$6:$N$1005,MATCH($C233,商品マスタ!$B$6:$B$1005,0),MATCH("PI値 "&amp;'設定（最初に1回）'!$C$11,商品マスタ!$M$5:$N$5,0)),""))</f>
        <v/>
      </c>
      <c r="Q233" s="143" t="str">
        <f aca="false">IF(OR($C233="",$P233="",$P233=0,(N($I233)+N($AG233))&lt;=0),"",IFERROR(SUMIFS(随時_動員を入れる!$G$8:$G$97,随時_動員を入れる!$B$8:$B$97,"&gt;="&amp;'設定（最初に1回）'!$C$6,随時_動員を入れる!$B$8:$B$97,"&lt;="&amp;'設定（最初に1回）'!$C$6+(N($I233)+N($AG233))-1)/(N($I233)+N($AG233)),0)*$P233/100)</f>
        <v/>
      </c>
      <c r="R233" s="69" t="str">
        <f aca="false">IF($C233="","",SUMIFS(①今日の在庫を貼る!$O$6:$O$10005,①今日の在庫を貼る!$B$6:$B$10005,'設定（最初に1回）'!$C$4,①今日の在庫を貼る!$I$6:$I$10005,$C233))</f>
        <v/>
      </c>
      <c r="S233" s="143" t="str">
        <f aca="false">IF($C233="","",IF('設定（最初に1回）'!$C$9="実績消費",N($O233),IF('設定（最初に1回）'!$C$9="PI値予測",N($Q233),MAX(N($O233),N($Q233)))))</f>
        <v/>
      </c>
      <c r="T233" s="67" t="str">
        <f aca="false">IF(OR($S233="",$S233&lt;=0),"",$K233/$S233)</f>
        <v/>
      </c>
      <c r="U233" s="69" t="str">
        <f aca="false">IF($S233="","",ROUNDUP(N($S233)*'設定（最初に1回）'!$C$12,0))</f>
        <v/>
      </c>
      <c r="V233" s="69" t="str">
        <f aca="false">IF($C233="","",ROUNDUP(N($S233)*(N($I233)+N($AG233))+N($U233),0))</f>
        <v/>
      </c>
      <c r="W233" s="69" t="str">
        <f aca="false">IF($C233="","",SUMIFS(発注管理!$L$6:$L$1005,発注管理!$C$6:$C$1005,'設定（最初に1回）'!$C$4,発注管理!$F$6:$F$1005,$C233,発注管理!$Q$6:$Q$1005,"発注済"))</f>
        <v/>
      </c>
      <c r="X233" s="69" t="str">
        <f aca="false">IF($C233="","",MAX(0,N($V233)-N($K233)-N($W233)))</f>
        <v/>
      </c>
      <c r="Y233" s="147" t="str">
        <f aca="false">IF($C233="","",IF(N($X233)&lt;=0,0,CEILING($X233/MAX(1,N($G233)),MAX(1,N($J233)))))</f>
        <v/>
      </c>
      <c r="Z233" s="138" t="str">
        <f aca="false">IF($C233="","",IF(N($Y233)&gt;0,"要発注","正常"))</f>
        <v/>
      </c>
      <c r="AA233" s="71" t="str">
        <f aca="false">IF($C233="","",N($K233)*N($H233))</f>
        <v/>
      </c>
      <c r="AB233" s="66" t="str">
        <f aca="false">IF($C233="","",_xlfn.TEXTJOIN(" / ",TRUE(),IF(COUNTIF(商品マスタ!$B$6:$B$1005,$C233)=0,"マスタ未登録",""),IF(COUNTIFS(月1回_前回の在庫を貼る!$B$6:$B$10005,'設定（最初に1回）'!$C$4,月1回_前回の在庫を貼る!$I$6:$I$10005,$C233)=0,"新商品",""),IF(COUNTIFS(①今日の在庫を貼る!$B$6:$B$10005,'設定（最初に1回）'!$C$4,①今日の在庫を貼る!$I$6:$I$10005,$C233)=0,"終売候補",""),IF(N($K233)&lt;0,"在庫マイナス",""),IF(AND('設定（最初に1回）'!$C$9="PI値予測",$P233=""),"PI値未設定","")))</f>
        <v/>
      </c>
      <c r="AC233" s="71" t="n">
        <f aca="false">N($Y233)*N($H233)</f>
        <v>0</v>
      </c>
      <c r="AD233" s="66" t="str">
        <f aca="false">IF($C233="","",IFERROR(INDEX(商品マスタ!$K$6:$K$1005,MATCH($C233,商品マスタ!$B$6:$B$1005,0)),"常温"))</f>
        <v/>
      </c>
      <c r="AE233" s="69" t="str">
        <f aca="false">IF($C233="","",MAX(0,ROUNDUP(N($K233)/MAX(1,N($G233)),0)))</f>
        <v/>
      </c>
      <c r="AF233" s="66" t="str">
        <f aca="false">IF($C233="","",IFERROR(INDEX(商品マスタ!$L$6:$L$1005,MATCH($C233,商品マスタ!$B$6:$B$1005,0)),""))</f>
        <v/>
      </c>
      <c r="AG233" s="143" t="str">
        <f aca="false">IF($C233="","",IFERROR(INDEX(定数マスタ!$S$110:$S$119,MATCH($AF233,定数マスタ!$J$110:$J$119,0)),N('設定（最初に1回）'!$C$13)))</f>
        <v/>
      </c>
      <c r="AH233" s="66" t="n">
        <f aca="false">IF(AND(N($K233)&gt;0,N($Y233)&gt;0),N($Y233),0)</f>
        <v>0</v>
      </c>
    </row>
    <row r="234" customFormat="false" ht="15" hidden="false" customHeight="false" outlineLevel="0" collapsed="false">
      <c r="B234" s="66" t="n">
        <v>229</v>
      </c>
      <c r="C234" s="66" t="str">
        <f aca="false">IFERROR(IF($B234&lt;=MAX(①今日の在庫を貼る!$U$6:$U$10005),INDEX(①今日の在庫を貼る!$I$6:$I$10005,MATCH($B234,①今日の在庫を貼る!$U$6:$U$10005,0)),INDEX(月1回_前回の在庫を貼る!$I$6:$I$10005,MATCH($B234-MAX(①今日の在庫を貼る!$U$6:$U$10005),月1回_前回の在庫を貼る!$U$6:$U$10005,0))),"")</f>
        <v/>
      </c>
      <c r="D234" s="66" t="str">
        <f aca="false">IF($C234="","",IFERROR(INDEX(商品マスタ!$C$6:$C$1005,MATCH($C234,商品マスタ!$B$6:$B$1005,0)),IFERROR(INDEX(①今日の在庫を貼る!$J$6:$J$10005,MATCH($C234,①今日の在庫を貼る!$I$6:$I$10005,0)),IFERROR(INDEX(月1回_前回の在庫を貼る!$J$6:$J$10005,MATCH($C234,月1回_前回の在庫を貼る!$I$6:$I$10005,0)),""))))</f>
        <v/>
      </c>
      <c r="E234" s="66" t="str">
        <f aca="false">IF($C234="","",IFERROR(INDEX(商品マスタ!$D$6:$D$1005,MATCH($C234,商品マスタ!$B$6:$B$1005,0)),IFERROR(INDEX(①今日の在庫を貼る!$H$6:$H$10005,MATCH($C234,①今日の在庫を貼る!$I$6:$I$10005,0)),IFERROR(INDEX(月1回_前回の在庫を貼る!$H$6:$H$10005,MATCH($C234,月1回_前回の在庫を貼る!$I$6:$I$10005,0)),""))))</f>
        <v/>
      </c>
      <c r="F234" s="66" t="str">
        <f aca="false">IF($C234="","",IFERROR(INDEX(商品マスタ!$E$6:$E$1005,MATCH($C234,商品マスタ!$B$6:$B$1005,0)),IFERROR(INDEX(①今日の在庫を貼る!$E$6:$E$10005,MATCH($C234,①今日の在庫を貼る!$I$6:$I$10005,0)),IFERROR(INDEX(月1回_前回の在庫を貼る!$E$6:$E$10005,MATCH($C234,月1回_前回の在庫を貼る!$I$6:$I$10005,0)),""))))</f>
        <v/>
      </c>
      <c r="G234" s="69" t="str">
        <f aca="false">IF($C234="","",IFERROR(INDEX(商品マスタ!$F$6:$F$1005,MATCH($C234,商品マスタ!$B$6:$B$1005,0)),IFERROR(INDEX(①今日の在庫を貼る!$K$6:$K$10005,MATCH($C234,①今日の在庫を貼る!$I$6:$I$10005,0)),IFERROR(INDEX(月1回_前回の在庫を貼る!$K$6:$K$10005,MATCH($C234,月1回_前回の在庫を貼る!$I$6:$I$10005,0)),""))))</f>
        <v/>
      </c>
      <c r="H234" s="71" t="str">
        <f aca="false">IF($C234="","",IFERROR(INDEX(商品マスタ!$G$6:$G$1005,MATCH($C234,商品マスタ!$B$6:$B$1005,0)),IFERROR(INDEX(①今日の在庫を貼る!$Q$6:$Q$10005,MATCH($C234,①今日の在庫を貼る!$I$6:$I$10005,0)),IFERROR(INDEX(月1回_前回の在庫を貼る!$Q$6:$Q$10005,MATCH($C234,月1回_前回の在庫を貼る!$I$6:$I$10005,0)),""))))</f>
        <v/>
      </c>
      <c r="I234" s="66" t="str">
        <f aca="false">IF($C234="","",IFERROR(INDEX(商品マスタ!$H$6:$H$1005,MATCH($C234,商品マスタ!$B$6:$B$1005,0)),3))</f>
        <v/>
      </c>
      <c r="J234" s="66" t="str">
        <f aca="false">IF($C234="","",MAX(1,IFERROR(INDEX(商品マスタ!$I$6:$I$1005,MATCH($C234,商品マスタ!$B$6:$B$1005,0)),1)))</f>
        <v/>
      </c>
      <c r="K234" s="69" t="str">
        <f aca="false">IF($C234="","",SUMIFS(①今日の在庫を貼る!$N$6:$N$10005,①今日の在庫を貼る!$B$6:$B$10005,'設定（最初に1回）'!$C$4,①今日の在庫を貼る!$I$6:$I$10005,$C234))</f>
        <v/>
      </c>
      <c r="L234" s="69" t="str">
        <f aca="false">IF($C234="","",SUMIFS(月1回_前回の在庫を貼る!$N$6:$N$10005,月1回_前回の在庫を貼る!$B$6:$B$10005,'設定（最初に1回）'!$C$4,月1回_前回の在庫を貼る!$I$6:$I$10005,$C234))</f>
        <v/>
      </c>
      <c r="M234" s="69" t="str">
        <f aca="false">IF($C234="","",IF(OR('設定（最初に1回）'!$C$6="",'設定（最初に1回）'!$C$7=""),0,SUMIFS(発注管理!$S$6:$S$1005,発注管理!$C$6:$C$1005,'設定（最初に1回）'!$C$4,発注管理!$F$6:$F$1005,$C234,発注管理!$R$6:$R$1005,"&gt;="&amp;'設定（最初に1回）'!$C$7,発注管理!$R$6:$R$1005,"&lt;="&amp;'設定（最初に1回）'!$C$6)))</f>
        <v/>
      </c>
      <c r="N234" s="69" t="str">
        <f aca="false">IF(OR($C234="",'設定（最初に1回）'!$C$15=0),"",$L234+$M234-$K234)</f>
        <v/>
      </c>
      <c r="O234" s="143" t="str">
        <f aca="false">IF(OR($N234="",'設定（最初に1回）'!$C$8="",'設定（最初に1回）'!$C$8&lt;=0),"",MAX(0,$N234)/'設定（最初に1回）'!$C$8)</f>
        <v/>
      </c>
      <c r="P234" s="143" t="str">
        <f aca="false">IF($C234="","",IFERROR(INDEX(商品マスタ!$M$6:$N$1005,MATCH($C234,商品マスタ!$B$6:$B$1005,0),MATCH("PI値 "&amp;'設定（最初に1回）'!$C$11,商品マスタ!$M$5:$N$5,0)),""))</f>
        <v/>
      </c>
      <c r="Q234" s="143" t="str">
        <f aca="false">IF(OR($C234="",$P234="",$P234=0,(N($I234)+N($AG234))&lt;=0),"",IFERROR(SUMIFS(随時_動員を入れる!$G$8:$G$97,随時_動員を入れる!$B$8:$B$97,"&gt;="&amp;'設定（最初に1回）'!$C$6,随時_動員を入れる!$B$8:$B$97,"&lt;="&amp;'設定（最初に1回）'!$C$6+(N($I234)+N($AG234))-1)/(N($I234)+N($AG234)),0)*$P234/100)</f>
        <v/>
      </c>
      <c r="R234" s="69" t="str">
        <f aca="false">IF($C234="","",SUMIFS(①今日の在庫を貼る!$O$6:$O$10005,①今日の在庫を貼る!$B$6:$B$10005,'設定（最初に1回）'!$C$4,①今日の在庫を貼る!$I$6:$I$10005,$C234))</f>
        <v/>
      </c>
      <c r="S234" s="143" t="str">
        <f aca="false">IF($C234="","",IF('設定（最初に1回）'!$C$9="実績消費",N($O234),IF('設定（最初に1回）'!$C$9="PI値予測",N($Q234),MAX(N($O234),N($Q234)))))</f>
        <v/>
      </c>
      <c r="T234" s="67" t="str">
        <f aca="false">IF(OR($S234="",$S234&lt;=0),"",$K234/$S234)</f>
        <v/>
      </c>
      <c r="U234" s="69" t="str">
        <f aca="false">IF($S234="","",ROUNDUP(N($S234)*'設定（最初に1回）'!$C$12,0))</f>
        <v/>
      </c>
      <c r="V234" s="69" t="str">
        <f aca="false">IF($C234="","",ROUNDUP(N($S234)*(N($I234)+N($AG234))+N($U234),0))</f>
        <v/>
      </c>
      <c r="W234" s="69" t="str">
        <f aca="false">IF($C234="","",SUMIFS(発注管理!$L$6:$L$1005,発注管理!$C$6:$C$1005,'設定（最初に1回）'!$C$4,発注管理!$F$6:$F$1005,$C234,発注管理!$Q$6:$Q$1005,"発注済"))</f>
        <v/>
      </c>
      <c r="X234" s="69" t="str">
        <f aca="false">IF($C234="","",MAX(0,N($V234)-N($K234)-N($W234)))</f>
        <v/>
      </c>
      <c r="Y234" s="147" t="str">
        <f aca="false">IF($C234="","",IF(N($X234)&lt;=0,0,CEILING($X234/MAX(1,N($G234)),MAX(1,N($J234)))))</f>
        <v/>
      </c>
      <c r="Z234" s="138" t="str">
        <f aca="false">IF($C234="","",IF(N($Y234)&gt;0,"要発注","正常"))</f>
        <v/>
      </c>
      <c r="AA234" s="71" t="str">
        <f aca="false">IF($C234="","",N($K234)*N($H234))</f>
        <v/>
      </c>
      <c r="AB234" s="66" t="str">
        <f aca="false">IF($C234="","",_xlfn.TEXTJOIN(" / ",TRUE(),IF(COUNTIF(商品マスタ!$B$6:$B$1005,$C234)=0,"マスタ未登録",""),IF(COUNTIFS(月1回_前回の在庫を貼る!$B$6:$B$10005,'設定（最初に1回）'!$C$4,月1回_前回の在庫を貼る!$I$6:$I$10005,$C234)=0,"新商品",""),IF(COUNTIFS(①今日の在庫を貼る!$B$6:$B$10005,'設定（最初に1回）'!$C$4,①今日の在庫を貼る!$I$6:$I$10005,$C234)=0,"終売候補",""),IF(N($K234)&lt;0,"在庫マイナス",""),IF(AND('設定（最初に1回）'!$C$9="PI値予測",$P234=""),"PI値未設定","")))</f>
        <v/>
      </c>
      <c r="AC234" s="71" t="n">
        <f aca="false">N($Y234)*N($H234)</f>
        <v>0</v>
      </c>
      <c r="AD234" s="66" t="str">
        <f aca="false">IF($C234="","",IFERROR(INDEX(商品マスタ!$K$6:$K$1005,MATCH($C234,商品マスタ!$B$6:$B$1005,0)),"常温"))</f>
        <v/>
      </c>
      <c r="AE234" s="69" t="str">
        <f aca="false">IF($C234="","",MAX(0,ROUNDUP(N($K234)/MAX(1,N($G234)),0)))</f>
        <v/>
      </c>
      <c r="AF234" s="66" t="str">
        <f aca="false">IF($C234="","",IFERROR(INDEX(商品マスタ!$L$6:$L$1005,MATCH($C234,商品マスタ!$B$6:$B$1005,0)),""))</f>
        <v/>
      </c>
      <c r="AG234" s="143" t="str">
        <f aca="false">IF($C234="","",IFERROR(INDEX(定数マスタ!$S$110:$S$119,MATCH($AF234,定数マスタ!$J$110:$J$119,0)),N('設定（最初に1回）'!$C$13)))</f>
        <v/>
      </c>
      <c r="AH234" s="66" t="n">
        <f aca="false">IF(AND(N($K234)&gt;0,N($Y234)&gt;0),N($Y234),0)</f>
        <v>0</v>
      </c>
    </row>
    <row r="235" customFormat="false" ht="15" hidden="false" customHeight="false" outlineLevel="0" collapsed="false">
      <c r="B235" s="66" t="n">
        <v>230</v>
      </c>
      <c r="C235" s="66" t="str">
        <f aca="false">IFERROR(IF($B235&lt;=MAX(①今日の在庫を貼る!$U$6:$U$10005),INDEX(①今日の在庫を貼る!$I$6:$I$10005,MATCH($B235,①今日の在庫を貼る!$U$6:$U$10005,0)),INDEX(月1回_前回の在庫を貼る!$I$6:$I$10005,MATCH($B235-MAX(①今日の在庫を貼る!$U$6:$U$10005),月1回_前回の在庫を貼る!$U$6:$U$10005,0))),"")</f>
        <v/>
      </c>
      <c r="D235" s="66" t="str">
        <f aca="false">IF($C235="","",IFERROR(INDEX(商品マスタ!$C$6:$C$1005,MATCH($C235,商品マスタ!$B$6:$B$1005,0)),IFERROR(INDEX(①今日の在庫を貼る!$J$6:$J$10005,MATCH($C235,①今日の在庫を貼る!$I$6:$I$10005,0)),IFERROR(INDEX(月1回_前回の在庫を貼る!$J$6:$J$10005,MATCH($C235,月1回_前回の在庫を貼る!$I$6:$I$10005,0)),""))))</f>
        <v/>
      </c>
      <c r="E235" s="66" t="str">
        <f aca="false">IF($C235="","",IFERROR(INDEX(商品マスタ!$D$6:$D$1005,MATCH($C235,商品マスタ!$B$6:$B$1005,0)),IFERROR(INDEX(①今日の在庫を貼る!$H$6:$H$10005,MATCH($C235,①今日の在庫を貼る!$I$6:$I$10005,0)),IFERROR(INDEX(月1回_前回の在庫を貼る!$H$6:$H$10005,MATCH($C235,月1回_前回の在庫を貼る!$I$6:$I$10005,0)),""))))</f>
        <v/>
      </c>
      <c r="F235" s="66" t="str">
        <f aca="false">IF($C235="","",IFERROR(INDEX(商品マスタ!$E$6:$E$1005,MATCH($C235,商品マスタ!$B$6:$B$1005,0)),IFERROR(INDEX(①今日の在庫を貼る!$E$6:$E$10005,MATCH($C235,①今日の在庫を貼る!$I$6:$I$10005,0)),IFERROR(INDEX(月1回_前回の在庫を貼る!$E$6:$E$10005,MATCH($C235,月1回_前回の在庫を貼る!$I$6:$I$10005,0)),""))))</f>
        <v/>
      </c>
      <c r="G235" s="69" t="str">
        <f aca="false">IF($C235="","",IFERROR(INDEX(商品マスタ!$F$6:$F$1005,MATCH($C235,商品マスタ!$B$6:$B$1005,0)),IFERROR(INDEX(①今日の在庫を貼る!$K$6:$K$10005,MATCH($C235,①今日の在庫を貼る!$I$6:$I$10005,0)),IFERROR(INDEX(月1回_前回の在庫を貼る!$K$6:$K$10005,MATCH($C235,月1回_前回の在庫を貼る!$I$6:$I$10005,0)),""))))</f>
        <v/>
      </c>
      <c r="H235" s="71" t="str">
        <f aca="false">IF($C235="","",IFERROR(INDEX(商品マスタ!$G$6:$G$1005,MATCH($C235,商品マスタ!$B$6:$B$1005,0)),IFERROR(INDEX(①今日の在庫を貼る!$Q$6:$Q$10005,MATCH($C235,①今日の在庫を貼る!$I$6:$I$10005,0)),IFERROR(INDEX(月1回_前回の在庫を貼る!$Q$6:$Q$10005,MATCH($C235,月1回_前回の在庫を貼る!$I$6:$I$10005,0)),""))))</f>
        <v/>
      </c>
      <c r="I235" s="66" t="str">
        <f aca="false">IF($C235="","",IFERROR(INDEX(商品マスタ!$H$6:$H$1005,MATCH($C235,商品マスタ!$B$6:$B$1005,0)),3))</f>
        <v/>
      </c>
      <c r="J235" s="66" t="str">
        <f aca="false">IF($C235="","",MAX(1,IFERROR(INDEX(商品マスタ!$I$6:$I$1005,MATCH($C235,商品マスタ!$B$6:$B$1005,0)),1)))</f>
        <v/>
      </c>
      <c r="K235" s="69" t="str">
        <f aca="false">IF($C235="","",SUMIFS(①今日の在庫を貼る!$N$6:$N$10005,①今日の在庫を貼る!$B$6:$B$10005,'設定（最初に1回）'!$C$4,①今日の在庫を貼る!$I$6:$I$10005,$C235))</f>
        <v/>
      </c>
      <c r="L235" s="69" t="str">
        <f aca="false">IF($C235="","",SUMIFS(月1回_前回の在庫を貼る!$N$6:$N$10005,月1回_前回の在庫を貼る!$B$6:$B$10005,'設定（最初に1回）'!$C$4,月1回_前回の在庫を貼る!$I$6:$I$10005,$C235))</f>
        <v/>
      </c>
      <c r="M235" s="69" t="str">
        <f aca="false">IF($C235="","",IF(OR('設定（最初に1回）'!$C$6="",'設定（最初に1回）'!$C$7=""),0,SUMIFS(発注管理!$S$6:$S$1005,発注管理!$C$6:$C$1005,'設定（最初に1回）'!$C$4,発注管理!$F$6:$F$1005,$C235,発注管理!$R$6:$R$1005,"&gt;="&amp;'設定（最初に1回）'!$C$7,発注管理!$R$6:$R$1005,"&lt;="&amp;'設定（最初に1回）'!$C$6)))</f>
        <v/>
      </c>
      <c r="N235" s="69" t="str">
        <f aca="false">IF(OR($C235="",'設定（最初に1回）'!$C$15=0),"",$L235+$M235-$K235)</f>
        <v/>
      </c>
      <c r="O235" s="143" t="str">
        <f aca="false">IF(OR($N235="",'設定（最初に1回）'!$C$8="",'設定（最初に1回）'!$C$8&lt;=0),"",MAX(0,$N235)/'設定（最初に1回）'!$C$8)</f>
        <v/>
      </c>
      <c r="P235" s="143" t="str">
        <f aca="false">IF($C235="","",IFERROR(INDEX(商品マスタ!$M$6:$N$1005,MATCH($C235,商品マスタ!$B$6:$B$1005,0),MATCH("PI値 "&amp;'設定（最初に1回）'!$C$11,商品マスタ!$M$5:$N$5,0)),""))</f>
        <v/>
      </c>
      <c r="Q235" s="143" t="str">
        <f aca="false">IF(OR($C235="",$P235="",$P235=0,(N($I235)+N($AG235))&lt;=0),"",IFERROR(SUMIFS(随時_動員を入れる!$G$8:$G$97,随時_動員を入れる!$B$8:$B$97,"&gt;="&amp;'設定（最初に1回）'!$C$6,随時_動員を入れる!$B$8:$B$97,"&lt;="&amp;'設定（最初に1回）'!$C$6+(N($I235)+N($AG235))-1)/(N($I235)+N($AG235)),0)*$P235/100)</f>
        <v/>
      </c>
      <c r="R235" s="69" t="str">
        <f aca="false">IF($C235="","",SUMIFS(①今日の在庫を貼る!$O$6:$O$10005,①今日の在庫を貼る!$B$6:$B$10005,'設定（最初に1回）'!$C$4,①今日の在庫を貼る!$I$6:$I$10005,$C235))</f>
        <v/>
      </c>
      <c r="S235" s="143" t="str">
        <f aca="false">IF($C235="","",IF('設定（最初に1回）'!$C$9="実績消費",N($O235),IF('設定（最初に1回）'!$C$9="PI値予測",N($Q235),MAX(N($O235),N($Q235)))))</f>
        <v/>
      </c>
      <c r="T235" s="67" t="str">
        <f aca="false">IF(OR($S235="",$S235&lt;=0),"",$K235/$S235)</f>
        <v/>
      </c>
      <c r="U235" s="69" t="str">
        <f aca="false">IF($S235="","",ROUNDUP(N($S235)*'設定（最初に1回）'!$C$12,0))</f>
        <v/>
      </c>
      <c r="V235" s="69" t="str">
        <f aca="false">IF($C235="","",ROUNDUP(N($S235)*(N($I235)+N($AG235))+N($U235),0))</f>
        <v/>
      </c>
      <c r="W235" s="69" t="str">
        <f aca="false">IF($C235="","",SUMIFS(発注管理!$L$6:$L$1005,発注管理!$C$6:$C$1005,'設定（最初に1回）'!$C$4,発注管理!$F$6:$F$1005,$C235,発注管理!$Q$6:$Q$1005,"発注済"))</f>
        <v/>
      </c>
      <c r="X235" s="69" t="str">
        <f aca="false">IF($C235="","",MAX(0,N($V235)-N($K235)-N($W235)))</f>
        <v/>
      </c>
      <c r="Y235" s="147" t="str">
        <f aca="false">IF($C235="","",IF(N($X235)&lt;=0,0,CEILING($X235/MAX(1,N($G235)),MAX(1,N($J235)))))</f>
        <v/>
      </c>
      <c r="Z235" s="138" t="str">
        <f aca="false">IF($C235="","",IF(N($Y235)&gt;0,"要発注","正常"))</f>
        <v/>
      </c>
      <c r="AA235" s="71" t="str">
        <f aca="false">IF($C235="","",N($K235)*N($H235))</f>
        <v/>
      </c>
      <c r="AB235" s="66" t="str">
        <f aca="false">IF($C235="","",_xlfn.TEXTJOIN(" / ",TRUE(),IF(COUNTIF(商品マスタ!$B$6:$B$1005,$C235)=0,"マスタ未登録",""),IF(COUNTIFS(月1回_前回の在庫を貼る!$B$6:$B$10005,'設定（最初に1回）'!$C$4,月1回_前回の在庫を貼る!$I$6:$I$10005,$C235)=0,"新商品",""),IF(COUNTIFS(①今日の在庫を貼る!$B$6:$B$10005,'設定（最初に1回）'!$C$4,①今日の在庫を貼る!$I$6:$I$10005,$C235)=0,"終売候補",""),IF(N($K235)&lt;0,"在庫マイナス",""),IF(AND('設定（最初に1回）'!$C$9="PI値予測",$P235=""),"PI値未設定","")))</f>
        <v/>
      </c>
      <c r="AC235" s="71" t="n">
        <f aca="false">N($Y235)*N($H235)</f>
        <v>0</v>
      </c>
      <c r="AD235" s="66" t="str">
        <f aca="false">IF($C235="","",IFERROR(INDEX(商品マスタ!$K$6:$K$1005,MATCH($C235,商品マスタ!$B$6:$B$1005,0)),"常温"))</f>
        <v/>
      </c>
      <c r="AE235" s="69" t="str">
        <f aca="false">IF($C235="","",MAX(0,ROUNDUP(N($K235)/MAX(1,N($G235)),0)))</f>
        <v/>
      </c>
      <c r="AF235" s="66" t="str">
        <f aca="false">IF($C235="","",IFERROR(INDEX(商品マスタ!$L$6:$L$1005,MATCH($C235,商品マスタ!$B$6:$B$1005,0)),""))</f>
        <v/>
      </c>
      <c r="AG235" s="143" t="str">
        <f aca="false">IF($C235="","",IFERROR(INDEX(定数マスタ!$S$110:$S$119,MATCH($AF235,定数マスタ!$J$110:$J$119,0)),N('設定（最初に1回）'!$C$13)))</f>
        <v/>
      </c>
      <c r="AH235" s="66" t="n">
        <f aca="false">IF(AND(N($K235)&gt;0,N($Y235)&gt;0),N($Y235),0)</f>
        <v>0</v>
      </c>
    </row>
    <row r="236" customFormat="false" ht="15" hidden="false" customHeight="false" outlineLevel="0" collapsed="false">
      <c r="B236" s="66" t="n">
        <v>231</v>
      </c>
      <c r="C236" s="66" t="str">
        <f aca="false">IFERROR(IF($B236&lt;=MAX(①今日の在庫を貼る!$U$6:$U$10005),INDEX(①今日の在庫を貼る!$I$6:$I$10005,MATCH($B236,①今日の在庫を貼る!$U$6:$U$10005,0)),INDEX(月1回_前回の在庫を貼る!$I$6:$I$10005,MATCH($B236-MAX(①今日の在庫を貼る!$U$6:$U$10005),月1回_前回の在庫を貼る!$U$6:$U$10005,0))),"")</f>
        <v/>
      </c>
      <c r="D236" s="66" t="str">
        <f aca="false">IF($C236="","",IFERROR(INDEX(商品マスタ!$C$6:$C$1005,MATCH($C236,商品マスタ!$B$6:$B$1005,0)),IFERROR(INDEX(①今日の在庫を貼る!$J$6:$J$10005,MATCH($C236,①今日の在庫を貼る!$I$6:$I$10005,0)),IFERROR(INDEX(月1回_前回の在庫を貼る!$J$6:$J$10005,MATCH($C236,月1回_前回の在庫を貼る!$I$6:$I$10005,0)),""))))</f>
        <v/>
      </c>
      <c r="E236" s="66" t="str">
        <f aca="false">IF($C236="","",IFERROR(INDEX(商品マスタ!$D$6:$D$1005,MATCH($C236,商品マスタ!$B$6:$B$1005,0)),IFERROR(INDEX(①今日の在庫を貼る!$H$6:$H$10005,MATCH($C236,①今日の在庫を貼る!$I$6:$I$10005,0)),IFERROR(INDEX(月1回_前回の在庫を貼る!$H$6:$H$10005,MATCH($C236,月1回_前回の在庫を貼る!$I$6:$I$10005,0)),""))))</f>
        <v/>
      </c>
      <c r="F236" s="66" t="str">
        <f aca="false">IF($C236="","",IFERROR(INDEX(商品マスタ!$E$6:$E$1005,MATCH($C236,商品マスタ!$B$6:$B$1005,0)),IFERROR(INDEX(①今日の在庫を貼る!$E$6:$E$10005,MATCH($C236,①今日の在庫を貼る!$I$6:$I$10005,0)),IFERROR(INDEX(月1回_前回の在庫を貼る!$E$6:$E$10005,MATCH($C236,月1回_前回の在庫を貼る!$I$6:$I$10005,0)),""))))</f>
        <v/>
      </c>
      <c r="G236" s="69" t="str">
        <f aca="false">IF($C236="","",IFERROR(INDEX(商品マスタ!$F$6:$F$1005,MATCH($C236,商品マスタ!$B$6:$B$1005,0)),IFERROR(INDEX(①今日の在庫を貼る!$K$6:$K$10005,MATCH($C236,①今日の在庫を貼る!$I$6:$I$10005,0)),IFERROR(INDEX(月1回_前回の在庫を貼る!$K$6:$K$10005,MATCH($C236,月1回_前回の在庫を貼る!$I$6:$I$10005,0)),""))))</f>
        <v/>
      </c>
      <c r="H236" s="71" t="str">
        <f aca="false">IF($C236="","",IFERROR(INDEX(商品マスタ!$G$6:$G$1005,MATCH($C236,商品マスタ!$B$6:$B$1005,0)),IFERROR(INDEX(①今日の在庫を貼る!$Q$6:$Q$10005,MATCH($C236,①今日の在庫を貼る!$I$6:$I$10005,0)),IFERROR(INDEX(月1回_前回の在庫を貼る!$Q$6:$Q$10005,MATCH($C236,月1回_前回の在庫を貼る!$I$6:$I$10005,0)),""))))</f>
        <v/>
      </c>
      <c r="I236" s="66" t="str">
        <f aca="false">IF($C236="","",IFERROR(INDEX(商品マスタ!$H$6:$H$1005,MATCH($C236,商品マスタ!$B$6:$B$1005,0)),3))</f>
        <v/>
      </c>
      <c r="J236" s="66" t="str">
        <f aca="false">IF($C236="","",MAX(1,IFERROR(INDEX(商品マスタ!$I$6:$I$1005,MATCH($C236,商品マスタ!$B$6:$B$1005,0)),1)))</f>
        <v/>
      </c>
      <c r="K236" s="69" t="str">
        <f aca="false">IF($C236="","",SUMIFS(①今日の在庫を貼る!$N$6:$N$10005,①今日の在庫を貼る!$B$6:$B$10005,'設定（最初に1回）'!$C$4,①今日の在庫を貼る!$I$6:$I$10005,$C236))</f>
        <v/>
      </c>
      <c r="L236" s="69" t="str">
        <f aca="false">IF($C236="","",SUMIFS(月1回_前回の在庫を貼る!$N$6:$N$10005,月1回_前回の在庫を貼る!$B$6:$B$10005,'設定（最初に1回）'!$C$4,月1回_前回の在庫を貼る!$I$6:$I$10005,$C236))</f>
        <v/>
      </c>
      <c r="M236" s="69" t="str">
        <f aca="false">IF($C236="","",IF(OR('設定（最初に1回）'!$C$6="",'設定（最初に1回）'!$C$7=""),0,SUMIFS(発注管理!$S$6:$S$1005,発注管理!$C$6:$C$1005,'設定（最初に1回）'!$C$4,発注管理!$F$6:$F$1005,$C236,発注管理!$R$6:$R$1005,"&gt;="&amp;'設定（最初に1回）'!$C$7,発注管理!$R$6:$R$1005,"&lt;="&amp;'設定（最初に1回）'!$C$6)))</f>
        <v/>
      </c>
      <c r="N236" s="69" t="str">
        <f aca="false">IF(OR($C236="",'設定（最初に1回）'!$C$15=0),"",$L236+$M236-$K236)</f>
        <v/>
      </c>
      <c r="O236" s="143" t="str">
        <f aca="false">IF(OR($N236="",'設定（最初に1回）'!$C$8="",'設定（最初に1回）'!$C$8&lt;=0),"",MAX(0,$N236)/'設定（最初に1回）'!$C$8)</f>
        <v/>
      </c>
      <c r="P236" s="143" t="str">
        <f aca="false">IF($C236="","",IFERROR(INDEX(商品マスタ!$M$6:$N$1005,MATCH($C236,商品マスタ!$B$6:$B$1005,0),MATCH("PI値 "&amp;'設定（最初に1回）'!$C$11,商品マスタ!$M$5:$N$5,0)),""))</f>
        <v/>
      </c>
      <c r="Q236" s="143" t="str">
        <f aca="false">IF(OR($C236="",$P236="",$P236=0,(N($I236)+N($AG236))&lt;=0),"",IFERROR(SUMIFS(随時_動員を入れる!$G$8:$G$97,随時_動員を入れる!$B$8:$B$97,"&gt;="&amp;'設定（最初に1回）'!$C$6,随時_動員を入れる!$B$8:$B$97,"&lt;="&amp;'設定（最初に1回）'!$C$6+(N($I236)+N($AG236))-1)/(N($I236)+N($AG236)),0)*$P236/100)</f>
        <v/>
      </c>
      <c r="R236" s="69" t="str">
        <f aca="false">IF($C236="","",SUMIFS(①今日の在庫を貼る!$O$6:$O$10005,①今日の在庫を貼る!$B$6:$B$10005,'設定（最初に1回）'!$C$4,①今日の在庫を貼る!$I$6:$I$10005,$C236))</f>
        <v/>
      </c>
      <c r="S236" s="143" t="str">
        <f aca="false">IF($C236="","",IF('設定（最初に1回）'!$C$9="実績消費",N($O236),IF('設定（最初に1回）'!$C$9="PI値予測",N($Q236),MAX(N($O236),N($Q236)))))</f>
        <v/>
      </c>
      <c r="T236" s="67" t="str">
        <f aca="false">IF(OR($S236="",$S236&lt;=0),"",$K236/$S236)</f>
        <v/>
      </c>
      <c r="U236" s="69" t="str">
        <f aca="false">IF($S236="","",ROUNDUP(N($S236)*'設定（最初に1回）'!$C$12,0))</f>
        <v/>
      </c>
      <c r="V236" s="69" t="str">
        <f aca="false">IF($C236="","",ROUNDUP(N($S236)*(N($I236)+N($AG236))+N($U236),0))</f>
        <v/>
      </c>
      <c r="W236" s="69" t="str">
        <f aca="false">IF($C236="","",SUMIFS(発注管理!$L$6:$L$1005,発注管理!$C$6:$C$1005,'設定（最初に1回）'!$C$4,発注管理!$F$6:$F$1005,$C236,発注管理!$Q$6:$Q$1005,"発注済"))</f>
        <v/>
      </c>
      <c r="X236" s="69" t="str">
        <f aca="false">IF($C236="","",MAX(0,N($V236)-N($K236)-N($W236)))</f>
        <v/>
      </c>
      <c r="Y236" s="147" t="str">
        <f aca="false">IF($C236="","",IF(N($X236)&lt;=0,0,CEILING($X236/MAX(1,N($G236)),MAX(1,N($J236)))))</f>
        <v/>
      </c>
      <c r="Z236" s="138" t="str">
        <f aca="false">IF($C236="","",IF(N($Y236)&gt;0,"要発注","正常"))</f>
        <v/>
      </c>
      <c r="AA236" s="71" t="str">
        <f aca="false">IF($C236="","",N($K236)*N($H236))</f>
        <v/>
      </c>
      <c r="AB236" s="66" t="str">
        <f aca="false">IF($C236="","",_xlfn.TEXTJOIN(" / ",TRUE(),IF(COUNTIF(商品マスタ!$B$6:$B$1005,$C236)=0,"マスタ未登録",""),IF(COUNTIFS(月1回_前回の在庫を貼る!$B$6:$B$10005,'設定（最初に1回）'!$C$4,月1回_前回の在庫を貼る!$I$6:$I$10005,$C236)=0,"新商品",""),IF(COUNTIFS(①今日の在庫を貼る!$B$6:$B$10005,'設定（最初に1回）'!$C$4,①今日の在庫を貼る!$I$6:$I$10005,$C236)=0,"終売候補",""),IF(N($K236)&lt;0,"在庫マイナス",""),IF(AND('設定（最初に1回）'!$C$9="PI値予測",$P236=""),"PI値未設定","")))</f>
        <v/>
      </c>
      <c r="AC236" s="71" t="n">
        <f aca="false">N($Y236)*N($H236)</f>
        <v>0</v>
      </c>
      <c r="AD236" s="66" t="str">
        <f aca="false">IF($C236="","",IFERROR(INDEX(商品マスタ!$K$6:$K$1005,MATCH($C236,商品マスタ!$B$6:$B$1005,0)),"常温"))</f>
        <v/>
      </c>
      <c r="AE236" s="69" t="str">
        <f aca="false">IF($C236="","",MAX(0,ROUNDUP(N($K236)/MAX(1,N($G236)),0)))</f>
        <v/>
      </c>
      <c r="AF236" s="66" t="str">
        <f aca="false">IF($C236="","",IFERROR(INDEX(商品マスタ!$L$6:$L$1005,MATCH($C236,商品マスタ!$B$6:$B$1005,0)),""))</f>
        <v/>
      </c>
      <c r="AG236" s="143" t="str">
        <f aca="false">IF($C236="","",IFERROR(INDEX(定数マスタ!$S$110:$S$119,MATCH($AF236,定数マスタ!$J$110:$J$119,0)),N('設定（最初に1回）'!$C$13)))</f>
        <v/>
      </c>
      <c r="AH236" s="66" t="n">
        <f aca="false">IF(AND(N($K236)&gt;0,N($Y236)&gt;0),N($Y236),0)</f>
        <v>0</v>
      </c>
    </row>
    <row r="237" customFormat="false" ht="15" hidden="false" customHeight="false" outlineLevel="0" collapsed="false">
      <c r="B237" s="66" t="n">
        <v>232</v>
      </c>
      <c r="C237" s="66" t="str">
        <f aca="false">IFERROR(IF($B237&lt;=MAX(①今日の在庫を貼る!$U$6:$U$10005),INDEX(①今日の在庫を貼る!$I$6:$I$10005,MATCH($B237,①今日の在庫を貼る!$U$6:$U$10005,0)),INDEX(月1回_前回の在庫を貼る!$I$6:$I$10005,MATCH($B237-MAX(①今日の在庫を貼る!$U$6:$U$10005),月1回_前回の在庫を貼る!$U$6:$U$10005,0))),"")</f>
        <v/>
      </c>
      <c r="D237" s="66" t="str">
        <f aca="false">IF($C237="","",IFERROR(INDEX(商品マスタ!$C$6:$C$1005,MATCH($C237,商品マスタ!$B$6:$B$1005,0)),IFERROR(INDEX(①今日の在庫を貼る!$J$6:$J$10005,MATCH($C237,①今日の在庫を貼る!$I$6:$I$10005,0)),IFERROR(INDEX(月1回_前回の在庫を貼る!$J$6:$J$10005,MATCH($C237,月1回_前回の在庫を貼る!$I$6:$I$10005,0)),""))))</f>
        <v/>
      </c>
      <c r="E237" s="66" t="str">
        <f aca="false">IF($C237="","",IFERROR(INDEX(商品マスタ!$D$6:$D$1005,MATCH($C237,商品マスタ!$B$6:$B$1005,0)),IFERROR(INDEX(①今日の在庫を貼る!$H$6:$H$10005,MATCH($C237,①今日の在庫を貼る!$I$6:$I$10005,0)),IFERROR(INDEX(月1回_前回の在庫を貼る!$H$6:$H$10005,MATCH($C237,月1回_前回の在庫を貼る!$I$6:$I$10005,0)),""))))</f>
        <v/>
      </c>
      <c r="F237" s="66" t="str">
        <f aca="false">IF($C237="","",IFERROR(INDEX(商品マスタ!$E$6:$E$1005,MATCH($C237,商品マスタ!$B$6:$B$1005,0)),IFERROR(INDEX(①今日の在庫を貼る!$E$6:$E$10005,MATCH($C237,①今日の在庫を貼る!$I$6:$I$10005,0)),IFERROR(INDEX(月1回_前回の在庫を貼る!$E$6:$E$10005,MATCH($C237,月1回_前回の在庫を貼る!$I$6:$I$10005,0)),""))))</f>
        <v/>
      </c>
      <c r="G237" s="69" t="str">
        <f aca="false">IF($C237="","",IFERROR(INDEX(商品マスタ!$F$6:$F$1005,MATCH($C237,商品マスタ!$B$6:$B$1005,0)),IFERROR(INDEX(①今日の在庫を貼る!$K$6:$K$10005,MATCH($C237,①今日の在庫を貼る!$I$6:$I$10005,0)),IFERROR(INDEX(月1回_前回の在庫を貼る!$K$6:$K$10005,MATCH($C237,月1回_前回の在庫を貼る!$I$6:$I$10005,0)),""))))</f>
        <v/>
      </c>
      <c r="H237" s="71" t="str">
        <f aca="false">IF($C237="","",IFERROR(INDEX(商品マスタ!$G$6:$G$1005,MATCH($C237,商品マスタ!$B$6:$B$1005,0)),IFERROR(INDEX(①今日の在庫を貼る!$Q$6:$Q$10005,MATCH($C237,①今日の在庫を貼る!$I$6:$I$10005,0)),IFERROR(INDEX(月1回_前回の在庫を貼る!$Q$6:$Q$10005,MATCH($C237,月1回_前回の在庫を貼る!$I$6:$I$10005,0)),""))))</f>
        <v/>
      </c>
      <c r="I237" s="66" t="str">
        <f aca="false">IF($C237="","",IFERROR(INDEX(商品マスタ!$H$6:$H$1005,MATCH($C237,商品マスタ!$B$6:$B$1005,0)),3))</f>
        <v/>
      </c>
      <c r="J237" s="66" t="str">
        <f aca="false">IF($C237="","",MAX(1,IFERROR(INDEX(商品マスタ!$I$6:$I$1005,MATCH($C237,商品マスタ!$B$6:$B$1005,0)),1)))</f>
        <v/>
      </c>
      <c r="K237" s="69" t="str">
        <f aca="false">IF($C237="","",SUMIFS(①今日の在庫を貼る!$N$6:$N$10005,①今日の在庫を貼る!$B$6:$B$10005,'設定（最初に1回）'!$C$4,①今日の在庫を貼る!$I$6:$I$10005,$C237))</f>
        <v/>
      </c>
      <c r="L237" s="69" t="str">
        <f aca="false">IF($C237="","",SUMIFS(月1回_前回の在庫を貼る!$N$6:$N$10005,月1回_前回の在庫を貼る!$B$6:$B$10005,'設定（最初に1回）'!$C$4,月1回_前回の在庫を貼る!$I$6:$I$10005,$C237))</f>
        <v/>
      </c>
      <c r="M237" s="69" t="str">
        <f aca="false">IF($C237="","",IF(OR('設定（最初に1回）'!$C$6="",'設定（最初に1回）'!$C$7=""),0,SUMIFS(発注管理!$S$6:$S$1005,発注管理!$C$6:$C$1005,'設定（最初に1回）'!$C$4,発注管理!$F$6:$F$1005,$C237,発注管理!$R$6:$R$1005,"&gt;="&amp;'設定（最初に1回）'!$C$7,発注管理!$R$6:$R$1005,"&lt;="&amp;'設定（最初に1回）'!$C$6)))</f>
        <v/>
      </c>
      <c r="N237" s="69" t="str">
        <f aca="false">IF(OR($C237="",'設定（最初に1回）'!$C$15=0),"",$L237+$M237-$K237)</f>
        <v/>
      </c>
      <c r="O237" s="143" t="str">
        <f aca="false">IF(OR($N237="",'設定（最初に1回）'!$C$8="",'設定（最初に1回）'!$C$8&lt;=0),"",MAX(0,$N237)/'設定（最初に1回）'!$C$8)</f>
        <v/>
      </c>
      <c r="P237" s="143" t="str">
        <f aca="false">IF($C237="","",IFERROR(INDEX(商品マスタ!$M$6:$N$1005,MATCH($C237,商品マスタ!$B$6:$B$1005,0),MATCH("PI値 "&amp;'設定（最初に1回）'!$C$11,商品マスタ!$M$5:$N$5,0)),""))</f>
        <v/>
      </c>
      <c r="Q237" s="143" t="str">
        <f aca="false">IF(OR($C237="",$P237="",$P237=0,(N($I237)+N($AG237))&lt;=0),"",IFERROR(SUMIFS(随時_動員を入れる!$G$8:$G$97,随時_動員を入れる!$B$8:$B$97,"&gt;="&amp;'設定（最初に1回）'!$C$6,随時_動員を入れる!$B$8:$B$97,"&lt;="&amp;'設定（最初に1回）'!$C$6+(N($I237)+N($AG237))-1)/(N($I237)+N($AG237)),0)*$P237/100)</f>
        <v/>
      </c>
      <c r="R237" s="69" t="str">
        <f aca="false">IF($C237="","",SUMIFS(①今日の在庫を貼る!$O$6:$O$10005,①今日の在庫を貼る!$B$6:$B$10005,'設定（最初に1回）'!$C$4,①今日の在庫を貼る!$I$6:$I$10005,$C237))</f>
        <v/>
      </c>
      <c r="S237" s="143" t="str">
        <f aca="false">IF($C237="","",IF('設定（最初に1回）'!$C$9="実績消費",N($O237),IF('設定（最初に1回）'!$C$9="PI値予測",N($Q237),MAX(N($O237),N($Q237)))))</f>
        <v/>
      </c>
      <c r="T237" s="67" t="str">
        <f aca="false">IF(OR($S237="",$S237&lt;=0),"",$K237/$S237)</f>
        <v/>
      </c>
      <c r="U237" s="69" t="str">
        <f aca="false">IF($S237="","",ROUNDUP(N($S237)*'設定（最初に1回）'!$C$12,0))</f>
        <v/>
      </c>
      <c r="V237" s="69" t="str">
        <f aca="false">IF($C237="","",ROUNDUP(N($S237)*(N($I237)+N($AG237))+N($U237),0))</f>
        <v/>
      </c>
      <c r="W237" s="69" t="str">
        <f aca="false">IF($C237="","",SUMIFS(発注管理!$L$6:$L$1005,発注管理!$C$6:$C$1005,'設定（最初に1回）'!$C$4,発注管理!$F$6:$F$1005,$C237,発注管理!$Q$6:$Q$1005,"発注済"))</f>
        <v/>
      </c>
      <c r="X237" s="69" t="str">
        <f aca="false">IF($C237="","",MAX(0,N($V237)-N($K237)-N($W237)))</f>
        <v/>
      </c>
      <c r="Y237" s="147" t="str">
        <f aca="false">IF($C237="","",IF(N($X237)&lt;=0,0,CEILING($X237/MAX(1,N($G237)),MAX(1,N($J237)))))</f>
        <v/>
      </c>
      <c r="Z237" s="138" t="str">
        <f aca="false">IF($C237="","",IF(N($Y237)&gt;0,"要発注","正常"))</f>
        <v/>
      </c>
      <c r="AA237" s="71" t="str">
        <f aca="false">IF($C237="","",N($K237)*N($H237))</f>
        <v/>
      </c>
      <c r="AB237" s="66" t="str">
        <f aca="false">IF($C237="","",_xlfn.TEXTJOIN(" / ",TRUE(),IF(COUNTIF(商品マスタ!$B$6:$B$1005,$C237)=0,"マスタ未登録",""),IF(COUNTIFS(月1回_前回の在庫を貼る!$B$6:$B$10005,'設定（最初に1回）'!$C$4,月1回_前回の在庫を貼る!$I$6:$I$10005,$C237)=0,"新商品",""),IF(COUNTIFS(①今日の在庫を貼る!$B$6:$B$10005,'設定（最初に1回）'!$C$4,①今日の在庫を貼る!$I$6:$I$10005,$C237)=0,"終売候補",""),IF(N($K237)&lt;0,"在庫マイナス",""),IF(AND('設定（最初に1回）'!$C$9="PI値予測",$P237=""),"PI値未設定","")))</f>
        <v/>
      </c>
      <c r="AC237" s="71" t="n">
        <f aca="false">N($Y237)*N($H237)</f>
        <v>0</v>
      </c>
      <c r="AD237" s="66" t="str">
        <f aca="false">IF($C237="","",IFERROR(INDEX(商品マスタ!$K$6:$K$1005,MATCH($C237,商品マスタ!$B$6:$B$1005,0)),"常温"))</f>
        <v/>
      </c>
      <c r="AE237" s="69" t="str">
        <f aca="false">IF($C237="","",MAX(0,ROUNDUP(N($K237)/MAX(1,N($G237)),0)))</f>
        <v/>
      </c>
      <c r="AF237" s="66" t="str">
        <f aca="false">IF($C237="","",IFERROR(INDEX(商品マスタ!$L$6:$L$1005,MATCH($C237,商品マスタ!$B$6:$B$1005,0)),""))</f>
        <v/>
      </c>
      <c r="AG237" s="143" t="str">
        <f aca="false">IF($C237="","",IFERROR(INDEX(定数マスタ!$S$110:$S$119,MATCH($AF237,定数マスタ!$J$110:$J$119,0)),N('設定（最初に1回）'!$C$13)))</f>
        <v/>
      </c>
      <c r="AH237" s="66" t="n">
        <f aca="false">IF(AND(N($K237)&gt;0,N($Y237)&gt;0),N($Y237),0)</f>
        <v>0</v>
      </c>
    </row>
    <row r="238" customFormat="false" ht="15" hidden="false" customHeight="false" outlineLevel="0" collapsed="false">
      <c r="B238" s="66" t="n">
        <v>233</v>
      </c>
      <c r="C238" s="66" t="str">
        <f aca="false">IFERROR(IF($B238&lt;=MAX(①今日の在庫を貼る!$U$6:$U$10005),INDEX(①今日の在庫を貼る!$I$6:$I$10005,MATCH($B238,①今日の在庫を貼る!$U$6:$U$10005,0)),INDEX(月1回_前回の在庫を貼る!$I$6:$I$10005,MATCH($B238-MAX(①今日の在庫を貼る!$U$6:$U$10005),月1回_前回の在庫を貼る!$U$6:$U$10005,0))),"")</f>
        <v/>
      </c>
      <c r="D238" s="66" t="str">
        <f aca="false">IF($C238="","",IFERROR(INDEX(商品マスタ!$C$6:$C$1005,MATCH($C238,商品マスタ!$B$6:$B$1005,0)),IFERROR(INDEX(①今日の在庫を貼る!$J$6:$J$10005,MATCH($C238,①今日の在庫を貼る!$I$6:$I$10005,0)),IFERROR(INDEX(月1回_前回の在庫を貼る!$J$6:$J$10005,MATCH($C238,月1回_前回の在庫を貼る!$I$6:$I$10005,0)),""))))</f>
        <v/>
      </c>
      <c r="E238" s="66" t="str">
        <f aca="false">IF($C238="","",IFERROR(INDEX(商品マスタ!$D$6:$D$1005,MATCH($C238,商品マスタ!$B$6:$B$1005,0)),IFERROR(INDEX(①今日の在庫を貼る!$H$6:$H$10005,MATCH($C238,①今日の在庫を貼る!$I$6:$I$10005,0)),IFERROR(INDEX(月1回_前回の在庫を貼る!$H$6:$H$10005,MATCH($C238,月1回_前回の在庫を貼る!$I$6:$I$10005,0)),""))))</f>
        <v/>
      </c>
      <c r="F238" s="66" t="str">
        <f aca="false">IF($C238="","",IFERROR(INDEX(商品マスタ!$E$6:$E$1005,MATCH($C238,商品マスタ!$B$6:$B$1005,0)),IFERROR(INDEX(①今日の在庫を貼る!$E$6:$E$10005,MATCH($C238,①今日の在庫を貼る!$I$6:$I$10005,0)),IFERROR(INDEX(月1回_前回の在庫を貼る!$E$6:$E$10005,MATCH($C238,月1回_前回の在庫を貼る!$I$6:$I$10005,0)),""))))</f>
        <v/>
      </c>
      <c r="G238" s="69" t="str">
        <f aca="false">IF($C238="","",IFERROR(INDEX(商品マスタ!$F$6:$F$1005,MATCH($C238,商品マスタ!$B$6:$B$1005,0)),IFERROR(INDEX(①今日の在庫を貼る!$K$6:$K$10005,MATCH($C238,①今日の在庫を貼る!$I$6:$I$10005,0)),IFERROR(INDEX(月1回_前回の在庫を貼る!$K$6:$K$10005,MATCH($C238,月1回_前回の在庫を貼る!$I$6:$I$10005,0)),""))))</f>
        <v/>
      </c>
      <c r="H238" s="71" t="str">
        <f aca="false">IF($C238="","",IFERROR(INDEX(商品マスタ!$G$6:$G$1005,MATCH($C238,商品マスタ!$B$6:$B$1005,0)),IFERROR(INDEX(①今日の在庫を貼る!$Q$6:$Q$10005,MATCH($C238,①今日の在庫を貼る!$I$6:$I$10005,0)),IFERROR(INDEX(月1回_前回の在庫を貼る!$Q$6:$Q$10005,MATCH($C238,月1回_前回の在庫を貼る!$I$6:$I$10005,0)),""))))</f>
        <v/>
      </c>
      <c r="I238" s="66" t="str">
        <f aca="false">IF($C238="","",IFERROR(INDEX(商品マスタ!$H$6:$H$1005,MATCH($C238,商品マスタ!$B$6:$B$1005,0)),3))</f>
        <v/>
      </c>
      <c r="J238" s="66" t="str">
        <f aca="false">IF($C238="","",MAX(1,IFERROR(INDEX(商品マスタ!$I$6:$I$1005,MATCH($C238,商品マスタ!$B$6:$B$1005,0)),1)))</f>
        <v/>
      </c>
      <c r="K238" s="69" t="str">
        <f aca="false">IF($C238="","",SUMIFS(①今日の在庫を貼る!$N$6:$N$10005,①今日の在庫を貼る!$B$6:$B$10005,'設定（最初に1回）'!$C$4,①今日の在庫を貼る!$I$6:$I$10005,$C238))</f>
        <v/>
      </c>
      <c r="L238" s="69" t="str">
        <f aca="false">IF($C238="","",SUMIFS(月1回_前回の在庫を貼る!$N$6:$N$10005,月1回_前回の在庫を貼る!$B$6:$B$10005,'設定（最初に1回）'!$C$4,月1回_前回の在庫を貼る!$I$6:$I$10005,$C238))</f>
        <v/>
      </c>
      <c r="M238" s="69" t="str">
        <f aca="false">IF($C238="","",IF(OR('設定（最初に1回）'!$C$6="",'設定（最初に1回）'!$C$7=""),0,SUMIFS(発注管理!$S$6:$S$1005,発注管理!$C$6:$C$1005,'設定（最初に1回）'!$C$4,発注管理!$F$6:$F$1005,$C238,発注管理!$R$6:$R$1005,"&gt;="&amp;'設定（最初に1回）'!$C$7,発注管理!$R$6:$R$1005,"&lt;="&amp;'設定（最初に1回）'!$C$6)))</f>
        <v/>
      </c>
      <c r="N238" s="69" t="str">
        <f aca="false">IF(OR($C238="",'設定（最初に1回）'!$C$15=0),"",$L238+$M238-$K238)</f>
        <v/>
      </c>
      <c r="O238" s="143" t="str">
        <f aca="false">IF(OR($N238="",'設定（最初に1回）'!$C$8="",'設定（最初に1回）'!$C$8&lt;=0),"",MAX(0,$N238)/'設定（最初に1回）'!$C$8)</f>
        <v/>
      </c>
      <c r="P238" s="143" t="str">
        <f aca="false">IF($C238="","",IFERROR(INDEX(商品マスタ!$M$6:$N$1005,MATCH($C238,商品マスタ!$B$6:$B$1005,0),MATCH("PI値 "&amp;'設定（最初に1回）'!$C$11,商品マスタ!$M$5:$N$5,0)),""))</f>
        <v/>
      </c>
      <c r="Q238" s="143" t="str">
        <f aca="false">IF(OR($C238="",$P238="",$P238=0,(N($I238)+N($AG238))&lt;=0),"",IFERROR(SUMIFS(随時_動員を入れる!$G$8:$G$97,随時_動員を入れる!$B$8:$B$97,"&gt;="&amp;'設定（最初に1回）'!$C$6,随時_動員を入れる!$B$8:$B$97,"&lt;="&amp;'設定（最初に1回）'!$C$6+(N($I238)+N($AG238))-1)/(N($I238)+N($AG238)),0)*$P238/100)</f>
        <v/>
      </c>
      <c r="R238" s="69" t="str">
        <f aca="false">IF($C238="","",SUMIFS(①今日の在庫を貼る!$O$6:$O$10005,①今日の在庫を貼る!$B$6:$B$10005,'設定（最初に1回）'!$C$4,①今日の在庫を貼る!$I$6:$I$10005,$C238))</f>
        <v/>
      </c>
      <c r="S238" s="143" t="str">
        <f aca="false">IF($C238="","",IF('設定（最初に1回）'!$C$9="実績消費",N($O238),IF('設定（最初に1回）'!$C$9="PI値予測",N($Q238),MAX(N($O238),N($Q238)))))</f>
        <v/>
      </c>
      <c r="T238" s="67" t="str">
        <f aca="false">IF(OR($S238="",$S238&lt;=0),"",$K238/$S238)</f>
        <v/>
      </c>
      <c r="U238" s="69" t="str">
        <f aca="false">IF($S238="","",ROUNDUP(N($S238)*'設定（最初に1回）'!$C$12,0))</f>
        <v/>
      </c>
      <c r="V238" s="69" t="str">
        <f aca="false">IF($C238="","",ROUNDUP(N($S238)*(N($I238)+N($AG238))+N($U238),0))</f>
        <v/>
      </c>
      <c r="W238" s="69" t="str">
        <f aca="false">IF($C238="","",SUMIFS(発注管理!$L$6:$L$1005,発注管理!$C$6:$C$1005,'設定（最初に1回）'!$C$4,発注管理!$F$6:$F$1005,$C238,発注管理!$Q$6:$Q$1005,"発注済"))</f>
        <v/>
      </c>
      <c r="X238" s="69" t="str">
        <f aca="false">IF($C238="","",MAX(0,N($V238)-N($K238)-N($W238)))</f>
        <v/>
      </c>
      <c r="Y238" s="147" t="str">
        <f aca="false">IF($C238="","",IF(N($X238)&lt;=0,0,CEILING($X238/MAX(1,N($G238)),MAX(1,N($J238)))))</f>
        <v/>
      </c>
      <c r="Z238" s="138" t="str">
        <f aca="false">IF($C238="","",IF(N($Y238)&gt;0,"要発注","正常"))</f>
        <v/>
      </c>
      <c r="AA238" s="71" t="str">
        <f aca="false">IF($C238="","",N($K238)*N($H238))</f>
        <v/>
      </c>
      <c r="AB238" s="66" t="str">
        <f aca="false">IF($C238="","",_xlfn.TEXTJOIN(" / ",TRUE(),IF(COUNTIF(商品マスタ!$B$6:$B$1005,$C238)=0,"マスタ未登録",""),IF(COUNTIFS(月1回_前回の在庫を貼る!$B$6:$B$10005,'設定（最初に1回）'!$C$4,月1回_前回の在庫を貼る!$I$6:$I$10005,$C238)=0,"新商品",""),IF(COUNTIFS(①今日の在庫を貼る!$B$6:$B$10005,'設定（最初に1回）'!$C$4,①今日の在庫を貼る!$I$6:$I$10005,$C238)=0,"終売候補",""),IF(N($K238)&lt;0,"在庫マイナス",""),IF(AND('設定（最初に1回）'!$C$9="PI値予測",$P238=""),"PI値未設定","")))</f>
        <v/>
      </c>
      <c r="AC238" s="71" t="n">
        <f aca="false">N($Y238)*N($H238)</f>
        <v>0</v>
      </c>
      <c r="AD238" s="66" t="str">
        <f aca="false">IF($C238="","",IFERROR(INDEX(商品マスタ!$K$6:$K$1005,MATCH($C238,商品マスタ!$B$6:$B$1005,0)),"常温"))</f>
        <v/>
      </c>
      <c r="AE238" s="69" t="str">
        <f aca="false">IF($C238="","",MAX(0,ROUNDUP(N($K238)/MAX(1,N($G238)),0)))</f>
        <v/>
      </c>
      <c r="AF238" s="66" t="str">
        <f aca="false">IF($C238="","",IFERROR(INDEX(商品マスタ!$L$6:$L$1005,MATCH($C238,商品マスタ!$B$6:$B$1005,0)),""))</f>
        <v/>
      </c>
      <c r="AG238" s="143" t="str">
        <f aca="false">IF($C238="","",IFERROR(INDEX(定数マスタ!$S$110:$S$119,MATCH($AF238,定数マスタ!$J$110:$J$119,0)),N('設定（最初に1回）'!$C$13)))</f>
        <v/>
      </c>
      <c r="AH238" s="66" t="n">
        <f aca="false">IF(AND(N($K238)&gt;0,N($Y238)&gt;0),N($Y238),0)</f>
        <v>0</v>
      </c>
    </row>
    <row r="239" customFormat="false" ht="15" hidden="false" customHeight="false" outlineLevel="0" collapsed="false">
      <c r="B239" s="66" t="n">
        <v>234</v>
      </c>
      <c r="C239" s="66" t="str">
        <f aca="false">IFERROR(IF($B239&lt;=MAX(①今日の在庫を貼る!$U$6:$U$10005),INDEX(①今日の在庫を貼る!$I$6:$I$10005,MATCH($B239,①今日の在庫を貼る!$U$6:$U$10005,0)),INDEX(月1回_前回の在庫を貼る!$I$6:$I$10005,MATCH($B239-MAX(①今日の在庫を貼る!$U$6:$U$10005),月1回_前回の在庫を貼る!$U$6:$U$10005,0))),"")</f>
        <v/>
      </c>
      <c r="D239" s="66" t="str">
        <f aca="false">IF($C239="","",IFERROR(INDEX(商品マスタ!$C$6:$C$1005,MATCH($C239,商品マスタ!$B$6:$B$1005,0)),IFERROR(INDEX(①今日の在庫を貼る!$J$6:$J$10005,MATCH($C239,①今日の在庫を貼る!$I$6:$I$10005,0)),IFERROR(INDEX(月1回_前回の在庫を貼る!$J$6:$J$10005,MATCH($C239,月1回_前回の在庫を貼る!$I$6:$I$10005,0)),""))))</f>
        <v/>
      </c>
      <c r="E239" s="66" t="str">
        <f aca="false">IF($C239="","",IFERROR(INDEX(商品マスタ!$D$6:$D$1005,MATCH($C239,商品マスタ!$B$6:$B$1005,0)),IFERROR(INDEX(①今日の在庫を貼る!$H$6:$H$10005,MATCH($C239,①今日の在庫を貼る!$I$6:$I$10005,0)),IFERROR(INDEX(月1回_前回の在庫を貼る!$H$6:$H$10005,MATCH($C239,月1回_前回の在庫を貼る!$I$6:$I$10005,0)),""))))</f>
        <v/>
      </c>
      <c r="F239" s="66" t="str">
        <f aca="false">IF($C239="","",IFERROR(INDEX(商品マスタ!$E$6:$E$1005,MATCH($C239,商品マスタ!$B$6:$B$1005,0)),IFERROR(INDEX(①今日の在庫を貼る!$E$6:$E$10005,MATCH($C239,①今日の在庫を貼る!$I$6:$I$10005,0)),IFERROR(INDEX(月1回_前回の在庫を貼る!$E$6:$E$10005,MATCH($C239,月1回_前回の在庫を貼る!$I$6:$I$10005,0)),""))))</f>
        <v/>
      </c>
      <c r="G239" s="69" t="str">
        <f aca="false">IF($C239="","",IFERROR(INDEX(商品マスタ!$F$6:$F$1005,MATCH($C239,商品マスタ!$B$6:$B$1005,0)),IFERROR(INDEX(①今日の在庫を貼る!$K$6:$K$10005,MATCH($C239,①今日の在庫を貼る!$I$6:$I$10005,0)),IFERROR(INDEX(月1回_前回の在庫を貼る!$K$6:$K$10005,MATCH($C239,月1回_前回の在庫を貼る!$I$6:$I$10005,0)),""))))</f>
        <v/>
      </c>
      <c r="H239" s="71" t="str">
        <f aca="false">IF($C239="","",IFERROR(INDEX(商品マスタ!$G$6:$G$1005,MATCH($C239,商品マスタ!$B$6:$B$1005,0)),IFERROR(INDEX(①今日の在庫を貼る!$Q$6:$Q$10005,MATCH($C239,①今日の在庫を貼る!$I$6:$I$10005,0)),IFERROR(INDEX(月1回_前回の在庫を貼る!$Q$6:$Q$10005,MATCH($C239,月1回_前回の在庫を貼る!$I$6:$I$10005,0)),""))))</f>
        <v/>
      </c>
      <c r="I239" s="66" t="str">
        <f aca="false">IF($C239="","",IFERROR(INDEX(商品マスタ!$H$6:$H$1005,MATCH($C239,商品マスタ!$B$6:$B$1005,0)),3))</f>
        <v/>
      </c>
      <c r="J239" s="66" t="str">
        <f aca="false">IF($C239="","",MAX(1,IFERROR(INDEX(商品マスタ!$I$6:$I$1005,MATCH($C239,商品マスタ!$B$6:$B$1005,0)),1)))</f>
        <v/>
      </c>
      <c r="K239" s="69" t="str">
        <f aca="false">IF($C239="","",SUMIFS(①今日の在庫を貼る!$N$6:$N$10005,①今日の在庫を貼る!$B$6:$B$10005,'設定（最初に1回）'!$C$4,①今日の在庫を貼る!$I$6:$I$10005,$C239))</f>
        <v/>
      </c>
      <c r="L239" s="69" t="str">
        <f aca="false">IF($C239="","",SUMIFS(月1回_前回の在庫を貼る!$N$6:$N$10005,月1回_前回の在庫を貼る!$B$6:$B$10005,'設定（最初に1回）'!$C$4,月1回_前回の在庫を貼る!$I$6:$I$10005,$C239))</f>
        <v/>
      </c>
      <c r="M239" s="69" t="str">
        <f aca="false">IF($C239="","",IF(OR('設定（最初に1回）'!$C$6="",'設定（最初に1回）'!$C$7=""),0,SUMIFS(発注管理!$S$6:$S$1005,発注管理!$C$6:$C$1005,'設定（最初に1回）'!$C$4,発注管理!$F$6:$F$1005,$C239,発注管理!$R$6:$R$1005,"&gt;="&amp;'設定（最初に1回）'!$C$7,発注管理!$R$6:$R$1005,"&lt;="&amp;'設定（最初に1回）'!$C$6)))</f>
        <v/>
      </c>
      <c r="N239" s="69" t="str">
        <f aca="false">IF(OR($C239="",'設定（最初に1回）'!$C$15=0),"",$L239+$M239-$K239)</f>
        <v/>
      </c>
      <c r="O239" s="143" t="str">
        <f aca="false">IF(OR($N239="",'設定（最初に1回）'!$C$8="",'設定（最初に1回）'!$C$8&lt;=0),"",MAX(0,$N239)/'設定（最初に1回）'!$C$8)</f>
        <v/>
      </c>
      <c r="P239" s="143" t="str">
        <f aca="false">IF($C239="","",IFERROR(INDEX(商品マスタ!$M$6:$N$1005,MATCH($C239,商品マスタ!$B$6:$B$1005,0),MATCH("PI値 "&amp;'設定（最初に1回）'!$C$11,商品マスタ!$M$5:$N$5,0)),""))</f>
        <v/>
      </c>
      <c r="Q239" s="143" t="str">
        <f aca="false">IF(OR($C239="",$P239="",$P239=0,(N($I239)+N($AG239))&lt;=0),"",IFERROR(SUMIFS(随時_動員を入れる!$G$8:$G$97,随時_動員を入れる!$B$8:$B$97,"&gt;="&amp;'設定（最初に1回）'!$C$6,随時_動員を入れる!$B$8:$B$97,"&lt;="&amp;'設定（最初に1回）'!$C$6+(N($I239)+N($AG239))-1)/(N($I239)+N($AG239)),0)*$P239/100)</f>
        <v/>
      </c>
      <c r="R239" s="69" t="str">
        <f aca="false">IF($C239="","",SUMIFS(①今日の在庫を貼る!$O$6:$O$10005,①今日の在庫を貼る!$B$6:$B$10005,'設定（最初に1回）'!$C$4,①今日の在庫を貼る!$I$6:$I$10005,$C239))</f>
        <v/>
      </c>
      <c r="S239" s="143" t="str">
        <f aca="false">IF($C239="","",IF('設定（最初に1回）'!$C$9="実績消費",N($O239),IF('設定（最初に1回）'!$C$9="PI値予測",N($Q239),MAX(N($O239),N($Q239)))))</f>
        <v/>
      </c>
      <c r="T239" s="67" t="str">
        <f aca="false">IF(OR($S239="",$S239&lt;=0),"",$K239/$S239)</f>
        <v/>
      </c>
      <c r="U239" s="69" t="str">
        <f aca="false">IF($S239="","",ROUNDUP(N($S239)*'設定（最初に1回）'!$C$12,0))</f>
        <v/>
      </c>
      <c r="V239" s="69" t="str">
        <f aca="false">IF($C239="","",ROUNDUP(N($S239)*(N($I239)+N($AG239))+N($U239),0))</f>
        <v/>
      </c>
      <c r="W239" s="69" t="str">
        <f aca="false">IF($C239="","",SUMIFS(発注管理!$L$6:$L$1005,発注管理!$C$6:$C$1005,'設定（最初に1回）'!$C$4,発注管理!$F$6:$F$1005,$C239,発注管理!$Q$6:$Q$1005,"発注済"))</f>
        <v/>
      </c>
      <c r="X239" s="69" t="str">
        <f aca="false">IF($C239="","",MAX(0,N($V239)-N($K239)-N($W239)))</f>
        <v/>
      </c>
      <c r="Y239" s="147" t="str">
        <f aca="false">IF($C239="","",IF(N($X239)&lt;=0,0,CEILING($X239/MAX(1,N($G239)),MAX(1,N($J239)))))</f>
        <v/>
      </c>
      <c r="Z239" s="138" t="str">
        <f aca="false">IF($C239="","",IF(N($Y239)&gt;0,"要発注","正常"))</f>
        <v/>
      </c>
      <c r="AA239" s="71" t="str">
        <f aca="false">IF($C239="","",N($K239)*N($H239))</f>
        <v/>
      </c>
      <c r="AB239" s="66" t="str">
        <f aca="false">IF($C239="","",_xlfn.TEXTJOIN(" / ",TRUE(),IF(COUNTIF(商品マスタ!$B$6:$B$1005,$C239)=0,"マスタ未登録",""),IF(COUNTIFS(月1回_前回の在庫を貼る!$B$6:$B$10005,'設定（最初に1回）'!$C$4,月1回_前回の在庫を貼る!$I$6:$I$10005,$C239)=0,"新商品",""),IF(COUNTIFS(①今日の在庫を貼る!$B$6:$B$10005,'設定（最初に1回）'!$C$4,①今日の在庫を貼る!$I$6:$I$10005,$C239)=0,"終売候補",""),IF(N($K239)&lt;0,"在庫マイナス",""),IF(AND('設定（最初に1回）'!$C$9="PI値予測",$P239=""),"PI値未設定","")))</f>
        <v/>
      </c>
      <c r="AC239" s="71" t="n">
        <f aca="false">N($Y239)*N($H239)</f>
        <v>0</v>
      </c>
      <c r="AD239" s="66" t="str">
        <f aca="false">IF($C239="","",IFERROR(INDEX(商品マスタ!$K$6:$K$1005,MATCH($C239,商品マスタ!$B$6:$B$1005,0)),"常温"))</f>
        <v/>
      </c>
      <c r="AE239" s="69" t="str">
        <f aca="false">IF($C239="","",MAX(0,ROUNDUP(N($K239)/MAX(1,N($G239)),0)))</f>
        <v/>
      </c>
      <c r="AF239" s="66" t="str">
        <f aca="false">IF($C239="","",IFERROR(INDEX(商品マスタ!$L$6:$L$1005,MATCH($C239,商品マスタ!$B$6:$B$1005,0)),""))</f>
        <v/>
      </c>
      <c r="AG239" s="143" t="str">
        <f aca="false">IF($C239="","",IFERROR(INDEX(定数マスタ!$S$110:$S$119,MATCH($AF239,定数マスタ!$J$110:$J$119,0)),N('設定（最初に1回）'!$C$13)))</f>
        <v/>
      </c>
      <c r="AH239" s="66" t="n">
        <f aca="false">IF(AND(N($K239)&gt;0,N($Y239)&gt;0),N($Y239),0)</f>
        <v>0</v>
      </c>
    </row>
    <row r="240" customFormat="false" ht="15" hidden="false" customHeight="false" outlineLevel="0" collapsed="false">
      <c r="B240" s="66" t="n">
        <v>235</v>
      </c>
      <c r="C240" s="66" t="str">
        <f aca="false">IFERROR(IF($B240&lt;=MAX(①今日の在庫を貼る!$U$6:$U$10005),INDEX(①今日の在庫を貼る!$I$6:$I$10005,MATCH($B240,①今日の在庫を貼る!$U$6:$U$10005,0)),INDEX(月1回_前回の在庫を貼る!$I$6:$I$10005,MATCH($B240-MAX(①今日の在庫を貼る!$U$6:$U$10005),月1回_前回の在庫を貼る!$U$6:$U$10005,0))),"")</f>
        <v/>
      </c>
      <c r="D240" s="66" t="str">
        <f aca="false">IF($C240="","",IFERROR(INDEX(商品マスタ!$C$6:$C$1005,MATCH($C240,商品マスタ!$B$6:$B$1005,0)),IFERROR(INDEX(①今日の在庫を貼る!$J$6:$J$10005,MATCH($C240,①今日の在庫を貼る!$I$6:$I$10005,0)),IFERROR(INDEX(月1回_前回の在庫を貼る!$J$6:$J$10005,MATCH($C240,月1回_前回の在庫を貼る!$I$6:$I$10005,0)),""))))</f>
        <v/>
      </c>
      <c r="E240" s="66" t="str">
        <f aca="false">IF($C240="","",IFERROR(INDEX(商品マスタ!$D$6:$D$1005,MATCH($C240,商品マスタ!$B$6:$B$1005,0)),IFERROR(INDEX(①今日の在庫を貼る!$H$6:$H$10005,MATCH($C240,①今日の在庫を貼る!$I$6:$I$10005,0)),IFERROR(INDEX(月1回_前回の在庫を貼る!$H$6:$H$10005,MATCH($C240,月1回_前回の在庫を貼る!$I$6:$I$10005,0)),""))))</f>
        <v/>
      </c>
      <c r="F240" s="66" t="str">
        <f aca="false">IF($C240="","",IFERROR(INDEX(商品マスタ!$E$6:$E$1005,MATCH($C240,商品マスタ!$B$6:$B$1005,0)),IFERROR(INDEX(①今日の在庫を貼る!$E$6:$E$10005,MATCH($C240,①今日の在庫を貼る!$I$6:$I$10005,0)),IFERROR(INDEX(月1回_前回の在庫を貼る!$E$6:$E$10005,MATCH($C240,月1回_前回の在庫を貼る!$I$6:$I$10005,0)),""))))</f>
        <v/>
      </c>
      <c r="G240" s="69" t="str">
        <f aca="false">IF($C240="","",IFERROR(INDEX(商品マスタ!$F$6:$F$1005,MATCH($C240,商品マスタ!$B$6:$B$1005,0)),IFERROR(INDEX(①今日の在庫を貼る!$K$6:$K$10005,MATCH($C240,①今日の在庫を貼る!$I$6:$I$10005,0)),IFERROR(INDEX(月1回_前回の在庫を貼る!$K$6:$K$10005,MATCH($C240,月1回_前回の在庫を貼る!$I$6:$I$10005,0)),""))))</f>
        <v/>
      </c>
      <c r="H240" s="71" t="str">
        <f aca="false">IF($C240="","",IFERROR(INDEX(商品マスタ!$G$6:$G$1005,MATCH($C240,商品マスタ!$B$6:$B$1005,0)),IFERROR(INDEX(①今日の在庫を貼る!$Q$6:$Q$10005,MATCH($C240,①今日の在庫を貼る!$I$6:$I$10005,0)),IFERROR(INDEX(月1回_前回の在庫を貼る!$Q$6:$Q$10005,MATCH($C240,月1回_前回の在庫を貼る!$I$6:$I$10005,0)),""))))</f>
        <v/>
      </c>
      <c r="I240" s="66" t="str">
        <f aca="false">IF($C240="","",IFERROR(INDEX(商品マスタ!$H$6:$H$1005,MATCH($C240,商品マスタ!$B$6:$B$1005,0)),3))</f>
        <v/>
      </c>
      <c r="J240" s="66" t="str">
        <f aca="false">IF($C240="","",MAX(1,IFERROR(INDEX(商品マスタ!$I$6:$I$1005,MATCH($C240,商品マスタ!$B$6:$B$1005,0)),1)))</f>
        <v/>
      </c>
      <c r="K240" s="69" t="str">
        <f aca="false">IF($C240="","",SUMIFS(①今日の在庫を貼る!$N$6:$N$10005,①今日の在庫を貼る!$B$6:$B$10005,'設定（最初に1回）'!$C$4,①今日の在庫を貼る!$I$6:$I$10005,$C240))</f>
        <v/>
      </c>
      <c r="L240" s="69" t="str">
        <f aca="false">IF($C240="","",SUMIFS(月1回_前回の在庫を貼る!$N$6:$N$10005,月1回_前回の在庫を貼る!$B$6:$B$10005,'設定（最初に1回）'!$C$4,月1回_前回の在庫を貼る!$I$6:$I$10005,$C240))</f>
        <v/>
      </c>
      <c r="M240" s="69" t="str">
        <f aca="false">IF($C240="","",IF(OR('設定（最初に1回）'!$C$6="",'設定（最初に1回）'!$C$7=""),0,SUMIFS(発注管理!$S$6:$S$1005,発注管理!$C$6:$C$1005,'設定（最初に1回）'!$C$4,発注管理!$F$6:$F$1005,$C240,発注管理!$R$6:$R$1005,"&gt;="&amp;'設定（最初に1回）'!$C$7,発注管理!$R$6:$R$1005,"&lt;="&amp;'設定（最初に1回）'!$C$6)))</f>
        <v/>
      </c>
      <c r="N240" s="69" t="str">
        <f aca="false">IF(OR($C240="",'設定（最初に1回）'!$C$15=0),"",$L240+$M240-$K240)</f>
        <v/>
      </c>
      <c r="O240" s="143" t="str">
        <f aca="false">IF(OR($N240="",'設定（最初に1回）'!$C$8="",'設定（最初に1回）'!$C$8&lt;=0),"",MAX(0,$N240)/'設定（最初に1回）'!$C$8)</f>
        <v/>
      </c>
      <c r="P240" s="143" t="str">
        <f aca="false">IF($C240="","",IFERROR(INDEX(商品マスタ!$M$6:$N$1005,MATCH($C240,商品マスタ!$B$6:$B$1005,0),MATCH("PI値 "&amp;'設定（最初に1回）'!$C$11,商品マスタ!$M$5:$N$5,0)),""))</f>
        <v/>
      </c>
      <c r="Q240" s="143" t="str">
        <f aca="false">IF(OR($C240="",$P240="",$P240=0,(N($I240)+N($AG240))&lt;=0),"",IFERROR(SUMIFS(随時_動員を入れる!$G$8:$G$97,随時_動員を入れる!$B$8:$B$97,"&gt;="&amp;'設定（最初に1回）'!$C$6,随時_動員を入れる!$B$8:$B$97,"&lt;="&amp;'設定（最初に1回）'!$C$6+(N($I240)+N($AG240))-1)/(N($I240)+N($AG240)),0)*$P240/100)</f>
        <v/>
      </c>
      <c r="R240" s="69" t="str">
        <f aca="false">IF($C240="","",SUMIFS(①今日の在庫を貼る!$O$6:$O$10005,①今日の在庫を貼る!$B$6:$B$10005,'設定（最初に1回）'!$C$4,①今日の在庫を貼る!$I$6:$I$10005,$C240))</f>
        <v/>
      </c>
      <c r="S240" s="143" t="str">
        <f aca="false">IF($C240="","",IF('設定（最初に1回）'!$C$9="実績消費",N($O240),IF('設定（最初に1回）'!$C$9="PI値予測",N($Q240),MAX(N($O240),N($Q240)))))</f>
        <v/>
      </c>
      <c r="T240" s="67" t="str">
        <f aca="false">IF(OR($S240="",$S240&lt;=0),"",$K240/$S240)</f>
        <v/>
      </c>
      <c r="U240" s="69" t="str">
        <f aca="false">IF($S240="","",ROUNDUP(N($S240)*'設定（最初に1回）'!$C$12,0))</f>
        <v/>
      </c>
      <c r="V240" s="69" t="str">
        <f aca="false">IF($C240="","",ROUNDUP(N($S240)*(N($I240)+N($AG240))+N($U240),0))</f>
        <v/>
      </c>
      <c r="W240" s="69" t="str">
        <f aca="false">IF($C240="","",SUMIFS(発注管理!$L$6:$L$1005,発注管理!$C$6:$C$1005,'設定（最初に1回）'!$C$4,発注管理!$F$6:$F$1005,$C240,発注管理!$Q$6:$Q$1005,"発注済"))</f>
        <v/>
      </c>
      <c r="X240" s="69" t="str">
        <f aca="false">IF($C240="","",MAX(0,N($V240)-N($K240)-N($W240)))</f>
        <v/>
      </c>
      <c r="Y240" s="147" t="str">
        <f aca="false">IF($C240="","",IF(N($X240)&lt;=0,0,CEILING($X240/MAX(1,N($G240)),MAX(1,N($J240)))))</f>
        <v/>
      </c>
      <c r="Z240" s="138" t="str">
        <f aca="false">IF($C240="","",IF(N($Y240)&gt;0,"要発注","正常"))</f>
        <v/>
      </c>
      <c r="AA240" s="71" t="str">
        <f aca="false">IF($C240="","",N($K240)*N($H240))</f>
        <v/>
      </c>
      <c r="AB240" s="66" t="str">
        <f aca="false">IF($C240="","",_xlfn.TEXTJOIN(" / ",TRUE(),IF(COUNTIF(商品マスタ!$B$6:$B$1005,$C240)=0,"マスタ未登録",""),IF(COUNTIFS(月1回_前回の在庫を貼る!$B$6:$B$10005,'設定（最初に1回）'!$C$4,月1回_前回の在庫を貼る!$I$6:$I$10005,$C240)=0,"新商品",""),IF(COUNTIFS(①今日の在庫を貼る!$B$6:$B$10005,'設定（最初に1回）'!$C$4,①今日の在庫を貼る!$I$6:$I$10005,$C240)=0,"終売候補",""),IF(N($K240)&lt;0,"在庫マイナス",""),IF(AND('設定（最初に1回）'!$C$9="PI値予測",$P240=""),"PI値未設定","")))</f>
        <v/>
      </c>
      <c r="AC240" s="71" t="n">
        <f aca="false">N($Y240)*N($H240)</f>
        <v>0</v>
      </c>
      <c r="AD240" s="66" t="str">
        <f aca="false">IF($C240="","",IFERROR(INDEX(商品マスタ!$K$6:$K$1005,MATCH($C240,商品マスタ!$B$6:$B$1005,0)),"常温"))</f>
        <v/>
      </c>
      <c r="AE240" s="69" t="str">
        <f aca="false">IF($C240="","",MAX(0,ROUNDUP(N($K240)/MAX(1,N($G240)),0)))</f>
        <v/>
      </c>
      <c r="AF240" s="66" t="str">
        <f aca="false">IF($C240="","",IFERROR(INDEX(商品マスタ!$L$6:$L$1005,MATCH($C240,商品マスタ!$B$6:$B$1005,0)),""))</f>
        <v/>
      </c>
      <c r="AG240" s="143" t="str">
        <f aca="false">IF($C240="","",IFERROR(INDEX(定数マスタ!$S$110:$S$119,MATCH($AF240,定数マスタ!$J$110:$J$119,0)),N('設定（最初に1回）'!$C$13)))</f>
        <v/>
      </c>
      <c r="AH240" s="66" t="n">
        <f aca="false">IF(AND(N($K240)&gt;0,N($Y240)&gt;0),N($Y240),0)</f>
        <v>0</v>
      </c>
    </row>
    <row r="241" customFormat="false" ht="15" hidden="false" customHeight="false" outlineLevel="0" collapsed="false">
      <c r="B241" s="66" t="n">
        <v>236</v>
      </c>
      <c r="C241" s="66" t="str">
        <f aca="false">IFERROR(IF($B241&lt;=MAX(①今日の在庫を貼る!$U$6:$U$10005),INDEX(①今日の在庫を貼る!$I$6:$I$10005,MATCH($B241,①今日の在庫を貼る!$U$6:$U$10005,0)),INDEX(月1回_前回の在庫を貼る!$I$6:$I$10005,MATCH($B241-MAX(①今日の在庫を貼る!$U$6:$U$10005),月1回_前回の在庫を貼る!$U$6:$U$10005,0))),"")</f>
        <v/>
      </c>
      <c r="D241" s="66" t="str">
        <f aca="false">IF($C241="","",IFERROR(INDEX(商品マスタ!$C$6:$C$1005,MATCH($C241,商品マスタ!$B$6:$B$1005,0)),IFERROR(INDEX(①今日の在庫を貼る!$J$6:$J$10005,MATCH($C241,①今日の在庫を貼る!$I$6:$I$10005,0)),IFERROR(INDEX(月1回_前回の在庫を貼る!$J$6:$J$10005,MATCH($C241,月1回_前回の在庫を貼る!$I$6:$I$10005,0)),""))))</f>
        <v/>
      </c>
      <c r="E241" s="66" t="str">
        <f aca="false">IF($C241="","",IFERROR(INDEX(商品マスタ!$D$6:$D$1005,MATCH($C241,商品マスタ!$B$6:$B$1005,0)),IFERROR(INDEX(①今日の在庫を貼る!$H$6:$H$10005,MATCH($C241,①今日の在庫を貼る!$I$6:$I$10005,0)),IFERROR(INDEX(月1回_前回の在庫を貼る!$H$6:$H$10005,MATCH($C241,月1回_前回の在庫を貼る!$I$6:$I$10005,0)),""))))</f>
        <v/>
      </c>
      <c r="F241" s="66" t="str">
        <f aca="false">IF($C241="","",IFERROR(INDEX(商品マスタ!$E$6:$E$1005,MATCH($C241,商品マスタ!$B$6:$B$1005,0)),IFERROR(INDEX(①今日の在庫を貼る!$E$6:$E$10005,MATCH($C241,①今日の在庫を貼る!$I$6:$I$10005,0)),IFERROR(INDEX(月1回_前回の在庫を貼る!$E$6:$E$10005,MATCH($C241,月1回_前回の在庫を貼る!$I$6:$I$10005,0)),""))))</f>
        <v/>
      </c>
      <c r="G241" s="69" t="str">
        <f aca="false">IF($C241="","",IFERROR(INDEX(商品マスタ!$F$6:$F$1005,MATCH($C241,商品マスタ!$B$6:$B$1005,0)),IFERROR(INDEX(①今日の在庫を貼る!$K$6:$K$10005,MATCH($C241,①今日の在庫を貼る!$I$6:$I$10005,0)),IFERROR(INDEX(月1回_前回の在庫を貼る!$K$6:$K$10005,MATCH($C241,月1回_前回の在庫を貼る!$I$6:$I$10005,0)),""))))</f>
        <v/>
      </c>
      <c r="H241" s="71" t="str">
        <f aca="false">IF($C241="","",IFERROR(INDEX(商品マスタ!$G$6:$G$1005,MATCH($C241,商品マスタ!$B$6:$B$1005,0)),IFERROR(INDEX(①今日の在庫を貼る!$Q$6:$Q$10005,MATCH($C241,①今日の在庫を貼る!$I$6:$I$10005,0)),IFERROR(INDEX(月1回_前回の在庫を貼る!$Q$6:$Q$10005,MATCH($C241,月1回_前回の在庫を貼る!$I$6:$I$10005,0)),""))))</f>
        <v/>
      </c>
      <c r="I241" s="66" t="str">
        <f aca="false">IF($C241="","",IFERROR(INDEX(商品マスタ!$H$6:$H$1005,MATCH($C241,商品マスタ!$B$6:$B$1005,0)),3))</f>
        <v/>
      </c>
      <c r="J241" s="66" t="str">
        <f aca="false">IF($C241="","",MAX(1,IFERROR(INDEX(商品マスタ!$I$6:$I$1005,MATCH($C241,商品マスタ!$B$6:$B$1005,0)),1)))</f>
        <v/>
      </c>
      <c r="K241" s="69" t="str">
        <f aca="false">IF($C241="","",SUMIFS(①今日の在庫を貼る!$N$6:$N$10005,①今日の在庫を貼る!$B$6:$B$10005,'設定（最初に1回）'!$C$4,①今日の在庫を貼る!$I$6:$I$10005,$C241))</f>
        <v/>
      </c>
      <c r="L241" s="69" t="str">
        <f aca="false">IF($C241="","",SUMIFS(月1回_前回の在庫を貼る!$N$6:$N$10005,月1回_前回の在庫を貼る!$B$6:$B$10005,'設定（最初に1回）'!$C$4,月1回_前回の在庫を貼る!$I$6:$I$10005,$C241))</f>
        <v/>
      </c>
      <c r="M241" s="69" t="str">
        <f aca="false">IF($C241="","",IF(OR('設定（最初に1回）'!$C$6="",'設定（最初に1回）'!$C$7=""),0,SUMIFS(発注管理!$S$6:$S$1005,発注管理!$C$6:$C$1005,'設定（最初に1回）'!$C$4,発注管理!$F$6:$F$1005,$C241,発注管理!$R$6:$R$1005,"&gt;="&amp;'設定（最初に1回）'!$C$7,発注管理!$R$6:$R$1005,"&lt;="&amp;'設定（最初に1回）'!$C$6)))</f>
        <v/>
      </c>
      <c r="N241" s="69" t="str">
        <f aca="false">IF(OR($C241="",'設定（最初に1回）'!$C$15=0),"",$L241+$M241-$K241)</f>
        <v/>
      </c>
      <c r="O241" s="143" t="str">
        <f aca="false">IF(OR($N241="",'設定（最初に1回）'!$C$8="",'設定（最初に1回）'!$C$8&lt;=0),"",MAX(0,$N241)/'設定（最初に1回）'!$C$8)</f>
        <v/>
      </c>
      <c r="P241" s="143" t="str">
        <f aca="false">IF($C241="","",IFERROR(INDEX(商品マスタ!$M$6:$N$1005,MATCH($C241,商品マスタ!$B$6:$B$1005,0),MATCH("PI値 "&amp;'設定（最初に1回）'!$C$11,商品マスタ!$M$5:$N$5,0)),""))</f>
        <v/>
      </c>
      <c r="Q241" s="143" t="str">
        <f aca="false">IF(OR($C241="",$P241="",$P241=0,(N($I241)+N($AG241))&lt;=0),"",IFERROR(SUMIFS(随時_動員を入れる!$G$8:$G$97,随時_動員を入れる!$B$8:$B$97,"&gt;="&amp;'設定（最初に1回）'!$C$6,随時_動員を入れる!$B$8:$B$97,"&lt;="&amp;'設定（最初に1回）'!$C$6+(N($I241)+N($AG241))-1)/(N($I241)+N($AG241)),0)*$P241/100)</f>
        <v/>
      </c>
      <c r="R241" s="69" t="str">
        <f aca="false">IF($C241="","",SUMIFS(①今日の在庫を貼る!$O$6:$O$10005,①今日の在庫を貼る!$B$6:$B$10005,'設定（最初に1回）'!$C$4,①今日の在庫を貼る!$I$6:$I$10005,$C241))</f>
        <v/>
      </c>
      <c r="S241" s="143" t="str">
        <f aca="false">IF($C241="","",IF('設定（最初に1回）'!$C$9="実績消費",N($O241),IF('設定（最初に1回）'!$C$9="PI値予測",N($Q241),MAX(N($O241),N($Q241)))))</f>
        <v/>
      </c>
      <c r="T241" s="67" t="str">
        <f aca="false">IF(OR($S241="",$S241&lt;=0),"",$K241/$S241)</f>
        <v/>
      </c>
      <c r="U241" s="69" t="str">
        <f aca="false">IF($S241="","",ROUNDUP(N($S241)*'設定（最初に1回）'!$C$12,0))</f>
        <v/>
      </c>
      <c r="V241" s="69" t="str">
        <f aca="false">IF($C241="","",ROUNDUP(N($S241)*(N($I241)+N($AG241))+N($U241),0))</f>
        <v/>
      </c>
      <c r="W241" s="69" t="str">
        <f aca="false">IF($C241="","",SUMIFS(発注管理!$L$6:$L$1005,発注管理!$C$6:$C$1005,'設定（最初に1回）'!$C$4,発注管理!$F$6:$F$1005,$C241,発注管理!$Q$6:$Q$1005,"発注済"))</f>
        <v/>
      </c>
      <c r="X241" s="69" t="str">
        <f aca="false">IF($C241="","",MAX(0,N($V241)-N($K241)-N($W241)))</f>
        <v/>
      </c>
      <c r="Y241" s="147" t="str">
        <f aca="false">IF($C241="","",IF(N($X241)&lt;=0,0,CEILING($X241/MAX(1,N($G241)),MAX(1,N($J241)))))</f>
        <v/>
      </c>
      <c r="Z241" s="138" t="str">
        <f aca="false">IF($C241="","",IF(N($Y241)&gt;0,"要発注","正常"))</f>
        <v/>
      </c>
      <c r="AA241" s="71" t="str">
        <f aca="false">IF($C241="","",N($K241)*N($H241))</f>
        <v/>
      </c>
      <c r="AB241" s="66" t="str">
        <f aca="false">IF($C241="","",_xlfn.TEXTJOIN(" / ",TRUE(),IF(COUNTIF(商品マスタ!$B$6:$B$1005,$C241)=0,"マスタ未登録",""),IF(COUNTIFS(月1回_前回の在庫を貼る!$B$6:$B$10005,'設定（最初に1回）'!$C$4,月1回_前回の在庫を貼る!$I$6:$I$10005,$C241)=0,"新商品",""),IF(COUNTIFS(①今日の在庫を貼る!$B$6:$B$10005,'設定（最初に1回）'!$C$4,①今日の在庫を貼る!$I$6:$I$10005,$C241)=0,"終売候補",""),IF(N($K241)&lt;0,"在庫マイナス",""),IF(AND('設定（最初に1回）'!$C$9="PI値予測",$P241=""),"PI値未設定","")))</f>
        <v/>
      </c>
      <c r="AC241" s="71" t="n">
        <f aca="false">N($Y241)*N($H241)</f>
        <v>0</v>
      </c>
      <c r="AD241" s="66" t="str">
        <f aca="false">IF($C241="","",IFERROR(INDEX(商品マスタ!$K$6:$K$1005,MATCH($C241,商品マスタ!$B$6:$B$1005,0)),"常温"))</f>
        <v/>
      </c>
      <c r="AE241" s="69" t="str">
        <f aca="false">IF($C241="","",MAX(0,ROUNDUP(N($K241)/MAX(1,N($G241)),0)))</f>
        <v/>
      </c>
      <c r="AF241" s="66" t="str">
        <f aca="false">IF($C241="","",IFERROR(INDEX(商品マスタ!$L$6:$L$1005,MATCH($C241,商品マスタ!$B$6:$B$1005,0)),""))</f>
        <v/>
      </c>
      <c r="AG241" s="143" t="str">
        <f aca="false">IF($C241="","",IFERROR(INDEX(定数マスタ!$S$110:$S$119,MATCH($AF241,定数マスタ!$J$110:$J$119,0)),N('設定（最初に1回）'!$C$13)))</f>
        <v/>
      </c>
      <c r="AH241" s="66" t="n">
        <f aca="false">IF(AND(N($K241)&gt;0,N($Y241)&gt;0),N($Y241),0)</f>
        <v>0</v>
      </c>
    </row>
    <row r="242" customFormat="false" ht="15" hidden="false" customHeight="false" outlineLevel="0" collapsed="false">
      <c r="B242" s="66" t="n">
        <v>237</v>
      </c>
      <c r="C242" s="66" t="str">
        <f aca="false">IFERROR(IF($B242&lt;=MAX(①今日の在庫を貼る!$U$6:$U$10005),INDEX(①今日の在庫を貼る!$I$6:$I$10005,MATCH($B242,①今日の在庫を貼る!$U$6:$U$10005,0)),INDEX(月1回_前回の在庫を貼る!$I$6:$I$10005,MATCH($B242-MAX(①今日の在庫を貼る!$U$6:$U$10005),月1回_前回の在庫を貼る!$U$6:$U$10005,0))),"")</f>
        <v/>
      </c>
      <c r="D242" s="66" t="str">
        <f aca="false">IF($C242="","",IFERROR(INDEX(商品マスタ!$C$6:$C$1005,MATCH($C242,商品マスタ!$B$6:$B$1005,0)),IFERROR(INDEX(①今日の在庫を貼る!$J$6:$J$10005,MATCH($C242,①今日の在庫を貼る!$I$6:$I$10005,0)),IFERROR(INDEX(月1回_前回の在庫を貼る!$J$6:$J$10005,MATCH($C242,月1回_前回の在庫を貼る!$I$6:$I$10005,0)),""))))</f>
        <v/>
      </c>
      <c r="E242" s="66" t="str">
        <f aca="false">IF($C242="","",IFERROR(INDEX(商品マスタ!$D$6:$D$1005,MATCH($C242,商品マスタ!$B$6:$B$1005,0)),IFERROR(INDEX(①今日の在庫を貼る!$H$6:$H$10005,MATCH($C242,①今日の在庫を貼る!$I$6:$I$10005,0)),IFERROR(INDEX(月1回_前回の在庫を貼る!$H$6:$H$10005,MATCH($C242,月1回_前回の在庫を貼る!$I$6:$I$10005,0)),""))))</f>
        <v/>
      </c>
      <c r="F242" s="66" t="str">
        <f aca="false">IF($C242="","",IFERROR(INDEX(商品マスタ!$E$6:$E$1005,MATCH($C242,商品マスタ!$B$6:$B$1005,0)),IFERROR(INDEX(①今日の在庫を貼る!$E$6:$E$10005,MATCH($C242,①今日の在庫を貼る!$I$6:$I$10005,0)),IFERROR(INDEX(月1回_前回の在庫を貼る!$E$6:$E$10005,MATCH($C242,月1回_前回の在庫を貼る!$I$6:$I$10005,0)),""))))</f>
        <v/>
      </c>
      <c r="G242" s="69" t="str">
        <f aca="false">IF($C242="","",IFERROR(INDEX(商品マスタ!$F$6:$F$1005,MATCH($C242,商品マスタ!$B$6:$B$1005,0)),IFERROR(INDEX(①今日の在庫を貼る!$K$6:$K$10005,MATCH($C242,①今日の在庫を貼る!$I$6:$I$10005,0)),IFERROR(INDEX(月1回_前回の在庫を貼る!$K$6:$K$10005,MATCH($C242,月1回_前回の在庫を貼る!$I$6:$I$10005,0)),""))))</f>
        <v/>
      </c>
      <c r="H242" s="71" t="str">
        <f aca="false">IF($C242="","",IFERROR(INDEX(商品マスタ!$G$6:$G$1005,MATCH($C242,商品マスタ!$B$6:$B$1005,0)),IFERROR(INDEX(①今日の在庫を貼る!$Q$6:$Q$10005,MATCH($C242,①今日の在庫を貼る!$I$6:$I$10005,0)),IFERROR(INDEX(月1回_前回の在庫を貼る!$Q$6:$Q$10005,MATCH($C242,月1回_前回の在庫を貼る!$I$6:$I$10005,0)),""))))</f>
        <v/>
      </c>
      <c r="I242" s="66" t="str">
        <f aca="false">IF($C242="","",IFERROR(INDEX(商品マスタ!$H$6:$H$1005,MATCH($C242,商品マスタ!$B$6:$B$1005,0)),3))</f>
        <v/>
      </c>
      <c r="J242" s="66" t="str">
        <f aca="false">IF($C242="","",MAX(1,IFERROR(INDEX(商品マスタ!$I$6:$I$1005,MATCH($C242,商品マスタ!$B$6:$B$1005,0)),1)))</f>
        <v/>
      </c>
      <c r="K242" s="69" t="str">
        <f aca="false">IF($C242="","",SUMIFS(①今日の在庫を貼る!$N$6:$N$10005,①今日の在庫を貼る!$B$6:$B$10005,'設定（最初に1回）'!$C$4,①今日の在庫を貼る!$I$6:$I$10005,$C242))</f>
        <v/>
      </c>
      <c r="L242" s="69" t="str">
        <f aca="false">IF($C242="","",SUMIFS(月1回_前回の在庫を貼る!$N$6:$N$10005,月1回_前回の在庫を貼る!$B$6:$B$10005,'設定（最初に1回）'!$C$4,月1回_前回の在庫を貼る!$I$6:$I$10005,$C242))</f>
        <v/>
      </c>
      <c r="M242" s="69" t="str">
        <f aca="false">IF($C242="","",IF(OR('設定（最初に1回）'!$C$6="",'設定（最初に1回）'!$C$7=""),0,SUMIFS(発注管理!$S$6:$S$1005,発注管理!$C$6:$C$1005,'設定（最初に1回）'!$C$4,発注管理!$F$6:$F$1005,$C242,発注管理!$R$6:$R$1005,"&gt;="&amp;'設定（最初に1回）'!$C$7,発注管理!$R$6:$R$1005,"&lt;="&amp;'設定（最初に1回）'!$C$6)))</f>
        <v/>
      </c>
      <c r="N242" s="69" t="str">
        <f aca="false">IF(OR($C242="",'設定（最初に1回）'!$C$15=0),"",$L242+$M242-$K242)</f>
        <v/>
      </c>
      <c r="O242" s="143" t="str">
        <f aca="false">IF(OR($N242="",'設定（最初に1回）'!$C$8="",'設定（最初に1回）'!$C$8&lt;=0),"",MAX(0,$N242)/'設定（最初に1回）'!$C$8)</f>
        <v/>
      </c>
      <c r="P242" s="143" t="str">
        <f aca="false">IF($C242="","",IFERROR(INDEX(商品マスタ!$M$6:$N$1005,MATCH($C242,商品マスタ!$B$6:$B$1005,0),MATCH("PI値 "&amp;'設定（最初に1回）'!$C$11,商品マスタ!$M$5:$N$5,0)),""))</f>
        <v/>
      </c>
      <c r="Q242" s="143" t="str">
        <f aca="false">IF(OR($C242="",$P242="",$P242=0,(N($I242)+N($AG242))&lt;=0),"",IFERROR(SUMIFS(随時_動員を入れる!$G$8:$G$97,随時_動員を入れる!$B$8:$B$97,"&gt;="&amp;'設定（最初に1回）'!$C$6,随時_動員を入れる!$B$8:$B$97,"&lt;="&amp;'設定（最初に1回）'!$C$6+(N($I242)+N($AG242))-1)/(N($I242)+N($AG242)),0)*$P242/100)</f>
        <v/>
      </c>
      <c r="R242" s="69" t="str">
        <f aca="false">IF($C242="","",SUMIFS(①今日の在庫を貼る!$O$6:$O$10005,①今日の在庫を貼る!$B$6:$B$10005,'設定（最初に1回）'!$C$4,①今日の在庫を貼る!$I$6:$I$10005,$C242))</f>
        <v/>
      </c>
      <c r="S242" s="143" t="str">
        <f aca="false">IF($C242="","",IF('設定（最初に1回）'!$C$9="実績消費",N($O242),IF('設定（最初に1回）'!$C$9="PI値予測",N($Q242),MAX(N($O242),N($Q242)))))</f>
        <v/>
      </c>
      <c r="T242" s="67" t="str">
        <f aca="false">IF(OR($S242="",$S242&lt;=0),"",$K242/$S242)</f>
        <v/>
      </c>
      <c r="U242" s="69" t="str">
        <f aca="false">IF($S242="","",ROUNDUP(N($S242)*'設定（最初に1回）'!$C$12,0))</f>
        <v/>
      </c>
      <c r="V242" s="69" t="str">
        <f aca="false">IF($C242="","",ROUNDUP(N($S242)*(N($I242)+N($AG242))+N($U242),0))</f>
        <v/>
      </c>
      <c r="W242" s="69" t="str">
        <f aca="false">IF($C242="","",SUMIFS(発注管理!$L$6:$L$1005,発注管理!$C$6:$C$1005,'設定（最初に1回）'!$C$4,発注管理!$F$6:$F$1005,$C242,発注管理!$Q$6:$Q$1005,"発注済"))</f>
        <v/>
      </c>
      <c r="X242" s="69" t="str">
        <f aca="false">IF($C242="","",MAX(0,N($V242)-N($K242)-N($W242)))</f>
        <v/>
      </c>
      <c r="Y242" s="147" t="str">
        <f aca="false">IF($C242="","",IF(N($X242)&lt;=0,0,CEILING($X242/MAX(1,N($G242)),MAX(1,N($J242)))))</f>
        <v/>
      </c>
      <c r="Z242" s="138" t="str">
        <f aca="false">IF($C242="","",IF(N($Y242)&gt;0,"要発注","正常"))</f>
        <v/>
      </c>
      <c r="AA242" s="71" t="str">
        <f aca="false">IF($C242="","",N($K242)*N($H242))</f>
        <v/>
      </c>
      <c r="AB242" s="66" t="str">
        <f aca="false">IF($C242="","",_xlfn.TEXTJOIN(" / ",TRUE(),IF(COUNTIF(商品マスタ!$B$6:$B$1005,$C242)=0,"マスタ未登録",""),IF(COUNTIFS(月1回_前回の在庫を貼る!$B$6:$B$10005,'設定（最初に1回）'!$C$4,月1回_前回の在庫を貼る!$I$6:$I$10005,$C242)=0,"新商品",""),IF(COUNTIFS(①今日の在庫を貼る!$B$6:$B$10005,'設定（最初に1回）'!$C$4,①今日の在庫を貼る!$I$6:$I$10005,$C242)=0,"終売候補",""),IF(N($K242)&lt;0,"在庫マイナス",""),IF(AND('設定（最初に1回）'!$C$9="PI値予測",$P242=""),"PI値未設定","")))</f>
        <v/>
      </c>
      <c r="AC242" s="71" t="n">
        <f aca="false">N($Y242)*N($H242)</f>
        <v>0</v>
      </c>
      <c r="AD242" s="66" t="str">
        <f aca="false">IF($C242="","",IFERROR(INDEX(商品マスタ!$K$6:$K$1005,MATCH($C242,商品マスタ!$B$6:$B$1005,0)),"常温"))</f>
        <v/>
      </c>
      <c r="AE242" s="69" t="str">
        <f aca="false">IF($C242="","",MAX(0,ROUNDUP(N($K242)/MAX(1,N($G242)),0)))</f>
        <v/>
      </c>
      <c r="AF242" s="66" t="str">
        <f aca="false">IF($C242="","",IFERROR(INDEX(商品マスタ!$L$6:$L$1005,MATCH($C242,商品マスタ!$B$6:$B$1005,0)),""))</f>
        <v/>
      </c>
      <c r="AG242" s="143" t="str">
        <f aca="false">IF($C242="","",IFERROR(INDEX(定数マスタ!$S$110:$S$119,MATCH($AF242,定数マスタ!$J$110:$J$119,0)),N('設定（最初に1回）'!$C$13)))</f>
        <v/>
      </c>
      <c r="AH242" s="66" t="n">
        <f aca="false">IF(AND(N($K242)&gt;0,N($Y242)&gt;0),N($Y242),0)</f>
        <v>0</v>
      </c>
    </row>
    <row r="243" customFormat="false" ht="15" hidden="false" customHeight="false" outlineLevel="0" collapsed="false">
      <c r="B243" s="66" t="n">
        <v>238</v>
      </c>
      <c r="C243" s="66" t="str">
        <f aca="false">IFERROR(IF($B243&lt;=MAX(①今日の在庫を貼る!$U$6:$U$10005),INDEX(①今日の在庫を貼る!$I$6:$I$10005,MATCH($B243,①今日の在庫を貼る!$U$6:$U$10005,0)),INDEX(月1回_前回の在庫を貼る!$I$6:$I$10005,MATCH($B243-MAX(①今日の在庫を貼る!$U$6:$U$10005),月1回_前回の在庫を貼る!$U$6:$U$10005,0))),"")</f>
        <v/>
      </c>
      <c r="D243" s="66" t="str">
        <f aca="false">IF($C243="","",IFERROR(INDEX(商品マスタ!$C$6:$C$1005,MATCH($C243,商品マスタ!$B$6:$B$1005,0)),IFERROR(INDEX(①今日の在庫を貼る!$J$6:$J$10005,MATCH($C243,①今日の在庫を貼る!$I$6:$I$10005,0)),IFERROR(INDEX(月1回_前回の在庫を貼る!$J$6:$J$10005,MATCH($C243,月1回_前回の在庫を貼る!$I$6:$I$10005,0)),""))))</f>
        <v/>
      </c>
      <c r="E243" s="66" t="str">
        <f aca="false">IF($C243="","",IFERROR(INDEX(商品マスタ!$D$6:$D$1005,MATCH($C243,商品マスタ!$B$6:$B$1005,0)),IFERROR(INDEX(①今日の在庫を貼る!$H$6:$H$10005,MATCH($C243,①今日の在庫を貼る!$I$6:$I$10005,0)),IFERROR(INDEX(月1回_前回の在庫を貼る!$H$6:$H$10005,MATCH($C243,月1回_前回の在庫を貼る!$I$6:$I$10005,0)),""))))</f>
        <v/>
      </c>
      <c r="F243" s="66" t="str">
        <f aca="false">IF($C243="","",IFERROR(INDEX(商品マスタ!$E$6:$E$1005,MATCH($C243,商品マスタ!$B$6:$B$1005,0)),IFERROR(INDEX(①今日の在庫を貼る!$E$6:$E$10005,MATCH($C243,①今日の在庫を貼る!$I$6:$I$10005,0)),IFERROR(INDEX(月1回_前回の在庫を貼る!$E$6:$E$10005,MATCH($C243,月1回_前回の在庫を貼る!$I$6:$I$10005,0)),""))))</f>
        <v/>
      </c>
      <c r="G243" s="69" t="str">
        <f aca="false">IF($C243="","",IFERROR(INDEX(商品マスタ!$F$6:$F$1005,MATCH($C243,商品マスタ!$B$6:$B$1005,0)),IFERROR(INDEX(①今日の在庫を貼る!$K$6:$K$10005,MATCH($C243,①今日の在庫を貼る!$I$6:$I$10005,0)),IFERROR(INDEX(月1回_前回の在庫を貼る!$K$6:$K$10005,MATCH($C243,月1回_前回の在庫を貼る!$I$6:$I$10005,0)),""))))</f>
        <v/>
      </c>
      <c r="H243" s="71" t="str">
        <f aca="false">IF($C243="","",IFERROR(INDEX(商品マスタ!$G$6:$G$1005,MATCH($C243,商品マスタ!$B$6:$B$1005,0)),IFERROR(INDEX(①今日の在庫を貼る!$Q$6:$Q$10005,MATCH($C243,①今日の在庫を貼る!$I$6:$I$10005,0)),IFERROR(INDEX(月1回_前回の在庫を貼る!$Q$6:$Q$10005,MATCH($C243,月1回_前回の在庫を貼る!$I$6:$I$10005,0)),""))))</f>
        <v/>
      </c>
      <c r="I243" s="66" t="str">
        <f aca="false">IF($C243="","",IFERROR(INDEX(商品マスタ!$H$6:$H$1005,MATCH($C243,商品マスタ!$B$6:$B$1005,0)),3))</f>
        <v/>
      </c>
      <c r="J243" s="66" t="str">
        <f aca="false">IF($C243="","",MAX(1,IFERROR(INDEX(商品マスタ!$I$6:$I$1005,MATCH($C243,商品マスタ!$B$6:$B$1005,0)),1)))</f>
        <v/>
      </c>
      <c r="K243" s="69" t="str">
        <f aca="false">IF($C243="","",SUMIFS(①今日の在庫を貼る!$N$6:$N$10005,①今日の在庫を貼る!$B$6:$B$10005,'設定（最初に1回）'!$C$4,①今日の在庫を貼る!$I$6:$I$10005,$C243))</f>
        <v/>
      </c>
      <c r="L243" s="69" t="str">
        <f aca="false">IF($C243="","",SUMIFS(月1回_前回の在庫を貼る!$N$6:$N$10005,月1回_前回の在庫を貼る!$B$6:$B$10005,'設定（最初に1回）'!$C$4,月1回_前回の在庫を貼る!$I$6:$I$10005,$C243))</f>
        <v/>
      </c>
      <c r="M243" s="69" t="str">
        <f aca="false">IF($C243="","",IF(OR('設定（最初に1回）'!$C$6="",'設定（最初に1回）'!$C$7=""),0,SUMIFS(発注管理!$S$6:$S$1005,発注管理!$C$6:$C$1005,'設定（最初に1回）'!$C$4,発注管理!$F$6:$F$1005,$C243,発注管理!$R$6:$R$1005,"&gt;="&amp;'設定（最初に1回）'!$C$7,発注管理!$R$6:$R$1005,"&lt;="&amp;'設定（最初に1回）'!$C$6)))</f>
        <v/>
      </c>
      <c r="N243" s="69" t="str">
        <f aca="false">IF(OR($C243="",'設定（最初に1回）'!$C$15=0),"",$L243+$M243-$K243)</f>
        <v/>
      </c>
      <c r="O243" s="143" t="str">
        <f aca="false">IF(OR($N243="",'設定（最初に1回）'!$C$8="",'設定（最初に1回）'!$C$8&lt;=0),"",MAX(0,$N243)/'設定（最初に1回）'!$C$8)</f>
        <v/>
      </c>
      <c r="P243" s="143" t="str">
        <f aca="false">IF($C243="","",IFERROR(INDEX(商品マスタ!$M$6:$N$1005,MATCH($C243,商品マスタ!$B$6:$B$1005,0),MATCH("PI値 "&amp;'設定（最初に1回）'!$C$11,商品マスタ!$M$5:$N$5,0)),""))</f>
        <v/>
      </c>
      <c r="Q243" s="143" t="str">
        <f aca="false">IF(OR($C243="",$P243="",$P243=0,(N($I243)+N($AG243))&lt;=0),"",IFERROR(SUMIFS(随時_動員を入れる!$G$8:$G$97,随時_動員を入れる!$B$8:$B$97,"&gt;="&amp;'設定（最初に1回）'!$C$6,随時_動員を入れる!$B$8:$B$97,"&lt;="&amp;'設定（最初に1回）'!$C$6+(N($I243)+N($AG243))-1)/(N($I243)+N($AG243)),0)*$P243/100)</f>
        <v/>
      </c>
      <c r="R243" s="69" t="str">
        <f aca="false">IF($C243="","",SUMIFS(①今日の在庫を貼る!$O$6:$O$10005,①今日の在庫を貼る!$B$6:$B$10005,'設定（最初に1回）'!$C$4,①今日の在庫を貼る!$I$6:$I$10005,$C243))</f>
        <v/>
      </c>
      <c r="S243" s="143" t="str">
        <f aca="false">IF($C243="","",IF('設定（最初に1回）'!$C$9="実績消費",N($O243),IF('設定（最初に1回）'!$C$9="PI値予測",N($Q243),MAX(N($O243),N($Q243)))))</f>
        <v/>
      </c>
      <c r="T243" s="67" t="str">
        <f aca="false">IF(OR($S243="",$S243&lt;=0),"",$K243/$S243)</f>
        <v/>
      </c>
      <c r="U243" s="69" t="str">
        <f aca="false">IF($S243="","",ROUNDUP(N($S243)*'設定（最初に1回）'!$C$12,0))</f>
        <v/>
      </c>
      <c r="V243" s="69" t="str">
        <f aca="false">IF($C243="","",ROUNDUP(N($S243)*(N($I243)+N($AG243))+N($U243),0))</f>
        <v/>
      </c>
      <c r="W243" s="69" t="str">
        <f aca="false">IF($C243="","",SUMIFS(発注管理!$L$6:$L$1005,発注管理!$C$6:$C$1005,'設定（最初に1回）'!$C$4,発注管理!$F$6:$F$1005,$C243,発注管理!$Q$6:$Q$1005,"発注済"))</f>
        <v/>
      </c>
      <c r="X243" s="69" t="str">
        <f aca="false">IF($C243="","",MAX(0,N($V243)-N($K243)-N($W243)))</f>
        <v/>
      </c>
      <c r="Y243" s="147" t="str">
        <f aca="false">IF($C243="","",IF(N($X243)&lt;=0,0,CEILING($X243/MAX(1,N($G243)),MAX(1,N($J243)))))</f>
        <v/>
      </c>
      <c r="Z243" s="138" t="str">
        <f aca="false">IF($C243="","",IF(N($Y243)&gt;0,"要発注","正常"))</f>
        <v/>
      </c>
      <c r="AA243" s="71" t="str">
        <f aca="false">IF($C243="","",N($K243)*N($H243))</f>
        <v/>
      </c>
      <c r="AB243" s="66" t="str">
        <f aca="false">IF($C243="","",_xlfn.TEXTJOIN(" / ",TRUE(),IF(COUNTIF(商品マスタ!$B$6:$B$1005,$C243)=0,"マスタ未登録",""),IF(COUNTIFS(月1回_前回の在庫を貼る!$B$6:$B$10005,'設定（最初に1回）'!$C$4,月1回_前回の在庫を貼る!$I$6:$I$10005,$C243)=0,"新商品",""),IF(COUNTIFS(①今日の在庫を貼る!$B$6:$B$10005,'設定（最初に1回）'!$C$4,①今日の在庫を貼る!$I$6:$I$10005,$C243)=0,"終売候補",""),IF(N($K243)&lt;0,"在庫マイナス",""),IF(AND('設定（最初に1回）'!$C$9="PI値予測",$P243=""),"PI値未設定","")))</f>
        <v/>
      </c>
      <c r="AC243" s="71" t="n">
        <f aca="false">N($Y243)*N($H243)</f>
        <v>0</v>
      </c>
      <c r="AD243" s="66" t="str">
        <f aca="false">IF($C243="","",IFERROR(INDEX(商品マスタ!$K$6:$K$1005,MATCH($C243,商品マスタ!$B$6:$B$1005,0)),"常温"))</f>
        <v/>
      </c>
      <c r="AE243" s="69" t="str">
        <f aca="false">IF($C243="","",MAX(0,ROUNDUP(N($K243)/MAX(1,N($G243)),0)))</f>
        <v/>
      </c>
      <c r="AF243" s="66" t="str">
        <f aca="false">IF($C243="","",IFERROR(INDEX(商品マスタ!$L$6:$L$1005,MATCH($C243,商品マスタ!$B$6:$B$1005,0)),""))</f>
        <v/>
      </c>
      <c r="AG243" s="143" t="str">
        <f aca="false">IF($C243="","",IFERROR(INDEX(定数マスタ!$S$110:$S$119,MATCH($AF243,定数マスタ!$J$110:$J$119,0)),N('設定（最初に1回）'!$C$13)))</f>
        <v/>
      </c>
      <c r="AH243" s="66" t="n">
        <f aca="false">IF(AND(N($K243)&gt;0,N($Y243)&gt;0),N($Y243),0)</f>
        <v>0</v>
      </c>
    </row>
    <row r="244" customFormat="false" ht="15" hidden="false" customHeight="false" outlineLevel="0" collapsed="false">
      <c r="B244" s="66" t="n">
        <v>239</v>
      </c>
      <c r="C244" s="66" t="str">
        <f aca="false">IFERROR(IF($B244&lt;=MAX(①今日の在庫を貼る!$U$6:$U$10005),INDEX(①今日の在庫を貼る!$I$6:$I$10005,MATCH($B244,①今日の在庫を貼る!$U$6:$U$10005,0)),INDEX(月1回_前回の在庫を貼る!$I$6:$I$10005,MATCH($B244-MAX(①今日の在庫を貼る!$U$6:$U$10005),月1回_前回の在庫を貼る!$U$6:$U$10005,0))),"")</f>
        <v/>
      </c>
      <c r="D244" s="66" t="str">
        <f aca="false">IF($C244="","",IFERROR(INDEX(商品マスタ!$C$6:$C$1005,MATCH($C244,商品マスタ!$B$6:$B$1005,0)),IFERROR(INDEX(①今日の在庫を貼る!$J$6:$J$10005,MATCH($C244,①今日の在庫を貼る!$I$6:$I$10005,0)),IFERROR(INDEX(月1回_前回の在庫を貼る!$J$6:$J$10005,MATCH($C244,月1回_前回の在庫を貼る!$I$6:$I$10005,0)),""))))</f>
        <v/>
      </c>
      <c r="E244" s="66" t="str">
        <f aca="false">IF($C244="","",IFERROR(INDEX(商品マスタ!$D$6:$D$1005,MATCH($C244,商品マスタ!$B$6:$B$1005,0)),IFERROR(INDEX(①今日の在庫を貼る!$H$6:$H$10005,MATCH($C244,①今日の在庫を貼る!$I$6:$I$10005,0)),IFERROR(INDEX(月1回_前回の在庫を貼る!$H$6:$H$10005,MATCH($C244,月1回_前回の在庫を貼る!$I$6:$I$10005,0)),""))))</f>
        <v/>
      </c>
      <c r="F244" s="66" t="str">
        <f aca="false">IF($C244="","",IFERROR(INDEX(商品マスタ!$E$6:$E$1005,MATCH($C244,商品マスタ!$B$6:$B$1005,0)),IFERROR(INDEX(①今日の在庫を貼る!$E$6:$E$10005,MATCH($C244,①今日の在庫を貼る!$I$6:$I$10005,0)),IFERROR(INDEX(月1回_前回の在庫を貼る!$E$6:$E$10005,MATCH($C244,月1回_前回の在庫を貼る!$I$6:$I$10005,0)),""))))</f>
        <v/>
      </c>
      <c r="G244" s="69" t="str">
        <f aca="false">IF($C244="","",IFERROR(INDEX(商品マスタ!$F$6:$F$1005,MATCH($C244,商品マスタ!$B$6:$B$1005,0)),IFERROR(INDEX(①今日の在庫を貼る!$K$6:$K$10005,MATCH($C244,①今日の在庫を貼る!$I$6:$I$10005,0)),IFERROR(INDEX(月1回_前回の在庫を貼る!$K$6:$K$10005,MATCH($C244,月1回_前回の在庫を貼る!$I$6:$I$10005,0)),""))))</f>
        <v/>
      </c>
      <c r="H244" s="71" t="str">
        <f aca="false">IF($C244="","",IFERROR(INDEX(商品マスタ!$G$6:$G$1005,MATCH($C244,商品マスタ!$B$6:$B$1005,0)),IFERROR(INDEX(①今日の在庫を貼る!$Q$6:$Q$10005,MATCH($C244,①今日の在庫を貼る!$I$6:$I$10005,0)),IFERROR(INDEX(月1回_前回の在庫を貼る!$Q$6:$Q$10005,MATCH($C244,月1回_前回の在庫を貼る!$I$6:$I$10005,0)),""))))</f>
        <v/>
      </c>
      <c r="I244" s="66" t="str">
        <f aca="false">IF($C244="","",IFERROR(INDEX(商品マスタ!$H$6:$H$1005,MATCH($C244,商品マスタ!$B$6:$B$1005,0)),3))</f>
        <v/>
      </c>
      <c r="J244" s="66" t="str">
        <f aca="false">IF($C244="","",MAX(1,IFERROR(INDEX(商品マスタ!$I$6:$I$1005,MATCH($C244,商品マスタ!$B$6:$B$1005,0)),1)))</f>
        <v/>
      </c>
      <c r="K244" s="69" t="str">
        <f aca="false">IF($C244="","",SUMIFS(①今日の在庫を貼る!$N$6:$N$10005,①今日の在庫を貼る!$B$6:$B$10005,'設定（最初に1回）'!$C$4,①今日の在庫を貼る!$I$6:$I$10005,$C244))</f>
        <v/>
      </c>
      <c r="L244" s="69" t="str">
        <f aca="false">IF($C244="","",SUMIFS(月1回_前回の在庫を貼る!$N$6:$N$10005,月1回_前回の在庫を貼る!$B$6:$B$10005,'設定（最初に1回）'!$C$4,月1回_前回の在庫を貼る!$I$6:$I$10005,$C244))</f>
        <v/>
      </c>
      <c r="M244" s="69" t="str">
        <f aca="false">IF($C244="","",IF(OR('設定（最初に1回）'!$C$6="",'設定（最初に1回）'!$C$7=""),0,SUMIFS(発注管理!$S$6:$S$1005,発注管理!$C$6:$C$1005,'設定（最初に1回）'!$C$4,発注管理!$F$6:$F$1005,$C244,発注管理!$R$6:$R$1005,"&gt;="&amp;'設定（最初に1回）'!$C$7,発注管理!$R$6:$R$1005,"&lt;="&amp;'設定（最初に1回）'!$C$6)))</f>
        <v/>
      </c>
      <c r="N244" s="69" t="str">
        <f aca="false">IF(OR($C244="",'設定（最初に1回）'!$C$15=0),"",$L244+$M244-$K244)</f>
        <v/>
      </c>
      <c r="O244" s="143" t="str">
        <f aca="false">IF(OR($N244="",'設定（最初に1回）'!$C$8="",'設定（最初に1回）'!$C$8&lt;=0),"",MAX(0,$N244)/'設定（最初に1回）'!$C$8)</f>
        <v/>
      </c>
      <c r="P244" s="143" t="str">
        <f aca="false">IF($C244="","",IFERROR(INDEX(商品マスタ!$M$6:$N$1005,MATCH($C244,商品マスタ!$B$6:$B$1005,0),MATCH("PI値 "&amp;'設定（最初に1回）'!$C$11,商品マスタ!$M$5:$N$5,0)),""))</f>
        <v/>
      </c>
      <c r="Q244" s="143" t="str">
        <f aca="false">IF(OR($C244="",$P244="",$P244=0,(N($I244)+N($AG244))&lt;=0),"",IFERROR(SUMIFS(随時_動員を入れる!$G$8:$G$97,随時_動員を入れる!$B$8:$B$97,"&gt;="&amp;'設定（最初に1回）'!$C$6,随時_動員を入れる!$B$8:$B$97,"&lt;="&amp;'設定（最初に1回）'!$C$6+(N($I244)+N($AG244))-1)/(N($I244)+N($AG244)),0)*$P244/100)</f>
        <v/>
      </c>
      <c r="R244" s="69" t="str">
        <f aca="false">IF($C244="","",SUMIFS(①今日の在庫を貼る!$O$6:$O$10005,①今日の在庫を貼る!$B$6:$B$10005,'設定（最初に1回）'!$C$4,①今日の在庫を貼る!$I$6:$I$10005,$C244))</f>
        <v/>
      </c>
      <c r="S244" s="143" t="str">
        <f aca="false">IF($C244="","",IF('設定（最初に1回）'!$C$9="実績消費",N($O244),IF('設定（最初に1回）'!$C$9="PI値予測",N($Q244),MAX(N($O244),N($Q244)))))</f>
        <v/>
      </c>
      <c r="T244" s="67" t="str">
        <f aca="false">IF(OR($S244="",$S244&lt;=0),"",$K244/$S244)</f>
        <v/>
      </c>
      <c r="U244" s="69" t="str">
        <f aca="false">IF($S244="","",ROUNDUP(N($S244)*'設定（最初に1回）'!$C$12,0))</f>
        <v/>
      </c>
      <c r="V244" s="69" t="str">
        <f aca="false">IF($C244="","",ROUNDUP(N($S244)*(N($I244)+N($AG244))+N($U244),0))</f>
        <v/>
      </c>
      <c r="W244" s="69" t="str">
        <f aca="false">IF($C244="","",SUMIFS(発注管理!$L$6:$L$1005,発注管理!$C$6:$C$1005,'設定（最初に1回）'!$C$4,発注管理!$F$6:$F$1005,$C244,発注管理!$Q$6:$Q$1005,"発注済"))</f>
        <v/>
      </c>
      <c r="X244" s="69" t="str">
        <f aca="false">IF($C244="","",MAX(0,N($V244)-N($K244)-N($W244)))</f>
        <v/>
      </c>
      <c r="Y244" s="147" t="str">
        <f aca="false">IF($C244="","",IF(N($X244)&lt;=0,0,CEILING($X244/MAX(1,N($G244)),MAX(1,N($J244)))))</f>
        <v/>
      </c>
      <c r="Z244" s="138" t="str">
        <f aca="false">IF($C244="","",IF(N($Y244)&gt;0,"要発注","正常"))</f>
        <v/>
      </c>
      <c r="AA244" s="71" t="str">
        <f aca="false">IF($C244="","",N($K244)*N($H244))</f>
        <v/>
      </c>
      <c r="AB244" s="66" t="str">
        <f aca="false">IF($C244="","",_xlfn.TEXTJOIN(" / ",TRUE(),IF(COUNTIF(商品マスタ!$B$6:$B$1005,$C244)=0,"マスタ未登録",""),IF(COUNTIFS(月1回_前回の在庫を貼る!$B$6:$B$10005,'設定（最初に1回）'!$C$4,月1回_前回の在庫を貼る!$I$6:$I$10005,$C244)=0,"新商品",""),IF(COUNTIFS(①今日の在庫を貼る!$B$6:$B$10005,'設定（最初に1回）'!$C$4,①今日の在庫を貼る!$I$6:$I$10005,$C244)=0,"終売候補",""),IF(N($K244)&lt;0,"在庫マイナス",""),IF(AND('設定（最初に1回）'!$C$9="PI値予測",$P244=""),"PI値未設定","")))</f>
        <v/>
      </c>
      <c r="AC244" s="71" t="n">
        <f aca="false">N($Y244)*N($H244)</f>
        <v>0</v>
      </c>
      <c r="AD244" s="66" t="str">
        <f aca="false">IF($C244="","",IFERROR(INDEX(商品マスタ!$K$6:$K$1005,MATCH($C244,商品マスタ!$B$6:$B$1005,0)),"常温"))</f>
        <v/>
      </c>
      <c r="AE244" s="69" t="str">
        <f aca="false">IF($C244="","",MAX(0,ROUNDUP(N($K244)/MAX(1,N($G244)),0)))</f>
        <v/>
      </c>
      <c r="AF244" s="66" t="str">
        <f aca="false">IF($C244="","",IFERROR(INDEX(商品マスタ!$L$6:$L$1005,MATCH($C244,商品マスタ!$B$6:$B$1005,0)),""))</f>
        <v/>
      </c>
      <c r="AG244" s="143" t="str">
        <f aca="false">IF($C244="","",IFERROR(INDEX(定数マスタ!$S$110:$S$119,MATCH($AF244,定数マスタ!$J$110:$J$119,0)),N('設定（最初に1回）'!$C$13)))</f>
        <v/>
      </c>
      <c r="AH244" s="66" t="n">
        <f aca="false">IF(AND(N($K244)&gt;0,N($Y244)&gt;0),N($Y244),0)</f>
        <v>0</v>
      </c>
    </row>
    <row r="245" customFormat="false" ht="15" hidden="false" customHeight="false" outlineLevel="0" collapsed="false">
      <c r="B245" s="66" t="n">
        <v>240</v>
      </c>
      <c r="C245" s="66" t="str">
        <f aca="false">IFERROR(IF($B245&lt;=MAX(①今日の在庫を貼る!$U$6:$U$10005),INDEX(①今日の在庫を貼る!$I$6:$I$10005,MATCH($B245,①今日の在庫を貼る!$U$6:$U$10005,0)),INDEX(月1回_前回の在庫を貼る!$I$6:$I$10005,MATCH($B245-MAX(①今日の在庫を貼る!$U$6:$U$10005),月1回_前回の在庫を貼る!$U$6:$U$10005,0))),"")</f>
        <v/>
      </c>
      <c r="D245" s="66" t="str">
        <f aca="false">IF($C245="","",IFERROR(INDEX(商品マスタ!$C$6:$C$1005,MATCH($C245,商品マスタ!$B$6:$B$1005,0)),IFERROR(INDEX(①今日の在庫を貼る!$J$6:$J$10005,MATCH($C245,①今日の在庫を貼る!$I$6:$I$10005,0)),IFERROR(INDEX(月1回_前回の在庫を貼る!$J$6:$J$10005,MATCH($C245,月1回_前回の在庫を貼る!$I$6:$I$10005,0)),""))))</f>
        <v/>
      </c>
      <c r="E245" s="66" t="str">
        <f aca="false">IF($C245="","",IFERROR(INDEX(商品マスタ!$D$6:$D$1005,MATCH($C245,商品マスタ!$B$6:$B$1005,0)),IFERROR(INDEX(①今日の在庫を貼る!$H$6:$H$10005,MATCH($C245,①今日の在庫を貼る!$I$6:$I$10005,0)),IFERROR(INDEX(月1回_前回の在庫を貼る!$H$6:$H$10005,MATCH($C245,月1回_前回の在庫を貼る!$I$6:$I$10005,0)),""))))</f>
        <v/>
      </c>
      <c r="F245" s="66" t="str">
        <f aca="false">IF($C245="","",IFERROR(INDEX(商品マスタ!$E$6:$E$1005,MATCH($C245,商品マスタ!$B$6:$B$1005,0)),IFERROR(INDEX(①今日の在庫を貼る!$E$6:$E$10005,MATCH($C245,①今日の在庫を貼る!$I$6:$I$10005,0)),IFERROR(INDEX(月1回_前回の在庫を貼る!$E$6:$E$10005,MATCH($C245,月1回_前回の在庫を貼る!$I$6:$I$10005,0)),""))))</f>
        <v/>
      </c>
      <c r="G245" s="69" t="str">
        <f aca="false">IF($C245="","",IFERROR(INDEX(商品マスタ!$F$6:$F$1005,MATCH($C245,商品マスタ!$B$6:$B$1005,0)),IFERROR(INDEX(①今日の在庫を貼る!$K$6:$K$10005,MATCH($C245,①今日の在庫を貼る!$I$6:$I$10005,0)),IFERROR(INDEX(月1回_前回の在庫を貼る!$K$6:$K$10005,MATCH($C245,月1回_前回の在庫を貼る!$I$6:$I$10005,0)),""))))</f>
        <v/>
      </c>
      <c r="H245" s="71" t="str">
        <f aca="false">IF($C245="","",IFERROR(INDEX(商品マスタ!$G$6:$G$1005,MATCH($C245,商品マスタ!$B$6:$B$1005,0)),IFERROR(INDEX(①今日の在庫を貼る!$Q$6:$Q$10005,MATCH($C245,①今日の在庫を貼る!$I$6:$I$10005,0)),IFERROR(INDEX(月1回_前回の在庫を貼る!$Q$6:$Q$10005,MATCH($C245,月1回_前回の在庫を貼る!$I$6:$I$10005,0)),""))))</f>
        <v/>
      </c>
      <c r="I245" s="66" t="str">
        <f aca="false">IF($C245="","",IFERROR(INDEX(商品マスタ!$H$6:$H$1005,MATCH($C245,商品マスタ!$B$6:$B$1005,0)),3))</f>
        <v/>
      </c>
      <c r="J245" s="66" t="str">
        <f aca="false">IF($C245="","",MAX(1,IFERROR(INDEX(商品マスタ!$I$6:$I$1005,MATCH($C245,商品マスタ!$B$6:$B$1005,0)),1)))</f>
        <v/>
      </c>
      <c r="K245" s="69" t="str">
        <f aca="false">IF($C245="","",SUMIFS(①今日の在庫を貼る!$N$6:$N$10005,①今日の在庫を貼る!$B$6:$B$10005,'設定（最初に1回）'!$C$4,①今日の在庫を貼る!$I$6:$I$10005,$C245))</f>
        <v/>
      </c>
      <c r="L245" s="69" t="str">
        <f aca="false">IF($C245="","",SUMIFS(月1回_前回の在庫を貼る!$N$6:$N$10005,月1回_前回の在庫を貼る!$B$6:$B$10005,'設定（最初に1回）'!$C$4,月1回_前回の在庫を貼る!$I$6:$I$10005,$C245))</f>
        <v/>
      </c>
      <c r="M245" s="69" t="str">
        <f aca="false">IF($C245="","",IF(OR('設定（最初に1回）'!$C$6="",'設定（最初に1回）'!$C$7=""),0,SUMIFS(発注管理!$S$6:$S$1005,発注管理!$C$6:$C$1005,'設定（最初に1回）'!$C$4,発注管理!$F$6:$F$1005,$C245,発注管理!$R$6:$R$1005,"&gt;="&amp;'設定（最初に1回）'!$C$7,発注管理!$R$6:$R$1005,"&lt;="&amp;'設定（最初に1回）'!$C$6)))</f>
        <v/>
      </c>
      <c r="N245" s="69" t="str">
        <f aca="false">IF(OR($C245="",'設定（最初に1回）'!$C$15=0),"",$L245+$M245-$K245)</f>
        <v/>
      </c>
      <c r="O245" s="143" t="str">
        <f aca="false">IF(OR($N245="",'設定（最初に1回）'!$C$8="",'設定（最初に1回）'!$C$8&lt;=0),"",MAX(0,$N245)/'設定（最初に1回）'!$C$8)</f>
        <v/>
      </c>
      <c r="P245" s="143" t="str">
        <f aca="false">IF($C245="","",IFERROR(INDEX(商品マスタ!$M$6:$N$1005,MATCH($C245,商品マスタ!$B$6:$B$1005,0),MATCH("PI値 "&amp;'設定（最初に1回）'!$C$11,商品マスタ!$M$5:$N$5,0)),""))</f>
        <v/>
      </c>
      <c r="Q245" s="143" t="str">
        <f aca="false">IF(OR($C245="",$P245="",$P245=0,(N($I245)+N($AG245))&lt;=0),"",IFERROR(SUMIFS(随時_動員を入れる!$G$8:$G$97,随時_動員を入れる!$B$8:$B$97,"&gt;="&amp;'設定（最初に1回）'!$C$6,随時_動員を入れる!$B$8:$B$97,"&lt;="&amp;'設定（最初に1回）'!$C$6+(N($I245)+N($AG245))-1)/(N($I245)+N($AG245)),0)*$P245/100)</f>
        <v/>
      </c>
      <c r="R245" s="69" t="str">
        <f aca="false">IF($C245="","",SUMIFS(①今日の在庫を貼る!$O$6:$O$10005,①今日の在庫を貼る!$B$6:$B$10005,'設定（最初に1回）'!$C$4,①今日の在庫を貼る!$I$6:$I$10005,$C245))</f>
        <v/>
      </c>
      <c r="S245" s="143" t="str">
        <f aca="false">IF($C245="","",IF('設定（最初に1回）'!$C$9="実績消費",N($O245),IF('設定（最初に1回）'!$C$9="PI値予測",N($Q245),MAX(N($O245),N($Q245)))))</f>
        <v/>
      </c>
      <c r="T245" s="67" t="str">
        <f aca="false">IF(OR($S245="",$S245&lt;=0),"",$K245/$S245)</f>
        <v/>
      </c>
      <c r="U245" s="69" t="str">
        <f aca="false">IF($S245="","",ROUNDUP(N($S245)*'設定（最初に1回）'!$C$12,0))</f>
        <v/>
      </c>
      <c r="V245" s="69" t="str">
        <f aca="false">IF($C245="","",ROUNDUP(N($S245)*(N($I245)+N($AG245))+N($U245),0))</f>
        <v/>
      </c>
      <c r="W245" s="69" t="str">
        <f aca="false">IF($C245="","",SUMIFS(発注管理!$L$6:$L$1005,発注管理!$C$6:$C$1005,'設定（最初に1回）'!$C$4,発注管理!$F$6:$F$1005,$C245,発注管理!$Q$6:$Q$1005,"発注済"))</f>
        <v/>
      </c>
      <c r="X245" s="69" t="str">
        <f aca="false">IF($C245="","",MAX(0,N($V245)-N($K245)-N($W245)))</f>
        <v/>
      </c>
      <c r="Y245" s="147" t="str">
        <f aca="false">IF($C245="","",IF(N($X245)&lt;=0,0,CEILING($X245/MAX(1,N($G245)),MAX(1,N($J245)))))</f>
        <v/>
      </c>
      <c r="Z245" s="138" t="str">
        <f aca="false">IF($C245="","",IF(N($Y245)&gt;0,"要発注","正常"))</f>
        <v/>
      </c>
      <c r="AA245" s="71" t="str">
        <f aca="false">IF($C245="","",N($K245)*N($H245))</f>
        <v/>
      </c>
      <c r="AB245" s="66" t="str">
        <f aca="false">IF($C245="","",_xlfn.TEXTJOIN(" / ",TRUE(),IF(COUNTIF(商品マスタ!$B$6:$B$1005,$C245)=0,"マスタ未登録",""),IF(COUNTIFS(月1回_前回の在庫を貼る!$B$6:$B$10005,'設定（最初に1回）'!$C$4,月1回_前回の在庫を貼る!$I$6:$I$10005,$C245)=0,"新商品",""),IF(COUNTIFS(①今日の在庫を貼る!$B$6:$B$10005,'設定（最初に1回）'!$C$4,①今日の在庫を貼る!$I$6:$I$10005,$C245)=0,"終売候補",""),IF(N($K245)&lt;0,"在庫マイナス",""),IF(AND('設定（最初に1回）'!$C$9="PI値予測",$P245=""),"PI値未設定","")))</f>
        <v/>
      </c>
      <c r="AC245" s="71" t="n">
        <f aca="false">N($Y245)*N($H245)</f>
        <v>0</v>
      </c>
      <c r="AD245" s="66" t="str">
        <f aca="false">IF($C245="","",IFERROR(INDEX(商品マスタ!$K$6:$K$1005,MATCH($C245,商品マスタ!$B$6:$B$1005,0)),"常温"))</f>
        <v/>
      </c>
      <c r="AE245" s="69" t="str">
        <f aca="false">IF($C245="","",MAX(0,ROUNDUP(N($K245)/MAX(1,N($G245)),0)))</f>
        <v/>
      </c>
      <c r="AF245" s="66" t="str">
        <f aca="false">IF($C245="","",IFERROR(INDEX(商品マスタ!$L$6:$L$1005,MATCH($C245,商品マスタ!$B$6:$B$1005,0)),""))</f>
        <v/>
      </c>
      <c r="AG245" s="143" t="str">
        <f aca="false">IF($C245="","",IFERROR(INDEX(定数マスタ!$S$110:$S$119,MATCH($AF245,定数マスタ!$J$110:$J$119,0)),N('設定（最初に1回）'!$C$13)))</f>
        <v/>
      </c>
      <c r="AH245" s="66" t="n">
        <f aca="false">IF(AND(N($K245)&gt;0,N($Y245)&gt;0),N($Y245),0)</f>
        <v>0</v>
      </c>
    </row>
    <row r="246" customFormat="false" ht="15" hidden="false" customHeight="false" outlineLevel="0" collapsed="false">
      <c r="B246" s="66" t="n">
        <v>241</v>
      </c>
      <c r="C246" s="66" t="str">
        <f aca="false">IFERROR(IF($B246&lt;=MAX(①今日の在庫を貼る!$U$6:$U$10005),INDEX(①今日の在庫を貼る!$I$6:$I$10005,MATCH($B246,①今日の在庫を貼る!$U$6:$U$10005,0)),INDEX(月1回_前回の在庫を貼る!$I$6:$I$10005,MATCH($B246-MAX(①今日の在庫を貼る!$U$6:$U$10005),月1回_前回の在庫を貼る!$U$6:$U$10005,0))),"")</f>
        <v/>
      </c>
      <c r="D246" s="66" t="str">
        <f aca="false">IF($C246="","",IFERROR(INDEX(商品マスタ!$C$6:$C$1005,MATCH($C246,商品マスタ!$B$6:$B$1005,0)),IFERROR(INDEX(①今日の在庫を貼る!$J$6:$J$10005,MATCH($C246,①今日の在庫を貼る!$I$6:$I$10005,0)),IFERROR(INDEX(月1回_前回の在庫を貼る!$J$6:$J$10005,MATCH($C246,月1回_前回の在庫を貼る!$I$6:$I$10005,0)),""))))</f>
        <v/>
      </c>
      <c r="E246" s="66" t="str">
        <f aca="false">IF($C246="","",IFERROR(INDEX(商品マスタ!$D$6:$D$1005,MATCH($C246,商品マスタ!$B$6:$B$1005,0)),IFERROR(INDEX(①今日の在庫を貼る!$H$6:$H$10005,MATCH($C246,①今日の在庫を貼る!$I$6:$I$10005,0)),IFERROR(INDEX(月1回_前回の在庫を貼る!$H$6:$H$10005,MATCH($C246,月1回_前回の在庫を貼る!$I$6:$I$10005,0)),""))))</f>
        <v/>
      </c>
      <c r="F246" s="66" t="str">
        <f aca="false">IF($C246="","",IFERROR(INDEX(商品マスタ!$E$6:$E$1005,MATCH($C246,商品マスタ!$B$6:$B$1005,0)),IFERROR(INDEX(①今日の在庫を貼る!$E$6:$E$10005,MATCH($C246,①今日の在庫を貼る!$I$6:$I$10005,0)),IFERROR(INDEX(月1回_前回の在庫を貼る!$E$6:$E$10005,MATCH($C246,月1回_前回の在庫を貼る!$I$6:$I$10005,0)),""))))</f>
        <v/>
      </c>
      <c r="G246" s="69" t="str">
        <f aca="false">IF($C246="","",IFERROR(INDEX(商品マスタ!$F$6:$F$1005,MATCH($C246,商品マスタ!$B$6:$B$1005,0)),IFERROR(INDEX(①今日の在庫を貼る!$K$6:$K$10005,MATCH($C246,①今日の在庫を貼る!$I$6:$I$10005,0)),IFERROR(INDEX(月1回_前回の在庫を貼る!$K$6:$K$10005,MATCH($C246,月1回_前回の在庫を貼る!$I$6:$I$10005,0)),""))))</f>
        <v/>
      </c>
      <c r="H246" s="71" t="str">
        <f aca="false">IF($C246="","",IFERROR(INDEX(商品マスタ!$G$6:$G$1005,MATCH($C246,商品マスタ!$B$6:$B$1005,0)),IFERROR(INDEX(①今日の在庫を貼る!$Q$6:$Q$10005,MATCH($C246,①今日の在庫を貼る!$I$6:$I$10005,0)),IFERROR(INDEX(月1回_前回の在庫を貼る!$Q$6:$Q$10005,MATCH($C246,月1回_前回の在庫を貼る!$I$6:$I$10005,0)),""))))</f>
        <v/>
      </c>
      <c r="I246" s="66" t="str">
        <f aca="false">IF($C246="","",IFERROR(INDEX(商品マスタ!$H$6:$H$1005,MATCH($C246,商品マスタ!$B$6:$B$1005,0)),3))</f>
        <v/>
      </c>
      <c r="J246" s="66" t="str">
        <f aca="false">IF($C246="","",MAX(1,IFERROR(INDEX(商品マスタ!$I$6:$I$1005,MATCH($C246,商品マスタ!$B$6:$B$1005,0)),1)))</f>
        <v/>
      </c>
      <c r="K246" s="69" t="str">
        <f aca="false">IF($C246="","",SUMIFS(①今日の在庫を貼る!$N$6:$N$10005,①今日の在庫を貼る!$B$6:$B$10005,'設定（最初に1回）'!$C$4,①今日の在庫を貼る!$I$6:$I$10005,$C246))</f>
        <v/>
      </c>
      <c r="L246" s="69" t="str">
        <f aca="false">IF($C246="","",SUMIFS(月1回_前回の在庫を貼る!$N$6:$N$10005,月1回_前回の在庫を貼る!$B$6:$B$10005,'設定（最初に1回）'!$C$4,月1回_前回の在庫を貼る!$I$6:$I$10005,$C246))</f>
        <v/>
      </c>
      <c r="M246" s="69" t="str">
        <f aca="false">IF($C246="","",IF(OR('設定（最初に1回）'!$C$6="",'設定（最初に1回）'!$C$7=""),0,SUMIFS(発注管理!$S$6:$S$1005,発注管理!$C$6:$C$1005,'設定（最初に1回）'!$C$4,発注管理!$F$6:$F$1005,$C246,発注管理!$R$6:$R$1005,"&gt;="&amp;'設定（最初に1回）'!$C$7,発注管理!$R$6:$R$1005,"&lt;="&amp;'設定（最初に1回）'!$C$6)))</f>
        <v/>
      </c>
      <c r="N246" s="69" t="str">
        <f aca="false">IF(OR($C246="",'設定（最初に1回）'!$C$15=0),"",$L246+$M246-$K246)</f>
        <v/>
      </c>
      <c r="O246" s="143" t="str">
        <f aca="false">IF(OR($N246="",'設定（最初に1回）'!$C$8="",'設定（最初に1回）'!$C$8&lt;=0),"",MAX(0,$N246)/'設定（最初に1回）'!$C$8)</f>
        <v/>
      </c>
      <c r="P246" s="143" t="str">
        <f aca="false">IF($C246="","",IFERROR(INDEX(商品マスタ!$M$6:$N$1005,MATCH($C246,商品マスタ!$B$6:$B$1005,0),MATCH("PI値 "&amp;'設定（最初に1回）'!$C$11,商品マスタ!$M$5:$N$5,0)),""))</f>
        <v/>
      </c>
      <c r="Q246" s="143" t="str">
        <f aca="false">IF(OR($C246="",$P246="",$P246=0,(N($I246)+N($AG246))&lt;=0),"",IFERROR(SUMIFS(随時_動員を入れる!$G$8:$G$97,随時_動員を入れる!$B$8:$B$97,"&gt;="&amp;'設定（最初に1回）'!$C$6,随時_動員を入れる!$B$8:$B$97,"&lt;="&amp;'設定（最初に1回）'!$C$6+(N($I246)+N($AG246))-1)/(N($I246)+N($AG246)),0)*$P246/100)</f>
        <v/>
      </c>
      <c r="R246" s="69" t="str">
        <f aca="false">IF($C246="","",SUMIFS(①今日の在庫を貼る!$O$6:$O$10005,①今日の在庫を貼る!$B$6:$B$10005,'設定（最初に1回）'!$C$4,①今日の在庫を貼る!$I$6:$I$10005,$C246))</f>
        <v/>
      </c>
      <c r="S246" s="143" t="str">
        <f aca="false">IF($C246="","",IF('設定（最初に1回）'!$C$9="実績消費",N($O246),IF('設定（最初に1回）'!$C$9="PI値予測",N($Q246),MAX(N($O246),N($Q246)))))</f>
        <v/>
      </c>
      <c r="T246" s="67" t="str">
        <f aca="false">IF(OR($S246="",$S246&lt;=0),"",$K246/$S246)</f>
        <v/>
      </c>
      <c r="U246" s="69" t="str">
        <f aca="false">IF($S246="","",ROUNDUP(N($S246)*'設定（最初に1回）'!$C$12,0))</f>
        <v/>
      </c>
      <c r="V246" s="69" t="str">
        <f aca="false">IF($C246="","",ROUNDUP(N($S246)*(N($I246)+N($AG246))+N($U246),0))</f>
        <v/>
      </c>
      <c r="W246" s="69" t="str">
        <f aca="false">IF($C246="","",SUMIFS(発注管理!$L$6:$L$1005,発注管理!$C$6:$C$1005,'設定（最初に1回）'!$C$4,発注管理!$F$6:$F$1005,$C246,発注管理!$Q$6:$Q$1005,"発注済"))</f>
        <v/>
      </c>
      <c r="X246" s="69" t="str">
        <f aca="false">IF($C246="","",MAX(0,N($V246)-N($K246)-N($W246)))</f>
        <v/>
      </c>
      <c r="Y246" s="147" t="str">
        <f aca="false">IF($C246="","",IF(N($X246)&lt;=0,0,CEILING($X246/MAX(1,N($G246)),MAX(1,N($J246)))))</f>
        <v/>
      </c>
      <c r="Z246" s="138" t="str">
        <f aca="false">IF($C246="","",IF(N($Y246)&gt;0,"要発注","正常"))</f>
        <v/>
      </c>
      <c r="AA246" s="71" t="str">
        <f aca="false">IF($C246="","",N($K246)*N($H246))</f>
        <v/>
      </c>
      <c r="AB246" s="66" t="str">
        <f aca="false">IF($C246="","",_xlfn.TEXTJOIN(" / ",TRUE(),IF(COUNTIF(商品マスタ!$B$6:$B$1005,$C246)=0,"マスタ未登録",""),IF(COUNTIFS(月1回_前回の在庫を貼る!$B$6:$B$10005,'設定（最初に1回）'!$C$4,月1回_前回の在庫を貼る!$I$6:$I$10005,$C246)=0,"新商品",""),IF(COUNTIFS(①今日の在庫を貼る!$B$6:$B$10005,'設定（最初に1回）'!$C$4,①今日の在庫を貼る!$I$6:$I$10005,$C246)=0,"終売候補",""),IF(N($K246)&lt;0,"在庫マイナス",""),IF(AND('設定（最初に1回）'!$C$9="PI値予測",$P246=""),"PI値未設定","")))</f>
        <v/>
      </c>
      <c r="AC246" s="71" t="n">
        <f aca="false">N($Y246)*N($H246)</f>
        <v>0</v>
      </c>
      <c r="AD246" s="66" t="str">
        <f aca="false">IF($C246="","",IFERROR(INDEX(商品マスタ!$K$6:$K$1005,MATCH($C246,商品マスタ!$B$6:$B$1005,0)),"常温"))</f>
        <v/>
      </c>
      <c r="AE246" s="69" t="str">
        <f aca="false">IF($C246="","",MAX(0,ROUNDUP(N($K246)/MAX(1,N($G246)),0)))</f>
        <v/>
      </c>
      <c r="AF246" s="66" t="str">
        <f aca="false">IF($C246="","",IFERROR(INDEX(商品マスタ!$L$6:$L$1005,MATCH($C246,商品マスタ!$B$6:$B$1005,0)),""))</f>
        <v/>
      </c>
      <c r="AG246" s="143" t="str">
        <f aca="false">IF($C246="","",IFERROR(INDEX(定数マスタ!$S$110:$S$119,MATCH($AF246,定数マスタ!$J$110:$J$119,0)),N('設定（最初に1回）'!$C$13)))</f>
        <v/>
      </c>
      <c r="AH246" s="66" t="n">
        <f aca="false">IF(AND(N($K246)&gt;0,N($Y246)&gt;0),N($Y246),0)</f>
        <v>0</v>
      </c>
    </row>
    <row r="247" customFormat="false" ht="15" hidden="false" customHeight="false" outlineLevel="0" collapsed="false">
      <c r="B247" s="66" t="n">
        <v>242</v>
      </c>
      <c r="C247" s="66" t="str">
        <f aca="false">IFERROR(IF($B247&lt;=MAX(①今日の在庫を貼る!$U$6:$U$10005),INDEX(①今日の在庫を貼る!$I$6:$I$10005,MATCH($B247,①今日の在庫を貼る!$U$6:$U$10005,0)),INDEX(月1回_前回の在庫を貼る!$I$6:$I$10005,MATCH($B247-MAX(①今日の在庫を貼る!$U$6:$U$10005),月1回_前回の在庫を貼る!$U$6:$U$10005,0))),"")</f>
        <v/>
      </c>
      <c r="D247" s="66" t="str">
        <f aca="false">IF($C247="","",IFERROR(INDEX(商品マスタ!$C$6:$C$1005,MATCH($C247,商品マスタ!$B$6:$B$1005,0)),IFERROR(INDEX(①今日の在庫を貼る!$J$6:$J$10005,MATCH($C247,①今日の在庫を貼る!$I$6:$I$10005,0)),IFERROR(INDEX(月1回_前回の在庫を貼る!$J$6:$J$10005,MATCH($C247,月1回_前回の在庫を貼る!$I$6:$I$10005,0)),""))))</f>
        <v/>
      </c>
      <c r="E247" s="66" t="str">
        <f aca="false">IF($C247="","",IFERROR(INDEX(商品マスタ!$D$6:$D$1005,MATCH($C247,商品マスタ!$B$6:$B$1005,0)),IFERROR(INDEX(①今日の在庫を貼る!$H$6:$H$10005,MATCH($C247,①今日の在庫を貼る!$I$6:$I$10005,0)),IFERROR(INDEX(月1回_前回の在庫を貼る!$H$6:$H$10005,MATCH($C247,月1回_前回の在庫を貼る!$I$6:$I$10005,0)),""))))</f>
        <v/>
      </c>
      <c r="F247" s="66" t="str">
        <f aca="false">IF($C247="","",IFERROR(INDEX(商品マスタ!$E$6:$E$1005,MATCH($C247,商品マスタ!$B$6:$B$1005,0)),IFERROR(INDEX(①今日の在庫を貼る!$E$6:$E$10005,MATCH($C247,①今日の在庫を貼る!$I$6:$I$10005,0)),IFERROR(INDEX(月1回_前回の在庫を貼る!$E$6:$E$10005,MATCH($C247,月1回_前回の在庫を貼る!$I$6:$I$10005,0)),""))))</f>
        <v/>
      </c>
      <c r="G247" s="69" t="str">
        <f aca="false">IF($C247="","",IFERROR(INDEX(商品マスタ!$F$6:$F$1005,MATCH($C247,商品マスタ!$B$6:$B$1005,0)),IFERROR(INDEX(①今日の在庫を貼る!$K$6:$K$10005,MATCH($C247,①今日の在庫を貼る!$I$6:$I$10005,0)),IFERROR(INDEX(月1回_前回の在庫を貼る!$K$6:$K$10005,MATCH($C247,月1回_前回の在庫を貼る!$I$6:$I$10005,0)),""))))</f>
        <v/>
      </c>
      <c r="H247" s="71" t="str">
        <f aca="false">IF($C247="","",IFERROR(INDEX(商品マスタ!$G$6:$G$1005,MATCH($C247,商品マスタ!$B$6:$B$1005,0)),IFERROR(INDEX(①今日の在庫を貼る!$Q$6:$Q$10005,MATCH($C247,①今日の在庫を貼る!$I$6:$I$10005,0)),IFERROR(INDEX(月1回_前回の在庫を貼る!$Q$6:$Q$10005,MATCH($C247,月1回_前回の在庫を貼る!$I$6:$I$10005,0)),""))))</f>
        <v/>
      </c>
      <c r="I247" s="66" t="str">
        <f aca="false">IF($C247="","",IFERROR(INDEX(商品マスタ!$H$6:$H$1005,MATCH($C247,商品マスタ!$B$6:$B$1005,0)),3))</f>
        <v/>
      </c>
      <c r="J247" s="66" t="str">
        <f aca="false">IF($C247="","",MAX(1,IFERROR(INDEX(商品マスタ!$I$6:$I$1005,MATCH($C247,商品マスタ!$B$6:$B$1005,0)),1)))</f>
        <v/>
      </c>
      <c r="K247" s="69" t="str">
        <f aca="false">IF($C247="","",SUMIFS(①今日の在庫を貼る!$N$6:$N$10005,①今日の在庫を貼る!$B$6:$B$10005,'設定（最初に1回）'!$C$4,①今日の在庫を貼る!$I$6:$I$10005,$C247))</f>
        <v/>
      </c>
      <c r="L247" s="69" t="str">
        <f aca="false">IF($C247="","",SUMIFS(月1回_前回の在庫を貼る!$N$6:$N$10005,月1回_前回の在庫を貼る!$B$6:$B$10005,'設定（最初に1回）'!$C$4,月1回_前回の在庫を貼る!$I$6:$I$10005,$C247))</f>
        <v/>
      </c>
      <c r="M247" s="69" t="str">
        <f aca="false">IF($C247="","",IF(OR('設定（最初に1回）'!$C$6="",'設定（最初に1回）'!$C$7=""),0,SUMIFS(発注管理!$S$6:$S$1005,発注管理!$C$6:$C$1005,'設定（最初に1回）'!$C$4,発注管理!$F$6:$F$1005,$C247,発注管理!$R$6:$R$1005,"&gt;="&amp;'設定（最初に1回）'!$C$7,発注管理!$R$6:$R$1005,"&lt;="&amp;'設定（最初に1回）'!$C$6)))</f>
        <v/>
      </c>
      <c r="N247" s="69" t="str">
        <f aca="false">IF(OR($C247="",'設定（最初に1回）'!$C$15=0),"",$L247+$M247-$K247)</f>
        <v/>
      </c>
      <c r="O247" s="143" t="str">
        <f aca="false">IF(OR($N247="",'設定（最初に1回）'!$C$8="",'設定（最初に1回）'!$C$8&lt;=0),"",MAX(0,$N247)/'設定（最初に1回）'!$C$8)</f>
        <v/>
      </c>
      <c r="P247" s="143" t="str">
        <f aca="false">IF($C247="","",IFERROR(INDEX(商品マスタ!$M$6:$N$1005,MATCH($C247,商品マスタ!$B$6:$B$1005,0),MATCH("PI値 "&amp;'設定（最初に1回）'!$C$11,商品マスタ!$M$5:$N$5,0)),""))</f>
        <v/>
      </c>
      <c r="Q247" s="143" t="str">
        <f aca="false">IF(OR($C247="",$P247="",$P247=0,(N($I247)+N($AG247))&lt;=0),"",IFERROR(SUMIFS(随時_動員を入れる!$G$8:$G$97,随時_動員を入れる!$B$8:$B$97,"&gt;="&amp;'設定（最初に1回）'!$C$6,随時_動員を入れる!$B$8:$B$97,"&lt;="&amp;'設定（最初に1回）'!$C$6+(N($I247)+N($AG247))-1)/(N($I247)+N($AG247)),0)*$P247/100)</f>
        <v/>
      </c>
      <c r="R247" s="69" t="str">
        <f aca="false">IF($C247="","",SUMIFS(①今日の在庫を貼る!$O$6:$O$10005,①今日の在庫を貼る!$B$6:$B$10005,'設定（最初に1回）'!$C$4,①今日の在庫を貼る!$I$6:$I$10005,$C247))</f>
        <v/>
      </c>
      <c r="S247" s="143" t="str">
        <f aca="false">IF($C247="","",IF('設定（最初に1回）'!$C$9="実績消費",N($O247),IF('設定（最初に1回）'!$C$9="PI値予測",N($Q247),MAX(N($O247),N($Q247)))))</f>
        <v/>
      </c>
      <c r="T247" s="67" t="str">
        <f aca="false">IF(OR($S247="",$S247&lt;=0),"",$K247/$S247)</f>
        <v/>
      </c>
      <c r="U247" s="69" t="str">
        <f aca="false">IF($S247="","",ROUNDUP(N($S247)*'設定（最初に1回）'!$C$12,0))</f>
        <v/>
      </c>
      <c r="V247" s="69" t="str">
        <f aca="false">IF($C247="","",ROUNDUP(N($S247)*(N($I247)+N($AG247))+N($U247),0))</f>
        <v/>
      </c>
      <c r="W247" s="69" t="str">
        <f aca="false">IF($C247="","",SUMIFS(発注管理!$L$6:$L$1005,発注管理!$C$6:$C$1005,'設定（最初に1回）'!$C$4,発注管理!$F$6:$F$1005,$C247,発注管理!$Q$6:$Q$1005,"発注済"))</f>
        <v/>
      </c>
      <c r="X247" s="69" t="str">
        <f aca="false">IF($C247="","",MAX(0,N($V247)-N($K247)-N($W247)))</f>
        <v/>
      </c>
      <c r="Y247" s="147" t="str">
        <f aca="false">IF($C247="","",IF(N($X247)&lt;=0,0,CEILING($X247/MAX(1,N($G247)),MAX(1,N($J247)))))</f>
        <v/>
      </c>
      <c r="Z247" s="138" t="str">
        <f aca="false">IF($C247="","",IF(N($Y247)&gt;0,"要発注","正常"))</f>
        <v/>
      </c>
      <c r="AA247" s="71" t="str">
        <f aca="false">IF($C247="","",N($K247)*N($H247))</f>
        <v/>
      </c>
      <c r="AB247" s="66" t="str">
        <f aca="false">IF($C247="","",_xlfn.TEXTJOIN(" / ",TRUE(),IF(COUNTIF(商品マスタ!$B$6:$B$1005,$C247)=0,"マスタ未登録",""),IF(COUNTIFS(月1回_前回の在庫を貼る!$B$6:$B$10005,'設定（最初に1回）'!$C$4,月1回_前回の在庫を貼る!$I$6:$I$10005,$C247)=0,"新商品",""),IF(COUNTIFS(①今日の在庫を貼る!$B$6:$B$10005,'設定（最初に1回）'!$C$4,①今日の在庫を貼る!$I$6:$I$10005,$C247)=0,"終売候補",""),IF(N($K247)&lt;0,"在庫マイナス",""),IF(AND('設定（最初に1回）'!$C$9="PI値予測",$P247=""),"PI値未設定","")))</f>
        <v/>
      </c>
      <c r="AC247" s="71" t="n">
        <f aca="false">N($Y247)*N($H247)</f>
        <v>0</v>
      </c>
      <c r="AD247" s="66" t="str">
        <f aca="false">IF($C247="","",IFERROR(INDEX(商品マスタ!$K$6:$K$1005,MATCH($C247,商品マスタ!$B$6:$B$1005,0)),"常温"))</f>
        <v/>
      </c>
      <c r="AE247" s="69" t="str">
        <f aca="false">IF($C247="","",MAX(0,ROUNDUP(N($K247)/MAX(1,N($G247)),0)))</f>
        <v/>
      </c>
      <c r="AF247" s="66" t="str">
        <f aca="false">IF($C247="","",IFERROR(INDEX(商品マスタ!$L$6:$L$1005,MATCH($C247,商品マスタ!$B$6:$B$1005,0)),""))</f>
        <v/>
      </c>
      <c r="AG247" s="143" t="str">
        <f aca="false">IF($C247="","",IFERROR(INDEX(定数マスタ!$S$110:$S$119,MATCH($AF247,定数マスタ!$J$110:$J$119,0)),N('設定（最初に1回）'!$C$13)))</f>
        <v/>
      </c>
      <c r="AH247" s="66" t="n">
        <f aca="false">IF(AND(N($K247)&gt;0,N($Y247)&gt;0),N($Y247),0)</f>
        <v>0</v>
      </c>
    </row>
    <row r="248" customFormat="false" ht="15" hidden="false" customHeight="false" outlineLevel="0" collapsed="false">
      <c r="B248" s="66" t="n">
        <v>243</v>
      </c>
      <c r="C248" s="66" t="str">
        <f aca="false">IFERROR(IF($B248&lt;=MAX(①今日の在庫を貼る!$U$6:$U$10005),INDEX(①今日の在庫を貼る!$I$6:$I$10005,MATCH($B248,①今日の在庫を貼る!$U$6:$U$10005,0)),INDEX(月1回_前回の在庫を貼る!$I$6:$I$10005,MATCH($B248-MAX(①今日の在庫を貼る!$U$6:$U$10005),月1回_前回の在庫を貼る!$U$6:$U$10005,0))),"")</f>
        <v/>
      </c>
      <c r="D248" s="66" t="str">
        <f aca="false">IF($C248="","",IFERROR(INDEX(商品マスタ!$C$6:$C$1005,MATCH($C248,商品マスタ!$B$6:$B$1005,0)),IFERROR(INDEX(①今日の在庫を貼る!$J$6:$J$10005,MATCH($C248,①今日の在庫を貼る!$I$6:$I$10005,0)),IFERROR(INDEX(月1回_前回の在庫を貼る!$J$6:$J$10005,MATCH($C248,月1回_前回の在庫を貼る!$I$6:$I$10005,0)),""))))</f>
        <v/>
      </c>
      <c r="E248" s="66" t="str">
        <f aca="false">IF($C248="","",IFERROR(INDEX(商品マスタ!$D$6:$D$1005,MATCH($C248,商品マスタ!$B$6:$B$1005,0)),IFERROR(INDEX(①今日の在庫を貼る!$H$6:$H$10005,MATCH($C248,①今日の在庫を貼る!$I$6:$I$10005,0)),IFERROR(INDEX(月1回_前回の在庫を貼る!$H$6:$H$10005,MATCH($C248,月1回_前回の在庫を貼る!$I$6:$I$10005,0)),""))))</f>
        <v/>
      </c>
      <c r="F248" s="66" t="str">
        <f aca="false">IF($C248="","",IFERROR(INDEX(商品マスタ!$E$6:$E$1005,MATCH($C248,商品マスタ!$B$6:$B$1005,0)),IFERROR(INDEX(①今日の在庫を貼る!$E$6:$E$10005,MATCH($C248,①今日の在庫を貼る!$I$6:$I$10005,0)),IFERROR(INDEX(月1回_前回の在庫を貼る!$E$6:$E$10005,MATCH($C248,月1回_前回の在庫を貼る!$I$6:$I$10005,0)),""))))</f>
        <v/>
      </c>
      <c r="G248" s="69" t="str">
        <f aca="false">IF($C248="","",IFERROR(INDEX(商品マスタ!$F$6:$F$1005,MATCH($C248,商品マスタ!$B$6:$B$1005,0)),IFERROR(INDEX(①今日の在庫を貼る!$K$6:$K$10005,MATCH($C248,①今日の在庫を貼る!$I$6:$I$10005,0)),IFERROR(INDEX(月1回_前回の在庫を貼る!$K$6:$K$10005,MATCH($C248,月1回_前回の在庫を貼る!$I$6:$I$10005,0)),""))))</f>
        <v/>
      </c>
      <c r="H248" s="71" t="str">
        <f aca="false">IF($C248="","",IFERROR(INDEX(商品マスタ!$G$6:$G$1005,MATCH($C248,商品マスタ!$B$6:$B$1005,0)),IFERROR(INDEX(①今日の在庫を貼る!$Q$6:$Q$10005,MATCH($C248,①今日の在庫を貼る!$I$6:$I$10005,0)),IFERROR(INDEX(月1回_前回の在庫を貼る!$Q$6:$Q$10005,MATCH($C248,月1回_前回の在庫を貼る!$I$6:$I$10005,0)),""))))</f>
        <v/>
      </c>
      <c r="I248" s="66" t="str">
        <f aca="false">IF($C248="","",IFERROR(INDEX(商品マスタ!$H$6:$H$1005,MATCH($C248,商品マスタ!$B$6:$B$1005,0)),3))</f>
        <v/>
      </c>
      <c r="J248" s="66" t="str">
        <f aca="false">IF($C248="","",MAX(1,IFERROR(INDEX(商品マスタ!$I$6:$I$1005,MATCH($C248,商品マスタ!$B$6:$B$1005,0)),1)))</f>
        <v/>
      </c>
      <c r="K248" s="69" t="str">
        <f aca="false">IF($C248="","",SUMIFS(①今日の在庫を貼る!$N$6:$N$10005,①今日の在庫を貼る!$B$6:$B$10005,'設定（最初に1回）'!$C$4,①今日の在庫を貼る!$I$6:$I$10005,$C248))</f>
        <v/>
      </c>
      <c r="L248" s="69" t="str">
        <f aca="false">IF($C248="","",SUMIFS(月1回_前回の在庫を貼る!$N$6:$N$10005,月1回_前回の在庫を貼る!$B$6:$B$10005,'設定（最初に1回）'!$C$4,月1回_前回の在庫を貼る!$I$6:$I$10005,$C248))</f>
        <v/>
      </c>
      <c r="M248" s="69" t="str">
        <f aca="false">IF($C248="","",IF(OR('設定（最初に1回）'!$C$6="",'設定（最初に1回）'!$C$7=""),0,SUMIFS(発注管理!$S$6:$S$1005,発注管理!$C$6:$C$1005,'設定（最初に1回）'!$C$4,発注管理!$F$6:$F$1005,$C248,発注管理!$R$6:$R$1005,"&gt;="&amp;'設定（最初に1回）'!$C$7,発注管理!$R$6:$R$1005,"&lt;="&amp;'設定（最初に1回）'!$C$6)))</f>
        <v/>
      </c>
      <c r="N248" s="69" t="str">
        <f aca="false">IF(OR($C248="",'設定（最初に1回）'!$C$15=0),"",$L248+$M248-$K248)</f>
        <v/>
      </c>
      <c r="O248" s="143" t="str">
        <f aca="false">IF(OR($N248="",'設定（最初に1回）'!$C$8="",'設定（最初に1回）'!$C$8&lt;=0),"",MAX(0,$N248)/'設定（最初に1回）'!$C$8)</f>
        <v/>
      </c>
      <c r="P248" s="143" t="str">
        <f aca="false">IF($C248="","",IFERROR(INDEX(商品マスタ!$M$6:$N$1005,MATCH($C248,商品マスタ!$B$6:$B$1005,0),MATCH("PI値 "&amp;'設定（最初に1回）'!$C$11,商品マスタ!$M$5:$N$5,0)),""))</f>
        <v/>
      </c>
      <c r="Q248" s="143" t="str">
        <f aca="false">IF(OR($C248="",$P248="",$P248=0,(N($I248)+N($AG248))&lt;=0),"",IFERROR(SUMIFS(随時_動員を入れる!$G$8:$G$97,随時_動員を入れる!$B$8:$B$97,"&gt;="&amp;'設定（最初に1回）'!$C$6,随時_動員を入れる!$B$8:$B$97,"&lt;="&amp;'設定（最初に1回）'!$C$6+(N($I248)+N($AG248))-1)/(N($I248)+N($AG248)),0)*$P248/100)</f>
        <v/>
      </c>
      <c r="R248" s="69" t="str">
        <f aca="false">IF($C248="","",SUMIFS(①今日の在庫を貼る!$O$6:$O$10005,①今日の在庫を貼る!$B$6:$B$10005,'設定（最初に1回）'!$C$4,①今日の在庫を貼る!$I$6:$I$10005,$C248))</f>
        <v/>
      </c>
      <c r="S248" s="143" t="str">
        <f aca="false">IF($C248="","",IF('設定（最初に1回）'!$C$9="実績消費",N($O248),IF('設定（最初に1回）'!$C$9="PI値予測",N($Q248),MAX(N($O248),N($Q248)))))</f>
        <v/>
      </c>
      <c r="T248" s="67" t="str">
        <f aca="false">IF(OR($S248="",$S248&lt;=0),"",$K248/$S248)</f>
        <v/>
      </c>
      <c r="U248" s="69" t="str">
        <f aca="false">IF($S248="","",ROUNDUP(N($S248)*'設定（最初に1回）'!$C$12,0))</f>
        <v/>
      </c>
      <c r="V248" s="69" t="str">
        <f aca="false">IF($C248="","",ROUNDUP(N($S248)*(N($I248)+N($AG248))+N($U248),0))</f>
        <v/>
      </c>
      <c r="W248" s="69" t="str">
        <f aca="false">IF($C248="","",SUMIFS(発注管理!$L$6:$L$1005,発注管理!$C$6:$C$1005,'設定（最初に1回）'!$C$4,発注管理!$F$6:$F$1005,$C248,発注管理!$Q$6:$Q$1005,"発注済"))</f>
        <v/>
      </c>
      <c r="X248" s="69" t="str">
        <f aca="false">IF($C248="","",MAX(0,N($V248)-N($K248)-N($W248)))</f>
        <v/>
      </c>
      <c r="Y248" s="147" t="str">
        <f aca="false">IF($C248="","",IF(N($X248)&lt;=0,0,CEILING($X248/MAX(1,N($G248)),MAX(1,N($J248)))))</f>
        <v/>
      </c>
      <c r="Z248" s="138" t="str">
        <f aca="false">IF($C248="","",IF(N($Y248)&gt;0,"要発注","正常"))</f>
        <v/>
      </c>
      <c r="AA248" s="71" t="str">
        <f aca="false">IF($C248="","",N($K248)*N($H248))</f>
        <v/>
      </c>
      <c r="AB248" s="66" t="str">
        <f aca="false">IF($C248="","",_xlfn.TEXTJOIN(" / ",TRUE(),IF(COUNTIF(商品マスタ!$B$6:$B$1005,$C248)=0,"マスタ未登録",""),IF(COUNTIFS(月1回_前回の在庫を貼る!$B$6:$B$10005,'設定（最初に1回）'!$C$4,月1回_前回の在庫を貼る!$I$6:$I$10005,$C248)=0,"新商品",""),IF(COUNTIFS(①今日の在庫を貼る!$B$6:$B$10005,'設定（最初に1回）'!$C$4,①今日の在庫を貼る!$I$6:$I$10005,$C248)=0,"終売候補",""),IF(N($K248)&lt;0,"在庫マイナス",""),IF(AND('設定（最初に1回）'!$C$9="PI値予測",$P248=""),"PI値未設定","")))</f>
        <v/>
      </c>
      <c r="AC248" s="71" t="n">
        <f aca="false">N($Y248)*N($H248)</f>
        <v>0</v>
      </c>
      <c r="AD248" s="66" t="str">
        <f aca="false">IF($C248="","",IFERROR(INDEX(商品マスタ!$K$6:$K$1005,MATCH($C248,商品マスタ!$B$6:$B$1005,0)),"常温"))</f>
        <v/>
      </c>
      <c r="AE248" s="69" t="str">
        <f aca="false">IF($C248="","",MAX(0,ROUNDUP(N($K248)/MAX(1,N($G248)),0)))</f>
        <v/>
      </c>
      <c r="AF248" s="66" t="str">
        <f aca="false">IF($C248="","",IFERROR(INDEX(商品マスタ!$L$6:$L$1005,MATCH($C248,商品マスタ!$B$6:$B$1005,0)),""))</f>
        <v/>
      </c>
      <c r="AG248" s="143" t="str">
        <f aca="false">IF($C248="","",IFERROR(INDEX(定数マスタ!$S$110:$S$119,MATCH($AF248,定数マスタ!$J$110:$J$119,0)),N('設定（最初に1回）'!$C$13)))</f>
        <v/>
      </c>
      <c r="AH248" s="66" t="n">
        <f aca="false">IF(AND(N($K248)&gt;0,N($Y248)&gt;0),N($Y248),0)</f>
        <v>0</v>
      </c>
    </row>
    <row r="249" customFormat="false" ht="15" hidden="false" customHeight="false" outlineLevel="0" collapsed="false">
      <c r="B249" s="66" t="n">
        <v>244</v>
      </c>
      <c r="C249" s="66" t="str">
        <f aca="false">IFERROR(IF($B249&lt;=MAX(①今日の在庫を貼る!$U$6:$U$10005),INDEX(①今日の在庫を貼る!$I$6:$I$10005,MATCH($B249,①今日の在庫を貼る!$U$6:$U$10005,0)),INDEX(月1回_前回の在庫を貼る!$I$6:$I$10005,MATCH($B249-MAX(①今日の在庫を貼る!$U$6:$U$10005),月1回_前回の在庫を貼る!$U$6:$U$10005,0))),"")</f>
        <v/>
      </c>
      <c r="D249" s="66" t="str">
        <f aca="false">IF($C249="","",IFERROR(INDEX(商品マスタ!$C$6:$C$1005,MATCH($C249,商品マスタ!$B$6:$B$1005,0)),IFERROR(INDEX(①今日の在庫を貼る!$J$6:$J$10005,MATCH($C249,①今日の在庫を貼る!$I$6:$I$10005,0)),IFERROR(INDEX(月1回_前回の在庫を貼る!$J$6:$J$10005,MATCH($C249,月1回_前回の在庫を貼る!$I$6:$I$10005,0)),""))))</f>
        <v/>
      </c>
      <c r="E249" s="66" t="str">
        <f aca="false">IF($C249="","",IFERROR(INDEX(商品マスタ!$D$6:$D$1005,MATCH($C249,商品マスタ!$B$6:$B$1005,0)),IFERROR(INDEX(①今日の在庫を貼る!$H$6:$H$10005,MATCH($C249,①今日の在庫を貼る!$I$6:$I$10005,0)),IFERROR(INDEX(月1回_前回の在庫を貼る!$H$6:$H$10005,MATCH($C249,月1回_前回の在庫を貼る!$I$6:$I$10005,0)),""))))</f>
        <v/>
      </c>
      <c r="F249" s="66" t="str">
        <f aca="false">IF($C249="","",IFERROR(INDEX(商品マスタ!$E$6:$E$1005,MATCH($C249,商品マスタ!$B$6:$B$1005,0)),IFERROR(INDEX(①今日の在庫を貼る!$E$6:$E$10005,MATCH($C249,①今日の在庫を貼る!$I$6:$I$10005,0)),IFERROR(INDEX(月1回_前回の在庫を貼る!$E$6:$E$10005,MATCH($C249,月1回_前回の在庫を貼る!$I$6:$I$10005,0)),""))))</f>
        <v/>
      </c>
      <c r="G249" s="69" t="str">
        <f aca="false">IF($C249="","",IFERROR(INDEX(商品マスタ!$F$6:$F$1005,MATCH($C249,商品マスタ!$B$6:$B$1005,0)),IFERROR(INDEX(①今日の在庫を貼る!$K$6:$K$10005,MATCH($C249,①今日の在庫を貼る!$I$6:$I$10005,0)),IFERROR(INDEX(月1回_前回の在庫を貼る!$K$6:$K$10005,MATCH($C249,月1回_前回の在庫を貼る!$I$6:$I$10005,0)),""))))</f>
        <v/>
      </c>
      <c r="H249" s="71" t="str">
        <f aca="false">IF($C249="","",IFERROR(INDEX(商品マスタ!$G$6:$G$1005,MATCH($C249,商品マスタ!$B$6:$B$1005,0)),IFERROR(INDEX(①今日の在庫を貼る!$Q$6:$Q$10005,MATCH($C249,①今日の在庫を貼る!$I$6:$I$10005,0)),IFERROR(INDEX(月1回_前回の在庫を貼る!$Q$6:$Q$10005,MATCH($C249,月1回_前回の在庫を貼る!$I$6:$I$10005,0)),""))))</f>
        <v/>
      </c>
      <c r="I249" s="66" t="str">
        <f aca="false">IF($C249="","",IFERROR(INDEX(商品マスタ!$H$6:$H$1005,MATCH($C249,商品マスタ!$B$6:$B$1005,0)),3))</f>
        <v/>
      </c>
      <c r="J249" s="66" t="str">
        <f aca="false">IF($C249="","",MAX(1,IFERROR(INDEX(商品マスタ!$I$6:$I$1005,MATCH($C249,商品マスタ!$B$6:$B$1005,0)),1)))</f>
        <v/>
      </c>
      <c r="K249" s="69" t="str">
        <f aca="false">IF($C249="","",SUMIFS(①今日の在庫を貼る!$N$6:$N$10005,①今日の在庫を貼る!$B$6:$B$10005,'設定（最初に1回）'!$C$4,①今日の在庫を貼る!$I$6:$I$10005,$C249))</f>
        <v/>
      </c>
      <c r="L249" s="69" t="str">
        <f aca="false">IF($C249="","",SUMIFS(月1回_前回の在庫を貼る!$N$6:$N$10005,月1回_前回の在庫を貼る!$B$6:$B$10005,'設定（最初に1回）'!$C$4,月1回_前回の在庫を貼る!$I$6:$I$10005,$C249))</f>
        <v/>
      </c>
      <c r="M249" s="69" t="str">
        <f aca="false">IF($C249="","",IF(OR('設定（最初に1回）'!$C$6="",'設定（最初に1回）'!$C$7=""),0,SUMIFS(発注管理!$S$6:$S$1005,発注管理!$C$6:$C$1005,'設定（最初に1回）'!$C$4,発注管理!$F$6:$F$1005,$C249,発注管理!$R$6:$R$1005,"&gt;="&amp;'設定（最初に1回）'!$C$7,発注管理!$R$6:$R$1005,"&lt;="&amp;'設定（最初に1回）'!$C$6)))</f>
        <v/>
      </c>
      <c r="N249" s="69" t="str">
        <f aca="false">IF(OR($C249="",'設定（最初に1回）'!$C$15=0),"",$L249+$M249-$K249)</f>
        <v/>
      </c>
      <c r="O249" s="143" t="str">
        <f aca="false">IF(OR($N249="",'設定（最初に1回）'!$C$8="",'設定（最初に1回）'!$C$8&lt;=0),"",MAX(0,$N249)/'設定（最初に1回）'!$C$8)</f>
        <v/>
      </c>
      <c r="P249" s="143" t="str">
        <f aca="false">IF($C249="","",IFERROR(INDEX(商品マスタ!$M$6:$N$1005,MATCH($C249,商品マスタ!$B$6:$B$1005,0),MATCH("PI値 "&amp;'設定（最初に1回）'!$C$11,商品マスタ!$M$5:$N$5,0)),""))</f>
        <v/>
      </c>
      <c r="Q249" s="143" t="str">
        <f aca="false">IF(OR($C249="",$P249="",$P249=0,(N($I249)+N($AG249))&lt;=0),"",IFERROR(SUMIFS(随時_動員を入れる!$G$8:$G$97,随時_動員を入れる!$B$8:$B$97,"&gt;="&amp;'設定（最初に1回）'!$C$6,随時_動員を入れる!$B$8:$B$97,"&lt;="&amp;'設定（最初に1回）'!$C$6+(N($I249)+N($AG249))-1)/(N($I249)+N($AG249)),0)*$P249/100)</f>
        <v/>
      </c>
      <c r="R249" s="69" t="str">
        <f aca="false">IF($C249="","",SUMIFS(①今日の在庫を貼る!$O$6:$O$10005,①今日の在庫を貼る!$B$6:$B$10005,'設定（最初に1回）'!$C$4,①今日の在庫を貼る!$I$6:$I$10005,$C249))</f>
        <v/>
      </c>
      <c r="S249" s="143" t="str">
        <f aca="false">IF($C249="","",IF('設定（最初に1回）'!$C$9="実績消費",N($O249),IF('設定（最初に1回）'!$C$9="PI値予測",N($Q249),MAX(N($O249),N($Q249)))))</f>
        <v/>
      </c>
      <c r="T249" s="67" t="str">
        <f aca="false">IF(OR($S249="",$S249&lt;=0),"",$K249/$S249)</f>
        <v/>
      </c>
      <c r="U249" s="69" t="str">
        <f aca="false">IF($S249="","",ROUNDUP(N($S249)*'設定（最初に1回）'!$C$12,0))</f>
        <v/>
      </c>
      <c r="V249" s="69" t="str">
        <f aca="false">IF($C249="","",ROUNDUP(N($S249)*(N($I249)+N($AG249))+N($U249),0))</f>
        <v/>
      </c>
      <c r="W249" s="69" t="str">
        <f aca="false">IF($C249="","",SUMIFS(発注管理!$L$6:$L$1005,発注管理!$C$6:$C$1005,'設定（最初に1回）'!$C$4,発注管理!$F$6:$F$1005,$C249,発注管理!$Q$6:$Q$1005,"発注済"))</f>
        <v/>
      </c>
      <c r="X249" s="69" t="str">
        <f aca="false">IF($C249="","",MAX(0,N($V249)-N($K249)-N($W249)))</f>
        <v/>
      </c>
      <c r="Y249" s="147" t="str">
        <f aca="false">IF($C249="","",IF(N($X249)&lt;=0,0,CEILING($X249/MAX(1,N($G249)),MAX(1,N($J249)))))</f>
        <v/>
      </c>
      <c r="Z249" s="138" t="str">
        <f aca="false">IF($C249="","",IF(N($Y249)&gt;0,"要発注","正常"))</f>
        <v/>
      </c>
      <c r="AA249" s="71" t="str">
        <f aca="false">IF($C249="","",N($K249)*N($H249))</f>
        <v/>
      </c>
      <c r="AB249" s="66" t="str">
        <f aca="false">IF($C249="","",_xlfn.TEXTJOIN(" / ",TRUE(),IF(COUNTIF(商品マスタ!$B$6:$B$1005,$C249)=0,"マスタ未登録",""),IF(COUNTIFS(月1回_前回の在庫を貼る!$B$6:$B$10005,'設定（最初に1回）'!$C$4,月1回_前回の在庫を貼る!$I$6:$I$10005,$C249)=0,"新商品",""),IF(COUNTIFS(①今日の在庫を貼る!$B$6:$B$10005,'設定（最初に1回）'!$C$4,①今日の在庫を貼る!$I$6:$I$10005,$C249)=0,"終売候補",""),IF(N($K249)&lt;0,"在庫マイナス",""),IF(AND('設定（最初に1回）'!$C$9="PI値予測",$P249=""),"PI値未設定","")))</f>
        <v/>
      </c>
      <c r="AC249" s="71" t="n">
        <f aca="false">N($Y249)*N($H249)</f>
        <v>0</v>
      </c>
      <c r="AD249" s="66" t="str">
        <f aca="false">IF($C249="","",IFERROR(INDEX(商品マスタ!$K$6:$K$1005,MATCH($C249,商品マスタ!$B$6:$B$1005,0)),"常温"))</f>
        <v/>
      </c>
      <c r="AE249" s="69" t="str">
        <f aca="false">IF($C249="","",MAX(0,ROUNDUP(N($K249)/MAX(1,N($G249)),0)))</f>
        <v/>
      </c>
      <c r="AF249" s="66" t="str">
        <f aca="false">IF($C249="","",IFERROR(INDEX(商品マスタ!$L$6:$L$1005,MATCH($C249,商品マスタ!$B$6:$B$1005,0)),""))</f>
        <v/>
      </c>
      <c r="AG249" s="143" t="str">
        <f aca="false">IF($C249="","",IFERROR(INDEX(定数マスタ!$S$110:$S$119,MATCH($AF249,定数マスタ!$J$110:$J$119,0)),N('設定（最初に1回）'!$C$13)))</f>
        <v/>
      </c>
      <c r="AH249" s="66" t="n">
        <f aca="false">IF(AND(N($K249)&gt;0,N($Y249)&gt;0),N($Y249),0)</f>
        <v>0</v>
      </c>
    </row>
    <row r="250" customFormat="false" ht="15" hidden="false" customHeight="false" outlineLevel="0" collapsed="false">
      <c r="B250" s="66" t="n">
        <v>245</v>
      </c>
      <c r="C250" s="66" t="str">
        <f aca="false">IFERROR(IF($B250&lt;=MAX(①今日の在庫を貼る!$U$6:$U$10005),INDEX(①今日の在庫を貼る!$I$6:$I$10005,MATCH($B250,①今日の在庫を貼る!$U$6:$U$10005,0)),INDEX(月1回_前回の在庫を貼る!$I$6:$I$10005,MATCH($B250-MAX(①今日の在庫を貼る!$U$6:$U$10005),月1回_前回の在庫を貼る!$U$6:$U$10005,0))),"")</f>
        <v/>
      </c>
      <c r="D250" s="66" t="str">
        <f aca="false">IF($C250="","",IFERROR(INDEX(商品マスタ!$C$6:$C$1005,MATCH($C250,商品マスタ!$B$6:$B$1005,0)),IFERROR(INDEX(①今日の在庫を貼る!$J$6:$J$10005,MATCH($C250,①今日の在庫を貼る!$I$6:$I$10005,0)),IFERROR(INDEX(月1回_前回の在庫を貼る!$J$6:$J$10005,MATCH($C250,月1回_前回の在庫を貼る!$I$6:$I$10005,0)),""))))</f>
        <v/>
      </c>
      <c r="E250" s="66" t="str">
        <f aca="false">IF($C250="","",IFERROR(INDEX(商品マスタ!$D$6:$D$1005,MATCH($C250,商品マスタ!$B$6:$B$1005,0)),IFERROR(INDEX(①今日の在庫を貼る!$H$6:$H$10005,MATCH($C250,①今日の在庫を貼る!$I$6:$I$10005,0)),IFERROR(INDEX(月1回_前回の在庫を貼る!$H$6:$H$10005,MATCH($C250,月1回_前回の在庫を貼る!$I$6:$I$10005,0)),""))))</f>
        <v/>
      </c>
      <c r="F250" s="66" t="str">
        <f aca="false">IF($C250="","",IFERROR(INDEX(商品マスタ!$E$6:$E$1005,MATCH($C250,商品マスタ!$B$6:$B$1005,0)),IFERROR(INDEX(①今日の在庫を貼る!$E$6:$E$10005,MATCH($C250,①今日の在庫を貼る!$I$6:$I$10005,0)),IFERROR(INDEX(月1回_前回の在庫を貼る!$E$6:$E$10005,MATCH($C250,月1回_前回の在庫を貼る!$I$6:$I$10005,0)),""))))</f>
        <v/>
      </c>
      <c r="G250" s="69" t="str">
        <f aca="false">IF($C250="","",IFERROR(INDEX(商品マスタ!$F$6:$F$1005,MATCH($C250,商品マスタ!$B$6:$B$1005,0)),IFERROR(INDEX(①今日の在庫を貼る!$K$6:$K$10005,MATCH($C250,①今日の在庫を貼る!$I$6:$I$10005,0)),IFERROR(INDEX(月1回_前回の在庫を貼る!$K$6:$K$10005,MATCH($C250,月1回_前回の在庫を貼る!$I$6:$I$10005,0)),""))))</f>
        <v/>
      </c>
      <c r="H250" s="71" t="str">
        <f aca="false">IF($C250="","",IFERROR(INDEX(商品マスタ!$G$6:$G$1005,MATCH($C250,商品マスタ!$B$6:$B$1005,0)),IFERROR(INDEX(①今日の在庫を貼る!$Q$6:$Q$10005,MATCH($C250,①今日の在庫を貼る!$I$6:$I$10005,0)),IFERROR(INDEX(月1回_前回の在庫を貼る!$Q$6:$Q$10005,MATCH($C250,月1回_前回の在庫を貼る!$I$6:$I$10005,0)),""))))</f>
        <v/>
      </c>
      <c r="I250" s="66" t="str">
        <f aca="false">IF($C250="","",IFERROR(INDEX(商品マスタ!$H$6:$H$1005,MATCH($C250,商品マスタ!$B$6:$B$1005,0)),3))</f>
        <v/>
      </c>
      <c r="J250" s="66" t="str">
        <f aca="false">IF($C250="","",MAX(1,IFERROR(INDEX(商品マスタ!$I$6:$I$1005,MATCH($C250,商品マスタ!$B$6:$B$1005,0)),1)))</f>
        <v/>
      </c>
      <c r="K250" s="69" t="str">
        <f aca="false">IF($C250="","",SUMIFS(①今日の在庫を貼る!$N$6:$N$10005,①今日の在庫を貼る!$B$6:$B$10005,'設定（最初に1回）'!$C$4,①今日の在庫を貼る!$I$6:$I$10005,$C250))</f>
        <v/>
      </c>
      <c r="L250" s="69" t="str">
        <f aca="false">IF($C250="","",SUMIFS(月1回_前回の在庫を貼る!$N$6:$N$10005,月1回_前回の在庫を貼る!$B$6:$B$10005,'設定（最初に1回）'!$C$4,月1回_前回の在庫を貼る!$I$6:$I$10005,$C250))</f>
        <v/>
      </c>
      <c r="M250" s="69" t="str">
        <f aca="false">IF($C250="","",IF(OR('設定（最初に1回）'!$C$6="",'設定（最初に1回）'!$C$7=""),0,SUMIFS(発注管理!$S$6:$S$1005,発注管理!$C$6:$C$1005,'設定（最初に1回）'!$C$4,発注管理!$F$6:$F$1005,$C250,発注管理!$R$6:$R$1005,"&gt;="&amp;'設定（最初に1回）'!$C$7,発注管理!$R$6:$R$1005,"&lt;="&amp;'設定（最初に1回）'!$C$6)))</f>
        <v/>
      </c>
      <c r="N250" s="69" t="str">
        <f aca="false">IF(OR($C250="",'設定（最初に1回）'!$C$15=0),"",$L250+$M250-$K250)</f>
        <v/>
      </c>
      <c r="O250" s="143" t="str">
        <f aca="false">IF(OR($N250="",'設定（最初に1回）'!$C$8="",'設定（最初に1回）'!$C$8&lt;=0),"",MAX(0,$N250)/'設定（最初に1回）'!$C$8)</f>
        <v/>
      </c>
      <c r="P250" s="143" t="str">
        <f aca="false">IF($C250="","",IFERROR(INDEX(商品マスタ!$M$6:$N$1005,MATCH($C250,商品マスタ!$B$6:$B$1005,0),MATCH("PI値 "&amp;'設定（最初に1回）'!$C$11,商品マスタ!$M$5:$N$5,0)),""))</f>
        <v/>
      </c>
      <c r="Q250" s="143" t="str">
        <f aca="false">IF(OR($C250="",$P250="",$P250=0,(N($I250)+N($AG250))&lt;=0),"",IFERROR(SUMIFS(随時_動員を入れる!$G$8:$G$97,随時_動員を入れる!$B$8:$B$97,"&gt;="&amp;'設定（最初に1回）'!$C$6,随時_動員を入れる!$B$8:$B$97,"&lt;="&amp;'設定（最初に1回）'!$C$6+(N($I250)+N($AG250))-1)/(N($I250)+N($AG250)),0)*$P250/100)</f>
        <v/>
      </c>
      <c r="R250" s="69" t="str">
        <f aca="false">IF($C250="","",SUMIFS(①今日の在庫を貼る!$O$6:$O$10005,①今日の在庫を貼る!$B$6:$B$10005,'設定（最初に1回）'!$C$4,①今日の在庫を貼る!$I$6:$I$10005,$C250))</f>
        <v/>
      </c>
      <c r="S250" s="143" t="str">
        <f aca="false">IF($C250="","",IF('設定（最初に1回）'!$C$9="実績消費",N($O250),IF('設定（最初に1回）'!$C$9="PI値予測",N($Q250),MAX(N($O250),N($Q250)))))</f>
        <v/>
      </c>
      <c r="T250" s="67" t="str">
        <f aca="false">IF(OR($S250="",$S250&lt;=0),"",$K250/$S250)</f>
        <v/>
      </c>
      <c r="U250" s="69" t="str">
        <f aca="false">IF($S250="","",ROUNDUP(N($S250)*'設定（最初に1回）'!$C$12,0))</f>
        <v/>
      </c>
      <c r="V250" s="69" t="str">
        <f aca="false">IF($C250="","",ROUNDUP(N($S250)*(N($I250)+N($AG250))+N($U250),0))</f>
        <v/>
      </c>
      <c r="W250" s="69" t="str">
        <f aca="false">IF($C250="","",SUMIFS(発注管理!$L$6:$L$1005,発注管理!$C$6:$C$1005,'設定（最初に1回）'!$C$4,発注管理!$F$6:$F$1005,$C250,発注管理!$Q$6:$Q$1005,"発注済"))</f>
        <v/>
      </c>
      <c r="X250" s="69" t="str">
        <f aca="false">IF($C250="","",MAX(0,N($V250)-N($K250)-N($W250)))</f>
        <v/>
      </c>
      <c r="Y250" s="147" t="str">
        <f aca="false">IF($C250="","",IF(N($X250)&lt;=0,0,CEILING($X250/MAX(1,N($G250)),MAX(1,N($J250)))))</f>
        <v/>
      </c>
      <c r="Z250" s="138" t="str">
        <f aca="false">IF($C250="","",IF(N($Y250)&gt;0,"要発注","正常"))</f>
        <v/>
      </c>
      <c r="AA250" s="71" t="str">
        <f aca="false">IF($C250="","",N($K250)*N($H250))</f>
        <v/>
      </c>
      <c r="AB250" s="66" t="str">
        <f aca="false">IF($C250="","",_xlfn.TEXTJOIN(" / ",TRUE(),IF(COUNTIF(商品マスタ!$B$6:$B$1005,$C250)=0,"マスタ未登録",""),IF(COUNTIFS(月1回_前回の在庫を貼る!$B$6:$B$10005,'設定（最初に1回）'!$C$4,月1回_前回の在庫を貼る!$I$6:$I$10005,$C250)=0,"新商品",""),IF(COUNTIFS(①今日の在庫を貼る!$B$6:$B$10005,'設定（最初に1回）'!$C$4,①今日の在庫を貼る!$I$6:$I$10005,$C250)=0,"終売候補",""),IF(N($K250)&lt;0,"在庫マイナス",""),IF(AND('設定（最初に1回）'!$C$9="PI値予測",$P250=""),"PI値未設定","")))</f>
        <v/>
      </c>
      <c r="AC250" s="71" t="n">
        <f aca="false">N($Y250)*N($H250)</f>
        <v>0</v>
      </c>
      <c r="AD250" s="66" t="str">
        <f aca="false">IF($C250="","",IFERROR(INDEX(商品マスタ!$K$6:$K$1005,MATCH($C250,商品マスタ!$B$6:$B$1005,0)),"常温"))</f>
        <v/>
      </c>
      <c r="AE250" s="69" t="str">
        <f aca="false">IF($C250="","",MAX(0,ROUNDUP(N($K250)/MAX(1,N($G250)),0)))</f>
        <v/>
      </c>
      <c r="AF250" s="66" t="str">
        <f aca="false">IF($C250="","",IFERROR(INDEX(商品マスタ!$L$6:$L$1005,MATCH($C250,商品マスタ!$B$6:$B$1005,0)),""))</f>
        <v/>
      </c>
      <c r="AG250" s="143" t="str">
        <f aca="false">IF($C250="","",IFERROR(INDEX(定数マスタ!$S$110:$S$119,MATCH($AF250,定数マスタ!$J$110:$J$119,0)),N('設定（最初に1回）'!$C$13)))</f>
        <v/>
      </c>
      <c r="AH250" s="66" t="n">
        <f aca="false">IF(AND(N($K250)&gt;0,N($Y250)&gt;0),N($Y250),0)</f>
        <v>0</v>
      </c>
    </row>
    <row r="251" customFormat="false" ht="15" hidden="false" customHeight="false" outlineLevel="0" collapsed="false">
      <c r="B251" s="66" t="n">
        <v>246</v>
      </c>
      <c r="C251" s="66" t="str">
        <f aca="false">IFERROR(IF($B251&lt;=MAX(①今日の在庫を貼る!$U$6:$U$10005),INDEX(①今日の在庫を貼る!$I$6:$I$10005,MATCH($B251,①今日の在庫を貼る!$U$6:$U$10005,0)),INDEX(月1回_前回の在庫を貼る!$I$6:$I$10005,MATCH($B251-MAX(①今日の在庫を貼る!$U$6:$U$10005),月1回_前回の在庫を貼る!$U$6:$U$10005,0))),"")</f>
        <v/>
      </c>
      <c r="D251" s="66" t="str">
        <f aca="false">IF($C251="","",IFERROR(INDEX(商品マスタ!$C$6:$C$1005,MATCH($C251,商品マスタ!$B$6:$B$1005,0)),IFERROR(INDEX(①今日の在庫を貼る!$J$6:$J$10005,MATCH($C251,①今日の在庫を貼る!$I$6:$I$10005,0)),IFERROR(INDEX(月1回_前回の在庫を貼る!$J$6:$J$10005,MATCH($C251,月1回_前回の在庫を貼る!$I$6:$I$10005,0)),""))))</f>
        <v/>
      </c>
      <c r="E251" s="66" t="str">
        <f aca="false">IF($C251="","",IFERROR(INDEX(商品マスタ!$D$6:$D$1005,MATCH($C251,商品マスタ!$B$6:$B$1005,0)),IFERROR(INDEX(①今日の在庫を貼る!$H$6:$H$10005,MATCH($C251,①今日の在庫を貼る!$I$6:$I$10005,0)),IFERROR(INDEX(月1回_前回の在庫を貼る!$H$6:$H$10005,MATCH($C251,月1回_前回の在庫を貼る!$I$6:$I$10005,0)),""))))</f>
        <v/>
      </c>
      <c r="F251" s="66" t="str">
        <f aca="false">IF($C251="","",IFERROR(INDEX(商品マスタ!$E$6:$E$1005,MATCH($C251,商品マスタ!$B$6:$B$1005,0)),IFERROR(INDEX(①今日の在庫を貼る!$E$6:$E$10005,MATCH($C251,①今日の在庫を貼る!$I$6:$I$10005,0)),IFERROR(INDEX(月1回_前回の在庫を貼る!$E$6:$E$10005,MATCH($C251,月1回_前回の在庫を貼る!$I$6:$I$10005,0)),""))))</f>
        <v/>
      </c>
      <c r="G251" s="69" t="str">
        <f aca="false">IF($C251="","",IFERROR(INDEX(商品マスタ!$F$6:$F$1005,MATCH($C251,商品マスタ!$B$6:$B$1005,0)),IFERROR(INDEX(①今日の在庫を貼る!$K$6:$K$10005,MATCH($C251,①今日の在庫を貼る!$I$6:$I$10005,0)),IFERROR(INDEX(月1回_前回の在庫を貼る!$K$6:$K$10005,MATCH($C251,月1回_前回の在庫を貼る!$I$6:$I$10005,0)),""))))</f>
        <v/>
      </c>
      <c r="H251" s="71" t="str">
        <f aca="false">IF($C251="","",IFERROR(INDEX(商品マスタ!$G$6:$G$1005,MATCH($C251,商品マスタ!$B$6:$B$1005,0)),IFERROR(INDEX(①今日の在庫を貼る!$Q$6:$Q$10005,MATCH($C251,①今日の在庫を貼る!$I$6:$I$10005,0)),IFERROR(INDEX(月1回_前回の在庫を貼る!$Q$6:$Q$10005,MATCH($C251,月1回_前回の在庫を貼る!$I$6:$I$10005,0)),""))))</f>
        <v/>
      </c>
      <c r="I251" s="66" t="str">
        <f aca="false">IF($C251="","",IFERROR(INDEX(商品マスタ!$H$6:$H$1005,MATCH($C251,商品マスタ!$B$6:$B$1005,0)),3))</f>
        <v/>
      </c>
      <c r="J251" s="66" t="str">
        <f aca="false">IF($C251="","",MAX(1,IFERROR(INDEX(商品マスタ!$I$6:$I$1005,MATCH($C251,商品マスタ!$B$6:$B$1005,0)),1)))</f>
        <v/>
      </c>
      <c r="K251" s="69" t="str">
        <f aca="false">IF($C251="","",SUMIFS(①今日の在庫を貼る!$N$6:$N$10005,①今日の在庫を貼る!$B$6:$B$10005,'設定（最初に1回）'!$C$4,①今日の在庫を貼る!$I$6:$I$10005,$C251))</f>
        <v/>
      </c>
      <c r="L251" s="69" t="str">
        <f aca="false">IF($C251="","",SUMIFS(月1回_前回の在庫を貼る!$N$6:$N$10005,月1回_前回の在庫を貼る!$B$6:$B$10005,'設定（最初に1回）'!$C$4,月1回_前回の在庫を貼る!$I$6:$I$10005,$C251))</f>
        <v/>
      </c>
      <c r="M251" s="69" t="str">
        <f aca="false">IF($C251="","",IF(OR('設定（最初に1回）'!$C$6="",'設定（最初に1回）'!$C$7=""),0,SUMIFS(発注管理!$S$6:$S$1005,発注管理!$C$6:$C$1005,'設定（最初に1回）'!$C$4,発注管理!$F$6:$F$1005,$C251,発注管理!$R$6:$R$1005,"&gt;="&amp;'設定（最初に1回）'!$C$7,発注管理!$R$6:$R$1005,"&lt;="&amp;'設定（最初に1回）'!$C$6)))</f>
        <v/>
      </c>
      <c r="N251" s="69" t="str">
        <f aca="false">IF(OR($C251="",'設定（最初に1回）'!$C$15=0),"",$L251+$M251-$K251)</f>
        <v/>
      </c>
      <c r="O251" s="143" t="str">
        <f aca="false">IF(OR($N251="",'設定（最初に1回）'!$C$8="",'設定（最初に1回）'!$C$8&lt;=0),"",MAX(0,$N251)/'設定（最初に1回）'!$C$8)</f>
        <v/>
      </c>
      <c r="P251" s="143" t="str">
        <f aca="false">IF($C251="","",IFERROR(INDEX(商品マスタ!$M$6:$N$1005,MATCH($C251,商品マスタ!$B$6:$B$1005,0),MATCH("PI値 "&amp;'設定（最初に1回）'!$C$11,商品マスタ!$M$5:$N$5,0)),""))</f>
        <v/>
      </c>
      <c r="Q251" s="143" t="str">
        <f aca="false">IF(OR($C251="",$P251="",$P251=0,(N($I251)+N($AG251))&lt;=0),"",IFERROR(SUMIFS(随時_動員を入れる!$G$8:$G$97,随時_動員を入れる!$B$8:$B$97,"&gt;="&amp;'設定（最初に1回）'!$C$6,随時_動員を入れる!$B$8:$B$97,"&lt;="&amp;'設定（最初に1回）'!$C$6+(N($I251)+N($AG251))-1)/(N($I251)+N($AG251)),0)*$P251/100)</f>
        <v/>
      </c>
      <c r="R251" s="69" t="str">
        <f aca="false">IF($C251="","",SUMIFS(①今日の在庫を貼る!$O$6:$O$10005,①今日の在庫を貼る!$B$6:$B$10005,'設定（最初に1回）'!$C$4,①今日の在庫を貼る!$I$6:$I$10005,$C251))</f>
        <v/>
      </c>
      <c r="S251" s="143" t="str">
        <f aca="false">IF($C251="","",IF('設定（最初に1回）'!$C$9="実績消費",N($O251),IF('設定（最初に1回）'!$C$9="PI値予測",N($Q251),MAX(N($O251),N($Q251)))))</f>
        <v/>
      </c>
      <c r="T251" s="67" t="str">
        <f aca="false">IF(OR($S251="",$S251&lt;=0),"",$K251/$S251)</f>
        <v/>
      </c>
      <c r="U251" s="69" t="str">
        <f aca="false">IF($S251="","",ROUNDUP(N($S251)*'設定（最初に1回）'!$C$12,0))</f>
        <v/>
      </c>
      <c r="V251" s="69" t="str">
        <f aca="false">IF($C251="","",ROUNDUP(N($S251)*(N($I251)+N($AG251))+N($U251),0))</f>
        <v/>
      </c>
      <c r="W251" s="69" t="str">
        <f aca="false">IF($C251="","",SUMIFS(発注管理!$L$6:$L$1005,発注管理!$C$6:$C$1005,'設定（最初に1回）'!$C$4,発注管理!$F$6:$F$1005,$C251,発注管理!$Q$6:$Q$1005,"発注済"))</f>
        <v/>
      </c>
      <c r="X251" s="69" t="str">
        <f aca="false">IF($C251="","",MAX(0,N($V251)-N($K251)-N($W251)))</f>
        <v/>
      </c>
      <c r="Y251" s="147" t="str">
        <f aca="false">IF($C251="","",IF(N($X251)&lt;=0,0,CEILING($X251/MAX(1,N($G251)),MAX(1,N($J251)))))</f>
        <v/>
      </c>
      <c r="Z251" s="138" t="str">
        <f aca="false">IF($C251="","",IF(N($Y251)&gt;0,"要発注","正常"))</f>
        <v/>
      </c>
      <c r="AA251" s="71" t="str">
        <f aca="false">IF($C251="","",N($K251)*N($H251))</f>
        <v/>
      </c>
      <c r="AB251" s="66" t="str">
        <f aca="false">IF($C251="","",_xlfn.TEXTJOIN(" / ",TRUE(),IF(COUNTIF(商品マスタ!$B$6:$B$1005,$C251)=0,"マスタ未登録",""),IF(COUNTIFS(月1回_前回の在庫を貼る!$B$6:$B$10005,'設定（最初に1回）'!$C$4,月1回_前回の在庫を貼る!$I$6:$I$10005,$C251)=0,"新商品",""),IF(COUNTIFS(①今日の在庫を貼る!$B$6:$B$10005,'設定（最初に1回）'!$C$4,①今日の在庫を貼る!$I$6:$I$10005,$C251)=0,"終売候補",""),IF(N($K251)&lt;0,"在庫マイナス",""),IF(AND('設定（最初に1回）'!$C$9="PI値予測",$P251=""),"PI値未設定","")))</f>
        <v/>
      </c>
      <c r="AC251" s="71" t="n">
        <f aca="false">N($Y251)*N($H251)</f>
        <v>0</v>
      </c>
      <c r="AD251" s="66" t="str">
        <f aca="false">IF($C251="","",IFERROR(INDEX(商品マスタ!$K$6:$K$1005,MATCH($C251,商品マスタ!$B$6:$B$1005,0)),"常温"))</f>
        <v/>
      </c>
      <c r="AE251" s="69" t="str">
        <f aca="false">IF($C251="","",MAX(0,ROUNDUP(N($K251)/MAX(1,N($G251)),0)))</f>
        <v/>
      </c>
      <c r="AF251" s="66" t="str">
        <f aca="false">IF($C251="","",IFERROR(INDEX(商品マスタ!$L$6:$L$1005,MATCH($C251,商品マスタ!$B$6:$B$1005,0)),""))</f>
        <v/>
      </c>
      <c r="AG251" s="143" t="str">
        <f aca="false">IF($C251="","",IFERROR(INDEX(定数マスタ!$S$110:$S$119,MATCH($AF251,定数マスタ!$J$110:$J$119,0)),N('設定（最初に1回）'!$C$13)))</f>
        <v/>
      </c>
      <c r="AH251" s="66" t="n">
        <f aca="false">IF(AND(N($K251)&gt;0,N($Y251)&gt;0),N($Y251),0)</f>
        <v>0</v>
      </c>
    </row>
    <row r="252" customFormat="false" ht="15" hidden="false" customHeight="false" outlineLevel="0" collapsed="false">
      <c r="B252" s="66" t="n">
        <v>247</v>
      </c>
      <c r="C252" s="66" t="str">
        <f aca="false">IFERROR(IF($B252&lt;=MAX(①今日の在庫を貼る!$U$6:$U$10005),INDEX(①今日の在庫を貼る!$I$6:$I$10005,MATCH($B252,①今日の在庫を貼る!$U$6:$U$10005,0)),INDEX(月1回_前回の在庫を貼る!$I$6:$I$10005,MATCH($B252-MAX(①今日の在庫を貼る!$U$6:$U$10005),月1回_前回の在庫を貼る!$U$6:$U$10005,0))),"")</f>
        <v/>
      </c>
      <c r="D252" s="66" t="str">
        <f aca="false">IF($C252="","",IFERROR(INDEX(商品マスタ!$C$6:$C$1005,MATCH($C252,商品マスタ!$B$6:$B$1005,0)),IFERROR(INDEX(①今日の在庫を貼る!$J$6:$J$10005,MATCH($C252,①今日の在庫を貼る!$I$6:$I$10005,0)),IFERROR(INDEX(月1回_前回の在庫を貼る!$J$6:$J$10005,MATCH($C252,月1回_前回の在庫を貼る!$I$6:$I$10005,0)),""))))</f>
        <v/>
      </c>
      <c r="E252" s="66" t="str">
        <f aca="false">IF($C252="","",IFERROR(INDEX(商品マスタ!$D$6:$D$1005,MATCH($C252,商品マスタ!$B$6:$B$1005,0)),IFERROR(INDEX(①今日の在庫を貼る!$H$6:$H$10005,MATCH($C252,①今日の在庫を貼る!$I$6:$I$10005,0)),IFERROR(INDEX(月1回_前回の在庫を貼る!$H$6:$H$10005,MATCH($C252,月1回_前回の在庫を貼る!$I$6:$I$10005,0)),""))))</f>
        <v/>
      </c>
      <c r="F252" s="66" t="str">
        <f aca="false">IF($C252="","",IFERROR(INDEX(商品マスタ!$E$6:$E$1005,MATCH($C252,商品マスタ!$B$6:$B$1005,0)),IFERROR(INDEX(①今日の在庫を貼る!$E$6:$E$10005,MATCH($C252,①今日の在庫を貼る!$I$6:$I$10005,0)),IFERROR(INDEX(月1回_前回の在庫を貼る!$E$6:$E$10005,MATCH($C252,月1回_前回の在庫を貼る!$I$6:$I$10005,0)),""))))</f>
        <v/>
      </c>
      <c r="G252" s="69" t="str">
        <f aca="false">IF($C252="","",IFERROR(INDEX(商品マスタ!$F$6:$F$1005,MATCH($C252,商品マスタ!$B$6:$B$1005,0)),IFERROR(INDEX(①今日の在庫を貼る!$K$6:$K$10005,MATCH($C252,①今日の在庫を貼る!$I$6:$I$10005,0)),IFERROR(INDEX(月1回_前回の在庫を貼る!$K$6:$K$10005,MATCH($C252,月1回_前回の在庫を貼る!$I$6:$I$10005,0)),""))))</f>
        <v/>
      </c>
      <c r="H252" s="71" t="str">
        <f aca="false">IF($C252="","",IFERROR(INDEX(商品マスタ!$G$6:$G$1005,MATCH($C252,商品マスタ!$B$6:$B$1005,0)),IFERROR(INDEX(①今日の在庫を貼る!$Q$6:$Q$10005,MATCH($C252,①今日の在庫を貼る!$I$6:$I$10005,0)),IFERROR(INDEX(月1回_前回の在庫を貼る!$Q$6:$Q$10005,MATCH($C252,月1回_前回の在庫を貼る!$I$6:$I$10005,0)),""))))</f>
        <v/>
      </c>
      <c r="I252" s="66" t="str">
        <f aca="false">IF($C252="","",IFERROR(INDEX(商品マスタ!$H$6:$H$1005,MATCH($C252,商品マスタ!$B$6:$B$1005,0)),3))</f>
        <v/>
      </c>
      <c r="J252" s="66" t="str">
        <f aca="false">IF($C252="","",MAX(1,IFERROR(INDEX(商品マスタ!$I$6:$I$1005,MATCH($C252,商品マスタ!$B$6:$B$1005,0)),1)))</f>
        <v/>
      </c>
      <c r="K252" s="69" t="str">
        <f aca="false">IF($C252="","",SUMIFS(①今日の在庫を貼る!$N$6:$N$10005,①今日の在庫を貼る!$B$6:$B$10005,'設定（最初に1回）'!$C$4,①今日の在庫を貼る!$I$6:$I$10005,$C252))</f>
        <v/>
      </c>
      <c r="L252" s="69" t="str">
        <f aca="false">IF($C252="","",SUMIFS(月1回_前回の在庫を貼る!$N$6:$N$10005,月1回_前回の在庫を貼る!$B$6:$B$10005,'設定（最初に1回）'!$C$4,月1回_前回の在庫を貼る!$I$6:$I$10005,$C252))</f>
        <v/>
      </c>
      <c r="M252" s="69" t="str">
        <f aca="false">IF($C252="","",IF(OR('設定（最初に1回）'!$C$6="",'設定（最初に1回）'!$C$7=""),0,SUMIFS(発注管理!$S$6:$S$1005,発注管理!$C$6:$C$1005,'設定（最初に1回）'!$C$4,発注管理!$F$6:$F$1005,$C252,発注管理!$R$6:$R$1005,"&gt;="&amp;'設定（最初に1回）'!$C$7,発注管理!$R$6:$R$1005,"&lt;="&amp;'設定（最初に1回）'!$C$6)))</f>
        <v/>
      </c>
      <c r="N252" s="69" t="str">
        <f aca="false">IF(OR($C252="",'設定（最初に1回）'!$C$15=0),"",$L252+$M252-$K252)</f>
        <v/>
      </c>
      <c r="O252" s="143" t="str">
        <f aca="false">IF(OR($N252="",'設定（最初に1回）'!$C$8="",'設定（最初に1回）'!$C$8&lt;=0),"",MAX(0,$N252)/'設定（最初に1回）'!$C$8)</f>
        <v/>
      </c>
      <c r="P252" s="143" t="str">
        <f aca="false">IF($C252="","",IFERROR(INDEX(商品マスタ!$M$6:$N$1005,MATCH($C252,商品マスタ!$B$6:$B$1005,0),MATCH("PI値 "&amp;'設定（最初に1回）'!$C$11,商品マスタ!$M$5:$N$5,0)),""))</f>
        <v/>
      </c>
      <c r="Q252" s="143" t="str">
        <f aca="false">IF(OR($C252="",$P252="",$P252=0,(N($I252)+N($AG252))&lt;=0),"",IFERROR(SUMIFS(随時_動員を入れる!$G$8:$G$97,随時_動員を入れる!$B$8:$B$97,"&gt;="&amp;'設定（最初に1回）'!$C$6,随時_動員を入れる!$B$8:$B$97,"&lt;="&amp;'設定（最初に1回）'!$C$6+(N($I252)+N($AG252))-1)/(N($I252)+N($AG252)),0)*$P252/100)</f>
        <v/>
      </c>
      <c r="R252" s="69" t="str">
        <f aca="false">IF($C252="","",SUMIFS(①今日の在庫を貼る!$O$6:$O$10005,①今日の在庫を貼る!$B$6:$B$10005,'設定（最初に1回）'!$C$4,①今日の在庫を貼る!$I$6:$I$10005,$C252))</f>
        <v/>
      </c>
      <c r="S252" s="143" t="str">
        <f aca="false">IF($C252="","",IF('設定（最初に1回）'!$C$9="実績消費",N($O252),IF('設定（最初に1回）'!$C$9="PI値予測",N($Q252),MAX(N($O252),N($Q252)))))</f>
        <v/>
      </c>
      <c r="T252" s="67" t="str">
        <f aca="false">IF(OR($S252="",$S252&lt;=0),"",$K252/$S252)</f>
        <v/>
      </c>
      <c r="U252" s="69" t="str">
        <f aca="false">IF($S252="","",ROUNDUP(N($S252)*'設定（最初に1回）'!$C$12,0))</f>
        <v/>
      </c>
      <c r="V252" s="69" t="str">
        <f aca="false">IF($C252="","",ROUNDUP(N($S252)*(N($I252)+N($AG252))+N($U252),0))</f>
        <v/>
      </c>
      <c r="W252" s="69" t="str">
        <f aca="false">IF($C252="","",SUMIFS(発注管理!$L$6:$L$1005,発注管理!$C$6:$C$1005,'設定（最初に1回）'!$C$4,発注管理!$F$6:$F$1005,$C252,発注管理!$Q$6:$Q$1005,"発注済"))</f>
        <v/>
      </c>
      <c r="X252" s="69" t="str">
        <f aca="false">IF($C252="","",MAX(0,N($V252)-N($K252)-N($W252)))</f>
        <v/>
      </c>
      <c r="Y252" s="147" t="str">
        <f aca="false">IF($C252="","",IF(N($X252)&lt;=0,0,CEILING($X252/MAX(1,N($G252)),MAX(1,N($J252)))))</f>
        <v/>
      </c>
      <c r="Z252" s="138" t="str">
        <f aca="false">IF($C252="","",IF(N($Y252)&gt;0,"要発注","正常"))</f>
        <v/>
      </c>
      <c r="AA252" s="71" t="str">
        <f aca="false">IF($C252="","",N($K252)*N($H252))</f>
        <v/>
      </c>
      <c r="AB252" s="66" t="str">
        <f aca="false">IF($C252="","",_xlfn.TEXTJOIN(" / ",TRUE(),IF(COUNTIF(商品マスタ!$B$6:$B$1005,$C252)=0,"マスタ未登録",""),IF(COUNTIFS(月1回_前回の在庫を貼る!$B$6:$B$10005,'設定（最初に1回）'!$C$4,月1回_前回の在庫を貼る!$I$6:$I$10005,$C252)=0,"新商品",""),IF(COUNTIFS(①今日の在庫を貼る!$B$6:$B$10005,'設定（最初に1回）'!$C$4,①今日の在庫を貼る!$I$6:$I$10005,$C252)=0,"終売候補",""),IF(N($K252)&lt;0,"在庫マイナス",""),IF(AND('設定（最初に1回）'!$C$9="PI値予測",$P252=""),"PI値未設定","")))</f>
        <v/>
      </c>
      <c r="AC252" s="71" t="n">
        <f aca="false">N($Y252)*N($H252)</f>
        <v>0</v>
      </c>
      <c r="AD252" s="66" t="str">
        <f aca="false">IF($C252="","",IFERROR(INDEX(商品マスタ!$K$6:$K$1005,MATCH($C252,商品マスタ!$B$6:$B$1005,0)),"常温"))</f>
        <v/>
      </c>
      <c r="AE252" s="69" t="str">
        <f aca="false">IF($C252="","",MAX(0,ROUNDUP(N($K252)/MAX(1,N($G252)),0)))</f>
        <v/>
      </c>
      <c r="AF252" s="66" t="str">
        <f aca="false">IF($C252="","",IFERROR(INDEX(商品マスタ!$L$6:$L$1005,MATCH($C252,商品マスタ!$B$6:$B$1005,0)),""))</f>
        <v/>
      </c>
      <c r="AG252" s="143" t="str">
        <f aca="false">IF($C252="","",IFERROR(INDEX(定数マスタ!$S$110:$S$119,MATCH($AF252,定数マスタ!$J$110:$J$119,0)),N('設定（最初に1回）'!$C$13)))</f>
        <v/>
      </c>
      <c r="AH252" s="66" t="n">
        <f aca="false">IF(AND(N($K252)&gt;0,N($Y252)&gt;0),N($Y252),0)</f>
        <v>0</v>
      </c>
    </row>
    <row r="253" customFormat="false" ht="15" hidden="false" customHeight="false" outlineLevel="0" collapsed="false">
      <c r="B253" s="66" t="n">
        <v>248</v>
      </c>
      <c r="C253" s="66" t="str">
        <f aca="false">IFERROR(IF($B253&lt;=MAX(①今日の在庫を貼る!$U$6:$U$10005),INDEX(①今日の在庫を貼る!$I$6:$I$10005,MATCH($B253,①今日の在庫を貼る!$U$6:$U$10005,0)),INDEX(月1回_前回の在庫を貼る!$I$6:$I$10005,MATCH($B253-MAX(①今日の在庫を貼る!$U$6:$U$10005),月1回_前回の在庫を貼る!$U$6:$U$10005,0))),"")</f>
        <v/>
      </c>
      <c r="D253" s="66" t="str">
        <f aca="false">IF($C253="","",IFERROR(INDEX(商品マスタ!$C$6:$C$1005,MATCH($C253,商品マスタ!$B$6:$B$1005,0)),IFERROR(INDEX(①今日の在庫を貼る!$J$6:$J$10005,MATCH($C253,①今日の在庫を貼る!$I$6:$I$10005,0)),IFERROR(INDEX(月1回_前回の在庫を貼る!$J$6:$J$10005,MATCH($C253,月1回_前回の在庫を貼る!$I$6:$I$10005,0)),""))))</f>
        <v/>
      </c>
      <c r="E253" s="66" t="str">
        <f aca="false">IF($C253="","",IFERROR(INDEX(商品マスタ!$D$6:$D$1005,MATCH($C253,商品マスタ!$B$6:$B$1005,0)),IFERROR(INDEX(①今日の在庫を貼る!$H$6:$H$10005,MATCH($C253,①今日の在庫を貼る!$I$6:$I$10005,0)),IFERROR(INDEX(月1回_前回の在庫を貼る!$H$6:$H$10005,MATCH($C253,月1回_前回の在庫を貼る!$I$6:$I$10005,0)),""))))</f>
        <v/>
      </c>
      <c r="F253" s="66" t="str">
        <f aca="false">IF($C253="","",IFERROR(INDEX(商品マスタ!$E$6:$E$1005,MATCH($C253,商品マスタ!$B$6:$B$1005,0)),IFERROR(INDEX(①今日の在庫を貼る!$E$6:$E$10005,MATCH($C253,①今日の在庫を貼る!$I$6:$I$10005,0)),IFERROR(INDEX(月1回_前回の在庫を貼る!$E$6:$E$10005,MATCH($C253,月1回_前回の在庫を貼る!$I$6:$I$10005,0)),""))))</f>
        <v/>
      </c>
      <c r="G253" s="69" t="str">
        <f aca="false">IF($C253="","",IFERROR(INDEX(商品マスタ!$F$6:$F$1005,MATCH($C253,商品マスタ!$B$6:$B$1005,0)),IFERROR(INDEX(①今日の在庫を貼る!$K$6:$K$10005,MATCH($C253,①今日の在庫を貼る!$I$6:$I$10005,0)),IFERROR(INDEX(月1回_前回の在庫を貼る!$K$6:$K$10005,MATCH($C253,月1回_前回の在庫を貼る!$I$6:$I$10005,0)),""))))</f>
        <v/>
      </c>
      <c r="H253" s="71" t="str">
        <f aca="false">IF($C253="","",IFERROR(INDEX(商品マスタ!$G$6:$G$1005,MATCH($C253,商品マスタ!$B$6:$B$1005,0)),IFERROR(INDEX(①今日の在庫を貼る!$Q$6:$Q$10005,MATCH($C253,①今日の在庫を貼る!$I$6:$I$10005,0)),IFERROR(INDEX(月1回_前回の在庫を貼る!$Q$6:$Q$10005,MATCH($C253,月1回_前回の在庫を貼る!$I$6:$I$10005,0)),""))))</f>
        <v/>
      </c>
      <c r="I253" s="66" t="str">
        <f aca="false">IF($C253="","",IFERROR(INDEX(商品マスタ!$H$6:$H$1005,MATCH($C253,商品マスタ!$B$6:$B$1005,0)),3))</f>
        <v/>
      </c>
      <c r="J253" s="66" t="str">
        <f aca="false">IF($C253="","",MAX(1,IFERROR(INDEX(商品マスタ!$I$6:$I$1005,MATCH($C253,商品マスタ!$B$6:$B$1005,0)),1)))</f>
        <v/>
      </c>
      <c r="K253" s="69" t="str">
        <f aca="false">IF($C253="","",SUMIFS(①今日の在庫を貼る!$N$6:$N$10005,①今日の在庫を貼る!$B$6:$B$10005,'設定（最初に1回）'!$C$4,①今日の在庫を貼る!$I$6:$I$10005,$C253))</f>
        <v/>
      </c>
      <c r="L253" s="69" t="str">
        <f aca="false">IF($C253="","",SUMIFS(月1回_前回の在庫を貼る!$N$6:$N$10005,月1回_前回の在庫を貼る!$B$6:$B$10005,'設定（最初に1回）'!$C$4,月1回_前回の在庫を貼る!$I$6:$I$10005,$C253))</f>
        <v/>
      </c>
      <c r="M253" s="69" t="str">
        <f aca="false">IF($C253="","",IF(OR('設定（最初に1回）'!$C$6="",'設定（最初に1回）'!$C$7=""),0,SUMIFS(発注管理!$S$6:$S$1005,発注管理!$C$6:$C$1005,'設定（最初に1回）'!$C$4,発注管理!$F$6:$F$1005,$C253,発注管理!$R$6:$R$1005,"&gt;="&amp;'設定（最初に1回）'!$C$7,発注管理!$R$6:$R$1005,"&lt;="&amp;'設定（最初に1回）'!$C$6)))</f>
        <v/>
      </c>
      <c r="N253" s="69" t="str">
        <f aca="false">IF(OR($C253="",'設定（最初に1回）'!$C$15=0),"",$L253+$M253-$K253)</f>
        <v/>
      </c>
      <c r="O253" s="143" t="str">
        <f aca="false">IF(OR($N253="",'設定（最初に1回）'!$C$8="",'設定（最初に1回）'!$C$8&lt;=0),"",MAX(0,$N253)/'設定（最初に1回）'!$C$8)</f>
        <v/>
      </c>
      <c r="P253" s="143" t="str">
        <f aca="false">IF($C253="","",IFERROR(INDEX(商品マスタ!$M$6:$N$1005,MATCH($C253,商品マスタ!$B$6:$B$1005,0),MATCH("PI値 "&amp;'設定（最初に1回）'!$C$11,商品マスタ!$M$5:$N$5,0)),""))</f>
        <v/>
      </c>
      <c r="Q253" s="143" t="str">
        <f aca="false">IF(OR($C253="",$P253="",$P253=0,(N($I253)+N($AG253))&lt;=0),"",IFERROR(SUMIFS(随時_動員を入れる!$G$8:$G$97,随時_動員を入れる!$B$8:$B$97,"&gt;="&amp;'設定（最初に1回）'!$C$6,随時_動員を入れる!$B$8:$B$97,"&lt;="&amp;'設定（最初に1回）'!$C$6+(N($I253)+N($AG253))-1)/(N($I253)+N($AG253)),0)*$P253/100)</f>
        <v/>
      </c>
      <c r="R253" s="69" t="str">
        <f aca="false">IF($C253="","",SUMIFS(①今日の在庫を貼る!$O$6:$O$10005,①今日の在庫を貼る!$B$6:$B$10005,'設定（最初に1回）'!$C$4,①今日の在庫を貼る!$I$6:$I$10005,$C253))</f>
        <v/>
      </c>
      <c r="S253" s="143" t="str">
        <f aca="false">IF($C253="","",IF('設定（最初に1回）'!$C$9="実績消費",N($O253),IF('設定（最初に1回）'!$C$9="PI値予測",N($Q253),MAX(N($O253),N($Q253)))))</f>
        <v/>
      </c>
      <c r="T253" s="67" t="str">
        <f aca="false">IF(OR($S253="",$S253&lt;=0),"",$K253/$S253)</f>
        <v/>
      </c>
      <c r="U253" s="69" t="str">
        <f aca="false">IF($S253="","",ROUNDUP(N($S253)*'設定（最初に1回）'!$C$12,0))</f>
        <v/>
      </c>
      <c r="V253" s="69" t="str">
        <f aca="false">IF($C253="","",ROUNDUP(N($S253)*(N($I253)+N($AG253))+N($U253),0))</f>
        <v/>
      </c>
      <c r="W253" s="69" t="str">
        <f aca="false">IF($C253="","",SUMIFS(発注管理!$L$6:$L$1005,発注管理!$C$6:$C$1005,'設定（最初に1回）'!$C$4,発注管理!$F$6:$F$1005,$C253,発注管理!$Q$6:$Q$1005,"発注済"))</f>
        <v/>
      </c>
      <c r="X253" s="69" t="str">
        <f aca="false">IF($C253="","",MAX(0,N($V253)-N($K253)-N($W253)))</f>
        <v/>
      </c>
      <c r="Y253" s="147" t="str">
        <f aca="false">IF($C253="","",IF(N($X253)&lt;=0,0,CEILING($X253/MAX(1,N($G253)),MAX(1,N($J253)))))</f>
        <v/>
      </c>
      <c r="Z253" s="138" t="str">
        <f aca="false">IF($C253="","",IF(N($Y253)&gt;0,"要発注","正常"))</f>
        <v/>
      </c>
      <c r="AA253" s="71" t="str">
        <f aca="false">IF($C253="","",N($K253)*N($H253))</f>
        <v/>
      </c>
      <c r="AB253" s="66" t="str">
        <f aca="false">IF($C253="","",_xlfn.TEXTJOIN(" / ",TRUE(),IF(COUNTIF(商品マスタ!$B$6:$B$1005,$C253)=0,"マスタ未登録",""),IF(COUNTIFS(月1回_前回の在庫を貼る!$B$6:$B$10005,'設定（最初に1回）'!$C$4,月1回_前回の在庫を貼る!$I$6:$I$10005,$C253)=0,"新商品",""),IF(COUNTIFS(①今日の在庫を貼る!$B$6:$B$10005,'設定（最初に1回）'!$C$4,①今日の在庫を貼る!$I$6:$I$10005,$C253)=0,"終売候補",""),IF(N($K253)&lt;0,"在庫マイナス",""),IF(AND('設定（最初に1回）'!$C$9="PI値予測",$P253=""),"PI値未設定","")))</f>
        <v/>
      </c>
      <c r="AC253" s="71" t="n">
        <f aca="false">N($Y253)*N($H253)</f>
        <v>0</v>
      </c>
      <c r="AD253" s="66" t="str">
        <f aca="false">IF($C253="","",IFERROR(INDEX(商品マスタ!$K$6:$K$1005,MATCH($C253,商品マスタ!$B$6:$B$1005,0)),"常温"))</f>
        <v/>
      </c>
      <c r="AE253" s="69" t="str">
        <f aca="false">IF($C253="","",MAX(0,ROUNDUP(N($K253)/MAX(1,N($G253)),0)))</f>
        <v/>
      </c>
      <c r="AF253" s="66" t="str">
        <f aca="false">IF($C253="","",IFERROR(INDEX(商品マスタ!$L$6:$L$1005,MATCH($C253,商品マスタ!$B$6:$B$1005,0)),""))</f>
        <v/>
      </c>
      <c r="AG253" s="143" t="str">
        <f aca="false">IF($C253="","",IFERROR(INDEX(定数マスタ!$S$110:$S$119,MATCH($AF253,定数マスタ!$J$110:$J$119,0)),N('設定（最初に1回）'!$C$13)))</f>
        <v/>
      </c>
      <c r="AH253" s="66" t="n">
        <f aca="false">IF(AND(N($K253)&gt;0,N($Y253)&gt;0),N($Y253),0)</f>
        <v>0</v>
      </c>
    </row>
    <row r="254" customFormat="false" ht="15" hidden="false" customHeight="false" outlineLevel="0" collapsed="false">
      <c r="B254" s="66" t="n">
        <v>249</v>
      </c>
      <c r="C254" s="66" t="str">
        <f aca="false">IFERROR(IF($B254&lt;=MAX(①今日の在庫を貼る!$U$6:$U$10005),INDEX(①今日の在庫を貼る!$I$6:$I$10005,MATCH($B254,①今日の在庫を貼る!$U$6:$U$10005,0)),INDEX(月1回_前回の在庫を貼る!$I$6:$I$10005,MATCH($B254-MAX(①今日の在庫を貼る!$U$6:$U$10005),月1回_前回の在庫を貼る!$U$6:$U$10005,0))),"")</f>
        <v/>
      </c>
      <c r="D254" s="66" t="str">
        <f aca="false">IF($C254="","",IFERROR(INDEX(商品マスタ!$C$6:$C$1005,MATCH($C254,商品マスタ!$B$6:$B$1005,0)),IFERROR(INDEX(①今日の在庫を貼る!$J$6:$J$10005,MATCH($C254,①今日の在庫を貼る!$I$6:$I$10005,0)),IFERROR(INDEX(月1回_前回の在庫を貼る!$J$6:$J$10005,MATCH($C254,月1回_前回の在庫を貼る!$I$6:$I$10005,0)),""))))</f>
        <v/>
      </c>
      <c r="E254" s="66" t="str">
        <f aca="false">IF($C254="","",IFERROR(INDEX(商品マスタ!$D$6:$D$1005,MATCH($C254,商品マスタ!$B$6:$B$1005,0)),IFERROR(INDEX(①今日の在庫を貼る!$H$6:$H$10005,MATCH($C254,①今日の在庫を貼る!$I$6:$I$10005,0)),IFERROR(INDEX(月1回_前回の在庫を貼る!$H$6:$H$10005,MATCH($C254,月1回_前回の在庫を貼る!$I$6:$I$10005,0)),""))))</f>
        <v/>
      </c>
      <c r="F254" s="66" t="str">
        <f aca="false">IF($C254="","",IFERROR(INDEX(商品マスタ!$E$6:$E$1005,MATCH($C254,商品マスタ!$B$6:$B$1005,0)),IFERROR(INDEX(①今日の在庫を貼る!$E$6:$E$10005,MATCH($C254,①今日の在庫を貼る!$I$6:$I$10005,0)),IFERROR(INDEX(月1回_前回の在庫を貼る!$E$6:$E$10005,MATCH($C254,月1回_前回の在庫を貼る!$I$6:$I$10005,0)),""))))</f>
        <v/>
      </c>
      <c r="G254" s="69" t="str">
        <f aca="false">IF($C254="","",IFERROR(INDEX(商品マスタ!$F$6:$F$1005,MATCH($C254,商品マスタ!$B$6:$B$1005,0)),IFERROR(INDEX(①今日の在庫を貼る!$K$6:$K$10005,MATCH($C254,①今日の在庫を貼る!$I$6:$I$10005,0)),IFERROR(INDEX(月1回_前回の在庫を貼る!$K$6:$K$10005,MATCH($C254,月1回_前回の在庫を貼る!$I$6:$I$10005,0)),""))))</f>
        <v/>
      </c>
      <c r="H254" s="71" t="str">
        <f aca="false">IF($C254="","",IFERROR(INDEX(商品マスタ!$G$6:$G$1005,MATCH($C254,商品マスタ!$B$6:$B$1005,0)),IFERROR(INDEX(①今日の在庫を貼る!$Q$6:$Q$10005,MATCH($C254,①今日の在庫を貼る!$I$6:$I$10005,0)),IFERROR(INDEX(月1回_前回の在庫を貼る!$Q$6:$Q$10005,MATCH($C254,月1回_前回の在庫を貼る!$I$6:$I$10005,0)),""))))</f>
        <v/>
      </c>
      <c r="I254" s="66" t="str">
        <f aca="false">IF($C254="","",IFERROR(INDEX(商品マスタ!$H$6:$H$1005,MATCH($C254,商品マスタ!$B$6:$B$1005,0)),3))</f>
        <v/>
      </c>
      <c r="J254" s="66" t="str">
        <f aca="false">IF($C254="","",MAX(1,IFERROR(INDEX(商品マスタ!$I$6:$I$1005,MATCH($C254,商品マスタ!$B$6:$B$1005,0)),1)))</f>
        <v/>
      </c>
      <c r="K254" s="69" t="str">
        <f aca="false">IF($C254="","",SUMIFS(①今日の在庫を貼る!$N$6:$N$10005,①今日の在庫を貼る!$B$6:$B$10005,'設定（最初に1回）'!$C$4,①今日の在庫を貼る!$I$6:$I$10005,$C254))</f>
        <v/>
      </c>
      <c r="L254" s="69" t="str">
        <f aca="false">IF($C254="","",SUMIFS(月1回_前回の在庫を貼る!$N$6:$N$10005,月1回_前回の在庫を貼る!$B$6:$B$10005,'設定（最初に1回）'!$C$4,月1回_前回の在庫を貼る!$I$6:$I$10005,$C254))</f>
        <v/>
      </c>
      <c r="M254" s="69" t="str">
        <f aca="false">IF($C254="","",IF(OR('設定（最初に1回）'!$C$6="",'設定（最初に1回）'!$C$7=""),0,SUMIFS(発注管理!$S$6:$S$1005,発注管理!$C$6:$C$1005,'設定（最初に1回）'!$C$4,発注管理!$F$6:$F$1005,$C254,発注管理!$R$6:$R$1005,"&gt;="&amp;'設定（最初に1回）'!$C$7,発注管理!$R$6:$R$1005,"&lt;="&amp;'設定（最初に1回）'!$C$6)))</f>
        <v/>
      </c>
      <c r="N254" s="69" t="str">
        <f aca="false">IF(OR($C254="",'設定（最初に1回）'!$C$15=0),"",$L254+$M254-$K254)</f>
        <v/>
      </c>
      <c r="O254" s="143" t="str">
        <f aca="false">IF(OR($N254="",'設定（最初に1回）'!$C$8="",'設定（最初に1回）'!$C$8&lt;=0),"",MAX(0,$N254)/'設定（最初に1回）'!$C$8)</f>
        <v/>
      </c>
      <c r="P254" s="143" t="str">
        <f aca="false">IF($C254="","",IFERROR(INDEX(商品マスタ!$M$6:$N$1005,MATCH($C254,商品マスタ!$B$6:$B$1005,0),MATCH("PI値 "&amp;'設定（最初に1回）'!$C$11,商品マスタ!$M$5:$N$5,0)),""))</f>
        <v/>
      </c>
      <c r="Q254" s="143" t="str">
        <f aca="false">IF(OR($C254="",$P254="",$P254=0,(N($I254)+N($AG254))&lt;=0),"",IFERROR(SUMIFS(随時_動員を入れる!$G$8:$G$97,随時_動員を入れる!$B$8:$B$97,"&gt;="&amp;'設定（最初に1回）'!$C$6,随時_動員を入れる!$B$8:$B$97,"&lt;="&amp;'設定（最初に1回）'!$C$6+(N($I254)+N($AG254))-1)/(N($I254)+N($AG254)),0)*$P254/100)</f>
        <v/>
      </c>
      <c r="R254" s="69" t="str">
        <f aca="false">IF($C254="","",SUMIFS(①今日の在庫を貼る!$O$6:$O$10005,①今日の在庫を貼る!$B$6:$B$10005,'設定（最初に1回）'!$C$4,①今日の在庫を貼る!$I$6:$I$10005,$C254))</f>
        <v/>
      </c>
      <c r="S254" s="143" t="str">
        <f aca="false">IF($C254="","",IF('設定（最初に1回）'!$C$9="実績消費",N($O254),IF('設定（最初に1回）'!$C$9="PI値予測",N($Q254),MAX(N($O254),N($Q254)))))</f>
        <v/>
      </c>
      <c r="T254" s="67" t="str">
        <f aca="false">IF(OR($S254="",$S254&lt;=0),"",$K254/$S254)</f>
        <v/>
      </c>
      <c r="U254" s="69" t="str">
        <f aca="false">IF($S254="","",ROUNDUP(N($S254)*'設定（最初に1回）'!$C$12,0))</f>
        <v/>
      </c>
      <c r="V254" s="69" t="str">
        <f aca="false">IF($C254="","",ROUNDUP(N($S254)*(N($I254)+N($AG254))+N($U254),0))</f>
        <v/>
      </c>
      <c r="W254" s="69" t="str">
        <f aca="false">IF($C254="","",SUMIFS(発注管理!$L$6:$L$1005,発注管理!$C$6:$C$1005,'設定（最初に1回）'!$C$4,発注管理!$F$6:$F$1005,$C254,発注管理!$Q$6:$Q$1005,"発注済"))</f>
        <v/>
      </c>
      <c r="X254" s="69" t="str">
        <f aca="false">IF($C254="","",MAX(0,N($V254)-N($K254)-N($W254)))</f>
        <v/>
      </c>
      <c r="Y254" s="147" t="str">
        <f aca="false">IF($C254="","",IF(N($X254)&lt;=0,0,CEILING($X254/MAX(1,N($G254)),MAX(1,N($J254)))))</f>
        <v/>
      </c>
      <c r="Z254" s="138" t="str">
        <f aca="false">IF($C254="","",IF(N($Y254)&gt;0,"要発注","正常"))</f>
        <v/>
      </c>
      <c r="AA254" s="71" t="str">
        <f aca="false">IF($C254="","",N($K254)*N($H254))</f>
        <v/>
      </c>
      <c r="AB254" s="66" t="str">
        <f aca="false">IF($C254="","",_xlfn.TEXTJOIN(" / ",TRUE(),IF(COUNTIF(商品マスタ!$B$6:$B$1005,$C254)=0,"マスタ未登録",""),IF(COUNTIFS(月1回_前回の在庫を貼る!$B$6:$B$10005,'設定（最初に1回）'!$C$4,月1回_前回の在庫を貼る!$I$6:$I$10005,$C254)=0,"新商品",""),IF(COUNTIFS(①今日の在庫を貼る!$B$6:$B$10005,'設定（最初に1回）'!$C$4,①今日の在庫を貼る!$I$6:$I$10005,$C254)=0,"終売候補",""),IF(N($K254)&lt;0,"在庫マイナス",""),IF(AND('設定（最初に1回）'!$C$9="PI値予測",$P254=""),"PI値未設定","")))</f>
        <v/>
      </c>
      <c r="AC254" s="71" t="n">
        <f aca="false">N($Y254)*N($H254)</f>
        <v>0</v>
      </c>
      <c r="AD254" s="66" t="str">
        <f aca="false">IF($C254="","",IFERROR(INDEX(商品マスタ!$K$6:$K$1005,MATCH($C254,商品マスタ!$B$6:$B$1005,0)),"常温"))</f>
        <v/>
      </c>
      <c r="AE254" s="69" t="str">
        <f aca="false">IF($C254="","",MAX(0,ROUNDUP(N($K254)/MAX(1,N($G254)),0)))</f>
        <v/>
      </c>
      <c r="AF254" s="66" t="str">
        <f aca="false">IF($C254="","",IFERROR(INDEX(商品マスタ!$L$6:$L$1005,MATCH($C254,商品マスタ!$B$6:$B$1005,0)),""))</f>
        <v/>
      </c>
      <c r="AG254" s="143" t="str">
        <f aca="false">IF($C254="","",IFERROR(INDEX(定数マスタ!$S$110:$S$119,MATCH($AF254,定数マスタ!$J$110:$J$119,0)),N('設定（最初に1回）'!$C$13)))</f>
        <v/>
      </c>
      <c r="AH254" s="66" t="n">
        <f aca="false">IF(AND(N($K254)&gt;0,N($Y254)&gt;0),N($Y254),0)</f>
        <v>0</v>
      </c>
    </row>
    <row r="255" customFormat="false" ht="15" hidden="false" customHeight="false" outlineLevel="0" collapsed="false">
      <c r="B255" s="66" t="n">
        <v>250</v>
      </c>
      <c r="C255" s="66" t="str">
        <f aca="false">IFERROR(IF($B255&lt;=MAX(①今日の在庫を貼る!$U$6:$U$10005),INDEX(①今日の在庫を貼る!$I$6:$I$10005,MATCH($B255,①今日の在庫を貼る!$U$6:$U$10005,0)),INDEX(月1回_前回の在庫を貼る!$I$6:$I$10005,MATCH($B255-MAX(①今日の在庫を貼る!$U$6:$U$10005),月1回_前回の在庫を貼る!$U$6:$U$10005,0))),"")</f>
        <v/>
      </c>
      <c r="D255" s="66" t="str">
        <f aca="false">IF($C255="","",IFERROR(INDEX(商品マスタ!$C$6:$C$1005,MATCH($C255,商品マスタ!$B$6:$B$1005,0)),IFERROR(INDEX(①今日の在庫を貼る!$J$6:$J$10005,MATCH($C255,①今日の在庫を貼る!$I$6:$I$10005,0)),IFERROR(INDEX(月1回_前回の在庫を貼る!$J$6:$J$10005,MATCH($C255,月1回_前回の在庫を貼る!$I$6:$I$10005,0)),""))))</f>
        <v/>
      </c>
      <c r="E255" s="66" t="str">
        <f aca="false">IF($C255="","",IFERROR(INDEX(商品マスタ!$D$6:$D$1005,MATCH($C255,商品マスタ!$B$6:$B$1005,0)),IFERROR(INDEX(①今日の在庫を貼る!$H$6:$H$10005,MATCH($C255,①今日の在庫を貼る!$I$6:$I$10005,0)),IFERROR(INDEX(月1回_前回の在庫を貼る!$H$6:$H$10005,MATCH($C255,月1回_前回の在庫を貼る!$I$6:$I$10005,0)),""))))</f>
        <v/>
      </c>
      <c r="F255" s="66" t="str">
        <f aca="false">IF($C255="","",IFERROR(INDEX(商品マスタ!$E$6:$E$1005,MATCH($C255,商品マスタ!$B$6:$B$1005,0)),IFERROR(INDEX(①今日の在庫を貼る!$E$6:$E$10005,MATCH($C255,①今日の在庫を貼る!$I$6:$I$10005,0)),IFERROR(INDEX(月1回_前回の在庫を貼る!$E$6:$E$10005,MATCH($C255,月1回_前回の在庫を貼る!$I$6:$I$10005,0)),""))))</f>
        <v/>
      </c>
      <c r="G255" s="69" t="str">
        <f aca="false">IF($C255="","",IFERROR(INDEX(商品マスタ!$F$6:$F$1005,MATCH($C255,商品マスタ!$B$6:$B$1005,0)),IFERROR(INDEX(①今日の在庫を貼る!$K$6:$K$10005,MATCH($C255,①今日の在庫を貼る!$I$6:$I$10005,0)),IFERROR(INDEX(月1回_前回の在庫を貼る!$K$6:$K$10005,MATCH($C255,月1回_前回の在庫を貼る!$I$6:$I$10005,0)),""))))</f>
        <v/>
      </c>
      <c r="H255" s="71" t="str">
        <f aca="false">IF($C255="","",IFERROR(INDEX(商品マスタ!$G$6:$G$1005,MATCH($C255,商品マスタ!$B$6:$B$1005,0)),IFERROR(INDEX(①今日の在庫を貼る!$Q$6:$Q$10005,MATCH($C255,①今日の在庫を貼る!$I$6:$I$10005,0)),IFERROR(INDEX(月1回_前回の在庫を貼る!$Q$6:$Q$10005,MATCH($C255,月1回_前回の在庫を貼る!$I$6:$I$10005,0)),""))))</f>
        <v/>
      </c>
      <c r="I255" s="66" t="str">
        <f aca="false">IF($C255="","",IFERROR(INDEX(商品マスタ!$H$6:$H$1005,MATCH($C255,商品マスタ!$B$6:$B$1005,0)),3))</f>
        <v/>
      </c>
      <c r="J255" s="66" t="str">
        <f aca="false">IF($C255="","",MAX(1,IFERROR(INDEX(商品マスタ!$I$6:$I$1005,MATCH($C255,商品マスタ!$B$6:$B$1005,0)),1)))</f>
        <v/>
      </c>
      <c r="K255" s="69" t="str">
        <f aca="false">IF($C255="","",SUMIFS(①今日の在庫を貼る!$N$6:$N$10005,①今日の在庫を貼る!$B$6:$B$10005,'設定（最初に1回）'!$C$4,①今日の在庫を貼る!$I$6:$I$10005,$C255))</f>
        <v/>
      </c>
      <c r="L255" s="69" t="str">
        <f aca="false">IF($C255="","",SUMIFS(月1回_前回の在庫を貼る!$N$6:$N$10005,月1回_前回の在庫を貼る!$B$6:$B$10005,'設定（最初に1回）'!$C$4,月1回_前回の在庫を貼る!$I$6:$I$10005,$C255))</f>
        <v/>
      </c>
      <c r="M255" s="69" t="str">
        <f aca="false">IF($C255="","",IF(OR('設定（最初に1回）'!$C$6="",'設定（最初に1回）'!$C$7=""),0,SUMIFS(発注管理!$S$6:$S$1005,発注管理!$C$6:$C$1005,'設定（最初に1回）'!$C$4,発注管理!$F$6:$F$1005,$C255,発注管理!$R$6:$R$1005,"&gt;="&amp;'設定（最初に1回）'!$C$7,発注管理!$R$6:$R$1005,"&lt;="&amp;'設定（最初に1回）'!$C$6)))</f>
        <v/>
      </c>
      <c r="N255" s="69" t="str">
        <f aca="false">IF(OR($C255="",'設定（最初に1回）'!$C$15=0),"",$L255+$M255-$K255)</f>
        <v/>
      </c>
      <c r="O255" s="143" t="str">
        <f aca="false">IF(OR($N255="",'設定（最初に1回）'!$C$8="",'設定（最初に1回）'!$C$8&lt;=0),"",MAX(0,$N255)/'設定（最初に1回）'!$C$8)</f>
        <v/>
      </c>
      <c r="P255" s="143" t="str">
        <f aca="false">IF($C255="","",IFERROR(INDEX(商品マスタ!$M$6:$N$1005,MATCH($C255,商品マスタ!$B$6:$B$1005,0),MATCH("PI値 "&amp;'設定（最初に1回）'!$C$11,商品マスタ!$M$5:$N$5,0)),""))</f>
        <v/>
      </c>
      <c r="Q255" s="143" t="str">
        <f aca="false">IF(OR($C255="",$P255="",$P255=0,(N($I255)+N($AG255))&lt;=0),"",IFERROR(SUMIFS(随時_動員を入れる!$G$8:$G$97,随時_動員を入れる!$B$8:$B$97,"&gt;="&amp;'設定（最初に1回）'!$C$6,随時_動員を入れる!$B$8:$B$97,"&lt;="&amp;'設定（最初に1回）'!$C$6+(N($I255)+N($AG255))-1)/(N($I255)+N($AG255)),0)*$P255/100)</f>
        <v/>
      </c>
      <c r="R255" s="69" t="str">
        <f aca="false">IF($C255="","",SUMIFS(①今日の在庫を貼る!$O$6:$O$10005,①今日の在庫を貼る!$B$6:$B$10005,'設定（最初に1回）'!$C$4,①今日の在庫を貼る!$I$6:$I$10005,$C255))</f>
        <v/>
      </c>
      <c r="S255" s="143" t="str">
        <f aca="false">IF($C255="","",IF('設定（最初に1回）'!$C$9="実績消費",N($O255),IF('設定（最初に1回）'!$C$9="PI値予測",N($Q255),MAX(N($O255),N($Q255)))))</f>
        <v/>
      </c>
      <c r="T255" s="67" t="str">
        <f aca="false">IF(OR($S255="",$S255&lt;=0),"",$K255/$S255)</f>
        <v/>
      </c>
      <c r="U255" s="69" t="str">
        <f aca="false">IF($S255="","",ROUNDUP(N($S255)*'設定（最初に1回）'!$C$12,0))</f>
        <v/>
      </c>
      <c r="V255" s="69" t="str">
        <f aca="false">IF($C255="","",ROUNDUP(N($S255)*(N($I255)+N($AG255))+N($U255),0))</f>
        <v/>
      </c>
      <c r="W255" s="69" t="str">
        <f aca="false">IF($C255="","",SUMIFS(発注管理!$L$6:$L$1005,発注管理!$C$6:$C$1005,'設定（最初に1回）'!$C$4,発注管理!$F$6:$F$1005,$C255,発注管理!$Q$6:$Q$1005,"発注済"))</f>
        <v/>
      </c>
      <c r="X255" s="69" t="str">
        <f aca="false">IF($C255="","",MAX(0,N($V255)-N($K255)-N($W255)))</f>
        <v/>
      </c>
      <c r="Y255" s="147" t="str">
        <f aca="false">IF($C255="","",IF(N($X255)&lt;=0,0,CEILING($X255/MAX(1,N($G255)),MAX(1,N($J255)))))</f>
        <v/>
      </c>
      <c r="Z255" s="138" t="str">
        <f aca="false">IF($C255="","",IF(N($Y255)&gt;0,"要発注","正常"))</f>
        <v/>
      </c>
      <c r="AA255" s="71" t="str">
        <f aca="false">IF($C255="","",N($K255)*N($H255))</f>
        <v/>
      </c>
      <c r="AB255" s="66" t="str">
        <f aca="false">IF($C255="","",_xlfn.TEXTJOIN(" / ",TRUE(),IF(COUNTIF(商品マスタ!$B$6:$B$1005,$C255)=0,"マスタ未登録",""),IF(COUNTIFS(月1回_前回の在庫を貼る!$B$6:$B$10005,'設定（最初に1回）'!$C$4,月1回_前回の在庫を貼る!$I$6:$I$10005,$C255)=0,"新商品",""),IF(COUNTIFS(①今日の在庫を貼る!$B$6:$B$10005,'設定（最初に1回）'!$C$4,①今日の在庫を貼る!$I$6:$I$10005,$C255)=0,"終売候補",""),IF(N($K255)&lt;0,"在庫マイナス",""),IF(AND('設定（最初に1回）'!$C$9="PI値予測",$P255=""),"PI値未設定","")))</f>
        <v/>
      </c>
      <c r="AC255" s="71" t="n">
        <f aca="false">N($Y255)*N($H255)</f>
        <v>0</v>
      </c>
      <c r="AD255" s="66" t="str">
        <f aca="false">IF($C255="","",IFERROR(INDEX(商品マスタ!$K$6:$K$1005,MATCH($C255,商品マスタ!$B$6:$B$1005,0)),"常温"))</f>
        <v/>
      </c>
      <c r="AE255" s="69" t="str">
        <f aca="false">IF($C255="","",MAX(0,ROUNDUP(N($K255)/MAX(1,N($G255)),0)))</f>
        <v/>
      </c>
      <c r="AF255" s="66" t="str">
        <f aca="false">IF($C255="","",IFERROR(INDEX(商品マスタ!$L$6:$L$1005,MATCH($C255,商品マスタ!$B$6:$B$1005,0)),""))</f>
        <v/>
      </c>
      <c r="AG255" s="143" t="str">
        <f aca="false">IF($C255="","",IFERROR(INDEX(定数マスタ!$S$110:$S$119,MATCH($AF255,定数マスタ!$J$110:$J$119,0)),N('設定（最初に1回）'!$C$13)))</f>
        <v/>
      </c>
      <c r="AH255" s="66" t="n">
        <f aca="false">IF(AND(N($K255)&gt;0,N($Y255)&gt;0),N($Y255),0)</f>
        <v>0</v>
      </c>
    </row>
    <row r="256" customFormat="false" ht="15" hidden="false" customHeight="false" outlineLevel="0" collapsed="false">
      <c r="B256" s="66" t="n">
        <v>251</v>
      </c>
      <c r="C256" s="66" t="str">
        <f aca="false">IFERROR(IF($B256&lt;=MAX(①今日の在庫を貼る!$U$6:$U$10005),INDEX(①今日の在庫を貼る!$I$6:$I$10005,MATCH($B256,①今日の在庫を貼る!$U$6:$U$10005,0)),INDEX(月1回_前回の在庫を貼る!$I$6:$I$10005,MATCH($B256-MAX(①今日の在庫を貼る!$U$6:$U$10005),月1回_前回の在庫を貼る!$U$6:$U$10005,0))),"")</f>
        <v/>
      </c>
      <c r="D256" s="66" t="str">
        <f aca="false">IF($C256="","",IFERROR(INDEX(商品マスタ!$C$6:$C$1005,MATCH($C256,商品マスタ!$B$6:$B$1005,0)),IFERROR(INDEX(①今日の在庫を貼る!$J$6:$J$10005,MATCH($C256,①今日の在庫を貼る!$I$6:$I$10005,0)),IFERROR(INDEX(月1回_前回の在庫を貼る!$J$6:$J$10005,MATCH($C256,月1回_前回の在庫を貼る!$I$6:$I$10005,0)),""))))</f>
        <v/>
      </c>
      <c r="E256" s="66" t="str">
        <f aca="false">IF($C256="","",IFERROR(INDEX(商品マスタ!$D$6:$D$1005,MATCH($C256,商品マスタ!$B$6:$B$1005,0)),IFERROR(INDEX(①今日の在庫を貼る!$H$6:$H$10005,MATCH($C256,①今日の在庫を貼る!$I$6:$I$10005,0)),IFERROR(INDEX(月1回_前回の在庫を貼る!$H$6:$H$10005,MATCH($C256,月1回_前回の在庫を貼る!$I$6:$I$10005,0)),""))))</f>
        <v/>
      </c>
      <c r="F256" s="66" t="str">
        <f aca="false">IF($C256="","",IFERROR(INDEX(商品マスタ!$E$6:$E$1005,MATCH($C256,商品マスタ!$B$6:$B$1005,0)),IFERROR(INDEX(①今日の在庫を貼る!$E$6:$E$10005,MATCH($C256,①今日の在庫を貼る!$I$6:$I$10005,0)),IFERROR(INDEX(月1回_前回の在庫を貼る!$E$6:$E$10005,MATCH($C256,月1回_前回の在庫を貼る!$I$6:$I$10005,0)),""))))</f>
        <v/>
      </c>
      <c r="G256" s="69" t="str">
        <f aca="false">IF($C256="","",IFERROR(INDEX(商品マスタ!$F$6:$F$1005,MATCH($C256,商品マスタ!$B$6:$B$1005,0)),IFERROR(INDEX(①今日の在庫を貼る!$K$6:$K$10005,MATCH($C256,①今日の在庫を貼る!$I$6:$I$10005,0)),IFERROR(INDEX(月1回_前回の在庫を貼る!$K$6:$K$10005,MATCH($C256,月1回_前回の在庫を貼る!$I$6:$I$10005,0)),""))))</f>
        <v/>
      </c>
      <c r="H256" s="71" t="str">
        <f aca="false">IF($C256="","",IFERROR(INDEX(商品マスタ!$G$6:$G$1005,MATCH($C256,商品マスタ!$B$6:$B$1005,0)),IFERROR(INDEX(①今日の在庫を貼る!$Q$6:$Q$10005,MATCH($C256,①今日の在庫を貼る!$I$6:$I$10005,0)),IFERROR(INDEX(月1回_前回の在庫を貼る!$Q$6:$Q$10005,MATCH($C256,月1回_前回の在庫を貼る!$I$6:$I$10005,0)),""))))</f>
        <v/>
      </c>
      <c r="I256" s="66" t="str">
        <f aca="false">IF($C256="","",IFERROR(INDEX(商品マスタ!$H$6:$H$1005,MATCH($C256,商品マスタ!$B$6:$B$1005,0)),3))</f>
        <v/>
      </c>
      <c r="J256" s="66" t="str">
        <f aca="false">IF($C256="","",MAX(1,IFERROR(INDEX(商品マスタ!$I$6:$I$1005,MATCH($C256,商品マスタ!$B$6:$B$1005,0)),1)))</f>
        <v/>
      </c>
      <c r="K256" s="69" t="str">
        <f aca="false">IF($C256="","",SUMIFS(①今日の在庫を貼る!$N$6:$N$10005,①今日の在庫を貼る!$B$6:$B$10005,'設定（最初に1回）'!$C$4,①今日の在庫を貼る!$I$6:$I$10005,$C256))</f>
        <v/>
      </c>
      <c r="L256" s="69" t="str">
        <f aca="false">IF($C256="","",SUMIFS(月1回_前回の在庫を貼る!$N$6:$N$10005,月1回_前回の在庫を貼る!$B$6:$B$10005,'設定（最初に1回）'!$C$4,月1回_前回の在庫を貼る!$I$6:$I$10005,$C256))</f>
        <v/>
      </c>
      <c r="M256" s="69" t="str">
        <f aca="false">IF($C256="","",IF(OR('設定（最初に1回）'!$C$6="",'設定（最初に1回）'!$C$7=""),0,SUMIFS(発注管理!$S$6:$S$1005,発注管理!$C$6:$C$1005,'設定（最初に1回）'!$C$4,発注管理!$F$6:$F$1005,$C256,発注管理!$R$6:$R$1005,"&gt;="&amp;'設定（最初に1回）'!$C$7,発注管理!$R$6:$R$1005,"&lt;="&amp;'設定（最初に1回）'!$C$6)))</f>
        <v/>
      </c>
      <c r="N256" s="69" t="str">
        <f aca="false">IF(OR($C256="",'設定（最初に1回）'!$C$15=0),"",$L256+$M256-$K256)</f>
        <v/>
      </c>
      <c r="O256" s="143" t="str">
        <f aca="false">IF(OR($N256="",'設定（最初に1回）'!$C$8="",'設定（最初に1回）'!$C$8&lt;=0),"",MAX(0,$N256)/'設定（最初に1回）'!$C$8)</f>
        <v/>
      </c>
      <c r="P256" s="143" t="str">
        <f aca="false">IF($C256="","",IFERROR(INDEX(商品マスタ!$M$6:$N$1005,MATCH($C256,商品マスタ!$B$6:$B$1005,0),MATCH("PI値 "&amp;'設定（最初に1回）'!$C$11,商品マスタ!$M$5:$N$5,0)),""))</f>
        <v/>
      </c>
      <c r="Q256" s="143" t="str">
        <f aca="false">IF(OR($C256="",$P256="",$P256=0,(N($I256)+N($AG256))&lt;=0),"",IFERROR(SUMIFS(随時_動員を入れる!$G$8:$G$97,随時_動員を入れる!$B$8:$B$97,"&gt;="&amp;'設定（最初に1回）'!$C$6,随時_動員を入れる!$B$8:$B$97,"&lt;="&amp;'設定（最初に1回）'!$C$6+(N($I256)+N($AG256))-1)/(N($I256)+N($AG256)),0)*$P256/100)</f>
        <v/>
      </c>
      <c r="R256" s="69" t="str">
        <f aca="false">IF($C256="","",SUMIFS(①今日の在庫を貼る!$O$6:$O$10005,①今日の在庫を貼る!$B$6:$B$10005,'設定（最初に1回）'!$C$4,①今日の在庫を貼る!$I$6:$I$10005,$C256))</f>
        <v/>
      </c>
      <c r="S256" s="143" t="str">
        <f aca="false">IF($C256="","",IF('設定（最初に1回）'!$C$9="実績消費",N($O256),IF('設定（最初に1回）'!$C$9="PI値予測",N($Q256),MAX(N($O256),N($Q256)))))</f>
        <v/>
      </c>
      <c r="T256" s="67" t="str">
        <f aca="false">IF(OR($S256="",$S256&lt;=0),"",$K256/$S256)</f>
        <v/>
      </c>
      <c r="U256" s="69" t="str">
        <f aca="false">IF($S256="","",ROUNDUP(N($S256)*'設定（最初に1回）'!$C$12,0))</f>
        <v/>
      </c>
      <c r="V256" s="69" t="str">
        <f aca="false">IF($C256="","",ROUNDUP(N($S256)*(N($I256)+N($AG256))+N($U256),0))</f>
        <v/>
      </c>
      <c r="W256" s="69" t="str">
        <f aca="false">IF($C256="","",SUMIFS(発注管理!$L$6:$L$1005,発注管理!$C$6:$C$1005,'設定（最初に1回）'!$C$4,発注管理!$F$6:$F$1005,$C256,発注管理!$Q$6:$Q$1005,"発注済"))</f>
        <v/>
      </c>
      <c r="X256" s="69" t="str">
        <f aca="false">IF($C256="","",MAX(0,N($V256)-N($K256)-N($W256)))</f>
        <v/>
      </c>
      <c r="Y256" s="147" t="str">
        <f aca="false">IF($C256="","",IF(N($X256)&lt;=0,0,CEILING($X256/MAX(1,N($G256)),MAX(1,N($J256)))))</f>
        <v/>
      </c>
      <c r="Z256" s="138" t="str">
        <f aca="false">IF($C256="","",IF(N($Y256)&gt;0,"要発注","正常"))</f>
        <v/>
      </c>
      <c r="AA256" s="71" t="str">
        <f aca="false">IF($C256="","",N($K256)*N($H256))</f>
        <v/>
      </c>
      <c r="AB256" s="66" t="str">
        <f aca="false">IF($C256="","",_xlfn.TEXTJOIN(" / ",TRUE(),IF(COUNTIF(商品マスタ!$B$6:$B$1005,$C256)=0,"マスタ未登録",""),IF(COUNTIFS(月1回_前回の在庫を貼る!$B$6:$B$10005,'設定（最初に1回）'!$C$4,月1回_前回の在庫を貼る!$I$6:$I$10005,$C256)=0,"新商品",""),IF(COUNTIFS(①今日の在庫を貼る!$B$6:$B$10005,'設定（最初に1回）'!$C$4,①今日の在庫を貼る!$I$6:$I$10005,$C256)=0,"終売候補",""),IF(N($K256)&lt;0,"在庫マイナス",""),IF(AND('設定（最初に1回）'!$C$9="PI値予測",$P256=""),"PI値未設定","")))</f>
        <v/>
      </c>
      <c r="AC256" s="71" t="n">
        <f aca="false">N($Y256)*N($H256)</f>
        <v>0</v>
      </c>
      <c r="AD256" s="66" t="str">
        <f aca="false">IF($C256="","",IFERROR(INDEX(商品マスタ!$K$6:$K$1005,MATCH($C256,商品マスタ!$B$6:$B$1005,0)),"常温"))</f>
        <v/>
      </c>
      <c r="AE256" s="69" t="str">
        <f aca="false">IF($C256="","",MAX(0,ROUNDUP(N($K256)/MAX(1,N($G256)),0)))</f>
        <v/>
      </c>
      <c r="AF256" s="66" t="str">
        <f aca="false">IF($C256="","",IFERROR(INDEX(商品マスタ!$L$6:$L$1005,MATCH($C256,商品マスタ!$B$6:$B$1005,0)),""))</f>
        <v/>
      </c>
      <c r="AG256" s="143" t="str">
        <f aca="false">IF($C256="","",IFERROR(INDEX(定数マスタ!$S$110:$S$119,MATCH($AF256,定数マスタ!$J$110:$J$119,0)),N('設定（最初に1回）'!$C$13)))</f>
        <v/>
      </c>
      <c r="AH256" s="66" t="n">
        <f aca="false">IF(AND(N($K256)&gt;0,N($Y256)&gt;0),N($Y256),0)</f>
        <v>0</v>
      </c>
    </row>
    <row r="257" customFormat="false" ht="15" hidden="false" customHeight="false" outlineLevel="0" collapsed="false">
      <c r="B257" s="66" t="n">
        <v>252</v>
      </c>
      <c r="C257" s="66" t="str">
        <f aca="false">IFERROR(IF($B257&lt;=MAX(①今日の在庫を貼る!$U$6:$U$10005),INDEX(①今日の在庫を貼る!$I$6:$I$10005,MATCH($B257,①今日の在庫を貼る!$U$6:$U$10005,0)),INDEX(月1回_前回の在庫を貼る!$I$6:$I$10005,MATCH($B257-MAX(①今日の在庫を貼る!$U$6:$U$10005),月1回_前回の在庫を貼る!$U$6:$U$10005,0))),"")</f>
        <v/>
      </c>
      <c r="D257" s="66" t="str">
        <f aca="false">IF($C257="","",IFERROR(INDEX(商品マスタ!$C$6:$C$1005,MATCH($C257,商品マスタ!$B$6:$B$1005,0)),IFERROR(INDEX(①今日の在庫を貼る!$J$6:$J$10005,MATCH($C257,①今日の在庫を貼る!$I$6:$I$10005,0)),IFERROR(INDEX(月1回_前回の在庫を貼る!$J$6:$J$10005,MATCH($C257,月1回_前回の在庫を貼る!$I$6:$I$10005,0)),""))))</f>
        <v/>
      </c>
      <c r="E257" s="66" t="str">
        <f aca="false">IF($C257="","",IFERROR(INDEX(商品マスタ!$D$6:$D$1005,MATCH($C257,商品マスタ!$B$6:$B$1005,0)),IFERROR(INDEX(①今日の在庫を貼る!$H$6:$H$10005,MATCH($C257,①今日の在庫を貼る!$I$6:$I$10005,0)),IFERROR(INDEX(月1回_前回の在庫を貼る!$H$6:$H$10005,MATCH($C257,月1回_前回の在庫を貼る!$I$6:$I$10005,0)),""))))</f>
        <v/>
      </c>
      <c r="F257" s="66" t="str">
        <f aca="false">IF($C257="","",IFERROR(INDEX(商品マスタ!$E$6:$E$1005,MATCH($C257,商品マスタ!$B$6:$B$1005,0)),IFERROR(INDEX(①今日の在庫を貼る!$E$6:$E$10005,MATCH($C257,①今日の在庫を貼る!$I$6:$I$10005,0)),IFERROR(INDEX(月1回_前回の在庫を貼る!$E$6:$E$10005,MATCH($C257,月1回_前回の在庫を貼る!$I$6:$I$10005,0)),""))))</f>
        <v/>
      </c>
      <c r="G257" s="69" t="str">
        <f aca="false">IF($C257="","",IFERROR(INDEX(商品マスタ!$F$6:$F$1005,MATCH($C257,商品マスタ!$B$6:$B$1005,0)),IFERROR(INDEX(①今日の在庫を貼る!$K$6:$K$10005,MATCH($C257,①今日の在庫を貼る!$I$6:$I$10005,0)),IFERROR(INDEX(月1回_前回の在庫を貼る!$K$6:$K$10005,MATCH($C257,月1回_前回の在庫を貼る!$I$6:$I$10005,0)),""))))</f>
        <v/>
      </c>
      <c r="H257" s="71" t="str">
        <f aca="false">IF($C257="","",IFERROR(INDEX(商品マスタ!$G$6:$G$1005,MATCH($C257,商品マスタ!$B$6:$B$1005,0)),IFERROR(INDEX(①今日の在庫を貼る!$Q$6:$Q$10005,MATCH($C257,①今日の在庫を貼る!$I$6:$I$10005,0)),IFERROR(INDEX(月1回_前回の在庫を貼る!$Q$6:$Q$10005,MATCH($C257,月1回_前回の在庫を貼る!$I$6:$I$10005,0)),""))))</f>
        <v/>
      </c>
      <c r="I257" s="66" t="str">
        <f aca="false">IF($C257="","",IFERROR(INDEX(商品マスタ!$H$6:$H$1005,MATCH($C257,商品マスタ!$B$6:$B$1005,0)),3))</f>
        <v/>
      </c>
      <c r="J257" s="66" t="str">
        <f aca="false">IF($C257="","",MAX(1,IFERROR(INDEX(商品マスタ!$I$6:$I$1005,MATCH($C257,商品マスタ!$B$6:$B$1005,0)),1)))</f>
        <v/>
      </c>
      <c r="K257" s="69" t="str">
        <f aca="false">IF($C257="","",SUMIFS(①今日の在庫を貼る!$N$6:$N$10005,①今日の在庫を貼る!$B$6:$B$10005,'設定（最初に1回）'!$C$4,①今日の在庫を貼る!$I$6:$I$10005,$C257))</f>
        <v/>
      </c>
      <c r="L257" s="69" t="str">
        <f aca="false">IF($C257="","",SUMIFS(月1回_前回の在庫を貼る!$N$6:$N$10005,月1回_前回の在庫を貼る!$B$6:$B$10005,'設定（最初に1回）'!$C$4,月1回_前回の在庫を貼る!$I$6:$I$10005,$C257))</f>
        <v/>
      </c>
      <c r="M257" s="69" t="str">
        <f aca="false">IF($C257="","",IF(OR('設定（最初に1回）'!$C$6="",'設定（最初に1回）'!$C$7=""),0,SUMIFS(発注管理!$S$6:$S$1005,発注管理!$C$6:$C$1005,'設定（最初に1回）'!$C$4,発注管理!$F$6:$F$1005,$C257,発注管理!$R$6:$R$1005,"&gt;="&amp;'設定（最初に1回）'!$C$7,発注管理!$R$6:$R$1005,"&lt;="&amp;'設定（最初に1回）'!$C$6)))</f>
        <v/>
      </c>
      <c r="N257" s="69" t="str">
        <f aca="false">IF(OR($C257="",'設定（最初に1回）'!$C$15=0),"",$L257+$M257-$K257)</f>
        <v/>
      </c>
      <c r="O257" s="143" t="str">
        <f aca="false">IF(OR($N257="",'設定（最初に1回）'!$C$8="",'設定（最初に1回）'!$C$8&lt;=0),"",MAX(0,$N257)/'設定（最初に1回）'!$C$8)</f>
        <v/>
      </c>
      <c r="P257" s="143" t="str">
        <f aca="false">IF($C257="","",IFERROR(INDEX(商品マスタ!$M$6:$N$1005,MATCH($C257,商品マスタ!$B$6:$B$1005,0),MATCH("PI値 "&amp;'設定（最初に1回）'!$C$11,商品マスタ!$M$5:$N$5,0)),""))</f>
        <v/>
      </c>
      <c r="Q257" s="143" t="str">
        <f aca="false">IF(OR($C257="",$P257="",$P257=0,(N($I257)+N($AG257))&lt;=0),"",IFERROR(SUMIFS(随時_動員を入れる!$G$8:$G$97,随時_動員を入れる!$B$8:$B$97,"&gt;="&amp;'設定（最初に1回）'!$C$6,随時_動員を入れる!$B$8:$B$97,"&lt;="&amp;'設定（最初に1回）'!$C$6+(N($I257)+N($AG257))-1)/(N($I257)+N($AG257)),0)*$P257/100)</f>
        <v/>
      </c>
      <c r="R257" s="69" t="str">
        <f aca="false">IF($C257="","",SUMIFS(①今日の在庫を貼る!$O$6:$O$10005,①今日の在庫を貼る!$B$6:$B$10005,'設定（最初に1回）'!$C$4,①今日の在庫を貼る!$I$6:$I$10005,$C257))</f>
        <v/>
      </c>
      <c r="S257" s="143" t="str">
        <f aca="false">IF($C257="","",IF('設定（最初に1回）'!$C$9="実績消費",N($O257),IF('設定（最初に1回）'!$C$9="PI値予測",N($Q257),MAX(N($O257),N($Q257)))))</f>
        <v/>
      </c>
      <c r="T257" s="67" t="str">
        <f aca="false">IF(OR($S257="",$S257&lt;=0),"",$K257/$S257)</f>
        <v/>
      </c>
      <c r="U257" s="69" t="str">
        <f aca="false">IF($S257="","",ROUNDUP(N($S257)*'設定（最初に1回）'!$C$12,0))</f>
        <v/>
      </c>
      <c r="V257" s="69" t="str">
        <f aca="false">IF($C257="","",ROUNDUP(N($S257)*(N($I257)+N($AG257))+N($U257),0))</f>
        <v/>
      </c>
      <c r="W257" s="69" t="str">
        <f aca="false">IF($C257="","",SUMIFS(発注管理!$L$6:$L$1005,発注管理!$C$6:$C$1005,'設定（最初に1回）'!$C$4,発注管理!$F$6:$F$1005,$C257,発注管理!$Q$6:$Q$1005,"発注済"))</f>
        <v/>
      </c>
      <c r="X257" s="69" t="str">
        <f aca="false">IF($C257="","",MAX(0,N($V257)-N($K257)-N($W257)))</f>
        <v/>
      </c>
      <c r="Y257" s="147" t="str">
        <f aca="false">IF($C257="","",IF(N($X257)&lt;=0,0,CEILING($X257/MAX(1,N($G257)),MAX(1,N($J257)))))</f>
        <v/>
      </c>
      <c r="Z257" s="138" t="str">
        <f aca="false">IF($C257="","",IF(N($Y257)&gt;0,"要発注","正常"))</f>
        <v/>
      </c>
      <c r="AA257" s="71" t="str">
        <f aca="false">IF($C257="","",N($K257)*N($H257))</f>
        <v/>
      </c>
      <c r="AB257" s="66" t="str">
        <f aca="false">IF($C257="","",_xlfn.TEXTJOIN(" / ",TRUE(),IF(COUNTIF(商品マスタ!$B$6:$B$1005,$C257)=0,"マスタ未登録",""),IF(COUNTIFS(月1回_前回の在庫を貼る!$B$6:$B$10005,'設定（最初に1回）'!$C$4,月1回_前回の在庫を貼る!$I$6:$I$10005,$C257)=0,"新商品",""),IF(COUNTIFS(①今日の在庫を貼る!$B$6:$B$10005,'設定（最初に1回）'!$C$4,①今日の在庫を貼る!$I$6:$I$10005,$C257)=0,"終売候補",""),IF(N($K257)&lt;0,"在庫マイナス",""),IF(AND('設定（最初に1回）'!$C$9="PI値予測",$P257=""),"PI値未設定","")))</f>
        <v/>
      </c>
      <c r="AC257" s="71" t="n">
        <f aca="false">N($Y257)*N($H257)</f>
        <v>0</v>
      </c>
      <c r="AD257" s="66" t="str">
        <f aca="false">IF($C257="","",IFERROR(INDEX(商品マスタ!$K$6:$K$1005,MATCH($C257,商品マスタ!$B$6:$B$1005,0)),"常温"))</f>
        <v/>
      </c>
      <c r="AE257" s="69" t="str">
        <f aca="false">IF($C257="","",MAX(0,ROUNDUP(N($K257)/MAX(1,N($G257)),0)))</f>
        <v/>
      </c>
      <c r="AF257" s="66" t="str">
        <f aca="false">IF($C257="","",IFERROR(INDEX(商品マスタ!$L$6:$L$1005,MATCH($C257,商品マスタ!$B$6:$B$1005,0)),""))</f>
        <v/>
      </c>
      <c r="AG257" s="143" t="str">
        <f aca="false">IF($C257="","",IFERROR(INDEX(定数マスタ!$S$110:$S$119,MATCH($AF257,定数マスタ!$J$110:$J$119,0)),N('設定（最初に1回）'!$C$13)))</f>
        <v/>
      </c>
      <c r="AH257" s="66" t="n">
        <f aca="false">IF(AND(N($K257)&gt;0,N($Y257)&gt;0),N($Y257),0)</f>
        <v>0</v>
      </c>
    </row>
    <row r="258" customFormat="false" ht="15" hidden="false" customHeight="false" outlineLevel="0" collapsed="false">
      <c r="B258" s="66" t="n">
        <v>253</v>
      </c>
      <c r="C258" s="66" t="str">
        <f aca="false">IFERROR(IF($B258&lt;=MAX(①今日の在庫を貼る!$U$6:$U$10005),INDEX(①今日の在庫を貼る!$I$6:$I$10005,MATCH($B258,①今日の在庫を貼る!$U$6:$U$10005,0)),INDEX(月1回_前回の在庫を貼る!$I$6:$I$10005,MATCH($B258-MAX(①今日の在庫を貼る!$U$6:$U$10005),月1回_前回の在庫を貼る!$U$6:$U$10005,0))),"")</f>
        <v/>
      </c>
      <c r="D258" s="66" t="str">
        <f aca="false">IF($C258="","",IFERROR(INDEX(商品マスタ!$C$6:$C$1005,MATCH($C258,商品マスタ!$B$6:$B$1005,0)),IFERROR(INDEX(①今日の在庫を貼る!$J$6:$J$10005,MATCH($C258,①今日の在庫を貼る!$I$6:$I$10005,0)),IFERROR(INDEX(月1回_前回の在庫を貼る!$J$6:$J$10005,MATCH($C258,月1回_前回の在庫を貼る!$I$6:$I$10005,0)),""))))</f>
        <v/>
      </c>
      <c r="E258" s="66" t="str">
        <f aca="false">IF($C258="","",IFERROR(INDEX(商品マスタ!$D$6:$D$1005,MATCH($C258,商品マスタ!$B$6:$B$1005,0)),IFERROR(INDEX(①今日の在庫を貼る!$H$6:$H$10005,MATCH($C258,①今日の在庫を貼る!$I$6:$I$10005,0)),IFERROR(INDEX(月1回_前回の在庫を貼る!$H$6:$H$10005,MATCH($C258,月1回_前回の在庫を貼る!$I$6:$I$10005,0)),""))))</f>
        <v/>
      </c>
      <c r="F258" s="66" t="str">
        <f aca="false">IF($C258="","",IFERROR(INDEX(商品マスタ!$E$6:$E$1005,MATCH($C258,商品マスタ!$B$6:$B$1005,0)),IFERROR(INDEX(①今日の在庫を貼る!$E$6:$E$10005,MATCH($C258,①今日の在庫を貼る!$I$6:$I$10005,0)),IFERROR(INDEX(月1回_前回の在庫を貼る!$E$6:$E$10005,MATCH($C258,月1回_前回の在庫を貼る!$I$6:$I$10005,0)),""))))</f>
        <v/>
      </c>
      <c r="G258" s="69" t="str">
        <f aca="false">IF($C258="","",IFERROR(INDEX(商品マスタ!$F$6:$F$1005,MATCH($C258,商品マスタ!$B$6:$B$1005,0)),IFERROR(INDEX(①今日の在庫を貼る!$K$6:$K$10005,MATCH($C258,①今日の在庫を貼る!$I$6:$I$10005,0)),IFERROR(INDEX(月1回_前回の在庫を貼る!$K$6:$K$10005,MATCH($C258,月1回_前回の在庫を貼る!$I$6:$I$10005,0)),""))))</f>
        <v/>
      </c>
      <c r="H258" s="71" t="str">
        <f aca="false">IF($C258="","",IFERROR(INDEX(商品マスタ!$G$6:$G$1005,MATCH($C258,商品マスタ!$B$6:$B$1005,0)),IFERROR(INDEX(①今日の在庫を貼る!$Q$6:$Q$10005,MATCH($C258,①今日の在庫を貼る!$I$6:$I$10005,0)),IFERROR(INDEX(月1回_前回の在庫を貼る!$Q$6:$Q$10005,MATCH($C258,月1回_前回の在庫を貼る!$I$6:$I$10005,0)),""))))</f>
        <v/>
      </c>
      <c r="I258" s="66" t="str">
        <f aca="false">IF($C258="","",IFERROR(INDEX(商品マスタ!$H$6:$H$1005,MATCH($C258,商品マスタ!$B$6:$B$1005,0)),3))</f>
        <v/>
      </c>
      <c r="J258" s="66" t="str">
        <f aca="false">IF($C258="","",MAX(1,IFERROR(INDEX(商品マスタ!$I$6:$I$1005,MATCH($C258,商品マスタ!$B$6:$B$1005,0)),1)))</f>
        <v/>
      </c>
      <c r="K258" s="69" t="str">
        <f aca="false">IF($C258="","",SUMIFS(①今日の在庫を貼る!$N$6:$N$10005,①今日の在庫を貼る!$B$6:$B$10005,'設定（最初に1回）'!$C$4,①今日の在庫を貼る!$I$6:$I$10005,$C258))</f>
        <v/>
      </c>
      <c r="L258" s="69" t="str">
        <f aca="false">IF($C258="","",SUMIFS(月1回_前回の在庫を貼る!$N$6:$N$10005,月1回_前回の在庫を貼る!$B$6:$B$10005,'設定（最初に1回）'!$C$4,月1回_前回の在庫を貼る!$I$6:$I$10005,$C258))</f>
        <v/>
      </c>
      <c r="M258" s="69" t="str">
        <f aca="false">IF($C258="","",IF(OR('設定（最初に1回）'!$C$6="",'設定（最初に1回）'!$C$7=""),0,SUMIFS(発注管理!$S$6:$S$1005,発注管理!$C$6:$C$1005,'設定（最初に1回）'!$C$4,発注管理!$F$6:$F$1005,$C258,発注管理!$R$6:$R$1005,"&gt;="&amp;'設定（最初に1回）'!$C$7,発注管理!$R$6:$R$1005,"&lt;="&amp;'設定（最初に1回）'!$C$6)))</f>
        <v/>
      </c>
      <c r="N258" s="69" t="str">
        <f aca="false">IF(OR($C258="",'設定（最初に1回）'!$C$15=0),"",$L258+$M258-$K258)</f>
        <v/>
      </c>
      <c r="O258" s="143" t="str">
        <f aca="false">IF(OR($N258="",'設定（最初に1回）'!$C$8="",'設定（最初に1回）'!$C$8&lt;=0),"",MAX(0,$N258)/'設定（最初に1回）'!$C$8)</f>
        <v/>
      </c>
      <c r="P258" s="143" t="str">
        <f aca="false">IF($C258="","",IFERROR(INDEX(商品マスタ!$M$6:$N$1005,MATCH($C258,商品マスタ!$B$6:$B$1005,0),MATCH("PI値 "&amp;'設定（最初に1回）'!$C$11,商品マスタ!$M$5:$N$5,0)),""))</f>
        <v/>
      </c>
      <c r="Q258" s="143" t="str">
        <f aca="false">IF(OR($C258="",$P258="",$P258=0,(N($I258)+N($AG258))&lt;=0),"",IFERROR(SUMIFS(随時_動員を入れる!$G$8:$G$97,随時_動員を入れる!$B$8:$B$97,"&gt;="&amp;'設定（最初に1回）'!$C$6,随時_動員を入れる!$B$8:$B$97,"&lt;="&amp;'設定（最初に1回）'!$C$6+(N($I258)+N($AG258))-1)/(N($I258)+N($AG258)),0)*$P258/100)</f>
        <v/>
      </c>
      <c r="R258" s="69" t="str">
        <f aca="false">IF($C258="","",SUMIFS(①今日の在庫を貼る!$O$6:$O$10005,①今日の在庫を貼る!$B$6:$B$10005,'設定（最初に1回）'!$C$4,①今日の在庫を貼る!$I$6:$I$10005,$C258))</f>
        <v/>
      </c>
      <c r="S258" s="143" t="str">
        <f aca="false">IF($C258="","",IF('設定（最初に1回）'!$C$9="実績消費",N($O258),IF('設定（最初に1回）'!$C$9="PI値予測",N($Q258),MAX(N($O258),N($Q258)))))</f>
        <v/>
      </c>
      <c r="T258" s="67" t="str">
        <f aca="false">IF(OR($S258="",$S258&lt;=0),"",$K258/$S258)</f>
        <v/>
      </c>
      <c r="U258" s="69" t="str">
        <f aca="false">IF($S258="","",ROUNDUP(N($S258)*'設定（最初に1回）'!$C$12,0))</f>
        <v/>
      </c>
      <c r="V258" s="69" t="str">
        <f aca="false">IF($C258="","",ROUNDUP(N($S258)*(N($I258)+N($AG258))+N($U258),0))</f>
        <v/>
      </c>
      <c r="W258" s="69" t="str">
        <f aca="false">IF($C258="","",SUMIFS(発注管理!$L$6:$L$1005,発注管理!$C$6:$C$1005,'設定（最初に1回）'!$C$4,発注管理!$F$6:$F$1005,$C258,発注管理!$Q$6:$Q$1005,"発注済"))</f>
        <v/>
      </c>
      <c r="X258" s="69" t="str">
        <f aca="false">IF($C258="","",MAX(0,N($V258)-N($K258)-N($W258)))</f>
        <v/>
      </c>
      <c r="Y258" s="147" t="str">
        <f aca="false">IF($C258="","",IF(N($X258)&lt;=0,0,CEILING($X258/MAX(1,N($G258)),MAX(1,N($J258)))))</f>
        <v/>
      </c>
      <c r="Z258" s="138" t="str">
        <f aca="false">IF($C258="","",IF(N($Y258)&gt;0,"要発注","正常"))</f>
        <v/>
      </c>
      <c r="AA258" s="71" t="str">
        <f aca="false">IF($C258="","",N($K258)*N($H258))</f>
        <v/>
      </c>
      <c r="AB258" s="66" t="str">
        <f aca="false">IF($C258="","",_xlfn.TEXTJOIN(" / ",TRUE(),IF(COUNTIF(商品マスタ!$B$6:$B$1005,$C258)=0,"マスタ未登録",""),IF(COUNTIFS(月1回_前回の在庫を貼る!$B$6:$B$10005,'設定（最初に1回）'!$C$4,月1回_前回の在庫を貼る!$I$6:$I$10005,$C258)=0,"新商品",""),IF(COUNTIFS(①今日の在庫を貼る!$B$6:$B$10005,'設定（最初に1回）'!$C$4,①今日の在庫を貼る!$I$6:$I$10005,$C258)=0,"終売候補",""),IF(N($K258)&lt;0,"在庫マイナス",""),IF(AND('設定（最初に1回）'!$C$9="PI値予測",$P258=""),"PI値未設定","")))</f>
        <v/>
      </c>
      <c r="AC258" s="71" t="n">
        <f aca="false">N($Y258)*N($H258)</f>
        <v>0</v>
      </c>
      <c r="AD258" s="66" t="str">
        <f aca="false">IF($C258="","",IFERROR(INDEX(商品マスタ!$K$6:$K$1005,MATCH($C258,商品マスタ!$B$6:$B$1005,0)),"常温"))</f>
        <v/>
      </c>
      <c r="AE258" s="69" t="str">
        <f aca="false">IF($C258="","",MAX(0,ROUNDUP(N($K258)/MAX(1,N($G258)),0)))</f>
        <v/>
      </c>
      <c r="AF258" s="66" t="str">
        <f aca="false">IF($C258="","",IFERROR(INDEX(商品マスタ!$L$6:$L$1005,MATCH($C258,商品マスタ!$B$6:$B$1005,0)),""))</f>
        <v/>
      </c>
      <c r="AG258" s="143" t="str">
        <f aca="false">IF($C258="","",IFERROR(INDEX(定数マスタ!$S$110:$S$119,MATCH($AF258,定数マスタ!$J$110:$J$119,0)),N('設定（最初に1回）'!$C$13)))</f>
        <v/>
      </c>
      <c r="AH258" s="66" t="n">
        <f aca="false">IF(AND(N($K258)&gt;0,N($Y258)&gt;0),N($Y258),0)</f>
        <v>0</v>
      </c>
    </row>
    <row r="259" customFormat="false" ht="15" hidden="false" customHeight="false" outlineLevel="0" collapsed="false">
      <c r="B259" s="66" t="n">
        <v>254</v>
      </c>
      <c r="C259" s="66" t="str">
        <f aca="false">IFERROR(IF($B259&lt;=MAX(①今日の在庫を貼る!$U$6:$U$10005),INDEX(①今日の在庫を貼る!$I$6:$I$10005,MATCH($B259,①今日の在庫を貼る!$U$6:$U$10005,0)),INDEX(月1回_前回の在庫を貼る!$I$6:$I$10005,MATCH($B259-MAX(①今日の在庫を貼る!$U$6:$U$10005),月1回_前回の在庫を貼る!$U$6:$U$10005,0))),"")</f>
        <v/>
      </c>
      <c r="D259" s="66" t="str">
        <f aca="false">IF($C259="","",IFERROR(INDEX(商品マスタ!$C$6:$C$1005,MATCH($C259,商品マスタ!$B$6:$B$1005,0)),IFERROR(INDEX(①今日の在庫を貼る!$J$6:$J$10005,MATCH($C259,①今日の在庫を貼る!$I$6:$I$10005,0)),IFERROR(INDEX(月1回_前回の在庫を貼る!$J$6:$J$10005,MATCH($C259,月1回_前回の在庫を貼る!$I$6:$I$10005,0)),""))))</f>
        <v/>
      </c>
      <c r="E259" s="66" t="str">
        <f aca="false">IF($C259="","",IFERROR(INDEX(商品マスタ!$D$6:$D$1005,MATCH($C259,商品マスタ!$B$6:$B$1005,0)),IFERROR(INDEX(①今日の在庫を貼る!$H$6:$H$10005,MATCH($C259,①今日の在庫を貼る!$I$6:$I$10005,0)),IFERROR(INDEX(月1回_前回の在庫を貼る!$H$6:$H$10005,MATCH($C259,月1回_前回の在庫を貼る!$I$6:$I$10005,0)),""))))</f>
        <v/>
      </c>
      <c r="F259" s="66" t="str">
        <f aca="false">IF($C259="","",IFERROR(INDEX(商品マスタ!$E$6:$E$1005,MATCH($C259,商品マスタ!$B$6:$B$1005,0)),IFERROR(INDEX(①今日の在庫を貼る!$E$6:$E$10005,MATCH($C259,①今日の在庫を貼る!$I$6:$I$10005,0)),IFERROR(INDEX(月1回_前回の在庫を貼る!$E$6:$E$10005,MATCH($C259,月1回_前回の在庫を貼る!$I$6:$I$10005,0)),""))))</f>
        <v/>
      </c>
      <c r="G259" s="69" t="str">
        <f aca="false">IF($C259="","",IFERROR(INDEX(商品マスタ!$F$6:$F$1005,MATCH($C259,商品マスタ!$B$6:$B$1005,0)),IFERROR(INDEX(①今日の在庫を貼る!$K$6:$K$10005,MATCH($C259,①今日の在庫を貼る!$I$6:$I$10005,0)),IFERROR(INDEX(月1回_前回の在庫を貼る!$K$6:$K$10005,MATCH($C259,月1回_前回の在庫を貼る!$I$6:$I$10005,0)),""))))</f>
        <v/>
      </c>
      <c r="H259" s="71" t="str">
        <f aca="false">IF($C259="","",IFERROR(INDEX(商品マスタ!$G$6:$G$1005,MATCH($C259,商品マスタ!$B$6:$B$1005,0)),IFERROR(INDEX(①今日の在庫を貼る!$Q$6:$Q$10005,MATCH($C259,①今日の在庫を貼る!$I$6:$I$10005,0)),IFERROR(INDEX(月1回_前回の在庫を貼る!$Q$6:$Q$10005,MATCH($C259,月1回_前回の在庫を貼る!$I$6:$I$10005,0)),""))))</f>
        <v/>
      </c>
      <c r="I259" s="66" t="str">
        <f aca="false">IF($C259="","",IFERROR(INDEX(商品マスタ!$H$6:$H$1005,MATCH($C259,商品マスタ!$B$6:$B$1005,0)),3))</f>
        <v/>
      </c>
      <c r="J259" s="66" t="str">
        <f aca="false">IF($C259="","",MAX(1,IFERROR(INDEX(商品マスタ!$I$6:$I$1005,MATCH($C259,商品マスタ!$B$6:$B$1005,0)),1)))</f>
        <v/>
      </c>
      <c r="K259" s="69" t="str">
        <f aca="false">IF($C259="","",SUMIFS(①今日の在庫を貼る!$N$6:$N$10005,①今日の在庫を貼る!$B$6:$B$10005,'設定（最初に1回）'!$C$4,①今日の在庫を貼る!$I$6:$I$10005,$C259))</f>
        <v/>
      </c>
      <c r="L259" s="69" t="str">
        <f aca="false">IF($C259="","",SUMIFS(月1回_前回の在庫を貼る!$N$6:$N$10005,月1回_前回の在庫を貼る!$B$6:$B$10005,'設定（最初に1回）'!$C$4,月1回_前回の在庫を貼る!$I$6:$I$10005,$C259))</f>
        <v/>
      </c>
      <c r="M259" s="69" t="str">
        <f aca="false">IF($C259="","",IF(OR('設定（最初に1回）'!$C$6="",'設定（最初に1回）'!$C$7=""),0,SUMIFS(発注管理!$S$6:$S$1005,発注管理!$C$6:$C$1005,'設定（最初に1回）'!$C$4,発注管理!$F$6:$F$1005,$C259,発注管理!$R$6:$R$1005,"&gt;="&amp;'設定（最初に1回）'!$C$7,発注管理!$R$6:$R$1005,"&lt;="&amp;'設定（最初に1回）'!$C$6)))</f>
        <v/>
      </c>
      <c r="N259" s="69" t="str">
        <f aca="false">IF(OR($C259="",'設定（最初に1回）'!$C$15=0),"",$L259+$M259-$K259)</f>
        <v/>
      </c>
      <c r="O259" s="143" t="str">
        <f aca="false">IF(OR($N259="",'設定（最初に1回）'!$C$8="",'設定（最初に1回）'!$C$8&lt;=0),"",MAX(0,$N259)/'設定（最初に1回）'!$C$8)</f>
        <v/>
      </c>
      <c r="P259" s="143" t="str">
        <f aca="false">IF($C259="","",IFERROR(INDEX(商品マスタ!$M$6:$N$1005,MATCH($C259,商品マスタ!$B$6:$B$1005,0),MATCH("PI値 "&amp;'設定（最初に1回）'!$C$11,商品マスタ!$M$5:$N$5,0)),""))</f>
        <v/>
      </c>
      <c r="Q259" s="143" t="str">
        <f aca="false">IF(OR($C259="",$P259="",$P259=0,(N($I259)+N($AG259))&lt;=0),"",IFERROR(SUMIFS(随時_動員を入れる!$G$8:$G$97,随時_動員を入れる!$B$8:$B$97,"&gt;="&amp;'設定（最初に1回）'!$C$6,随時_動員を入れる!$B$8:$B$97,"&lt;="&amp;'設定（最初に1回）'!$C$6+(N($I259)+N($AG259))-1)/(N($I259)+N($AG259)),0)*$P259/100)</f>
        <v/>
      </c>
      <c r="R259" s="69" t="str">
        <f aca="false">IF($C259="","",SUMIFS(①今日の在庫を貼る!$O$6:$O$10005,①今日の在庫を貼る!$B$6:$B$10005,'設定（最初に1回）'!$C$4,①今日の在庫を貼る!$I$6:$I$10005,$C259))</f>
        <v/>
      </c>
      <c r="S259" s="143" t="str">
        <f aca="false">IF($C259="","",IF('設定（最初に1回）'!$C$9="実績消費",N($O259),IF('設定（最初に1回）'!$C$9="PI値予測",N($Q259),MAX(N($O259),N($Q259)))))</f>
        <v/>
      </c>
      <c r="T259" s="67" t="str">
        <f aca="false">IF(OR($S259="",$S259&lt;=0),"",$K259/$S259)</f>
        <v/>
      </c>
      <c r="U259" s="69" t="str">
        <f aca="false">IF($S259="","",ROUNDUP(N($S259)*'設定（最初に1回）'!$C$12,0))</f>
        <v/>
      </c>
      <c r="V259" s="69" t="str">
        <f aca="false">IF($C259="","",ROUNDUP(N($S259)*(N($I259)+N($AG259))+N($U259),0))</f>
        <v/>
      </c>
      <c r="W259" s="69" t="str">
        <f aca="false">IF($C259="","",SUMIFS(発注管理!$L$6:$L$1005,発注管理!$C$6:$C$1005,'設定（最初に1回）'!$C$4,発注管理!$F$6:$F$1005,$C259,発注管理!$Q$6:$Q$1005,"発注済"))</f>
        <v/>
      </c>
      <c r="X259" s="69" t="str">
        <f aca="false">IF($C259="","",MAX(0,N($V259)-N($K259)-N($W259)))</f>
        <v/>
      </c>
      <c r="Y259" s="147" t="str">
        <f aca="false">IF($C259="","",IF(N($X259)&lt;=0,0,CEILING($X259/MAX(1,N($G259)),MAX(1,N($J259)))))</f>
        <v/>
      </c>
      <c r="Z259" s="138" t="str">
        <f aca="false">IF($C259="","",IF(N($Y259)&gt;0,"要発注","正常"))</f>
        <v/>
      </c>
      <c r="AA259" s="71" t="str">
        <f aca="false">IF($C259="","",N($K259)*N($H259))</f>
        <v/>
      </c>
      <c r="AB259" s="66" t="str">
        <f aca="false">IF($C259="","",_xlfn.TEXTJOIN(" / ",TRUE(),IF(COUNTIF(商品マスタ!$B$6:$B$1005,$C259)=0,"マスタ未登録",""),IF(COUNTIFS(月1回_前回の在庫を貼る!$B$6:$B$10005,'設定（最初に1回）'!$C$4,月1回_前回の在庫を貼る!$I$6:$I$10005,$C259)=0,"新商品",""),IF(COUNTIFS(①今日の在庫を貼る!$B$6:$B$10005,'設定（最初に1回）'!$C$4,①今日の在庫を貼る!$I$6:$I$10005,$C259)=0,"終売候補",""),IF(N($K259)&lt;0,"在庫マイナス",""),IF(AND('設定（最初に1回）'!$C$9="PI値予測",$P259=""),"PI値未設定","")))</f>
        <v/>
      </c>
      <c r="AC259" s="71" t="n">
        <f aca="false">N($Y259)*N($H259)</f>
        <v>0</v>
      </c>
      <c r="AD259" s="66" t="str">
        <f aca="false">IF($C259="","",IFERROR(INDEX(商品マスタ!$K$6:$K$1005,MATCH($C259,商品マスタ!$B$6:$B$1005,0)),"常温"))</f>
        <v/>
      </c>
      <c r="AE259" s="69" t="str">
        <f aca="false">IF($C259="","",MAX(0,ROUNDUP(N($K259)/MAX(1,N($G259)),0)))</f>
        <v/>
      </c>
      <c r="AF259" s="66" t="str">
        <f aca="false">IF($C259="","",IFERROR(INDEX(商品マスタ!$L$6:$L$1005,MATCH($C259,商品マスタ!$B$6:$B$1005,0)),""))</f>
        <v/>
      </c>
      <c r="AG259" s="143" t="str">
        <f aca="false">IF($C259="","",IFERROR(INDEX(定数マスタ!$S$110:$S$119,MATCH($AF259,定数マスタ!$J$110:$J$119,0)),N('設定（最初に1回）'!$C$13)))</f>
        <v/>
      </c>
      <c r="AH259" s="66" t="n">
        <f aca="false">IF(AND(N($K259)&gt;0,N($Y259)&gt;0),N($Y259),0)</f>
        <v>0</v>
      </c>
    </row>
    <row r="260" customFormat="false" ht="15" hidden="false" customHeight="false" outlineLevel="0" collapsed="false">
      <c r="B260" s="66" t="n">
        <v>255</v>
      </c>
      <c r="C260" s="66" t="str">
        <f aca="false">IFERROR(IF($B260&lt;=MAX(①今日の在庫を貼る!$U$6:$U$10005),INDEX(①今日の在庫を貼る!$I$6:$I$10005,MATCH($B260,①今日の在庫を貼る!$U$6:$U$10005,0)),INDEX(月1回_前回の在庫を貼る!$I$6:$I$10005,MATCH($B260-MAX(①今日の在庫を貼る!$U$6:$U$10005),月1回_前回の在庫を貼る!$U$6:$U$10005,0))),"")</f>
        <v/>
      </c>
      <c r="D260" s="66" t="str">
        <f aca="false">IF($C260="","",IFERROR(INDEX(商品マスタ!$C$6:$C$1005,MATCH($C260,商品マスタ!$B$6:$B$1005,0)),IFERROR(INDEX(①今日の在庫を貼る!$J$6:$J$10005,MATCH($C260,①今日の在庫を貼る!$I$6:$I$10005,0)),IFERROR(INDEX(月1回_前回の在庫を貼る!$J$6:$J$10005,MATCH($C260,月1回_前回の在庫を貼る!$I$6:$I$10005,0)),""))))</f>
        <v/>
      </c>
      <c r="E260" s="66" t="str">
        <f aca="false">IF($C260="","",IFERROR(INDEX(商品マスタ!$D$6:$D$1005,MATCH($C260,商品マスタ!$B$6:$B$1005,0)),IFERROR(INDEX(①今日の在庫を貼る!$H$6:$H$10005,MATCH($C260,①今日の在庫を貼る!$I$6:$I$10005,0)),IFERROR(INDEX(月1回_前回の在庫を貼る!$H$6:$H$10005,MATCH($C260,月1回_前回の在庫を貼る!$I$6:$I$10005,0)),""))))</f>
        <v/>
      </c>
      <c r="F260" s="66" t="str">
        <f aca="false">IF($C260="","",IFERROR(INDEX(商品マスタ!$E$6:$E$1005,MATCH($C260,商品マスタ!$B$6:$B$1005,0)),IFERROR(INDEX(①今日の在庫を貼る!$E$6:$E$10005,MATCH($C260,①今日の在庫を貼る!$I$6:$I$10005,0)),IFERROR(INDEX(月1回_前回の在庫を貼る!$E$6:$E$10005,MATCH($C260,月1回_前回の在庫を貼る!$I$6:$I$10005,0)),""))))</f>
        <v/>
      </c>
      <c r="G260" s="69" t="str">
        <f aca="false">IF($C260="","",IFERROR(INDEX(商品マスタ!$F$6:$F$1005,MATCH($C260,商品マスタ!$B$6:$B$1005,0)),IFERROR(INDEX(①今日の在庫を貼る!$K$6:$K$10005,MATCH($C260,①今日の在庫を貼る!$I$6:$I$10005,0)),IFERROR(INDEX(月1回_前回の在庫を貼る!$K$6:$K$10005,MATCH($C260,月1回_前回の在庫を貼る!$I$6:$I$10005,0)),""))))</f>
        <v/>
      </c>
      <c r="H260" s="71" t="str">
        <f aca="false">IF($C260="","",IFERROR(INDEX(商品マスタ!$G$6:$G$1005,MATCH($C260,商品マスタ!$B$6:$B$1005,0)),IFERROR(INDEX(①今日の在庫を貼る!$Q$6:$Q$10005,MATCH($C260,①今日の在庫を貼る!$I$6:$I$10005,0)),IFERROR(INDEX(月1回_前回の在庫を貼る!$Q$6:$Q$10005,MATCH($C260,月1回_前回の在庫を貼る!$I$6:$I$10005,0)),""))))</f>
        <v/>
      </c>
      <c r="I260" s="66" t="str">
        <f aca="false">IF($C260="","",IFERROR(INDEX(商品マスタ!$H$6:$H$1005,MATCH($C260,商品マスタ!$B$6:$B$1005,0)),3))</f>
        <v/>
      </c>
      <c r="J260" s="66" t="str">
        <f aca="false">IF($C260="","",MAX(1,IFERROR(INDEX(商品マスタ!$I$6:$I$1005,MATCH($C260,商品マスタ!$B$6:$B$1005,0)),1)))</f>
        <v/>
      </c>
      <c r="K260" s="69" t="str">
        <f aca="false">IF($C260="","",SUMIFS(①今日の在庫を貼る!$N$6:$N$10005,①今日の在庫を貼る!$B$6:$B$10005,'設定（最初に1回）'!$C$4,①今日の在庫を貼る!$I$6:$I$10005,$C260))</f>
        <v/>
      </c>
      <c r="L260" s="69" t="str">
        <f aca="false">IF($C260="","",SUMIFS(月1回_前回の在庫を貼る!$N$6:$N$10005,月1回_前回の在庫を貼る!$B$6:$B$10005,'設定（最初に1回）'!$C$4,月1回_前回の在庫を貼る!$I$6:$I$10005,$C260))</f>
        <v/>
      </c>
      <c r="M260" s="69" t="str">
        <f aca="false">IF($C260="","",IF(OR('設定（最初に1回）'!$C$6="",'設定（最初に1回）'!$C$7=""),0,SUMIFS(発注管理!$S$6:$S$1005,発注管理!$C$6:$C$1005,'設定（最初に1回）'!$C$4,発注管理!$F$6:$F$1005,$C260,発注管理!$R$6:$R$1005,"&gt;="&amp;'設定（最初に1回）'!$C$7,発注管理!$R$6:$R$1005,"&lt;="&amp;'設定（最初に1回）'!$C$6)))</f>
        <v/>
      </c>
      <c r="N260" s="69" t="str">
        <f aca="false">IF(OR($C260="",'設定（最初に1回）'!$C$15=0),"",$L260+$M260-$K260)</f>
        <v/>
      </c>
      <c r="O260" s="143" t="str">
        <f aca="false">IF(OR($N260="",'設定（最初に1回）'!$C$8="",'設定（最初に1回）'!$C$8&lt;=0),"",MAX(0,$N260)/'設定（最初に1回）'!$C$8)</f>
        <v/>
      </c>
      <c r="P260" s="143" t="str">
        <f aca="false">IF($C260="","",IFERROR(INDEX(商品マスタ!$M$6:$N$1005,MATCH($C260,商品マスタ!$B$6:$B$1005,0),MATCH("PI値 "&amp;'設定（最初に1回）'!$C$11,商品マスタ!$M$5:$N$5,0)),""))</f>
        <v/>
      </c>
      <c r="Q260" s="143" t="str">
        <f aca="false">IF(OR($C260="",$P260="",$P260=0,(N($I260)+N($AG260))&lt;=0),"",IFERROR(SUMIFS(随時_動員を入れる!$G$8:$G$97,随時_動員を入れる!$B$8:$B$97,"&gt;="&amp;'設定（最初に1回）'!$C$6,随時_動員を入れる!$B$8:$B$97,"&lt;="&amp;'設定（最初に1回）'!$C$6+(N($I260)+N($AG260))-1)/(N($I260)+N($AG260)),0)*$P260/100)</f>
        <v/>
      </c>
      <c r="R260" s="69" t="str">
        <f aca="false">IF($C260="","",SUMIFS(①今日の在庫を貼る!$O$6:$O$10005,①今日の在庫を貼る!$B$6:$B$10005,'設定（最初に1回）'!$C$4,①今日の在庫を貼る!$I$6:$I$10005,$C260))</f>
        <v/>
      </c>
      <c r="S260" s="143" t="str">
        <f aca="false">IF($C260="","",IF('設定（最初に1回）'!$C$9="実績消費",N($O260),IF('設定（最初に1回）'!$C$9="PI値予測",N($Q260),MAX(N($O260),N($Q260)))))</f>
        <v/>
      </c>
      <c r="T260" s="67" t="str">
        <f aca="false">IF(OR($S260="",$S260&lt;=0),"",$K260/$S260)</f>
        <v/>
      </c>
      <c r="U260" s="69" t="str">
        <f aca="false">IF($S260="","",ROUNDUP(N($S260)*'設定（最初に1回）'!$C$12,0))</f>
        <v/>
      </c>
      <c r="V260" s="69" t="str">
        <f aca="false">IF($C260="","",ROUNDUP(N($S260)*(N($I260)+N($AG260))+N($U260),0))</f>
        <v/>
      </c>
      <c r="W260" s="69" t="str">
        <f aca="false">IF($C260="","",SUMIFS(発注管理!$L$6:$L$1005,発注管理!$C$6:$C$1005,'設定（最初に1回）'!$C$4,発注管理!$F$6:$F$1005,$C260,発注管理!$Q$6:$Q$1005,"発注済"))</f>
        <v/>
      </c>
      <c r="X260" s="69" t="str">
        <f aca="false">IF($C260="","",MAX(0,N($V260)-N($K260)-N($W260)))</f>
        <v/>
      </c>
      <c r="Y260" s="147" t="str">
        <f aca="false">IF($C260="","",IF(N($X260)&lt;=0,0,CEILING($X260/MAX(1,N($G260)),MAX(1,N($J260)))))</f>
        <v/>
      </c>
      <c r="Z260" s="138" t="str">
        <f aca="false">IF($C260="","",IF(N($Y260)&gt;0,"要発注","正常"))</f>
        <v/>
      </c>
      <c r="AA260" s="71" t="str">
        <f aca="false">IF($C260="","",N($K260)*N($H260))</f>
        <v/>
      </c>
      <c r="AB260" s="66" t="str">
        <f aca="false">IF($C260="","",_xlfn.TEXTJOIN(" / ",TRUE(),IF(COUNTIF(商品マスタ!$B$6:$B$1005,$C260)=0,"マスタ未登録",""),IF(COUNTIFS(月1回_前回の在庫を貼る!$B$6:$B$10005,'設定（最初に1回）'!$C$4,月1回_前回の在庫を貼る!$I$6:$I$10005,$C260)=0,"新商品",""),IF(COUNTIFS(①今日の在庫を貼る!$B$6:$B$10005,'設定（最初に1回）'!$C$4,①今日の在庫を貼る!$I$6:$I$10005,$C260)=0,"終売候補",""),IF(N($K260)&lt;0,"在庫マイナス",""),IF(AND('設定（最初に1回）'!$C$9="PI値予測",$P260=""),"PI値未設定","")))</f>
        <v/>
      </c>
      <c r="AC260" s="71" t="n">
        <f aca="false">N($Y260)*N($H260)</f>
        <v>0</v>
      </c>
      <c r="AD260" s="66" t="str">
        <f aca="false">IF($C260="","",IFERROR(INDEX(商品マスタ!$K$6:$K$1005,MATCH($C260,商品マスタ!$B$6:$B$1005,0)),"常温"))</f>
        <v/>
      </c>
      <c r="AE260" s="69" t="str">
        <f aca="false">IF($C260="","",MAX(0,ROUNDUP(N($K260)/MAX(1,N($G260)),0)))</f>
        <v/>
      </c>
      <c r="AF260" s="66" t="str">
        <f aca="false">IF($C260="","",IFERROR(INDEX(商品マスタ!$L$6:$L$1005,MATCH($C260,商品マスタ!$B$6:$B$1005,0)),""))</f>
        <v/>
      </c>
      <c r="AG260" s="143" t="str">
        <f aca="false">IF($C260="","",IFERROR(INDEX(定数マスタ!$S$110:$S$119,MATCH($AF260,定数マスタ!$J$110:$J$119,0)),N('設定（最初に1回）'!$C$13)))</f>
        <v/>
      </c>
      <c r="AH260" s="66" t="n">
        <f aca="false">IF(AND(N($K260)&gt;0,N($Y260)&gt;0),N($Y260),0)</f>
        <v>0</v>
      </c>
    </row>
    <row r="261" customFormat="false" ht="15" hidden="false" customHeight="false" outlineLevel="0" collapsed="false">
      <c r="B261" s="66" t="n">
        <v>256</v>
      </c>
      <c r="C261" s="66" t="str">
        <f aca="false">IFERROR(IF($B261&lt;=MAX(①今日の在庫を貼る!$U$6:$U$10005),INDEX(①今日の在庫を貼る!$I$6:$I$10005,MATCH($B261,①今日の在庫を貼る!$U$6:$U$10005,0)),INDEX(月1回_前回の在庫を貼る!$I$6:$I$10005,MATCH($B261-MAX(①今日の在庫を貼る!$U$6:$U$10005),月1回_前回の在庫を貼る!$U$6:$U$10005,0))),"")</f>
        <v/>
      </c>
      <c r="D261" s="66" t="str">
        <f aca="false">IF($C261="","",IFERROR(INDEX(商品マスタ!$C$6:$C$1005,MATCH($C261,商品マスタ!$B$6:$B$1005,0)),IFERROR(INDEX(①今日の在庫を貼る!$J$6:$J$10005,MATCH($C261,①今日の在庫を貼る!$I$6:$I$10005,0)),IFERROR(INDEX(月1回_前回の在庫を貼る!$J$6:$J$10005,MATCH($C261,月1回_前回の在庫を貼る!$I$6:$I$10005,0)),""))))</f>
        <v/>
      </c>
      <c r="E261" s="66" t="str">
        <f aca="false">IF($C261="","",IFERROR(INDEX(商品マスタ!$D$6:$D$1005,MATCH($C261,商品マスタ!$B$6:$B$1005,0)),IFERROR(INDEX(①今日の在庫を貼る!$H$6:$H$10005,MATCH($C261,①今日の在庫を貼る!$I$6:$I$10005,0)),IFERROR(INDEX(月1回_前回の在庫を貼る!$H$6:$H$10005,MATCH($C261,月1回_前回の在庫を貼る!$I$6:$I$10005,0)),""))))</f>
        <v/>
      </c>
      <c r="F261" s="66" t="str">
        <f aca="false">IF($C261="","",IFERROR(INDEX(商品マスタ!$E$6:$E$1005,MATCH($C261,商品マスタ!$B$6:$B$1005,0)),IFERROR(INDEX(①今日の在庫を貼る!$E$6:$E$10005,MATCH($C261,①今日の在庫を貼る!$I$6:$I$10005,0)),IFERROR(INDEX(月1回_前回の在庫を貼る!$E$6:$E$10005,MATCH($C261,月1回_前回の在庫を貼る!$I$6:$I$10005,0)),""))))</f>
        <v/>
      </c>
      <c r="G261" s="69" t="str">
        <f aca="false">IF($C261="","",IFERROR(INDEX(商品マスタ!$F$6:$F$1005,MATCH($C261,商品マスタ!$B$6:$B$1005,0)),IFERROR(INDEX(①今日の在庫を貼る!$K$6:$K$10005,MATCH($C261,①今日の在庫を貼る!$I$6:$I$10005,0)),IFERROR(INDEX(月1回_前回の在庫を貼る!$K$6:$K$10005,MATCH($C261,月1回_前回の在庫を貼る!$I$6:$I$10005,0)),""))))</f>
        <v/>
      </c>
      <c r="H261" s="71" t="str">
        <f aca="false">IF($C261="","",IFERROR(INDEX(商品マスタ!$G$6:$G$1005,MATCH($C261,商品マスタ!$B$6:$B$1005,0)),IFERROR(INDEX(①今日の在庫を貼る!$Q$6:$Q$10005,MATCH($C261,①今日の在庫を貼る!$I$6:$I$10005,0)),IFERROR(INDEX(月1回_前回の在庫を貼る!$Q$6:$Q$10005,MATCH($C261,月1回_前回の在庫を貼る!$I$6:$I$10005,0)),""))))</f>
        <v/>
      </c>
      <c r="I261" s="66" t="str">
        <f aca="false">IF($C261="","",IFERROR(INDEX(商品マスタ!$H$6:$H$1005,MATCH($C261,商品マスタ!$B$6:$B$1005,0)),3))</f>
        <v/>
      </c>
      <c r="J261" s="66" t="str">
        <f aca="false">IF($C261="","",MAX(1,IFERROR(INDEX(商品マスタ!$I$6:$I$1005,MATCH($C261,商品マスタ!$B$6:$B$1005,0)),1)))</f>
        <v/>
      </c>
      <c r="K261" s="69" t="str">
        <f aca="false">IF($C261="","",SUMIFS(①今日の在庫を貼る!$N$6:$N$10005,①今日の在庫を貼る!$B$6:$B$10005,'設定（最初に1回）'!$C$4,①今日の在庫を貼る!$I$6:$I$10005,$C261))</f>
        <v/>
      </c>
      <c r="L261" s="69" t="str">
        <f aca="false">IF($C261="","",SUMIFS(月1回_前回の在庫を貼る!$N$6:$N$10005,月1回_前回の在庫を貼る!$B$6:$B$10005,'設定（最初に1回）'!$C$4,月1回_前回の在庫を貼る!$I$6:$I$10005,$C261))</f>
        <v/>
      </c>
      <c r="M261" s="69" t="str">
        <f aca="false">IF($C261="","",IF(OR('設定（最初に1回）'!$C$6="",'設定（最初に1回）'!$C$7=""),0,SUMIFS(発注管理!$S$6:$S$1005,発注管理!$C$6:$C$1005,'設定（最初に1回）'!$C$4,発注管理!$F$6:$F$1005,$C261,発注管理!$R$6:$R$1005,"&gt;="&amp;'設定（最初に1回）'!$C$7,発注管理!$R$6:$R$1005,"&lt;="&amp;'設定（最初に1回）'!$C$6)))</f>
        <v/>
      </c>
      <c r="N261" s="69" t="str">
        <f aca="false">IF(OR($C261="",'設定（最初に1回）'!$C$15=0),"",$L261+$M261-$K261)</f>
        <v/>
      </c>
      <c r="O261" s="143" t="str">
        <f aca="false">IF(OR($N261="",'設定（最初に1回）'!$C$8="",'設定（最初に1回）'!$C$8&lt;=0),"",MAX(0,$N261)/'設定（最初に1回）'!$C$8)</f>
        <v/>
      </c>
      <c r="P261" s="143" t="str">
        <f aca="false">IF($C261="","",IFERROR(INDEX(商品マスタ!$M$6:$N$1005,MATCH($C261,商品マスタ!$B$6:$B$1005,0),MATCH("PI値 "&amp;'設定（最初に1回）'!$C$11,商品マスタ!$M$5:$N$5,0)),""))</f>
        <v/>
      </c>
      <c r="Q261" s="143" t="str">
        <f aca="false">IF(OR($C261="",$P261="",$P261=0,(N($I261)+N($AG261))&lt;=0),"",IFERROR(SUMIFS(随時_動員を入れる!$G$8:$G$97,随時_動員を入れる!$B$8:$B$97,"&gt;="&amp;'設定（最初に1回）'!$C$6,随時_動員を入れる!$B$8:$B$97,"&lt;="&amp;'設定（最初に1回）'!$C$6+(N($I261)+N($AG261))-1)/(N($I261)+N($AG261)),0)*$P261/100)</f>
        <v/>
      </c>
      <c r="R261" s="69" t="str">
        <f aca="false">IF($C261="","",SUMIFS(①今日の在庫を貼る!$O$6:$O$10005,①今日の在庫を貼る!$B$6:$B$10005,'設定（最初に1回）'!$C$4,①今日の在庫を貼る!$I$6:$I$10005,$C261))</f>
        <v/>
      </c>
      <c r="S261" s="143" t="str">
        <f aca="false">IF($C261="","",IF('設定（最初に1回）'!$C$9="実績消費",N($O261),IF('設定（最初に1回）'!$C$9="PI値予測",N($Q261),MAX(N($O261),N($Q261)))))</f>
        <v/>
      </c>
      <c r="T261" s="67" t="str">
        <f aca="false">IF(OR($S261="",$S261&lt;=0),"",$K261/$S261)</f>
        <v/>
      </c>
      <c r="U261" s="69" t="str">
        <f aca="false">IF($S261="","",ROUNDUP(N($S261)*'設定（最初に1回）'!$C$12,0))</f>
        <v/>
      </c>
      <c r="V261" s="69" t="str">
        <f aca="false">IF($C261="","",ROUNDUP(N($S261)*(N($I261)+N($AG261))+N($U261),0))</f>
        <v/>
      </c>
      <c r="W261" s="69" t="str">
        <f aca="false">IF($C261="","",SUMIFS(発注管理!$L$6:$L$1005,発注管理!$C$6:$C$1005,'設定（最初に1回）'!$C$4,発注管理!$F$6:$F$1005,$C261,発注管理!$Q$6:$Q$1005,"発注済"))</f>
        <v/>
      </c>
      <c r="X261" s="69" t="str">
        <f aca="false">IF($C261="","",MAX(0,N($V261)-N($K261)-N($W261)))</f>
        <v/>
      </c>
      <c r="Y261" s="147" t="str">
        <f aca="false">IF($C261="","",IF(N($X261)&lt;=0,0,CEILING($X261/MAX(1,N($G261)),MAX(1,N($J261)))))</f>
        <v/>
      </c>
      <c r="Z261" s="138" t="str">
        <f aca="false">IF($C261="","",IF(N($Y261)&gt;0,"要発注","正常"))</f>
        <v/>
      </c>
      <c r="AA261" s="71" t="str">
        <f aca="false">IF($C261="","",N($K261)*N($H261))</f>
        <v/>
      </c>
      <c r="AB261" s="66" t="str">
        <f aca="false">IF($C261="","",_xlfn.TEXTJOIN(" / ",TRUE(),IF(COUNTIF(商品マスタ!$B$6:$B$1005,$C261)=0,"マスタ未登録",""),IF(COUNTIFS(月1回_前回の在庫を貼る!$B$6:$B$10005,'設定（最初に1回）'!$C$4,月1回_前回の在庫を貼る!$I$6:$I$10005,$C261)=0,"新商品",""),IF(COUNTIFS(①今日の在庫を貼る!$B$6:$B$10005,'設定（最初に1回）'!$C$4,①今日の在庫を貼る!$I$6:$I$10005,$C261)=0,"終売候補",""),IF(N($K261)&lt;0,"在庫マイナス",""),IF(AND('設定（最初に1回）'!$C$9="PI値予測",$P261=""),"PI値未設定","")))</f>
        <v/>
      </c>
      <c r="AC261" s="71" t="n">
        <f aca="false">N($Y261)*N($H261)</f>
        <v>0</v>
      </c>
      <c r="AD261" s="66" t="str">
        <f aca="false">IF($C261="","",IFERROR(INDEX(商品マスタ!$K$6:$K$1005,MATCH($C261,商品マスタ!$B$6:$B$1005,0)),"常温"))</f>
        <v/>
      </c>
      <c r="AE261" s="69" t="str">
        <f aca="false">IF($C261="","",MAX(0,ROUNDUP(N($K261)/MAX(1,N($G261)),0)))</f>
        <v/>
      </c>
      <c r="AF261" s="66" t="str">
        <f aca="false">IF($C261="","",IFERROR(INDEX(商品マスタ!$L$6:$L$1005,MATCH($C261,商品マスタ!$B$6:$B$1005,0)),""))</f>
        <v/>
      </c>
      <c r="AG261" s="143" t="str">
        <f aca="false">IF($C261="","",IFERROR(INDEX(定数マスタ!$S$110:$S$119,MATCH($AF261,定数マスタ!$J$110:$J$119,0)),N('設定（最初に1回）'!$C$13)))</f>
        <v/>
      </c>
      <c r="AH261" s="66" t="n">
        <f aca="false">IF(AND(N($K261)&gt;0,N($Y261)&gt;0),N($Y261),0)</f>
        <v>0</v>
      </c>
    </row>
    <row r="262" customFormat="false" ht="15" hidden="false" customHeight="false" outlineLevel="0" collapsed="false">
      <c r="B262" s="66" t="n">
        <v>257</v>
      </c>
      <c r="C262" s="66" t="str">
        <f aca="false">IFERROR(IF($B262&lt;=MAX(①今日の在庫を貼る!$U$6:$U$10005),INDEX(①今日の在庫を貼る!$I$6:$I$10005,MATCH($B262,①今日の在庫を貼る!$U$6:$U$10005,0)),INDEX(月1回_前回の在庫を貼る!$I$6:$I$10005,MATCH($B262-MAX(①今日の在庫を貼る!$U$6:$U$10005),月1回_前回の在庫を貼る!$U$6:$U$10005,0))),"")</f>
        <v/>
      </c>
      <c r="D262" s="66" t="str">
        <f aca="false">IF($C262="","",IFERROR(INDEX(商品マスタ!$C$6:$C$1005,MATCH($C262,商品マスタ!$B$6:$B$1005,0)),IFERROR(INDEX(①今日の在庫を貼る!$J$6:$J$10005,MATCH($C262,①今日の在庫を貼る!$I$6:$I$10005,0)),IFERROR(INDEX(月1回_前回の在庫を貼る!$J$6:$J$10005,MATCH($C262,月1回_前回の在庫を貼る!$I$6:$I$10005,0)),""))))</f>
        <v/>
      </c>
      <c r="E262" s="66" t="str">
        <f aca="false">IF($C262="","",IFERROR(INDEX(商品マスタ!$D$6:$D$1005,MATCH($C262,商品マスタ!$B$6:$B$1005,0)),IFERROR(INDEX(①今日の在庫を貼る!$H$6:$H$10005,MATCH($C262,①今日の在庫を貼る!$I$6:$I$10005,0)),IFERROR(INDEX(月1回_前回の在庫を貼る!$H$6:$H$10005,MATCH($C262,月1回_前回の在庫を貼る!$I$6:$I$10005,0)),""))))</f>
        <v/>
      </c>
      <c r="F262" s="66" t="str">
        <f aca="false">IF($C262="","",IFERROR(INDEX(商品マスタ!$E$6:$E$1005,MATCH($C262,商品マスタ!$B$6:$B$1005,0)),IFERROR(INDEX(①今日の在庫を貼る!$E$6:$E$10005,MATCH($C262,①今日の在庫を貼る!$I$6:$I$10005,0)),IFERROR(INDEX(月1回_前回の在庫を貼る!$E$6:$E$10005,MATCH($C262,月1回_前回の在庫を貼る!$I$6:$I$10005,0)),""))))</f>
        <v/>
      </c>
      <c r="G262" s="69" t="str">
        <f aca="false">IF($C262="","",IFERROR(INDEX(商品マスタ!$F$6:$F$1005,MATCH($C262,商品マスタ!$B$6:$B$1005,0)),IFERROR(INDEX(①今日の在庫を貼る!$K$6:$K$10005,MATCH($C262,①今日の在庫を貼る!$I$6:$I$10005,0)),IFERROR(INDEX(月1回_前回の在庫を貼る!$K$6:$K$10005,MATCH($C262,月1回_前回の在庫を貼る!$I$6:$I$10005,0)),""))))</f>
        <v/>
      </c>
      <c r="H262" s="71" t="str">
        <f aca="false">IF($C262="","",IFERROR(INDEX(商品マスタ!$G$6:$G$1005,MATCH($C262,商品マスタ!$B$6:$B$1005,0)),IFERROR(INDEX(①今日の在庫を貼る!$Q$6:$Q$10005,MATCH($C262,①今日の在庫を貼る!$I$6:$I$10005,0)),IFERROR(INDEX(月1回_前回の在庫を貼る!$Q$6:$Q$10005,MATCH($C262,月1回_前回の在庫を貼る!$I$6:$I$10005,0)),""))))</f>
        <v/>
      </c>
      <c r="I262" s="66" t="str">
        <f aca="false">IF($C262="","",IFERROR(INDEX(商品マスタ!$H$6:$H$1005,MATCH($C262,商品マスタ!$B$6:$B$1005,0)),3))</f>
        <v/>
      </c>
      <c r="J262" s="66" t="str">
        <f aca="false">IF($C262="","",MAX(1,IFERROR(INDEX(商品マスタ!$I$6:$I$1005,MATCH($C262,商品マスタ!$B$6:$B$1005,0)),1)))</f>
        <v/>
      </c>
      <c r="K262" s="69" t="str">
        <f aca="false">IF($C262="","",SUMIFS(①今日の在庫を貼る!$N$6:$N$10005,①今日の在庫を貼る!$B$6:$B$10005,'設定（最初に1回）'!$C$4,①今日の在庫を貼る!$I$6:$I$10005,$C262))</f>
        <v/>
      </c>
      <c r="L262" s="69" t="str">
        <f aca="false">IF($C262="","",SUMIFS(月1回_前回の在庫を貼る!$N$6:$N$10005,月1回_前回の在庫を貼る!$B$6:$B$10005,'設定（最初に1回）'!$C$4,月1回_前回の在庫を貼る!$I$6:$I$10005,$C262))</f>
        <v/>
      </c>
      <c r="M262" s="69" t="str">
        <f aca="false">IF($C262="","",IF(OR('設定（最初に1回）'!$C$6="",'設定（最初に1回）'!$C$7=""),0,SUMIFS(発注管理!$S$6:$S$1005,発注管理!$C$6:$C$1005,'設定（最初に1回）'!$C$4,発注管理!$F$6:$F$1005,$C262,発注管理!$R$6:$R$1005,"&gt;="&amp;'設定（最初に1回）'!$C$7,発注管理!$R$6:$R$1005,"&lt;="&amp;'設定（最初に1回）'!$C$6)))</f>
        <v/>
      </c>
      <c r="N262" s="69" t="str">
        <f aca="false">IF(OR($C262="",'設定（最初に1回）'!$C$15=0),"",$L262+$M262-$K262)</f>
        <v/>
      </c>
      <c r="O262" s="143" t="str">
        <f aca="false">IF(OR($N262="",'設定（最初に1回）'!$C$8="",'設定（最初に1回）'!$C$8&lt;=0),"",MAX(0,$N262)/'設定（最初に1回）'!$C$8)</f>
        <v/>
      </c>
      <c r="P262" s="143" t="str">
        <f aca="false">IF($C262="","",IFERROR(INDEX(商品マスタ!$M$6:$N$1005,MATCH($C262,商品マスタ!$B$6:$B$1005,0),MATCH("PI値 "&amp;'設定（最初に1回）'!$C$11,商品マスタ!$M$5:$N$5,0)),""))</f>
        <v/>
      </c>
      <c r="Q262" s="143" t="str">
        <f aca="false">IF(OR($C262="",$P262="",$P262=0,(N($I262)+N($AG262))&lt;=0),"",IFERROR(SUMIFS(随時_動員を入れる!$G$8:$G$97,随時_動員を入れる!$B$8:$B$97,"&gt;="&amp;'設定（最初に1回）'!$C$6,随時_動員を入れる!$B$8:$B$97,"&lt;="&amp;'設定（最初に1回）'!$C$6+(N($I262)+N($AG262))-1)/(N($I262)+N($AG262)),0)*$P262/100)</f>
        <v/>
      </c>
      <c r="R262" s="69" t="str">
        <f aca="false">IF($C262="","",SUMIFS(①今日の在庫を貼る!$O$6:$O$10005,①今日の在庫を貼る!$B$6:$B$10005,'設定（最初に1回）'!$C$4,①今日の在庫を貼る!$I$6:$I$10005,$C262))</f>
        <v/>
      </c>
      <c r="S262" s="143" t="str">
        <f aca="false">IF($C262="","",IF('設定（最初に1回）'!$C$9="実績消費",N($O262),IF('設定（最初に1回）'!$C$9="PI値予測",N($Q262),MAX(N($O262),N($Q262)))))</f>
        <v/>
      </c>
      <c r="T262" s="67" t="str">
        <f aca="false">IF(OR($S262="",$S262&lt;=0),"",$K262/$S262)</f>
        <v/>
      </c>
      <c r="U262" s="69" t="str">
        <f aca="false">IF($S262="","",ROUNDUP(N($S262)*'設定（最初に1回）'!$C$12,0))</f>
        <v/>
      </c>
      <c r="V262" s="69" t="str">
        <f aca="false">IF($C262="","",ROUNDUP(N($S262)*(N($I262)+N($AG262))+N($U262),0))</f>
        <v/>
      </c>
      <c r="W262" s="69" t="str">
        <f aca="false">IF($C262="","",SUMIFS(発注管理!$L$6:$L$1005,発注管理!$C$6:$C$1005,'設定（最初に1回）'!$C$4,発注管理!$F$6:$F$1005,$C262,発注管理!$Q$6:$Q$1005,"発注済"))</f>
        <v/>
      </c>
      <c r="X262" s="69" t="str">
        <f aca="false">IF($C262="","",MAX(0,N($V262)-N($K262)-N($W262)))</f>
        <v/>
      </c>
      <c r="Y262" s="147" t="str">
        <f aca="false">IF($C262="","",IF(N($X262)&lt;=0,0,CEILING($X262/MAX(1,N($G262)),MAX(1,N($J262)))))</f>
        <v/>
      </c>
      <c r="Z262" s="138" t="str">
        <f aca="false">IF($C262="","",IF(N($Y262)&gt;0,"要発注","正常"))</f>
        <v/>
      </c>
      <c r="AA262" s="71" t="str">
        <f aca="false">IF($C262="","",N($K262)*N($H262))</f>
        <v/>
      </c>
      <c r="AB262" s="66" t="str">
        <f aca="false">IF($C262="","",_xlfn.TEXTJOIN(" / ",TRUE(),IF(COUNTIF(商品マスタ!$B$6:$B$1005,$C262)=0,"マスタ未登録",""),IF(COUNTIFS(月1回_前回の在庫を貼る!$B$6:$B$10005,'設定（最初に1回）'!$C$4,月1回_前回の在庫を貼る!$I$6:$I$10005,$C262)=0,"新商品",""),IF(COUNTIFS(①今日の在庫を貼る!$B$6:$B$10005,'設定（最初に1回）'!$C$4,①今日の在庫を貼る!$I$6:$I$10005,$C262)=0,"終売候補",""),IF(N($K262)&lt;0,"在庫マイナス",""),IF(AND('設定（最初に1回）'!$C$9="PI値予測",$P262=""),"PI値未設定","")))</f>
        <v/>
      </c>
      <c r="AC262" s="71" t="n">
        <f aca="false">N($Y262)*N($H262)</f>
        <v>0</v>
      </c>
      <c r="AD262" s="66" t="str">
        <f aca="false">IF($C262="","",IFERROR(INDEX(商品マスタ!$K$6:$K$1005,MATCH($C262,商品マスタ!$B$6:$B$1005,0)),"常温"))</f>
        <v/>
      </c>
      <c r="AE262" s="69" t="str">
        <f aca="false">IF($C262="","",MAX(0,ROUNDUP(N($K262)/MAX(1,N($G262)),0)))</f>
        <v/>
      </c>
      <c r="AF262" s="66" t="str">
        <f aca="false">IF($C262="","",IFERROR(INDEX(商品マスタ!$L$6:$L$1005,MATCH($C262,商品マスタ!$B$6:$B$1005,0)),""))</f>
        <v/>
      </c>
      <c r="AG262" s="143" t="str">
        <f aca="false">IF($C262="","",IFERROR(INDEX(定数マスタ!$S$110:$S$119,MATCH($AF262,定数マスタ!$J$110:$J$119,0)),N('設定（最初に1回）'!$C$13)))</f>
        <v/>
      </c>
      <c r="AH262" s="66" t="n">
        <f aca="false">IF(AND(N($K262)&gt;0,N($Y262)&gt;0),N($Y262),0)</f>
        <v>0</v>
      </c>
    </row>
    <row r="263" customFormat="false" ht="15" hidden="false" customHeight="false" outlineLevel="0" collapsed="false">
      <c r="B263" s="66" t="n">
        <v>258</v>
      </c>
      <c r="C263" s="66" t="str">
        <f aca="false">IFERROR(IF($B263&lt;=MAX(①今日の在庫を貼る!$U$6:$U$10005),INDEX(①今日の在庫を貼る!$I$6:$I$10005,MATCH($B263,①今日の在庫を貼る!$U$6:$U$10005,0)),INDEX(月1回_前回の在庫を貼る!$I$6:$I$10005,MATCH($B263-MAX(①今日の在庫を貼る!$U$6:$U$10005),月1回_前回の在庫を貼る!$U$6:$U$10005,0))),"")</f>
        <v/>
      </c>
      <c r="D263" s="66" t="str">
        <f aca="false">IF($C263="","",IFERROR(INDEX(商品マスタ!$C$6:$C$1005,MATCH($C263,商品マスタ!$B$6:$B$1005,0)),IFERROR(INDEX(①今日の在庫を貼る!$J$6:$J$10005,MATCH($C263,①今日の在庫を貼る!$I$6:$I$10005,0)),IFERROR(INDEX(月1回_前回の在庫を貼る!$J$6:$J$10005,MATCH($C263,月1回_前回の在庫を貼る!$I$6:$I$10005,0)),""))))</f>
        <v/>
      </c>
      <c r="E263" s="66" t="str">
        <f aca="false">IF($C263="","",IFERROR(INDEX(商品マスタ!$D$6:$D$1005,MATCH($C263,商品マスタ!$B$6:$B$1005,0)),IFERROR(INDEX(①今日の在庫を貼る!$H$6:$H$10005,MATCH($C263,①今日の在庫を貼る!$I$6:$I$10005,0)),IFERROR(INDEX(月1回_前回の在庫を貼る!$H$6:$H$10005,MATCH($C263,月1回_前回の在庫を貼る!$I$6:$I$10005,0)),""))))</f>
        <v/>
      </c>
      <c r="F263" s="66" t="str">
        <f aca="false">IF($C263="","",IFERROR(INDEX(商品マスタ!$E$6:$E$1005,MATCH($C263,商品マスタ!$B$6:$B$1005,0)),IFERROR(INDEX(①今日の在庫を貼る!$E$6:$E$10005,MATCH($C263,①今日の在庫を貼る!$I$6:$I$10005,0)),IFERROR(INDEX(月1回_前回の在庫を貼る!$E$6:$E$10005,MATCH($C263,月1回_前回の在庫を貼る!$I$6:$I$10005,0)),""))))</f>
        <v/>
      </c>
      <c r="G263" s="69" t="str">
        <f aca="false">IF($C263="","",IFERROR(INDEX(商品マスタ!$F$6:$F$1005,MATCH($C263,商品マスタ!$B$6:$B$1005,0)),IFERROR(INDEX(①今日の在庫を貼る!$K$6:$K$10005,MATCH($C263,①今日の在庫を貼る!$I$6:$I$10005,0)),IFERROR(INDEX(月1回_前回の在庫を貼る!$K$6:$K$10005,MATCH($C263,月1回_前回の在庫を貼る!$I$6:$I$10005,0)),""))))</f>
        <v/>
      </c>
      <c r="H263" s="71" t="str">
        <f aca="false">IF($C263="","",IFERROR(INDEX(商品マスタ!$G$6:$G$1005,MATCH($C263,商品マスタ!$B$6:$B$1005,0)),IFERROR(INDEX(①今日の在庫を貼る!$Q$6:$Q$10005,MATCH($C263,①今日の在庫を貼る!$I$6:$I$10005,0)),IFERROR(INDEX(月1回_前回の在庫を貼る!$Q$6:$Q$10005,MATCH($C263,月1回_前回の在庫を貼る!$I$6:$I$10005,0)),""))))</f>
        <v/>
      </c>
      <c r="I263" s="66" t="str">
        <f aca="false">IF($C263="","",IFERROR(INDEX(商品マスタ!$H$6:$H$1005,MATCH($C263,商品マスタ!$B$6:$B$1005,0)),3))</f>
        <v/>
      </c>
      <c r="J263" s="66" t="str">
        <f aca="false">IF($C263="","",MAX(1,IFERROR(INDEX(商品マスタ!$I$6:$I$1005,MATCH($C263,商品マスタ!$B$6:$B$1005,0)),1)))</f>
        <v/>
      </c>
      <c r="K263" s="69" t="str">
        <f aca="false">IF($C263="","",SUMIFS(①今日の在庫を貼る!$N$6:$N$10005,①今日の在庫を貼る!$B$6:$B$10005,'設定（最初に1回）'!$C$4,①今日の在庫を貼る!$I$6:$I$10005,$C263))</f>
        <v/>
      </c>
      <c r="L263" s="69" t="str">
        <f aca="false">IF($C263="","",SUMIFS(月1回_前回の在庫を貼る!$N$6:$N$10005,月1回_前回の在庫を貼る!$B$6:$B$10005,'設定（最初に1回）'!$C$4,月1回_前回の在庫を貼る!$I$6:$I$10005,$C263))</f>
        <v/>
      </c>
      <c r="M263" s="69" t="str">
        <f aca="false">IF($C263="","",IF(OR('設定（最初に1回）'!$C$6="",'設定（最初に1回）'!$C$7=""),0,SUMIFS(発注管理!$S$6:$S$1005,発注管理!$C$6:$C$1005,'設定（最初に1回）'!$C$4,発注管理!$F$6:$F$1005,$C263,発注管理!$R$6:$R$1005,"&gt;="&amp;'設定（最初に1回）'!$C$7,発注管理!$R$6:$R$1005,"&lt;="&amp;'設定（最初に1回）'!$C$6)))</f>
        <v/>
      </c>
      <c r="N263" s="69" t="str">
        <f aca="false">IF(OR($C263="",'設定（最初に1回）'!$C$15=0),"",$L263+$M263-$K263)</f>
        <v/>
      </c>
      <c r="O263" s="143" t="str">
        <f aca="false">IF(OR($N263="",'設定（最初に1回）'!$C$8="",'設定（最初に1回）'!$C$8&lt;=0),"",MAX(0,$N263)/'設定（最初に1回）'!$C$8)</f>
        <v/>
      </c>
      <c r="P263" s="143" t="str">
        <f aca="false">IF($C263="","",IFERROR(INDEX(商品マスタ!$M$6:$N$1005,MATCH($C263,商品マスタ!$B$6:$B$1005,0),MATCH("PI値 "&amp;'設定（最初に1回）'!$C$11,商品マスタ!$M$5:$N$5,0)),""))</f>
        <v/>
      </c>
      <c r="Q263" s="143" t="str">
        <f aca="false">IF(OR($C263="",$P263="",$P263=0,(N($I263)+N($AG263))&lt;=0),"",IFERROR(SUMIFS(随時_動員を入れる!$G$8:$G$97,随時_動員を入れる!$B$8:$B$97,"&gt;="&amp;'設定（最初に1回）'!$C$6,随時_動員を入れる!$B$8:$B$97,"&lt;="&amp;'設定（最初に1回）'!$C$6+(N($I263)+N($AG263))-1)/(N($I263)+N($AG263)),0)*$P263/100)</f>
        <v/>
      </c>
      <c r="R263" s="69" t="str">
        <f aca="false">IF($C263="","",SUMIFS(①今日の在庫を貼る!$O$6:$O$10005,①今日の在庫を貼る!$B$6:$B$10005,'設定（最初に1回）'!$C$4,①今日の在庫を貼る!$I$6:$I$10005,$C263))</f>
        <v/>
      </c>
      <c r="S263" s="143" t="str">
        <f aca="false">IF($C263="","",IF('設定（最初に1回）'!$C$9="実績消費",N($O263),IF('設定（最初に1回）'!$C$9="PI値予測",N($Q263),MAX(N($O263),N($Q263)))))</f>
        <v/>
      </c>
      <c r="T263" s="67" t="str">
        <f aca="false">IF(OR($S263="",$S263&lt;=0),"",$K263/$S263)</f>
        <v/>
      </c>
      <c r="U263" s="69" t="str">
        <f aca="false">IF($S263="","",ROUNDUP(N($S263)*'設定（最初に1回）'!$C$12,0))</f>
        <v/>
      </c>
      <c r="V263" s="69" t="str">
        <f aca="false">IF($C263="","",ROUNDUP(N($S263)*(N($I263)+N($AG263))+N($U263),0))</f>
        <v/>
      </c>
      <c r="W263" s="69" t="str">
        <f aca="false">IF($C263="","",SUMIFS(発注管理!$L$6:$L$1005,発注管理!$C$6:$C$1005,'設定（最初に1回）'!$C$4,発注管理!$F$6:$F$1005,$C263,発注管理!$Q$6:$Q$1005,"発注済"))</f>
        <v/>
      </c>
      <c r="X263" s="69" t="str">
        <f aca="false">IF($C263="","",MAX(0,N($V263)-N($K263)-N($W263)))</f>
        <v/>
      </c>
      <c r="Y263" s="147" t="str">
        <f aca="false">IF($C263="","",IF(N($X263)&lt;=0,0,CEILING($X263/MAX(1,N($G263)),MAX(1,N($J263)))))</f>
        <v/>
      </c>
      <c r="Z263" s="138" t="str">
        <f aca="false">IF($C263="","",IF(N($Y263)&gt;0,"要発注","正常"))</f>
        <v/>
      </c>
      <c r="AA263" s="71" t="str">
        <f aca="false">IF($C263="","",N($K263)*N($H263))</f>
        <v/>
      </c>
      <c r="AB263" s="66" t="str">
        <f aca="false">IF($C263="","",_xlfn.TEXTJOIN(" / ",TRUE(),IF(COUNTIF(商品マスタ!$B$6:$B$1005,$C263)=0,"マスタ未登録",""),IF(COUNTIFS(月1回_前回の在庫を貼る!$B$6:$B$10005,'設定（最初に1回）'!$C$4,月1回_前回の在庫を貼る!$I$6:$I$10005,$C263)=0,"新商品",""),IF(COUNTIFS(①今日の在庫を貼る!$B$6:$B$10005,'設定（最初に1回）'!$C$4,①今日の在庫を貼る!$I$6:$I$10005,$C263)=0,"終売候補",""),IF(N($K263)&lt;0,"在庫マイナス",""),IF(AND('設定（最初に1回）'!$C$9="PI値予測",$P263=""),"PI値未設定","")))</f>
        <v/>
      </c>
      <c r="AC263" s="71" t="n">
        <f aca="false">N($Y263)*N($H263)</f>
        <v>0</v>
      </c>
      <c r="AD263" s="66" t="str">
        <f aca="false">IF($C263="","",IFERROR(INDEX(商品マスタ!$K$6:$K$1005,MATCH($C263,商品マスタ!$B$6:$B$1005,0)),"常温"))</f>
        <v/>
      </c>
      <c r="AE263" s="69" t="str">
        <f aca="false">IF($C263="","",MAX(0,ROUNDUP(N($K263)/MAX(1,N($G263)),0)))</f>
        <v/>
      </c>
      <c r="AF263" s="66" t="str">
        <f aca="false">IF($C263="","",IFERROR(INDEX(商品マスタ!$L$6:$L$1005,MATCH($C263,商品マスタ!$B$6:$B$1005,0)),""))</f>
        <v/>
      </c>
      <c r="AG263" s="143" t="str">
        <f aca="false">IF($C263="","",IFERROR(INDEX(定数マスタ!$S$110:$S$119,MATCH($AF263,定数マスタ!$J$110:$J$119,0)),N('設定（最初に1回）'!$C$13)))</f>
        <v/>
      </c>
      <c r="AH263" s="66" t="n">
        <f aca="false">IF(AND(N($K263)&gt;0,N($Y263)&gt;0),N($Y263),0)</f>
        <v>0</v>
      </c>
    </row>
    <row r="264" customFormat="false" ht="15" hidden="false" customHeight="false" outlineLevel="0" collapsed="false">
      <c r="B264" s="66" t="n">
        <v>259</v>
      </c>
      <c r="C264" s="66" t="str">
        <f aca="false">IFERROR(IF($B264&lt;=MAX(①今日の在庫を貼る!$U$6:$U$10005),INDEX(①今日の在庫を貼る!$I$6:$I$10005,MATCH($B264,①今日の在庫を貼る!$U$6:$U$10005,0)),INDEX(月1回_前回の在庫を貼る!$I$6:$I$10005,MATCH($B264-MAX(①今日の在庫を貼る!$U$6:$U$10005),月1回_前回の在庫を貼る!$U$6:$U$10005,0))),"")</f>
        <v/>
      </c>
      <c r="D264" s="66" t="str">
        <f aca="false">IF($C264="","",IFERROR(INDEX(商品マスタ!$C$6:$C$1005,MATCH($C264,商品マスタ!$B$6:$B$1005,0)),IFERROR(INDEX(①今日の在庫を貼る!$J$6:$J$10005,MATCH($C264,①今日の在庫を貼る!$I$6:$I$10005,0)),IFERROR(INDEX(月1回_前回の在庫を貼る!$J$6:$J$10005,MATCH($C264,月1回_前回の在庫を貼る!$I$6:$I$10005,0)),""))))</f>
        <v/>
      </c>
      <c r="E264" s="66" t="str">
        <f aca="false">IF($C264="","",IFERROR(INDEX(商品マスタ!$D$6:$D$1005,MATCH($C264,商品マスタ!$B$6:$B$1005,0)),IFERROR(INDEX(①今日の在庫を貼る!$H$6:$H$10005,MATCH($C264,①今日の在庫を貼る!$I$6:$I$10005,0)),IFERROR(INDEX(月1回_前回の在庫を貼る!$H$6:$H$10005,MATCH($C264,月1回_前回の在庫を貼る!$I$6:$I$10005,0)),""))))</f>
        <v/>
      </c>
      <c r="F264" s="66" t="str">
        <f aca="false">IF($C264="","",IFERROR(INDEX(商品マスタ!$E$6:$E$1005,MATCH($C264,商品マスタ!$B$6:$B$1005,0)),IFERROR(INDEX(①今日の在庫を貼る!$E$6:$E$10005,MATCH($C264,①今日の在庫を貼る!$I$6:$I$10005,0)),IFERROR(INDEX(月1回_前回の在庫を貼る!$E$6:$E$10005,MATCH($C264,月1回_前回の在庫を貼る!$I$6:$I$10005,0)),""))))</f>
        <v/>
      </c>
      <c r="G264" s="69" t="str">
        <f aca="false">IF($C264="","",IFERROR(INDEX(商品マスタ!$F$6:$F$1005,MATCH($C264,商品マスタ!$B$6:$B$1005,0)),IFERROR(INDEX(①今日の在庫を貼る!$K$6:$K$10005,MATCH($C264,①今日の在庫を貼る!$I$6:$I$10005,0)),IFERROR(INDEX(月1回_前回の在庫を貼る!$K$6:$K$10005,MATCH($C264,月1回_前回の在庫を貼る!$I$6:$I$10005,0)),""))))</f>
        <v/>
      </c>
      <c r="H264" s="71" t="str">
        <f aca="false">IF($C264="","",IFERROR(INDEX(商品マスタ!$G$6:$G$1005,MATCH($C264,商品マスタ!$B$6:$B$1005,0)),IFERROR(INDEX(①今日の在庫を貼る!$Q$6:$Q$10005,MATCH($C264,①今日の在庫を貼る!$I$6:$I$10005,0)),IFERROR(INDEX(月1回_前回の在庫を貼る!$Q$6:$Q$10005,MATCH($C264,月1回_前回の在庫を貼る!$I$6:$I$10005,0)),""))))</f>
        <v/>
      </c>
      <c r="I264" s="66" t="str">
        <f aca="false">IF($C264="","",IFERROR(INDEX(商品マスタ!$H$6:$H$1005,MATCH($C264,商品マスタ!$B$6:$B$1005,0)),3))</f>
        <v/>
      </c>
      <c r="J264" s="66" t="str">
        <f aca="false">IF($C264="","",MAX(1,IFERROR(INDEX(商品マスタ!$I$6:$I$1005,MATCH($C264,商品マスタ!$B$6:$B$1005,0)),1)))</f>
        <v/>
      </c>
      <c r="K264" s="69" t="str">
        <f aca="false">IF($C264="","",SUMIFS(①今日の在庫を貼る!$N$6:$N$10005,①今日の在庫を貼る!$B$6:$B$10005,'設定（最初に1回）'!$C$4,①今日の在庫を貼る!$I$6:$I$10005,$C264))</f>
        <v/>
      </c>
      <c r="L264" s="69" t="str">
        <f aca="false">IF($C264="","",SUMIFS(月1回_前回の在庫を貼る!$N$6:$N$10005,月1回_前回の在庫を貼る!$B$6:$B$10005,'設定（最初に1回）'!$C$4,月1回_前回の在庫を貼る!$I$6:$I$10005,$C264))</f>
        <v/>
      </c>
      <c r="M264" s="69" t="str">
        <f aca="false">IF($C264="","",IF(OR('設定（最初に1回）'!$C$6="",'設定（最初に1回）'!$C$7=""),0,SUMIFS(発注管理!$S$6:$S$1005,発注管理!$C$6:$C$1005,'設定（最初に1回）'!$C$4,発注管理!$F$6:$F$1005,$C264,発注管理!$R$6:$R$1005,"&gt;="&amp;'設定（最初に1回）'!$C$7,発注管理!$R$6:$R$1005,"&lt;="&amp;'設定（最初に1回）'!$C$6)))</f>
        <v/>
      </c>
      <c r="N264" s="69" t="str">
        <f aca="false">IF(OR($C264="",'設定（最初に1回）'!$C$15=0),"",$L264+$M264-$K264)</f>
        <v/>
      </c>
      <c r="O264" s="143" t="str">
        <f aca="false">IF(OR($N264="",'設定（最初に1回）'!$C$8="",'設定（最初に1回）'!$C$8&lt;=0),"",MAX(0,$N264)/'設定（最初に1回）'!$C$8)</f>
        <v/>
      </c>
      <c r="P264" s="143" t="str">
        <f aca="false">IF($C264="","",IFERROR(INDEX(商品マスタ!$M$6:$N$1005,MATCH($C264,商品マスタ!$B$6:$B$1005,0),MATCH("PI値 "&amp;'設定（最初に1回）'!$C$11,商品マスタ!$M$5:$N$5,0)),""))</f>
        <v/>
      </c>
      <c r="Q264" s="143" t="str">
        <f aca="false">IF(OR($C264="",$P264="",$P264=0,(N($I264)+N($AG264))&lt;=0),"",IFERROR(SUMIFS(随時_動員を入れる!$G$8:$G$97,随時_動員を入れる!$B$8:$B$97,"&gt;="&amp;'設定（最初に1回）'!$C$6,随時_動員を入れる!$B$8:$B$97,"&lt;="&amp;'設定（最初に1回）'!$C$6+(N($I264)+N($AG264))-1)/(N($I264)+N($AG264)),0)*$P264/100)</f>
        <v/>
      </c>
      <c r="R264" s="69" t="str">
        <f aca="false">IF($C264="","",SUMIFS(①今日の在庫を貼る!$O$6:$O$10005,①今日の在庫を貼る!$B$6:$B$10005,'設定（最初に1回）'!$C$4,①今日の在庫を貼る!$I$6:$I$10005,$C264))</f>
        <v/>
      </c>
      <c r="S264" s="143" t="str">
        <f aca="false">IF($C264="","",IF('設定（最初に1回）'!$C$9="実績消費",N($O264),IF('設定（最初に1回）'!$C$9="PI値予測",N($Q264),MAX(N($O264),N($Q264)))))</f>
        <v/>
      </c>
      <c r="T264" s="67" t="str">
        <f aca="false">IF(OR($S264="",$S264&lt;=0),"",$K264/$S264)</f>
        <v/>
      </c>
      <c r="U264" s="69" t="str">
        <f aca="false">IF($S264="","",ROUNDUP(N($S264)*'設定（最初に1回）'!$C$12,0))</f>
        <v/>
      </c>
      <c r="V264" s="69" t="str">
        <f aca="false">IF($C264="","",ROUNDUP(N($S264)*(N($I264)+N($AG264))+N($U264),0))</f>
        <v/>
      </c>
      <c r="W264" s="69" t="str">
        <f aca="false">IF($C264="","",SUMIFS(発注管理!$L$6:$L$1005,発注管理!$C$6:$C$1005,'設定（最初に1回）'!$C$4,発注管理!$F$6:$F$1005,$C264,発注管理!$Q$6:$Q$1005,"発注済"))</f>
        <v/>
      </c>
      <c r="X264" s="69" t="str">
        <f aca="false">IF($C264="","",MAX(0,N($V264)-N($K264)-N($W264)))</f>
        <v/>
      </c>
      <c r="Y264" s="147" t="str">
        <f aca="false">IF($C264="","",IF(N($X264)&lt;=0,0,CEILING($X264/MAX(1,N($G264)),MAX(1,N($J264)))))</f>
        <v/>
      </c>
      <c r="Z264" s="138" t="str">
        <f aca="false">IF($C264="","",IF(N($Y264)&gt;0,"要発注","正常"))</f>
        <v/>
      </c>
      <c r="AA264" s="71" t="str">
        <f aca="false">IF($C264="","",N($K264)*N($H264))</f>
        <v/>
      </c>
      <c r="AB264" s="66" t="str">
        <f aca="false">IF($C264="","",_xlfn.TEXTJOIN(" / ",TRUE(),IF(COUNTIF(商品マスタ!$B$6:$B$1005,$C264)=0,"マスタ未登録",""),IF(COUNTIFS(月1回_前回の在庫を貼る!$B$6:$B$10005,'設定（最初に1回）'!$C$4,月1回_前回の在庫を貼る!$I$6:$I$10005,$C264)=0,"新商品",""),IF(COUNTIFS(①今日の在庫を貼る!$B$6:$B$10005,'設定（最初に1回）'!$C$4,①今日の在庫を貼る!$I$6:$I$10005,$C264)=0,"終売候補",""),IF(N($K264)&lt;0,"在庫マイナス",""),IF(AND('設定（最初に1回）'!$C$9="PI値予測",$P264=""),"PI値未設定","")))</f>
        <v/>
      </c>
      <c r="AC264" s="71" t="n">
        <f aca="false">N($Y264)*N($H264)</f>
        <v>0</v>
      </c>
      <c r="AD264" s="66" t="str">
        <f aca="false">IF($C264="","",IFERROR(INDEX(商品マスタ!$K$6:$K$1005,MATCH($C264,商品マスタ!$B$6:$B$1005,0)),"常温"))</f>
        <v/>
      </c>
      <c r="AE264" s="69" t="str">
        <f aca="false">IF($C264="","",MAX(0,ROUNDUP(N($K264)/MAX(1,N($G264)),0)))</f>
        <v/>
      </c>
      <c r="AF264" s="66" t="str">
        <f aca="false">IF($C264="","",IFERROR(INDEX(商品マスタ!$L$6:$L$1005,MATCH($C264,商品マスタ!$B$6:$B$1005,0)),""))</f>
        <v/>
      </c>
      <c r="AG264" s="143" t="str">
        <f aca="false">IF($C264="","",IFERROR(INDEX(定数マスタ!$S$110:$S$119,MATCH($AF264,定数マスタ!$J$110:$J$119,0)),N('設定（最初に1回）'!$C$13)))</f>
        <v/>
      </c>
      <c r="AH264" s="66" t="n">
        <f aca="false">IF(AND(N($K264)&gt;0,N($Y264)&gt;0),N($Y264),0)</f>
        <v>0</v>
      </c>
    </row>
    <row r="265" customFormat="false" ht="15" hidden="false" customHeight="false" outlineLevel="0" collapsed="false">
      <c r="B265" s="66" t="n">
        <v>260</v>
      </c>
      <c r="C265" s="66" t="str">
        <f aca="false">IFERROR(IF($B265&lt;=MAX(①今日の在庫を貼る!$U$6:$U$10005),INDEX(①今日の在庫を貼る!$I$6:$I$10005,MATCH($B265,①今日の在庫を貼る!$U$6:$U$10005,0)),INDEX(月1回_前回の在庫を貼る!$I$6:$I$10005,MATCH($B265-MAX(①今日の在庫を貼る!$U$6:$U$10005),月1回_前回の在庫を貼る!$U$6:$U$10005,0))),"")</f>
        <v/>
      </c>
      <c r="D265" s="66" t="str">
        <f aca="false">IF($C265="","",IFERROR(INDEX(商品マスタ!$C$6:$C$1005,MATCH($C265,商品マスタ!$B$6:$B$1005,0)),IFERROR(INDEX(①今日の在庫を貼る!$J$6:$J$10005,MATCH($C265,①今日の在庫を貼る!$I$6:$I$10005,0)),IFERROR(INDEX(月1回_前回の在庫を貼る!$J$6:$J$10005,MATCH($C265,月1回_前回の在庫を貼る!$I$6:$I$10005,0)),""))))</f>
        <v/>
      </c>
      <c r="E265" s="66" t="str">
        <f aca="false">IF($C265="","",IFERROR(INDEX(商品マスタ!$D$6:$D$1005,MATCH($C265,商品マスタ!$B$6:$B$1005,0)),IFERROR(INDEX(①今日の在庫を貼る!$H$6:$H$10005,MATCH($C265,①今日の在庫を貼る!$I$6:$I$10005,0)),IFERROR(INDEX(月1回_前回の在庫を貼る!$H$6:$H$10005,MATCH($C265,月1回_前回の在庫を貼る!$I$6:$I$10005,0)),""))))</f>
        <v/>
      </c>
      <c r="F265" s="66" t="str">
        <f aca="false">IF($C265="","",IFERROR(INDEX(商品マスタ!$E$6:$E$1005,MATCH($C265,商品マスタ!$B$6:$B$1005,0)),IFERROR(INDEX(①今日の在庫を貼る!$E$6:$E$10005,MATCH($C265,①今日の在庫を貼る!$I$6:$I$10005,0)),IFERROR(INDEX(月1回_前回の在庫を貼る!$E$6:$E$10005,MATCH($C265,月1回_前回の在庫を貼る!$I$6:$I$10005,0)),""))))</f>
        <v/>
      </c>
      <c r="G265" s="69" t="str">
        <f aca="false">IF($C265="","",IFERROR(INDEX(商品マスタ!$F$6:$F$1005,MATCH($C265,商品マスタ!$B$6:$B$1005,0)),IFERROR(INDEX(①今日の在庫を貼る!$K$6:$K$10005,MATCH($C265,①今日の在庫を貼る!$I$6:$I$10005,0)),IFERROR(INDEX(月1回_前回の在庫を貼る!$K$6:$K$10005,MATCH($C265,月1回_前回の在庫を貼る!$I$6:$I$10005,0)),""))))</f>
        <v/>
      </c>
      <c r="H265" s="71" t="str">
        <f aca="false">IF($C265="","",IFERROR(INDEX(商品マスタ!$G$6:$G$1005,MATCH($C265,商品マスタ!$B$6:$B$1005,0)),IFERROR(INDEX(①今日の在庫を貼る!$Q$6:$Q$10005,MATCH($C265,①今日の在庫を貼る!$I$6:$I$10005,0)),IFERROR(INDEX(月1回_前回の在庫を貼る!$Q$6:$Q$10005,MATCH($C265,月1回_前回の在庫を貼る!$I$6:$I$10005,0)),""))))</f>
        <v/>
      </c>
      <c r="I265" s="66" t="str">
        <f aca="false">IF($C265="","",IFERROR(INDEX(商品マスタ!$H$6:$H$1005,MATCH($C265,商品マスタ!$B$6:$B$1005,0)),3))</f>
        <v/>
      </c>
      <c r="J265" s="66" t="str">
        <f aca="false">IF($C265="","",MAX(1,IFERROR(INDEX(商品マスタ!$I$6:$I$1005,MATCH($C265,商品マスタ!$B$6:$B$1005,0)),1)))</f>
        <v/>
      </c>
      <c r="K265" s="69" t="str">
        <f aca="false">IF($C265="","",SUMIFS(①今日の在庫を貼る!$N$6:$N$10005,①今日の在庫を貼る!$B$6:$B$10005,'設定（最初に1回）'!$C$4,①今日の在庫を貼る!$I$6:$I$10005,$C265))</f>
        <v/>
      </c>
      <c r="L265" s="69" t="str">
        <f aca="false">IF($C265="","",SUMIFS(月1回_前回の在庫を貼る!$N$6:$N$10005,月1回_前回の在庫を貼る!$B$6:$B$10005,'設定（最初に1回）'!$C$4,月1回_前回の在庫を貼る!$I$6:$I$10005,$C265))</f>
        <v/>
      </c>
      <c r="M265" s="69" t="str">
        <f aca="false">IF($C265="","",IF(OR('設定（最初に1回）'!$C$6="",'設定（最初に1回）'!$C$7=""),0,SUMIFS(発注管理!$S$6:$S$1005,発注管理!$C$6:$C$1005,'設定（最初に1回）'!$C$4,発注管理!$F$6:$F$1005,$C265,発注管理!$R$6:$R$1005,"&gt;="&amp;'設定（最初に1回）'!$C$7,発注管理!$R$6:$R$1005,"&lt;="&amp;'設定（最初に1回）'!$C$6)))</f>
        <v/>
      </c>
      <c r="N265" s="69" t="str">
        <f aca="false">IF(OR($C265="",'設定（最初に1回）'!$C$15=0),"",$L265+$M265-$K265)</f>
        <v/>
      </c>
      <c r="O265" s="143" t="str">
        <f aca="false">IF(OR($N265="",'設定（最初に1回）'!$C$8="",'設定（最初に1回）'!$C$8&lt;=0),"",MAX(0,$N265)/'設定（最初に1回）'!$C$8)</f>
        <v/>
      </c>
      <c r="P265" s="143" t="str">
        <f aca="false">IF($C265="","",IFERROR(INDEX(商品マスタ!$M$6:$N$1005,MATCH($C265,商品マスタ!$B$6:$B$1005,0),MATCH("PI値 "&amp;'設定（最初に1回）'!$C$11,商品マスタ!$M$5:$N$5,0)),""))</f>
        <v/>
      </c>
      <c r="Q265" s="143" t="str">
        <f aca="false">IF(OR($C265="",$P265="",$P265=0,(N($I265)+N($AG265))&lt;=0),"",IFERROR(SUMIFS(随時_動員を入れる!$G$8:$G$97,随時_動員を入れる!$B$8:$B$97,"&gt;="&amp;'設定（最初に1回）'!$C$6,随時_動員を入れる!$B$8:$B$97,"&lt;="&amp;'設定（最初に1回）'!$C$6+(N($I265)+N($AG265))-1)/(N($I265)+N($AG265)),0)*$P265/100)</f>
        <v/>
      </c>
      <c r="R265" s="69" t="str">
        <f aca="false">IF($C265="","",SUMIFS(①今日の在庫を貼る!$O$6:$O$10005,①今日の在庫を貼る!$B$6:$B$10005,'設定（最初に1回）'!$C$4,①今日の在庫を貼る!$I$6:$I$10005,$C265))</f>
        <v/>
      </c>
      <c r="S265" s="143" t="str">
        <f aca="false">IF($C265="","",IF('設定（最初に1回）'!$C$9="実績消費",N($O265),IF('設定（最初に1回）'!$C$9="PI値予測",N($Q265),MAX(N($O265),N($Q265)))))</f>
        <v/>
      </c>
      <c r="T265" s="67" t="str">
        <f aca="false">IF(OR($S265="",$S265&lt;=0),"",$K265/$S265)</f>
        <v/>
      </c>
      <c r="U265" s="69" t="str">
        <f aca="false">IF($S265="","",ROUNDUP(N($S265)*'設定（最初に1回）'!$C$12,0))</f>
        <v/>
      </c>
      <c r="V265" s="69" t="str">
        <f aca="false">IF($C265="","",ROUNDUP(N($S265)*(N($I265)+N($AG265))+N($U265),0))</f>
        <v/>
      </c>
      <c r="W265" s="69" t="str">
        <f aca="false">IF($C265="","",SUMIFS(発注管理!$L$6:$L$1005,発注管理!$C$6:$C$1005,'設定（最初に1回）'!$C$4,発注管理!$F$6:$F$1005,$C265,発注管理!$Q$6:$Q$1005,"発注済"))</f>
        <v/>
      </c>
      <c r="X265" s="69" t="str">
        <f aca="false">IF($C265="","",MAX(0,N($V265)-N($K265)-N($W265)))</f>
        <v/>
      </c>
      <c r="Y265" s="147" t="str">
        <f aca="false">IF($C265="","",IF(N($X265)&lt;=0,0,CEILING($X265/MAX(1,N($G265)),MAX(1,N($J265)))))</f>
        <v/>
      </c>
      <c r="Z265" s="138" t="str">
        <f aca="false">IF($C265="","",IF(N($Y265)&gt;0,"要発注","正常"))</f>
        <v/>
      </c>
      <c r="AA265" s="71" t="str">
        <f aca="false">IF($C265="","",N($K265)*N($H265))</f>
        <v/>
      </c>
      <c r="AB265" s="66" t="str">
        <f aca="false">IF($C265="","",_xlfn.TEXTJOIN(" / ",TRUE(),IF(COUNTIF(商品マスタ!$B$6:$B$1005,$C265)=0,"マスタ未登録",""),IF(COUNTIFS(月1回_前回の在庫を貼る!$B$6:$B$10005,'設定（最初に1回）'!$C$4,月1回_前回の在庫を貼る!$I$6:$I$10005,$C265)=0,"新商品",""),IF(COUNTIFS(①今日の在庫を貼る!$B$6:$B$10005,'設定（最初に1回）'!$C$4,①今日の在庫を貼る!$I$6:$I$10005,$C265)=0,"終売候補",""),IF(N($K265)&lt;0,"在庫マイナス",""),IF(AND('設定（最初に1回）'!$C$9="PI値予測",$P265=""),"PI値未設定","")))</f>
        <v/>
      </c>
      <c r="AC265" s="71" t="n">
        <f aca="false">N($Y265)*N($H265)</f>
        <v>0</v>
      </c>
      <c r="AD265" s="66" t="str">
        <f aca="false">IF($C265="","",IFERROR(INDEX(商品マスタ!$K$6:$K$1005,MATCH($C265,商品マスタ!$B$6:$B$1005,0)),"常温"))</f>
        <v/>
      </c>
      <c r="AE265" s="69" t="str">
        <f aca="false">IF($C265="","",MAX(0,ROUNDUP(N($K265)/MAX(1,N($G265)),0)))</f>
        <v/>
      </c>
      <c r="AF265" s="66" t="str">
        <f aca="false">IF($C265="","",IFERROR(INDEX(商品マスタ!$L$6:$L$1005,MATCH($C265,商品マスタ!$B$6:$B$1005,0)),""))</f>
        <v/>
      </c>
      <c r="AG265" s="143" t="str">
        <f aca="false">IF($C265="","",IFERROR(INDEX(定数マスタ!$S$110:$S$119,MATCH($AF265,定数マスタ!$J$110:$J$119,0)),N('設定（最初に1回）'!$C$13)))</f>
        <v/>
      </c>
      <c r="AH265" s="66" t="n">
        <f aca="false">IF(AND(N($K265)&gt;0,N($Y265)&gt;0),N($Y265),0)</f>
        <v>0</v>
      </c>
    </row>
    <row r="266" customFormat="false" ht="15" hidden="false" customHeight="false" outlineLevel="0" collapsed="false">
      <c r="B266" s="66" t="n">
        <v>261</v>
      </c>
      <c r="C266" s="66" t="str">
        <f aca="false">IFERROR(IF($B266&lt;=MAX(①今日の在庫を貼る!$U$6:$U$10005),INDEX(①今日の在庫を貼る!$I$6:$I$10005,MATCH($B266,①今日の在庫を貼る!$U$6:$U$10005,0)),INDEX(月1回_前回の在庫を貼る!$I$6:$I$10005,MATCH($B266-MAX(①今日の在庫を貼る!$U$6:$U$10005),月1回_前回の在庫を貼る!$U$6:$U$10005,0))),"")</f>
        <v/>
      </c>
      <c r="D266" s="66" t="str">
        <f aca="false">IF($C266="","",IFERROR(INDEX(商品マスタ!$C$6:$C$1005,MATCH($C266,商品マスタ!$B$6:$B$1005,0)),IFERROR(INDEX(①今日の在庫を貼る!$J$6:$J$10005,MATCH($C266,①今日の在庫を貼る!$I$6:$I$10005,0)),IFERROR(INDEX(月1回_前回の在庫を貼る!$J$6:$J$10005,MATCH($C266,月1回_前回の在庫を貼る!$I$6:$I$10005,0)),""))))</f>
        <v/>
      </c>
      <c r="E266" s="66" t="str">
        <f aca="false">IF($C266="","",IFERROR(INDEX(商品マスタ!$D$6:$D$1005,MATCH($C266,商品マスタ!$B$6:$B$1005,0)),IFERROR(INDEX(①今日の在庫を貼る!$H$6:$H$10005,MATCH($C266,①今日の在庫を貼る!$I$6:$I$10005,0)),IFERROR(INDEX(月1回_前回の在庫を貼る!$H$6:$H$10005,MATCH($C266,月1回_前回の在庫を貼る!$I$6:$I$10005,0)),""))))</f>
        <v/>
      </c>
      <c r="F266" s="66" t="str">
        <f aca="false">IF($C266="","",IFERROR(INDEX(商品マスタ!$E$6:$E$1005,MATCH($C266,商品マスタ!$B$6:$B$1005,0)),IFERROR(INDEX(①今日の在庫を貼る!$E$6:$E$10005,MATCH($C266,①今日の在庫を貼る!$I$6:$I$10005,0)),IFERROR(INDEX(月1回_前回の在庫を貼る!$E$6:$E$10005,MATCH($C266,月1回_前回の在庫を貼る!$I$6:$I$10005,0)),""))))</f>
        <v/>
      </c>
      <c r="G266" s="69" t="str">
        <f aca="false">IF($C266="","",IFERROR(INDEX(商品マスタ!$F$6:$F$1005,MATCH($C266,商品マスタ!$B$6:$B$1005,0)),IFERROR(INDEX(①今日の在庫を貼る!$K$6:$K$10005,MATCH($C266,①今日の在庫を貼る!$I$6:$I$10005,0)),IFERROR(INDEX(月1回_前回の在庫を貼る!$K$6:$K$10005,MATCH($C266,月1回_前回の在庫を貼る!$I$6:$I$10005,0)),""))))</f>
        <v/>
      </c>
      <c r="H266" s="71" t="str">
        <f aca="false">IF($C266="","",IFERROR(INDEX(商品マスタ!$G$6:$G$1005,MATCH($C266,商品マスタ!$B$6:$B$1005,0)),IFERROR(INDEX(①今日の在庫を貼る!$Q$6:$Q$10005,MATCH($C266,①今日の在庫を貼る!$I$6:$I$10005,0)),IFERROR(INDEX(月1回_前回の在庫を貼る!$Q$6:$Q$10005,MATCH($C266,月1回_前回の在庫を貼る!$I$6:$I$10005,0)),""))))</f>
        <v/>
      </c>
      <c r="I266" s="66" t="str">
        <f aca="false">IF($C266="","",IFERROR(INDEX(商品マスタ!$H$6:$H$1005,MATCH($C266,商品マスタ!$B$6:$B$1005,0)),3))</f>
        <v/>
      </c>
      <c r="J266" s="66" t="str">
        <f aca="false">IF($C266="","",MAX(1,IFERROR(INDEX(商品マスタ!$I$6:$I$1005,MATCH($C266,商品マスタ!$B$6:$B$1005,0)),1)))</f>
        <v/>
      </c>
      <c r="K266" s="69" t="str">
        <f aca="false">IF($C266="","",SUMIFS(①今日の在庫を貼る!$N$6:$N$10005,①今日の在庫を貼る!$B$6:$B$10005,'設定（最初に1回）'!$C$4,①今日の在庫を貼る!$I$6:$I$10005,$C266))</f>
        <v/>
      </c>
      <c r="L266" s="69" t="str">
        <f aca="false">IF($C266="","",SUMIFS(月1回_前回の在庫を貼る!$N$6:$N$10005,月1回_前回の在庫を貼る!$B$6:$B$10005,'設定（最初に1回）'!$C$4,月1回_前回の在庫を貼る!$I$6:$I$10005,$C266))</f>
        <v/>
      </c>
      <c r="M266" s="69" t="str">
        <f aca="false">IF($C266="","",IF(OR('設定（最初に1回）'!$C$6="",'設定（最初に1回）'!$C$7=""),0,SUMIFS(発注管理!$S$6:$S$1005,発注管理!$C$6:$C$1005,'設定（最初に1回）'!$C$4,発注管理!$F$6:$F$1005,$C266,発注管理!$R$6:$R$1005,"&gt;="&amp;'設定（最初に1回）'!$C$7,発注管理!$R$6:$R$1005,"&lt;="&amp;'設定（最初に1回）'!$C$6)))</f>
        <v/>
      </c>
      <c r="N266" s="69" t="str">
        <f aca="false">IF(OR($C266="",'設定（最初に1回）'!$C$15=0),"",$L266+$M266-$K266)</f>
        <v/>
      </c>
      <c r="O266" s="143" t="str">
        <f aca="false">IF(OR($N266="",'設定（最初に1回）'!$C$8="",'設定（最初に1回）'!$C$8&lt;=0),"",MAX(0,$N266)/'設定（最初に1回）'!$C$8)</f>
        <v/>
      </c>
      <c r="P266" s="143" t="str">
        <f aca="false">IF($C266="","",IFERROR(INDEX(商品マスタ!$M$6:$N$1005,MATCH($C266,商品マスタ!$B$6:$B$1005,0),MATCH("PI値 "&amp;'設定（最初に1回）'!$C$11,商品マスタ!$M$5:$N$5,0)),""))</f>
        <v/>
      </c>
      <c r="Q266" s="143" t="str">
        <f aca="false">IF(OR($C266="",$P266="",$P266=0,(N($I266)+N($AG266))&lt;=0),"",IFERROR(SUMIFS(随時_動員を入れる!$G$8:$G$97,随時_動員を入れる!$B$8:$B$97,"&gt;="&amp;'設定（最初に1回）'!$C$6,随時_動員を入れる!$B$8:$B$97,"&lt;="&amp;'設定（最初に1回）'!$C$6+(N($I266)+N($AG266))-1)/(N($I266)+N($AG266)),0)*$P266/100)</f>
        <v/>
      </c>
      <c r="R266" s="69" t="str">
        <f aca="false">IF($C266="","",SUMIFS(①今日の在庫を貼る!$O$6:$O$10005,①今日の在庫を貼る!$B$6:$B$10005,'設定（最初に1回）'!$C$4,①今日の在庫を貼る!$I$6:$I$10005,$C266))</f>
        <v/>
      </c>
      <c r="S266" s="143" t="str">
        <f aca="false">IF($C266="","",IF('設定（最初に1回）'!$C$9="実績消費",N($O266),IF('設定（最初に1回）'!$C$9="PI値予測",N($Q266),MAX(N($O266),N($Q266)))))</f>
        <v/>
      </c>
      <c r="T266" s="67" t="str">
        <f aca="false">IF(OR($S266="",$S266&lt;=0),"",$K266/$S266)</f>
        <v/>
      </c>
      <c r="U266" s="69" t="str">
        <f aca="false">IF($S266="","",ROUNDUP(N($S266)*'設定（最初に1回）'!$C$12,0))</f>
        <v/>
      </c>
      <c r="V266" s="69" t="str">
        <f aca="false">IF($C266="","",ROUNDUP(N($S266)*(N($I266)+N($AG266))+N($U266),0))</f>
        <v/>
      </c>
      <c r="W266" s="69" t="str">
        <f aca="false">IF($C266="","",SUMIFS(発注管理!$L$6:$L$1005,発注管理!$C$6:$C$1005,'設定（最初に1回）'!$C$4,発注管理!$F$6:$F$1005,$C266,発注管理!$Q$6:$Q$1005,"発注済"))</f>
        <v/>
      </c>
      <c r="X266" s="69" t="str">
        <f aca="false">IF($C266="","",MAX(0,N($V266)-N($K266)-N($W266)))</f>
        <v/>
      </c>
      <c r="Y266" s="147" t="str">
        <f aca="false">IF($C266="","",IF(N($X266)&lt;=0,0,CEILING($X266/MAX(1,N($G266)),MAX(1,N($J266)))))</f>
        <v/>
      </c>
      <c r="Z266" s="138" t="str">
        <f aca="false">IF($C266="","",IF(N($Y266)&gt;0,"要発注","正常"))</f>
        <v/>
      </c>
      <c r="AA266" s="71" t="str">
        <f aca="false">IF($C266="","",N($K266)*N($H266))</f>
        <v/>
      </c>
      <c r="AB266" s="66" t="str">
        <f aca="false">IF($C266="","",_xlfn.TEXTJOIN(" / ",TRUE(),IF(COUNTIF(商品マスタ!$B$6:$B$1005,$C266)=0,"マスタ未登録",""),IF(COUNTIFS(月1回_前回の在庫を貼る!$B$6:$B$10005,'設定（最初に1回）'!$C$4,月1回_前回の在庫を貼る!$I$6:$I$10005,$C266)=0,"新商品",""),IF(COUNTIFS(①今日の在庫を貼る!$B$6:$B$10005,'設定（最初に1回）'!$C$4,①今日の在庫を貼る!$I$6:$I$10005,$C266)=0,"終売候補",""),IF(N($K266)&lt;0,"在庫マイナス",""),IF(AND('設定（最初に1回）'!$C$9="PI値予測",$P266=""),"PI値未設定","")))</f>
        <v/>
      </c>
      <c r="AC266" s="71" t="n">
        <f aca="false">N($Y266)*N($H266)</f>
        <v>0</v>
      </c>
      <c r="AD266" s="66" t="str">
        <f aca="false">IF($C266="","",IFERROR(INDEX(商品マスタ!$K$6:$K$1005,MATCH($C266,商品マスタ!$B$6:$B$1005,0)),"常温"))</f>
        <v/>
      </c>
      <c r="AE266" s="69" t="str">
        <f aca="false">IF($C266="","",MAX(0,ROUNDUP(N($K266)/MAX(1,N($G266)),0)))</f>
        <v/>
      </c>
      <c r="AF266" s="66" t="str">
        <f aca="false">IF($C266="","",IFERROR(INDEX(商品マスタ!$L$6:$L$1005,MATCH($C266,商品マスタ!$B$6:$B$1005,0)),""))</f>
        <v/>
      </c>
      <c r="AG266" s="143" t="str">
        <f aca="false">IF($C266="","",IFERROR(INDEX(定数マスタ!$S$110:$S$119,MATCH($AF266,定数マスタ!$J$110:$J$119,0)),N('設定（最初に1回）'!$C$13)))</f>
        <v/>
      </c>
      <c r="AH266" s="66" t="n">
        <f aca="false">IF(AND(N($K266)&gt;0,N($Y266)&gt;0),N($Y266),0)</f>
        <v>0</v>
      </c>
    </row>
    <row r="267" customFormat="false" ht="15" hidden="false" customHeight="false" outlineLevel="0" collapsed="false">
      <c r="B267" s="66" t="n">
        <v>262</v>
      </c>
      <c r="C267" s="66" t="str">
        <f aca="false">IFERROR(IF($B267&lt;=MAX(①今日の在庫を貼る!$U$6:$U$10005),INDEX(①今日の在庫を貼る!$I$6:$I$10005,MATCH($B267,①今日の在庫を貼る!$U$6:$U$10005,0)),INDEX(月1回_前回の在庫を貼る!$I$6:$I$10005,MATCH($B267-MAX(①今日の在庫を貼る!$U$6:$U$10005),月1回_前回の在庫を貼る!$U$6:$U$10005,0))),"")</f>
        <v/>
      </c>
      <c r="D267" s="66" t="str">
        <f aca="false">IF($C267="","",IFERROR(INDEX(商品マスタ!$C$6:$C$1005,MATCH($C267,商品マスタ!$B$6:$B$1005,0)),IFERROR(INDEX(①今日の在庫を貼る!$J$6:$J$10005,MATCH($C267,①今日の在庫を貼る!$I$6:$I$10005,0)),IFERROR(INDEX(月1回_前回の在庫を貼る!$J$6:$J$10005,MATCH($C267,月1回_前回の在庫を貼る!$I$6:$I$10005,0)),""))))</f>
        <v/>
      </c>
      <c r="E267" s="66" t="str">
        <f aca="false">IF($C267="","",IFERROR(INDEX(商品マスタ!$D$6:$D$1005,MATCH($C267,商品マスタ!$B$6:$B$1005,0)),IFERROR(INDEX(①今日の在庫を貼る!$H$6:$H$10005,MATCH($C267,①今日の在庫を貼る!$I$6:$I$10005,0)),IFERROR(INDEX(月1回_前回の在庫を貼る!$H$6:$H$10005,MATCH($C267,月1回_前回の在庫を貼る!$I$6:$I$10005,0)),""))))</f>
        <v/>
      </c>
      <c r="F267" s="66" t="str">
        <f aca="false">IF($C267="","",IFERROR(INDEX(商品マスタ!$E$6:$E$1005,MATCH($C267,商品マスタ!$B$6:$B$1005,0)),IFERROR(INDEX(①今日の在庫を貼る!$E$6:$E$10005,MATCH($C267,①今日の在庫を貼る!$I$6:$I$10005,0)),IFERROR(INDEX(月1回_前回の在庫を貼る!$E$6:$E$10005,MATCH($C267,月1回_前回の在庫を貼る!$I$6:$I$10005,0)),""))))</f>
        <v/>
      </c>
      <c r="G267" s="69" t="str">
        <f aca="false">IF($C267="","",IFERROR(INDEX(商品マスタ!$F$6:$F$1005,MATCH($C267,商品マスタ!$B$6:$B$1005,0)),IFERROR(INDEX(①今日の在庫を貼る!$K$6:$K$10005,MATCH($C267,①今日の在庫を貼る!$I$6:$I$10005,0)),IFERROR(INDEX(月1回_前回の在庫を貼る!$K$6:$K$10005,MATCH($C267,月1回_前回の在庫を貼る!$I$6:$I$10005,0)),""))))</f>
        <v/>
      </c>
      <c r="H267" s="71" t="str">
        <f aca="false">IF($C267="","",IFERROR(INDEX(商品マスタ!$G$6:$G$1005,MATCH($C267,商品マスタ!$B$6:$B$1005,0)),IFERROR(INDEX(①今日の在庫を貼る!$Q$6:$Q$10005,MATCH($C267,①今日の在庫を貼る!$I$6:$I$10005,0)),IFERROR(INDEX(月1回_前回の在庫を貼る!$Q$6:$Q$10005,MATCH($C267,月1回_前回の在庫を貼る!$I$6:$I$10005,0)),""))))</f>
        <v/>
      </c>
      <c r="I267" s="66" t="str">
        <f aca="false">IF($C267="","",IFERROR(INDEX(商品マスタ!$H$6:$H$1005,MATCH($C267,商品マスタ!$B$6:$B$1005,0)),3))</f>
        <v/>
      </c>
      <c r="J267" s="66" t="str">
        <f aca="false">IF($C267="","",MAX(1,IFERROR(INDEX(商品マスタ!$I$6:$I$1005,MATCH($C267,商品マスタ!$B$6:$B$1005,0)),1)))</f>
        <v/>
      </c>
      <c r="K267" s="69" t="str">
        <f aca="false">IF($C267="","",SUMIFS(①今日の在庫を貼る!$N$6:$N$10005,①今日の在庫を貼る!$B$6:$B$10005,'設定（最初に1回）'!$C$4,①今日の在庫を貼る!$I$6:$I$10005,$C267))</f>
        <v/>
      </c>
      <c r="L267" s="69" t="str">
        <f aca="false">IF($C267="","",SUMIFS(月1回_前回の在庫を貼る!$N$6:$N$10005,月1回_前回の在庫を貼る!$B$6:$B$10005,'設定（最初に1回）'!$C$4,月1回_前回の在庫を貼る!$I$6:$I$10005,$C267))</f>
        <v/>
      </c>
      <c r="M267" s="69" t="str">
        <f aca="false">IF($C267="","",IF(OR('設定（最初に1回）'!$C$6="",'設定（最初に1回）'!$C$7=""),0,SUMIFS(発注管理!$S$6:$S$1005,発注管理!$C$6:$C$1005,'設定（最初に1回）'!$C$4,発注管理!$F$6:$F$1005,$C267,発注管理!$R$6:$R$1005,"&gt;="&amp;'設定（最初に1回）'!$C$7,発注管理!$R$6:$R$1005,"&lt;="&amp;'設定（最初に1回）'!$C$6)))</f>
        <v/>
      </c>
      <c r="N267" s="69" t="str">
        <f aca="false">IF(OR($C267="",'設定（最初に1回）'!$C$15=0),"",$L267+$M267-$K267)</f>
        <v/>
      </c>
      <c r="O267" s="143" t="str">
        <f aca="false">IF(OR($N267="",'設定（最初に1回）'!$C$8="",'設定（最初に1回）'!$C$8&lt;=0),"",MAX(0,$N267)/'設定（最初に1回）'!$C$8)</f>
        <v/>
      </c>
      <c r="P267" s="143" t="str">
        <f aca="false">IF($C267="","",IFERROR(INDEX(商品マスタ!$M$6:$N$1005,MATCH($C267,商品マスタ!$B$6:$B$1005,0),MATCH("PI値 "&amp;'設定（最初に1回）'!$C$11,商品マスタ!$M$5:$N$5,0)),""))</f>
        <v/>
      </c>
      <c r="Q267" s="143" t="str">
        <f aca="false">IF(OR($C267="",$P267="",$P267=0,(N($I267)+N($AG267))&lt;=0),"",IFERROR(SUMIFS(随時_動員を入れる!$G$8:$G$97,随時_動員を入れる!$B$8:$B$97,"&gt;="&amp;'設定（最初に1回）'!$C$6,随時_動員を入れる!$B$8:$B$97,"&lt;="&amp;'設定（最初に1回）'!$C$6+(N($I267)+N($AG267))-1)/(N($I267)+N($AG267)),0)*$P267/100)</f>
        <v/>
      </c>
      <c r="R267" s="69" t="str">
        <f aca="false">IF($C267="","",SUMIFS(①今日の在庫を貼る!$O$6:$O$10005,①今日の在庫を貼る!$B$6:$B$10005,'設定（最初に1回）'!$C$4,①今日の在庫を貼る!$I$6:$I$10005,$C267))</f>
        <v/>
      </c>
      <c r="S267" s="143" t="str">
        <f aca="false">IF($C267="","",IF('設定（最初に1回）'!$C$9="実績消費",N($O267),IF('設定（最初に1回）'!$C$9="PI値予測",N($Q267),MAX(N($O267),N($Q267)))))</f>
        <v/>
      </c>
      <c r="T267" s="67" t="str">
        <f aca="false">IF(OR($S267="",$S267&lt;=0),"",$K267/$S267)</f>
        <v/>
      </c>
      <c r="U267" s="69" t="str">
        <f aca="false">IF($S267="","",ROUNDUP(N($S267)*'設定（最初に1回）'!$C$12,0))</f>
        <v/>
      </c>
      <c r="V267" s="69" t="str">
        <f aca="false">IF($C267="","",ROUNDUP(N($S267)*(N($I267)+N($AG267))+N($U267),0))</f>
        <v/>
      </c>
      <c r="W267" s="69" t="str">
        <f aca="false">IF($C267="","",SUMIFS(発注管理!$L$6:$L$1005,発注管理!$C$6:$C$1005,'設定（最初に1回）'!$C$4,発注管理!$F$6:$F$1005,$C267,発注管理!$Q$6:$Q$1005,"発注済"))</f>
        <v/>
      </c>
      <c r="X267" s="69" t="str">
        <f aca="false">IF($C267="","",MAX(0,N($V267)-N($K267)-N($W267)))</f>
        <v/>
      </c>
      <c r="Y267" s="147" t="str">
        <f aca="false">IF($C267="","",IF(N($X267)&lt;=0,0,CEILING($X267/MAX(1,N($G267)),MAX(1,N($J267)))))</f>
        <v/>
      </c>
      <c r="Z267" s="138" t="str">
        <f aca="false">IF($C267="","",IF(N($Y267)&gt;0,"要発注","正常"))</f>
        <v/>
      </c>
      <c r="AA267" s="71" t="str">
        <f aca="false">IF($C267="","",N($K267)*N($H267))</f>
        <v/>
      </c>
      <c r="AB267" s="66" t="str">
        <f aca="false">IF($C267="","",_xlfn.TEXTJOIN(" / ",TRUE(),IF(COUNTIF(商品マスタ!$B$6:$B$1005,$C267)=0,"マスタ未登録",""),IF(COUNTIFS(月1回_前回の在庫を貼る!$B$6:$B$10005,'設定（最初に1回）'!$C$4,月1回_前回の在庫を貼る!$I$6:$I$10005,$C267)=0,"新商品",""),IF(COUNTIFS(①今日の在庫を貼る!$B$6:$B$10005,'設定（最初に1回）'!$C$4,①今日の在庫を貼る!$I$6:$I$10005,$C267)=0,"終売候補",""),IF(N($K267)&lt;0,"在庫マイナス",""),IF(AND('設定（最初に1回）'!$C$9="PI値予測",$P267=""),"PI値未設定","")))</f>
        <v/>
      </c>
      <c r="AC267" s="71" t="n">
        <f aca="false">N($Y267)*N($H267)</f>
        <v>0</v>
      </c>
      <c r="AD267" s="66" t="str">
        <f aca="false">IF($C267="","",IFERROR(INDEX(商品マスタ!$K$6:$K$1005,MATCH($C267,商品マスタ!$B$6:$B$1005,0)),"常温"))</f>
        <v/>
      </c>
      <c r="AE267" s="69" t="str">
        <f aca="false">IF($C267="","",MAX(0,ROUNDUP(N($K267)/MAX(1,N($G267)),0)))</f>
        <v/>
      </c>
      <c r="AF267" s="66" t="str">
        <f aca="false">IF($C267="","",IFERROR(INDEX(商品マスタ!$L$6:$L$1005,MATCH($C267,商品マスタ!$B$6:$B$1005,0)),""))</f>
        <v/>
      </c>
      <c r="AG267" s="143" t="str">
        <f aca="false">IF($C267="","",IFERROR(INDEX(定数マスタ!$S$110:$S$119,MATCH($AF267,定数マスタ!$J$110:$J$119,0)),N('設定（最初に1回）'!$C$13)))</f>
        <v/>
      </c>
      <c r="AH267" s="66" t="n">
        <f aca="false">IF(AND(N($K267)&gt;0,N($Y267)&gt;0),N($Y267),0)</f>
        <v>0</v>
      </c>
    </row>
    <row r="268" customFormat="false" ht="15" hidden="false" customHeight="false" outlineLevel="0" collapsed="false">
      <c r="B268" s="66" t="n">
        <v>263</v>
      </c>
      <c r="C268" s="66" t="str">
        <f aca="false">IFERROR(IF($B268&lt;=MAX(①今日の在庫を貼る!$U$6:$U$10005),INDEX(①今日の在庫を貼る!$I$6:$I$10005,MATCH($B268,①今日の在庫を貼る!$U$6:$U$10005,0)),INDEX(月1回_前回の在庫を貼る!$I$6:$I$10005,MATCH($B268-MAX(①今日の在庫を貼る!$U$6:$U$10005),月1回_前回の在庫を貼る!$U$6:$U$10005,0))),"")</f>
        <v/>
      </c>
      <c r="D268" s="66" t="str">
        <f aca="false">IF($C268="","",IFERROR(INDEX(商品マスタ!$C$6:$C$1005,MATCH($C268,商品マスタ!$B$6:$B$1005,0)),IFERROR(INDEX(①今日の在庫を貼る!$J$6:$J$10005,MATCH($C268,①今日の在庫を貼る!$I$6:$I$10005,0)),IFERROR(INDEX(月1回_前回の在庫を貼る!$J$6:$J$10005,MATCH($C268,月1回_前回の在庫を貼る!$I$6:$I$10005,0)),""))))</f>
        <v/>
      </c>
      <c r="E268" s="66" t="str">
        <f aca="false">IF($C268="","",IFERROR(INDEX(商品マスタ!$D$6:$D$1005,MATCH($C268,商品マスタ!$B$6:$B$1005,0)),IFERROR(INDEX(①今日の在庫を貼る!$H$6:$H$10005,MATCH($C268,①今日の在庫を貼る!$I$6:$I$10005,0)),IFERROR(INDEX(月1回_前回の在庫を貼る!$H$6:$H$10005,MATCH($C268,月1回_前回の在庫を貼る!$I$6:$I$10005,0)),""))))</f>
        <v/>
      </c>
      <c r="F268" s="66" t="str">
        <f aca="false">IF($C268="","",IFERROR(INDEX(商品マスタ!$E$6:$E$1005,MATCH($C268,商品マスタ!$B$6:$B$1005,0)),IFERROR(INDEX(①今日の在庫を貼る!$E$6:$E$10005,MATCH($C268,①今日の在庫を貼る!$I$6:$I$10005,0)),IFERROR(INDEX(月1回_前回の在庫を貼る!$E$6:$E$10005,MATCH($C268,月1回_前回の在庫を貼る!$I$6:$I$10005,0)),""))))</f>
        <v/>
      </c>
      <c r="G268" s="69" t="str">
        <f aca="false">IF($C268="","",IFERROR(INDEX(商品マスタ!$F$6:$F$1005,MATCH($C268,商品マスタ!$B$6:$B$1005,0)),IFERROR(INDEX(①今日の在庫を貼る!$K$6:$K$10005,MATCH($C268,①今日の在庫を貼る!$I$6:$I$10005,0)),IFERROR(INDEX(月1回_前回の在庫を貼る!$K$6:$K$10005,MATCH($C268,月1回_前回の在庫を貼る!$I$6:$I$10005,0)),""))))</f>
        <v/>
      </c>
      <c r="H268" s="71" t="str">
        <f aca="false">IF($C268="","",IFERROR(INDEX(商品マスタ!$G$6:$G$1005,MATCH($C268,商品マスタ!$B$6:$B$1005,0)),IFERROR(INDEX(①今日の在庫を貼る!$Q$6:$Q$10005,MATCH($C268,①今日の在庫を貼る!$I$6:$I$10005,0)),IFERROR(INDEX(月1回_前回の在庫を貼る!$Q$6:$Q$10005,MATCH($C268,月1回_前回の在庫を貼る!$I$6:$I$10005,0)),""))))</f>
        <v/>
      </c>
      <c r="I268" s="66" t="str">
        <f aca="false">IF($C268="","",IFERROR(INDEX(商品マスタ!$H$6:$H$1005,MATCH($C268,商品マスタ!$B$6:$B$1005,0)),3))</f>
        <v/>
      </c>
      <c r="J268" s="66" t="str">
        <f aca="false">IF($C268="","",MAX(1,IFERROR(INDEX(商品マスタ!$I$6:$I$1005,MATCH($C268,商品マスタ!$B$6:$B$1005,0)),1)))</f>
        <v/>
      </c>
      <c r="K268" s="69" t="str">
        <f aca="false">IF($C268="","",SUMIFS(①今日の在庫を貼る!$N$6:$N$10005,①今日の在庫を貼る!$B$6:$B$10005,'設定（最初に1回）'!$C$4,①今日の在庫を貼る!$I$6:$I$10005,$C268))</f>
        <v/>
      </c>
      <c r="L268" s="69" t="str">
        <f aca="false">IF($C268="","",SUMIFS(月1回_前回の在庫を貼る!$N$6:$N$10005,月1回_前回の在庫を貼る!$B$6:$B$10005,'設定（最初に1回）'!$C$4,月1回_前回の在庫を貼る!$I$6:$I$10005,$C268))</f>
        <v/>
      </c>
      <c r="M268" s="69" t="str">
        <f aca="false">IF($C268="","",IF(OR('設定（最初に1回）'!$C$6="",'設定（最初に1回）'!$C$7=""),0,SUMIFS(発注管理!$S$6:$S$1005,発注管理!$C$6:$C$1005,'設定（最初に1回）'!$C$4,発注管理!$F$6:$F$1005,$C268,発注管理!$R$6:$R$1005,"&gt;="&amp;'設定（最初に1回）'!$C$7,発注管理!$R$6:$R$1005,"&lt;="&amp;'設定（最初に1回）'!$C$6)))</f>
        <v/>
      </c>
      <c r="N268" s="69" t="str">
        <f aca="false">IF(OR($C268="",'設定（最初に1回）'!$C$15=0),"",$L268+$M268-$K268)</f>
        <v/>
      </c>
      <c r="O268" s="143" t="str">
        <f aca="false">IF(OR($N268="",'設定（最初に1回）'!$C$8="",'設定（最初に1回）'!$C$8&lt;=0),"",MAX(0,$N268)/'設定（最初に1回）'!$C$8)</f>
        <v/>
      </c>
      <c r="P268" s="143" t="str">
        <f aca="false">IF($C268="","",IFERROR(INDEX(商品マスタ!$M$6:$N$1005,MATCH($C268,商品マスタ!$B$6:$B$1005,0),MATCH("PI値 "&amp;'設定（最初に1回）'!$C$11,商品マスタ!$M$5:$N$5,0)),""))</f>
        <v/>
      </c>
      <c r="Q268" s="143" t="str">
        <f aca="false">IF(OR($C268="",$P268="",$P268=0,(N($I268)+N($AG268))&lt;=0),"",IFERROR(SUMIFS(随時_動員を入れる!$G$8:$G$97,随時_動員を入れる!$B$8:$B$97,"&gt;="&amp;'設定（最初に1回）'!$C$6,随時_動員を入れる!$B$8:$B$97,"&lt;="&amp;'設定（最初に1回）'!$C$6+(N($I268)+N($AG268))-1)/(N($I268)+N($AG268)),0)*$P268/100)</f>
        <v/>
      </c>
      <c r="R268" s="69" t="str">
        <f aca="false">IF($C268="","",SUMIFS(①今日の在庫を貼る!$O$6:$O$10005,①今日の在庫を貼る!$B$6:$B$10005,'設定（最初に1回）'!$C$4,①今日の在庫を貼る!$I$6:$I$10005,$C268))</f>
        <v/>
      </c>
      <c r="S268" s="143" t="str">
        <f aca="false">IF($C268="","",IF('設定（最初に1回）'!$C$9="実績消費",N($O268),IF('設定（最初に1回）'!$C$9="PI値予測",N($Q268),MAX(N($O268),N($Q268)))))</f>
        <v/>
      </c>
      <c r="T268" s="67" t="str">
        <f aca="false">IF(OR($S268="",$S268&lt;=0),"",$K268/$S268)</f>
        <v/>
      </c>
      <c r="U268" s="69" t="str">
        <f aca="false">IF($S268="","",ROUNDUP(N($S268)*'設定（最初に1回）'!$C$12,0))</f>
        <v/>
      </c>
      <c r="V268" s="69" t="str">
        <f aca="false">IF($C268="","",ROUNDUP(N($S268)*(N($I268)+N($AG268))+N($U268),0))</f>
        <v/>
      </c>
      <c r="W268" s="69" t="str">
        <f aca="false">IF($C268="","",SUMIFS(発注管理!$L$6:$L$1005,発注管理!$C$6:$C$1005,'設定（最初に1回）'!$C$4,発注管理!$F$6:$F$1005,$C268,発注管理!$Q$6:$Q$1005,"発注済"))</f>
        <v/>
      </c>
      <c r="X268" s="69" t="str">
        <f aca="false">IF($C268="","",MAX(0,N($V268)-N($K268)-N($W268)))</f>
        <v/>
      </c>
      <c r="Y268" s="147" t="str">
        <f aca="false">IF($C268="","",IF(N($X268)&lt;=0,0,CEILING($X268/MAX(1,N($G268)),MAX(1,N($J268)))))</f>
        <v/>
      </c>
      <c r="Z268" s="138" t="str">
        <f aca="false">IF($C268="","",IF(N($Y268)&gt;0,"要発注","正常"))</f>
        <v/>
      </c>
      <c r="AA268" s="71" t="str">
        <f aca="false">IF($C268="","",N($K268)*N($H268))</f>
        <v/>
      </c>
      <c r="AB268" s="66" t="str">
        <f aca="false">IF($C268="","",_xlfn.TEXTJOIN(" / ",TRUE(),IF(COUNTIF(商品マスタ!$B$6:$B$1005,$C268)=0,"マスタ未登録",""),IF(COUNTIFS(月1回_前回の在庫を貼る!$B$6:$B$10005,'設定（最初に1回）'!$C$4,月1回_前回の在庫を貼る!$I$6:$I$10005,$C268)=0,"新商品",""),IF(COUNTIFS(①今日の在庫を貼る!$B$6:$B$10005,'設定（最初に1回）'!$C$4,①今日の在庫を貼る!$I$6:$I$10005,$C268)=0,"終売候補",""),IF(N($K268)&lt;0,"在庫マイナス",""),IF(AND('設定（最初に1回）'!$C$9="PI値予測",$P268=""),"PI値未設定","")))</f>
        <v/>
      </c>
      <c r="AC268" s="71" t="n">
        <f aca="false">N($Y268)*N($H268)</f>
        <v>0</v>
      </c>
      <c r="AD268" s="66" t="str">
        <f aca="false">IF($C268="","",IFERROR(INDEX(商品マスタ!$K$6:$K$1005,MATCH($C268,商品マスタ!$B$6:$B$1005,0)),"常温"))</f>
        <v/>
      </c>
      <c r="AE268" s="69" t="str">
        <f aca="false">IF($C268="","",MAX(0,ROUNDUP(N($K268)/MAX(1,N($G268)),0)))</f>
        <v/>
      </c>
      <c r="AF268" s="66" t="str">
        <f aca="false">IF($C268="","",IFERROR(INDEX(商品マスタ!$L$6:$L$1005,MATCH($C268,商品マスタ!$B$6:$B$1005,0)),""))</f>
        <v/>
      </c>
      <c r="AG268" s="143" t="str">
        <f aca="false">IF($C268="","",IFERROR(INDEX(定数マスタ!$S$110:$S$119,MATCH($AF268,定数マスタ!$J$110:$J$119,0)),N('設定（最初に1回）'!$C$13)))</f>
        <v/>
      </c>
      <c r="AH268" s="66" t="n">
        <f aca="false">IF(AND(N($K268)&gt;0,N($Y268)&gt;0),N($Y268),0)</f>
        <v>0</v>
      </c>
    </row>
    <row r="269" customFormat="false" ht="15" hidden="false" customHeight="false" outlineLevel="0" collapsed="false">
      <c r="B269" s="66" t="n">
        <v>264</v>
      </c>
      <c r="C269" s="66" t="str">
        <f aca="false">IFERROR(IF($B269&lt;=MAX(①今日の在庫を貼る!$U$6:$U$10005),INDEX(①今日の在庫を貼る!$I$6:$I$10005,MATCH($B269,①今日の在庫を貼る!$U$6:$U$10005,0)),INDEX(月1回_前回の在庫を貼る!$I$6:$I$10005,MATCH($B269-MAX(①今日の在庫を貼る!$U$6:$U$10005),月1回_前回の在庫を貼る!$U$6:$U$10005,0))),"")</f>
        <v/>
      </c>
      <c r="D269" s="66" t="str">
        <f aca="false">IF($C269="","",IFERROR(INDEX(商品マスタ!$C$6:$C$1005,MATCH($C269,商品マスタ!$B$6:$B$1005,0)),IFERROR(INDEX(①今日の在庫を貼る!$J$6:$J$10005,MATCH($C269,①今日の在庫を貼る!$I$6:$I$10005,0)),IFERROR(INDEX(月1回_前回の在庫を貼る!$J$6:$J$10005,MATCH($C269,月1回_前回の在庫を貼る!$I$6:$I$10005,0)),""))))</f>
        <v/>
      </c>
      <c r="E269" s="66" t="str">
        <f aca="false">IF($C269="","",IFERROR(INDEX(商品マスタ!$D$6:$D$1005,MATCH($C269,商品マスタ!$B$6:$B$1005,0)),IFERROR(INDEX(①今日の在庫を貼る!$H$6:$H$10005,MATCH($C269,①今日の在庫を貼る!$I$6:$I$10005,0)),IFERROR(INDEX(月1回_前回の在庫を貼る!$H$6:$H$10005,MATCH($C269,月1回_前回の在庫を貼る!$I$6:$I$10005,0)),""))))</f>
        <v/>
      </c>
      <c r="F269" s="66" t="str">
        <f aca="false">IF($C269="","",IFERROR(INDEX(商品マスタ!$E$6:$E$1005,MATCH($C269,商品マスタ!$B$6:$B$1005,0)),IFERROR(INDEX(①今日の在庫を貼る!$E$6:$E$10005,MATCH($C269,①今日の在庫を貼る!$I$6:$I$10005,0)),IFERROR(INDEX(月1回_前回の在庫を貼る!$E$6:$E$10005,MATCH($C269,月1回_前回の在庫を貼る!$I$6:$I$10005,0)),""))))</f>
        <v/>
      </c>
      <c r="G269" s="69" t="str">
        <f aca="false">IF($C269="","",IFERROR(INDEX(商品マスタ!$F$6:$F$1005,MATCH($C269,商品マスタ!$B$6:$B$1005,0)),IFERROR(INDEX(①今日の在庫を貼る!$K$6:$K$10005,MATCH($C269,①今日の在庫を貼る!$I$6:$I$10005,0)),IFERROR(INDEX(月1回_前回の在庫を貼る!$K$6:$K$10005,MATCH($C269,月1回_前回の在庫を貼る!$I$6:$I$10005,0)),""))))</f>
        <v/>
      </c>
      <c r="H269" s="71" t="str">
        <f aca="false">IF($C269="","",IFERROR(INDEX(商品マスタ!$G$6:$G$1005,MATCH($C269,商品マスタ!$B$6:$B$1005,0)),IFERROR(INDEX(①今日の在庫を貼る!$Q$6:$Q$10005,MATCH($C269,①今日の在庫を貼る!$I$6:$I$10005,0)),IFERROR(INDEX(月1回_前回の在庫を貼る!$Q$6:$Q$10005,MATCH($C269,月1回_前回の在庫を貼る!$I$6:$I$10005,0)),""))))</f>
        <v/>
      </c>
      <c r="I269" s="66" t="str">
        <f aca="false">IF($C269="","",IFERROR(INDEX(商品マスタ!$H$6:$H$1005,MATCH($C269,商品マスタ!$B$6:$B$1005,0)),3))</f>
        <v/>
      </c>
      <c r="J269" s="66" t="str">
        <f aca="false">IF($C269="","",MAX(1,IFERROR(INDEX(商品マスタ!$I$6:$I$1005,MATCH($C269,商品マスタ!$B$6:$B$1005,0)),1)))</f>
        <v/>
      </c>
      <c r="K269" s="69" t="str">
        <f aca="false">IF($C269="","",SUMIFS(①今日の在庫を貼る!$N$6:$N$10005,①今日の在庫を貼る!$B$6:$B$10005,'設定（最初に1回）'!$C$4,①今日の在庫を貼る!$I$6:$I$10005,$C269))</f>
        <v/>
      </c>
      <c r="L269" s="69" t="str">
        <f aca="false">IF($C269="","",SUMIFS(月1回_前回の在庫を貼る!$N$6:$N$10005,月1回_前回の在庫を貼る!$B$6:$B$10005,'設定（最初に1回）'!$C$4,月1回_前回の在庫を貼る!$I$6:$I$10005,$C269))</f>
        <v/>
      </c>
      <c r="M269" s="69" t="str">
        <f aca="false">IF($C269="","",IF(OR('設定（最初に1回）'!$C$6="",'設定（最初に1回）'!$C$7=""),0,SUMIFS(発注管理!$S$6:$S$1005,発注管理!$C$6:$C$1005,'設定（最初に1回）'!$C$4,発注管理!$F$6:$F$1005,$C269,発注管理!$R$6:$R$1005,"&gt;="&amp;'設定（最初に1回）'!$C$7,発注管理!$R$6:$R$1005,"&lt;="&amp;'設定（最初に1回）'!$C$6)))</f>
        <v/>
      </c>
      <c r="N269" s="69" t="str">
        <f aca="false">IF(OR($C269="",'設定（最初に1回）'!$C$15=0),"",$L269+$M269-$K269)</f>
        <v/>
      </c>
      <c r="O269" s="143" t="str">
        <f aca="false">IF(OR($N269="",'設定（最初に1回）'!$C$8="",'設定（最初に1回）'!$C$8&lt;=0),"",MAX(0,$N269)/'設定（最初に1回）'!$C$8)</f>
        <v/>
      </c>
      <c r="P269" s="143" t="str">
        <f aca="false">IF($C269="","",IFERROR(INDEX(商品マスタ!$M$6:$N$1005,MATCH($C269,商品マスタ!$B$6:$B$1005,0),MATCH("PI値 "&amp;'設定（最初に1回）'!$C$11,商品マスタ!$M$5:$N$5,0)),""))</f>
        <v/>
      </c>
      <c r="Q269" s="143" t="str">
        <f aca="false">IF(OR($C269="",$P269="",$P269=0,(N($I269)+N($AG269))&lt;=0),"",IFERROR(SUMIFS(随時_動員を入れる!$G$8:$G$97,随時_動員を入れる!$B$8:$B$97,"&gt;="&amp;'設定（最初に1回）'!$C$6,随時_動員を入れる!$B$8:$B$97,"&lt;="&amp;'設定（最初に1回）'!$C$6+(N($I269)+N($AG269))-1)/(N($I269)+N($AG269)),0)*$P269/100)</f>
        <v/>
      </c>
      <c r="R269" s="69" t="str">
        <f aca="false">IF($C269="","",SUMIFS(①今日の在庫を貼る!$O$6:$O$10005,①今日の在庫を貼る!$B$6:$B$10005,'設定（最初に1回）'!$C$4,①今日の在庫を貼る!$I$6:$I$10005,$C269))</f>
        <v/>
      </c>
      <c r="S269" s="143" t="str">
        <f aca="false">IF($C269="","",IF('設定（最初に1回）'!$C$9="実績消費",N($O269),IF('設定（最初に1回）'!$C$9="PI値予測",N($Q269),MAX(N($O269),N($Q269)))))</f>
        <v/>
      </c>
      <c r="T269" s="67" t="str">
        <f aca="false">IF(OR($S269="",$S269&lt;=0),"",$K269/$S269)</f>
        <v/>
      </c>
      <c r="U269" s="69" t="str">
        <f aca="false">IF($S269="","",ROUNDUP(N($S269)*'設定（最初に1回）'!$C$12,0))</f>
        <v/>
      </c>
      <c r="V269" s="69" t="str">
        <f aca="false">IF($C269="","",ROUNDUP(N($S269)*(N($I269)+N($AG269))+N($U269),0))</f>
        <v/>
      </c>
      <c r="W269" s="69" t="str">
        <f aca="false">IF($C269="","",SUMIFS(発注管理!$L$6:$L$1005,発注管理!$C$6:$C$1005,'設定（最初に1回）'!$C$4,発注管理!$F$6:$F$1005,$C269,発注管理!$Q$6:$Q$1005,"発注済"))</f>
        <v/>
      </c>
      <c r="X269" s="69" t="str">
        <f aca="false">IF($C269="","",MAX(0,N($V269)-N($K269)-N($W269)))</f>
        <v/>
      </c>
      <c r="Y269" s="147" t="str">
        <f aca="false">IF($C269="","",IF(N($X269)&lt;=0,0,CEILING($X269/MAX(1,N($G269)),MAX(1,N($J269)))))</f>
        <v/>
      </c>
      <c r="Z269" s="138" t="str">
        <f aca="false">IF($C269="","",IF(N($Y269)&gt;0,"要発注","正常"))</f>
        <v/>
      </c>
      <c r="AA269" s="71" t="str">
        <f aca="false">IF($C269="","",N($K269)*N($H269))</f>
        <v/>
      </c>
      <c r="AB269" s="66" t="str">
        <f aca="false">IF($C269="","",_xlfn.TEXTJOIN(" / ",TRUE(),IF(COUNTIF(商品マスタ!$B$6:$B$1005,$C269)=0,"マスタ未登録",""),IF(COUNTIFS(月1回_前回の在庫を貼る!$B$6:$B$10005,'設定（最初に1回）'!$C$4,月1回_前回の在庫を貼る!$I$6:$I$10005,$C269)=0,"新商品",""),IF(COUNTIFS(①今日の在庫を貼る!$B$6:$B$10005,'設定（最初に1回）'!$C$4,①今日の在庫を貼る!$I$6:$I$10005,$C269)=0,"終売候補",""),IF(N($K269)&lt;0,"在庫マイナス",""),IF(AND('設定（最初に1回）'!$C$9="PI値予測",$P269=""),"PI値未設定","")))</f>
        <v/>
      </c>
      <c r="AC269" s="71" t="n">
        <f aca="false">N($Y269)*N($H269)</f>
        <v>0</v>
      </c>
      <c r="AD269" s="66" t="str">
        <f aca="false">IF($C269="","",IFERROR(INDEX(商品マスタ!$K$6:$K$1005,MATCH($C269,商品マスタ!$B$6:$B$1005,0)),"常温"))</f>
        <v/>
      </c>
      <c r="AE269" s="69" t="str">
        <f aca="false">IF($C269="","",MAX(0,ROUNDUP(N($K269)/MAX(1,N($G269)),0)))</f>
        <v/>
      </c>
      <c r="AF269" s="66" t="str">
        <f aca="false">IF($C269="","",IFERROR(INDEX(商品マスタ!$L$6:$L$1005,MATCH($C269,商品マスタ!$B$6:$B$1005,0)),""))</f>
        <v/>
      </c>
      <c r="AG269" s="143" t="str">
        <f aca="false">IF($C269="","",IFERROR(INDEX(定数マスタ!$S$110:$S$119,MATCH($AF269,定数マスタ!$J$110:$J$119,0)),N('設定（最初に1回）'!$C$13)))</f>
        <v/>
      </c>
      <c r="AH269" s="66" t="n">
        <f aca="false">IF(AND(N($K269)&gt;0,N($Y269)&gt;0),N($Y269),0)</f>
        <v>0</v>
      </c>
    </row>
    <row r="270" customFormat="false" ht="15" hidden="false" customHeight="false" outlineLevel="0" collapsed="false">
      <c r="B270" s="66" t="n">
        <v>265</v>
      </c>
      <c r="C270" s="66" t="str">
        <f aca="false">IFERROR(IF($B270&lt;=MAX(①今日の在庫を貼る!$U$6:$U$10005),INDEX(①今日の在庫を貼る!$I$6:$I$10005,MATCH($B270,①今日の在庫を貼る!$U$6:$U$10005,0)),INDEX(月1回_前回の在庫を貼る!$I$6:$I$10005,MATCH($B270-MAX(①今日の在庫を貼る!$U$6:$U$10005),月1回_前回の在庫を貼る!$U$6:$U$10005,0))),"")</f>
        <v/>
      </c>
      <c r="D270" s="66" t="str">
        <f aca="false">IF($C270="","",IFERROR(INDEX(商品マスタ!$C$6:$C$1005,MATCH($C270,商品マスタ!$B$6:$B$1005,0)),IFERROR(INDEX(①今日の在庫を貼る!$J$6:$J$10005,MATCH($C270,①今日の在庫を貼る!$I$6:$I$10005,0)),IFERROR(INDEX(月1回_前回の在庫を貼る!$J$6:$J$10005,MATCH($C270,月1回_前回の在庫を貼る!$I$6:$I$10005,0)),""))))</f>
        <v/>
      </c>
      <c r="E270" s="66" t="str">
        <f aca="false">IF($C270="","",IFERROR(INDEX(商品マスタ!$D$6:$D$1005,MATCH($C270,商品マスタ!$B$6:$B$1005,0)),IFERROR(INDEX(①今日の在庫を貼る!$H$6:$H$10005,MATCH($C270,①今日の在庫を貼る!$I$6:$I$10005,0)),IFERROR(INDEX(月1回_前回の在庫を貼る!$H$6:$H$10005,MATCH($C270,月1回_前回の在庫を貼る!$I$6:$I$10005,0)),""))))</f>
        <v/>
      </c>
      <c r="F270" s="66" t="str">
        <f aca="false">IF($C270="","",IFERROR(INDEX(商品マスタ!$E$6:$E$1005,MATCH($C270,商品マスタ!$B$6:$B$1005,0)),IFERROR(INDEX(①今日の在庫を貼る!$E$6:$E$10005,MATCH($C270,①今日の在庫を貼る!$I$6:$I$10005,0)),IFERROR(INDEX(月1回_前回の在庫を貼る!$E$6:$E$10005,MATCH($C270,月1回_前回の在庫を貼る!$I$6:$I$10005,0)),""))))</f>
        <v/>
      </c>
      <c r="G270" s="69" t="str">
        <f aca="false">IF($C270="","",IFERROR(INDEX(商品マスタ!$F$6:$F$1005,MATCH($C270,商品マスタ!$B$6:$B$1005,0)),IFERROR(INDEX(①今日の在庫を貼る!$K$6:$K$10005,MATCH($C270,①今日の在庫を貼る!$I$6:$I$10005,0)),IFERROR(INDEX(月1回_前回の在庫を貼る!$K$6:$K$10005,MATCH($C270,月1回_前回の在庫を貼る!$I$6:$I$10005,0)),""))))</f>
        <v/>
      </c>
      <c r="H270" s="71" t="str">
        <f aca="false">IF($C270="","",IFERROR(INDEX(商品マスタ!$G$6:$G$1005,MATCH($C270,商品マスタ!$B$6:$B$1005,0)),IFERROR(INDEX(①今日の在庫を貼る!$Q$6:$Q$10005,MATCH($C270,①今日の在庫を貼る!$I$6:$I$10005,0)),IFERROR(INDEX(月1回_前回の在庫を貼る!$Q$6:$Q$10005,MATCH($C270,月1回_前回の在庫を貼る!$I$6:$I$10005,0)),""))))</f>
        <v/>
      </c>
      <c r="I270" s="66" t="str">
        <f aca="false">IF($C270="","",IFERROR(INDEX(商品マスタ!$H$6:$H$1005,MATCH($C270,商品マスタ!$B$6:$B$1005,0)),3))</f>
        <v/>
      </c>
      <c r="J270" s="66" t="str">
        <f aca="false">IF($C270="","",MAX(1,IFERROR(INDEX(商品マスタ!$I$6:$I$1005,MATCH($C270,商品マスタ!$B$6:$B$1005,0)),1)))</f>
        <v/>
      </c>
      <c r="K270" s="69" t="str">
        <f aca="false">IF($C270="","",SUMIFS(①今日の在庫を貼る!$N$6:$N$10005,①今日の在庫を貼る!$B$6:$B$10005,'設定（最初に1回）'!$C$4,①今日の在庫を貼る!$I$6:$I$10005,$C270))</f>
        <v/>
      </c>
      <c r="L270" s="69" t="str">
        <f aca="false">IF($C270="","",SUMIFS(月1回_前回の在庫を貼る!$N$6:$N$10005,月1回_前回の在庫を貼る!$B$6:$B$10005,'設定（最初に1回）'!$C$4,月1回_前回の在庫を貼る!$I$6:$I$10005,$C270))</f>
        <v/>
      </c>
      <c r="M270" s="69" t="str">
        <f aca="false">IF($C270="","",IF(OR('設定（最初に1回）'!$C$6="",'設定（最初に1回）'!$C$7=""),0,SUMIFS(発注管理!$S$6:$S$1005,発注管理!$C$6:$C$1005,'設定（最初に1回）'!$C$4,発注管理!$F$6:$F$1005,$C270,発注管理!$R$6:$R$1005,"&gt;="&amp;'設定（最初に1回）'!$C$7,発注管理!$R$6:$R$1005,"&lt;="&amp;'設定（最初に1回）'!$C$6)))</f>
        <v/>
      </c>
      <c r="N270" s="69" t="str">
        <f aca="false">IF(OR($C270="",'設定（最初に1回）'!$C$15=0),"",$L270+$M270-$K270)</f>
        <v/>
      </c>
      <c r="O270" s="143" t="str">
        <f aca="false">IF(OR($N270="",'設定（最初に1回）'!$C$8="",'設定（最初に1回）'!$C$8&lt;=0),"",MAX(0,$N270)/'設定（最初に1回）'!$C$8)</f>
        <v/>
      </c>
      <c r="P270" s="143" t="str">
        <f aca="false">IF($C270="","",IFERROR(INDEX(商品マスタ!$M$6:$N$1005,MATCH($C270,商品マスタ!$B$6:$B$1005,0),MATCH("PI値 "&amp;'設定（最初に1回）'!$C$11,商品マスタ!$M$5:$N$5,0)),""))</f>
        <v/>
      </c>
      <c r="Q270" s="143" t="str">
        <f aca="false">IF(OR($C270="",$P270="",$P270=0,(N($I270)+N($AG270))&lt;=0),"",IFERROR(SUMIFS(随時_動員を入れる!$G$8:$G$97,随時_動員を入れる!$B$8:$B$97,"&gt;="&amp;'設定（最初に1回）'!$C$6,随時_動員を入れる!$B$8:$B$97,"&lt;="&amp;'設定（最初に1回）'!$C$6+(N($I270)+N($AG270))-1)/(N($I270)+N($AG270)),0)*$P270/100)</f>
        <v/>
      </c>
      <c r="R270" s="69" t="str">
        <f aca="false">IF($C270="","",SUMIFS(①今日の在庫を貼る!$O$6:$O$10005,①今日の在庫を貼る!$B$6:$B$10005,'設定（最初に1回）'!$C$4,①今日の在庫を貼る!$I$6:$I$10005,$C270))</f>
        <v/>
      </c>
      <c r="S270" s="143" t="str">
        <f aca="false">IF($C270="","",IF('設定（最初に1回）'!$C$9="実績消費",N($O270),IF('設定（最初に1回）'!$C$9="PI値予測",N($Q270),MAX(N($O270),N($Q270)))))</f>
        <v/>
      </c>
      <c r="T270" s="67" t="str">
        <f aca="false">IF(OR($S270="",$S270&lt;=0),"",$K270/$S270)</f>
        <v/>
      </c>
      <c r="U270" s="69" t="str">
        <f aca="false">IF($S270="","",ROUNDUP(N($S270)*'設定（最初に1回）'!$C$12,0))</f>
        <v/>
      </c>
      <c r="V270" s="69" t="str">
        <f aca="false">IF($C270="","",ROUNDUP(N($S270)*(N($I270)+N($AG270))+N($U270),0))</f>
        <v/>
      </c>
      <c r="W270" s="69" t="str">
        <f aca="false">IF($C270="","",SUMIFS(発注管理!$L$6:$L$1005,発注管理!$C$6:$C$1005,'設定（最初に1回）'!$C$4,発注管理!$F$6:$F$1005,$C270,発注管理!$Q$6:$Q$1005,"発注済"))</f>
        <v/>
      </c>
      <c r="X270" s="69" t="str">
        <f aca="false">IF($C270="","",MAX(0,N($V270)-N($K270)-N($W270)))</f>
        <v/>
      </c>
      <c r="Y270" s="147" t="str">
        <f aca="false">IF($C270="","",IF(N($X270)&lt;=0,0,CEILING($X270/MAX(1,N($G270)),MAX(1,N($J270)))))</f>
        <v/>
      </c>
      <c r="Z270" s="138" t="str">
        <f aca="false">IF($C270="","",IF(N($Y270)&gt;0,"要発注","正常"))</f>
        <v/>
      </c>
      <c r="AA270" s="71" t="str">
        <f aca="false">IF($C270="","",N($K270)*N($H270))</f>
        <v/>
      </c>
      <c r="AB270" s="66" t="str">
        <f aca="false">IF($C270="","",_xlfn.TEXTJOIN(" / ",TRUE(),IF(COUNTIF(商品マスタ!$B$6:$B$1005,$C270)=0,"マスタ未登録",""),IF(COUNTIFS(月1回_前回の在庫を貼る!$B$6:$B$10005,'設定（最初に1回）'!$C$4,月1回_前回の在庫を貼る!$I$6:$I$10005,$C270)=0,"新商品",""),IF(COUNTIFS(①今日の在庫を貼る!$B$6:$B$10005,'設定（最初に1回）'!$C$4,①今日の在庫を貼る!$I$6:$I$10005,$C270)=0,"終売候補",""),IF(N($K270)&lt;0,"在庫マイナス",""),IF(AND('設定（最初に1回）'!$C$9="PI値予測",$P270=""),"PI値未設定","")))</f>
        <v/>
      </c>
      <c r="AC270" s="71" t="n">
        <f aca="false">N($Y270)*N($H270)</f>
        <v>0</v>
      </c>
      <c r="AD270" s="66" t="str">
        <f aca="false">IF($C270="","",IFERROR(INDEX(商品マスタ!$K$6:$K$1005,MATCH($C270,商品マスタ!$B$6:$B$1005,0)),"常温"))</f>
        <v/>
      </c>
      <c r="AE270" s="69" t="str">
        <f aca="false">IF($C270="","",MAX(0,ROUNDUP(N($K270)/MAX(1,N($G270)),0)))</f>
        <v/>
      </c>
      <c r="AF270" s="66" t="str">
        <f aca="false">IF($C270="","",IFERROR(INDEX(商品マスタ!$L$6:$L$1005,MATCH($C270,商品マスタ!$B$6:$B$1005,0)),""))</f>
        <v/>
      </c>
      <c r="AG270" s="143" t="str">
        <f aca="false">IF($C270="","",IFERROR(INDEX(定数マスタ!$S$110:$S$119,MATCH($AF270,定数マスタ!$J$110:$J$119,0)),N('設定（最初に1回）'!$C$13)))</f>
        <v/>
      </c>
      <c r="AH270" s="66" t="n">
        <f aca="false">IF(AND(N($K270)&gt;0,N($Y270)&gt;0),N($Y270),0)</f>
        <v>0</v>
      </c>
    </row>
    <row r="271" customFormat="false" ht="15" hidden="false" customHeight="false" outlineLevel="0" collapsed="false">
      <c r="B271" s="66" t="n">
        <v>266</v>
      </c>
      <c r="C271" s="66" t="str">
        <f aca="false">IFERROR(IF($B271&lt;=MAX(①今日の在庫を貼る!$U$6:$U$10005),INDEX(①今日の在庫を貼る!$I$6:$I$10005,MATCH($B271,①今日の在庫を貼る!$U$6:$U$10005,0)),INDEX(月1回_前回の在庫を貼る!$I$6:$I$10005,MATCH($B271-MAX(①今日の在庫を貼る!$U$6:$U$10005),月1回_前回の在庫を貼る!$U$6:$U$10005,0))),"")</f>
        <v/>
      </c>
      <c r="D271" s="66" t="str">
        <f aca="false">IF($C271="","",IFERROR(INDEX(商品マスタ!$C$6:$C$1005,MATCH($C271,商品マスタ!$B$6:$B$1005,0)),IFERROR(INDEX(①今日の在庫を貼る!$J$6:$J$10005,MATCH($C271,①今日の在庫を貼る!$I$6:$I$10005,0)),IFERROR(INDEX(月1回_前回の在庫を貼る!$J$6:$J$10005,MATCH($C271,月1回_前回の在庫を貼る!$I$6:$I$10005,0)),""))))</f>
        <v/>
      </c>
      <c r="E271" s="66" t="str">
        <f aca="false">IF($C271="","",IFERROR(INDEX(商品マスタ!$D$6:$D$1005,MATCH($C271,商品マスタ!$B$6:$B$1005,0)),IFERROR(INDEX(①今日の在庫を貼る!$H$6:$H$10005,MATCH($C271,①今日の在庫を貼る!$I$6:$I$10005,0)),IFERROR(INDEX(月1回_前回の在庫を貼る!$H$6:$H$10005,MATCH($C271,月1回_前回の在庫を貼る!$I$6:$I$10005,0)),""))))</f>
        <v/>
      </c>
      <c r="F271" s="66" t="str">
        <f aca="false">IF($C271="","",IFERROR(INDEX(商品マスタ!$E$6:$E$1005,MATCH($C271,商品マスタ!$B$6:$B$1005,0)),IFERROR(INDEX(①今日の在庫を貼る!$E$6:$E$10005,MATCH($C271,①今日の在庫を貼る!$I$6:$I$10005,0)),IFERROR(INDEX(月1回_前回の在庫を貼る!$E$6:$E$10005,MATCH($C271,月1回_前回の在庫を貼る!$I$6:$I$10005,0)),""))))</f>
        <v/>
      </c>
      <c r="G271" s="69" t="str">
        <f aca="false">IF($C271="","",IFERROR(INDEX(商品マスタ!$F$6:$F$1005,MATCH($C271,商品マスタ!$B$6:$B$1005,0)),IFERROR(INDEX(①今日の在庫を貼る!$K$6:$K$10005,MATCH($C271,①今日の在庫を貼る!$I$6:$I$10005,0)),IFERROR(INDEX(月1回_前回の在庫を貼る!$K$6:$K$10005,MATCH($C271,月1回_前回の在庫を貼る!$I$6:$I$10005,0)),""))))</f>
        <v/>
      </c>
      <c r="H271" s="71" t="str">
        <f aca="false">IF($C271="","",IFERROR(INDEX(商品マスタ!$G$6:$G$1005,MATCH($C271,商品マスタ!$B$6:$B$1005,0)),IFERROR(INDEX(①今日の在庫を貼る!$Q$6:$Q$10005,MATCH($C271,①今日の在庫を貼る!$I$6:$I$10005,0)),IFERROR(INDEX(月1回_前回の在庫を貼る!$Q$6:$Q$10005,MATCH($C271,月1回_前回の在庫を貼る!$I$6:$I$10005,0)),""))))</f>
        <v/>
      </c>
      <c r="I271" s="66" t="str">
        <f aca="false">IF($C271="","",IFERROR(INDEX(商品マスタ!$H$6:$H$1005,MATCH($C271,商品マスタ!$B$6:$B$1005,0)),3))</f>
        <v/>
      </c>
      <c r="J271" s="66" t="str">
        <f aca="false">IF($C271="","",MAX(1,IFERROR(INDEX(商品マスタ!$I$6:$I$1005,MATCH($C271,商品マスタ!$B$6:$B$1005,0)),1)))</f>
        <v/>
      </c>
      <c r="K271" s="69" t="str">
        <f aca="false">IF($C271="","",SUMIFS(①今日の在庫を貼る!$N$6:$N$10005,①今日の在庫を貼る!$B$6:$B$10005,'設定（最初に1回）'!$C$4,①今日の在庫を貼る!$I$6:$I$10005,$C271))</f>
        <v/>
      </c>
      <c r="L271" s="69" t="str">
        <f aca="false">IF($C271="","",SUMIFS(月1回_前回の在庫を貼る!$N$6:$N$10005,月1回_前回の在庫を貼る!$B$6:$B$10005,'設定（最初に1回）'!$C$4,月1回_前回の在庫を貼る!$I$6:$I$10005,$C271))</f>
        <v/>
      </c>
      <c r="M271" s="69" t="str">
        <f aca="false">IF($C271="","",IF(OR('設定（最初に1回）'!$C$6="",'設定（最初に1回）'!$C$7=""),0,SUMIFS(発注管理!$S$6:$S$1005,発注管理!$C$6:$C$1005,'設定（最初に1回）'!$C$4,発注管理!$F$6:$F$1005,$C271,発注管理!$R$6:$R$1005,"&gt;="&amp;'設定（最初に1回）'!$C$7,発注管理!$R$6:$R$1005,"&lt;="&amp;'設定（最初に1回）'!$C$6)))</f>
        <v/>
      </c>
      <c r="N271" s="69" t="str">
        <f aca="false">IF(OR($C271="",'設定（最初に1回）'!$C$15=0),"",$L271+$M271-$K271)</f>
        <v/>
      </c>
      <c r="O271" s="143" t="str">
        <f aca="false">IF(OR($N271="",'設定（最初に1回）'!$C$8="",'設定（最初に1回）'!$C$8&lt;=0),"",MAX(0,$N271)/'設定（最初に1回）'!$C$8)</f>
        <v/>
      </c>
      <c r="P271" s="143" t="str">
        <f aca="false">IF($C271="","",IFERROR(INDEX(商品マスタ!$M$6:$N$1005,MATCH($C271,商品マスタ!$B$6:$B$1005,0),MATCH("PI値 "&amp;'設定（最初に1回）'!$C$11,商品マスタ!$M$5:$N$5,0)),""))</f>
        <v/>
      </c>
      <c r="Q271" s="143" t="str">
        <f aca="false">IF(OR($C271="",$P271="",$P271=0,(N($I271)+N($AG271))&lt;=0),"",IFERROR(SUMIFS(随時_動員を入れる!$G$8:$G$97,随時_動員を入れる!$B$8:$B$97,"&gt;="&amp;'設定（最初に1回）'!$C$6,随時_動員を入れる!$B$8:$B$97,"&lt;="&amp;'設定（最初に1回）'!$C$6+(N($I271)+N($AG271))-1)/(N($I271)+N($AG271)),0)*$P271/100)</f>
        <v/>
      </c>
      <c r="R271" s="69" t="str">
        <f aca="false">IF($C271="","",SUMIFS(①今日の在庫を貼る!$O$6:$O$10005,①今日の在庫を貼る!$B$6:$B$10005,'設定（最初に1回）'!$C$4,①今日の在庫を貼る!$I$6:$I$10005,$C271))</f>
        <v/>
      </c>
      <c r="S271" s="143" t="str">
        <f aca="false">IF($C271="","",IF('設定（最初に1回）'!$C$9="実績消費",N($O271),IF('設定（最初に1回）'!$C$9="PI値予測",N($Q271),MAX(N($O271),N($Q271)))))</f>
        <v/>
      </c>
      <c r="T271" s="67" t="str">
        <f aca="false">IF(OR($S271="",$S271&lt;=0),"",$K271/$S271)</f>
        <v/>
      </c>
      <c r="U271" s="69" t="str">
        <f aca="false">IF($S271="","",ROUNDUP(N($S271)*'設定（最初に1回）'!$C$12,0))</f>
        <v/>
      </c>
      <c r="V271" s="69" t="str">
        <f aca="false">IF($C271="","",ROUNDUP(N($S271)*(N($I271)+N($AG271))+N($U271),0))</f>
        <v/>
      </c>
      <c r="W271" s="69" t="str">
        <f aca="false">IF($C271="","",SUMIFS(発注管理!$L$6:$L$1005,発注管理!$C$6:$C$1005,'設定（最初に1回）'!$C$4,発注管理!$F$6:$F$1005,$C271,発注管理!$Q$6:$Q$1005,"発注済"))</f>
        <v/>
      </c>
      <c r="X271" s="69" t="str">
        <f aca="false">IF($C271="","",MAX(0,N($V271)-N($K271)-N($W271)))</f>
        <v/>
      </c>
      <c r="Y271" s="147" t="str">
        <f aca="false">IF($C271="","",IF(N($X271)&lt;=0,0,CEILING($X271/MAX(1,N($G271)),MAX(1,N($J271)))))</f>
        <v/>
      </c>
      <c r="Z271" s="138" t="str">
        <f aca="false">IF($C271="","",IF(N($Y271)&gt;0,"要発注","正常"))</f>
        <v/>
      </c>
      <c r="AA271" s="71" t="str">
        <f aca="false">IF($C271="","",N($K271)*N($H271))</f>
        <v/>
      </c>
      <c r="AB271" s="66" t="str">
        <f aca="false">IF($C271="","",_xlfn.TEXTJOIN(" / ",TRUE(),IF(COUNTIF(商品マスタ!$B$6:$B$1005,$C271)=0,"マスタ未登録",""),IF(COUNTIFS(月1回_前回の在庫を貼る!$B$6:$B$10005,'設定（最初に1回）'!$C$4,月1回_前回の在庫を貼る!$I$6:$I$10005,$C271)=0,"新商品",""),IF(COUNTIFS(①今日の在庫を貼る!$B$6:$B$10005,'設定（最初に1回）'!$C$4,①今日の在庫を貼る!$I$6:$I$10005,$C271)=0,"終売候補",""),IF(N($K271)&lt;0,"在庫マイナス",""),IF(AND('設定（最初に1回）'!$C$9="PI値予測",$P271=""),"PI値未設定","")))</f>
        <v/>
      </c>
      <c r="AC271" s="71" t="n">
        <f aca="false">N($Y271)*N($H271)</f>
        <v>0</v>
      </c>
      <c r="AD271" s="66" t="str">
        <f aca="false">IF($C271="","",IFERROR(INDEX(商品マスタ!$K$6:$K$1005,MATCH($C271,商品マスタ!$B$6:$B$1005,0)),"常温"))</f>
        <v/>
      </c>
      <c r="AE271" s="69" t="str">
        <f aca="false">IF($C271="","",MAX(0,ROUNDUP(N($K271)/MAX(1,N($G271)),0)))</f>
        <v/>
      </c>
      <c r="AF271" s="66" t="str">
        <f aca="false">IF($C271="","",IFERROR(INDEX(商品マスタ!$L$6:$L$1005,MATCH($C271,商品マスタ!$B$6:$B$1005,0)),""))</f>
        <v/>
      </c>
      <c r="AG271" s="143" t="str">
        <f aca="false">IF($C271="","",IFERROR(INDEX(定数マスタ!$S$110:$S$119,MATCH($AF271,定数マスタ!$J$110:$J$119,0)),N('設定（最初に1回）'!$C$13)))</f>
        <v/>
      </c>
      <c r="AH271" s="66" t="n">
        <f aca="false">IF(AND(N($K271)&gt;0,N($Y271)&gt;0),N($Y271),0)</f>
        <v>0</v>
      </c>
    </row>
    <row r="272" customFormat="false" ht="15" hidden="false" customHeight="false" outlineLevel="0" collapsed="false">
      <c r="B272" s="66" t="n">
        <v>267</v>
      </c>
      <c r="C272" s="66" t="str">
        <f aca="false">IFERROR(IF($B272&lt;=MAX(①今日の在庫を貼る!$U$6:$U$10005),INDEX(①今日の在庫を貼る!$I$6:$I$10005,MATCH($B272,①今日の在庫を貼る!$U$6:$U$10005,0)),INDEX(月1回_前回の在庫を貼る!$I$6:$I$10005,MATCH($B272-MAX(①今日の在庫を貼る!$U$6:$U$10005),月1回_前回の在庫を貼る!$U$6:$U$10005,0))),"")</f>
        <v/>
      </c>
      <c r="D272" s="66" t="str">
        <f aca="false">IF($C272="","",IFERROR(INDEX(商品マスタ!$C$6:$C$1005,MATCH($C272,商品マスタ!$B$6:$B$1005,0)),IFERROR(INDEX(①今日の在庫を貼る!$J$6:$J$10005,MATCH($C272,①今日の在庫を貼る!$I$6:$I$10005,0)),IFERROR(INDEX(月1回_前回の在庫を貼る!$J$6:$J$10005,MATCH($C272,月1回_前回の在庫を貼る!$I$6:$I$10005,0)),""))))</f>
        <v/>
      </c>
      <c r="E272" s="66" t="str">
        <f aca="false">IF($C272="","",IFERROR(INDEX(商品マスタ!$D$6:$D$1005,MATCH($C272,商品マスタ!$B$6:$B$1005,0)),IFERROR(INDEX(①今日の在庫を貼る!$H$6:$H$10005,MATCH($C272,①今日の在庫を貼る!$I$6:$I$10005,0)),IFERROR(INDEX(月1回_前回の在庫を貼る!$H$6:$H$10005,MATCH($C272,月1回_前回の在庫を貼る!$I$6:$I$10005,0)),""))))</f>
        <v/>
      </c>
      <c r="F272" s="66" t="str">
        <f aca="false">IF($C272="","",IFERROR(INDEX(商品マスタ!$E$6:$E$1005,MATCH($C272,商品マスタ!$B$6:$B$1005,0)),IFERROR(INDEX(①今日の在庫を貼る!$E$6:$E$10005,MATCH($C272,①今日の在庫を貼る!$I$6:$I$10005,0)),IFERROR(INDEX(月1回_前回の在庫を貼る!$E$6:$E$10005,MATCH($C272,月1回_前回の在庫を貼る!$I$6:$I$10005,0)),""))))</f>
        <v/>
      </c>
      <c r="G272" s="69" t="str">
        <f aca="false">IF($C272="","",IFERROR(INDEX(商品マスタ!$F$6:$F$1005,MATCH($C272,商品マスタ!$B$6:$B$1005,0)),IFERROR(INDEX(①今日の在庫を貼る!$K$6:$K$10005,MATCH($C272,①今日の在庫を貼る!$I$6:$I$10005,0)),IFERROR(INDEX(月1回_前回の在庫を貼る!$K$6:$K$10005,MATCH($C272,月1回_前回の在庫を貼る!$I$6:$I$10005,0)),""))))</f>
        <v/>
      </c>
      <c r="H272" s="71" t="str">
        <f aca="false">IF($C272="","",IFERROR(INDEX(商品マスタ!$G$6:$G$1005,MATCH($C272,商品マスタ!$B$6:$B$1005,0)),IFERROR(INDEX(①今日の在庫を貼る!$Q$6:$Q$10005,MATCH($C272,①今日の在庫を貼る!$I$6:$I$10005,0)),IFERROR(INDEX(月1回_前回の在庫を貼る!$Q$6:$Q$10005,MATCH($C272,月1回_前回の在庫を貼る!$I$6:$I$10005,0)),""))))</f>
        <v/>
      </c>
      <c r="I272" s="66" t="str">
        <f aca="false">IF($C272="","",IFERROR(INDEX(商品マスタ!$H$6:$H$1005,MATCH($C272,商品マスタ!$B$6:$B$1005,0)),3))</f>
        <v/>
      </c>
      <c r="J272" s="66" t="str">
        <f aca="false">IF($C272="","",MAX(1,IFERROR(INDEX(商品マスタ!$I$6:$I$1005,MATCH($C272,商品マスタ!$B$6:$B$1005,0)),1)))</f>
        <v/>
      </c>
      <c r="K272" s="69" t="str">
        <f aca="false">IF($C272="","",SUMIFS(①今日の在庫を貼る!$N$6:$N$10005,①今日の在庫を貼る!$B$6:$B$10005,'設定（最初に1回）'!$C$4,①今日の在庫を貼る!$I$6:$I$10005,$C272))</f>
        <v/>
      </c>
      <c r="L272" s="69" t="str">
        <f aca="false">IF($C272="","",SUMIFS(月1回_前回の在庫を貼る!$N$6:$N$10005,月1回_前回の在庫を貼る!$B$6:$B$10005,'設定（最初に1回）'!$C$4,月1回_前回の在庫を貼る!$I$6:$I$10005,$C272))</f>
        <v/>
      </c>
      <c r="M272" s="69" t="str">
        <f aca="false">IF($C272="","",IF(OR('設定（最初に1回）'!$C$6="",'設定（最初に1回）'!$C$7=""),0,SUMIFS(発注管理!$S$6:$S$1005,発注管理!$C$6:$C$1005,'設定（最初に1回）'!$C$4,発注管理!$F$6:$F$1005,$C272,発注管理!$R$6:$R$1005,"&gt;="&amp;'設定（最初に1回）'!$C$7,発注管理!$R$6:$R$1005,"&lt;="&amp;'設定（最初に1回）'!$C$6)))</f>
        <v/>
      </c>
      <c r="N272" s="69" t="str">
        <f aca="false">IF(OR($C272="",'設定（最初に1回）'!$C$15=0),"",$L272+$M272-$K272)</f>
        <v/>
      </c>
      <c r="O272" s="143" t="str">
        <f aca="false">IF(OR($N272="",'設定（最初に1回）'!$C$8="",'設定（最初に1回）'!$C$8&lt;=0),"",MAX(0,$N272)/'設定（最初に1回）'!$C$8)</f>
        <v/>
      </c>
      <c r="P272" s="143" t="str">
        <f aca="false">IF($C272="","",IFERROR(INDEX(商品マスタ!$M$6:$N$1005,MATCH($C272,商品マスタ!$B$6:$B$1005,0),MATCH("PI値 "&amp;'設定（最初に1回）'!$C$11,商品マスタ!$M$5:$N$5,0)),""))</f>
        <v/>
      </c>
      <c r="Q272" s="143" t="str">
        <f aca="false">IF(OR($C272="",$P272="",$P272=0,(N($I272)+N($AG272))&lt;=0),"",IFERROR(SUMIFS(随時_動員を入れる!$G$8:$G$97,随時_動員を入れる!$B$8:$B$97,"&gt;="&amp;'設定（最初に1回）'!$C$6,随時_動員を入れる!$B$8:$B$97,"&lt;="&amp;'設定（最初に1回）'!$C$6+(N($I272)+N($AG272))-1)/(N($I272)+N($AG272)),0)*$P272/100)</f>
        <v/>
      </c>
      <c r="R272" s="69" t="str">
        <f aca="false">IF($C272="","",SUMIFS(①今日の在庫を貼る!$O$6:$O$10005,①今日の在庫を貼る!$B$6:$B$10005,'設定（最初に1回）'!$C$4,①今日の在庫を貼る!$I$6:$I$10005,$C272))</f>
        <v/>
      </c>
      <c r="S272" s="143" t="str">
        <f aca="false">IF($C272="","",IF('設定（最初に1回）'!$C$9="実績消費",N($O272),IF('設定（最初に1回）'!$C$9="PI値予測",N($Q272),MAX(N($O272),N($Q272)))))</f>
        <v/>
      </c>
      <c r="T272" s="67" t="str">
        <f aca="false">IF(OR($S272="",$S272&lt;=0),"",$K272/$S272)</f>
        <v/>
      </c>
      <c r="U272" s="69" t="str">
        <f aca="false">IF($S272="","",ROUNDUP(N($S272)*'設定（最初に1回）'!$C$12,0))</f>
        <v/>
      </c>
      <c r="V272" s="69" t="str">
        <f aca="false">IF($C272="","",ROUNDUP(N($S272)*(N($I272)+N($AG272))+N($U272),0))</f>
        <v/>
      </c>
      <c r="W272" s="69" t="str">
        <f aca="false">IF($C272="","",SUMIFS(発注管理!$L$6:$L$1005,発注管理!$C$6:$C$1005,'設定（最初に1回）'!$C$4,発注管理!$F$6:$F$1005,$C272,発注管理!$Q$6:$Q$1005,"発注済"))</f>
        <v/>
      </c>
      <c r="X272" s="69" t="str">
        <f aca="false">IF($C272="","",MAX(0,N($V272)-N($K272)-N($W272)))</f>
        <v/>
      </c>
      <c r="Y272" s="147" t="str">
        <f aca="false">IF($C272="","",IF(N($X272)&lt;=0,0,CEILING($X272/MAX(1,N($G272)),MAX(1,N($J272)))))</f>
        <v/>
      </c>
      <c r="Z272" s="138" t="str">
        <f aca="false">IF($C272="","",IF(N($Y272)&gt;0,"要発注","正常"))</f>
        <v/>
      </c>
      <c r="AA272" s="71" t="str">
        <f aca="false">IF($C272="","",N($K272)*N($H272))</f>
        <v/>
      </c>
      <c r="AB272" s="66" t="str">
        <f aca="false">IF($C272="","",_xlfn.TEXTJOIN(" / ",TRUE(),IF(COUNTIF(商品マスタ!$B$6:$B$1005,$C272)=0,"マスタ未登録",""),IF(COUNTIFS(月1回_前回の在庫を貼る!$B$6:$B$10005,'設定（最初に1回）'!$C$4,月1回_前回の在庫を貼る!$I$6:$I$10005,$C272)=0,"新商品",""),IF(COUNTIFS(①今日の在庫を貼る!$B$6:$B$10005,'設定（最初に1回）'!$C$4,①今日の在庫を貼る!$I$6:$I$10005,$C272)=0,"終売候補",""),IF(N($K272)&lt;0,"在庫マイナス",""),IF(AND('設定（最初に1回）'!$C$9="PI値予測",$P272=""),"PI値未設定","")))</f>
        <v/>
      </c>
      <c r="AC272" s="71" t="n">
        <f aca="false">N($Y272)*N($H272)</f>
        <v>0</v>
      </c>
      <c r="AD272" s="66" t="str">
        <f aca="false">IF($C272="","",IFERROR(INDEX(商品マスタ!$K$6:$K$1005,MATCH($C272,商品マスタ!$B$6:$B$1005,0)),"常温"))</f>
        <v/>
      </c>
      <c r="AE272" s="69" t="str">
        <f aca="false">IF($C272="","",MAX(0,ROUNDUP(N($K272)/MAX(1,N($G272)),0)))</f>
        <v/>
      </c>
      <c r="AF272" s="66" t="str">
        <f aca="false">IF($C272="","",IFERROR(INDEX(商品マスタ!$L$6:$L$1005,MATCH($C272,商品マスタ!$B$6:$B$1005,0)),""))</f>
        <v/>
      </c>
      <c r="AG272" s="143" t="str">
        <f aca="false">IF($C272="","",IFERROR(INDEX(定数マスタ!$S$110:$S$119,MATCH($AF272,定数マスタ!$J$110:$J$119,0)),N('設定（最初に1回）'!$C$13)))</f>
        <v/>
      </c>
      <c r="AH272" s="66" t="n">
        <f aca="false">IF(AND(N($K272)&gt;0,N($Y272)&gt;0),N($Y272),0)</f>
        <v>0</v>
      </c>
    </row>
    <row r="273" customFormat="false" ht="15" hidden="false" customHeight="false" outlineLevel="0" collapsed="false">
      <c r="B273" s="66" t="n">
        <v>268</v>
      </c>
      <c r="C273" s="66" t="str">
        <f aca="false">IFERROR(IF($B273&lt;=MAX(①今日の在庫を貼る!$U$6:$U$10005),INDEX(①今日の在庫を貼る!$I$6:$I$10005,MATCH($B273,①今日の在庫を貼る!$U$6:$U$10005,0)),INDEX(月1回_前回の在庫を貼る!$I$6:$I$10005,MATCH($B273-MAX(①今日の在庫を貼る!$U$6:$U$10005),月1回_前回の在庫を貼る!$U$6:$U$10005,0))),"")</f>
        <v/>
      </c>
      <c r="D273" s="66" t="str">
        <f aca="false">IF($C273="","",IFERROR(INDEX(商品マスタ!$C$6:$C$1005,MATCH($C273,商品マスタ!$B$6:$B$1005,0)),IFERROR(INDEX(①今日の在庫を貼る!$J$6:$J$10005,MATCH($C273,①今日の在庫を貼る!$I$6:$I$10005,0)),IFERROR(INDEX(月1回_前回の在庫を貼る!$J$6:$J$10005,MATCH($C273,月1回_前回の在庫を貼る!$I$6:$I$10005,0)),""))))</f>
        <v/>
      </c>
      <c r="E273" s="66" t="str">
        <f aca="false">IF($C273="","",IFERROR(INDEX(商品マスタ!$D$6:$D$1005,MATCH($C273,商品マスタ!$B$6:$B$1005,0)),IFERROR(INDEX(①今日の在庫を貼る!$H$6:$H$10005,MATCH($C273,①今日の在庫を貼る!$I$6:$I$10005,0)),IFERROR(INDEX(月1回_前回の在庫を貼る!$H$6:$H$10005,MATCH($C273,月1回_前回の在庫を貼る!$I$6:$I$10005,0)),""))))</f>
        <v/>
      </c>
      <c r="F273" s="66" t="str">
        <f aca="false">IF($C273="","",IFERROR(INDEX(商品マスタ!$E$6:$E$1005,MATCH($C273,商品マスタ!$B$6:$B$1005,0)),IFERROR(INDEX(①今日の在庫を貼る!$E$6:$E$10005,MATCH($C273,①今日の在庫を貼る!$I$6:$I$10005,0)),IFERROR(INDEX(月1回_前回の在庫を貼る!$E$6:$E$10005,MATCH($C273,月1回_前回の在庫を貼る!$I$6:$I$10005,0)),""))))</f>
        <v/>
      </c>
      <c r="G273" s="69" t="str">
        <f aca="false">IF($C273="","",IFERROR(INDEX(商品マスタ!$F$6:$F$1005,MATCH($C273,商品マスタ!$B$6:$B$1005,0)),IFERROR(INDEX(①今日の在庫を貼る!$K$6:$K$10005,MATCH($C273,①今日の在庫を貼る!$I$6:$I$10005,0)),IFERROR(INDEX(月1回_前回の在庫を貼る!$K$6:$K$10005,MATCH($C273,月1回_前回の在庫を貼る!$I$6:$I$10005,0)),""))))</f>
        <v/>
      </c>
      <c r="H273" s="71" t="str">
        <f aca="false">IF($C273="","",IFERROR(INDEX(商品マスタ!$G$6:$G$1005,MATCH($C273,商品マスタ!$B$6:$B$1005,0)),IFERROR(INDEX(①今日の在庫を貼る!$Q$6:$Q$10005,MATCH($C273,①今日の在庫を貼る!$I$6:$I$10005,0)),IFERROR(INDEX(月1回_前回の在庫を貼る!$Q$6:$Q$10005,MATCH($C273,月1回_前回の在庫を貼る!$I$6:$I$10005,0)),""))))</f>
        <v/>
      </c>
      <c r="I273" s="66" t="str">
        <f aca="false">IF($C273="","",IFERROR(INDEX(商品マスタ!$H$6:$H$1005,MATCH($C273,商品マスタ!$B$6:$B$1005,0)),3))</f>
        <v/>
      </c>
      <c r="J273" s="66" t="str">
        <f aca="false">IF($C273="","",MAX(1,IFERROR(INDEX(商品マスタ!$I$6:$I$1005,MATCH($C273,商品マスタ!$B$6:$B$1005,0)),1)))</f>
        <v/>
      </c>
      <c r="K273" s="69" t="str">
        <f aca="false">IF($C273="","",SUMIFS(①今日の在庫を貼る!$N$6:$N$10005,①今日の在庫を貼る!$B$6:$B$10005,'設定（最初に1回）'!$C$4,①今日の在庫を貼る!$I$6:$I$10005,$C273))</f>
        <v/>
      </c>
      <c r="L273" s="69" t="str">
        <f aca="false">IF($C273="","",SUMIFS(月1回_前回の在庫を貼る!$N$6:$N$10005,月1回_前回の在庫を貼る!$B$6:$B$10005,'設定（最初に1回）'!$C$4,月1回_前回の在庫を貼る!$I$6:$I$10005,$C273))</f>
        <v/>
      </c>
      <c r="M273" s="69" t="str">
        <f aca="false">IF($C273="","",IF(OR('設定（最初に1回）'!$C$6="",'設定（最初に1回）'!$C$7=""),0,SUMIFS(発注管理!$S$6:$S$1005,発注管理!$C$6:$C$1005,'設定（最初に1回）'!$C$4,発注管理!$F$6:$F$1005,$C273,発注管理!$R$6:$R$1005,"&gt;="&amp;'設定（最初に1回）'!$C$7,発注管理!$R$6:$R$1005,"&lt;="&amp;'設定（最初に1回）'!$C$6)))</f>
        <v/>
      </c>
      <c r="N273" s="69" t="str">
        <f aca="false">IF(OR($C273="",'設定（最初に1回）'!$C$15=0),"",$L273+$M273-$K273)</f>
        <v/>
      </c>
      <c r="O273" s="143" t="str">
        <f aca="false">IF(OR($N273="",'設定（最初に1回）'!$C$8="",'設定（最初に1回）'!$C$8&lt;=0),"",MAX(0,$N273)/'設定（最初に1回）'!$C$8)</f>
        <v/>
      </c>
      <c r="P273" s="143" t="str">
        <f aca="false">IF($C273="","",IFERROR(INDEX(商品マスタ!$M$6:$N$1005,MATCH($C273,商品マスタ!$B$6:$B$1005,0),MATCH("PI値 "&amp;'設定（最初に1回）'!$C$11,商品マスタ!$M$5:$N$5,0)),""))</f>
        <v/>
      </c>
      <c r="Q273" s="143" t="str">
        <f aca="false">IF(OR($C273="",$P273="",$P273=0,(N($I273)+N($AG273))&lt;=0),"",IFERROR(SUMIFS(随時_動員を入れる!$G$8:$G$97,随時_動員を入れる!$B$8:$B$97,"&gt;="&amp;'設定（最初に1回）'!$C$6,随時_動員を入れる!$B$8:$B$97,"&lt;="&amp;'設定（最初に1回）'!$C$6+(N($I273)+N($AG273))-1)/(N($I273)+N($AG273)),0)*$P273/100)</f>
        <v/>
      </c>
      <c r="R273" s="69" t="str">
        <f aca="false">IF($C273="","",SUMIFS(①今日の在庫を貼る!$O$6:$O$10005,①今日の在庫を貼る!$B$6:$B$10005,'設定（最初に1回）'!$C$4,①今日の在庫を貼る!$I$6:$I$10005,$C273))</f>
        <v/>
      </c>
      <c r="S273" s="143" t="str">
        <f aca="false">IF($C273="","",IF('設定（最初に1回）'!$C$9="実績消費",N($O273),IF('設定（最初に1回）'!$C$9="PI値予測",N($Q273),MAX(N($O273),N($Q273)))))</f>
        <v/>
      </c>
      <c r="T273" s="67" t="str">
        <f aca="false">IF(OR($S273="",$S273&lt;=0),"",$K273/$S273)</f>
        <v/>
      </c>
      <c r="U273" s="69" t="str">
        <f aca="false">IF($S273="","",ROUNDUP(N($S273)*'設定（最初に1回）'!$C$12,0))</f>
        <v/>
      </c>
      <c r="V273" s="69" t="str">
        <f aca="false">IF($C273="","",ROUNDUP(N($S273)*(N($I273)+N($AG273))+N($U273),0))</f>
        <v/>
      </c>
      <c r="W273" s="69" t="str">
        <f aca="false">IF($C273="","",SUMIFS(発注管理!$L$6:$L$1005,発注管理!$C$6:$C$1005,'設定（最初に1回）'!$C$4,発注管理!$F$6:$F$1005,$C273,発注管理!$Q$6:$Q$1005,"発注済"))</f>
        <v/>
      </c>
      <c r="X273" s="69" t="str">
        <f aca="false">IF($C273="","",MAX(0,N($V273)-N($K273)-N($W273)))</f>
        <v/>
      </c>
      <c r="Y273" s="147" t="str">
        <f aca="false">IF($C273="","",IF(N($X273)&lt;=0,0,CEILING($X273/MAX(1,N($G273)),MAX(1,N($J273)))))</f>
        <v/>
      </c>
      <c r="Z273" s="138" t="str">
        <f aca="false">IF($C273="","",IF(N($Y273)&gt;0,"要発注","正常"))</f>
        <v/>
      </c>
      <c r="AA273" s="71" t="str">
        <f aca="false">IF($C273="","",N($K273)*N($H273))</f>
        <v/>
      </c>
      <c r="AB273" s="66" t="str">
        <f aca="false">IF($C273="","",_xlfn.TEXTJOIN(" / ",TRUE(),IF(COUNTIF(商品マスタ!$B$6:$B$1005,$C273)=0,"マスタ未登録",""),IF(COUNTIFS(月1回_前回の在庫を貼る!$B$6:$B$10005,'設定（最初に1回）'!$C$4,月1回_前回の在庫を貼る!$I$6:$I$10005,$C273)=0,"新商品",""),IF(COUNTIFS(①今日の在庫を貼る!$B$6:$B$10005,'設定（最初に1回）'!$C$4,①今日の在庫を貼る!$I$6:$I$10005,$C273)=0,"終売候補",""),IF(N($K273)&lt;0,"在庫マイナス",""),IF(AND('設定（最初に1回）'!$C$9="PI値予測",$P273=""),"PI値未設定","")))</f>
        <v/>
      </c>
      <c r="AC273" s="71" t="n">
        <f aca="false">N($Y273)*N($H273)</f>
        <v>0</v>
      </c>
      <c r="AD273" s="66" t="str">
        <f aca="false">IF($C273="","",IFERROR(INDEX(商品マスタ!$K$6:$K$1005,MATCH($C273,商品マスタ!$B$6:$B$1005,0)),"常温"))</f>
        <v/>
      </c>
      <c r="AE273" s="69" t="str">
        <f aca="false">IF($C273="","",MAX(0,ROUNDUP(N($K273)/MAX(1,N($G273)),0)))</f>
        <v/>
      </c>
      <c r="AF273" s="66" t="str">
        <f aca="false">IF($C273="","",IFERROR(INDEX(商品マスタ!$L$6:$L$1005,MATCH($C273,商品マスタ!$B$6:$B$1005,0)),""))</f>
        <v/>
      </c>
      <c r="AG273" s="143" t="str">
        <f aca="false">IF($C273="","",IFERROR(INDEX(定数マスタ!$S$110:$S$119,MATCH($AF273,定数マスタ!$J$110:$J$119,0)),N('設定（最初に1回）'!$C$13)))</f>
        <v/>
      </c>
      <c r="AH273" s="66" t="n">
        <f aca="false">IF(AND(N($K273)&gt;0,N($Y273)&gt;0),N($Y273),0)</f>
        <v>0</v>
      </c>
    </row>
    <row r="274" customFormat="false" ht="15" hidden="false" customHeight="false" outlineLevel="0" collapsed="false">
      <c r="B274" s="66" t="n">
        <v>269</v>
      </c>
      <c r="C274" s="66" t="str">
        <f aca="false">IFERROR(IF($B274&lt;=MAX(①今日の在庫を貼る!$U$6:$U$10005),INDEX(①今日の在庫を貼る!$I$6:$I$10005,MATCH($B274,①今日の在庫を貼る!$U$6:$U$10005,0)),INDEX(月1回_前回の在庫を貼る!$I$6:$I$10005,MATCH($B274-MAX(①今日の在庫を貼る!$U$6:$U$10005),月1回_前回の在庫を貼る!$U$6:$U$10005,0))),"")</f>
        <v/>
      </c>
      <c r="D274" s="66" t="str">
        <f aca="false">IF($C274="","",IFERROR(INDEX(商品マスタ!$C$6:$C$1005,MATCH($C274,商品マスタ!$B$6:$B$1005,0)),IFERROR(INDEX(①今日の在庫を貼る!$J$6:$J$10005,MATCH($C274,①今日の在庫を貼る!$I$6:$I$10005,0)),IFERROR(INDEX(月1回_前回の在庫を貼る!$J$6:$J$10005,MATCH($C274,月1回_前回の在庫を貼る!$I$6:$I$10005,0)),""))))</f>
        <v/>
      </c>
      <c r="E274" s="66" t="str">
        <f aca="false">IF($C274="","",IFERROR(INDEX(商品マスタ!$D$6:$D$1005,MATCH($C274,商品マスタ!$B$6:$B$1005,0)),IFERROR(INDEX(①今日の在庫を貼る!$H$6:$H$10005,MATCH($C274,①今日の在庫を貼る!$I$6:$I$10005,0)),IFERROR(INDEX(月1回_前回の在庫を貼る!$H$6:$H$10005,MATCH($C274,月1回_前回の在庫を貼る!$I$6:$I$10005,0)),""))))</f>
        <v/>
      </c>
      <c r="F274" s="66" t="str">
        <f aca="false">IF($C274="","",IFERROR(INDEX(商品マスタ!$E$6:$E$1005,MATCH($C274,商品マスタ!$B$6:$B$1005,0)),IFERROR(INDEX(①今日の在庫を貼る!$E$6:$E$10005,MATCH($C274,①今日の在庫を貼る!$I$6:$I$10005,0)),IFERROR(INDEX(月1回_前回の在庫を貼る!$E$6:$E$10005,MATCH($C274,月1回_前回の在庫を貼る!$I$6:$I$10005,0)),""))))</f>
        <v/>
      </c>
      <c r="G274" s="69" t="str">
        <f aca="false">IF($C274="","",IFERROR(INDEX(商品マスタ!$F$6:$F$1005,MATCH($C274,商品マスタ!$B$6:$B$1005,0)),IFERROR(INDEX(①今日の在庫を貼る!$K$6:$K$10005,MATCH($C274,①今日の在庫を貼る!$I$6:$I$10005,0)),IFERROR(INDEX(月1回_前回の在庫を貼る!$K$6:$K$10005,MATCH($C274,月1回_前回の在庫を貼る!$I$6:$I$10005,0)),""))))</f>
        <v/>
      </c>
      <c r="H274" s="71" t="str">
        <f aca="false">IF($C274="","",IFERROR(INDEX(商品マスタ!$G$6:$G$1005,MATCH($C274,商品マスタ!$B$6:$B$1005,0)),IFERROR(INDEX(①今日の在庫を貼る!$Q$6:$Q$10005,MATCH($C274,①今日の在庫を貼る!$I$6:$I$10005,0)),IFERROR(INDEX(月1回_前回の在庫を貼る!$Q$6:$Q$10005,MATCH($C274,月1回_前回の在庫を貼る!$I$6:$I$10005,0)),""))))</f>
        <v/>
      </c>
      <c r="I274" s="66" t="str">
        <f aca="false">IF($C274="","",IFERROR(INDEX(商品マスタ!$H$6:$H$1005,MATCH($C274,商品マスタ!$B$6:$B$1005,0)),3))</f>
        <v/>
      </c>
      <c r="J274" s="66" t="str">
        <f aca="false">IF($C274="","",MAX(1,IFERROR(INDEX(商品マスタ!$I$6:$I$1005,MATCH($C274,商品マスタ!$B$6:$B$1005,0)),1)))</f>
        <v/>
      </c>
      <c r="K274" s="69" t="str">
        <f aca="false">IF($C274="","",SUMIFS(①今日の在庫を貼る!$N$6:$N$10005,①今日の在庫を貼る!$B$6:$B$10005,'設定（最初に1回）'!$C$4,①今日の在庫を貼る!$I$6:$I$10005,$C274))</f>
        <v/>
      </c>
      <c r="L274" s="69" t="str">
        <f aca="false">IF($C274="","",SUMIFS(月1回_前回の在庫を貼る!$N$6:$N$10005,月1回_前回の在庫を貼る!$B$6:$B$10005,'設定（最初に1回）'!$C$4,月1回_前回の在庫を貼る!$I$6:$I$10005,$C274))</f>
        <v/>
      </c>
      <c r="M274" s="69" t="str">
        <f aca="false">IF($C274="","",IF(OR('設定（最初に1回）'!$C$6="",'設定（最初に1回）'!$C$7=""),0,SUMIFS(発注管理!$S$6:$S$1005,発注管理!$C$6:$C$1005,'設定（最初に1回）'!$C$4,発注管理!$F$6:$F$1005,$C274,発注管理!$R$6:$R$1005,"&gt;="&amp;'設定（最初に1回）'!$C$7,発注管理!$R$6:$R$1005,"&lt;="&amp;'設定（最初に1回）'!$C$6)))</f>
        <v/>
      </c>
      <c r="N274" s="69" t="str">
        <f aca="false">IF(OR($C274="",'設定（最初に1回）'!$C$15=0),"",$L274+$M274-$K274)</f>
        <v/>
      </c>
      <c r="O274" s="143" t="str">
        <f aca="false">IF(OR($N274="",'設定（最初に1回）'!$C$8="",'設定（最初に1回）'!$C$8&lt;=0),"",MAX(0,$N274)/'設定（最初に1回）'!$C$8)</f>
        <v/>
      </c>
      <c r="P274" s="143" t="str">
        <f aca="false">IF($C274="","",IFERROR(INDEX(商品マスタ!$M$6:$N$1005,MATCH($C274,商品マスタ!$B$6:$B$1005,0),MATCH("PI値 "&amp;'設定（最初に1回）'!$C$11,商品マスタ!$M$5:$N$5,0)),""))</f>
        <v/>
      </c>
      <c r="Q274" s="143" t="str">
        <f aca="false">IF(OR($C274="",$P274="",$P274=0,(N($I274)+N($AG274))&lt;=0),"",IFERROR(SUMIFS(随時_動員を入れる!$G$8:$G$97,随時_動員を入れる!$B$8:$B$97,"&gt;="&amp;'設定（最初に1回）'!$C$6,随時_動員を入れる!$B$8:$B$97,"&lt;="&amp;'設定（最初に1回）'!$C$6+(N($I274)+N($AG274))-1)/(N($I274)+N($AG274)),0)*$P274/100)</f>
        <v/>
      </c>
      <c r="R274" s="69" t="str">
        <f aca="false">IF($C274="","",SUMIFS(①今日の在庫を貼る!$O$6:$O$10005,①今日の在庫を貼る!$B$6:$B$10005,'設定（最初に1回）'!$C$4,①今日の在庫を貼る!$I$6:$I$10005,$C274))</f>
        <v/>
      </c>
      <c r="S274" s="143" t="str">
        <f aca="false">IF($C274="","",IF('設定（最初に1回）'!$C$9="実績消費",N($O274),IF('設定（最初に1回）'!$C$9="PI値予測",N($Q274),MAX(N($O274),N($Q274)))))</f>
        <v/>
      </c>
      <c r="T274" s="67" t="str">
        <f aca="false">IF(OR($S274="",$S274&lt;=0),"",$K274/$S274)</f>
        <v/>
      </c>
      <c r="U274" s="69" t="str">
        <f aca="false">IF($S274="","",ROUNDUP(N($S274)*'設定（最初に1回）'!$C$12,0))</f>
        <v/>
      </c>
      <c r="V274" s="69" t="str">
        <f aca="false">IF($C274="","",ROUNDUP(N($S274)*(N($I274)+N($AG274))+N($U274),0))</f>
        <v/>
      </c>
      <c r="W274" s="69" t="str">
        <f aca="false">IF($C274="","",SUMIFS(発注管理!$L$6:$L$1005,発注管理!$C$6:$C$1005,'設定（最初に1回）'!$C$4,発注管理!$F$6:$F$1005,$C274,発注管理!$Q$6:$Q$1005,"発注済"))</f>
        <v/>
      </c>
      <c r="X274" s="69" t="str">
        <f aca="false">IF($C274="","",MAX(0,N($V274)-N($K274)-N($W274)))</f>
        <v/>
      </c>
      <c r="Y274" s="147" t="str">
        <f aca="false">IF($C274="","",IF(N($X274)&lt;=0,0,CEILING($X274/MAX(1,N($G274)),MAX(1,N($J274)))))</f>
        <v/>
      </c>
      <c r="Z274" s="138" t="str">
        <f aca="false">IF($C274="","",IF(N($Y274)&gt;0,"要発注","正常"))</f>
        <v/>
      </c>
      <c r="AA274" s="71" t="str">
        <f aca="false">IF($C274="","",N($K274)*N($H274))</f>
        <v/>
      </c>
      <c r="AB274" s="66" t="str">
        <f aca="false">IF($C274="","",_xlfn.TEXTJOIN(" / ",TRUE(),IF(COUNTIF(商品マスタ!$B$6:$B$1005,$C274)=0,"マスタ未登録",""),IF(COUNTIFS(月1回_前回の在庫を貼る!$B$6:$B$10005,'設定（最初に1回）'!$C$4,月1回_前回の在庫を貼る!$I$6:$I$10005,$C274)=0,"新商品",""),IF(COUNTIFS(①今日の在庫を貼る!$B$6:$B$10005,'設定（最初に1回）'!$C$4,①今日の在庫を貼る!$I$6:$I$10005,$C274)=0,"終売候補",""),IF(N($K274)&lt;0,"在庫マイナス",""),IF(AND('設定（最初に1回）'!$C$9="PI値予測",$P274=""),"PI値未設定","")))</f>
        <v/>
      </c>
      <c r="AC274" s="71" t="n">
        <f aca="false">N($Y274)*N($H274)</f>
        <v>0</v>
      </c>
      <c r="AD274" s="66" t="str">
        <f aca="false">IF($C274="","",IFERROR(INDEX(商品マスタ!$K$6:$K$1005,MATCH($C274,商品マスタ!$B$6:$B$1005,0)),"常温"))</f>
        <v/>
      </c>
      <c r="AE274" s="69" t="str">
        <f aca="false">IF($C274="","",MAX(0,ROUNDUP(N($K274)/MAX(1,N($G274)),0)))</f>
        <v/>
      </c>
      <c r="AF274" s="66" t="str">
        <f aca="false">IF($C274="","",IFERROR(INDEX(商品マスタ!$L$6:$L$1005,MATCH($C274,商品マスタ!$B$6:$B$1005,0)),""))</f>
        <v/>
      </c>
      <c r="AG274" s="143" t="str">
        <f aca="false">IF($C274="","",IFERROR(INDEX(定数マスタ!$S$110:$S$119,MATCH($AF274,定数マスタ!$J$110:$J$119,0)),N('設定（最初に1回）'!$C$13)))</f>
        <v/>
      </c>
      <c r="AH274" s="66" t="n">
        <f aca="false">IF(AND(N($K274)&gt;0,N($Y274)&gt;0),N($Y274),0)</f>
        <v>0</v>
      </c>
    </row>
    <row r="275" customFormat="false" ht="15" hidden="false" customHeight="false" outlineLevel="0" collapsed="false">
      <c r="B275" s="66" t="n">
        <v>270</v>
      </c>
      <c r="C275" s="66" t="str">
        <f aca="false">IFERROR(IF($B275&lt;=MAX(①今日の在庫を貼る!$U$6:$U$10005),INDEX(①今日の在庫を貼る!$I$6:$I$10005,MATCH($B275,①今日の在庫を貼る!$U$6:$U$10005,0)),INDEX(月1回_前回の在庫を貼る!$I$6:$I$10005,MATCH($B275-MAX(①今日の在庫を貼る!$U$6:$U$10005),月1回_前回の在庫を貼る!$U$6:$U$10005,0))),"")</f>
        <v/>
      </c>
      <c r="D275" s="66" t="str">
        <f aca="false">IF($C275="","",IFERROR(INDEX(商品マスタ!$C$6:$C$1005,MATCH($C275,商品マスタ!$B$6:$B$1005,0)),IFERROR(INDEX(①今日の在庫を貼る!$J$6:$J$10005,MATCH($C275,①今日の在庫を貼る!$I$6:$I$10005,0)),IFERROR(INDEX(月1回_前回の在庫を貼る!$J$6:$J$10005,MATCH($C275,月1回_前回の在庫を貼る!$I$6:$I$10005,0)),""))))</f>
        <v/>
      </c>
      <c r="E275" s="66" t="str">
        <f aca="false">IF($C275="","",IFERROR(INDEX(商品マスタ!$D$6:$D$1005,MATCH($C275,商品マスタ!$B$6:$B$1005,0)),IFERROR(INDEX(①今日の在庫を貼る!$H$6:$H$10005,MATCH($C275,①今日の在庫を貼る!$I$6:$I$10005,0)),IFERROR(INDEX(月1回_前回の在庫を貼る!$H$6:$H$10005,MATCH($C275,月1回_前回の在庫を貼る!$I$6:$I$10005,0)),""))))</f>
        <v/>
      </c>
      <c r="F275" s="66" t="str">
        <f aca="false">IF($C275="","",IFERROR(INDEX(商品マスタ!$E$6:$E$1005,MATCH($C275,商品マスタ!$B$6:$B$1005,0)),IFERROR(INDEX(①今日の在庫を貼る!$E$6:$E$10005,MATCH($C275,①今日の在庫を貼る!$I$6:$I$10005,0)),IFERROR(INDEX(月1回_前回の在庫を貼る!$E$6:$E$10005,MATCH($C275,月1回_前回の在庫を貼る!$I$6:$I$10005,0)),""))))</f>
        <v/>
      </c>
      <c r="G275" s="69" t="str">
        <f aca="false">IF($C275="","",IFERROR(INDEX(商品マスタ!$F$6:$F$1005,MATCH($C275,商品マスタ!$B$6:$B$1005,0)),IFERROR(INDEX(①今日の在庫を貼る!$K$6:$K$10005,MATCH($C275,①今日の在庫を貼る!$I$6:$I$10005,0)),IFERROR(INDEX(月1回_前回の在庫を貼る!$K$6:$K$10005,MATCH($C275,月1回_前回の在庫を貼る!$I$6:$I$10005,0)),""))))</f>
        <v/>
      </c>
      <c r="H275" s="71" t="str">
        <f aca="false">IF($C275="","",IFERROR(INDEX(商品マスタ!$G$6:$G$1005,MATCH($C275,商品マスタ!$B$6:$B$1005,0)),IFERROR(INDEX(①今日の在庫を貼る!$Q$6:$Q$10005,MATCH($C275,①今日の在庫を貼る!$I$6:$I$10005,0)),IFERROR(INDEX(月1回_前回の在庫を貼る!$Q$6:$Q$10005,MATCH($C275,月1回_前回の在庫を貼る!$I$6:$I$10005,0)),""))))</f>
        <v/>
      </c>
      <c r="I275" s="66" t="str">
        <f aca="false">IF($C275="","",IFERROR(INDEX(商品マスタ!$H$6:$H$1005,MATCH($C275,商品マスタ!$B$6:$B$1005,0)),3))</f>
        <v/>
      </c>
      <c r="J275" s="66" t="str">
        <f aca="false">IF($C275="","",MAX(1,IFERROR(INDEX(商品マスタ!$I$6:$I$1005,MATCH($C275,商品マスタ!$B$6:$B$1005,0)),1)))</f>
        <v/>
      </c>
      <c r="K275" s="69" t="str">
        <f aca="false">IF($C275="","",SUMIFS(①今日の在庫を貼る!$N$6:$N$10005,①今日の在庫を貼る!$B$6:$B$10005,'設定（最初に1回）'!$C$4,①今日の在庫を貼る!$I$6:$I$10005,$C275))</f>
        <v/>
      </c>
      <c r="L275" s="69" t="str">
        <f aca="false">IF($C275="","",SUMIFS(月1回_前回の在庫を貼る!$N$6:$N$10005,月1回_前回の在庫を貼る!$B$6:$B$10005,'設定（最初に1回）'!$C$4,月1回_前回の在庫を貼る!$I$6:$I$10005,$C275))</f>
        <v/>
      </c>
      <c r="M275" s="69" t="str">
        <f aca="false">IF($C275="","",IF(OR('設定（最初に1回）'!$C$6="",'設定（最初に1回）'!$C$7=""),0,SUMIFS(発注管理!$S$6:$S$1005,発注管理!$C$6:$C$1005,'設定（最初に1回）'!$C$4,発注管理!$F$6:$F$1005,$C275,発注管理!$R$6:$R$1005,"&gt;="&amp;'設定（最初に1回）'!$C$7,発注管理!$R$6:$R$1005,"&lt;="&amp;'設定（最初に1回）'!$C$6)))</f>
        <v/>
      </c>
      <c r="N275" s="69" t="str">
        <f aca="false">IF(OR($C275="",'設定（最初に1回）'!$C$15=0),"",$L275+$M275-$K275)</f>
        <v/>
      </c>
      <c r="O275" s="143" t="str">
        <f aca="false">IF(OR($N275="",'設定（最初に1回）'!$C$8="",'設定（最初に1回）'!$C$8&lt;=0),"",MAX(0,$N275)/'設定（最初に1回）'!$C$8)</f>
        <v/>
      </c>
      <c r="P275" s="143" t="str">
        <f aca="false">IF($C275="","",IFERROR(INDEX(商品マスタ!$M$6:$N$1005,MATCH($C275,商品マスタ!$B$6:$B$1005,0),MATCH("PI値 "&amp;'設定（最初に1回）'!$C$11,商品マスタ!$M$5:$N$5,0)),""))</f>
        <v/>
      </c>
      <c r="Q275" s="143" t="str">
        <f aca="false">IF(OR($C275="",$P275="",$P275=0,(N($I275)+N($AG275))&lt;=0),"",IFERROR(SUMIFS(随時_動員を入れる!$G$8:$G$97,随時_動員を入れる!$B$8:$B$97,"&gt;="&amp;'設定（最初に1回）'!$C$6,随時_動員を入れる!$B$8:$B$97,"&lt;="&amp;'設定（最初に1回）'!$C$6+(N($I275)+N($AG275))-1)/(N($I275)+N($AG275)),0)*$P275/100)</f>
        <v/>
      </c>
      <c r="R275" s="69" t="str">
        <f aca="false">IF($C275="","",SUMIFS(①今日の在庫を貼る!$O$6:$O$10005,①今日の在庫を貼る!$B$6:$B$10005,'設定（最初に1回）'!$C$4,①今日の在庫を貼る!$I$6:$I$10005,$C275))</f>
        <v/>
      </c>
      <c r="S275" s="143" t="str">
        <f aca="false">IF($C275="","",IF('設定（最初に1回）'!$C$9="実績消費",N($O275),IF('設定（最初に1回）'!$C$9="PI値予測",N($Q275),MAX(N($O275),N($Q275)))))</f>
        <v/>
      </c>
      <c r="T275" s="67" t="str">
        <f aca="false">IF(OR($S275="",$S275&lt;=0),"",$K275/$S275)</f>
        <v/>
      </c>
      <c r="U275" s="69" t="str">
        <f aca="false">IF($S275="","",ROUNDUP(N($S275)*'設定（最初に1回）'!$C$12,0))</f>
        <v/>
      </c>
      <c r="V275" s="69" t="str">
        <f aca="false">IF($C275="","",ROUNDUP(N($S275)*(N($I275)+N($AG275))+N($U275),0))</f>
        <v/>
      </c>
      <c r="W275" s="69" t="str">
        <f aca="false">IF($C275="","",SUMIFS(発注管理!$L$6:$L$1005,発注管理!$C$6:$C$1005,'設定（最初に1回）'!$C$4,発注管理!$F$6:$F$1005,$C275,発注管理!$Q$6:$Q$1005,"発注済"))</f>
        <v/>
      </c>
      <c r="X275" s="69" t="str">
        <f aca="false">IF($C275="","",MAX(0,N($V275)-N($K275)-N($W275)))</f>
        <v/>
      </c>
      <c r="Y275" s="147" t="str">
        <f aca="false">IF($C275="","",IF(N($X275)&lt;=0,0,CEILING($X275/MAX(1,N($G275)),MAX(1,N($J275)))))</f>
        <v/>
      </c>
      <c r="Z275" s="138" t="str">
        <f aca="false">IF($C275="","",IF(N($Y275)&gt;0,"要発注","正常"))</f>
        <v/>
      </c>
      <c r="AA275" s="71" t="str">
        <f aca="false">IF($C275="","",N($K275)*N($H275))</f>
        <v/>
      </c>
      <c r="AB275" s="66" t="str">
        <f aca="false">IF($C275="","",_xlfn.TEXTJOIN(" / ",TRUE(),IF(COUNTIF(商品マスタ!$B$6:$B$1005,$C275)=0,"マスタ未登録",""),IF(COUNTIFS(月1回_前回の在庫を貼る!$B$6:$B$10005,'設定（最初に1回）'!$C$4,月1回_前回の在庫を貼る!$I$6:$I$10005,$C275)=0,"新商品",""),IF(COUNTIFS(①今日の在庫を貼る!$B$6:$B$10005,'設定（最初に1回）'!$C$4,①今日の在庫を貼る!$I$6:$I$10005,$C275)=0,"終売候補",""),IF(N($K275)&lt;0,"在庫マイナス",""),IF(AND('設定（最初に1回）'!$C$9="PI値予測",$P275=""),"PI値未設定","")))</f>
        <v/>
      </c>
      <c r="AC275" s="71" t="n">
        <f aca="false">N($Y275)*N($H275)</f>
        <v>0</v>
      </c>
      <c r="AD275" s="66" t="str">
        <f aca="false">IF($C275="","",IFERROR(INDEX(商品マスタ!$K$6:$K$1005,MATCH($C275,商品マスタ!$B$6:$B$1005,0)),"常温"))</f>
        <v/>
      </c>
      <c r="AE275" s="69" t="str">
        <f aca="false">IF($C275="","",MAX(0,ROUNDUP(N($K275)/MAX(1,N($G275)),0)))</f>
        <v/>
      </c>
      <c r="AF275" s="66" t="str">
        <f aca="false">IF($C275="","",IFERROR(INDEX(商品マスタ!$L$6:$L$1005,MATCH($C275,商品マスタ!$B$6:$B$1005,0)),""))</f>
        <v/>
      </c>
      <c r="AG275" s="143" t="str">
        <f aca="false">IF($C275="","",IFERROR(INDEX(定数マスタ!$S$110:$S$119,MATCH($AF275,定数マスタ!$J$110:$J$119,0)),N('設定（最初に1回）'!$C$13)))</f>
        <v/>
      </c>
      <c r="AH275" s="66" t="n">
        <f aca="false">IF(AND(N($K275)&gt;0,N($Y275)&gt;0),N($Y275),0)</f>
        <v>0</v>
      </c>
    </row>
    <row r="276" customFormat="false" ht="15" hidden="false" customHeight="false" outlineLevel="0" collapsed="false">
      <c r="B276" s="66" t="n">
        <v>271</v>
      </c>
      <c r="C276" s="66" t="str">
        <f aca="false">IFERROR(IF($B276&lt;=MAX(①今日の在庫を貼る!$U$6:$U$10005),INDEX(①今日の在庫を貼る!$I$6:$I$10005,MATCH($B276,①今日の在庫を貼る!$U$6:$U$10005,0)),INDEX(月1回_前回の在庫を貼る!$I$6:$I$10005,MATCH($B276-MAX(①今日の在庫を貼る!$U$6:$U$10005),月1回_前回の在庫を貼る!$U$6:$U$10005,0))),"")</f>
        <v/>
      </c>
      <c r="D276" s="66" t="str">
        <f aca="false">IF($C276="","",IFERROR(INDEX(商品マスタ!$C$6:$C$1005,MATCH($C276,商品マスタ!$B$6:$B$1005,0)),IFERROR(INDEX(①今日の在庫を貼る!$J$6:$J$10005,MATCH($C276,①今日の在庫を貼る!$I$6:$I$10005,0)),IFERROR(INDEX(月1回_前回の在庫を貼る!$J$6:$J$10005,MATCH($C276,月1回_前回の在庫を貼る!$I$6:$I$10005,0)),""))))</f>
        <v/>
      </c>
      <c r="E276" s="66" t="str">
        <f aca="false">IF($C276="","",IFERROR(INDEX(商品マスタ!$D$6:$D$1005,MATCH($C276,商品マスタ!$B$6:$B$1005,0)),IFERROR(INDEX(①今日の在庫を貼る!$H$6:$H$10005,MATCH($C276,①今日の在庫を貼る!$I$6:$I$10005,0)),IFERROR(INDEX(月1回_前回の在庫を貼る!$H$6:$H$10005,MATCH($C276,月1回_前回の在庫を貼る!$I$6:$I$10005,0)),""))))</f>
        <v/>
      </c>
      <c r="F276" s="66" t="str">
        <f aca="false">IF($C276="","",IFERROR(INDEX(商品マスタ!$E$6:$E$1005,MATCH($C276,商品マスタ!$B$6:$B$1005,0)),IFERROR(INDEX(①今日の在庫を貼る!$E$6:$E$10005,MATCH($C276,①今日の在庫を貼る!$I$6:$I$10005,0)),IFERROR(INDEX(月1回_前回の在庫を貼る!$E$6:$E$10005,MATCH($C276,月1回_前回の在庫を貼る!$I$6:$I$10005,0)),""))))</f>
        <v/>
      </c>
      <c r="G276" s="69" t="str">
        <f aca="false">IF($C276="","",IFERROR(INDEX(商品マスタ!$F$6:$F$1005,MATCH($C276,商品マスタ!$B$6:$B$1005,0)),IFERROR(INDEX(①今日の在庫を貼る!$K$6:$K$10005,MATCH($C276,①今日の在庫を貼る!$I$6:$I$10005,0)),IFERROR(INDEX(月1回_前回の在庫を貼る!$K$6:$K$10005,MATCH($C276,月1回_前回の在庫を貼る!$I$6:$I$10005,0)),""))))</f>
        <v/>
      </c>
      <c r="H276" s="71" t="str">
        <f aca="false">IF($C276="","",IFERROR(INDEX(商品マスタ!$G$6:$G$1005,MATCH($C276,商品マスタ!$B$6:$B$1005,0)),IFERROR(INDEX(①今日の在庫を貼る!$Q$6:$Q$10005,MATCH($C276,①今日の在庫を貼る!$I$6:$I$10005,0)),IFERROR(INDEX(月1回_前回の在庫を貼る!$Q$6:$Q$10005,MATCH($C276,月1回_前回の在庫を貼る!$I$6:$I$10005,0)),""))))</f>
        <v/>
      </c>
      <c r="I276" s="66" t="str">
        <f aca="false">IF($C276="","",IFERROR(INDEX(商品マスタ!$H$6:$H$1005,MATCH($C276,商品マスタ!$B$6:$B$1005,0)),3))</f>
        <v/>
      </c>
      <c r="J276" s="66" t="str">
        <f aca="false">IF($C276="","",MAX(1,IFERROR(INDEX(商品マスタ!$I$6:$I$1005,MATCH($C276,商品マスタ!$B$6:$B$1005,0)),1)))</f>
        <v/>
      </c>
      <c r="K276" s="69" t="str">
        <f aca="false">IF($C276="","",SUMIFS(①今日の在庫を貼る!$N$6:$N$10005,①今日の在庫を貼る!$B$6:$B$10005,'設定（最初に1回）'!$C$4,①今日の在庫を貼る!$I$6:$I$10005,$C276))</f>
        <v/>
      </c>
      <c r="L276" s="69" t="str">
        <f aca="false">IF($C276="","",SUMIFS(月1回_前回の在庫を貼る!$N$6:$N$10005,月1回_前回の在庫を貼る!$B$6:$B$10005,'設定（最初に1回）'!$C$4,月1回_前回の在庫を貼る!$I$6:$I$10005,$C276))</f>
        <v/>
      </c>
      <c r="M276" s="69" t="str">
        <f aca="false">IF($C276="","",IF(OR('設定（最初に1回）'!$C$6="",'設定（最初に1回）'!$C$7=""),0,SUMIFS(発注管理!$S$6:$S$1005,発注管理!$C$6:$C$1005,'設定（最初に1回）'!$C$4,発注管理!$F$6:$F$1005,$C276,発注管理!$R$6:$R$1005,"&gt;="&amp;'設定（最初に1回）'!$C$7,発注管理!$R$6:$R$1005,"&lt;="&amp;'設定（最初に1回）'!$C$6)))</f>
        <v/>
      </c>
      <c r="N276" s="69" t="str">
        <f aca="false">IF(OR($C276="",'設定（最初に1回）'!$C$15=0),"",$L276+$M276-$K276)</f>
        <v/>
      </c>
      <c r="O276" s="143" t="str">
        <f aca="false">IF(OR($N276="",'設定（最初に1回）'!$C$8="",'設定（最初に1回）'!$C$8&lt;=0),"",MAX(0,$N276)/'設定（最初に1回）'!$C$8)</f>
        <v/>
      </c>
      <c r="P276" s="143" t="str">
        <f aca="false">IF($C276="","",IFERROR(INDEX(商品マスタ!$M$6:$N$1005,MATCH($C276,商品マスタ!$B$6:$B$1005,0),MATCH("PI値 "&amp;'設定（最初に1回）'!$C$11,商品マスタ!$M$5:$N$5,0)),""))</f>
        <v/>
      </c>
      <c r="Q276" s="143" t="str">
        <f aca="false">IF(OR($C276="",$P276="",$P276=0,(N($I276)+N($AG276))&lt;=0),"",IFERROR(SUMIFS(随時_動員を入れる!$G$8:$G$97,随時_動員を入れる!$B$8:$B$97,"&gt;="&amp;'設定（最初に1回）'!$C$6,随時_動員を入れる!$B$8:$B$97,"&lt;="&amp;'設定（最初に1回）'!$C$6+(N($I276)+N($AG276))-1)/(N($I276)+N($AG276)),0)*$P276/100)</f>
        <v/>
      </c>
      <c r="R276" s="69" t="str">
        <f aca="false">IF($C276="","",SUMIFS(①今日の在庫を貼る!$O$6:$O$10005,①今日の在庫を貼る!$B$6:$B$10005,'設定（最初に1回）'!$C$4,①今日の在庫を貼る!$I$6:$I$10005,$C276))</f>
        <v/>
      </c>
      <c r="S276" s="143" t="str">
        <f aca="false">IF($C276="","",IF('設定（最初に1回）'!$C$9="実績消費",N($O276),IF('設定（最初に1回）'!$C$9="PI値予測",N($Q276),MAX(N($O276),N($Q276)))))</f>
        <v/>
      </c>
      <c r="T276" s="67" t="str">
        <f aca="false">IF(OR($S276="",$S276&lt;=0),"",$K276/$S276)</f>
        <v/>
      </c>
      <c r="U276" s="69" t="str">
        <f aca="false">IF($S276="","",ROUNDUP(N($S276)*'設定（最初に1回）'!$C$12,0))</f>
        <v/>
      </c>
      <c r="V276" s="69" t="str">
        <f aca="false">IF($C276="","",ROUNDUP(N($S276)*(N($I276)+N($AG276))+N($U276),0))</f>
        <v/>
      </c>
      <c r="W276" s="69" t="str">
        <f aca="false">IF($C276="","",SUMIFS(発注管理!$L$6:$L$1005,発注管理!$C$6:$C$1005,'設定（最初に1回）'!$C$4,発注管理!$F$6:$F$1005,$C276,発注管理!$Q$6:$Q$1005,"発注済"))</f>
        <v/>
      </c>
      <c r="X276" s="69" t="str">
        <f aca="false">IF($C276="","",MAX(0,N($V276)-N($K276)-N($W276)))</f>
        <v/>
      </c>
      <c r="Y276" s="147" t="str">
        <f aca="false">IF($C276="","",IF(N($X276)&lt;=0,0,CEILING($X276/MAX(1,N($G276)),MAX(1,N($J276)))))</f>
        <v/>
      </c>
      <c r="Z276" s="138" t="str">
        <f aca="false">IF($C276="","",IF(N($Y276)&gt;0,"要発注","正常"))</f>
        <v/>
      </c>
      <c r="AA276" s="71" t="str">
        <f aca="false">IF($C276="","",N($K276)*N($H276))</f>
        <v/>
      </c>
      <c r="AB276" s="66" t="str">
        <f aca="false">IF($C276="","",_xlfn.TEXTJOIN(" / ",TRUE(),IF(COUNTIF(商品マスタ!$B$6:$B$1005,$C276)=0,"マスタ未登録",""),IF(COUNTIFS(月1回_前回の在庫を貼る!$B$6:$B$10005,'設定（最初に1回）'!$C$4,月1回_前回の在庫を貼る!$I$6:$I$10005,$C276)=0,"新商品",""),IF(COUNTIFS(①今日の在庫を貼る!$B$6:$B$10005,'設定（最初に1回）'!$C$4,①今日の在庫を貼る!$I$6:$I$10005,$C276)=0,"終売候補",""),IF(N($K276)&lt;0,"在庫マイナス",""),IF(AND('設定（最初に1回）'!$C$9="PI値予測",$P276=""),"PI値未設定","")))</f>
        <v/>
      </c>
      <c r="AC276" s="71" t="n">
        <f aca="false">N($Y276)*N($H276)</f>
        <v>0</v>
      </c>
      <c r="AD276" s="66" t="str">
        <f aca="false">IF($C276="","",IFERROR(INDEX(商品マスタ!$K$6:$K$1005,MATCH($C276,商品マスタ!$B$6:$B$1005,0)),"常温"))</f>
        <v/>
      </c>
      <c r="AE276" s="69" t="str">
        <f aca="false">IF($C276="","",MAX(0,ROUNDUP(N($K276)/MAX(1,N($G276)),0)))</f>
        <v/>
      </c>
      <c r="AF276" s="66" t="str">
        <f aca="false">IF($C276="","",IFERROR(INDEX(商品マスタ!$L$6:$L$1005,MATCH($C276,商品マスタ!$B$6:$B$1005,0)),""))</f>
        <v/>
      </c>
      <c r="AG276" s="143" t="str">
        <f aca="false">IF($C276="","",IFERROR(INDEX(定数マスタ!$S$110:$S$119,MATCH($AF276,定数マスタ!$J$110:$J$119,0)),N('設定（最初に1回）'!$C$13)))</f>
        <v/>
      </c>
      <c r="AH276" s="66" t="n">
        <f aca="false">IF(AND(N($K276)&gt;0,N($Y276)&gt;0),N($Y276),0)</f>
        <v>0</v>
      </c>
    </row>
    <row r="277" customFormat="false" ht="15" hidden="false" customHeight="false" outlineLevel="0" collapsed="false">
      <c r="B277" s="66" t="n">
        <v>272</v>
      </c>
      <c r="C277" s="66" t="str">
        <f aca="false">IFERROR(IF($B277&lt;=MAX(①今日の在庫を貼る!$U$6:$U$10005),INDEX(①今日の在庫を貼る!$I$6:$I$10005,MATCH($B277,①今日の在庫を貼る!$U$6:$U$10005,0)),INDEX(月1回_前回の在庫を貼る!$I$6:$I$10005,MATCH($B277-MAX(①今日の在庫を貼る!$U$6:$U$10005),月1回_前回の在庫を貼る!$U$6:$U$10005,0))),"")</f>
        <v/>
      </c>
      <c r="D277" s="66" t="str">
        <f aca="false">IF($C277="","",IFERROR(INDEX(商品マスタ!$C$6:$C$1005,MATCH($C277,商品マスタ!$B$6:$B$1005,0)),IFERROR(INDEX(①今日の在庫を貼る!$J$6:$J$10005,MATCH($C277,①今日の在庫を貼る!$I$6:$I$10005,0)),IFERROR(INDEX(月1回_前回の在庫を貼る!$J$6:$J$10005,MATCH($C277,月1回_前回の在庫を貼る!$I$6:$I$10005,0)),""))))</f>
        <v/>
      </c>
      <c r="E277" s="66" t="str">
        <f aca="false">IF($C277="","",IFERROR(INDEX(商品マスタ!$D$6:$D$1005,MATCH($C277,商品マスタ!$B$6:$B$1005,0)),IFERROR(INDEX(①今日の在庫を貼る!$H$6:$H$10005,MATCH($C277,①今日の在庫を貼る!$I$6:$I$10005,0)),IFERROR(INDEX(月1回_前回の在庫を貼る!$H$6:$H$10005,MATCH($C277,月1回_前回の在庫を貼る!$I$6:$I$10005,0)),""))))</f>
        <v/>
      </c>
      <c r="F277" s="66" t="str">
        <f aca="false">IF($C277="","",IFERROR(INDEX(商品マスタ!$E$6:$E$1005,MATCH($C277,商品マスタ!$B$6:$B$1005,0)),IFERROR(INDEX(①今日の在庫を貼る!$E$6:$E$10005,MATCH($C277,①今日の在庫を貼る!$I$6:$I$10005,0)),IFERROR(INDEX(月1回_前回の在庫を貼る!$E$6:$E$10005,MATCH($C277,月1回_前回の在庫を貼る!$I$6:$I$10005,0)),""))))</f>
        <v/>
      </c>
      <c r="G277" s="69" t="str">
        <f aca="false">IF($C277="","",IFERROR(INDEX(商品マスタ!$F$6:$F$1005,MATCH($C277,商品マスタ!$B$6:$B$1005,0)),IFERROR(INDEX(①今日の在庫を貼る!$K$6:$K$10005,MATCH($C277,①今日の在庫を貼る!$I$6:$I$10005,0)),IFERROR(INDEX(月1回_前回の在庫を貼る!$K$6:$K$10005,MATCH($C277,月1回_前回の在庫を貼る!$I$6:$I$10005,0)),""))))</f>
        <v/>
      </c>
      <c r="H277" s="71" t="str">
        <f aca="false">IF($C277="","",IFERROR(INDEX(商品マスタ!$G$6:$G$1005,MATCH($C277,商品マスタ!$B$6:$B$1005,0)),IFERROR(INDEX(①今日の在庫を貼る!$Q$6:$Q$10005,MATCH($C277,①今日の在庫を貼る!$I$6:$I$10005,0)),IFERROR(INDEX(月1回_前回の在庫を貼る!$Q$6:$Q$10005,MATCH($C277,月1回_前回の在庫を貼る!$I$6:$I$10005,0)),""))))</f>
        <v/>
      </c>
      <c r="I277" s="66" t="str">
        <f aca="false">IF($C277="","",IFERROR(INDEX(商品マスタ!$H$6:$H$1005,MATCH($C277,商品マスタ!$B$6:$B$1005,0)),3))</f>
        <v/>
      </c>
      <c r="J277" s="66" t="str">
        <f aca="false">IF($C277="","",MAX(1,IFERROR(INDEX(商品マスタ!$I$6:$I$1005,MATCH($C277,商品マスタ!$B$6:$B$1005,0)),1)))</f>
        <v/>
      </c>
      <c r="K277" s="69" t="str">
        <f aca="false">IF($C277="","",SUMIFS(①今日の在庫を貼る!$N$6:$N$10005,①今日の在庫を貼る!$B$6:$B$10005,'設定（最初に1回）'!$C$4,①今日の在庫を貼る!$I$6:$I$10005,$C277))</f>
        <v/>
      </c>
      <c r="L277" s="69" t="str">
        <f aca="false">IF($C277="","",SUMIFS(月1回_前回の在庫を貼る!$N$6:$N$10005,月1回_前回の在庫を貼る!$B$6:$B$10005,'設定（最初に1回）'!$C$4,月1回_前回の在庫を貼る!$I$6:$I$10005,$C277))</f>
        <v/>
      </c>
      <c r="M277" s="69" t="str">
        <f aca="false">IF($C277="","",IF(OR('設定（最初に1回）'!$C$6="",'設定（最初に1回）'!$C$7=""),0,SUMIFS(発注管理!$S$6:$S$1005,発注管理!$C$6:$C$1005,'設定（最初に1回）'!$C$4,発注管理!$F$6:$F$1005,$C277,発注管理!$R$6:$R$1005,"&gt;="&amp;'設定（最初に1回）'!$C$7,発注管理!$R$6:$R$1005,"&lt;="&amp;'設定（最初に1回）'!$C$6)))</f>
        <v/>
      </c>
      <c r="N277" s="69" t="str">
        <f aca="false">IF(OR($C277="",'設定（最初に1回）'!$C$15=0),"",$L277+$M277-$K277)</f>
        <v/>
      </c>
      <c r="O277" s="143" t="str">
        <f aca="false">IF(OR($N277="",'設定（最初に1回）'!$C$8="",'設定（最初に1回）'!$C$8&lt;=0),"",MAX(0,$N277)/'設定（最初に1回）'!$C$8)</f>
        <v/>
      </c>
      <c r="P277" s="143" t="str">
        <f aca="false">IF($C277="","",IFERROR(INDEX(商品マスタ!$M$6:$N$1005,MATCH($C277,商品マスタ!$B$6:$B$1005,0),MATCH("PI値 "&amp;'設定（最初に1回）'!$C$11,商品マスタ!$M$5:$N$5,0)),""))</f>
        <v/>
      </c>
      <c r="Q277" s="143" t="str">
        <f aca="false">IF(OR($C277="",$P277="",$P277=0,(N($I277)+N($AG277))&lt;=0),"",IFERROR(SUMIFS(随時_動員を入れる!$G$8:$G$97,随時_動員を入れる!$B$8:$B$97,"&gt;="&amp;'設定（最初に1回）'!$C$6,随時_動員を入れる!$B$8:$B$97,"&lt;="&amp;'設定（最初に1回）'!$C$6+(N($I277)+N($AG277))-1)/(N($I277)+N($AG277)),0)*$P277/100)</f>
        <v/>
      </c>
      <c r="R277" s="69" t="str">
        <f aca="false">IF($C277="","",SUMIFS(①今日の在庫を貼る!$O$6:$O$10005,①今日の在庫を貼る!$B$6:$B$10005,'設定（最初に1回）'!$C$4,①今日の在庫を貼る!$I$6:$I$10005,$C277))</f>
        <v/>
      </c>
      <c r="S277" s="143" t="str">
        <f aca="false">IF($C277="","",IF('設定（最初に1回）'!$C$9="実績消費",N($O277),IF('設定（最初に1回）'!$C$9="PI値予測",N($Q277),MAX(N($O277),N($Q277)))))</f>
        <v/>
      </c>
      <c r="T277" s="67" t="str">
        <f aca="false">IF(OR($S277="",$S277&lt;=0),"",$K277/$S277)</f>
        <v/>
      </c>
      <c r="U277" s="69" t="str">
        <f aca="false">IF($S277="","",ROUNDUP(N($S277)*'設定（最初に1回）'!$C$12,0))</f>
        <v/>
      </c>
      <c r="V277" s="69" t="str">
        <f aca="false">IF($C277="","",ROUNDUP(N($S277)*(N($I277)+N($AG277))+N($U277),0))</f>
        <v/>
      </c>
      <c r="W277" s="69" t="str">
        <f aca="false">IF($C277="","",SUMIFS(発注管理!$L$6:$L$1005,発注管理!$C$6:$C$1005,'設定（最初に1回）'!$C$4,発注管理!$F$6:$F$1005,$C277,発注管理!$Q$6:$Q$1005,"発注済"))</f>
        <v/>
      </c>
      <c r="X277" s="69" t="str">
        <f aca="false">IF($C277="","",MAX(0,N($V277)-N($K277)-N($W277)))</f>
        <v/>
      </c>
      <c r="Y277" s="147" t="str">
        <f aca="false">IF($C277="","",IF(N($X277)&lt;=0,0,CEILING($X277/MAX(1,N($G277)),MAX(1,N($J277)))))</f>
        <v/>
      </c>
      <c r="Z277" s="138" t="str">
        <f aca="false">IF($C277="","",IF(N($Y277)&gt;0,"要発注","正常"))</f>
        <v/>
      </c>
      <c r="AA277" s="71" t="str">
        <f aca="false">IF($C277="","",N($K277)*N($H277))</f>
        <v/>
      </c>
      <c r="AB277" s="66" t="str">
        <f aca="false">IF($C277="","",_xlfn.TEXTJOIN(" / ",TRUE(),IF(COUNTIF(商品マスタ!$B$6:$B$1005,$C277)=0,"マスタ未登録",""),IF(COUNTIFS(月1回_前回の在庫を貼る!$B$6:$B$10005,'設定（最初に1回）'!$C$4,月1回_前回の在庫を貼る!$I$6:$I$10005,$C277)=0,"新商品",""),IF(COUNTIFS(①今日の在庫を貼る!$B$6:$B$10005,'設定（最初に1回）'!$C$4,①今日の在庫を貼る!$I$6:$I$10005,$C277)=0,"終売候補",""),IF(N($K277)&lt;0,"在庫マイナス",""),IF(AND('設定（最初に1回）'!$C$9="PI値予測",$P277=""),"PI値未設定","")))</f>
        <v/>
      </c>
      <c r="AC277" s="71" t="n">
        <f aca="false">N($Y277)*N($H277)</f>
        <v>0</v>
      </c>
      <c r="AD277" s="66" t="str">
        <f aca="false">IF($C277="","",IFERROR(INDEX(商品マスタ!$K$6:$K$1005,MATCH($C277,商品マスタ!$B$6:$B$1005,0)),"常温"))</f>
        <v/>
      </c>
      <c r="AE277" s="69" t="str">
        <f aca="false">IF($C277="","",MAX(0,ROUNDUP(N($K277)/MAX(1,N($G277)),0)))</f>
        <v/>
      </c>
      <c r="AF277" s="66" t="str">
        <f aca="false">IF($C277="","",IFERROR(INDEX(商品マスタ!$L$6:$L$1005,MATCH($C277,商品マスタ!$B$6:$B$1005,0)),""))</f>
        <v/>
      </c>
      <c r="AG277" s="143" t="str">
        <f aca="false">IF($C277="","",IFERROR(INDEX(定数マスタ!$S$110:$S$119,MATCH($AF277,定数マスタ!$J$110:$J$119,0)),N('設定（最初に1回）'!$C$13)))</f>
        <v/>
      </c>
      <c r="AH277" s="66" t="n">
        <f aca="false">IF(AND(N($K277)&gt;0,N($Y277)&gt;0),N($Y277),0)</f>
        <v>0</v>
      </c>
    </row>
    <row r="278" customFormat="false" ht="15" hidden="false" customHeight="false" outlineLevel="0" collapsed="false">
      <c r="B278" s="66" t="n">
        <v>273</v>
      </c>
      <c r="C278" s="66" t="str">
        <f aca="false">IFERROR(IF($B278&lt;=MAX(①今日の在庫を貼る!$U$6:$U$10005),INDEX(①今日の在庫を貼る!$I$6:$I$10005,MATCH($B278,①今日の在庫を貼る!$U$6:$U$10005,0)),INDEX(月1回_前回の在庫を貼る!$I$6:$I$10005,MATCH($B278-MAX(①今日の在庫を貼る!$U$6:$U$10005),月1回_前回の在庫を貼る!$U$6:$U$10005,0))),"")</f>
        <v/>
      </c>
      <c r="D278" s="66" t="str">
        <f aca="false">IF($C278="","",IFERROR(INDEX(商品マスタ!$C$6:$C$1005,MATCH($C278,商品マスタ!$B$6:$B$1005,0)),IFERROR(INDEX(①今日の在庫を貼る!$J$6:$J$10005,MATCH($C278,①今日の在庫を貼る!$I$6:$I$10005,0)),IFERROR(INDEX(月1回_前回の在庫を貼る!$J$6:$J$10005,MATCH($C278,月1回_前回の在庫を貼る!$I$6:$I$10005,0)),""))))</f>
        <v/>
      </c>
      <c r="E278" s="66" t="str">
        <f aca="false">IF($C278="","",IFERROR(INDEX(商品マスタ!$D$6:$D$1005,MATCH($C278,商品マスタ!$B$6:$B$1005,0)),IFERROR(INDEX(①今日の在庫を貼る!$H$6:$H$10005,MATCH($C278,①今日の在庫を貼る!$I$6:$I$10005,0)),IFERROR(INDEX(月1回_前回の在庫を貼る!$H$6:$H$10005,MATCH($C278,月1回_前回の在庫を貼る!$I$6:$I$10005,0)),""))))</f>
        <v/>
      </c>
      <c r="F278" s="66" t="str">
        <f aca="false">IF($C278="","",IFERROR(INDEX(商品マスタ!$E$6:$E$1005,MATCH($C278,商品マスタ!$B$6:$B$1005,0)),IFERROR(INDEX(①今日の在庫を貼る!$E$6:$E$10005,MATCH($C278,①今日の在庫を貼る!$I$6:$I$10005,0)),IFERROR(INDEX(月1回_前回の在庫を貼る!$E$6:$E$10005,MATCH($C278,月1回_前回の在庫を貼る!$I$6:$I$10005,0)),""))))</f>
        <v/>
      </c>
      <c r="G278" s="69" t="str">
        <f aca="false">IF($C278="","",IFERROR(INDEX(商品マスタ!$F$6:$F$1005,MATCH($C278,商品マスタ!$B$6:$B$1005,0)),IFERROR(INDEX(①今日の在庫を貼る!$K$6:$K$10005,MATCH($C278,①今日の在庫を貼る!$I$6:$I$10005,0)),IFERROR(INDEX(月1回_前回の在庫を貼る!$K$6:$K$10005,MATCH($C278,月1回_前回の在庫を貼る!$I$6:$I$10005,0)),""))))</f>
        <v/>
      </c>
      <c r="H278" s="71" t="str">
        <f aca="false">IF($C278="","",IFERROR(INDEX(商品マスタ!$G$6:$G$1005,MATCH($C278,商品マスタ!$B$6:$B$1005,0)),IFERROR(INDEX(①今日の在庫を貼る!$Q$6:$Q$10005,MATCH($C278,①今日の在庫を貼る!$I$6:$I$10005,0)),IFERROR(INDEX(月1回_前回の在庫を貼る!$Q$6:$Q$10005,MATCH($C278,月1回_前回の在庫を貼る!$I$6:$I$10005,0)),""))))</f>
        <v/>
      </c>
      <c r="I278" s="66" t="str">
        <f aca="false">IF($C278="","",IFERROR(INDEX(商品マスタ!$H$6:$H$1005,MATCH($C278,商品マスタ!$B$6:$B$1005,0)),3))</f>
        <v/>
      </c>
      <c r="J278" s="66" t="str">
        <f aca="false">IF($C278="","",MAX(1,IFERROR(INDEX(商品マスタ!$I$6:$I$1005,MATCH($C278,商品マスタ!$B$6:$B$1005,0)),1)))</f>
        <v/>
      </c>
      <c r="K278" s="69" t="str">
        <f aca="false">IF($C278="","",SUMIFS(①今日の在庫を貼る!$N$6:$N$10005,①今日の在庫を貼る!$B$6:$B$10005,'設定（最初に1回）'!$C$4,①今日の在庫を貼る!$I$6:$I$10005,$C278))</f>
        <v/>
      </c>
      <c r="L278" s="69" t="str">
        <f aca="false">IF($C278="","",SUMIFS(月1回_前回の在庫を貼る!$N$6:$N$10005,月1回_前回の在庫を貼る!$B$6:$B$10005,'設定（最初に1回）'!$C$4,月1回_前回の在庫を貼る!$I$6:$I$10005,$C278))</f>
        <v/>
      </c>
      <c r="M278" s="69" t="str">
        <f aca="false">IF($C278="","",IF(OR('設定（最初に1回）'!$C$6="",'設定（最初に1回）'!$C$7=""),0,SUMIFS(発注管理!$S$6:$S$1005,発注管理!$C$6:$C$1005,'設定（最初に1回）'!$C$4,発注管理!$F$6:$F$1005,$C278,発注管理!$R$6:$R$1005,"&gt;="&amp;'設定（最初に1回）'!$C$7,発注管理!$R$6:$R$1005,"&lt;="&amp;'設定（最初に1回）'!$C$6)))</f>
        <v/>
      </c>
      <c r="N278" s="69" t="str">
        <f aca="false">IF(OR($C278="",'設定（最初に1回）'!$C$15=0),"",$L278+$M278-$K278)</f>
        <v/>
      </c>
      <c r="O278" s="143" t="str">
        <f aca="false">IF(OR($N278="",'設定（最初に1回）'!$C$8="",'設定（最初に1回）'!$C$8&lt;=0),"",MAX(0,$N278)/'設定（最初に1回）'!$C$8)</f>
        <v/>
      </c>
      <c r="P278" s="143" t="str">
        <f aca="false">IF($C278="","",IFERROR(INDEX(商品マスタ!$M$6:$N$1005,MATCH($C278,商品マスタ!$B$6:$B$1005,0),MATCH("PI値 "&amp;'設定（最初に1回）'!$C$11,商品マスタ!$M$5:$N$5,0)),""))</f>
        <v/>
      </c>
      <c r="Q278" s="143" t="str">
        <f aca="false">IF(OR($C278="",$P278="",$P278=0,(N($I278)+N($AG278))&lt;=0),"",IFERROR(SUMIFS(随時_動員を入れる!$G$8:$G$97,随時_動員を入れる!$B$8:$B$97,"&gt;="&amp;'設定（最初に1回）'!$C$6,随時_動員を入れる!$B$8:$B$97,"&lt;="&amp;'設定（最初に1回）'!$C$6+(N($I278)+N($AG278))-1)/(N($I278)+N($AG278)),0)*$P278/100)</f>
        <v/>
      </c>
      <c r="R278" s="69" t="str">
        <f aca="false">IF($C278="","",SUMIFS(①今日の在庫を貼る!$O$6:$O$10005,①今日の在庫を貼る!$B$6:$B$10005,'設定（最初に1回）'!$C$4,①今日の在庫を貼る!$I$6:$I$10005,$C278))</f>
        <v/>
      </c>
      <c r="S278" s="143" t="str">
        <f aca="false">IF($C278="","",IF('設定（最初に1回）'!$C$9="実績消費",N($O278),IF('設定（最初に1回）'!$C$9="PI値予測",N($Q278),MAX(N($O278),N($Q278)))))</f>
        <v/>
      </c>
      <c r="T278" s="67" t="str">
        <f aca="false">IF(OR($S278="",$S278&lt;=0),"",$K278/$S278)</f>
        <v/>
      </c>
      <c r="U278" s="69" t="str">
        <f aca="false">IF($S278="","",ROUNDUP(N($S278)*'設定（最初に1回）'!$C$12,0))</f>
        <v/>
      </c>
      <c r="V278" s="69" t="str">
        <f aca="false">IF($C278="","",ROUNDUP(N($S278)*(N($I278)+N($AG278))+N($U278),0))</f>
        <v/>
      </c>
      <c r="W278" s="69" t="str">
        <f aca="false">IF($C278="","",SUMIFS(発注管理!$L$6:$L$1005,発注管理!$C$6:$C$1005,'設定（最初に1回）'!$C$4,発注管理!$F$6:$F$1005,$C278,発注管理!$Q$6:$Q$1005,"発注済"))</f>
        <v/>
      </c>
      <c r="X278" s="69" t="str">
        <f aca="false">IF($C278="","",MAX(0,N($V278)-N($K278)-N($W278)))</f>
        <v/>
      </c>
      <c r="Y278" s="147" t="str">
        <f aca="false">IF($C278="","",IF(N($X278)&lt;=0,0,CEILING($X278/MAX(1,N($G278)),MAX(1,N($J278)))))</f>
        <v/>
      </c>
      <c r="Z278" s="138" t="str">
        <f aca="false">IF($C278="","",IF(N($Y278)&gt;0,"要発注","正常"))</f>
        <v/>
      </c>
      <c r="AA278" s="71" t="str">
        <f aca="false">IF($C278="","",N($K278)*N($H278))</f>
        <v/>
      </c>
      <c r="AB278" s="66" t="str">
        <f aca="false">IF($C278="","",_xlfn.TEXTJOIN(" / ",TRUE(),IF(COUNTIF(商品マスタ!$B$6:$B$1005,$C278)=0,"マスタ未登録",""),IF(COUNTIFS(月1回_前回の在庫を貼る!$B$6:$B$10005,'設定（最初に1回）'!$C$4,月1回_前回の在庫を貼る!$I$6:$I$10005,$C278)=0,"新商品",""),IF(COUNTIFS(①今日の在庫を貼る!$B$6:$B$10005,'設定（最初に1回）'!$C$4,①今日の在庫を貼る!$I$6:$I$10005,$C278)=0,"終売候補",""),IF(N($K278)&lt;0,"在庫マイナス",""),IF(AND('設定（最初に1回）'!$C$9="PI値予測",$P278=""),"PI値未設定","")))</f>
        <v/>
      </c>
      <c r="AC278" s="71" t="n">
        <f aca="false">N($Y278)*N($H278)</f>
        <v>0</v>
      </c>
      <c r="AD278" s="66" t="str">
        <f aca="false">IF($C278="","",IFERROR(INDEX(商品マスタ!$K$6:$K$1005,MATCH($C278,商品マスタ!$B$6:$B$1005,0)),"常温"))</f>
        <v/>
      </c>
      <c r="AE278" s="69" t="str">
        <f aca="false">IF($C278="","",MAX(0,ROUNDUP(N($K278)/MAX(1,N($G278)),0)))</f>
        <v/>
      </c>
      <c r="AF278" s="66" t="str">
        <f aca="false">IF($C278="","",IFERROR(INDEX(商品マスタ!$L$6:$L$1005,MATCH($C278,商品マスタ!$B$6:$B$1005,0)),""))</f>
        <v/>
      </c>
      <c r="AG278" s="143" t="str">
        <f aca="false">IF($C278="","",IFERROR(INDEX(定数マスタ!$S$110:$S$119,MATCH($AF278,定数マスタ!$J$110:$J$119,0)),N('設定（最初に1回）'!$C$13)))</f>
        <v/>
      </c>
      <c r="AH278" s="66" t="n">
        <f aca="false">IF(AND(N($K278)&gt;0,N($Y278)&gt;0),N($Y278),0)</f>
        <v>0</v>
      </c>
    </row>
    <row r="279" customFormat="false" ht="15" hidden="false" customHeight="false" outlineLevel="0" collapsed="false">
      <c r="B279" s="66" t="n">
        <v>274</v>
      </c>
      <c r="C279" s="66" t="str">
        <f aca="false">IFERROR(IF($B279&lt;=MAX(①今日の在庫を貼る!$U$6:$U$10005),INDEX(①今日の在庫を貼る!$I$6:$I$10005,MATCH($B279,①今日の在庫を貼る!$U$6:$U$10005,0)),INDEX(月1回_前回の在庫を貼る!$I$6:$I$10005,MATCH($B279-MAX(①今日の在庫を貼る!$U$6:$U$10005),月1回_前回の在庫を貼る!$U$6:$U$10005,0))),"")</f>
        <v/>
      </c>
      <c r="D279" s="66" t="str">
        <f aca="false">IF($C279="","",IFERROR(INDEX(商品マスタ!$C$6:$C$1005,MATCH($C279,商品マスタ!$B$6:$B$1005,0)),IFERROR(INDEX(①今日の在庫を貼る!$J$6:$J$10005,MATCH($C279,①今日の在庫を貼る!$I$6:$I$10005,0)),IFERROR(INDEX(月1回_前回の在庫を貼る!$J$6:$J$10005,MATCH($C279,月1回_前回の在庫を貼る!$I$6:$I$10005,0)),""))))</f>
        <v/>
      </c>
      <c r="E279" s="66" t="str">
        <f aca="false">IF($C279="","",IFERROR(INDEX(商品マスタ!$D$6:$D$1005,MATCH($C279,商品マスタ!$B$6:$B$1005,0)),IFERROR(INDEX(①今日の在庫を貼る!$H$6:$H$10005,MATCH($C279,①今日の在庫を貼る!$I$6:$I$10005,0)),IFERROR(INDEX(月1回_前回の在庫を貼る!$H$6:$H$10005,MATCH($C279,月1回_前回の在庫を貼る!$I$6:$I$10005,0)),""))))</f>
        <v/>
      </c>
      <c r="F279" s="66" t="str">
        <f aca="false">IF($C279="","",IFERROR(INDEX(商品マスタ!$E$6:$E$1005,MATCH($C279,商品マスタ!$B$6:$B$1005,0)),IFERROR(INDEX(①今日の在庫を貼る!$E$6:$E$10005,MATCH($C279,①今日の在庫を貼る!$I$6:$I$10005,0)),IFERROR(INDEX(月1回_前回の在庫を貼る!$E$6:$E$10005,MATCH($C279,月1回_前回の在庫を貼る!$I$6:$I$10005,0)),""))))</f>
        <v/>
      </c>
      <c r="G279" s="69" t="str">
        <f aca="false">IF($C279="","",IFERROR(INDEX(商品マスタ!$F$6:$F$1005,MATCH($C279,商品マスタ!$B$6:$B$1005,0)),IFERROR(INDEX(①今日の在庫を貼る!$K$6:$K$10005,MATCH($C279,①今日の在庫を貼る!$I$6:$I$10005,0)),IFERROR(INDEX(月1回_前回の在庫を貼る!$K$6:$K$10005,MATCH($C279,月1回_前回の在庫を貼る!$I$6:$I$10005,0)),""))))</f>
        <v/>
      </c>
      <c r="H279" s="71" t="str">
        <f aca="false">IF($C279="","",IFERROR(INDEX(商品マスタ!$G$6:$G$1005,MATCH($C279,商品マスタ!$B$6:$B$1005,0)),IFERROR(INDEX(①今日の在庫を貼る!$Q$6:$Q$10005,MATCH($C279,①今日の在庫を貼る!$I$6:$I$10005,0)),IFERROR(INDEX(月1回_前回の在庫を貼る!$Q$6:$Q$10005,MATCH($C279,月1回_前回の在庫を貼る!$I$6:$I$10005,0)),""))))</f>
        <v/>
      </c>
      <c r="I279" s="66" t="str">
        <f aca="false">IF($C279="","",IFERROR(INDEX(商品マスタ!$H$6:$H$1005,MATCH($C279,商品マスタ!$B$6:$B$1005,0)),3))</f>
        <v/>
      </c>
      <c r="J279" s="66" t="str">
        <f aca="false">IF($C279="","",MAX(1,IFERROR(INDEX(商品マスタ!$I$6:$I$1005,MATCH($C279,商品マスタ!$B$6:$B$1005,0)),1)))</f>
        <v/>
      </c>
      <c r="K279" s="69" t="str">
        <f aca="false">IF($C279="","",SUMIFS(①今日の在庫を貼る!$N$6:$N$10005,①今日の在庫を貼る!$B$6:$B$10005,'設定（最初に1回）'!$C$4,①今日の在庫を貼る!$I$6:$I$10005,$C279))</f>
        <v/>
      </c>
      <c r="L279" s="69" t="str">
        <f aca="false">IF($C279="","",SUMIFS(月1回_前回の在庫を貼る!$N$6:$N$10005,月1回_前回の在庫を貼る!$B$6:$B$10005,'設定（最初に1回）'!$C$4,月1回_前回の在庫を貼る!$I$6:$I$10005,$C279))</f>
        <v/>
      </c>
      <c r="M279" s="69" t="str">
        <f aca="false">IF($C279="","",IF(OR('設定（最初に1回）'!$C$6="",'設定（最初に1回）'!$C$7=""),0,SUMIFS(発注管理!$S$6:$S$1005,発注管理!$C$6:$C$1005,'設定（最初に1回）'!$C$4,発注管理!$F$6:$F$1005,$C279,発注管理!$R$6:$R$1005,"&gt;="&amp;'設定（最初に1回）'!$C$7,発注管理!$R$6:$R$1005,"&lt;="&amp;'設定（最初に1回）'!$C$6)))</f>
        <v/>
      </c>
      <c r="N279" s="69" t="str">
        <f aca="false">IF(OR($C279="",'設定（最初に1回）'!$C$15=0),"",$L279+$M279-$K279)</f>
        <v/>
      </c>
      <c r="O279" s="143" t="str">
        <f aca="false">IF(OR($N279="",'設定（最初に1回）'!$C$8="",'設定（最初に1回）'!$C$8&lt;=0),"",MAX(0,$N279)/'設定（最初に1回）'!$C$8)</f>
        <v/>
      </c>
      <c r="P279" s="143" t="str">
        <f aca="false">IF($C279="","",IFERROR(INDEX(商品マスタ!$M$6:$N$1005,MATCH($C279,商品マスタ!$B$6:$B$1005,0),MATCH("PI値 "&amp;'設定（最初に1回）'!$C$11,商品マスタ!$M$5:$N$5,0)),""))</f>
        <v/>
      </c>
      <c r="Q279" s="143" t="str">
        <f aca="false">IF(OR($C279="",$P279="",$P279=0,(N($I279)+N($AG279))&lt;=0),"",IFERROR(SUMIFS(随時_動員を入れる!$G$8:$G$97,随時_動員を入れる!$B$8:$B$97,"&gt;="&amp;'設定（最初に1回）'!$C$6,随時_動員を入れる!$B$8:$B$97,"&lt;="&amp;'設定（最初に1回）'!$C$6+(N($I279)+N($AG279))-1)/(N($I279)+N($AG279)),0)*$P279/100)</f>
        <v/>
      </c>
      <c r="R279" s="69" t="str">
        <f aca="false">IF($C279="","",SUMIFS(①今日の在庫を貼る!$O$6:$O$10005,①今日の在庫を貼る!$B$6:$B$10005,'設定（最初に1回）'!$C$4,①今日の在庫を貼る!$I$6:$I$10005,$C279))</f>
        <v/>
      </c>
      <c r="S279" s="143" t="str">
        <f aca="false">IF($C279="","",IF('設定（最初に1回）'!$C$9="実績消費",N($O279),IF('設定（最初に1回）'!$C$9="PI値予測",N($Q279),MAX(N($O279),N($Q279)))))</f>
        <v/>
      </c>
      <c r="T279" s="67" t="str">
        <f aca="false">IF(OR($S279="",$S279&lt;=0),"",$K279/$S279)</f>
        <v/>
      </c>
      <c r="U279" s="69" t="str">
        <f aca="false">IF($S279="","",ROUNDUP(N($S279)*'設定（最初に1回）'!$C$12,0))</f>
        <v/>
      </c>
      <c r="V279" s="69" t="str">
        <f aca="false">IF($C279="","",ROUNDUP(N($S279)*(N($I279)+N($AG279))+N($U279),0))</f>
        <v/>
      </c>
      <c r="W279" s="69" t="str">
        <f aca="false">IF($C279="","",SUMIFS(発注管理!$L$6:$L$1005,発注管理!$C$6:$C$1005,'設定（最初に1回）'!$C$4,発注管理!$F$6:$F$1005,$C279,発注管理!$Q$6:$Q$1005,"発注済"))</f>
        <v/>
      </c>
      <c r="X279" s="69" t="str">
        <f aca="false">IF($C279="","",MAX(0,N($V279)-N($K279)-N($W279)))</f>
        <v/>
      </c>
      <c r="Y279" s="147" t="str">
        <f aca="false">IF($C279="","",IF(N($X279)&lt;=0,0,CEILING($X279/MAX(1,N($G279)),MAX(1,N($J279)))))</f>
        <v/>
      </c>
      <c r="Z279" s="138" t="str">
        <f aca="false">IF($C279="","",IF(N($Y279)&gt;0,"要発注","正常"))</f>
        <v/>
      </c>
      <c r="AA279" s="71" t="str">
        <f aca="false">IF($C279="","",N($K279)*N($H279))</f>
        <v/>
      </c>
      <c r="AB279" s="66" t="str">
        <f aca="false">IF($C279="","",_xlfn.TEXTJOIN(" / ",TRUE(),IF(COUNTIF(商品マスタ!$B$6:$B$1005,$C279)=0,"マスタ未登録",""),IF(COUNTIFS(月1回_前回の在庫を貼る!$B$6:$B$10005,'設定（最初に1回）'!$C$4,月1回_前回の在庫を貼る!$I$6:$I$10005,$C279)=0,"新商品",""),IF(COUNTIFS(①今日の在庫を貼る!$B$6:$B$10005,'設定（最初に1回）'!$C$4,①今日の在庫を貼る!$I$6:$I$10005,$C279)=0,"終売候補",""),IF(N($K279)&lt;0,"在庫マイナス",""),IF(AND('設定（最初に1回）'!$C$9="PI値予測",$P279=""),"PI値未設定","")))</f>
        <v/>
      </c>
      <c r="AC279" s="71" t="n">
        <f aca="false">N($Y279)*N($H279)</f>
        <v>0</v>
      </c>
      <c r="AD279" s="66" t="str">
        <f aca="false">IF($C279="","",IFERROR(INDEX(商品マスタ!$K$6:$K$1005,MATCH($C279,商品マスタ!$B$6:$B$1005,0)),"常温"))</f>
        <v/>
      </c>
      <c r="AE279" s="69" t="str">
        <f aca="false">IF($C279="","",MAX(0,ROUNDUP(N($K279)/MAX(1,N($G279)),0)))</f>
        <v/>
      </c>
      <c r="AF279" s="66" t="str">
        <f aca="false">IF($C279="","",IFERROR(INDEX(商品マスタ!$L$6:$L$1005,MATCH($C279,商品マスタ!$B$6:$B$1005,0)),""))</f>
        <v/>
      </c>
      <c r="AG279" s="143" t="str">
        <f aca="false">IF($C279="","",IFERROR(INDEX(定数マスタ!$S$110:$S$119,MATCH($AF279,定数マスタ!$J$110:$J$119,0)),N('設定（最初に1回）'!$C$13)))</f>
        <v/>
      </c>
      <c r="AH279" s="66" t="n">
        <f aca="false">IF(AND(N($K279)&gt;0,N($Y279)&gt;0),N($Y279),0)</f>
        <v>0</v>
      </c>
    </row>
    <row r="280" customFormat="false" ht="15" hidden="false" customHeight="false" outlineLevel="0" collapsed="false">
      <c r="B280" s="66" t="n">
        <v>275</v>
      </c>
      <c r="C280" s="66" t="str">
        <f aca="false">IFERROR(IF($B280&lt;=MAX(①今日の在庫を貼る!$U$6:$U$10005),INDEX(①今日の在庫を貼る!$I$6:$I$10005,MATCH($B280,①今日の在庫を貼る!$U$6:$U$10005,0)),INDEX(月1回_前回の在庫を貼る!$I$6:$I$10005,MATCH($B280-MAX(①今日の在庫を貼る!$U$6:$U$10005),月1回_前回の在庫を貼る!$U$6:$U$10005,0))),"")</f>
        <v/>
      </c>
      <c r="D280" s="66" t="str">
        <f aca="false">IF($C280="","",IFERROR(INDEX(商品マスタ!$C$6:$C$1005,MATCH($C280,商品マスタ!$B$6:$B$1005,0)),IFERROR(INDEX(①今日の在庫を貼る!$J$6:$J$10005,MATCH($C280,①今日の在庫を貼る!$I$6:$I$10005,0)),IFERROR(INDEX(月1回_前回の在庫を貼る!$J$6:$J$10005,MATCH($C280,月1回_前回の在庫を貼る!$I$6:$I$10005,0)),""))))</f>
        <v/>
      </c>
      <c r="E280" s="66" t="str">
        <f aca="false">IF($C280="","",IFERROR(INDEX(商品マスタ!$D$6:$D$1005,MATCH($C280,商品マスタ!$B$6:$B$1005,0)),IFERROR(INDEX(①今日の在庫を貼る!$H$6:$H$10005,MATCH($C280,①今日の在庫を貼る!$I$6:$I$10005,0)),IFERROR(INDEX(月1回_前回の在庫を貼る!$H$6:$H$10005,MATCH($C280,月1回_前回の在庫を貼る!$I$6:$I$10005,0)),""))))</f>
        <v/>
      </c>
      <c r="F280" s="66" t="str">
        <f aca="false">IF($C280="","",IFERROR(INDEX(商品マスタ!$E$6:$E$1005,MATCH($C280,商品マスタ!$B$6:$B$1005,0)),IFERROR(INDEX(①今日の在庫を貼る!$E$6:$E$10005,MATCH($C280,①今日の在庫を貼る!$I$6:$I$10005,0)),IFERROR(INDEX(月1回_前回の在庫を貼る!$E$6:$E$10005,MATCH($C280,月1回_前回の在庫を貼る!$I$6:$I$10005,0)),""))))</f>
        <v/>
      </c>
      <c r="G280" s="69" t="str">
        <f aca="false">IF($C280="","",IFERROR(INDEX(商品マスタ!$F$6:$F$1005,MATCH($C280,商品マスタ!$B$6:$B$1005,0)),IFERROR(INDEX(①今日の在庫を貼る!$K$6:$K$10005,MATCH($C280,①今日の在庫を貼る!$I$6:$I$10005,0)),IFERROR(INDEX(月1回_前回の在庫を貼る!$K$6:$K$10005,MATCH($C280,月1回_前回の在庫を貼る!$I$6:$I$10005,0)),""))))</f>
        <v/>
      </c>
      <c r="H280" s="71" t="str">
        <f aca="false">IF($C280="","",IFERROR(INDEX(商品マスタ!$G$6:$G$1005,MATCH($C280,商品マスタ!$B$6:$B$1005,0)),IFERROR(INDEX(①今日の在庫を貼る!$Q$6:$Q$10005,MATCH($C280,①今日の在庫を貼る!$I$6:$I$10005,0)),IFERROR(INDEX(月1回_前回の在庫を貼る!$Q$6:$Q$10005,MATCH($C280,月1回_前回の在庫を貼る!$I$6:$I$10005,0)),""))))</f>
        <v/>
      </c>
      <c r="I280" s="66" t="str">
        <f aca="false">IF($C280="","",IFERROR(INDEX(商品マスタ!$H$6:$H$1005,MATCH($C280,商品マスタ!$B$6:$B$1005,0)),3))</f>
        <v/>
      </c>
      <c r="J280" s="66" t="str">
        <f aca="false">IF($C280="","",MAX(1,IFERROR(INDEX(商品マスタ!$I$6:$I$1005,MATCH($C280,商品マスタ!$B$6:$B$1005,0)),1)))</f>
        <v/>
      </c>
      <c r="K280" s="69" t="str">
        <f aca="false">IF($C280="","",SUMIFS(①今日の在庫を貼る!$N$6:$N$10005,①今日の在庫を貼る!$B$6:$B$10005,'設定（最初に1回）'!$C$4,①今日の在庫を貼る!$I$6:$I$10005,$C280))</f>
        <v/>
      </c>
      <c r="L280" s="69" t="str">
        <f aca="false">IF($C280="","",SUMIFS(月1回_前回の在庫を貼る!$N$6:$N$10005,月1回_前回の在庫を貼る!$B$6:$B$10005,'設定（最初に1回）'!$C$4,月1回_前回の在庫を貼る!$I$6:$I$10005,$C280))</f>
        <v/>
      </c>
      <c r="M280" s="69" t="str">
        <f aca="false">IF($C280="","",IF(OR('設定（最初に1回）'!$C$6="",'設定（最初に1回）'!$C$7=""),0,SUMIFS(発注管理!$S$6:$S$1005,発注管理!$C$6:$C$1005,'設定（最初に1回）'!$C$4,発注管理!$F$6:$F$1005,$C280,発注管理!$R$6:$R$1005,"&gt;="&amp;'設定（最初に1回）'!$C$7,発注管理!$R$6:$R$1005,"&lt;="&amp;'設定（最初に1回）'!$C$6)))</f>
        <v/>
      </c>
      <c r="N280" s="69" t="str">
        <f aca="false">IF(OR($C280="",'設定（最初に1回）'!$C$15=0),"",$L280+$M280-$K280)</f>
        <v/>
      </c>
      <c r="O280" s="143" t="str">
        <f aca="false">IF(OR($N280="",'設定（最初に1回）'!$C$8="",'設定（最初に1回）'!$C$8&lt;=0),"",MAX(0,$N280)/'設定（最初に1回）'!$C$8)</f>
        <v/>
      </c>
      <c r="P280" s="143" t="str">
        <f aca="false">IF($C280="","",IFERROR(INDEX(商品マスタ!$M$6:$N$1005,MATCH($C280,商品マスタ!$B$6:$B$1005,0),MATCH("PI値 "&amp;'設定（最初に1回）'!$C$11,商品マスタ!$M$5:$N$5,0)),""))</f>
        <v/>
      </c>
      <c r="Q280" s="143" t="str">
        <f aca="false">IF(OR($C280="",$P280="",$P280=0,(N($I280)+N($AG280))&lt;=0),"",IFERROR(SUMIFS(随時_動員を入れる!$G$8:$G$97,随時_動員を入れる!$B$8:$B$97,"&gt;="&amp;'設定（最初に1回）'!$C$6,随時_動員を入れる!$B$8:$B$97,"&lt;="&amp;'設定（最初に1回）'!$C$6+(N($I280)+N($AG280))-1)/(N($I280)+N($AG280)),0)*$P280/100)</f>
        <v/>
      </c>
      <c r="R280" s="69" t="str">
        <f aca="false">IF($C280="","",SUMIFS(①今日の在庫を貼る!$O$6:$O$10005,①今日の在庫を貼る!$B$6:$B$10005,'設定（最初に1回）'!$C$4,①今日の在庫を貼る!$I$6:$I$10005,$C280))</f>
        <v/>
      </c>
      <c r="S280" s="143" t="str">
        <f aca="false">IF($C280="","",IF('設定（最初に1回）'!$C$9="実績消費",N($O280),IF('設定（最初に1回）'!$C$9="PI値予測",N($Q280),MAX(N($O280),N($Q280)))))</f>
        <v/>
      </c>
      <c r="T280" s="67" t="str">
        <f aca="false">IF(OR($S280="",$S280&lt;=0),"",$K280/$S280)</f>
        <v/>
      </c>
      <c r="U280" s="69" t="str">
        <f aca="false">IF($S280="","",ROUNDUP(N($S280)*'設定（最初に1回）'!$C$12,0))</f>
        <v/>
      </c>
      <c r="V280" s="69" t="str">
        <f aca="false">IF($C280="","",ROUNDUP(N($S280)*(N($I280)+N($AG280))+N($U280),0))</f>
        <v/>
      </c>
      <c r="W280" s="69" t="str">
        <f aca="false">IF($C280="","",SUMIFS(発注管理!$L$6:$L$1005,発注管理!$C$6:$C$1005,'設定（最初に1回）'!$C$4,発注管理!$F$6:$F$1005,$C280,発注管理!$Q$6:$Q$1005,"発注済"))</f>
        <v/>
      </c>
      <c r="X280" s="69" t="str">
        <f aca="false">IF($C280="","",MAX(0,N($V280)-N($K280)-N($W280)))</f>
        <v/>
      </c>
      <c r="Y280" s="147" t="str">
        <f aca="false">IF($C280="","",IF(N($X280)&lt;=0,0,CEILING($X280/MAX(1,N($G280)),MAX(1,N($J280)))))</f>
        <v/>
      </c>
      <c r="Z280" s="138" t="str">
        <f aca="false">IF($C280="","",IF(N($Y280)&gt;0,"要発注","正常"))</f>
        <v/>
      </c>
      <c r="AA280" s="71" t="str">
        <f aca="false">IF($C280="","",N($K280)*N($H280))</f>
        <v/>
      </c>
      <c r="AB280" s="66" t="str">
        <f aca="false">IF($C280="","",_xlfn.TEXTJOIN(" / ",TRUE(),IF(COUNTIF(商品マスタ!$B$6:$B$1005,$C280)=0,"マスタ未登録",""),IF(COUNTIFS(月1回_前回の在庫を貼る!$B$6:$B$10005,'設定（最初に1回）'!$C$4,月1回_前回の在庫を貼る!$I$6:$I$10005,$C280)=0,"新商品",""),IF(COUNTIFS(①今日の在庫を貼る!$B$6:$B$10005,'設定（最初に1回）'!$C$4,①今日の在庫を貼る!$I$6:$I$10005,$C280)=0,"終売候補",""),IF(N($K280)&lt;0,"在庫マイナス",""),IF(AND('設定（最初に1回）'!$C$9="PI値予測",$P280=""),"PI値未設定","")))</f>
        <v/>
      </c>
      <c r="AC280" s="71" t="n">
        <f aca="false">N($Y280)*N($H280)</f>
        <v>0</v>
      </c>
      <c r="AD280" s="66" t="str">
        <f aca="false">IF($C280="","",IFERROR(INDEX(商品マスタ!$K$6:$K$1005,MATCH($C280,商品マスタ!$B$6:$B$1005,0)),"常温"))</f>
        <v/>
      </c>
      <c r="AE280" s="69" t="str">
        <f aca="false">IF($C280="","",MAX(0,ROUNDUP(N($K280)/MAX(1,N($G280)),0)))</f>
        <v/>
      </c>
      <c r="AF280" s="66" t="str">
        <f aca="false">IF($C280="","",IFERROR(INDEX(商品マスタ!$L$6:$L$1005,MATCH($C280,商品マスタ!$B$6:$B$1005,0)),""))</f>
        <v/>
      </c>
      <c r="AG280" s="143" t="str">
        <f aca="false">IF($C280="","",IFERROR(INDEX(定数マスタ!$S$110:$S$119,MATCH($AF280,定数マスタ!$J$110:$J$119,0)),N('設定（最初に1回）'!$C$13)))</f>
        <v/>
      </c>
      <c r="AH280" s="66" t="n">
        <f aca="false">IF(AND(N($K280)&gt;0,N($Y280)&gt;0),N($Y280),0)</f>
        <v>0</v>
      </c>
    </row>
    <row r="281" customFormat="false" ht="15" hidden="false" customHeight="false" outlineLevel="0" collapsed="false">
      <c r="B281" s="66" t="n">
        <v>276</v>
      </c>
      <c r="C281" s="66" t="str">
        <f aca="false">IFERROR(IF($B281&lt;=MAX(①今日の在庫を貼る!$U$6:$U$10005),INDEX(①今日の在庫を貼る!$I$6:$I$10005,MATCH($B281,①今日の在庫を貼る!$U$6:$U$10005,0)),INDEX(月1回_前回の在庫を貼る!$I$6:$I$10005,MATCH($B281-MAX(①今日の在庫を貼る!$U$6:$U$10005),月1回_前回の在庫を貼る!$U$6:$U$10005,0))),"")</f>
        <v/>
      </c>
      <c r="D281" s="66" t="str">
        <f aca="false">IF($C281="","",IFERROR(INDEX(商品マスタ!$C$6:$C$1005,MATCH($C281,商品マスタ!$B$6:$B$1005,0)),IFERROR(INDEX(①今日の在庫を貼る!$J$6:$J$10005,MATCH($C281,①今日の在庫を貼る!$I$6:$I$10005,0)),IFERROR(INDEX(月1回_前回の在庫を貼る!$J$6:$J$10005,MATCH($C281,月1回_前回の在庫を貼る!$I$6:$I$10005,0)),""))))</f>
        <v/>
      </c>
      <c r="E281" s="66" t="str">
        <f aca="false">IF($C281="","",IFERROR(INDEX(商品マスタ!$D$6:$D$1005,MATCH($C281,商品マスタ!$B$6:$B$1005,0)),IFERROR(INDEX(①今日の在庫を貼る!$H$6:$H$10005,MATCH($C281,①今日の在庫を貼る!$I$6:$I$10005,0)),IFERROR(INDEX(月1回_前回の在庫を貼る!$H$6:$H$10005,MATCH($C281,月1回_前回の在庫を貼る!$I$6:$I$10005,0)),""))))</f>
        <v/>
      </c>
      <c r="F281" s="66" t="str">
        <f aca="false">IF($C281="","",IFERROR(INDEX(商品マスタ!$E$6:$E$1005,MATCH($C281,商品マスタ!$B$6:$B$1005,0)),IFERROR(INDEX(①今日の在庫を貼る!$E$6:$E$10005,MATCH($C281,①今日の在庫を貼る!$I$6:$I$10005,0)),IFERROR(INDEX(月1回_前回の在庫を貼る!$E$6:$E$10005,MATCH($C281,月1回_前回の在庫を貼る!$I$6:$I$10005,0)),""))))</f>
        <v/>
      </c>
      <c r="G281" s="69" t="str">
        <f aca="false">IF($C281="","",IFERROR(INDEX(商品マスタ!$F$6:$F$1005,MATCH($C281,商品マスタ!$B$6:$B$1005,0)),IFERROR(INDEX(①今日の在庫を貼る!$K$6:$K$10005,MATCH($C281,①今日の在庫を貼る!$I$6:$I$10005,0)),IFERROR(INDEX(月1回_前回の在庫を貼る!$K$6:$K$10005,MATCH($C281,月1回_前回の在庫を貼る!$I$6:$I$10005,0)),""))))</f>
        <v/>
      </c>
      <c r="H281" s="71" t="str">
        <f aca="false">IF($C281="","",IFERROR(INDEX(商品マスタ!$G$6:$G$1005,MATCH($C281,商品マスタ!$B$6:$B$1005,0)),IFERROR(INDEX(①今日の在庫を貼る!$Q$6:$Q$10005,MATCH($C281,①今日の在庫を貼る!$I$6:$I$10005,0)),IFERROR(INDEX(月1回_前回の在庫を貼る!$Q$6:$Q$10005,MATCH($C281,月1回_前回の在庫を貼る!$I$6:$I$10005,0)),""))))</f>
        <v/>
      </c>
      <c r="I281" s="66" t="str">
        <f aca="false">IF($C281="","",IFERROR(INDEX(商品マスタ!$H$6:$H$1005,MATCH($C281,商品マスタ!$B$6:$B$1005,0)),3))</f>
        <v/>
      </c>
      <c r="J281" s="66" t="str">
        <f aca="false">IF($C281="","",MAX(1,IFERROR(INDEX(商品マスタ!$I$6:$I$1005,MATCH($C281,商品マスタ!$B$6:$B$1005,0)),1)))</f>
        <v/>
      </c>
      <c r="K281" s="69" t="str">
        <f aca="false">IF($C281="","",SUMIFS(①今日の在庫を貼る!$N$6:$N$10005,①今日の在庫を貼る!$B$6:$B$10005,'設定（最初に1回）'!$C$4,①今日の在庫を貼る!$I$6:$I$10005,$C281))</f>
        <v/>
      </c>
      <c r="L281" s="69" t="str">
        <f aca="false">IF($C281="","",SUMIFS(月1回_前回の在庫を貼る!$N$6:$N$10005,月1回_前回の在庫を貼る!$B$6:$B$10005,'設定（最初に1回）'!$C$4,月1回_前回の在庫を貼る!$I$6:$I$10005,$C281))</f>
        <v/>
      </c>
      <c r="M281" s="69" t="str">
        <f aca="false">IF($C281="","",IF(OR('設定（最初に1回）'!$C$6="",'設定（最初に1回）'!$C$7=""),0,SUMIFS(発注管理!$S$6:$S$1005,発注管理!$C$6:$C$1005,'設定（最初に1回）'!$C$4,発注管理!$F$6:$F$1005,$C281,発注管理!$R$6:$R$1005,"&gt;="&amp;'設定（最初に1回）'!$C$7,発注管理!$R$6:$R$1005,"&lt;="&amp;'設定（最初に1回）'!$C$6)))</f>
        <v/>
      </c>
      <c r="N281" s="69" t="str">
        <f aca="false">IF(OR($C281="",'設定（最初に1回）'!$C$15=0),"",$L281+$M281-$K281)</f>
        <v/>
      </c>
      <c r="O281" s="143" t="str">
        <f aca="false">IF(OR($N281="",'設定（最初に1回）'!$C$8="",'設定（最初に1回）'!$C$8&lt;=0),"",MAX(0,$N281)/'設定（最初に1回）'!$C$8)</f>
        <v/>
      </c>
      <c r="P281" s="143" t="str">
        <f aca="false">IF($C281="","",IFERROR(INDEX(商品マスタ!$M$6:$N$1005,MATCH($C281,商品マスタ!$B$6:$B$1005,0),MATCH("PI値 "&amp;'設定（最初に1回）'!$C$11,商品マスタ!$M$5:$N$5,0)),""))</f>
        <v/>
      </c>
      <c r="Q281" s="143" t="str">
        <f aca="false">IF(OR($C281="",$P281="",$P281=0,(N($I281)+N($AG281))&lt;=0),"",IFERROR(SUMIFS(随時_動員を入れる!$G$8:$G$97,随時_動員を入れる!$B$8:$B$97,"&gt;="&amp;'設定（最初に1回）'!$C$6,随時_動員を入れる!$B$8:$B$97,"&lt;="&amp;'設定（最初に1回）'!$C$6+(N($I281)+N($AG281))-1)/(N($I281)+N($AG281)),0)*$P281/100)</f>
        <v/>
      </c>
      <c r="R281" s="69" t="str">
        <f aca="false">IF($C281="","",SUMIFS(①今日の在庫を貼る!$O$6:$O$10005,①今日の在庫を貼る!$B$6:$B$10005,'設定（最初に1回）'!$C$4,①今日の在庫を貼る!$I$6:$I$10005,$C281))</f>
        <v/>
      </c>
      <c r="S281" s="143" t="str">
        <f aca="false">IF($C281="","",IF('設定（最初に1回）'!$C$9="実績消費",N($O281),IF('設定（最初に1回）'!$C$9="PI値予測",N($Q281),MAX(N($O281),N($Q281)))))</f>
        <v/>
      </c>
      <c r="T281" s="67" t="str">
        <f aca="false">IF(OR($S281="",$S281&lt;=0),"",$K281/$S281)</f>
        <v/>
      </c>
      <c r="U281" s="69" t="str">
        <f aca="false">IF($S281="","",ROUNDUP(N($S281)*'設定（最初に1回）'!$C$12,0))</f>
        <v/>
      </c>
      <c r="V281" s="69" t="str">
        <f aca="false">IF($C281="","",ROUNDUP(N($S281)*(N($I281)+N($AG281))+N($U281),0))</f>
        <v/>
      </c>
      <c r="W281" s="69" t="str">
        <f aca="false">IF($C281="","",SUMIFS(発注管理!$L$6:$L$1005,発注管理!$C$6:$C$1005,'設定（最初に1回）'!$C$4,発注管理!$F$6:$F$1005,$C281,発注管理!$Q$6:$Q$1005,"発注済"))</f>
        <v/>
      </c>
      <c r="X281" s="69" t="str">
        <f aca="false">IF($C281="","",MAX(0,N($V281)-N($K281)-N($W281)))</f>
        <v/>
      </c>
      <c r="Y281" s="147" t="str">
        <f aca="false">IF($C281="","",IF(N($X281)&lt;=0,0,CEILING($X281/MAX(1,N($G281)),MAX(1,N($J281)))))</f>
        <v/>
      </c>
      <c r="Z281" s="138" t="str">
        <f aca="false">IF($C281="","",IF(N($Y281)&gt;0,"要発注","正常"))</f>
        <v/>
      </c>
      <c r="AA281" s="71" t="str">
        <f aca="false">IF($C281="","",N($K281)*N($H281))</f>
        <v/>
      </c>
      <c r="AB281" s="66" t="str">
        <f aca="false">IF($C281="","",_xlfn.TEXTJOIN(" / ",TRUE(),IF(COUNTIF(商品マスタ!$B$6:$B$1005,$C281)=0,"マスタ未登録",""),IF(COUNTIFS(月1回_前回の在庫を貼る!$B$6:$B$10005,'設定（最初に1回）'!$C$4,月1回_前回の在庫を貼る!$I$6:$I$10005,$C281)=0,"新商品",""),IF(COUNTIFS(①今日の在庫を貼る!$B$6:$B$10005,'設定（最初に1回）'!$C$4,①今日の在庫を貼る!$I$6:$I$10005,$C281)=0,"終売候補",""),IF(N($K281)&lt;0,"在庫マイナス",""),IF(AND('設定（最初に1回）'!$C$9="PI値予測",$P281=""),"PI値未設定","")))</f>
        <v/>
      </c>
      <c r="AC281" s="71" t="n">
        <f aca="false">N($Y281)*N($H281)</f>
        <v>0</v>
      </c>
      <c r="AD281" s="66" t="str">
        <f aca="false">IF($C281="","",IFERROR(INDEX(商品マスタ!$K$6:$K$1005,MATCH($C281,商品マスタ!$B$6:$B$1005,0)),"常温"))</f>
        <v/>
      </c>
      <c r="AE281" s="69" t="str">
        <f aca="false">IF($C281="","",MAX(0,ROUNDUP(N($K281)/MAX(1,N($G281)),0)))</f>
        <v/>
      </c>
      <c r="AF281" s="66" t="str">
        <f aca="false">IF($C281="","",IFERROR(INDEX(商品マスタ!$L$6:$L$1005,MATCH($C281,商品マスタ!$B$6:$B$1005,0)),""))</f>
        <v/>
      </c>
      <c r="AG281" s="143" t="str">
        <f aca="false">IF($C281="","",IFERROR(INDEX(定数マスタ!$S$110:$S$119,MATCH($AF281,定数マスタ!$J$110:$J$119,0)),N('設定（最初に1回）'!$C$13)))</f>
        <v/>
      </c>
      <c r="AH281" s="66" t="n">
        <f aca="false">IF(AND(N($K281)&gt;0,N($Y281)&gt;0),N($Y281),0)</f>
        <v>0</v>
      </c>
    </row>
    <row r="282" customFormat="false" ht="15" hidden="false" customHeight="false" outlineLevel="0" collapsed="false">
      <c r="B282" s="66" t="n">
        <v>277</v>
      </c>
      <c r="C282" s="66" t="str">
        <f aca="false">IFERROR(IF($B282&lt;=MAX(①今日の在庫を貼る!$U$6:$U$10005),INDEX(①今日の在庫を貼る!$I$6:$I$10005,MATCH($B282,①今日の在庫を貼る!$U$6:$U$10005,0)),INDEX(月1回_前回の在庫を貼る!$I$6:$I$10005,MATCH($B282-MAX(①今日の在庫を貼る!$U$6:$U$10005),月1回_前回の在庫を貼る!$U$6:$U$10005,0))),"")</f>
        <v/>
      </c>
      <c r="D282" s="66" t="str">
        <f aca="false">IF($C282="","",IFERROR(INDEX(商品マスタ!$C$6:$C$1005,MATCH($C282,商品マスタ!$B$6:$B$1005,0)),IFERROR(INDEX(①今日の在庫を貼る!$J$6:$J$10005,MATCH($C282,①今日の在庫を貼る!$I$6:$I$10005,0)),IFERROR(INDEX(月1回_前回の在庫を貼る!$J$6:$J$10005,MATCH($C282,月1回_前回の在庫を貼る!$I$6:$I$10005,0)),""))))</f>
        <v/>
      </c>
      <c r="E282" s="66" t="str">
        <f aca="false">IF($C282="","",IFERROR(INDEX(商品マスタ!$D$6:$D$1005,MATCH($C282,商品マスタ!$B$6:$B$1005,0)),IFERROR(INDEX(①今日の在庫を貼る!$H$6:$H$10005,MATCH($C282,①今日の在庫を貼る!$I$6:$I$10005,0)),IFERROR(INDEX(月1回_前回の在庫を貼る!$H$6:$H$10005,MATCH($C282,月1回_前回の在庫を貼る!$I$6:$I$10005,0)),""))))</f>
        <v/>
      </c>
      <c r="F282" s="66" t="str">
        <f aca="false">IF($C282="","",IFERROR(INDEX(商品マスタ!$E$6:$E$1005,MATCH($C282,商品マスタ!$B$6:$B$1005,0)),IFERROR(INDEX(①今日の在庫を貼る!$E$6:$E$10005,MATCH($C282,①今日の在庫を貼る!$I$6:$I$10005,0)),IFERROR(INDEX(月1回_前回の在庫を貼る!$E$6:$E$10005,MATCH($C282,月1回_前回の在庫を貼る!$I$6:$I$10005,0)),""))))</f>
        <v/>
      </c>
      <c r="G282" s="69" t="str">
        <f aca="false">IF($C282="","",IFERROR(INDEX(商品マスタ!$F$6:$F$1005,MATCH($C282,商品マスタ!$B$6:$B$1005,0)),IFERROR(INDEX(①今日の在庫を貼る!$K$6:$K$10005,MATCH($C282,①今日の在庫を貼る!$I$6:$I$10005,0)),IFERROR(INDEX(月1回_前回の在庫を貼る!$K$6:$K$10005,MATCH($C282,月1回_前回の在庫を貼る!$I$6:$I$10005,0)),""))))</f>
        <v/>
      </c>
      <c r="H282" s="71" t="str">
        <f aca="false">IF($C282="","",IFERROR(INDEX(商品マスタ!$G$6:$G$1005,MATCH($C282,商品マスタ!$B$6:$B$1005,0)),IFERROR(INDEX(①今日の在庫を貼る!$Q$6:$Q$10005,MATCH($C282,①今日の在庫を貼る!$I$6:$I$10005,0)),IFERROR(INDEX(月1回_前回の在庫を貼る!$Q$6:$Q$10005,MATCH($C282,月1回_前回の在庫を貼る!$I$6:$I$10005,0)),""))))</f>
        <v/>
      </c>
      <c r="I282" s="66" t="str">
        <f aca="false">IF($C282="","",IFERROR(INDEX(商品マスタ!$H$6:$H$1005,MATCH($C282,商品マスタ!$B$6:$B$1005,0)),3))</f>
        <v/>
      </c>
      <c r="J282" s="66" t="str">
        <f aca="false">IF($C282="","",MAX(1,IFERROR(INDEX(商品マスタ!$I$6:$I$1005,MATCH($C282,商品マスタ!$B$6:$B$1005,0)),1)))</f>
        <v/>
      </c>
      <c r="K282" s="69" t="str">
        <f aca="false">IF($C282="","",SUMIFS(①今日の在庫を貼る!$N$6:$N$10005,①今日の在庫を貼る!$B$6:$B$10005,'設定（最初に1回）'!$C$4,①今日の在庫を貼る!$I$6:$I$10005,$C282))</f>
        <v/>
      </c>
      <c r="L282" s="69" t="str">
        <f aca="false">IF($C282="","",SUMIFS(月1回_前回の在庫を貼る!$N$6:$N$10005,月1回_前回の在庫を貼る!$B$6:$B$10005,'設定（最初に1回）'!$C$4,月1回_前回の在庫を貼る!$I$6:$I$10005,$C282))</f>
        <v/>
      </c>
      <c r="M282" s="69" t="str">
        <f aca="false">IF($C282="","",IF(OR('設定（最初に1回）'!$C$6="",'設定（最初に1回）'!$C$7=""),0,SUMIFS(発注管理!$S$6:$S$1005,発注管理!$C$6:$C$1005,'設定（最初に1回）'!$C$4,発注管理!$F$6:$F$1005,$C282,発注管理!$R$6:$R$1005,"&gt;="&amp;'設定（最初に1回）'!$C$7,発注管理!$R$6:$R$1005,"&lt;="&amp;'設定（最初に1回）'!$C$6)))</f>
        <v/>
      </c>
      <c r="N282" s="69" t="str">
        <f aca="false">IF(OR($C282="",'設定（最初に1回）'!$C$15=0),"",$L282+$M282-$K282)</f>
        <v/>
      </c>
      <c r="O282" s="143" t="str">
        <f aca="false">IF(OR($N282="",'設定（最初に1回）'!$C$8="",'設定（最初に1回）'!$C$8&lt;=0),"",MAX(0,$N282)/'設定（最初に1回）'!$C$8)</f>
        <v/>
      </c>
      <c r="P282" s="143" t="str">
        <f aca="false">IF($C282="","",IFERROR(INDEX(商品マスタ!$M$6:$N$1005,MATCH($C282,商品マスタ!$B$6:$B$1005,0),MATCH("PI値 "&amp;'設定（最初に1回）'!$C$11,商品マスタ!$M$5:$N$5,0)),""))</f>
        <v/>
      </c>
      <c r="Q282" s="143" t="str">
        <f aca="false">IF(OR($C282="",$P282="",$P282=0,(N($I282)+N($AG282))&lt;=0),"",IFERROR(SUMIFS(随時_動員を入れる!$G$8:$G$97,随時_動員を入れる!$B$8:$B$97,"&gt;="&amp;'設定（最初に1回）'!$C$6,随時_動員を入れる!$B$8:$B$97,"&lt;="&amp;'設定（最初に1回）'!$C$6+(N($I282)+N($AG282))-1)/(N($I282)+N($AG282)),0)*$P282/100)</f>
        <v/>
      </c>
      <c r="R282" s="69" t="str">
        <f aca="false">IF($C282="","",SUMIFS(①今日の在庫を貼る!$O$6:$O$10005,①今日の在庫を貼る!$B$6:$B$10005,'設定（最初に1回）'!$C$4,①今日の在庫を貼る!$I$6:$I$10005,$C282))</f>
        <v/>
      </c>
      <c r="S282" s="143" t="str">
        <f aca="false">IF($C282="","",IF('設定（最初に1回）'!$C$9="実績消費",N($O282),IF('設定（最初に1回）'!$C$9="PI値予測",N($Q282),MAX(N($O282),N($Q282)))))</f>
        <v/>
      </c>
      <c r="T282" s="67" t="str">
        <f aca="false">IF(OR($S282="",$S282&lt;=0),"",$K282/$S282)</f>
        <v/>
      </c>
      <c r="U282" s="69" t="str">
        <f aca="false">IF($S282="","",ROUNDUP(N($S282)*'設定（最初に1回）'!$C$12,0))</f>
        <v/>
      </c>
      <c r="V282" s="69" t="str">
        <f aca="false">IF($C282="","",ROUNDUP(N($S282)*(N($I282)+N($AG282))+N($U282),0))</f>
        <v/>
      </c>
      <c r="W282" s="69" t="str">
        <f aca="false">IF($C282="","",SUMIFS(発注管理!$L$6:$L$1005,発注管理!$C$6:$C$1005,'設定（最初に1回）'!$C$4,発注管理!$F$6:$F$1005,$C282,発注管理!$Q$6:$Q$1005,"発注済"))</f>
        <v/>
      </c>
      <c r="X282" s="69" t="str">
        <f aca="false">IF($C282="","",MAX(0,N($V282)-N($K282)-N($W282)))</f>
        <v/>
      </c>
      <c r="Y282" s="147" t="str">
        <f aca="false">IF($C282="","",IF(N($X282)&lt;=0,0,CEILING($X282/MAX(1,N($G282)),MAX(1,N($J282)))))</f>
        <v/>
      </c>
      <c r="Z282" s="138" t="str">
        <f aca="false">IF($C282="","",IF(N($Y282)&gt;0,"要発注","正常"))</f>
        <v/>
      </c>
      <c r="AA282" s="71" t="str">
        <f aca="false">IF($C282="","",N($K282)*N($H282))</f>
        <v/>
      </c>
      <c r="AB282" s="66" t="str">
        <f aca="false">IF($C282="","",_xlfn.TEXTJOIN(" / ",TRUE(),IF(COUNTIF(商品マスタ!$B$6:$B$1005,$C282)=0,"マスタ未登録",""),IF(COUNTIFS(月1回_前回の在庫を貼る!$B$6:$B$10005,'設定（最初に1回）'!$C$4,月1回_前回の在庫を貼る!$I$6:$I$10005,$C282)=0,"新商品",""),IF(COUNTIFS(①今日の在庫を貼る!$B$6:$B$10005,'設定（最初に1回）'!$C$4,①今日の在庫を貼る!$I$6:$I$10005,$C282)=0,"終売候補",""),IF(N($K282)&lt;0,"在庫マイナス",""),IF(AND('設定（最初に1回）'!$C$9="PI値予測",$P282=""),"PI値未設定","")))</f>
        <v/>
      </c>
      <c r="AC282" s="71" t="n">
        <f aca="false">N($Y282)*N($H282)</f>
        <v>0</v>
      </c>
      <c r="AD282" s="66" t="str">
        <f aca="false">IF($C282="","",IFERROR(INDEX(商品マスタ!$K$6:$K$1005,MATCH($C282,商品マスタ!$B$6:$B$1005,0)),"常温"))</f>
        <v/>
      </c>
      <c r="AE282" s="69" t="str">
        <f aca="false">IF($C282="","",MAX(0,ROUNDUP(N($K282)/MAX(1,N($G282)),0)))</f>
        <v/>
      </c>
      <c r="AF282" s="66" t="str">
        <f aca="false">IF($C282="","",IFERROR(INDEX(商品マスタ!$L$6:$L$1005,MATCH($C282,商品マスタ!$B$6:$B$1005,0)),""))</f>
        <v/>
      </c>
      <c r="AG282" s="143" t="str">
        <f aca="false">IF($C282="","",IFERROR(INDEX(定数マスタ!$S$110:$S$119,MATCH($AF282,定数マスタ!$J$110:$J$119,0)),N('設定（最初に1回）'!$C$13)))</f>
        <v/>
      </c>
      <c r="AH282" s="66" t="n">
        <f aca="false">IF(AND(N($K282)&gt;0,N($Y282)&gt;0),N($Y282),0)</f>
        <v>0</v>
      </c>
    </row>
    <row r="283" customFormat="false" ht="15" hidden="false" customHeight="false" outlineLevel="0" collapsed="false">
      <c r="B283" s="66" t="n">
        <v>278</v>
      </c>
      <c r="C283" s="66" t="str">
        <f aca="false">IFERROR(IF($B283&lt;=MAX(①今日の在庫を貼る!$U$6:$U$10005),INDEX(①今日の在庫を貼る!$I$6:$I$10005,MATCH($B283,①今日の在庫を貼る!$U$6:$U$10005,0)),INDEX(月1回_前回の在庫を貼る!$I$6:$I$10005,MATCH($B283-MAX(①今日の在庫を貼る!$U$6:$U$10005),月1回_前回の在庫を貼る!$U$6:$U$10005,0))),"")</f>
        <v/>
      </c>
      <c r="D283" s="66" t="str">
        <f aca="false">IF($C283="","",IFERROR(INDEX(商品マスタ!$C$6:$C$1005,MATCH($C283,商品マスタ!$B$6:$B$1005,0)),IFERROR(INDEX(①今日の在庫を貼る!$J$6:$J$10005,MATCH($C283,①今日の在庫を貼る!$I$6:$I$10005,0)),IFERROR(INDEX(月1回_前回の在庫を貼る!$J$6:$J$10005,MATCH($C283,月1回_前回の在庫を貼る!$I$6:$I$10005,0)),""))))</f>
        <v/>
      </c>
      <c r="E283" s="66" t="str">
        <f aca="false">IF($C283="","",IFERROR(INDEX(商品マスタ!$D$6:$D$1005,MATCH($C283,商品マスタ!$B$6:$B$1005,0)),IFERROR(INDEX(①今日の在庫を貼る!$H$6:$H$10005,MATCH($C283,①今日の在庫を貼る!$I$6:$I$10005,0)),IFERROR(INDEX(月1回_前回の在庫を貼る!$H$6:$H$10005,MATCH($C283,月1回_前回の在庫を貼る!$I$6:$I$10005,0)),""))))</f>
        <v/>
      </c>
      <c r="F283" s="66" t="str">
        <f aca="false">IF($C283="","",IFERROR(INDEX(商品マスタ!$E$6:$E$1005,MATCH($C283,商品マスタ!$B$6:$B$1005,0)),IFERROR(INDEX(①今日の在庫を貼る!$E$6:$E$10005,MATCH($C283,①今日の在庫を貼る!$I$6:$I$10005,0)),IFERROR(INDEX(月1回_前回の在庫を貼る!$E$6:$E$10005,MATCH($C283,月1回_前回の在庫を貼る!$I$6:$I$10005,0)),""))))</f>
        <v/>
      </c>
      <c r="G283" s="69" t="str">
        <f aca="false">IF($C283="","",IFERROR(INDEX(商品マスタ!$F$6:$F$1005,MATCH($C283,商品マスタ!$B$6:$B$1005,0)),IFERROR(INDEX(①今日の在庫を貼る!$K$6:$K$10005,MATCH($C283,①今日の在庫を貼る!$I$6:$I$10005,0)),IFERROR(INDEX(月1回_前回の在庫を貼る!$K$6:$K$10005,MATCH($C283,月1回_前回の在庫を貼る!$I$6:$I$10005,0)),""))))</f>
        <v/>
      </c>
      <c r="H283" s="71" t="str">
        <f aca="false">IF($C283="","",IFERROR(INDEX(商品マスタ!$G$6:$G$1005,MATCH($C283,商品マスタ!$B$6:$B$1005,0)),IFERROR(INDEX(①今日の在庫を貼る!$Q$6:$Q$10005,MATCH($C283,①今日の在庫を貼る!$I$6:$I$10005,0)),IFERROR(INDEX(月1回_前回の在庫を貼る!$Q$6:$Q$10005,MATCH($C283,月1回_前回の在庫を貼る!$I$6:$I$10005,0)),""))))</f>
        <v/>
      </c>
      <c r="I283" s="66" t="str">
        <f aca="false">IF($C283="","",IFERROR(INDEX(商品マスタ!$H$6:$H$1005,MATCH($C283,商品マスタ!$B$6:$B$1005,0)),3))</f>
        <v/>
      </c>
      <c r="J283" s="66" t="str">
        <f aca="false">IF($C283="","",MAX(1,IFERROR(INDEX(商品マスタ!$I$6:$I$1005,MATCH($C283,商品マスタ!$B$6:$B$1005,0)),1)))</f>
        <v/>
      </c>
      <c r="K283" s="69" t="str">
        <f aca="false">IF($C283="","",SUMIFS(①今日の在庫を貼る!$N$6:$N$10005,①今日の在庫を貼る!$B$6:$B$10005,'設定（最初に1回）'!$C$4,①今日の在庫を貼る!$I$6:$I$10005,$C283))</f>
        <v/>
      </c>
      <c r="L283" s="69" t="str">
        <f aca="false">IF($C283="","",SUMIFS(月1回_前回の在庫を貼る!$N$6:$N$10005,月1回_前回の在庫を貼る!$B$6:$B$10005,'設定（最初に1回）'!$C$4,月1回_前回の在庫を貼る!$I$6:$I$10005,$C283))</f>
        <v/>
      </c>
      <c r="M283" s="69" t="str">
        <f aca="false">IF($C283="","",IF(OR('設定（最初に1回）'!$C$6="",'設定（最初に1回）'!$C$7=""),0,SUMIFS(発注管理!$S$6:$S$1005,発注管理!$C$6:$C$1005,'設定（最初に1回）'!$C$4,発注管理!$F$6:$F$1005,$C283,発注管理!$R$6:$R$1005,"&gt;="&amp;'設定（最初に1回）'!$C$7,発注管理!$R$6:$R$1005,"&lt;="&amp;'設定（最初に1回）'!$C$6)))</f>
        <v/>
      </c>
      <c r="N283" s="69" t="str">
        <f aca="false">IF(OR($C283="",'設定（最初に1回）'!$C$15=0),"",$L283+$M283-$K283)</f>
        <v/>
      </c>
      <c r="O283" s="143" t="str">
        <f aca="false">IF(OR($N283="",'設定（最初に1回）'!$C$8="",'設定（最初に1回）'!$C$8&lt;=0),"",MAX(0,$N283)/'設定（最初に1回）'!$C$8)</f>
        <v/>
      </c>
      <c r="P283" s="143" t="str">
        <f aca="false">IF($C283="","",IFERROR(INDEX(商品マスタ!$M$6:$N$1005,MATCH($C283,商品マスタ!$B$6:$B$1005,0),MATCH("PI値 "&amp;'設定（最初に1回）'!$C$11,商品マスタ!$M$5:$N$5,0)),""))</f>
        <v/>
      </c>
      <c r="Q283" s="143" t="str">
        <f aca="false">IF(OR($C283="",$P283="",$P283=0,(N($I283)+N($AG283))&lt;=0),"",IFERROR(SUMIFS(随時_動員を入れる!$G$8:$G$97,随時_動員を入れる!$B$8:$B$97,"&gt;="&amp;'設定（最初に1回）'!$C$6,随時_動員を入れる!$B$8:$B$97,"&lt;="&amp;'設定（最初に1回）'!$C$6+(N($I283)+N($AG283))-1)/(N($I283)+N($AG283)),0)*$P283/100)</f>
        <v/>
      </c>
      <c r="R283" s="69" t="str">
        <f aca="false">IF($C283="","",SUMIFS(①今日の在庫を貼る!$O$6:$O$10005,①今日の在庫を貼る!$B$6:$B$10005,'設定（最初に1回）'!$C$4,①今日の在庫を貼る!$I$6:$I$10005,$C283))</f>
        <v/>
      </c>
      <c r="S283" s="143" t="str">
        <f aca="false">IF($C283="","",IF('設定（最初に1回）'!$C$9="実績消費",N($O283),IF('設定（最初に1回）'!$C$9="PI値予測",N($Q283),MAX(N($O283),N($Q283)))))</f>
        <v/>
      </c>
      <c r="T283" s="67" t="str">
        <f aca="false">IF(OR($S283="",$S283&lt;=0),"",$K283/$S283)</f>
        <v/>
      </c>
      <c r="U283" s="69" t="str">
        <f aca="false">IF($S283="","",ROUNDUP(N($S283)*'設定（最初に1回）'!$C$12,0))</f>
        <v/>
      </c>
      <c r="V283" s="69" t="str">
        <f aca="false">IF($C283="","",ROUNDUP(N($S283)*(N($I283)+N($AG283))+N($U283),0))</f>
        <v/>
      </c>
      <c r="W283" s="69" t="str">
        <f aca="false">IF($C283="","",SUMIFS(発注管理!$L$6:$L$1005,発注管理!$C$6:$C$1005,'設定（最初に1回）'!$C$4,発注管理!$F$6:$F$1005,$C283,発注管理!$Q$6:$Q$1005,"発注済"))</f>
        <v/>
      </c>
      <c r="X283" s="69" t="str">
        <f aca="false">IF($C283="","",MAX(0,N($V283)-N($K283)-N($W283)))</f>
        <v/>
      </c>
      <c r="Y283" s="147" t="str">
        <f aca="false">IF($C283="","",IF(N($X283)&lt;=0,0,CEILING($X283/MAX(1,N($G283)),MAX(1,N($J283)))))</f>
        <v/>
      </c>
      <c r="Z283" s="138" t="str">
        <f aca="false">IF($C283="","",IF(N($Y283)&gt;0,"要発注","正常"))</f>
        <v/>
      </c>
      <c r="AA283" s="71" t="str">
        <f aca="false">IF($C283="","",N($K283)*N($H283))</f>
        <v/>
      </c>
      <c r="AB283" s="66" t="str">
        <f aca="false">IF($C283="","",_xlfn.TEXTJOIN(" / ",TRUE(),IF(COUNTIF(商品マスタ!$B$6:$B$1005,$C283)=0,"マスタ未登録",""),IF(COUNTIFS(月1回_前回の在庫を貼る!$B$6:$B$10005,'設定（最初に1回）'!$C$4,月1回_前回の在庫を貼る!$I$6:$I$10005,$C283)=0,"新商品",""),IF(COUNTIFS(①今日の在庫を貼る!$B$6:$B$10005,'設定（最初に1回）'!$C$4,①今日の在庫を貼る!$I$6:$I$10005,$C283)=0,"終売候補",""),IF(N($K283)&lt;0,"在庫マイナス",""),IF(AND('設定（最初に1回）'!$C$9="PI値予測",$P283=""),"PI値未設定","")))</f>
        <v/>
      </c>
      <c r="AC283" s="71" t="n">
        <f aca="false">N($Y283)*N($H283)</f>
        <v>0</v>
      </c>
      <c r="AD283" s="66" t="str">
        <f aca="false">IF($C283="","",IFERROR(INDEX(商品マスタ!$K$6:$K$1005,MATCH($C283,商品マスタ!$B$6:$B$1005,0)),"常温"))</f>
        <v/>
      </c>
      <c r="AE283" s="69" t="str">
        <f aca="false">IF($C283="","",MAX(0,ROUNDUP(N($K283)/MAX(1,N($G283)),0)))</f>
        <v/>
      </c>
      <c r="AF283" s="66" t="str">
        <f aca="false">IF($C283="","",IFERROR(INDEX(商品マスタ!$L$6:$L$1005,MATCH($C283,商品マスタ!$B$6:$B$1005,0)),""))</f>
        <v/>
      </c>
      <c r="AG283" s="143" t="str">
        <f aca="false">IF($C283="","",IFERROR(INDEX(定数マスタ!$S$110:$S$119,MATCH($AF283,定数マスタ!$J$110:$J$119,0)),N('設定（最初に1回）'!$C$13)))</f>
        <v/>
      </c>
      <c r="AH283" s="66" t="n">
        <f aca="false">IF(AND(N($K283)&gt;0,N($Y283)&gt;0),N($Y283),0)</f>
        <v>0</v>
      </c>
    </row>
    <row r="284" customFormat="false" ht="15" hidden="false" customHeight="false" outlineLevel="0" collapsed="false">
      <c r="B284" s="66" t="n">
        <v>279</v>
      </c>
      <c r="C284" s="66" t="str">
        <f aca="false">IFERROR(IF($B284&lt;=MAX(①今日の在庫を貼る!$U$6:$U$10005),INDEX(①今日の在庫を貼る!$I$6:$I$10005,MATCH($B284,①今日の在庫を貼る!$U$6:$U$10005,0)),INDEX(月1回_前回の在庫を貼る!$I$6:$I$10005,MATCH($B284-MAX(①今日の在庫を貼る!$U$6:$U$10005),月1回_前回の在庫を貼る!$U$6:$U$10005,0))),"")</f>
        <v/>
      </c>
      <c r="D284" s="66" t="str">
        <f aca="false">IF($C284="","",IFERROR(INDEX(商品マスタ!$C$6:$C$1005,MATCH($C284,商品マスタ!$B$6:$B$1005,0)),IFERROR(INDEX(①今日の在庫を貼る!$J$6:$J$10005,MATCH($C284,①今日の在庫を貼る!$I$6:$I$10005,0)),IFERROR(INDEX(月1回_前回の在庫を貼る!$J$6:$J$10005,MATCH($C284,月1回_前回の在庫を貼る!$I$6:$I$10005,0)),""))))</f>
        <v/>
      </c>
      <c r="E284" s="66" t="str">
        <f aca="false">IF($C284="","",IFERROR(INDEX(商品マスタ!$D$6:$D$1005,MATCH($C284,商品マスタ!$B$6:$B$1005,0)),IFERROR(INDEX(①今日の在庫を貼る!$H$6:$H$10005,MATCH($C284,①今日の在庫を貼る!$I$6:$I$10005,0)),IFERROR(INDEX(月1回_前回の在庫を貼る!$H$6:$H$10005,MATCH($C284,月1回_前回の在庫を貼る!$I$6:$I$10005,0)),""))))</f>
        <v/>
      </c>
      <c r="F284" s="66" t="str">
        <f aca="false">IF($C284="","",IFERROR(INDEX(商品マスタ!$E$6:$E$1005,MATCH($C284,商品マスタ!$B$6:$B$1005,0)),IFERROR(INDEX(①今日の在庫を貼る!$E$6:$E$10005,MATCH($C284,①今日の在庫を貼る!$I$6:$I$10005,0)),IFERROR(INDEX(月1回_前回の在庫を貼る!$E$6:$E$10005,MATCH($C284,月1回_前回の在庫を貼る!$I$6:$I$10005,0)),""))))</f>
        <v/>
      </c>
      <c r="G284" s="69" t="str">
        <f aca="false">IF($C284="","",IFERROR(INDEX(商品マスタ!$F$6:$F$1005,MATCH($C284,商品マスタ!$B$6:$B$1005,0)),IFERROR(INDEX(①今日の在庫を貼る!$K$6:$K$10005,MATCH($C284,①今日の在庫を貼る!$I$6:$I$10005,0)),IFERROR(INDEX(月1回_前回の在庫を貼る!$K$6:$K$10005,MATCH($C284,月1回_前回の在庫を貼る!$I$6:$I$10005,0)),""))))</f>
        <v/>
      </c>
      <c r="H284" s="71" t="str">
        <f aca="false">IF($C284="","",IFERROR(INDEX(商品マスタ!$G$6:$G$1005,MATCH($C284,商品マスタ!$B$6:$B$1005,0)),IFERROR(INDEX(①今日の在庫を貼る!$Q$6:$Q$10005,MATCH($C284,①今日の在庫を貼る!$I$6:$I$10005,0)),IFERROR(INDEX(月1回_前回の在庫を貼る!$Q$6:$Q$10005,MATCH($C284,月1回_前回の在庫を貼る!$I$6:$I$10005,0)),""))))</f>
        <v/>
      </c>
      <c r="I284" s="66" t="str">
        <f aca="false">IF($C284="","",IFERROR(INDEX(商品マスタ!$H$6:$H$1005,MATCH($C284,商品マスタ!$B$6:$B$1005,0)),3))</f>
        <v/>
      </c>
      <c r="J284" s="66" t="str">
        <f aca="false">IF($C284="","",MAX(1,IFERROR(INDEX(商品マスタ!$I$6:$I$1005,MATCH($C284,商品マスタ!$B$6:$B$1005,0)),1)))</f>
        <v/>
      </c>
      <c r="K284" s="69" t="str">
        <f aca="false">IF($C284="","",SUMIFS(①今日の在庫を貼る!$N$6:$N$10005,①今日の在庫を貼る!$B$6:$B$10005,'設定（最初に1回）'!$C$4,①今日の在庫を貼る!$I$6:$I$10005,$C284))</f>
        <v/>
      </c>
      <c r="L284" s="69" t="str">
        <f aca="false">IF($C284="","",SUMIFS(月1回_前回の在庫を貼る!$N$6:$N$10005,月1回_前回の在庫を貼る!$B$6:$B$10005,'設定（最初に1回）'!$C$4,月1回_前回の在庫を貼る!$I$6:$I$10005,$C284))</f>
        <v/>
      </c>
      <c r="M284" s="69" t="str">
        <f aca="false">IF($C284="","",IF(OR('設定（最初に1回）'!$C$6="",'設定（最初に1回）'!$C$7=""),0,SUMIFS(発注管理!$S$6:$S$1005,発注管理!$C$6:$C$1005,'設定（最初に1回）'!$C$4,発注管理!$F$6:$F$1005,$C284,発注管理!$R$6:$R$1005,"&gt;="&amp;'設定（最初に1回）'!$C$7,発注管理!$R$6:$R$1005,"&lt;="&amp;'設定（最初に1回）'!$C$6)))</f>
        <v/>
      </c>
      <c r="N284" s="69" t="str">
        <f aca="false">IF(OR($C284="",'設定（最初に1回）'!$C$15=0),"",$L284+$M284-$K284)</f>
        <v/>
      </c>
      <c r="O284" s="143" t="str">
        <f aca="false">IF(OR($N284="",'設定（最初に1回）'!$C$8="",'設定（最初に1回）'!$C$8&lt;=0),"",MAX(0,$N284)/'設定（最初に1回）'!$C$8)</f>
        <v/>
      </c>
      <c r="P284" s="143" t="str">
        <f aca="false">IF($C284="","",IFERROR(INDEX(商品マスタ!$M$6:$N$1005,MATCH($C284,商品マスタ!$B$6:$B$1005,0),MATCH("PI値 "&amp;'設定（最初に1回）'!$C$11,商品マスタ!$M$5:$N$5,0)),""))</f>
        <v/>
      </c>
      <c r="Q284" s="143" t="str">
        <f aca="false">IF(OR($C284="",$P284="",$P284=0,(N($I284)+N($AG284))&lt;=0),"",IFERROR(SUMIFS(随時_動員を入れる!$G$8:$G$97,随時_動員を入れる!$B$8:$B$97,"&gt;="&amp;'設定（最初に1回）'!$C$6,随時_動員を入れる!$B$8:$B$97,"&lt;="&amp;'設定（最初に1回）'!$C$6+(N($I284)+N($AG284))-1)/(N($I284)+N($AG284)),0)*$P284/100)</f>
        <v/>
      </c>
      <c r="R284" s="69" t="str">
        <f aca="false">IF($C284="","",SUMIFS(①今日の在庫を貼る!$O$6:$O$10005,①今日の在庫を貼る!$B$6:$B$10005,'設定（最初に1回）'!$C$4,①今日の在庫を貼る!$I$6:$I$10005,$C284))</f>
        <v/>
      </c>
      <c r="S284" s="143" t="str">
        <f aca="false">IF($C284="","",IF('設定（最初に1回）'!$C$9="実績消費",N($O284),IF('設定（最初に1回）'!$C$9="PI値予測",N($Q284),MAX(N($O284),N($Q284)))))</f>
        <v/>
      </c>
      <c r="T284" s="67" t="str">
        <f aca="false">IF(OR($S284="",$S284&lt;=0),"",$K284/$S284)</f>
        <v/>
      </c>
      <c r="U284" s="69" t="str">
        <f aca="false">IF($S284="","",ROUNDUP(N($S284)*'設定（最初に1回）'!$C$12,0))</f>
        <v/>
      </c>
      <c r="V284" s="69" t="str">
        <f aca="false">IF($C284="","",ROUNDUP(N($S284)*(N($I284)+N($AG284))+N($U284),0))</f>
        <v/>
      </c>
      <c r="W284" s="69" t="str">
        <f aca="false">IF($C284="","",SUMIFS(発注管理!$L$6:$L$1005,発注管理!$C$6:$C$1005,'設定（最初に1回）'!$C$4,発注管理!$F$6:$F$1005,$C284,発注管理!$Q$6:$Q$1005,"発注済"))</f>
        <v/>
      </c>
      <c r="X284" s="69" t="str">
        <f aca="false">IF($C284="","",MAX(0,N($V284)-N($K284)-N($W284)))</f>
        <v/>
      </c>
      <c r="Y284" s="147" t="str">
        <f aca="false">IF($C284="","",IF(N($X284)&lt;=0,0,CEILING($X284/MAX(1,N($G284)),MAX(1,N($J284)))))</f>
        <v/>
      </c>
      <c r="Z284" s="138" t="str">
        <f aca="false">IF($C284="","",IF(N($Y284)&gt;0,"要発注","正常"))</f>
        <v/>
      </c>
      <c r="AA284" s="71" t="str">
        <f aca="false">IF($C284="","",N($K284)*N($H284))</f>
        <v/>
      </c>
      <c r="AB284" s="66" t="str">
        <f aca="false">IF($C284="","",_xlfn.TEXTJOIN(" / ",TRUE(),IF(COUNTIF(商品マスタ!$B$6:$B$1005,$C284)=0,"マスタ未登録",""),IF(COUNTIFS(月1回_前回の在庫を貼る!$B$6:$B$10005,'設定（最初に1回）'!$C$4,月1回_前回の在庫を貼る!$I$6:$I$10005,$C284)=0,"新商品",""),IF(COUNTIFS(①今日の在庫を貼る!$B$6:$B$10005,'設定（最初に1回）'!$C$4,①今日の在庫を貼る!$I$6:$I$10005,$C284)=0,"終売候補",""),IF(N($K284)&lt;0,"在庫マイナス",""),IF(AND('設定（最初に1回）'!$C$9="PI値予測",$P284=""),"PI値未設定","")))</f>
        <v/>
      </c>
      <c r="AC284" s="71" t="n">
        <f aca="false">N($Y284)*N($H284)</f>
        <v>0</v>
      </c>
      <c r="AD284" s="66" t="str">
        <f aca="false">IF($C284="","",IFERROR(INDEX(商品マスタ!$K$6:$K$1005,MATCH($C284,商品マスタ!$B$6:$B$1005,0)),"常温"))</f>
        <v/>
      </c>
      <c r="AE284" s="69" t="str">
        <f aca="false">IF($C284="","",MAX(0,ROUNDUP(N($K284)/MAX(1,N($G284)),0)))</f>
        <v/>
      </c>
      <c r="AF284" s="66" t="str">
        <f aca="false">IF($C284="","",IFERROR(INDEX(商品マスタ!$L$6:$L$1005,MATCH($C284,商品マスタ!$B$6:$B$1005,0)),""))</f>
        <v/>
      </c>
      <c r="AG284" s="143" t="str">
        <f aca="false">IF($C284="","",IFERROR(INDEX(定数マスタ!$S$110:$S$119,MATCH($AF284,定数マスタ!$J$110:$J$119,0)),N('設定（最初に1回）'!$C$13)))</f>
        <v/>
      </c>
      <c r="AH284" s="66" t="n">
        <f aca="false">IF(AND(N($K284)&gt;0,N($Y284)&gt;0),N($Y284),0)</f>
        <v>0</v>
      </c>
    </row>
    <row r="285" customFormat="false" ht="15" hidden="false" customHeight="false" outlineLevel="0" collapsed="false">
      <c r="B285" s="66" t="n">
        <v>280</v>
      </c>
      <c r="C285" s="66" t="str">
        <f aca="false">IFERROR(IF($B285&lt;=MAX(①今日の在庫を貼る!$U$6:$U$10005),INDEX(①今日の在庫を貼る!$I$6:$I$10005,MATCH($B285,①今日の在庫を貼る!$U$6:$U$10005,0)),INDEX(月1回_前回の在庫を貼る!$I$6:$I$10005,MATCH($B285-MAX(①今日の在庫を貼る!$U$6:$U$10005),月1回_前回の在庫を貼る!$U$6:$U$10005,0))),"")</f>
        <v/>
      </c>
      <c r="D285" s="66" t="str">
        <f aca="false">IF($C285="","",IFERROR(INDEX(商品マスタ!$C$6:$C$1005,MATCH($C285,商品マスタ!$B$6:$B$1005,0)),IFERROR(INDEX(①今日の在庫を貼る!$J$6:$J$10005,MATCH($C285,①今日の在庫を貼る!$I$6:$I$10005,0)),IFERROR(INDEX(月1回_前回の在庫を貼る!$J$6:$J$10005,MATCH($C285,月1回_前回の在庫を貼る!$I$6:$I$10005,0)),""))))</f>
        <v/>
      </c>
      <c r="E285" s="66" t="str">
        <f aca="false">IF($C285="","",IFERROR(INDEX(商品マスタ!$D$6:$D$1005,MATCH($C285,商品マスタ!$B$6:$B$1005,0)),IFERROR(INDEX(①今日の在庫を貼る!$H$6:$H$10005,MATCH($C285,①今日の在庫を貼る!$I$6:$I$10005,0)),IFERROR(INDEX(月1回_前回の在庫を貼る!$H$6:$H$10005,MATCH($C285,月1回_前回の在庫を貼る!$I$6:$I$10005,0)),""))))</f>
        <v/>
      </c>
      <c r="F285" s="66" t="str">
        <f aca="false">IF($C285="","",IFERROR(INDEX(商品マスタ!$E$6:$E$1005,MATCH($C285,商品マスタ!$B$6:$B$1005,0)),IFERROR(INDEX(①今日の在庫を貼る!$E$6:$E$10005,MATCH($C285,①今日の在庫を貼る!$I$6:$I$10005,0)),IFERROR(INDEX(月1回_前回の在庫を貼る!$E$6:$E$10005,MATCH($C285,月1回_前回の在庫を貼る!$I$6:$I$10005,0)),""))))</f>
        <v/>
      </c>
      <c r="G285" s="69" t="str">
        <f aca="false">IF($C285="","",IFERROR(INDEX(商品マスタ!$F$6:$F$1005,MATCH($C285,商品マスタ!$B$6:$B$1005,0)),IFERROR(INDEX(①今日の在庫を貼る!$K$6:$K$10005,MATCH($C285,①今日の在庫を貼る!$I$6:$I$10005,0)),IFERROR(INDEX(月1回_前回の在庫を貼る!$K$6:$K$10005,MATCH($C285,月1回_前回の在庫を貼る!$I$6:$I$10005,0)),""))))</f>
        <v/>
      </c>
      <c r="H285" s="71" t="str">
        <f aca="false">IF($C285="","",IFERROR(INDEX(商品マスタ!$G$6:$G$1005,MATCH($C285,商品マスタ!$B$6:$B$1005,0)),IFERROR(INDEX(①今日の在庫を貼る!$Q$6:$Q$10005,MATCH($C285,①今日の在庫を貼る!$I$6:$I$10005,0)),IFERROR(INDEX(月1回_前回の在庫を貼る!$Q$6:$Q$10005,MATCH($C285,月1回_前回の在庫を貼る!$I$6:$I$10005,0)),""))))</f>
        <v/>
      </c>
      <c r="I285" s="66" t="str">
        <f aca="false">IF($C285="","",IFERROR(INDEX(商品マスタ!$H$6:$H$1005,MATCH($C285,商品マスタ!$B$6:$B$1005,0)),3))</f>
        <v/>
      </c>
      <c r="J285" s="66" t="str">
        <f aca="false">IF($C285="","",MAX(1,IFERROR(INDEX(商品マスタ!$I$6:$I$1005,MATCH($C285,商品マスタ!$B$6:$B$1005,0)),1)))</f>
        <v/>
      </c>
      <c r="K285" s="69" t="str">
        <f aca="false">IF($C285="","",SUMIFS(①今日の在庫を貼る!$N$6:$N$10005,①今日の在庫を貼る!$B$6:$B$10005,'設定（最初に1回）'!$C$4,①今日の在庫を貼る!$I$6:$I$10005,$C285))</f>
        <v/>
      </c>
      <c r="L285" s="69" t="str">
        <f aca="false">IF($C285="","",SUMIFS(月1回_前回の在庫を貼る!$N$6:$N$10005,月1回_前回の在庫を貼る!$B$6:$B$10005,'設定（最初に1回）'!$C$4,月1回_前回の在庫を貼る!$I$6:$I$10005,$C285))</f>
        <v/>
      </c>
      <c r="M285" s="69" t="str">
        <f aca="false">IF($C285="","",IF(OR('設定（最初に1回）'!$C$6="",'設定（最初に1回）'!$C$7=""),0,SUMIFS(発注管理!$S$6:$S$1005,発注管理!$C$6:$C$1005,'設定（最初に1回）'!$C$4,発注管理!$F$6:$F$1005,$C285,発注管理!$R$6:$R$1005,"&gt;="&amp;'設定（最初に1回）'!$C$7,発注管理!$R$6:$R$1005,"&lt;="&amp;'設定（最初に1回）'!$C$6)))</f>
        <v/>
      </c>
      <c r="N285" s="69" t="str">
        <f aca="false">IF(OR($C285="",'設定（最初に1回）'!$C$15=0),"",$L285+$M285-$K285)</f>
        <v/>
      </c>
      <c r="O285" s="143" t="str">
        <f aca="false">IF(OR($N285="",'設定（最初に1回）'!$C$8="",'設定（最初に1回）'!$C$8&lt;=0),"",MAX(0,$N285)/'設定（最初に1回）'!$C$8)</f>
        <v/>
      </c>
      <c r="P285" s="143" t="str">
        <f aca="false">IF($C285="","",IFERROR(INDEX(商品マスタ!$M$6:$N$1005,MATCH($C285,商品マスタ!$B$6:$B$1005,0),MATCH("PI値 "&amp;'設定（最初に1回）'!$C$11,商品マスタ!$M$5:$N$5,0)),""))</f>
        <v/>
      </c>
      <c r="Q285" s="143" t="str">
        <f aca="false">IF(OR($C285="",$P285="",$P285=0,(N($I285)+N($AG285))&lt;=0),"",IFERROR(SUMIFS(随時_動員を入れる!$G$8:$G$97,随時_動員を入れる!$B$8:$B$97,"&gt;="&amp;'設定（最初に1回）'!$C$6,随時_動員を入れる!$B$8:$B$97,"&lt;="&amp;'設定（最初に1回）'!$C$6+(N($I285)+N($AG285))-1)/(N($I285)+N($AG285)),0)*$P285/100)</f>
        <v/>
      </c>
      <c r="R285" s="69" t="str">
        <f aca="false">IF($C285="","",SUMIFS(①今日の在庫を貼る!$O$6:$O$10005,①今日の在庫を貼る!$B$6:$B$10005,'設定（最初に1回）'!$C$4,①今日の在庫を貼る!$I$6:$I$10005,$C285))</f>
        <v/>
      </c>
      <c r="S285" s="143" t="str">
        <f aca="false">IF($C285="","",IF('設定（最初に1回）'!$C$9="実績消費",N($O285),IF('設定（最初に1回）'!$C$9="PI値予測",N($Q285),MAX(N($O285),N($Q285)))))</f>
        <v/>
      </c>
      <c r="T285" s="67" t="str">
        <f aca="false">IF(OR($S285="",$S285&lt;=0),"",$K285/$S285)</f>
        <v/>
      </c>
      <c r="U285" s="69" t="str">
        <f aca="false">IF($S285="","",ROUNDUP(N($S285)*'設定（最初に1回）'!$C$12,0))</f>
        <v/>
      </c>
      <c r="V285" s="69" t="str">
        <f aca="false">IF($C285="","",ROUNDUP(N($S285)*(N($I285)+N($AG285))+N($U285),0))</f>
        <v/>
      </c>
      <c r="W285" s="69" t="str">
        <f aca="false">IF($C285="","",SUMIFS(発注管理!$L$6:$L$1005,発注管理!$C$6:$C$1005,'設定（最初に1回）'!$C$4,発注管理!$F$6:$F$1005,$C285,発注管理!$Q$6:$Q$1005,"発注済"))</f>
        <v/>
      </c>
      <c r="X285" s="69" t="str">
        <f aca="false">IF($C285="","",MAX(0,N($V285)-N($K285)-N($W285)))</f>
        <v/>
      </c>
      <c r="Y285" s="147" t="str">
        <f aca="false">IF($C285="","",IF(N($X285)&lt;=0,0,CEILING($X285/MAX(1,N($G285)),MAX(1,N($J285)))))</f>
        <v/>
      </c>
      <c r="Z285" s="138" t="str">
        <f aca="false">IF($C285="","",IF(N($Y285)&gt;0,"要発注","正常"))</f>
        <v/>
      </c>
      <c r="AA285" s="71" t="str">
        <f aca="false">IF($C285="","",N($K285)*N($H285))</f>
        <v/>
      </c>
      <c r="AB285" s="66" t="str">
        <f aca="false">IF($C285="","",_xlfn.TEXTJOIN(" / ",TRUE(),IF(COUNTIF(商品マスタ!$B$6:$B$1005,$C285)=0,"マスタ未登録",""),IF(COUNTIFS(月1回_前回の在庫を貼る!$B$6:$B$10005,'設定（最初に1回）'!$C$4,月1回_前回の在庫を貼る!$I$6:$I$10005,$C285)=0,"新商品",""),IF(COUNTIFS(①今日の在庫を貼る!$B$6:$B$10005,'設定（最初に1回）'!$C$4,①今日の在庫を貼る!$I$6:$I$10005,$C285)=0,"終売候補",""),IF(N($K285)&lt;0,"在庫マイナス",""),IF(AND('設定（最初に1回）'!$C$9="PI値予測",$P285=""),"PI値未設定","")))</f>
        <v/>
      </c>
      <c r="AC285" s="71" t="n">
        <f aca="false">N($Y285)*N($H285)</f>
        <v>0</v>
      </c>
      <c r="AD285" s="66" t="str">
        <f aca="false">IF($C285="","",IFERROR(INDEX(商品マスタ!$K$6:$K$1005,MATCH($C285,商品マスタ!$B$6:$B$1005,0)),"常温"))</f>
        <v/>
      </c>
      <c r="AE285" s="69" t="str">
        <f aca="false">IF($C285="","",MAX(0,ROUNDUP(N($K285)/MAX(1,N($G285)),0)))</f>
        <v/>
      </c>
      <c r="AF285" s="66" t="str">
        <f aca="false">IF($C285="","",IFERROR(INDEX(商品マスタ!$L$6:$L$1005,MATCH($C285,商品マスタ!$B$6:$B$1005,0)),""))</f>
        <v/>
      </c>
      <c r="AG285" s="143" t="str">
        <f aca="false">IF($C285="","",IFERROR(INDEX(定数マスタ!$S$110:$S$119,MATCH($AF285,定数マスタ!$J$110:$J$119,0)),N('設定（最初に1回）'!$C$13)))</f>
        <v/>
      </c>
      <c r="AH285" s="66" t="n">
        <f aca="false">IF(AND(N($K285)&gt;0,N($Y285)&gt;0),N($Y285),0)</f>
        <v>0</v>
      </c>
    </row>
    <row r="286" customFormat="false" ht="15" hidden="false" customHeight="false" outlineLevel="0" collapsed="false">
      <c r="B286" s="66" t="n">
        <v>281</v>
      </c>
      <c r="C286" s="66" t="str">
        <f aca="false">IFERROR(IF($B286&lt;=MAX(①今日の在庫を貼る!$U$6:$U$10005),INDEX(①今日の在庫を貼る!$I$6:$I$10005,MATCH($B286,①今日の在庫を貼る!$U$6:$U$10005,0)),INDEX(月1回_前回の在庫を貼る!$I$6:$I$10005,MATCH($B286-MAX(①今日の在庫を貼る!$U$6:$U$10005),月1回_前回の在庫を貼る!$U$6:$U$10005,0))),"")</f>
        <v/>
      </c>
      <c r="D286" s="66" t="str">
        <f aca="false">IF($C286="","",IFERROR(INDEX(商品マスタ!$C$6:$C$1005,MATCH($C286,商品マスタ!$B$6:$B$1005,0)),IFERROR(INDEX(①今日の在庫を貼る!$J$6:$J$10005,MATCH($C286,①今日の在庫を貼る!$I$6:$I$10005,0)),IFERROR(INDEX(月1回_前回の在庫を貼る!$J$6:$J$10005,MATCH($C286,月1回_前回の在庫を貼る!$I$6:$I$10005,0)),""))))</f>
        <v/>
      </c>
      <c r="E286" s="66" t="str">
        <f aca="false">IF($C286="","",IFERROR(INDEX(商品マスタ!$D$6:$D$1005,MATCH($C286,商品マスタ!$B$6:$B$1005,0)),IFERROR(INDEX(①今日の在庫を貼る!$H$6:$H$10005,MATCH($C286,①今日の在庫を貼る!$I$6:$I$10005,0)),IFERROR(INDEX(月1回_前回の在庫を貼る!$H$6:$H$10005,MATCH($C286,月1回_前回の在庫を貼る!$I$6:$I$10005,0)),""))))</f>
        <v/>
      </c>
      <c r="F286" s="66" t="str">
        <f aca="false">IF($C286="","",IFERROR(INDEX(商品マスタ!$E$6:$E$1005,MATCH($C286,商品マスタ!$B$6:$B$1005,0)),IFERROR(INDEX(①今日の在庫を貼る!$E$6:$E$10005,MATCH($C286,①今日の在庫を貼る!$I$6:$I$10005,0)),IFERROR(INDEX(月1回_前回の在庫を貼る!$E$6:$E$10005,MATCH($C286,月1回_前回の在庫を貼る!$I$6:$I$10005,0)),""))))</f>
        <v/>
      </c>
      <c r="G286" s="69" t="str">
        <f aca="false">IF($C286="","",IFERROR(INDEX(商品マスタ!$F$6:$F$1005,MATCH($C286,商品マスタ!$B$6:$B$1005,0)),IFERROR(INDEX(①今日の在庫を貼る!$K$6:$K$10005,MATCH($C286,①今日の在庫を貼る!$I$6:$I$10005,0)),IFERROR(INDEX(月1回_前回の在庫を貼る!$K$6:$K$10005,MATCH($C286,月1回_前回の在庫を貼る!$I$6:$I$10005,0)),""))))</f>
        <v/>
      </c>
      <c r="H286" s="71" t="str">
        <f aca="false">IF($C286="","",IFERROR(INDEX(商品マスタ!$G$6:$G$1005,MATCH($C286,商品マスタ!$B$6:$B$1005,0)),IFERROR(INDEX(①今日の在庫を貼る!$Q$6:$Q$10005,MATCH($C286,①今日の在庫を貼る!$I$6:$I$10005,0)),IFERROR(INDEX(月1回_前回の在庫を貼る!$Q$6:$Q$10005,MATCH($C286,月1回_前回の在庫を貼る!$I$6:$I$10005,0)),""))))</f>
        <v/>
      </c>
      <c r="I286" s="66" t="str">
        <f aca="false">IF($C286="","",IFERROR(INDEX(商品マスタ!$H$6:$H$1005,MATCH($C286,商品マスタ!$B$6:$B$1005,0)),3))</f>
        <v/>
      </c>
      <c r="J286" s="66" t="str">
        <f aca="false">IF($C286="","",MAX(1,IFERROR(INDEX(商品マスタ!$I$6:$I$1005,MATCH($C286,商品マスタ!$B$6:$B$1005,0)),1)))</f>
        <v/>
      </c>
      <c r="K286" s="69" t="str">
        <f aca="false">IF($C286="","",SUMIFS(①今日の在庫を貼る!$N$6:$N$10005,①今日の在庫を貼る!$B$6:$B$10005,'設定（最初に1回）'!$C$4,①今日の在庫を貼る!$I$6:$I$10005,$C286))</f>
        <v/>
      </c>
      <c r="L286" s="69" t="str">
        <f aca="false">IF($C286="","",SUMIFS(月1回_前回の在庫を貼る!$N$6:$N$10005,月1回_前回の在庫を貼る!$B$6:$B$10005,'設定（最初に1回）'!$C$4,月1回_前回の在庫を貼る!$I$6:$I$10005,$C286))</f>
        <v/>
      </c>
      <c r="M286" s="69" t="str">
        <f aca="false">IF($C286="","",IF(OR('設定（最初に1回）'!$C$6="",'設定（最初に1回）'!$C$7=""),0,SUMIFS(発注管理!$S$6:$S$1005,発注管理!$C$6:$C$1005,'設定（最初に1回）'!$C$4,発注管理!$F$6:$F$1005,$C286,発注管理!$R$6:$R$1005,"&gt;="&amp;'設定（最初に1回）'!$C$7,発注管理!$R$6:$R$1005,"&lt;="&amp;'設定（最初に1回）'!$C$6)))</f>
        <v/>
      </c>
      <c r="N286" s="69" t="str">
        <f aca="false">IF(OR($C286="",'設定（最初に1回）'!$C$15=0),"",$L286+$M286-$K286)</f>
        <v/>
      </c>
      <c r="O286" s="143" t="str">
        <f aca="false">IF(OR($N286="",'設定（最初に1回）'!$C$8="",'設定（最初に1回）'!$C$8&lt;=0),"",MAX(0,$N286)/'設定（最初に1回）'!$C$8)</f>
        <v/>
      </c>
      <c r="P286" s="143" t="str">
        <f aca="false">IF($C286="","",IFERROR(INDEX(商品マスタ!$M$6:$N$1005,MATCH($C286,商品マスタ!$B$6:$B$1005,0),MATCH("PI値 "&amp;'設定（最初に1回）'!$C$11,商品マスタ!$M$5:$N$5,0)),""))</f>
        <v/>
      </c>
      <c r="Q286" s="143" t="str">
        <f aca="false">IF(OR($C286="",$P286="",$P286=0,(N($I286)+N($AG286))&lt;=0),"",IFERROR(SUMIFS(随時_動員を入れる!$G$8:$G$97,随時_動員を入れる!$B$8:$B$97,"&gt;="&amp;'設定（最初に1回）'!$C$6,随時_動員を入れる!$B$8:$B$97,"&lt;="&amp;'設定（最初に1回）'!$C$6+(N($I286)+N($AG286))-1)/(N($I286)+N($AG286)),0)*$P286/100)</f>
        <v/>
      </c>
      <c r="R286" s="69" t="str">
        <f aca="false">IF($C286="","",SUMIFS(①今日の在庫を貼る!$O$6:$O$10005,①今日の在庫を貼る!$B$6:$B$10005,'設定（最初に1回）'!$C$4,①今日の在庫を貼る!$I$6:$I$10005,$C286))</f>
        <v/>
      </c>
      <c r="S286" s="143" t="str">
        <f aca="false">IF($C286="","",IF('設定（最初に1回）'!$C$9="実績消費",N($O286),IF('設定（最初に1回）'!$C$9="PI値予測",N($Q286),MAX(N($O286),N($Q286)))))</f>
        <v/>
      </c>
      <c r="T286" s="67" t="str">
        <f aca="false">IF(OR($S286="",$S286&lt;=0),"",$K286/$S286)</f>
        <v/>
      </c>
      <c r="U286" s="69" t="str">
        <f aca="false">IF($S286="","",ROUNDUP(N($S286)*'設定（最初に1回）'!$C$12,0))</f>
        <v/>
      </c>
      <c r="V286" s="69" t="str">
        <f aca="false">IF($C286="","",ROUNDUP(N($S286)*(N($I286)+N($AG286))+N($U286),0))</f>
        <v/>
      </c>
      <c r="W286" s="69" t="str">
        <f aca="false">IF($C286="","",SUMIFS(発注管理!$L$6:$L$1005,発注管理!$C$6:$C$1005,'設定（最初に1回）'!$C$4,発注管理!$F$6:$F$1005,$C286,発注管理!$Q$6:$Q$1005,"発注済"))</f>
        <v/>
      </c>
      <c r="X286" s="69" t="str">
        <f aca="false">IF($C286="","",MAX(0,N($V286)-N($K286)-N($W286)))</f>
        <v/>
      </c>
      <c r="Y286" s="147" t="str">
        <f aca="false">IF($C286="","",IF(N($X286)&lt;=0,0,CEILING($X286/MAX(1,N($G286)),MAX(1,N($J286)))))</f>
        <v/>
      </c>
      <c r="Z286" s="138" t="str">
        <f aca="false">IF($C286="","",IF(N($Y286)&gt;0,"要発注","正常"))</f>
        <v/>
      </c>
      <c r="AA286" s="71" t="str">
        <f aca="false">IF($C286="","",N($K286)*N($H286))</f>
        <v/>
      </c>
      <c r="AB286" s="66" t="str">
        <f aca="false">IF($C286="","",_xlfn.TEXTJOIN(" / ",TRUE(),IF(COUNTIF(商品マスタ!$B$6:$B$1005,$C286)=0,"マスタ未登録",""),IF(COUNTIFS(月1回_前回の在庫を貼る!$B$6:$B$10005,'設定（最初に1回）'!$C$4,月1回_前回の在庫を貼る!$I$6:$I$10005,$C286)=0,"新商品",""),IF(COUNTIFS(①今日の在庫を貼る!$B$6:$B$10005,'設定（最初に1回）'!$C$4,①今日の在庫を貼る!$I$6:$I$10005,$C286)=0,"終売候補",""),IF(N($K286)&lt;0,"在庫マイナス",""),IF(AND('設定（最初に1回）'!$C$9="PI値予測",$P286=""),"PI値未設定","")))</f>
        <v/>
      </c>
      <c r="AC286" s="71" t="n">
        <f aca="false">N($Y286)*N($H286)</f>
        <v>0</v>
      </c>
      <c r="AD286" s="66" t="str">
        <f aca="false">IF($C286="","",IFERROR(INDEX(商品マスタ!$K$6:$K$1005,MATCH($C286,商品マスタ!$B$6:$B$1005,0)),"常温"))</f>
        <v/>
      </c>
      <c r="AE286" s="69" t="str">
        <f aca="false">IF($C286="","",MAX(0,ROUNDUP(N($K286)/MAX(1,N($G286)),0)))</f>
        <v/>
      </c>
      <c r="AF286" s="66" t="str">
        <f aca="false">IF($C286="","",IFERROR(INDEX(商品マスタ!$L$6:$L$1005,MATCH($C286,商品マスタ!$B$6:$B$1005,0)),""))</f>
        <v/>
      </c>
      <c r="AG286" s="143" t="str">
        <f aca="false">IF($C286="","",IFERROR(INDEX(定数マスタ!$S$110:$S$119,MATCH($AF286,定数マスタ!$J$110:$J$119,0)),N('設定（最初に1回）'!$C$13)))</f>
        <v/>
      </c>
      <c r="AH286" s="66" t="n">
        <f aca="false">IF(AND(N($K286)&gt;0,N($Y286)&gt;0),N($Y286),0)</f>
        <v>0</v>
      </c>
    </row>
    <row r="287" customFormat="false" ht="15" hidden="false" customHeight="false" outlineLevel="0" collapsed="false">
      <c r="B287" s="66" t="n">
        <v>282</v>
      </c>
      <c r="C287" s="66" t="str">
        <f aca="false">IFERROR(IF($B287&lt;=MAX(①今日の在庫を貼る!$U$6:$U$10005),INDEX(①今日の在庫を貼る!$I$6:$I$10005,MATCH($B287,①今日の在庫を貼る!$U$6:$U$10005,0)),INDEX(月1回_前回の在庫を貼る!$I$6:$I$10005,MATCH($B287-MAX(①今日の在庫を貼る!$U$6:$U$10005),月1回_前回の在庫を貼る!$U$6:$U$10005,0))),"")</f>
        <v/>
      </c>
      <c r="D287" s="66" t="str">
        <f aca="false">IF($C287="","",IFERROR(INDEX(商品マスタ!$C$6:$C$1005,MATCH($C287,商品マスタ!$B$6:$B$1005,0)),IFERROR(INDEX(①今日の在庫を貼る!$J$6:$J$10005,MATCH($C287,①今日の在庫を貼る!$I$6:$I$10005,0)),IFERROR(INDEX(月1回_前回の在庫を貼る!$J$6:$J$10005,MATCH($C287,月1回_前回の在庫を貼る!$I$6:$I$10005,0)),""))))</f>
        <v/>
      </c>
      <c r="E287" s="66" t="str">
        <f aca="false">IF($C287="","",IFERROR(INDEX(商品マスタ!$D$6:$D$1005,MATCH($C287,商品マスタ!$B$6:$B$1005,0)),IFERROR(INDEX(①今日の在庫を貼る!$H$6:$H$10005,MATCH($C287,①今日の在庫を貼る!$I$6:$I$10005,0)),IFERROR(INDEX(月1回_前回の在庫を貼る!$H$6:$H$10005,MATCH($C287,月1回_前回の在庫を貼る!$I$6:$I$10005,0)),""))))</f>
        <v/>
      </c>
      <c r="F287" s="66" t="str">
        <f aca="false">IF($C287="","",IFERROR(INDEX(商品マスタ!$E$6:$E$1005,MATCH($C287,商品マスタ!$B$6:$B$1005,0)),IFERROR(INDEX(①今日の在庫を貼る!$E$6:$E$10005,MATCH($C287,①今日の在庫を貼る!$I$6:$I$10005,0)),IFERROR(INDEX(月1回_前回の在庫を貼る!$E$6:$E$10005,MATCH($C287,月1回_前回の在庫を貼る!$I$6:$I$10005,0)),""))))</f>
        <v/>
      </c>
      <c r="G287" s="69" t="str">
        <f aca="false">IF($C287="","",IFERROR(INDEX(商品マスタ!$F$6:$F$1005,MATCH($C287,商品マスタ!$B$6:$B$1005,0)),IFERROR(INDEX(①今日の在庫を貼る!$K$6:$K$10005,MATCH($C287,①今日の在庫を貼る!$I$6:$I$10005,0)),IFERROR(INDEX(月1回_前回の在庫を貼る!$K$6:$K$10005,MATCH($C287,月1回_前回の在庫を貼る!$I$6:$I$10005,0)),""))))</f>
        <v/>
      </c>
      <c r="H287" s="71" t="str">
        <f aca="false">IF($C287="","",IFERROR(INDEX(商品マスタ!$G$6:$G$1005,MATCH($C287,商品マスタ!$B$6:$B$1005,0)),IFERROR(INDEX(①今日の在庫を貼る!$Q$6:$Q$10005,MATCH($C287,①今日の在庫を貼る!$I$6:$I$10005,0)),IFERROR(INDEX(月1回_前回の在庫を貼る!$Q$6:$Q$10005,MATCH($C287,月1回_前回の在庫を貼る!$I$6:$I$10005,0)),""))))</f>
        <v/>
      </c>
      <c r="I287" s="66" t="str">
        <f aca="false">IF($C287="","",IFERROR(INDEX(商品マスタ!$H$6:$H$1005,MATCH($C287,商品マスタ!$B$6:$B$1005,0)),3))</f>
        <v/>
      </c>
      <c r="J287" s="66" t="str">
        <f aca="false">IF($C287="","",MAX(1,IFERROR(INDEX(商品マスタ!$I$6:$I$1005,MATCH($C287,商品マスタ!$B$6:$B$1005,0)),1)))</f>
        <v/>
      </c>
      <c r="K287" s="69" t="str">
        <f aca="false">IF($C287="","",SUMIFS(①今日の在庫を貼る!$N$6:$N$10005,①今日の在庫を貼る!$B$6:$B$10005,'設定（最初に1回）'!$C$4,①今日の在庫を貼る!$I$6:$I$10005,$C287))</f>
        <v/>
      </c>
      <c r="L287" s="69" t="str">
        <f aca="false">IF($C287="","",SUMIFS(月1回_前回の在庫を貼る!$N$6:$N$10005,月1回_前回の在庫を貼る!$B$6:$B$10005,'設定（最初に1回）'!$C$4,月1回_前回の在庫を貼る!$I$6:$I$10005,$C287))</f>
        <v/>
      </c>
      <c r="M287" s="69" t="str">
        <f aca="false">IF($C287="","",IF(OR('設定（最初に1回）'!$C$6="",'設定（最初に1回）'!$C$7=""),0,SUMIFS(発注管理!$S$6:$S$1005,発注管理!$C$6:$C$1005,'設定（最初に1回）'!$C$4,発注管理!$F$6:$F$1005,$C287,発注管理!$R$6:$R$1005,"&gt;="&amp;'設定（最初に1回）'!$C$7,発注管理!$R$6:$R$1005,"&lt;="&amp;'設定（最初に1回）'!$C$6)))</f>
        <v/>
      </c>
      <c r="N287" s="69" t="str">
        <f aca="false">IF(OR($C287="",'設定（最初に1回）'!$C$15=0),"",$L287+$M287-$K287)</f>
        <v/>
      </c>
      <c r="O287" s="143" t="str">
        <f aca="false">IF(OR($N287="",'設定（最初に1回）'!$C$8="",'設定（最初に1回）'!$C$8&lt;=0),"",MAX(0,$N287)/'設定（最初に1回）'!$C$8)</f>
        <v/>
      </c>
      <c r="P287" s="143" t="str">
        <f aca="false">IF($C287="","",IFERROR(INDEX(商品マスタ!$M$6:$N$1005,MATCH($C287,商品マスタ!$B$6:$B$1005,0),MATCH("PI値 "&amp;'設定（最初に1回）'!$C$11,商品マスタ!$M$5:$N$5,0)),""))</f>
        <v/>
      </c>
      <c r="Q287" s="143" t="str">
        <f aca="false">IF(OR($C287="",$P287="",$P287=0,(N($I287)+N($AG287))&lt;=0),"",IFERROR(SUMIFS(随時_動員を入れる!$G$8:$G$97,随時_動員を入れる!$B$8:$B$97,"&gt;="&amp;'設定（最初に1回）'!$C$6,随時_動員を入れる!$B$8:$B$97,"&lt;="&amp;'設定（最初に1回）'!$C$6+(N($I287)+N($AG287))-1)/(N($I287)+N($AG287)),0)*$P287/100)</f>
        <v/>
      </c>
      <c r="R287" s="69" t="str">
        <f aca="false">IF($C287="","",SUMIFS(①今日の在庫を貼る!$O$6:$O$10005,①今日の在庫を貼る!$B$6:$B$10005,'設定（最初に1回）'!$C$4,①今日の在庫を貼る!$I$6:$I$10005,$C287))</f>
        <v/>
      </c>
      <c r="S287" s="143" t="str">
        <f aca="false">IF($C287="","",IF('設定（最初に1回）'!$C$9="実績消費",N($O287),IF('設定（最初に1回）'!$C$9="PI値予測",N($Q287),MAX(N($O287),N($Q287)))))</f>
        <v/>
      </c>
      <c r="T287" s="67" t="str">
        <f aca="false">IF(OR($S287="",$S287&lt;=0),"",$K287/$S287)</f>
        <v/>
      </c>
      <c r="U287" s="69" t="str">
        <f aca="false">IF($S287="","",ROUNDUP(N($S287)*'設定（最初に1回）'!$C$12,0))</f>
        <v/>
      </c>
      <c r="V287" s="69" t="str">
        <f aca="false">IF($C287="","",ROUNDUP(N($S287)*(N($I287)+N($AG287))+N($U287),0))</f>
        <v/>
      </c>
      <c r="W287" s="69" t="str">
        <f aca="false">IF($C287="","",SUMIFS(発注管理!$L$6:$L$1005,発注管理!$C$6:$C$1005,'設定（最初に1回）'!$C$4,発注管理!$F$6:$F$1005,$C287,発注管理!$Q$6:$Q$1005,"発注済"))</f>
        <v/>
      </c>
      <c r="X287" s="69" t="str">
        <f aca="false">IF($C287="","",MAX(0,N($V287)-N($K287)-N($W287)))</f>
        <v/>
      </c>
      <c r="Y287" s="147" t="str">
        <f aca="false">IF($C287="","",IF(N($X287)&lt;=0,0,CEILING($X287/MAX(1,N($G287)),MAX(1,N($J287)))))</f>
        <v/>
      </c>
      <c r="Z287" s="138" t="str">
        <f aca="false">IF($C287="","",IF(N($Y287)&gt;0,"要発注","正常"))</f>
        <v/>
      </c>
      <c r="AA287" s="71" t="str">
        <f aca="false">IF($C287="","",N($K287)*N($H287))</f>
        <v/>
      </c>
      <c r="AB287" s="66" t="str">
        <f aca="false">IF($C287="","",_xlfn.TEXTJOIN(" / ",TRUE(),IF(COUNTIF(商品マスタ!$B$6:$B$1005,$C287)=0,"マスタ未登録",""),IF(COUNTIFS(月1回_前回の在庫を貼る!$B$6:$B$10005,'設定（最初に1回）'!$C$4,月1回_前回の在庫を貼る!$I$6:$I$10005,$C287)=0,"新商品",""),IF(COUNTIFS(①今日の在庫を貼る!$B$6:$B$10005,'設定（最初に1回）'!$C$4,①今日の在庫を貼る!$I$6:$I$10005,$C287)=0,"終売候補",""),IF(N($K287)&lt;0,"在庫マイナス",""),IF(AND('設定（最初に1回）'!$C$9="PI値予測",$P287=""),"PI値未設定","")))</f>
        <v/>
      </c>
      <c r="AC287" s="71" t="n">
        <f aca="false">N($Y287)*N($H287)</f>
        <v>0</v>
      </c>
      <c r="AD287" s="66" t="str">
        <f aca="false">IF($C287="","",IFERROR(INDEX(商品マスタ!$K$6:$K$1005,MATCH($C287,商品マスタ!$B$6:$B$1005,0)),"常温"))</f>
        <v/>
      </c>
      <c r="AE287" s="69" t="str">
        <f aca="false">IF($C287="","",MAX(0,ROUNDUP(N($K287)/MAX(1,N($G287)),0)))</f>
        <v/>
      </c>
      <c r="AF287" s="66" t="str">
        <f aca="false">IF($C287="","",IFERROR(INDEX(商品マスタ!$L$6:$L$1005,MATCH($C287,商品マスタ!$B$6:$B$1005,0)),""))</f>
        <v/>
      </c>
      <c r="AG287" s="143" t="str">
        <f aca="false">IF($C287="","",IFERROR(INDEX(定数マスタ!$S$110:$S$119,MATCH($AF287,定数マスタ!$J$110:$J$119,0)),N('設定（最初に1回）'!$C$13)))</f>
        <v/>
      </c>
      <c r="AH287" s="66" t="n">
        <f aca="false">IF(AND(N($K287)&gt;0,N($Y287)&gt;0),N($Y287),0)</f>
        <v>0</v>
      </c>
    </row>
    <row r="288" customFormat="false" ht="15" hidden="false" customHeight="false" outlineLevel="0" collapsed="false">
      <c r="B288" s="66" t="n">
        <v>283</v>
      </c>
      <c r="C288" s="66" t="str">
        <f aca="false">IFERROR(IF($B288&lt;=MAX(①今日の在庫を貼る!$U$6:$U$10005),INDEX(①今日の在庫を貼る!$I$6:$I$10005,MATCH($B288,①今日の在庫を貼る!$U$6:$U$10005,0)),INDEX(月1回_前回の在庫を貼る!$I$6:$I$10005,MATCH($B288-MAX(①今日の在庫を貼る!$U$6:$U$10005),月1回_前回の在庫を貼る!$U$6:$U$10005,0))),"")</f>
        <v/>
      </c>
      <c r="D288" s="66" t="str">
        <f aca="false">IF($C288="","",IFERROR(INDEX(商品マスタ!$C$6:$C$1005,MATCH($C288,商品マスタ!$B$6:$B$1005,0)),IFERROR(INDEX(①今日の在庫を貼る!$J$6:$J$10005,MATCH($C288,①今日の在庫を貼る!$I$6:$I$10005,0)),IFERROR(INDEX(月1回_前回の在庫を貼る!$J$6:$J$10005,MATCH($C288,月1回_前回の在庫を貼る!$I$6:$I$10005,0)),""))))</f>
        <v/>
      </c>
      <c r="E288" s="66" t="str">
        <f aca="false">IF($C288="","",IFERROR(INDEX(商品マスタ!$D$6:$D$1005,MATCH($C288,商品マスタ!$B$6:$B$1005,0)),IFERROR(INDEX(①今日の在庫を貼る!$H$6:$H$10005,MATCH($C288,①今日の在庫を貼る!$I$6:$I$10005,0)),IFERROR(INDEX(月1回_前回の在庫を貼る!$H$6:$H$10005,MATCH($C288,月1回_前回の在庫を貼る!$I$6:$I$10005,0)),""))))</f>
        <v/>
      </c>
      <c r="F288" s="66" t="str">
        <f aca="false">IF($C288="","",IFERROR(INDEX(商品マスタ!$E$6:$E$1005,MATCH($C288,商品マスタ!$B$6:$B$1005,0)),IFERROR(INDEX(①今日の在庫を貼る!$E$6:$E$10005,MATCH($C288,①今日の在庫を貼る!$I$6:$I$10005,0)),IFERROR(INDEX(月1回_前回の在庫を貼る!$E$6:$E$10005,MATCH($C288,月1回_前回の在庫を貼る!$I$6:$I$10005,0)),""))))</f>
        <v/>
      </c>
      <c r="G288" s="69" t="str">
        <f aca="false">IF($C288="","",IFERROR(INDEX(商品マスタ!$F$6:$F$1005,MATCH($C288,商品マスタ!$B$6:$B$1005,0)),IFERROR(INDEX(①今日の在庫を貼る!$K$6:$K$10005,MATCH($C288,①今日の在庫を貼る!$I$6:$I$10005,0)),IFERROR(INDEX(月1回_前回の在庫を貼る!$K$6:$K$10005,MATCH($C288,月1回_前回の在庫を貼る!$I$6:$I$10005,0)),""))))</f>
        <v/>
      </c>
      <c r="H288" s="71" t="str">
        <f aca="false">IF($C288="","",IFERROR(INDEX(商品マスタ!$G$6:$G$1005,MATCH($C288,商品マスタ!$B$6:$B$1005,0)),IFERROR(INDEX(①今日の在庫を貼る!$Q$6:$Q$10005,MATCH($C288,①今日の在庫を貼る!$I$6:$I$10005,0)),IFERROR(INDEX(月1回_前回の在庫を貼る!$Q$6:$Q$10005,MATCH($C288,月1回_前回の在庫を貼る!$I$6:$I$10005,0)),""))))</f>
        <v/>
      </c>
      <c r="I288" s="66" t="str">
        <f aca="false">IF($C288="","",IFERROR(INDEX(商品マスタ!$H$6:$H$1005,MATCH($C288,商品マスタ!$B$6:$B$1005,0)),3))</f>
        <v/>
      </c>
      <c r="J288" s="66" t="str">
        <f aca="false">IF($C288="","",MAX(1,IFERROR(INDEX(商品マスタ!$I$6:$I$1005,MATCH($C288,商品マスタ!$B$6:$B$1005,0)),1)))</f>
        <v/>
      </c>
      <c r="K288" s="69" t="str">
        <f aca="false">IF($C288="","",SUMIFS(①今日の在庫を貼る!$N$6:$N$10005,①今日の在庫を貼る!$B$6:$B$10005,'設定（最初に1回）'!$C$4,①今日の在庫を貼る!$I$6:$I$10005,$C288))</f>
        <v/>
      </c>
      <c r="L288" s="69" t="str">
        <f aca="false">IF($C288="","",SUMIFS(月1回_前回の在庫を貼る!$N$6:$N$10005,月1回_前回の在庫を貼る!$B$6:$B$10005,'設定（最初に1回）'!$C$4,月1回_前回の在庫を貼る!$I$6:$I$10005,$C288))</f>
        <v/>
      </c>
      <c r="M288" s="69" t="str">
        <f aca="false">IF($C288="","",IF(OR('設定（最初に1回）'!$C$6="",'設定（最初に1回）'!$C$7=""),0,SUMIFS(発注管理!$S$6:$S$1005,発注管理!$C$6:$C$1005,'設定（最初に1回）'!$C$4,発注管理!$F$6:$F$1005,$C288,発注管理!$R$6:$R$1005,"&gt;="&amp;'設定（最初に1回）'!$C$7,発注管理!$R$6:$R$1005,"&lt;="&amp;'設定（最初に1回）'!$C$6)))</f>
        <v/>
      </c>
      <c r="N288" s="69" t="str">
        <f aca="false">IF(OR($C288="",'設定（最初に1回）'!$C$15=0),"",$L288+$M288-$K288)</f>
        <v/>
      </c>
      <c r="O288" s="143" t="str">
        <f aca="false">IF(OR($N288="",'設定（最初に1回）'!$C$8="",'設定（最初に1回）'!$C$8&lt;=0),"",MAX(0,$N288)/'設定（最初に1回）'!$C$8)</f>
        <v/>
      </c>
      <c r="P288" s="143" t="str">
        <f aca="false">IF($C288="","",IFERROR(INDEX(商品マスタ!$M$6:$N$1005,MATCH($C288,商品マスタ!$B$6:$B$1005,0),MATCH("PI値 "&amp;'設定（最初に1回）'!$C$11,商品マスタ!$M$5:$N$5,0)),""))</f>
        <v/>
      </c>
      <c r="Q288" s="143" t="str">
        <f aca="false">IF(OR($C288="",$P288="",$P288=0,(N($I288)+N($AG288))&lt;=0),"",IFERROR(SUMIFS(随時_動員を入れる!$G$8:$G$97,随時_動員を入れる!$B$8:$B$97,"&gt;="&amp;'設定（最初に1回）'!$C$6,随時_動員を入れる!$B$8:$B$97,"&lt;="&amp;'設定（最初に1回）'!$C$6+(N($I288)+N($AG288))-1)/(N($I288)+N($AG288)),0)*$P288/100)</f>
        <v/>
      </c>
      <c r="R288" s="69" t="str">
        <f aca="false">IF($C288="","",SUMIFS(①今日の在庫を貼る!$O$6:$O$10005,①今日の在庫を貼る!$B$6:$B$10005,'設定（最初に1回）'!$C$4,①今日の在庫を貼る!$I$6:$I$10005,$C288))</f>
        <v/>
      </c>
      <c r="S288" s="143" t="str">
        <f aca="false">IF($C288="","",IF('設定（最初に1回）'!$C$9="実績消費",N($O288),IF('設定（最初に1回）'!$C$9="PI値予測",N($Q288),MAX(N($O288),N($Q288)))))</f>
        <v/>
      </c>
      <c r="T288" s="67" t="str">
        <f aca="false">IF(OR($S288="",$S288&lt;=0),"",$K288/$S288)</f>
        <v/>
      </c>
      <c r="U288" s="69" t="str">
        <f aca="false">IF($S288="","",ROUNDUP(N($S288)*'設定（最初に1回）'!$C$12,0))</f>
        <v/>
      </c>
      <c r="V288" s="69" t="str">
        <f aca="false">IF($C288="","",ROUNDUP(N($S288)*(N($I288)+N($AG288))+N($U288),0))</f>
        <v/>
      </c>
      <c r="W288" s="69" t="str">
        <f aca="false">IF($C288="","",SUMIFS(発注管理!$L$6:$L$1005,発注管理!$C$6:$C$1005,'設定（最初に1回）'!$C$4,発注管理!$F$6:$F$1005,$C288,発注管理!$Q$6:$Q$1005,"発注済"))</f>
        <v/>
      </c>
      <c r="X288" s="69" t="str">
        <f aca="false">IF($C288="","",MAX(0,N($V288)-N($K288)-N($W288)))</f>
        <v/>
      </c>
      <c r="Y288" s="147" t="str">
        <f aca="false">IF($C288="","",IF(N($X288)&lt;=0,0,CEILING($X288/MAX(1,N($G288)),MAX(1,N($J288)))))</f>
        <v/>
      </c>
      <c r="Z288" s="138" t="str">
        <f aca="false">IF($C288="","",IF(N($Y288)&gt;0,"要発注","正常"))</f>
        <v/>
      </c>
      <c r="AA288" s="71" t="str">
        <f aca="false">IF($C288="","",N($K288)*N($H288))</f>
        <v/>
      </c>
      <c r="AB288" s="66" t="str">
        <f aca="false">IF($C288="","",_xlfn.TEXTJOIN(" / ",TRUE(),IF(COUNTIF(商品マスタ!$B$6:$B$1005,$C288)=0,"マスタ未登録",""),IF(COUNTIFS(月1回_前回の在庫を貼る!$B$6:$B$10005,'設定（最初に1回）'!$C$4,月1回_前回の在庫を貼る!$I$6:$I$10005,$C288)=0,"新商品",""),IF(COUNTIFS(①今日の在庫を貼る!$B$6:$B$10005,'設定（最初に1回）'!$C$4,①今日の在庫を貼る!$I$6:$I$10005,$C288)=0,"終売候補",""),IF(N($K288)&lt;0,"在庫マイナス",""),IF(AND('設定（最初に1回）'!$C$9="PI値予測",$P288=""),"PI値未設定","")))</f>
        <v/>
      </c>
      <c r="AC288" s="71" t="n">
        <f aca="false">N($Y288)*N($H288)</f>
        <v>0</v>
      </c>
      <c r="AD288" s="66" t="str">
        <f aca="false">IF($C288="","",IFERROR(INDEX(商品マスタ!$K$6:$K$1005,MATCH($C288,商品マスタ!$B$6:$B$1005,0)),"常温"))</f>
        <v/>
      </c>
      <c r="AE288" s="69" t="str">
        <f aca="false">IF($C288="","",MAX(0,ROUNDUP(N($K288)/MAX(1,N($G288)),0)))</f>
        <v/>
      </c>
      <c r="AF288" s="66" t="str">
        <f aca="false">IF($C288="","",IFERROR(INDEX(商品マスタ!$L$6:$L$1005,MATCH($C288,商品マスタ!$B$6:$B$1005,0)),""))</f>
        <v/>
      </c>
      <c r="AG288" s="143" t="str">
        <f aca="false">IF($C288="","",IFERROR(INDEX(定数マスタ!$S$110:$S$119,MATCH($AF288,定数マスタ!$J$110:$J$119,0)),N('設定（最初に1回）'!$C$13)))</f>
        <v/>
      </c>
      <c r="AH288" s="66" t="n">
        <f aca="false">IF(AND(N($K288)&gt;0,N($Y288)&gt;0),N($Y288),0)</f>
        <v>0</v>
      </c>
    </row>
    <row r="289" customFormat="false" ht="15" hidden="false" customHeight="false" outlineLevel="0" collapsed="false">
      <c r="B289" s="66" t="n">
        <v>284</v>
      </c>
      <c r="C289" s="66" t="str">
        <f aca="false">IFERROR(IF($B289&lt;=MAX(①今日の在庫を貼る!$U$6:$U$10005),INDEX(①今日の在庫を貼る!$I$6:$I$10005,MATCH($B289,①今日の在庫を貼る!$U$6:$U$10005,0)),INDEX(月1回_前回の在庫を貼る!$I$6:$I$10005,MATCH($B289-MAX(①今日の在庫を貼る!$U$6:$U$10005),月1回_前回の在庫を貼る!$U$6:$U$10005,0))),"")</f>
        <v/>
      </c>
      <c r="D289" s="66" t="str">
        <f aca="false">IF($C289="","",IFERROR(INDEX(商品マスタ!$C$6:$C$1005,MATCH($C289,商品マスタ!$B$6:$B$1005,0)),IFERROR(INDEX(①今日の在庫を貼る!$J$6:$J$10005,MATCH($C289,①今日の在庫を貼る!$I$6:$I$10005,0)),IFERROR(INDEX(月1回_前回の在庫を貼る!$J$6:$J$10005,MATCH($C289,月1回_前回の在庫を貼る!$I$6:$I$10005,0)),""))))</f>
        <v/>
      </c>
      <c r="E289" s="66" t="str">
        <f aca="false">IF($C289="","",IFERROR(INDEX(商品マスタ!$D$6:$D$1005,MATCH($C289,商品マスタ!$B$6:$B$1005,0)),IFERROR(INDEX(①今日の在庫を貼る!$H$6:$H$10005,MATCH($C289,①今日の在庫を貼る!$I$6:$I$10005,0)),IFERROR(INDEX(月1回_前回の在庫を貼る!$H$6:$H$10005,MATCH($C289,月1回_前回の在庫を貼る!$I$6:$I$10005,0)),""))))</f>
        <v/>
      </c>
      <c r="F289" s="66" t="str">
        <f aca="false">IF($C289="","",IFERROR(INDEX(商品マスタ!$E$6:$E$1005,MATCH($C289,商品マスタ!$B$6:$B$1005,0)),IFERROR(INDEX(①今日の在庫を貼る!$E$6:$E$10005,MATCH($C289,①今日の在庫を貼る!$I$6:$I$10005,0)),IFERROR(INDEX(月1回_前回の在庫を貼る!$E$6:$E$10005,MATCH($C289,月1回_前回の在庫を貼る!$I$6:$I$10005,0)),""))))</f>
        <v/>
      </c>
      <c r="G289" s="69" t="str">
        <f aca="false">IF($C289="","",IFERROR(INDEX(商品マスタ!$F$6:$F$1005,MATCH($C289,商品マスタ!$B$6:$B$1005,0)),IFERROR(INDEX(①今日の在庫を貼る!$K$6:$K$10005,MATCH($C289,①今日の在庫を貼る!$I$6:$I$10005,0)),IFERROR(INDEX(月1回_前回の在庫を貼る!$K$6:$K$10005,MATCH($C289,月1回_前回の在庫を貼る!$I$6:$I$10005,0)),""))))</f>
        <v/>
      </c>
      <c r="H289" s="71" t="str">
        <f aca="false">IF($C289="","",IFERROR(INDEX(商品マスタ!$G$6:$G$1005,MATCH($C289,商品マスタ!$B$6:$B$1005,0)),IFERROR(INDEX(①今日の在庫を貼る!$Q$6:$Q$10005,MATCH($C289,①今日の在庫を貼る!$I$6:$I$10005,0)),IFERROR(INDEX(月1回_前回の在庫を貼る!$Q$6:$Q$10005,MATCH($C289,月1回_前回の在庫を貼る!$I$6:$I$10005,0)),""))))</f>
        <v/>
      </c>
      <c r="I289" s="66" t="str">
        <f aca="false">IF($C289="","",IFERROR(INDEX(商品マスタ!$H$6:$H$1005,MATCH($C289,商品マスタ!$B$6:$B$1005,0)),3))</f>
        <v/>
      </c>
      <c r="J289" s="66" t="str">
        <f aca="false">IF($C289="","",MAX(1,IFERROR(INDEX(商品マスタ!$I$6:$I$1005,MATCH($C289,商品マスタ!$B$6:$B$1005,0)),1)))</f>
        <v/>
      </c>
      <c r="K289" s="69" t="str">
        <f aca="false">IF($C289="","",SUMIFS(①今日の在庫を貼る!$N$6:$N$10005,①今日の在庫を貼る!$B$6:$B$10005,'設定（最初に1回）'!$C$4,①今日の在庫を貼る!$I$6:$I$10005,$C289))</f>
        <v/>
      </c>
      <c r="L289" s="69" t="str">
        <f aca="false">IF($C289="","",SUMIFS(月1回_前回の在庫を貼る!$N$6:$N$10005,月1回_前回の在庫を貼る!$B$6:$B$10005,'設定（最初に1回）'!$C$4,月1回_前回の在庫を貼る!$I$6:$I$10005,$C289))</f>
        <v/>
      </c>
      <c r="M289" s="69" t="str">
        <f aca="false">IF($C289="","",IF(OR('設定（最初に1回）'!$C$6="",'設定（最初に1回）'!$C$7=""),0,SUMIFS(発注管理!$S$6:$S$1005,発注管理!$C$6:$C$1005,'設定（最初に1回）'!$C$4,発注管理!$F$6:$F$1005,$C289,発注管理!$R$6:$R$1005,"&gt;="&amp;'設定（最初に1回）'!$C$7,発注管理!$R$6:$R$1005,"&lt;="&amp;'設定（最初に1回）'!$C$6)))</f>
        <v/>
      </c>
      <c r="N289" s="69" t="str">
        <f aca="false">IF(OR($C289="",'設定（最初に1回）'!$C$15=0),"",$L289+$M289-$K289)</f>
        <v/>
      </c>
      <c r="O289" s="143" t="str">
        <f aca="false">IF(OR($N289="",'設定（最初に1回）'!$C$8="",'設定（最初に1回）'!$C$8&lt;=0),"",MAX(0,$N289)/'設定（最初に1回）'!$C$8)</f>
        <v/>
      </c>
      <c r="P289" s="143" t="str">
        <f aca="false">IF($C289="","",IFERROR(INDEX(商品マスタ!$M$6:$N$1005,MATCH($C289,商品マスタ!$B$6:$B$1005,0),MATCH("PI値 "&amp;'設定（最初に1回）'!$C$11,商品マスタ!$M$5:$N$5,0)),""))</f>
        <v/>
      </c>
      <c r="Q289" s="143" t="str">
        <f aca="false">IF(OR($C289="",$P289="",$P289=0,(N($I289)+N($AG289))&lt;=0),"",IFERROR(SUMIFS(随時_動員を入れる!$G$8:$G$97,随時_動員を入れる!$B$8:$B$97,"&gt;="&amp;'設定（最初に1回）'!$C$6,随時_動員を入れる!$B$8:$B$97,"&lt;="&amp;'設定（最初に1回）'!$C$6+(N($I289)+N($AG289))-1)/(N($I289)+N($AG289)),0)*$P289/100)</f>
        <v/>
      </c>
      <c r="R289" s="69" t="str">
        <f aca="false">IF($C289="","",SUMIFS(①今日の在庫を貼る!$O$6:$O$10005,①今日の在庫を貼る!$B$6:$B$10005,'設定（最初に1回）'!$C$4,①今日の在庫を貼る!$I$6:$I$10005,$C289))</f>
        <v/>
      </c>
      <c r="S289" s="143" t="str">
        <f aca="false">IF($C289="","",IF('設定（最初に1回）'!$C$9="実績消費",N($O289),IF('設定（最初に1回）'!$C$9="PI値予測",N($Q289),MAX(N($O289),N($Q289)))))</f>
        <v/>
      </c>
      <c r="T289" s="67" t="str">
        <f aca="false">IF(OR($S289="",$S289&lt;=0),"",$K289/$S289)</f>
        <v/>
      </c>
      <c r="U289" s="69" t="str">
        <f aca="false">IF($S289="","",ROUNDUP(N($S289)*'設定（最初に1回）'!$C$12,0))</f>
        <v/>
      </c>
      <c r="V289" s="69" t="str">
        <f aca="false">IF($C289="","",ROUNDUP(N($S289)*(N($I289)+N($AG289))+N($U289),0))</f>
        <v/>
      </c>
      <c r="W289" s="69" t="str">
        <f aca="false">IF($C289="","",SUMIFS(発注管理!$L$6:$L$1005,発注管理!$C$6:$C$1005,'設定（最初に1回）'!$C$4,発注管理!$F$6:$F$1005,$C289,発注管理!$Q$6:$Q$1005,"発注済"))</f>
        <v/>
      </c>
      <c r="X289" s="69" t="str">
        <f aca="false">IF($C289="","",MAX(0,N($V289)-N($K289)-N($W289)))</f>
        <v/>
      </c>
      <c r="Y289" s="147" t="str">
        <f aca="false">IF($C289="","",IF(N($X289)&lt;=0,0,CEILING($X289/MAX(1,N($G289)),MAX(1,N($J289)))))</f>
        <v/>
      </c>
      <c r="Z289" s="138" t="str">
        <f aca="false">IF($C289="","",IF(N($Y289)&gt;0,"要発注","正常"))</f>
        <v/>
      </c>
      <c r="AA289" s="71" t="str">
        <f aca="false">IF($C289="","",N($K289)*N($H289))</f>
        <v/>
      </c>
      <c r="AB289" s="66" t="str">
        <f aca="false">IF($C289="","",_xlfn.TEXTJOIN(" / ",TRUE(),IF(COUNTIF(商品マスタ!$B$6:$B$1005,$C289)=0,"マスタ未登録",""),IF(COUNTIFS(月1回_前回の在庫を貼る!$B$6:$B$10005,'設定（最初に1回）'!$C$4,月1回_前回の在庫を貼る!$I$6:$I$10005,$C289)=0,"新商品",""),IF(COUNTIFS(①今日の在庫を貼る!$B$6:$B$10005,'設定（最初に1回）'!$C$4,①今日の在庫を貼る!$I$6:$I$10005,$C289)=0,"終売候補",""),IF(N($K289)&lt;0,"在庫マイナス",""),IF(AND('設定（最初に1回）'!$C$9="PI値予測",$P289=""),"PI値未設定","")))</f>
        <v/>
      </c>
      <c r="AC289" s="71" t="n">
        <f aca="false">N($Y289)*N($H289)</f>
        <v>0</v>
      </c>
      <c r="AD289" s="66" t="str">
        <f aca="false">IF($C289="","",IFERROR(INDEX(商品マスタ!$K$6:$K$1005,MATCH($C289,商品マスタ!$B$6:$B$1005,0)),"常温"))</f>
        <v/>
      </c>
      <c r="AE289" s="69" t="str">
        <f aca="false">IF($C289="","",MAX(0,ROUNDUP(N($K289)/MAX(1,N($G289)),0)))</f>
        <v/>
      </c>
      <c r="AF289" s="66" t="str">
        <f aca="false">IF($C289="","",IFERROR(INDEX(商品マスタ!$L$6:$L$1005,MATCH($C289,商品マスタ!$B$6:$B$1005,0)),""))</f>
        <v/>
      </c>
      <c r="AG289" s="143" t="str">
        <f aca="false">IF($C289="","",IFERROR(INDEX(定数マスタ!$S$110:$S$119,MATCH($AF289,定数マスタ!$J$110:$J$119,0)),N('設定（最初に1回）'!$C$13)))</f>
        <v/>
      </c>
      <c r="AH289" s="66" t="n">
        <f aca="false">IF(AND(N($K289)&gt;0,N($Y289)&gt;0),N($Y289),0)</f>
        <v>0</v>
      </c>
    </row>
    <row r="290" customFormat="false" ht="15" hidden="false" customHeight="false" outlineLevel="0" collapsed="false">
      <c r="B290" s="66" t="n">
        <v>285</v>
      </c>
      <c r="C290" s="66" t="str">
        <f aca="false">IFERROR(IF($B290&lt;=MAX(①今日の在庫を貼る!$U$6:$U$10005),INDEX(①今日の在庫を貼る!$I$6:$I$10005,MATCH($B290,①今日の在庫を貼る!$U$6:$U$10005,0)),INDEX(月1回_前回の在庫を貼る!$I$6:$I$10005,MATCH($B290-MAX(①今日の在庫を貼る!$U$6:$U$10005),月1回_前回の在庫を貼る!$U$6:$U$10005,0))),"")</f>
        <v/>
      </c>
      <c r="D290" s="66" t="str">
        <f aca="false">IF($C290="","",IFERROR(INDEX(商品マスタ!$C$6:$C$1005,MATCH($C290,商品マスタ!$B$6:$B$1005,0)),IFERROR(INDEX(①今日の在庫を貼る!$J$6:$J$10005,MATCH($C290,①今日の在庫を貼る!$I$6:$I$10005,0)),IFERROR(INDEX(月1回_前回の在庫を貼る!$J$6:$J$10005,MATCH($C290,月1回_前回の在庫を貼る!$I$6:$I$10005,0)),""))))</f>
        <v/>
      </c>
      <c r="E290" s="66" t="str">
        <f aca="false">IF($C290="","",IFERROR(INDEX(商品マスタ!$D$6:$D$1005,MATCH($C290,商品マスタ!$B$6:$B$1005,0)),IFERROR(INDEX(①今日の在庫を貼る!$H$6:$H$10005,MATCH($C290,①今日の在庫を貼る!$I$6:$I$10005,0)),IFERROR(INDEX(月1回_前回の在庫を貼る!$H$6:$H$10005,MATCH($C290,月1回_前回の在庫を貼る!$I$6:$I$10005,0)),""))))</f>
        <v/>
      </c>
      <c r="F290" s="66" t="str">
        <f aca="false">IF($C290="","",IFERROR(INDEX(商品マスタ!$E$6:$E$1005,MATCH($C290,商品マスタ!$B$6:$B$1005,0)),IFERROR(INDEX(①今日の在庫を貼る!$E$6:$E$10005,MATCH($C290,①今日の在庫を貼る!$I$6:$I$10005,0)),IFERROR(INDEX(月1回_前回の在庫を貼る!$E$6:$E$10005,MATCH($C290,月1回_前回の在庫を貼る!$I$6:$I$10005,0)),""))))</f>
        <v/>
      </c>
      <c r="G290" s="69" t="str">
        <f aca="false">IF($C290="","",IFERROR(INDEX(商品マスタ!$F$6:$F$1005,MATCH($C290,商品マスタ!$B$6:$B$1005,0)),IFERROR(INDEX(①今日の在庫を貼る!$K$6:$K$10005,MATCH($C290,①今日の在庫を貼る!$I$6:$I$10005,0)),IFERROR(INDEX(月1回_前回の在庫を貼る!$K$6:$K$10005,MATCH($C290,月1回_前回の在庫を貼る!$I$6:$I$10005,0)),""))))</f>
        <v/>
      </c>
      <c r="H290" s="71" t="str">
        <f aca="false">IF($C290="","",IFERROR(INDEX(商品マスタ!$G$6:$G$1005,MATCH($C290,商品マスタ!$B$6:$B$1005,0)),IFERROR(INDEX(①今日の在庫を貼る!$Q$6:$Q$10005,MATCH($C290,①今日の在庫を貼る!$I$6:$I$10005,0)),IFERROR(INDEX(月1回_前回の在庫を貼る!$Q$6:$Q$10005,MATCH($C290,月1回_前回の在庫を貼る!$I$6:$I$10005,0)),""))))</f>
        <v/>
      </c>
      <c r="I290" s="66" t="str">
        <f aca="false">IF($C290="","",IFERROR(INDEX(商品マスタ!$H$6:$H$1005,MATCH($C290,商品マスタ!$B$6:$B$1005,0)),3))</f>
        <v/>
      </c>
      <c r="J290" s="66" t="str">
        <f aca="false">IF($C290="","",MAX(1,IFERROR(INDEX(商品マスタ!$I$6:$I$1005,MATCH($C290,商品マスタ!$B$6:$B$1005,0)),1)))</f>
        <v/>
      </c>
      <c r="K290" s="69" t="str">
        <f aca="false">IF($C290="","",SUMIFS(①今日の在庫を貼る!$N$6:$N$10005,①今日の在庫を貼る!$B$6:$B$10005,'設定（最初に1回）'!$C$4,①今日の在庫を貼る!$I$6:$I$10005,$C290))</f>
        <v/>
      </c>
      <c r="L290" s="69" t="str">
        <f aca="false">IF($C290="","",SUMIFS(月1回_前回の在庫を貼る!$N$6:$N$10005,月1回_前回の在庫を貼る!$B$6:$B$10005,'設定（最初に1回）'!$C$4,月1回_前回の在庫を貼る!$I$6:$I$10005,$C290))</f>
        <v/>
      </c>
      <c r="M290" s="69" t="str">
        <f aca="false">IF($C290="","",IF(OR('設定（最初に1回）'!$C$6="",'設定（最初に1回）'!$C$7=""),0,SUMIFS(発注管理!$S$6:$S$1005,発注管理!$C$6:$C$1005,'設定（最初に1回）'!$C$4,発注管理!$F$6:$F$1005,$C290,発注管理!$R$6:$R$1005,"&gt;="&amp;'設定（最初に1回）'!$C$7,発注管理!$R$6:$R$1005,"&lt;="&amp;'設定（最初に1回）'!$C$6)))</f>
        <v/>
      </c>
      <c r="N290" s="69" t="str">
        <f aca="false">IF(OR($C290="",'設定（最初に1回）'!$C$15=0),"",$L290+$M290-$K290)</f>
        <v/>
      </c>
      <c r="O290" s="143" t="str">
        <f aca="false">IF(OR($N290="",'設定（最初に1回）'!$C$8="",'設定（最初に1回）'!$C$8&lt;=0),"",MAX(0,$N290)/'設定（最初に1回）'!$C$8)</f>
        <v/>
      </c>
      <c r="P290" s="143" t="str">
        <f aca="false">IF($C290="","",IFERROR(INDEX(商品マスタ!$M$6:$N$1005,MATCH($C290,商品マスタ!$B$6:$B$1005,0),MATCH("PI値 "&amp;'設定（最初に1回）'!$C$11,商品マスタ!$M$5:$N$5,0)),""))</f>
        <v/>
      </c>
      <c r="Q290" s="143" t="str">
        <f aca="false">IF(OR($C290="",$P290="",$P290=0,(N($I290)+N($AG290))&lt;=0),"",IFERROR(SUMIFS(随時_動員を入れる!$G$8:$G$97,随時_動員を入れる!$B$8:$B$97,"&gt;="&amp;'設定（最初に1回）'!$C$6,随時_動員を入れる!$B$8:$B$97,"&lt;="&amp;'設定（最初に1回）'!$C$6+(N($I290)+N($AG290))-1)/(N($I290)+N($AG290)),0)*$P290/100)</f>
        <v/>
      </c>
      <c r="R290" s="69" t="str">
        <f aca="false">IF($C290="","",SUMIFS(①今日の在庫を貼る!$O$6:$O$10005,①今日の在庫を貼る!$B$6:$B$10005,'設定（最初に1回）'!$C$4,①今日の在庫を貼る!$I$6:$I$10005,$C290))</f>
        <v/>
      </c>
      <c r="S290" s="143" t="str">
        <f aca="false">IF($C290="","",IF('設定（最初に1回）'!$C$9="実績消費",N($O290),IF('設定（最初に1回）'!$C$9="PI値予測",N($Q290),MAX(N($O290),N($Q290)))))</f>
        <v/>
      </c>
      <c r="T290" s="67" t="str">
        <f aca="false">IF(OR($S290="",$S290&lt;=0),"",$K290/$S290)</f>
        <v/>
      </c>
      <c r="U290" s="69" t="str">
        <f aca="false">IF($S290="","",ROUNDUP(N($S290)*'設定（最初に1回）'!$C$12,0))</f>
        <v/>
      </c>
      <c r="V290" s="69" t="str">
        <f aca="false">IF($C290="","",ROUNDUP(N($S290)*(N($I290)+N($AG290))+N($U290),0))</f>
        <v/>
      </c>
      <c r="W290" s="69" t="str">
        <f aca="false">IF($C290="","",SUMIFS(発注管理!$L$6:$L$1005,発注管理!$C$6:$C$1005,'設定（最初に1回）'!$C$4,発注管理!$F$6:$F$1005,$C290,発注管理!$Q$6:$Q$1005,"発注済"))</f>
        <v/>
      </c>
      <c r="X290" s="69" t="str">
        <f aca="false">IF($C290="","",MAX(0,N($V290)-N($K290)-N($W290)))</f>
        <v/>
      </c>
      <c r="Y290" s="147" t="str">
        <f aca="false">IF($C290="","",IF(N($X290)&lt;=0,0,CEILING($X290/MAX(1,N($G290)),MAX(1,N($J290)))))</f>
        <v/>
      </c>
      <c r="Z290" s="138" t="str">
        <f aca="false">IF($C290="","",IF(N($Y290)&gt;0,"要発注","正常"))</f>
        <v/>
      </c>
      <c r="AA290" s="71" t="str">
        <f aca="false">IF($C290="","",N($K290)*N($H290))</f>
        <v/>
      </c>
      <c r="AB290" s="66" t="str">
        <f aca="false">IF($C290="","",_xlfn.TEXTJOIN(" / ",TRUE(),IF(COUNTIF(商品マスタ!$B$6:$B$1005,$C290)=0,"マスタ未登録",""),IF(COUNTIFS(月1回_前回の在庫を貼る!$B$6:$B$10005,'設定（最初に1回）'!$C$4,月1回_前回の在庫を貼る!$I$6:$I$10005,$C290)=0,"新商品",""),IF(COUNTIFS(①今日の在庫を貼る!$B$6:$B$10005,'設定（最初に1回）'!$C$4,①今日の在庫を貼る!$I$6:$I$10005,$C290)=0,"終売候補",""),IF(N($K290)&lt;0,"在庫マイナス",""),IF(AND('設定（最初に1回）'!$C$9="PI値予測",$P290=""),"PI値未設定","")))</f>
        <v/>
      </c>
      <c r="AC290" s="71" t="n">
        <f aca="false">N($Y290)*N($H290)</f>
        <v>0</v>
      </c>
      <c r="AD290" s="66" t="str">
        <f aca="false">IF($C290="","",IFERROR(INDEX(商品マスタ!$K$6:$K$1005,MATCH($C290,商品マスタ!$B$6:$B$1005,0)),"常温"))</f>
        <v/>
      </c>
      <c r="AE290" s="69" t="str">
        <f aca="false">IF($C290="","",MAX(0,ROUNDUP(N($K290)/MAX(1,N($G290)),0)))</f>
        <v/>
      </c>
      <c r="AF290" s="66" t="str">
        <f aca="false">IF($C290="","",IFERROR(INDEX(商品マスタ!$L$6:$L$1005,MATCH($C290,商品マスタ!$B$6:$B$1005,0)),""))</f>
        <v/>
      </c>
      <c r="AG290" s="143" t="str">
        <f aca="false">IF($C290="","",IFERROR(INDEX(定数マスタ!$S$110:$S$119,MATCH($AF290,定数マスタ!$J$110:$J$119,0)),N('設定（最初に1回）'!$C$13)))</f>
        <v/>
      </c>
      <c r="AH290" s="66" t="n">
        <f aca="false">IF(AND(N($K290)&gt;0,N($Y290)&gt;0),N($Y290),0)</f>
        <v>0</v>
      </c>
    </row>
    <row r="291" customFormat="false" ht="15" hidden="false" customHeight="false" outlineLevel="0" collapsed="false">
      <c r="B291" s="66" t="n">
        <v>286</v>
      </c>
      <c r="C291" s="66" t="str">
        <f aca="false">IFERROR(IF($B291&lt;=MAX(①今日の在庫を貼る!$U$6:$U$10005),INDEX(①今日の在庫を貼る!$I$6:$I$10005,MATCH($B291,①今日の在庫を貼る!$U$6:$U$10005,0)),INDEX(月1回_前回の在庫を貼る!$I$6:$I$10005,MATCH($B291-MAX(①今日の在庫を貼る!$U$6:$U$10005),月1回_前回の在庫を貼る!$U$6:$U$10005,0))),"")</f>
        <v/>
      </c>
      <c r="D291" s="66" t="str">
        <f aca="false">IF($C291="","",IFERROR(INDEX(商品マスタ!$C$6:$C$1005,MATCH($C291,商品マスタ!$B$6:$B$1005,0)),IFERROR(INDEX(①今日の在庫を貼る!$J$6:$J$10005,MATCH($C291,①今日の在庫を貼る!$I$6:$I$10005,0)),IFERROR(INDEX(月1回_前回の在庫を貼る!$J$6:$J$10005,MATCH($C291,月1回_前回の在庫を貼る!$I$6:$I$10005,0)),""))))</f>
        <v/>
      </c>
      <c r="E291" s="66" t="str">
        <f aca="false">IF($C291="","",IFERROR(INDEX(商品マスタ!$D$6:$D$1005,MATCH($C291,商品マスタ!$B$6:$B$1005,0)),IFERROR(INDEX(①今日の在庫を貼る!$H$6:$H$10005,MATCH($C291,①今日の在庫を貼る!$I$6:$I$10005,0)),IFERROR(INDEX(月1回_前回の在庫を貼る!$H$6:$H$10005,MATCH($C291,月1回_前回の在庫を貼る!$I$6:$I$10005,0)),""))))</f>
        <v/>
      </c>
      <c r="F291" s="66" t="str">
        <f aca="false">IF($C291="","",IFERROR(INDEX(商品マスタ!$E$6:$E$1005,MATCH($C291,商品マスタ!$B$6:$B$1005,0)),IFERROR(INDEX(①今日の在庫を貼る!$E$6:$E$10005,MATCH($C291,①今日の在庫を貼る!$I$6:$I$10005,0)),IFERROR(INDEX(月1回_前回の在庫を貼る!$E$6:$E$10005,MATCH($C291,月1回_前回の在庫を貼る!$I$6:$I$10005,0)),""))))</f>
        <v/>
      </c>
      <c r="G291" s="69" t="str">
        <f aca="false">IF($C291="","",IFERROR(INDEX(商品マスタ!$F$6:$F$1005,MATCH($C291,商品マスタ!$B$6:$B$1005,0)),IFERROR(INDEX(①今日の在庫を貼る!$K$6:$K$10005,MATCH($C291,①今日の在庫を貼る!$I$6:$I$10005,0)),IFERROR(INDEX(月1回_前回の在庫を貼る!$K$6:$K$10005,MATCH($C291,月1回_前回の在庫を貼る!$I$6:$I$10005,0)),""))))</f>
        <v/>
      </c>
      <c r="H291" s="71" t="str">
        <f aca="false">IF($C291="","",IFERROR(INDEX(商品マスタ!$G$6:$G$1005,MATCH($C291,商品マスタ!$B$6:$B$1005,0)),IFERROR(INDEX(①今日の在庫を貼る!$Q$6:$Q$10005,MATCH($C291,①今日の在庫を貼る!$I$6:$I$10005,0)),IFERROR(INDEX(月1回_前回の在庫を貼る!$Q$6:$Q$10005,MATCH($C291,月1回_前回の在庫を貼る!$I$6:$I$10005,0)),""))))</f>
        <v/>
      </c>
      <c r="I291" s="66" t="str">
        <f aca="false">IF($C291="","",IFERROR(INDEX(商品マスタ!$H$6:$H$1005,MATCH($C291,商品マスタ!$B$6:$B$1005,0)),3))</f>
        <v/>
      </c>
      <c r="J291" s="66" t="str">
        <f aca="false">IF($C291="","",MAX(1,IFERROR(INDEX(商品マスタ!$I$6:$I$1005,MATCH($C291,商品マスタ!$B$6:$B$1005,0)),1)))</f>
        <v/>
      </c>
      <c r="K291" s="69" t="str">
        <f aca="false">IF($C291="","",SUMIFS(①今日の在庫を貼る!$N$6:$N$10005,①今日の在庫を貼る!$B$6:$B$10005,'設定（最初に1回）'!$C$4,①今日の在庫を貼る!$I$6:$I$10005,$C291))</f>
        <v/>
      </c>
      <c r="L291" s="69" t="str">
        <f aca="false">IF($C291="","",SUMIFS(月1回_前回の在庫を貼る!$N$6:$N$10005,月1回_前回の在庫を貼る!$B$6:$B$10005,'設定（最初に1回）'!$C$4,月1回_前回の在庫を貼る!$I$6:$I$10005,$C291))</f>
        <v/>
      </c>
      <c r="M291" s="69" t="str">
        <f aca="false">IF($C291="","",IF(OR('設定（最初に1回）'!$C$6="",'設定（最初に1回）'!$C$7=""),0,SUMIFS(発注管理!$S$6:$S$1005,発注管理!$C$6:$C$1005,'設定（最初に1回）'!$C$4,発注管理!$F$6:$F$1005,$C291,発注管理!$R$6:$R$1005,"&gt;="&amp;'設定（最初に1回）'!$C$7,発注管理!$R$6:$R$1005,"&lt;="&amp;'設定（最初に1回）'!$C$6)))</f>
        <v/>
      </c>
      <c r="N291" s="69" t="str">
        <f aca="false">IF(OR($C291="",'設定（最初に1回）'!$C$15=0),"",$L291+$M291-$K291)</f>
        <v/>
      </c>
      <c r="O291" s="143" t="str">
        <f aca="false">IF(OR($N291="",'設定（最初に1回）'!$C$8="",'設定（最初に1回）'!$C$8&lt;=0),"",MAX(0,$N291)/'設定（最初に1回）'!$C$8)</f>
        <v/>
      </c>
      <c r="P291" s="143" t="str">
        <f aca="false">IF($C291="","",IFERROR(INDEX(商品マスタ!$M$6:$N$1005,MATCH($C291,商品マスタ!$B$6:$B$1005,0),MATCH("PI値 "&amp;'設定（最初に1回）'!$C$11,商品マスタ!$M$5:$N$5,0)),""))</f>
        <v/>
      </c>
      <c r="Q291" s="143" t="str">
        <f aca="false">IF(OR($C291="",$P291="",$P291=0,(N($I291)+N($AG291))&lt;=0),"",IFERROR(SUMIFS(随時_動員を入れる!$G$8:$G$97,随時_動員を入れる!$B$8:$B$97,"&gt;="&amp;'設定（最初に1回）'!$C$6,随時_動員を入れる!$B$8:$B$97,"&lt;="&amp;'設定（最初に1回）'!$C$6+(N($I291)+N($AG291))-1)/(N($I291)+N($AG291)),0)*$P291/100)</f>
        <v/>
      </c>
      <c r="R291" s="69" t="str">
        <f aca="false">IF($C291="","",SUMIFS(①今日の在庫を貼る!$O$6:$O$10005,①今日の在庫を貼る!$B$6:$B$10005,'設定（最初に1回）'!$C$4,①今日の在庫を貼る!$I$6:$I$10005,$C291))</f>
        <v/>
      </c>
      <c r="S291" s="143" t="str">
        <f aca="false">IF($C291="","",IF('設定（最初に1回）'!$C$9="実績消費",N($O291),IF('設定（最初に1回）'!$C$9="PI値予測",N($Q291),MAX(N($O291),N($Q291)))))</f>
        <v/>
      </c>
      <c r="T291" s="67" t="str">
        <f aca="false">IF(OR($S291="",$S291&lt;=0),"",$K291/$S291)</f>
        <v/>
      </c>
      <c r="U291" s="69" t="str">
        <f aca="false">IF($S291="","",ROUNDUP(N($S291)*'設定（最初に1回）'!$C$12,0))</f>
        <v/>
      </c>
      <c r="V291" s="69" t="str">
        <f aca="false">IF($C291="","",ROUNDUP(N($S291)*(N($I291)+N($AG291))+N($U291),0))</f>
        <v/>
      </c>
      <c r="W291" s="69" t="str">
        <f aca="false">IF($C291="","",SUMIFS(発注管理!$L$6:$L$1005,発注管理!$C$6:$C$1005,'設定（最初に1回）'!$C$4,発注管理!$F$6:$F$1005,$C291,発注管理!$Q$6:$Q$1005,"発注済"))</f>
        <v/>
      </c>
      <c r="X291" s="69" t="str">
        <f aca="false">IF($C291="","",MAX(0,N($V291)-N($K291)-N($W291)))</f>
        <v/>
      </c>
      <c r="Y291" s="147" t="str">
        <f aca="false">IF($C291="","",IF(N($X291)&lt;=0,0,CEILING($X291/MAX(1,N($G291)),MAX(1,N($J291)))))</f>
        <v/>
      </c>
      <c r="Z291" s="138" t="str">
        <f aca="false">IF($C291="","",IF(N($Y291)&gt;0,"要発注","正常"))</f>
        <v/>
      </c>
      <c r="AA291" s="71" t="str">
        <f aca="false">IF($C291="","",N($K291)*N($H291))</f>
        <v/>
      </c>
      <c r="AB291" s="66" t="str">
        <f aca="false">IF($C291="","",_xlfn.TEXTJOIN(" / ",TRUE(),IF(COUNTIF(商品マスタ!$B$6:$B$1005,$C291)=0,"マスタ未登録",""),IF(COUNTIFS(月1回_前回の在庫を貼る!$B$6:$B$10005,'設定（最初に1回）'!$C$4,月1回_前回の在庫を貼る!$I$6:$I$10005,$C291)=0,"新商品",""),IF(COUNTIFS(①今日の在庫を貼る!$B$6:$B$10005,'設定（最初に1回）'!$C$4,①今日の在庫を貼る!$I$6:$I$10005,$C291)=0,"終売候補",""),IF(N($K291)&lt;0,"在庫マイナス",""),IF(AND('設定（最初に1回）'!$C$9="PI値予測",$P291=""),"PI値未設定","")))</f>
        <v/>
      </c>
      <c r="AC291" s="71" t="n">
        <f aca="false">N($Y291)*N($H291)</f>
        <v>0</v>
      </c>
      <c r="AD291" s="66" t="str">
        <f aca="false">IF($C291="","",IFERROR(INDEX(商品マスタ!$K$6:$K$1005,MATCH($C291,商品マスタ!$B$6:$B$1005,0)),"常温"))</f>
        <v/>
      </c>
      <c r="AE291" s="69" t="str">
        <f aca="false">IF($C291="","",MAX(0,ROUNDUP(N($K291)/MAX(1,N($G291)),0)))</f>
        <v/>
      </c>
      <c r="AF291" s="66" t="str">
        <f aca="false">IF($C291="","",IFERROR(INDEX(商品マスタ!$L$6:$L$1005,MATCH($C291,商品マスタ!$B$6:$B$1005,0)),""))</f>
        <v/>
      </c>
      <c r="AG291" s="143" t="str">
        <f aca="false">IF($C291="","",IFERROR(INDEX(定数マスタ!$S$110:$S$119,MATCH($AF291,定数マスタ!$J$110:$J$119,0)),N('設定（最初に1回）'!$C$13)))</f>
        <v/>
      </c>
      <c r="AH291" s="66" t="n">
        <f aca="false">IF(AND(N($K291)&gt;0,N($Y291)&gt;0),N($Y291),0)</f>
        <v>0</v>
      </c>
    </row>
    <row r="292" customFormat="false" ht="15" hidden="false" customHeight="false" outlineLevel="0" collapsed="false">
      <c r="B292" s="66" t="n">
        <v>287</v>
      </c>
      <c r="C292" s="66" t="str">
        <f aca="false">IFERROR(IF($B292&lt;=MAX(①今日の在庫を貼る!$U$6:$U$10005),INDEX(①今日の在庫を貼る!$I$6:$I$10005,MATCH($B292,①今日の在庫を貼る!$U$6:$U$10005,0)),INDEX(月1回_前回の在庫を貼る!$I$6:$I$10005,MATCH($B292-MAX(①今日の在庫を貼る!$U$6:$U$10005),月1回_前回の在庫を貼る!$U$6:$U$10005,0))),"")</f>
        <v/>
      </c>
      <c r="D292" s="66" t="str">
        <f aca="false">IF($C292="","",IFERROR(INDEX(商品マスタ!$C$6:$C$1005,MATCH($C292,商品マスタ!$B$6:$B$1005,0)),IFERROR(INDEX(①今日の在庫を貼る!$J$6:$J$10005,MATCH($C292,①今日の在庫を貼る!$I$6:$I$10005,0)),IFERROR(INDEX(月1回_前回の在庫を貼る!$J$6:$J$10005,MATCH($C292,月1回_前回の在庫を貼る!$I$6:$I$10005,0)),""))))</f>
        <v/>
      </c>
      <c r="E292" s="66" t="str">
        <f aca="false">IF($C292="","",IFERROR(INDEX(商品マスタ!$D$6:$D$1005,MATCH($C292,商品マスタ!$B$6:$B$1005,0)),IFERROR(INDEX(①今日の在庫を貼る!$H$6:$H$10005,MATCH($C292,①今日の在庫を貼る!$I$6:$I$10005,0)),IFERROR(INDEX(月1回_前回の在庫を貼る!$H$6:$H$10005,MATCH($C292,月1回_前回の在庫を貼る!$I$6:$I$10005,0)),""))))</f>
        <v/>
      </c>
      <c r="F292" s="66" t="str">
        <f aca="false">IF($C292="","",IFERROR(INDEX(商品マスタ!$E$6:$E$1005,MATCH($C292,商品マスタ!$B$6:$B$1005,0)),IFERROR(INDEX(①今日の在庫を貼る!$E$6:$E$10005,MATCH($C292,①今日の在庫を貼る!$I$6:$I$10005,0)),IFERROR(INDEX(月1回_前回の在庫を貼る!$E$6:$E$10005,MATCH($C292,月1回_前回の在庫を貼る!$I$6:$I$10005,0)),""))))</f>
        <v/>
      </c>
      <c r="G292" s="69" t="str">
        <f aca="false">IF($C292="","",IFERROR(INDEX(商品マスタ!$F$6:$F$1005,MATCH($C292,商品マスタ!$B$6:$B$1005,0)),IFERROR(INDEX(①今日の在庫を貼る!$K$6:$K$10005,MATCH($C292,①今日の在庫を貼る!$I$6:$I$10005,0)),IFERROR(INDEX(月1回_前回の在庫を貼る!$K$6:$K$10005,MATCH($C292,月1回_前回の在庫を貼る!$I$6:$I$10005,0)),""))))</f>
        <v/>
      </c>
      <c r="H292" s="71" t="str">
        <f aca="false">IF($C292="","",IFERROR(INDEX(商品マスタ!$G$6:$G$1005,MATCH($C292,商品マスタ!$B$6:$B$1005,0)),IFERROR(INDEX(①今日の在庫を貼る!$Q$6:$Q$10005,MATCH($C292,①今日の在庫を貼る!$I$6:$I$10005,0)),IFERROR(INDEX(月1回_前回の在庫を貼る!$Q$6:$Q$10005,MATCH($C292,月1回_前回の在庫を貼る!$I$6:$I$10005,0)),""))))</f>
        <v/>
      </c>
      <c r="I292" s="66" t="str">
        <f aca="false">IF($C292="","",IFERROR(INDEX(商品マスタ!$H$6:$H$1005,MATCH($C292,商品マスタ!$B$6:$B$1005,0)),3))</f>
        <v/>
      </c>
      <c r="J292" s="66" t="str">
        <f aca="false">IF($C292="","",MAX(1,IFERROR(INDEX(商品マスタ!$I$6:$I$1005,MATCH($C292,商品マスタ!$B$6:$B$1005,0)),1)))</f>
        <v/>
      </c>
      <c r="K292" s="69" t="str">
        <f aca="false">IF($C292="","",SUMIFS(①今日の在庫を貼る!$N$6:$N$10005,①今日の在庫を貼る!$B$6:$B$10005,'設定（最初に1回）'!$C$4,①今日の在庫を貼る!$I$6:$I$10005,$C292))</f>
        <v/>
      </c>
      <c r="L292" s="69" t="str">
        <f aca="false">IF($C292="","",SUMIFS(月1回_前回の在庫を貼る!$N$6:$N$10005,月1回_前回の在庫を貼る!$B$6:$B$10005,'設定（最初に1回）'!$C$4,月1回_前回の在庫を貼る!$I$6:$I$10005,$C292))</f>
        <v/>
      </c>
      <c r="M292" s="69" t="str">
        <f aca="false">IF($C292="","",IF(OR('設定（最初に1回）'!$C$6="",'設定（最初に1回）'!$C$7=""),0,SUMIFS(発注管理!$S$6:$S$1005,発注管理!$C$6:$C$1005,'設定（最初に1回）'!$C$4,発注管理!$F$6:$F$1005,$C292,発注管理!$R$6:$R$1005,"&gt;="&amp;'設定（最初に1回）'!$C$7,発注管理!$R$6:$R$1005,"&lt;="&amp;'設定（最初に1回）'!$C$6)))</f>
        <v/>
      </c>
      <c r="N292" s="69" t="str">
        <f aca="false">IF(OR($C292="",'設定（最初に1回）'!$C$15=0),"",$L292+$M292-$K292)</f>
        <v/>
      </c>
      <c r="O292" s="143" t="str">
        <f aca="false">IF(OR($N292="",'設定（最初に1回）'!$C$8="",'設定（最初に1回）'!$C$8&lt;=0),"",MAX(0,$N292)/'設定（最初に1回）'!$C$8)</f>
        <v/>
      </c>
      <c r="P292" s="143" t="str">
        <f aca="false">IF($C292="","",IFERROR(INDEX(商品マスタ!$M$6:$N$1005,MATCH($C292,商品マスタ!$B$6:$B$1005,0),MATCH("PI値 "&amp;'設定（最初に1回）'!$C$11,商品マスタ!$M$5:$N$5,0)),""))</f>
        <v/>
      </c>
      <c r="Q292" s="143" t="str">
        <f aca="false">IF(OR($C292="",$P292="",$P292=0,(N($I292)+N($AG292))&lt;=0),"",IFERROR(SUMIFS(随時_動員を入れる!$G$8:$G$97,随時_動員を入れる!$B$8:$B$97,"&gt;="&amp;'設定（最初に1回）'!$C$6,随時_動員を入れる!$B$8:$B$97,"&lt;="&amp;'設定（最初に1回）'!$C$6+(N($I292)+N($AG292))-1)/(N($I292)+N($AG292)),0)*$P292/100)</f>
        <v/>
      </c>
      <c r="R292" s="69" t="str">
        <f aca="false">IF($C292="","",SUMIFS(①今日の在庫を貼る!$O$6:$O$10005,①今日の在庫を貼る!$B$6:$B$10005,'設定（最初に1回）'!$C$4,①今日の在庫を貼る!$I$6:$I$10005,$C292))</f>
        <v/>
      </c>
      <c r="S292" s="143" t="str">
        <f aca="false">IF($C292="","",IF('設定（最初に1回）'!$C$9="実績消費",N($O292),IF('設定（最初に1回）'!$C$9="PI値予測",N($Q292),MAX(N($O292),N($Q292)))))</f>
        <v/>
      </c>
      <c r="T292" s="67" t="str">
        <f aca="false">IF(OR($S292="",$S292&lt;=0),"",$K292/$S292)</f>
        <v/>
      </c>
      <c r="U292" s="69" t="str">
        <f aca="false">IF($S292="","",ROUNDUP(N($S292)*'設定（最初に1回）'!$C$12,0))</f>
        <v/>
      </c>
      <c r="V292" s="69" t="str">
        <f aca="false">IF($C292="","",ROUNDUP(N($S292)*(N($I292)+N($AG292))+N($U292),0))</f>
        <v/>
      </c>
      <c r="W292" s="69" t="str">
        <f aca="false">IF($C292="","",SUMIFS(発注管理!$L$6:$L$1005,発注管理!$C$6:$C$1005,'設定（最初に1回）'!$C$4,発注管理!$F$6:$F$1005,$C292,発注管理!$Q$6:$Q$1005,"発注済"))</f>
        <v/>
      </c>
      <c r="X292" s="69" t="str">
        <f aca="false">IF($C292="","",MAX(0,N($V292)-N($K292)-N($W292)))</f>
        <v/>
      </c>
      <c r="Y292" s="147" t="str">
        <f aca="false">IF($C292="","",IF(N($X292)&lt;=0,0,CEILING($X292/MAX(1,N($G292)),MAX(1,N($J292)))))</f>
        <v/>
      </c>
      <c r="Z292" s="138" t="str">
        <f aca="false">IF($C292="","",IF(N($Y292)&gt;0,"要発注","正常"))</f>
        <v/>
      </c>
      <c r="AA292" s="71" t="str">
        <f aca="false">IF($C292="","",N($K292)*N($H292))</f>
        <v/>
      </c>
      <c r="AB292" s="66" t="str">
        <f aca="false">IF($C292="","",_xlfn.TEXTJOIN(" / ",TRUE(),IF(COUNTIF(商品マスタ!$B$6:$B$1005,$C292)=0,"マスタ未登録",""),IF(COUNTIFS(月1回_前回の在庫を貼る!$B$6:$B$10005,'設定（最初に1回）'!$C$4,月1回_前回の在庫を貼る!$I$6:$I$10005,$C292)=0,"新商品",""),IF(COUNTIFS(①今日の在庫を貼る!$B$6:$B$10005,'設定（最初に1回）'!$C$4,①今日の在庫を貼る!$I$6:$I$10005,$C292)=0,"終売候補",""),IF(N($K292)&lt;0,"在庫マイナス",""),IF(AND('設定（最初に1回）'!$C$9="PI値予測",$P292=""),"PI値未設定","")))</f>
        <v/>
      </c>
      <c r="AC292" s="71" t="n">
        <f aca="false">N($Y292)*N($H292)</f>
        <v>0</v>
      </c>
      <c r="AD292" s="66" t="str">
        <f aca="false">IF($C292="","",IFERROR(INDEX(商品マスタ!$K$6:$K$1005,MATCH($C292,商品マスタ!$B$6:$B$1005,0)),"常温"))</f>
        <v/>
      </c>
      <c r="AE292" s="69" t="str">
        <f aca="false">IF($C292="","",MAX(0,ROUNDUP(N($K292)/MAX(1,N($G292)),0)))</f>
        <v/>
      </c>
      <c r="AF292" s="66" t="str">
        <f aca="false">IF($C292="","",IFERROR(INDEX(商品マスタ!$L$6:$L$1005,MATCH($C292,商品マスタ!$B$6:$B$1005,0)),""))</f>
        <v/>
      </c>
      <c r="AG292" s="143" t="str">
        <f aca="false">IF($C292="","",IFERROR(INDEX(定数マスタ!$S$110:$S$119,MATCH($AF292,定数マスタ!$J$110:$J$119,0)),N('設定（最初に1回）'!$C$13)))</f>
        <v/>
      </c>
      <c r="AH292" s="66" t="n">
        <f aca="false">IF(AND(N($K292)&gt;0,N($Y292)&gt;0),N($Y292),0)</f>
        <v>0</v>
      </c>
    </row>
    <row r="293" customFormat="false" ht="15" hidden="false" customHeight="false" outlineLevel="0" collapsed="false">
      <c r="B293" s="66" t="n">
        <v>288</v>
      </c>
      <c r="C293" s="66" t="str">
        <f aca="false">IFERROR(IF($B293&lt;=MAX(①今日の在庫を貼る!$U$6:$U$10005),INDEX(①今日の在庫を貼る!$I$6:$I$10005,MATCH($B293,①今日の在庫を貼る!$U$6:$U$10005,0)),INDEX(月1回_前回の在庫を貼る!$I$6:$I$10005,MATCH($B293-MAX(①今日の在庫を貼る!$U$6:$U$10005),月1回_前回の在庫を貼る!$U$6:$U$10005,0))),"")</f>
        <v/>
      </c>
      <c r="D293" s="66" t="str">
        <f aca="false">IF($C293="","",IFERROR(INDEX(商品マスタ!$C$6:$C$1005,MATCH($C293,商品マスタ!$B$6:$B$1005,0)),IFERROR(INDEX(①今日の在庫を貼る!$J$6:$J$10005,MATCH($C293,①今日の在庫を貼る!$I$6:$I$10005,0)),IFERROR(INDEX(月1回_前回の在庫を貼る!$J$6:$J$10005,MATCH($C293,月1回_前回の在庫を貼る!$I$6:$I$10005,0)),""))))</f>
        <v/>
      </c>
      <c r="E293" s="66" t="str">
        <f aca="false">IF($C293="","",IFERROR(INDEX(商品マスタ!$D$6:$D$1005,MATCH($C293,商品マスタ!$B$6:$B$1005,0)),IFERROR(INDEX(①今日の在庫を貼る!$H$6:$H$10005,MATCH($C293,①今日の在庫を貼る!$I$6:$I$10005,0)),IFERROR(INDEX(月1回_前回の在庫を貼る!$H$6:$H$10005,MATCH($C293,月1回_前回の在庫を貼る!$I$6:$I$10005,0)),""))))</f>
        <v/>
      </c>
      <c r="F293" s="66" t="str">
        <f aca="false">IF($C293="","",IFERROR(INDEX(商品マスタ!$E$6:$E$1005,MATCH($C293,商品マスタ!$B$6:$B$1005,0)),IFERROR(INDEX(①今日の在庫を貼る!$E$6:$E$10005,MATCH($C293,①今日の在庫を貼る!$I$6:$I$10005,0)),IFERROR(INDEX(月1回_前回の在庫を貼る!$E$6:$E$10005,MATCH($C293,月1回_前回の在庫を貼る!$I$6:$I$10005,0)),""))))</f>
        <v/>
      </c>
      <c r="G293" s="69" t="str">
        <f aca="false">IF($C293="","",IFERROR(INDEX(商品マスタ!$F$6:$F$1005,MATCH($C293,商品マスタ!$B$6:$B$1005,0)),IFERROR(INDEX(①今日の在庫を貼る!$K$6:$K$10005,MATCH($C293,①今日の在庫を貼る!$I$6:$I$10005,0)),IFERROR(INDEX(月1回_前回の在庫を貼る!$K$6:$K$10005,MATCH($C293,月1回_前回の在庫を貼る!$I$6:$I$10005,0)),""))))</f>
        <v/>
      </c>
      <c r="H293" s="71" t="str">
        <f aca="false">IF($C293="","",IFERROR(INDEX(商品マスタ!$G$6:$G$1005,MATCH($C293,商品マスタ!$B$6:$B$1005,0)),IFERROR(INDEX(①今日の在庫を貼る!$Q$6:$Q$10005,MATCH($C293,①今日の在庫を貼る!$I$6:$I$10005,0)),IFERROR(INDEX(月1回_前回の在庫を貼る!$Q$6:$Q$10005,MATCH($C293,月1回_前回の在庫を貼る!$I$6:$I$10005,0)),""))))</f>
        <v/>
      </c>
      <c r="I293" s="66" t="str">
        <f aca="false">IF($C293="","",IFERROR(INDEX(商品マスタ!$H$6:$H$1005,MATCH($C293,商品マスタ!$B$6:$B$1005,0)),3))</f>
        <v/>
      </c>
      <c r="J293" s="66" t="str">
        <f aca="false">IF($C293="","",MAX(1,IFERROR(INDEX(商品マスタ!$I$6:$I$1005,MATCH($C293,商品マスタ!$B$6:$B$1005,0)),1)))</f>
        <v/>
      </c>
      <c r="K293" s="69" t="str">
        <f aca="false">IF($C293="","",SUMIFS(①今日の在庫を貼る!$N$6:$N$10005,①今日の在庫を貼る!$B$6:$B$10005,'設定（最初に1回）'!$C$4,①今日の在庫を貼る!$I$6:$I$10005,$C293))</f>
        <v/>
      </c>
      <c r="L293" s="69" t="str">
        <f aca="false">IF($C293="","",SUMIFS(月1回_前回の在庫を貼る!$N$6:$N$10005,月1回_前回の在庫を貼る!$B$6:$B$10005,'設定（最初に1回）'!$C$4,月1回_前回の在庫を貼る!$I$6:$I$10005,$C293))</f>
        <v/>
      </c>
      <c r="M293" s="69" t="str">
        <f aca="false">IF($C293="","",IF(OR('設定（最初に1回）'!$C$6="",'設定（最初に1回）'!$C$7=""),0,SUMIFS(発注管理!$S$6:$S$1005,発注管理!$C$6:$C$1005,'設定（最初に1回）'!$C$4,発注管理!$F$6:$F$1005,$C293,発注管理!$R$6:$R$1005,"&gt;="&amp;'設定（最初に1回）'!$C$7,発注管理!$R$6:$R$1005,"&lt;="&amp;'設定（最初に1回）'!$C$6)))</f>
        <v/>
      </c>
      <c r="N293" s="69" t="str">
        <f aca="false">IF(OR($C293="",'設定（最初に1回）'!$C$15=0),"",$L293+$M293-$K293)</f>
        <v/>
      </c>
      <c r="O293" s="143" t="str">
        <f aca="false">IF(OR($N293="",'設定（最初に1回）'!$C$8="",'設定（最初に1回）'!$C$8&lt;=0),"",MAX(0,$N293)/'設定（最初に1回）'!$C$8)</f>
        <v/>
      </c>
      <c r="P293" s="143" t="str">
        <f aca="false">IF($C293="","",IFERROR(INDEX(商品マスタ!$M$6:$N$1005,MATCH($C293,商品マスタ!$B$6:$B$1005,0),MATCH("PI値 "&amp;'設定（最初に1回）'!$C$11,商品マスタ!$M$5:$N$5,0)),""))</f>
        <v/>
      </c>
      <c r="Q293" s="143" t="str">
        <f aca="false">IF(OR($C293="",$P293="",$P293=0,(N($I293)+N($AG293))&lt;=0),"",IFERROR(SUMIFS(随時_動員を入れる!$G$8:$G$97,随時_動員を入れる!$B$8:$B$97,"&gt;="&amp;'設定（最初に1回）'!$C$6,随時_動員を入れる!$B$8:$B$97,"&lt;="&amp;'設定（最初に1回）'!$C$6+(N($I293)+N($AG293))-1)/(N($I293)+N($AG293)),0)*$P293/100)</f>
        <v/>
      </c>
      <c r="R293" s="69" t="str">
        <f aca="false">IF($C293="","",SUMIFS(①今日の在庫を貼る!$O$6:$O$10005,①今日の在庫を貼る!$B$6:$B$10005,'設定（最初に1回）'!$C$4,①今日の在庫を貼る!$I$6:$I$10005,$C293))</f>
        <v/>
      </c>
      <c r="S293" s="143" t="str">
        <f aca="false">IF($C293="","",IF('設定（最初に1回）'!$C$9="実績消費",N($O293),IF('設定（最初に1回）'!$C$9="PI値予測",N($Q293),MAX(N($O293),N($Q293)))))</f>
        <v/>
      </c>
      <c r="T293" s="67" t="str">
        <f aca="false">IF(OR($S293="",$S293&lt;=0),"",$K293/$S293)</f>
        <v/>
      </c>
      <c r="U293" s="69" t="str">
        <f aca="false">IF($S293="","",ROUNDUP(N($S293)*'設定（最初に1回）'!$C$12,0))</f>
        <v/>
      </c>
      <c r="V293" s="69" t="str">
        <f aca="false">IF($C293="","",ROUNDUP(N($S293)*(N($I293)+N($AG293))+N($U293),0))</f>
        <v/>
      </c>
      <c r="W293" s="69" t="str">
        <f aca="false">IF($C293="","",SUMIFS(発注管理!$L$6:$L$1005,発注管理!$C$6:$C$1005,'設定（最初に1回）'!$C$4,発注管理!$F$6:$F$1005,$C293,発注管理!$Q$6:$Q$1005,"発注済"))</f>
        <v/>
      </c>
      <c r="X293" s="69" t="str">
        <f aca="false">IF($C293="","",MAX(0,N($V293)-N($K293)-N($W293)))</f>
        <v/>
      </c>
      <c r="Y293" s="147" t="str">
        <f aca="false">IF($C293="","",IF(N($X293)&lt;=0,0,CEILING($X293/MAX(1,N($G293)),MAX(1,N($J293)))))</f>
        <v/>
      </c>
      <c r="Z293" s="138" t="str">
        <f aca="false">IF($C293="","",IF(N($Y293)&gt;0,"要発注","正常"))</f>
        <v/>
      </c>
      <c r="AA293" s="71" t="str">
        <f aca="false">IF($C293="","",N($K293)*N($H293))</f>
        <v/>
      </c>
      <c r="AB293" s="66" t="str">
        <f aca="false">IF($C293="","",_xlfn.TEXTJOIN(" / ",TRUE(),IF(COUNTIF(商品マスタ!$B$6:$B$1005,$C293)=0,"マスタ未登録",""),IF(COUNTIFS(月1回_前回の在庫を貼る!$B$6:$B$10005,'設定（最初に1回）'!$C$4,月1回_前回の在庫を貼る!$I$6:$I$10005,$C293)=0,"新商品",""),IF(COUNTIFS(①今日の在庫を貼る!$B$6:$B$10005,'設定（最初に1回）'!$C$4,①今日の在庫を貼る!$I$6:$I$10005,$C293)=0,"終売候補",""),IF(N($K293)&lt;0,"在庫マイナス",""),IF(AND('設定（最初に1回）'!$C$9="PI値予測",$P293=""),"PI値未設定","")))</f>
        <v/>
      </c>
      <c r="AC293" s="71" t="n">
        <f aca="false">N($Y293)*N($H293)</f>
        <v>0</v>
      </c>
      <c r="AD293" s="66" t="str">
        <f aca="false">IF($C293="","",IFERROR(INDEX(商品マスタ!$K$6:$K$1005,MATCH($C293,商品マスタ!$B$6:$B$1005,0)),"常温"))</f>
        <v/>
      </c>
      <c r="AE293" s="69" t="str">
        <f aca="false">IF($C293="","",MAX(0,ROUNDUP(N($K293)/MAX(1,N($G293)),0)))</f>
        <v/>
      </c>
      <c r="AF293" s="66" t="str">
        <f aca="false">IF($C293="","",IFERROR(INDEX(商品マスタ!$L$6:$L$1005,MATCH($C293,商品マスタ!$B$6:$B$1005,0)),""))</f>
        <v/>
      </c>
      <c r="AG293" s="143" t="str">
        <f aca="false">IF($C293="","",IFERROR(INDEX(定数マスタ!$S$110:$S$119,MATCH($AF293,定数マスタ!$J$110:$J$119,0)),N('設定（最初に1回）'!$C$13)))</f>
        <v/>
      </c>
      <c r="AH293" s="66" t="n">
        <f aca="false">IF(AND(N($K293)&gt;0,N($Y293)&gt;0),N($Y293),0)</f>
        <v>0</v>
      </c>
    </row>
    <row r="294" customFormat="false" ht="15" hidden="false" customHeight="false" outlineLevel="0" collapsed="false">
      <c r="B294" s="66" t="n">
        <v>289</v>
      </c>
      <c r="C294" s="66" t="str">
        <f aca="false">IFERROR(IF($B294&lt;=MAX(①今日の在庫を貼る!$U$6:$U$10005),INDEX(①今日の在庫を貼る!$I$6:$I$10005,MATCH($B294,①今日の在庫を貼る!$U$6:$U$10005,0)),INDEX(月1回_前回の在庫を貼る!$I$6:$I$10005,MATCH($B294-MAX(①今日の在庫を貼る!$U$6:$U$10005),月1回_前回の在庫を貼る!$U$6:$U$10005,0))),"")</f>
        <v/>
      </c>
      <c r="D294" s="66" t="str">
        <f aca="false">IF($C294="","",IFERROR(INDEX(商品マスタ!$C$6:$C$1005,MATCH($C294,商品マスタ!$B$6:$B$1005,0)),IFERROR(INDEX(①今日の在庫を貼る!$J$6:$J$10005,MATCH($C294,①今日の在庫を貼る!$I$6:$I$10005,0)),IFERROR(INDEX(月1回_前回の在庫を貼る!$J$6:$J$10005,MATCH($C294,月1回_前回の在庫を貼る!$I$6:$I$10005,0)),""))))</f>
        <v/>
      </c>
      <c r="E294" s="66" t="str">
        <f aca="false">IF($C294="","",IFERROR(INDEX(商品マスタ!$D$6:$D$1005,MATCH($C294,商品マスタ!$B$6:$B$1005,0)),IFERROR(INDEX(①今日の在庫を貼る!$H$6:$H$10005,MATCH($C294,①今日の在庫を貼る!$I$6:$I$10005,0)),IFERROR(INDEX(月1回_前回の在庫を貼る!$H$6:$H$10005,MATCH($C294,月1回_前回の在庫を貼る!$I$6:$I$10005,0)),""))))</f>
        <v/>
      </c>
      <c r="F294" s="66" t="str">
        <f aca="false">IF($C294="","",IFERROR(INDEX(商品マスタ!$E$6:$E$1005,MATCH($C294,商品マスタ!$B$6:$B$1005,0)),IFERROR(INDEX(①今日の在庫を貼る!$E$6:$E$10005,MATCH($C294,①今日の在庫を貼る!$I$6:$I$10005,0)),IFERROR(INDEX(月1回_前回の在庫を貼る!$E$6:$E$10005,MATCH($C294,月1回_前回の在庫を貼る!$I$6:$I$10005,0)),""))))</f>
        <v/>
      </c>
      <c r="G294" s="69" t="str">
        <f aca="false">IF($C294="","",IFERROR(INDEX(商品マスタ!$F$6:$F$1005,MATCH($C294,商品マスタ!$B$6:$B$1005,0)),IFERROR(INDEX(①今日の在庫を貼る!$K$6:$K$10005,MATCH($C294,①今日の在庫を貼る!$I$6:$I$10005,0)),IFERROR(INDEX(月1回_前回の在庫を貼る!$K$6:$K$10005,MATCH($C294,月1回_前回の在庫を貼る!$I$6:$I$10005,0)),""))))</f>
        <v/>
      </c>
      <c r="H294" s="71" t="str">
        <f aca="false">IF($C294="","",IFERROR(INDEX(商品マスタ!$G$6:$G$1005,MATCH($C294,商品マスタ!$B$6:$B$1005,0)),IFERROR(INDEX(①今日の在庫を貼る!$Q$6:$Q$10005,MATCH($C294,①今日の在庫を貼る!$I$6:$I$10005,0)),IFERROR(INDEX(月1回_前回の在庫を貼る!$Q$6:$Q$10005,MATCH($C294,月1回_前回の在庫を貼る!$I$6:$I$10005,0)),""))))</f>
        <v/>
      </c>
      <c r="I294" s="66" t="str">
        <f aca="false">IF($C294="","",IFERROR(INDEX(商品マスタ!$H$6:$H$1005,MATCH($C294,商品マスタ!$B$6:$B$1005,0)),3))</f>
        <v/>
      </c>
      <c r="J294" s="66" t="str">
        <f aca="false">IF($C294="","",MAX(1,IFERROR(INDEX(商品マスタ!$I$6:$I$1005,MATCH($C294,商品マスタ!$B$6:$B$1005,0)),1)))</f>
        <v/>
      </c>
      <c r="K294" s="69" t="str">
        <f aca="false">IF($C294="","",SUMIFS(①今日の在庫を貼る!$N$6:$N$10005,①今日の在庫を貼る!$B$6:$B$10005,'設定（最初に1回）'!$C$4,①今日の在庫を貼る!$I$6:$I$10005,$C294))</f>
        <v/>
      </c>
      <c r="L294" s="69" t="str">
        <f aca="false">IF($C294="","",SUMIFS(月1回_前回の在庫を貼る!$N$6:$N$10005,月1回_前回の在庫を貼る!$B$6:$B$10005,'設定（最初に1回）'!$C$4,月1回_前回の在庫を貼る!$I$6:$I$10005,$C294))</f>
        <v/>
      </c>
      <c r="M294" s="69" t="str">
        <f aca="false">IF($C294="","",IF(OR('設定（最初に1回）'!$C$6="",'設定（最初に1回）'!$C$7=""),0,SUMIFS(発注管理!$S$6:$S$1005,発注管理!$C$6:$C$1005,'設定（最初に1回）'!$C$4,発注管理!$F$6:$F$1005,$C294,発注管理!$R$6:$R$1005,"&gt;="&amp;'設定（最初に1回）'!$C$7,発注管理!$R$6:$R$1005,"&lt;="&amp;'設定（最初に1回）'!$C$6)))</f>
        <v/>
      </c>
      <c r="N294" s="69" t="str">
        <f aca="false">IF(OR($C294="",'設定（最初に1回）'!$C$15=0),"",$L294+$M294-$K294)</f>
        <v/>
      </c>
      <c r="O294" s="143" t="str">
        <f aca="false">IF(OR($N294="",'設定（最初に1回）'!$C$8="",'設定（最初に1回）'!$C$8&lt;=0),"",MAX(0,$N294)/'設定（最初に1回）'!$C$8)</f>
        <v/>
      </c>
      <c r="P294" s="143" t="str">
        <f aca="false">IF($C294="","",IFERROR(INDEX(商品マスタ!$M$6:$N$1005,MATCH($C294,商品マスタ!$B$6:$B$1005,0),MATCH("PI値 "&amp;'設定（最初に1回）'!$C$11,商品マスタ!$M$5:$N$5,0)),""))</f>
        <v/>
      </c>
      <c r="Q294" s="143" t="str">
        <f aca="false">IF(OR($C294="",$P294="",$P294=0,(N($I294)+N($AG294))&lt;=0),"",IFERROR(SUMIFS(随時_動員を入れる!$G$8:$G$97,随時_動員を入れる!$B$8:$B$97,"&gt;="&amp;'設定（最初に1回）'!$C$6,随時_動員を入れる!$B$8:$B$97,"&lt;="&amp;'設定（最初に1回）'!$C$6+(N($I294)+N($AG294))-1)/(N($I294)+N($AG294)),0)*$P294/100)</f>
        <v/>
      </c>
      <c r="R294" s="69" t="str">
        <f aca="false">IF($C294="","",SUMIFS(①今日の在庫を貼る!$O$6:$O$10005,①今日の在庫を貼る!$B$6:$B$10005,'設定（最初に1回）'!$C$4,①今日の在庫を貼る!$I$6:$I$10005,$C294))</f>
        <v/>
      </c>
      <c r="S294" s="143" t="str">
        <f aca="false">IF($C294="","",IF('設定（最初に1回）'!$C$9="実績消費",N($O294),IF('設定（最初に1回）'!$C$9="PI値予測",N($Q294),MAX(N($O294),N($Q294)))))</f>
        <v/>
      </c>
      <c r="T294" s="67" t="str">
        <f aca="false">IF(OR($S294="",$S294&lt;=0),"",$K294/$S294)</f>
        <v/>
      </c>
      <c r="U294" s="69" t="str">
        <f aca="false">IF($S294="","",ROUNDUP(N($S294)*'設定（最初に1回）'!$C$12,0))</f>
        <v/>
      </c>
      <c r="V294" s="69" t="str">
        <f aca="false">IF($C294="","",ROUNDUP(N($S294)*(N($I294)+N($AG294))+N($U294),0))</f>
        <v/>
      </c>
      <c r="W294" s="69" t="str">
        <f aca="false">IF($C294="","",SUMIFS(発注管理!$L$6:$L$1005,発注管理!$C$6:$C$1005,'設定（最初に1回）'!$C$4,発注管理!$F$6:$F$1005,$C294,発注管理!$Q$6:$Q$1005,"発注済"))</f>
        <v/>
      </c>
      <c r="X294" s="69" t="str">
        <f aca="false">IF($C294="","",MAX(0,N($V294)-N($K294)-N($W294)))</f>
        <v/>
      </c>
      <c r="Y294" s="147" t="str">
        <f aca="false">IF($C294="","",IF(N($X294)&lt;=0,0,CEILING($X294/MAX(1,N($G294)),MAX(1,N($J294)))))</f>
        <v/>
      </c>
      <c r="Z294" s="138" t="str">
        <f aca="false">IF($C294="","",IF(N($Y294)&gt;0,"要発注","正常"))</f>
        <v/>
      </c>
      <c r="AA294" s="71" t="str">
        <f aca="false">IF($C294="","",N($K294)*N($H294))</f>
        <v/>
      </c>
      <c r="AB294" s="66" t="str">
        <f aca="false">IF($C294="","",_xlfn.TEXTJOIN(" / ",TRUE(),IF(COUNTIF(商品マスタ!$B$6:$B$1005,$C294)=0,"マスタ未登録",""),IF(COUNTIFS(月1回_前回の在庫を貼る!$B$6:$B$10005,'設定（最初に1回）'!$C$4,月1回_前回の在庫を貼る!$I$6:$I$10005,$C294)=0,"新商品",""),IF(COUNTIFS(①今日の在庫を貼る!$B$6:$B$10005,'設定（最初に1回）'!$C$4,①今日の在庫を貼る!$I$6:$I$10005,$C294)=0,"終売候補",""),IF(N($K294)&lt;0,"在庫マイナス",""),IF(AND('設定（最初に1回）'!$C$9="PI値予測",$P294=""),"PI値未設定","")))</f>
        <v/>
      </c>
      <c r="AC294" s="71" t="n">
        <f aca="false">N($Y294)*N($H294)</f>
        <v>0</v>
      </c>
      <c r="AD294" s="66" t="str">
        <f aca="false">IF($C294="","",IFERROR(INDEX(商品マスタ!$K$6:$K$1005,MATCH($C294,商品マスタ!$B$6:$B$1005,0)),"常温"))</f>
        <v/>
      </c>
      <c r="AE294" s="69" t="str">
        <f aca="false">IF($C294="","",MAX(0,ROUNDUP(N($K294)/MAX(1,N($G294)),0)))</f>
        <v/>
      </c>
      <c r="AF294" s="66" t="str">
        <f aca="false">IF($C294="","",IFERROR(INDEX(商品マスタ!$L$6:$L$1005,MATCH($C294,商品マスタ!$B$6:$B$1005,0)),""))</f>
        <v/>
      </c>
      <c r="AG294" s="143" t="str">
        <f aca="false">IF($C294="","",IFERROR(INDEX(定数マスタ!$S$110:$S$119,MATCH($AF294,定数マスタ!$J$110:$J$119,0)),N('設定（最初に1回）'!$C$13)))</f>
        <v/>
      </c>
      <c r="AH294" s="66" t="n">
        <f aca="false">IF(AND(N($K294)&gt;0,N($Y294)&gt;0),N($Y294),0)</f>
        <v>0</v>
      </c>
    </row>
    <row r="295" customFormat="false" ht="15" hidden="false" customHeight="false" outlineLevel="0" collapsed="false">
      <c r="B295" s="66" t="n">
        <v>290</v>
      </c>
      <c r="C295" s="66" t="str">
        <f aca="false">IFERROR(IF($B295&lt;=MAX(①今日の在庫を貼る!$U$6:$U$10005),INDEX(①今日の在庫を貼る!$I$6:$I$10005,MATCH($B295,①今日の在庫を貼る!$U$6:$U$10005,0)),INDEX(月1回_前回の在庫を貼る!$I$6:$I$10005,MATCH($B295-MAX(①今日の在庫を貼る!$U$6:$U$10005),月1回_前回の在庫を貼る!$U$6:$U$10005,0))),"")</f>
        <v/>
      </c>
      <c r="D295" s="66" t="str">
        <f aca="false">IF($C295="","",IFERROR(INDEX(商品マスタ!$C$6:$C$1005,MATCH($C295,商品マスタ!$B$6:$B$1005,0)),IFERROR(INDEX(①今日の在庫を貼る!$J$6:$J$10005,MATCH($C295,①今日の在庫を貼る!$I$6:$I$10005,0)),IFERROR(INDEX(月1回_前回の在庫を貼る!$J$6:$J$10005,MATCH($C295,月1回_前回の在庫を貼る!$I$6:$I$10005,0)),""))))</f>
        <v/>
      </c>
      <c r="E295" s="66" t="str">
        <f aca="false">IF($C295="","",IFERROR(INDEX(商品マスタ!$D$6:$D$1005,MATCH($C295,商品マスタ!$B$6:$B$1005,0)),IFERROR(INDEX(①今日の在庫を貼る!$H$6:$H$10005,MATCH($C295,①今日の在庫を貼る!$I$6:$I$10005,0)),IFERROR(INDEX(月1回_前回の在庫を貼る!$H$6:$H$10005,MATCH($C295,月1回_前回の在庫を貼る!$I$6:$I$10005,0)),""))))</f>
        <v/>
      </c>
      <c r="F295" s="66" t="str">
        <f aca="false">IF($C295="","",IFERROR(INDEX(商品マスタ!$E$6:$E$1005,MATCH($C295,商品マスタ!$B$6:$B$1005,0)),IFERROR(INDEX(①今日の在庫を貼る!$E$6:$E$10005,MATCH($C295,①今日の在庫を貼る!$I$6:$I$10005,0)),IFERROR(INDEX(月1回_前回の在庫を貼る!$E$6:$E$10005,MATCH($C295,月1回_前回の在庫を貼る!$I$6:$I$10005,0)),""))))</f>
        <v/>
      </c>
      <c r="G295" s="69" t="str">
        <f aca="false">IF($C295="","",IFERROR(INDEX(商品マスタ!$F$6:$F$1005,MATCH($C295,商品マスタ!$B$6:$B$1005,0)),IFERROR(INDEX(①今日の在庫を貼る!$K$6:$K$10005,MATCH($C295,①今日の在庫を貼る!$I$6:$I$10005,0)),IFERROR(INDEX(月1回_前回の在庫を貼る!$K$6:$K$10005,MATCH($C295,月1回_前回の在庫を貼る!$I$6:$I$10005,0)),""))))</f>
        <v/>
      </c>
      <c r="H295" s="71" t="str">
        <f aca="false">IF($C295="","",IFERROR(INDEX(商品マスタ!$G$6:$G$1005,MATCH($C295,商品マスタ!$B$6:$B$1005,0)),IFERROR(INDEX(①今日の在庫を貼る!$Q$6:$Q$10005,MATCH($C295,①今日の在庫を貼る!$I$6:$I$10005,0)),IFERROR(INDEX(月1回_前回の在庫を貼る!$Q$6:$Q$10005,MATCH($C295,月1回_前回の在庫を貼る!$I$6:$I$10005,0)),""))))</f>
        <v/>
      </c>
      <c r="I295" s="66" t="str">
        <f aca="false">IF($C295="","",IFERROR(INDEX(商品マスタ!$H$6:$H$1005,MATCH($C295,商品マスタ!$B$6:$B$1005,0)),3))</f>
        <v/>
      </c>
      <c r="J295" s="66" t="str">
        <f aca="false">IF($C295="","",MAX(1,IFERROR(INDEX(商品マスタ!$I$6:$I$1005,MATCH($C295,商品マスタ!$B$6:$B$1005,0)),1)))</f>
        <v/>
      </c>
      <c r="K295" s="69" t="str">
        <f aca="false">IF($C295="","",SUMIFS(①今日の在庫を貼る!$N$6:$N$10005,①今日の在庫を貼る!$B$6:$B$10005,'設定（最初に1回）'!$C$4,①今日の在庫を貼る!$I$6:$I$10005,$C295))</f>
        <v/>
      </c>
      <c r="L295" s="69" t="str">
        <f aca="false">IF($C295="","",SUMIFS(月1回_前回の在庫を貼る!$N$6:$N$10005,月1回_前回の在庫を貼る!$B$6:$B$10005,'設定（最初に1回）'!$C$4,月1回_前回の在庫を貼る!$I$6:$I$10005,$C295))</f>
        <v/>
      </c>
      <c r="M295" s="69" t="str">
        <f aca="false">IF($C295="","",IF(OR('設定（最初に1回）'!$C$6="",'設定（最初に1回）'!$C$7=""),0,SUMIFS(発注管理!$S$6:$S$1005,発注管理!$C$6:$C$1005,'設定（最初に1回）'!$C$4,発注管理!$F$6:$F$1005,$C295,発注管理!$R$6:$R$1005,"&gt;="&amp;'設定（最初に1回）'!$C$7,発注管理!$R$6:$R$1005,"&lt;="&amp;'設定（最初に1回）'!$C$6)))</f>
        <v/>
      </c>
      <c r="N295" s="69" t="str">
        <f aca="false">IF(OR($C295="",'設定（最初に1回）'!$C$15=0),"",$L295+$M295-$K295)</f>
        <v/>
      </c>
      <c r="O295" s="143" t="str">
        <f aca="false">IF(OR($N295="",'設定（最初に1回）'!$C$8="",'設定（最初に1回）'!$C$8&lt;=0),"",MAX(0,$N295)/'設定（最初に1回）'!$C$8)</f>
        <v/>
      </c>
      <c r="P295" s="143" t="str">
        <f aca="false">IF($C295="","",IFERROR(INDEX(商品マスタ!$M$6:$N$1005,MATCH($C295,商品マスタ!$B$6:$B$1005,0),MATCH("PI値 "&amp;'設定（最初に1回）'!$C$11,商品マスタ!$M$5:$N$5,0)),""))</f>
        <v/>
      </c>
      <c r="Q295" s="143" t="str">
        <f aca="false">IF(OR($C295="",$P295="",$P295=0,(N($I295)+N($AG295))&lt;=0),"",IFERROR(SUMIFS(随時_動員を入れる!$G$8:$G$97,随時_動員を入れる!$B$8:$B$97,"&gt;="&amp;'設定（最初に1回）'!$C$6,随時_動員を入れる!$B$8:$B$97,"&lt;="&amp;'設定（最初に1回）'!$C$6+(N($I295)+N($AG295))-1)/(N($I295)+N($AG295)),0)*$P295/100)</f>
        <v/>
      </c>
      <c r="R295" s="69" t="str">
        <f aca="false">IF($C295="","",SUMIFS(①今日の在庫を貼る!$O$6:$O$10005,①今日の在庫を貼る!$B$6:$B$10005,'設定（最初に1回）'!$C$4,①今日の在庫を貼る!$I$6:$I$10005,$C295))</f>
        <v/>
      </c>
      <c r="S295" s="143" t="str">
        <f aca="false">IF($C295="","",IF('設定（最初に1回）'!$C$9="実績消費",N($O295),IF('設定（最初に1回）'!$C$9="PI値予測",N($Q295),MAX(N($O295),N($Q295)))))</f>
        <v/>
      </c>
      <c r="T295" s="67" t="str">
        <f aca="false">IF(OR($S295="",$S295&lt;=0),"",$K295/$S295)</f>
        <v/>
      </c>
      <c r="U295" s="69" t="str">
        <f aca="false">IF($S295="","",ROUNDUP(N($S295)*'設定（最初に1回）'!$C$12,0))</f>
        <v/>
      </c>
      <c r="V295" s="69" t="str">
        <f aca="false">IF($C295="","",ROUNDUP(N($S295)*(N($I295)+N($AG295))+N($U295),0))</f>
        <v/>
      </c>
      <c r="W295" s="69" t="str">
        <f aca="false">IF($C295="","",SUMIFS(発注管理!$L$6:$L$1005,発注管理!$C$6:$C$1005,'設定（最初に1回）'!$C$4,発注管理!$F$6:$F$1005,$C295,発注管理!$Q$6:$Q$1005,"発注済"))</f>
        <v/>
      </c>
      <c r="X295" s="69" t="str">
        <f aca="false">IF($C295="","",MAX(0,N($V295)-N($K295)-N($W295)))</f>
        <v/>
      </c>
      <c r="Y295" s="147" t="str">
        <f aca="false">IF($C295="","",IF(N($X295)&lt;=0,0,CEILING($X295/MAX(1,N($G295)),MAX(1,N($J295)))))</f>
        <v/>
      </c>
      <c r="Z295" s="138" t="str">
        <f aca="false">IF($C295="","",IF(N($Y295)&gt;0,"要発注","正常"))</f>
        <v/>
      </c>
      <c r="AA295" s="71" t="str">
        <f aca="false">IF($C295="","",N($K295)*N($H295))</f>
        <v/>
      </c>
      <c r="AB295" s="66" t="str">
        <f aca="false">IF($C295="","",_xlfn.TEXTJOIN(" / ",TRUE(),IF(COUNTIF(商品マスタ!$B$6:$B$1005,$C295)=0,"マスタ未登録",""),IF(COUNTIFS(月1回_前回の在庫を貼る!$B$6:$B$10005,'設定（最初に1回）'!$C$4,月1回_前回の在庫を貼る!$I$6:$I$10005,$C295)=0,"新商品",""),IF(COUNTIFS(①今日の在庫を貼る!$B$6:$B$10005,'設定（最初に1回）'!$C$4,①今日の在庫を貼る!$I$6:$I$10005,$C295)=0,"終売候補",""),IF(N($K295)&lt;0,"在庫マイナス",""),IF(AND('設定（最初に1回）'!$C$9="PI値予測",$P295=""),"PI値未設定","")))</f>
        <v/>
      </c>
      <c r="AC295" s="71" t="n">
        <f aca="false">N($Y295)*N($H295)</f>
        <v>0</v>
      </c>
      <c r="AD295" s="66" t="str">
        <f aca="false">IF($C295="","",IFERROR(INDEX(商品マスタ!$K$6:$K$1005,MATCH($C295,商品マスタ!$B$6:$B$1005,0)),"常温"))</f>
        <v/>
      </c>
      <c r="AE295" s="69" t="str">
        <f aca="false">IF($C295="","",MAX(0,ROUNDUP(N($K295)/MAX(1,N($G295)),0)))</f>
        <v/>
      </c>
      <c r="AF295" s="66" t="str">
        <f aca="false">IF($C295="","",IFERROR(INDEX(商品マスタ!$L$6:$L$1005,MATCH($C295,商品マスタ!$B$6:$B$1005,0)),""))</f>
        <v/>
      </c>
      <c r="AG295" s="143" t="str">
        <f aca="false">IF($C295="","",IFERROR(INDEX(定数マスタ!$S$110:$S$119,MATCH($AF295,定数マスタ!$J$110:$J$119,0)),N('設定（最初に1回）'!$C$13)))</f>
        <v/>
      </c>
      <c r="AH295" s="66" t="n">
        <f aca="false">IF(AND(N($K295)&gt;0,N($Y295)&gt;0),N($Y295),0)</f>
        <v>0</v>
      </c>
    </row>
    <row r="296" customFormat="false" ht="15" hidden="false" customHeight="false" outlineLevel="0" collapsed="false">
      <c r="B296" s="66" t="n">
        <v>291</v>
      </c>
      <c r="C296" s="66" t="str">
        <f aca="false">IFERROR(IF($B296&lt;=MAX(①今日の在庫を貼る!$U$6:$U$10005),INDEX(①今日の在庫を貼る!$I$6:$I$10005,MATCH($B296,①今日の在庫を貼る!$U$6:$U$10005,0)),INDEX(月1回_前回の在庫を貼る!$I$6:$I$10005,MATCH($B296-MAX(①今日の在庫を貼る!$U$6:$U$10005),月1回_前回の在庫を貼る!$U$6:$U$10005,0))),"")</f>
        <v/>
      </c>
      <c r="D296" s="66" t="str">
        <f aca="false">IF($C296="","",IFERROR(INDEX(商品マスタ!$C$6:$C$1005,MATCH($C296,商品マスタ!$B$6:$B$1005,0)),IFERROR(INDEX(①今日の在庫を貼る!$J$6:$J$10005,MATCH($C296,①今日の在庫を貼る!$I$6:$I$10005,0)),IFERROR(INDEX(月1回_前回の在庫を貼る!$J$6:$J$10005,MATCH($C296,月1回_前回の在庫を貼る!$I$6:$I$10005,0)),""))))</f>
        <v/>
      </c>
      <c r="E296" s="66" t="str">
        <f aca="false">IF($C296="","",IFERROR(INDEX(商品マスタ!$D$6:$D$1005,MATCH($C296,商品マスタ!$B$6:$B$1005,0)),IFERROR(INDEX(①今日の在庫を貼る!$H$6:$H$10005,MATCH($C296,①今日の在庫を貼る!$I$6:$I$10005,0)),IFERROR(INDEX(月1回_前回の在庫を貼る!$H$6:$H$10005,MATCH($C296,月1回_前回の在庫を貼る!$I$6:$I$10005,0)),""))))</f>
        <v/>
      </c>
      <c r="F296" s="66" t="str">
        <f aca="false">IF($C296="","",IFERROR(INDEX(商品マスタ!$E$6:$E$1005,MATCH($C296,商品マスタ!$B$6:$B$1005,0)),IFERROR(INDEX(①今日の在庫を貼る!$E$6:$E$10005,MATCH($C296,①今日の在庫を貼る!$I$6:$I$10005,0)),IFERROR(INDEX(月1回_前回の在庫を貼る!$E$6:$E$10005,MATCH($C296,月1回_前回の在庫を貼る!$I$6:$I$10005,0)),""))))</f>
        <v/>
      </c>
      <c r="G296" s="69" t="str">
        <f aca="false">IF($C296="","",IFERROR(INDEX(商品マスタ!$F$6:$F$1005,MATCH($C296,商品マスタ!$B$6:$B$1005,0)),IFERROR(INDEX(①今日の在庫を貼る!$K$6:$K$10005,MATCH($C296,①今日の在庫を貼る!$I$6:$I$10005,0)),IFERROR(INDEX(月1回_前回の在庫を貼る!$K$6:$K$10005,MATCH($C296,月1回_前回の在庫を貼る!$I$6:$I$10005,0)),""))))</f>
        <v/>
      </c>
      <c r="H296" s="71" t="str">
        <f aca="false">IF($C296="","",IFERROR(INDEX(商品マスタ!$G$6:$G$1005,MATCH($C296,商品マスタ!$B$6:$B$1005,0)),IFERROR(INDEX(①今日の在庫を貼る!$Q$6:$Q$10005,MATCH($C296,①今日の在庫を貼る!$I$6:$I$10005,0)),IFERROR(INDEX(月1回_前回の在庫を貼る!$Q$6:$Q$10005,MATCH($C296,月1回_前回の在庫を貼る!$I$6:$I$10005,0)),""))))</f>
        <v/>
      </c>
      <c r="I296" s="66" t="str">
        <f aca="false">IF($C296="","",IFERROR(INDEX(商品マスタ!$H$6:$H$1005,MATCH($C296,商品マスタ!$B$6:$B$1005,0)),3))</f>
        <v/>
      </c>
      <c r="J296" s="66" t="str">
        <f aca="false">IF($C296="","",MAX(1,IFERROR(INDEX(商品マスタ!$I$6:$I$1005,MATCH($C296,商品マスタ!$B$6:$B$1005,0)),1)))</f>
        <v/>
      </c>
      <c r="K296" s="69" t="str">
        <f aca="false">IF($C296="","",SUMIFS(①今日の在庫を貼る!$N$6:$N$10005,①今日の在庫を貼る!$B$6:$B$10005,'設定（最初に1回）'!$C$4,①今日の在庫を貼る!$I$6:$I$10005,$C296))</f>
        <v/>
      </c>
      <c r="L296" s="69" t="str">
        <f aca="false">IF($C296="","",SUMIFS(月1回_前回の在庫を貼る!$N$6:$N$10005,月1回_前回の在庫を貼る!$B$6:$B$10005,'設定（最初に1回）'!$C$4,月1回_前回の在庫を貼る!$I$6:$I$10005,$C296))</f>
        <v/>
      </c>
      <c r="M296" s="69" t="str">
        <f aca="false">IF($C296="","",IF(OR('設定（最初に1回）'!$C$6="",'設定（最初に1回）'!$C$7=""),0,SUMIFS(発注管理!$S$6:$S$1005,発注管理!$C$6:$C$1005,'設定（最初に1回）'!$C$4,発注管理!$F$6:$F$1005,$C296,発注管理!$R$6:$R$1005,"&gt;="&amp;'設定（最初に1回）'!$C$7,発注管理!$R$6:$R$1005,"&lt;="&amp;'設定（最初に1回）'!$C$6)))</f>
        <v/>
      </c>
      <c r="N296" s="69" t="str">
        <f aca="false">IF(OR($C296="",'設定（最初に1回）'!$C$15=0),"",$L296+$M296-$K296)</f>
        <v/>
      </c>
      <c r="O296" s="143" t="str">
        <f aca="false">IF(OR($N296="",'設定（最初に1回）'!$C$8="",'設定（最初に1回）'!$C$8&lt;=0),"",MAX(0,$N296)/'設定（最初に1回）'!$C$8)</f>
        <v/>
      </c>
      <c r="P296" s="143" t="str">
        <f aca="false">IF($C296="","",IFERROR(INDEX(商品マスタ!$M$6:$N$1005,MATCH($C296,商品マスタ!$B$6:$B$1005,0),MATCH("PI値 "&amp;'設定（最初に1回）'!$C$11,商品マスタ!$M$5:$N$5,0)),""))</f>
        <v/>
      </c>
      <c r="Q296" s="143" t="str">
        <f aca="false">IF(OR($C296="",$P296="",$P296=0,(N($I296)+N($AG296))&lt;=0),"",IFERROR(SUMIFS(随時_動員を入れる!$G$8:$G$97,随時_動員を入れる!$B$8:$B$97,"&gt;="&amp;'設定（最初に1回）'!$C$6,随時_動員を入れる!$B$8:$B$97,"&lt;="&amp;'設定（最初に1回）'!$C$6+(N($I296)+N($AG296))-1)/(N($I296)+N($AG296)),0)*$P296/100)</f>
        <v/>
      </c>
      <c r="R296" s="69" t="str">
        <f aca="false">IF($C296="","",SUMIFS(①今日の在庫を貼る!$O$6:$O$10005,①今日の在庫を貼る!$B$6:$B$10005,'設定（最初に1回）'!$C$4,①今日の在庫を貼る!$I$6:$I$10005,$C296))</f>
        <v/>
      </c>
      <c r="S296" s="143" t="str">
        <f aca="false">IF($C296="","",IF('設定（最初に1回）'!$C$9="実績消費",N($O296),IF('設定（最初に1回）'!$C$9="PI値予測",N($Q296),MAX(N($O296),N($Q296)))))</f>
        <v/>
      </c>
      <c r="T296" s="67" t="str">
        <f aca="false">IF(OR($S296="",$S296&lt;=0),"",$K296/$S296)</f>
        <v/>
      </c>
      <c r="U296" s="69" t="str">
        <f aca="false">IF($S296="","",ROUNDUP(N($S296)*'設定（最初に1回）'!$C$12,0))</f>
        <v/>
      </c>
      <c r="V296" s="69" t="str">
        <f aca="false">IF($C296="","",ROUNDUP(N($S296)*(N($I296)+N($AG296))+N($U296),0))</f>
        <v/>
      </c>
      <c r="W296" s="69" t="str">
        <f aca="false">IF($C296="","",SUMIFS(発注管理!$L$6:$L$1005,発注管理!$C$6:$C$1005,'設定（最初に1回）'!$C$4,発注管理!$F$6:$F$1005,$C296,発注管理!$Q$6:$Q$1005,"発注済"))</f>
        <v/>
      </c>
      <c r="X296" s="69" t="str">
        <f aca="false">IF($C296="","",MAX(0,N($V296)-N($K296)-N($W296)))</f>
        <v/>
      </c>
      <c r="Y296" s="147" t="str">
        <f aca="false">IF($C296="","",IF(N($X296)&lt;=0,0,CEILING($X296/MAX(1,N($G296)),MAX(1,N($J296)))))</f>
        <v/>
      </c>
      <c r="Z296" s="138" t="str">
        <f aca="false">IF($C296="","",IF(N($Y296)&gt;0,"要発注","正常"))</f>
        <v/>
      </c>
      <c r="AA296" s="71" t="str">
        <f aca="false">IF($C296="","",N($K296)*N($H296))</f>
        <v/>
      </c>
      <c r="AB296" s="66" t="str">
        <f aca="false">IF($C296="","",_xlfn.TEXTJOIN(" / ",TRUE(),IF(COUNTIF(商品マスタ!$B$6:$B$1005,$C296)=0,"マスタ未登録",""),IF(COUNTIFS(月1回_前回の在庫を貼る!$B$6:$B$10005,'設定（最初に1回）'!$C$4,月1回_前回の在庫を貼る!$I$6:$I$10005,$C296)=0,"新商品",""),IF(COUNTIFS(①今日の在庫を貼る!$B$6:$B$10005,'設定（最初に1回）'!$C$4,①今日の在庫を貼る!$I$6:$I$10005,$C296)=0,"終売候補",""),IF(N($K296)&lt;0,"在庫マイナス",""),IF(AND('設定（最初に1回）'!$C$9="PI値予測",$P296=""),"PI値未設定","")))</f>
        <v/>
      </c>
      <c r="AC296" s="71" t="n">
        <f aca="false">N($Y296)*N($H296)</f>
        <v>0</v>
      </c>
      <c r="AD296" s="66" t="str">
        <f aca="false">IF($C296="","",IFERROR(INDEX(商品マスタ!$K$6:$K$1005,MATCH($C296,商品マスタ!$B$6:$B$1005,0)),"常温"))</f>
        <v/>
      </c>
      <c r="AE296" s="69" t="str">
        <f aca="false">IF($C296="","",MAX(0,ROUNDUP(N($K296)/MAX(1,N($G296)),0)))</f>
        <v/>
      </c>
      <c r="AF296" s="66" t="str">
        <f aca="false">IF($C296="","",IFERROR(INDEX(商品マスタ!$L$6:$L$1005,MATCH($C296,商品マスタ!$B$6:$B$1005,0)),""))</f>
        <v/>
      </c>
      <c r="AG296" s="143" t="str">
        <f aca="false">IF($C296="","",IFERROR(INDEX(定数マスタ!$S$110:$S$119,MATCH($AF296,定数マスタ!$J$110:$J$119,0)),N('設定（最初に1回）'!$C$13)))</f>
        <v/>
      </c>
      <c r="AH296" s="66" t="n">
        <f aca="false">IF(AND(N($K296)&gt;0,N($Y296)&gt;0),N($Y296),0)</f>
        <v>0</v>
      </c>
    </row>
    <row r="297" customFormat="false" ht="15" hidden="false" customHeight="false" outlineLevel="0" collapsed="false">
      <c r="B297" s="66" t="n">
        <v>292</v>
      </c>
      <c r="C297" s="66" t="str">
        <f aca="false">IFERROR(IF($B297&lt;=MAX(①今日の在庫を貼る!$U$6:$U$10005),INDEX(①今日の在庫を貼る!$I$6:$I$10005,MATCH($B297,①今日の在庫を貼る!$U$6:$U$10005,0)),INDEX(月1回_前回の在庫を貼る!$I$6:$I$10005,MATCH($B297-MAX(①今日の在庫を貼る!$U$6:$U$10005),月1回_前回の在庫を貼る!$U$6:$U$10005,0))),"")</f>
        <v/>
      </c>
      <c r="D297" s="66" t="str">
        <f aca="false">IF($C297="","",IFERROR(INDEX(商品マスタ!$C$6:$C$1005,MATCH($C297,商品マスタ!$B$6:$B$1005,0)),IFERROR(INDEX(①今日の在庫を貼る!$J$6:$J$10005,MATCH($C297,①今日の在庫を貼る!$I$6:$I$10005,0)),IFERROR(INDEX(月1回_前回の在庫を貼る!$J$6:$J$10005,MATCH($C297,月1回_前回の在庫を貼る!$I$6:$I$10005,0)),""))))</f>
        <v/>
      </c>
      <c r="E297" s="66" t="str">
        <f aca="false">IF($C297="","",IFERROR(INDEX(商品マスタ!$D$6:$D$1005,MATCH($C297,商品マスタ!$B$6:$B$1005,0)),IFERROR(INDEX(①今日の在庫を貼る!$H$6:$H$10005,MATCH($C297,①今日の在庫を貼る!$I$6:$I$10005,0)),IFERROR(INDEX(月1回_前回の在庫を貼る!$H$6:$H$10005,MATCH($C297,月1回_前回の在庫を貼る!$I$6:$I$10005,0)),""))))</f>
        <v/>
      </c>
      <c r="F297" s="66" t="str">
        <f aca="false">IF($C297="","",IFERROR(INDEX(商品マスタ!$E$6:$E$1005,MATCH($C297,商品マスタ!$B$6:$B$1005,0)),IFERROR(INDEX(①今日の在庫を貼る!$E$6:$E$10005,MATCH($C297,①今日の在庫を貼る!$I$6:$I$10005,0)),IFERROR(INDEX(月1回_前回の在庫を貼る!$E$6:$E$10005,MATCH($C297,月1回_前回の在庫を貼る!$I$6:$I$10005,0)),""))))</f>
        <v/>
      </c>
      <c r="G297" s="69" t="str">
        <f aca="false">IF($C297="","",IFERROR(INDEX(商品マスタ!$F$6:$F$1005,MATCH($C297,商品マスタ!$B$6:$B$1005,0)),IFERROR(INDEX(①今日の在庫を貼る!$K$6:$K$10005,MATCH($C297,①今日の在庫を貼る!$I$6:$I$10005,0)),IFERROR(INDEX(月1回_前回の在庫を貼る!$K$6:$K$10005,MATCH($C297,月1回_前回の在庫を貼る!$I$6:$I$10005,0)),""))))</f>
        <v/>
      </c>
      <c r="H297" s="71" t="str">
        <f aca="false">IF($C297="","",IFERROR(INDEX(商品マスタ!$G$6:$G$1005,MATCH($C297,商品マスタ!$B$6:$B$1005,0)),IFERROR(INDEX(①今日の在庫を貼る!$Q$6:$Q$10005,MATCH($C297,①今日の在庫を貼る!$I$6:$I$10005,0)),IFERROR(INDEX(月1回_前回の在庫を貼る!$Q$6:$Q$10005,MATCH($C297,月1回_前回の在庫を貼る!$I$6:$I$10005,0)),""))))</f>
        <v/>
      </c>
      <c r="I297" s="66" t="str">
        <f aca="false">IF($C297="","",IFERROR(INDEX(商品マスタ!$H$6:$H$1005,MATCH($C297,商品マスタ!$B$6:$B$1005,0)),3))</f>
        <v/>
      </c>
      <c r="J297" s="66" t="str">
        <f aca="false">IF($C297="","",MAX(1,IFERROR(INDEX(商品マスタ!$I$6:$I$1005,MATCH($C297,商品マスタ!$B$6:$B$1005,0)),1)))</f>
        <v/>
      </c>
      <c r="K297" s="69" t="str">
        <f aca="false">IF($C297="","",SUMIFS(①今日の在庫を貼る!$N$6:$N$10005,①今日の在庫を貼る!$B$6:$B$10005,'設定（最初に1回）'!$C$4,①今日の在庫を貼る!$I$6:$I$10005,$C297))</f>
        <v/>
      </c>
      <c r="L297" s="69" t="str">
        <f aca="false">IF($C297="","",SUMIFS(月1回_前回の在庫を貼る!$N$6:$N$10005,月1回_前回の在庫を貼る!$B$6:$B$10005,'設定（最初に1回）'!$C$4,月1回_前回の在庫を貼る!$I$6:$I$10005,$C297))</f>
        <v/>
      </c>
      <c r="M297" s="69" t="str">
        <f aca="false">IF($C297="","",IF(OR('設定（最初に1回）'!$C$6="",'設定（最初に1回）'!$C$7=""),0,SUMIFS(発注管理!$S$6:$S$1005,発注管理!$C$6:$C$1005,'設定（最初に1回）'!$C$4,発注管理!$F$6:$F$1005,$C297,発注管理!$R$6:$R$1005,"&gt;="&amp;'設定（最初に1回）'!$C$7,発注管理!$R$6:$R$1005,"&lt;="&amp;'設定（最初に1回）'!$C$6)))</f>
        <v/>
      </c>
      <c r="N297" s="69" t="str">
        <f aca="false">IF(OR($C297="",'設定（最初に1回）'!$C$15=0),"",$L297+$M297-$K297)</f>
        <v/>
      </c>
      <c r="O297" s="143" t="str">
        <f aca="false">IF(OR($N297="",'設定（最初に1回）'!$C$8="",'設定（最初に1回）'!$C$8&lt;=0),"",MAX(0,$N297)/'設定（最初に1回）'!$C$8)</f>
        <v/>
      </c>
      <c r="P297" s="143" t="str">
        <f aca="false">IF($C297="","",IFERROR(INDEX(商品マスタ!$M$6:$N$1005,MATCH($C297,商品マスタ!$B$6:$B$1005,0),MATCH("PI値 "&amp;'設定（最初に1回）'!$C$11,商品マスタ!$M$5:$N$5,0)),""))</f>
        <v/>
      </c>
      <c r="Q297" s="143" t="str">
        <f aca="false">IF(OR($C297="",$P297="",$P297=0,(N($I297)+N($AG297))&lt;=0),"",IFERROR(SUMIFS(随時_動員を入れる!$G$8:$G$97,随時_動員を入れる!$B$8:$B$97,"&gt;="&amp;'設定（最初に1回）'!$C$6,随時_動員を入れる!$B$8:$B$97,"&lt;="&amp;'設定（最初に1回）'!$C$6+(N($I297)+N($AG297))-1)/(N($I297)+N($AG297)),0)*$P297/100)</f>
        <v/>
      </c>
      <c r="R297" s="69" t="str">
        <f aca="false">IF($C297="","",SUMIFS(①今日の在庫を貼る!$O$6:$O$10005,①今日の在庫を貼る!$B$6:$B$10005,'設定（最初に1回）'!$C$4,①今日の在庫を貼る!$I$6:$I$10005,$C297))</f>
        <v/>
      </c>
      <c r="S297" s="143" t="str">
        <f aca="false">IF($C297="","",IF('設定（最初に1回）'!$C$9="実績消費",N($O297),IF('設定（最初に1回）'!$C$9="PI値予測",N($Q297),MAX(N($O297),N($Q297)))))</f>
        <v/>
      </c>
      <c r="T297" s="67" t="str">
        <f aca="false">IF(OR($S297="",$S297&lt;=0),"",$K297/$S297)</f>
        <v/>
      </c>
      <c r="U297" s="69" t="str">
        <f aca="false">IF($S297="","",ROUNDUP(N($S297)*'設定（最初に1回）'!$C$12,0))</f>
        <v/>
      </c>
      <c r="V297" s="69" t="str">
        <f aca="false">IF($C297="","",ROUNDUP(N($S297)*(N($I297)+N($AG297))+N($U297),0))</f>
        <v/>
      </c>
      <c r="W297" s="69" t="str">
        <f aca="false">IF($C297="","",SUMIFS(発注管理!$L$6:$L$1005,発注管理!$C$6:$C$1005,'設定（最初に1回）'!$C$4,発注管理!$F$6:$F$1005,$C297,発注管理!$Q$6:$Q$1005,"発注済"))</f>
        <v/>
      </c>
      <c r="X297" s="69" t="str">
        <f aca="false">IF($C297="","",MAX(0,N($V297)-N($K297)-N($W297)))</f>
        <v/>
      </c>
      <c r="Y297" s="147" t="str">
        <f aca="false">IF($C297="","",IF(N($X297)&lt;=0,0,CEILING($X297/MAX(1,N($G297)),MAX(1,N($J297)))))</f>
        <v/>
      </c>
      <c r="Z297" s="138" t="str">
        <f aca="false">IF($C297="","",IF(N($Y297)&gt;0,"要発注","正常"))</f>
        <v/>
      </c>
      <c r="AA297" s="71" t="str">
        <f aca="false">IF($C297="","",N($K297)*N($H297))</f>
        <v/>
      </c>
      <c r="AB297" s="66" t="str">
        <f aca="false">IF($C297="","",_xlfn.TEXTJOIN(" / ",TRUE(),IF(COUNTIF(商品マスタ!$B$6:$B$1005,$C297)=0,"マスタ未登録",""),IF(COUNTIFS(月1回_前回の在庫を貼る!$B$6:$B$10005,'設定（最初に1回）'!$C$4,月1回_前回の在庫を貼る!$I$6:$I$10005,$C297)=0,"新商品",""),IF(COUNTIFS(①今日の在庫を貼る!$B$6:$B$10005,'設定（最初に1回）'!$C$4,①今日の在庫を貼る!$I$6:$I$10005,$C297)=0,"終売候補",""),IF(N($K297)&lt;0,"在庫マイナス",""),IF(AND('設定（最初に1回）'!$C$9="PI値予測",$P297=""),"PI値未設定","")))</f>
        <v/>
      </c>
      <c r="AC297" s="71" t="n">
        <f aca="false">N($Y297)*N($H297)</f>
        <v>0</v>
      </c>
      <c r="AD297" s="66" t="str">
        <f aca="false">IF($C297="","",IFERROR(INDEX(商品マスタ!$K$6:$K$1005,MATCH($C297,商品マスタ!$B$6:$B$1005,0)),"常温"))</f>
        <v/>
      </c>
      <c r="AE297" s="69" t="str">
        <f aca="false">IF($C297="","",MAX(0,ROUNDUP(N($K297)/MAX(1,N($G297)),0)))</f>
        <v/>
      </c>
      <c r="AF297" s="66" t="str">
        <f aca="false">IF($C297="","",IFERROR(INDEX(商品マスタ!$L$6:$L$1005,MATCH($C297,商品マスタ!$B$6:$B$1005,0)),""))</f>
        <v/>
      </c>
      <c r="AG297" s="143" t="str">
        <f aca="false">IF($C297="","",IFERROR(INDEX(定数マスタ!$S$110:$S$119,MATCH($AF297,定数マスタ!$J$110:$J$119,0)),N('設定（最初に1回）'!$C$13)))</f>
        <v/>
      </c>
      <c r="AH297" s="66" t="n">
        <f aca="false">IF(AND(N($K297)&gt;0,N($Y297)&gt;0),N($Y297),0)</f>
        <v>0</v>
      </c>
    </row>
    <row r="298" customFormat="false" ht="15" hidden="false" customHeight="false" outlineLevel="0" collapsed="false">
      <c r="B298" s="66" t="n">
        <v>293</v>
      </c>
      <c r="C298" s="66" t="str">
        <f aca="false">IFERROR(IF($B298&lt;=MAX(①今日の在庫を貼る!$U$6:$U$10005),INDEX(①今日の在庫を貼る!$I$6:$I$10005,MATCH($B298,①今日の在庫を貼る!$U$6:$U$10005,0)),INDEX(月1回_前回の在庫を貼る!$I$6:$I$10005,MATCH($B298-MAX(①今日の在庫を貼る!$U$6:$U$10005),月1回_前回の在庫を貼る!$U$6:$U$10005,0))),"")</f>
        <v/>
      </c>
      <c r="D298" s="66" t="str">
        <f aca="false">IF($C298="","",IFERROR(INDEX(商品マスタ!$C$6:$C$1005,MATCH($C298,商品マスタ!$B$6:$B$1005,0)),IFERROR(INDEX(①今日の在庫を貼る!$J$6:$J$10005,MATCH($C298,①今日の在庫を貼る!$I$6:$I$10005,0)),IFERROR(INDEX(月1回_前回の在庫を貼る!$J$6:$J$10005,MATCH($C298,月1回_前回の在庫を貼る!$I$6:$I$10005,0)),""))))</f>
        <v/>
      </c>
      <c r="E298" s="66" t="str">
        <f aca="false">IF($C298="","",IFERROR(INDEX(商品マスタ!$D$6:$D$1005,MATCH($C298,商品マスタ!$B$6:$B$1005,0)),IFERROR(INDEX(①今日の在庫を貼る!$H$6:$H$10005,MATCH($C298,①今日の在庫を貼る!$I$6:$I$10005,0)),IFERROR(INDEX(月1回_前回の在庫を貼る!$H$6:$H$10005,MATCH($C298,月1回_前回の在庫を貼る!$I$6:$I$10005,0)),""))))</f>
        <v/>
      </c>
      <c r="F298" s="66" t="str">
        <f aca="false">IF($C298="","",IFERROR(INDEX(商品マスタ!$E$6:$E$1005,MATCH($C298,商品マスタ!$B$6:$B$1005,0)),IFERROR(INDEX(①今日の在庫を貼る!$E$6:$E$10005,MATCH($C298,①今日の在庫を貼る!$I$6:$I$10005,0)),IFERROR(INDEX(月1回_前回の在庫を貼る!$E$6:$E$10005,MATCH($C298,月1回_前回の在庫を貼る!$I$6:$I$10005,0)),""))))</f>
        <v/>
      </c>
      <c r="G298" s="69" t="str">
        <f aca="false">IF($C298="","",IFERROR(INDEX(商品マスタ!$F$6:$F$1005,MATCH($C298,商品マスタ!$B$6:$B$1005,0)),IFERROR(INDEX(①今日の在庫を貼る!$K$6:$K$10005,MATCH($C298,①今日の在庫を貼る!$I$6:$I$10005,0)),IFERROR(INDEX(月1回_前回の在庫を貼る!$K$6:$K$10005,MATCH($C298,月1回_前回の在庫を貼る!$I$6:$I$10005,0)),""))))</f>
        <v/>
      </c>
      <c r="H298" s="71" t="str">
        <f aca="false">IF($C298="","",IFERROR(INDEX(商品マスタ!$G$6:$G$1005,MATCH($C298,商品マスタ!$B$6:$B$1005,0)),IFERROR(INDEX(①今日の在庫を貼る!$Q$6:$Q$10005,MATCH($C298,①今日の在庫を貼る!$I$6:$I$10005,0)),IFERROR(INDEX(月1回_前回の在庫を貼る!$Q$6:$Q$10005,MATCH($C298,月1回_前回の在庫を貼る!$I$6:$I$10005,0)),""))))</f>
        <v/>
      </c>
      <c r="I298" s="66" t="str">
        <f aca="false">IF($C298="","",IFERROR(INDEX(商品マスタ!$H$6:$H$1005,MATCH($C298,商品マスタ!$B$6:$B$1005,0)),3))</f>
        <v/>
      </c>
      <c r="J298" s="66" t="str">
        <f aca="false">IF($C298="","",MAX(1,IFERROR(INDEX(商品マスタ!$I$6:$I$1005,MATCH($C298,商品マスタ!$B$6:$B$1005,0)),1)))</f>
        <v/>
      </c>
      <c r="K298" s="69" t="str">
        <f aca="false">IF($C298="","",SUMIFS(①今日の在庫を貼る!$N$6:$N$10005,①今日の在庫を貼る!$B$6:$B$10005,'設定（最初に1回）'!$C$4,①今日の在庫を貼る!$I$6:$I$10005,$C298))</f>
        <v/>
      </c>
      <c r="L298" s="69" t="str">
        <f aca="false">IF($C298="","",SUMIFS(月1回_前回の在庫を貼る!$N$6:$N$10005,月1回_前回の在庫を貼る!$B$6:$B$10005,'設定（最初に1回）'!$C$4,月1回_前回の在庫を貼る!$I$6:$I$10005,$C298))</f>
        <v/>
      </c>
      <c r="M298" s="69" t="str">
        <f aca="false">IF($C298="","",IF(OR('設定（最初に1回）'!$C$6="",'設定（最初に1回）'!$C$7=""),0,SUMIFS(発注管理!$S$6:$S$1005,発注管理!$C$6:$C$1005,'設定（最初に1回）'!$C$4,発注管理!$F$6:$F$1005,$C298,発注管理!$R$6:$R$1005,"&gt;="&amp;'設定（最初に1回）'!$C$7,発注管理!$R$6:$R$1005,"&lt;="&amp;'設定（最初に1回）'!$C$6)))</f>
        <v/>
      </c>
      <c r="N298" s="69" t="str">
        <f aca="false">IF(OR($C298="",'設定（最初に1回）'!$C$15=0),"",$L298+$M298-$K298)</f>
        <v/>
      </c>
      <c r="O298" s="143" t="str">
        <f aca="false">IF(OR($N298="",'設定（最初に1回）'!$C$8="",'設定（最初に1回）'!$C$8&lt;=0),"",MAX(0,$N298)/'設定（最初に1回）'!$C$8)</f>
        <v/>
      </c>
      <c r="P298" s="143" t="str">
        <f aca="false">IF($C298="","",IFERROR(INDEX(商品マスタ!$M$6:$N$1005,MATCH($C298,商品マスタ!$B$6:$B$1005,0),MATCH("PI値 "&amp;'設定（最初に1回）'!$C$11,商品マスタ!$M$5:$N$5,0)),""))</f>
        <v/>
      </c>
      <c r="Q298" s="143" t="str">
        <f aca="false">IF(OR($C298="",$P298="",$P298=0,(N($I298)+N($AG298))&lt;=0),"",IFERROR(SUMIFS(随時_動員を入れる!$G$8:$G$97,随時_動員を入れる!$B$8:$B$97,"&gt;="&amp;'設定（最初に1回）'!$C$6,随時_動員を入れる!$B$8:$B$97,"&lt;="&amp;'設定（最初に1回）'!$C$6+(N($I298)+N($AG298))-1)/(N($I298)+N($AG298)),0)*$P298/100)</f>
        <v/>
      </c>
      <c r="R298" s="69" t="str">
        <f aca="false">IF($C298="","",SUMIFS(①今日の在庫を貼る!$O$6:$O$10005,①今日の在庫を貼る!$B$6:$B$10005,'設定（最初に1回）'!$C$4,①今日の在庫を貼る!$I$6:$I$10005,$C298))</f>
        <v/>
      </c>
      <c r="S298" s="143" t="str">
        <f aca="false">IF($C298="","",IF('設定（最初に1回）'!$C$9="実績消費",N($O298),IF('設定（最初に1回）'!$C$9="PI値予測",N($Q298),MAX(N($O298),N($Q298)))))</f>
        <v/>
      </c>
      <c r="T298" s="67" t="str">
        <f aca="false">IF(OR($S298="",$S298&lt;=0),"",$K298/$S298)</f>
        <v/>
      </c>
      <c r="U298" s="69" t="str">
        <f aca="false">IF($S298="","",ROUNDUP(N($S298)*'設定（最初に1回）'!$C$12,0))</f>
        <v/>
      </c>
      <c r="V298" s="69" t="str">
        <f aca="false">IF($C298="","",ROUNDUP(N($S298)*(N($I298)+N($AG298))+N($U298),0))</f>
        <v/>
      </c>
      <c r="W298" s="69" t="str">
        <f aca="false">IF($C298="","",SUMIFS(発注管理!$L$6:$L$1005,発注管理!$C$6:$C$1005,'設定（最初に1回）'!$C$4,発注管理!$F$6:$F$1005,$C298,発注管理!$Q$6:$Q$1005,"発注済"))</f>
        <v/>
      </c>
      <c r="X298" s="69" t="str">
        <f aca="false">IF($C298="","",MAX(0,N($V298)-N($K298)-N($W298)))</f>
        <v/>
      </c>
      <c r="Y298" s="147" t="str">
        <f aca="false">IF($C298="","",IF(N($X298)&lt;=0,0,CEILING($X298/MAX(1,N($G298)),MAX(1,N($J298)))))</f>
        <v/>
      </c>
      <c r="Z298" s="138" t="str">
        <f aca="false">IF($C298="","",IF(N($Y298)&gt;0,"要発注","正常"))</f>
        <v/>
      </c>
      <c r="AA298" s="71" t="str">
        <f aca="false">IF($C298="","",N($K298)*N($H298))</f>
        <v/>
      </c>
      <c r="AB298" s="66" t="str">
        <f aca="false">IF($C298="","",_xlfn.TEXTJOIN(" / ",TRUE(),IF(COUNTIF(商品マスタ!$B$6:$B$1005,$C298)=0,"マスタ未登録",""),IF(COUNTIFS(月1回_前回の在庫を貼る!$B$6:$B$10005,'設定（最初に1回）'!$C$4,月1回_前回の在庫を貼る!$I$6:$I$10005,$C298)=0,"新商品",""),IF(COUNTIFS(①今日の在庫を貼る!$B$6:$B$10005,'設定（最初に1回）'!$C$4,①今日の在庫を貼る!$I$6:$I$10005,$C298)=0,"終売候補",""),IF(N($K298)&lt;0,"在庫マイナス",""),IF(AND('設定（最初に1回）'!$C$9="PI値予測",$P298=""),"PI値未設定","")))</f>
        <v/>
      </c>
      <c r="AC298" s="71" t="n">
        <f aca="false">N($Y298)*N($H298)</f>
        <v>0</v>
      </c>
      <c r="AD298" s="66" t="str">
        <f aca="false">IF($C298="","",IFERROR(INDEX(商品マスタ!$K$6:$K$1005,MATCH($C298,商品マスタ!$B$6:$B$1005,0)),"常温"))</f>
        <v/>
      </c>
      <c r="AE298" s="69" t="str">
        <f aca="false">IF($C298="","",MAX(0,ROUNDUP(N($K298)/MAX(1,N($G298)),0)))</f>
        <v/>
      </c>
      <c r="AF298" s="66" t="str">
        <f aca="false">IF($C298="","",IFERROR(INDEX(商品マスタ!$L$6:$L$1005,MATCH($C298,商品マスタ!$B$6:$B$1005,0)),""))</f>
        <v/>
      </c>
      <c r="AG298" s="143" t="str">
        <f aca="false">IF($C298="","",IFERROR(INDEX(定数マスタ!$S$110:$S$119,MATCH($AF298,定数マスタ!$J$110:$J$119,0)),N('設定（最初に1回）'!$C$13)))</f>
        <v/>
      </c>
      <c r="AH298" s="66" t="n">
        <f aca="false">IF(AND(N($K298)&gt;0,N($Y298)&gt;0),N($Y298),0)</f>
        <v>0</v>
      </c>
    </row>
    <row r="299" customFormat="false" ht="15" hidden="false" customHeight="false" outlineLevel="0" collapsed="false">
      <c r="B299" s="66" t="n">
        <v>294</v>
      </c>
      <c r="C299" s="66" t="str">
        <f aca="false">IFERROR(IF($B299&lt;=MAX(①今日の在庫を貼る!$U$6:$U$10005),INDEX(①今日の在庫を貼る!$I$6:$I$10005,MATCH($B299,①今日の在庫を貼る!$U$6:$U$10005,0)),INDEX(月1回_前回の在庫を貼る!$I$6:$I$10005,MATCH($B299-MAX(①今日の在庫を貼る!$U$6:$U$10005),月1回_前回の在庫を貼る!$U$6:$U$10005,0))),"")</f>
        <v/>
      </c>
      <c r="D299" s="66" t="str">
        <f aca="false">IF($C299="","",IFERROR(INDEX(商品マスタ!$C$6:$C$1005,MATCH($C299,商品マスタ!$B$6:$B$1005,0)),IFERROR(INDEX(①今日の在庫を貼る!$J$6:$J$10005,MATCH($C299,①今日の在庫を貼る!$I$6:$I$10005,0)),IFERROR(INDEX(月1回_前回の在庫を貼る!$J$6:$J$10005,MATCH($C299,月1回_前回の在庫を貼る!$I$6:$I$10005,0)),""))))</f>
        <v/>
      </c>
      <c r="E299" s="66" t="str">
        <f aca="false">IF($C299="","",IFERROR(INDEX(商品マスタ!$D$6:$D$1005,MATCH($C299,商品マスタ!$B$6:$B$1005,0)),IFERROR(INDEX(①今日の在庫を貼る!$H$6:$H$10005,MATCH($C299,①今日の在庫を貼る!$I$6:$I$10005,0)),IFERROR(INDEX(月1回_前回の在庫を貼る!$H$6:$H$10005,MATCH($C299,月1回_前回の在庫を貼る!$I$6:$I$10005,0)),""))))</f>
        <v/>
      </c>
      <c r="F299" s="66" t="str">
        <f aca="false">IF($C299="","",IFERROR(INDEX(商品マスタ!$E$6:$E$1005,MATCH($C299,商品マスタ!$B$6:$B$1005,0)),IFERROR(INDEX(①今日の在庫を貼る!$E$6:$E$10005,MATCH($C299,①今日の在庫を貼る!$I$6:$I$10005,0)),IFERROR(INDEX(月1回_前回の在庫を貼る!$E$6:$E$10005,MATCH($C299,月1回_前回の在庫を貼る!$I$6:$I$10005,0)),""))))</f>
        <v/>
      </c>
      <c r="G299" s="69" t="str">
        <f aca="false">IF($C299="","",IFERROR(INDEX(商品マスタ!$F$6:$F$1005,MATCH($C299,商品マスタ!$B$6:$B$1005,0)),IFERROR(INDEX(①今日の在庫を貼る!$K$6:$K$10005,MATCH($C299,①今日の在庫を貼る!$I$6:$I$10005,0)),IFERROR(INDEX(月1回_前回の在庫を貼る!$K$6:$K$10005,MATCH($C299,月1回_前回の在庫を貼る!$I$6:$I$10005,0)),""))))</f>
        <v/>
      </c>
      <c r="H299" s="71" t="str">
        <f aca="false">IF($C299="","",IFERROR(INDEX(商品マスタ!$G$6:$G$1005,MATCH($C299,商品マスタ!$B$6:$B$1005,0)),IFERROR(INDEX(①今日の在庫を貼る!$Q$6:$Q$10005,MATCH($C299,①今日の在庫を貼る!$I$6:$I$10005,0)),IFERROR(INDEX(月1回_前回の在庫を貼る!$Q$6:$Q$10005,MATCH($C299,月1回_前回の在庫を貼る!$I$6:$I$10005,0)),""))))</f>
        <v/>
      </c>
      <c r="I299" s="66" t="str">
        <f aca="false">IF($C299="","",IFERROR(INDEX(商品マスタ!$H$6:$H$1005,MATCH($C299,商品マスタ!$B$6:$B$1005,0)),3))</f>
        <v/>
      </c>
      <c r="J299" s="66" t="str">
        <f aca="false">IF($C299="","",MAX(1,IFERROR(INDEX(商品マスタ!$I$6:$I$1005,MATCH($C299,商品マスタ!$B$6:$B$1005,0)),1)))</f>
        <v/>
      </c>
      <c r="K299" s="69" t="str">
        <f aca="false">IF($C299="","",SUMIFS(①今日の在庫を貼る!$N$6:$N$10005,①今日の在庫を貼る!$B$6:$B$10005,'設定（最初に1回）'!$C$4,①今日の在庫を貼る!$I$6:$I$10005,$C299))</f>
        <v/>
      </c>
      <c r="L299" s="69" t="str">
        <f aca="false">IF($C299="","",SUMIFS(月1回_前回の在庫を貼る!$N$6:$N$10005,月1回_前回の在庫を貼る!$B$6:$B$10005,'設定（最初に1回）'!$C$4,月1回_前回の在庫を貼る!$I$6:$I$10005,$C299))</f>
        <v/>
      </c>
      <c r="M299" s="69" t="str">
        <f aca="false">IF($C299="","",IF(OR('設定（最初に1回）'!$C$6="",'設定（最初に1回）'!$C$7=""),0,SUMIFS(発注管理!$S$6:$S$1005,発注管理!$C$6:$C$1005,'設定（最初に1回）'!$C$4,発注管理!$F$6:$F$1005,$C299,発注管理!$R$6:$R$1005,"&gt;="&amp;'設定（最初に1回）'!$C$7,発注管理!$R$6:$R$1005,"&lt;="&amp;'設定（最初に1回）'!$C$6)))</f>
        <v/>
      </c>
      <c r="N299" s="69" t="str">
        <f aca="false">IF(OR($C299="",'設定（最初に1回）'!$C$15=0),"",$L299+$M299-$K299)</f>
        <v/>
      </c>
      <c r="O299" s="143" t="str">
        <f aca="false">IF(OR($N299="",'設定（最初に1回）'!$C$8="",'設定（最初に1回）'!$C$8&lt;=0),"",MAX(0,$N299)/'設定（最初に1回）'!$C$8)</f>
        <v/>
      </c>
      <c r="P299" s="143" t="str">
        <f aca="false">IF($C299="","",IFERROR(INDEX(商品マスタ!$M$6:$N$1005,MATCH($C299,商品マスタ!$B$6:$B$1005,0),MATCH("PI値 "&amp;'設定（最初に1回）'!$C$11,商品マスタ!$M$5:$N$5,0)),""))</f>
        <v/>
      </c>
      <c r="Q299" s="143" t="str">
        <f aca="false">IF(OR($C299="",$P299="",$P299=0,(N($I299)+N($AG299))&lt;=0),"",IFERROR(SUMIFS(随時_動員を入れる!$G$8:$G$97,随時_動員を入れる!$B$8:$B$97,"&gt;="&amp;'設定（最初に1回）'!$C$6,随時_動員を入れる!$B$8:$B$97,"&lt;="&amp;'設定（最初に1回）'!$C$6+(N($I299)+N($AG299))-1)/(N($I299)+N($AG299)),0)*$P299/100)</f>
        <v/>
      </c>
      <c r="R299" s="69" t="str">
        <f aca="false">IF($C299="","",SUMIFS(①今日の在庫を貼る!$O$6:$O$10005,①今日の在庫を貼る!$B$6:$B$10005,'設定（最初に1回）'!$C$4,①今日の在庫を貼る!$I$6:$I$10005,$C299))</f>
        <v/>
      </c>
      <c r="S299" s="143" t="str">
        <f aca="false">IF($C299="","",IF('設定（最初に1回）'!$C$9="実績消費",N($O299),IF('設定（最初に1回）'!$C$9="PI値予測",N($Q299),MAX(N($O299),N($Q299)))))</f>
        <v/>
      </c>
      <c r="T299" s="67" t="str">
        <f aca="false">IF(OR($S299="",$S299&lt;=0),"",$K299/$S299)</f>
        <v/>
      </c>
      <c r="U299" s="69" t="str">
        <f aca="false">IF($S299="","",ROUNDUP(N($S299)*'設定（最初に1回）'!$C$12,0))</f>
        <v/>
      </c>
      <c r="V299" s="69" t="str">
        <f aca="false">IF($C299="","",ROUNDUP(N($S299)*(N($I299)+N($AG299))+N($U299),0))</f>
        <v/>
      </c>
      <c r="W299" s="69" t="str">
        <f aca="false">IF($C299="","",SUMIFS(発注管理!$L$6:$L$1005,発注管理!$C$6:$C$1005,'設定（最初に1回）'!$C$4,発注管理!$F$6:$F$1005,$C299,発注管理!$Q$6:$Q$1005,"発注済"))</f>
        <v/>
      </c>
      <c r="X299" s="69" t="str">
        <f aca="false">IF($C299="","",MAX(0,N($V299)-N($K299)-N($W299)))</f>
        <v/>
      </c>
      <c r="Y299" s="147" t="str">
        <f aca="false">IF($C299="","",IF(N($X299)&lt;=0,0,CEILING($X299/MAX(1,N($G299)),MAX(1,N($J299)))))</f>
        <v/>
      </c>
      <c r="Z299" s="138" t="str">
        <f aca="false">IF($C299="","",IF(N($Y299)&gt;0,"要発注","正常"))</f>
        <v/>
      </c>
      <c r="AA299" s="71" t="str">
        <f aca="false">IF($C299="","",N($K299)*N($H299))</f>
        <v/>
      </c>
      <c r="AB299" s="66" t="str">
        <f aca="false">IF($C299="","",_xlfn.TEXTJOIN(" / ",TRUE(),IF(COUNTIF(商品マスタ!$B$6:$B$1005,$C299)=0,"マスタ未登録",""),IF(COUNTIFS(月1回_前回の在庫を貼る!$B$6:$B$10005,'設定（最初に1回）'!$C$4,月1回_前回の在庫を貼る!$I$6:$I$10005,$C299)=0,"新商品",""),IF(COUNTIFS(①今日の在庫を貼る!$B$6:$B$10005,'設定（最初に1回）'!$C$4,①今日の在庫を貼る!$I$6:$I$10005,$C299)=0,"終売候補",""),IF(N($K299)&lt;0,"在庫マイナス",""),IF(AND('設定（最初に1回）'!$C$9="PI値予測",$P299=""),"PI値未設定","")))</f>
        <v/>
      </c>
      <c r="AC299" s="71" t="n">
        <f aca="false">N($Y299)*N($H299)</f>
        <v>0</v>
      </c>
      <c r="AD299" s="66" t="str">
        <f aca="false">IF($C299="","",IFERROR(INDEX(商品マスタ!$K$6:$K$1005,MATCH($C299,商品マスタ!$B$6:$B$1005,0)),"常温"))</f>
        <v/>
      </c>
      <c r="AE299" s="69" t="str">
        <f aca="false">IF($C299="","",MAX(0,ROUNDUP(N($K299)/MAX(1,N($G299)),0)))</f>
        <v/>
      </c>
      <c r="AF299" s="66" t="str">
        <f aca="false">IF($C299="","",IFERROR(INDEX(商品マスタ!$L$6:$L$1005,MATCH($C299,商品マスタ!$B$6:$B$1005,0)),""))</f>
        <v/>
      </c>
      <c r="AG299" s="143" t="str">
        <f aca="false">IF($C299="","",IFERROR(INDEX(定数マスタ!$S$110:$S$119,MATCH($AF299,定数マスタ!$J$110:$J$119,0)),N('設定（最初に1回）'!$C$13)))</f>
        <v/>
      </c>
      <c r="AH299" s="66" t="n">
        <f aca="false">IF(AND(N($K299)&gt;0,N($Y299)&gt;0),N($Y299),0)</f>
        <v>0</v>
      </c>
    </row>
    <row r="300" customFormat="false" ht="15" hidden="false" customHeight="false" outlineLevel="0" collapsed="false">
      <c r="B300" s="66" t="n">
        <v>295</v>
      </c>
      <c r="C300" s="66" t="str">
        <f aca="false">IFERROR(IF($B300&lt;=MAX(①今日の在庫を貼る!$U$6:$U$10005),INDEX(①今日の在庫を貼る!$I$6:$I$10005,MATCH($B300,①今日の在庫を貼る!$U$6:$U$10005,0)),INDEX(月1回_前回の在庫を貼る!$I$6:$I$10005,MATCH($B300-MAX(①今日の在庫を貼る!$U$6:$U$10005),月1回_前回の在庫を貼る!$U$6:$U$10005,0))),"")</f>
        <v/>
      </c>
      <c r="D300" s="66" t="str">
        <f aca="false">IF($C300="","",IFERROR(INDEX(商品マスタ!$C$6:$C$1005,MATCH($C300,商品マスタ!$B$6:$B$1005,0)),IFERROR(INDEX(①今日の在庫を貼る!$J$6:$J$10005,MATCH($C300,①今日の在庫を貼る!$I$6:$I$10005,0)),IFERROR(INDEX(月1回_前回の在庫を貼る!$J$6:$J$10005,MATCH($C300,月1回_前回の在庫を貼る!$I$6:$I$10005,0)),""))))</f>
        <v/>
      </c>
      <c r="E300" s="66" t="str">
        <f aca="false">IF($C300="","",IFERROR(INDEX(商品マスタ!$D$6:$D$1005,MATCH($C300,商品マスタ!$B$6:$B$1005,0)),IFERROR(INDEX(①今日の在庫を貼る!$H$6:$H$10005,MATCH($C300,①今日の在庫を貼る!$I$6:$I$10005,0)),IFERROR(INDEX(月1回_前回の在庫を貼る!$H$6:$H$10005,MATCH($C300,月1回_前回の在庫を貼る!$I$6:$I$10005,0)),""))))</f>
        <v/>
      </c>
      <c r="F300" s="66" t="str">
        <f aca="false">IF($C300="","",IFERROR(INDEX(商品マスタ!$E$6:$E$1005,MATCH($C300,商品マスタ!$B$6:$B$1005,0)),IFERROR(INDEX(①今日の在庫を貼る!$E$6:$E$10005,MATCH($C300,①今日の在庫を貼る!$I$6:$I$10005,0)),IFERROR(INDEX(月1回_前回の在庫を貼る!$E$6:$E$10005,MATCH($C300,月1回_前回の在庫を貼る!$I$6:$I$10005,0)),""))))</f>
        <v/>
      </c>
      <c r="G300" s="69" t="str">
        <f aca="false">IF($C300="","",IFERROR(INDEX(商品マスタ!$F$6:$F$1005,MATCH($C300,商品マスタ!$B$6:$B$1005,0)),IFERROR(INDEX(①今日の在庫を貼る!$K$6:$K$10005,MATCH($C300,①今日の在庫を貼る!$I$6:$I$10005,0)),IFERROR(INDEX(月1回_前回の在庫を貼る!$K$6:$K$10005,MATCH($C300,月1回_前回の在庫を貼る!$I$6:$I$10005,0)),""))))</f>
        <v/>
      </c>
      <c r="H300" s="71" t="str">
        <f aca="false">IF($C300="","",IFERROR(INDEX(商品マスタ!$G$6:$G$1005,MATCH($C300,商品マスタ!$B$6:$B$1005,0)),IFERROR(INDEX(①今日の在庫を貼る!$Q$6:$Q$10005,MATCH($C300,①今日の在庫を貼る!$I$6:$I$10005,0)),IFERROR(INDEX(月1回_前回の在庫を貼る!$Q$6:$Q$10005,MATCH($C300,月1回_前回の在庫を貼る!$I$6:$I$10005,0)),""))))</f>
        <v/>
      </c>
      <c r="I300" s="66" t="str">
        <f aca="false">IF($C300="","",IFERROR(INDEX(商品マスタ!$H$6:$H$1005,MATCH($C300,商品マスタ!$B$6:$B$1005,0)),3))</f>
        <v/>
      </c>
      <c r="J300" s="66" t="str">
        <f aca="false">IF($C300="","",MAX(1,IFERROR(INDEX(商品マスタ!$I$6:$I$1005,MATCH($C300,商品マスタ!$B$6:$B$1005,0)),1)))</f>
        <v/>
      </c>
      <c r="K300" s="69" t="str">
        <f aca="false">IF($C300="","",SUMIFS(①今日の在庫を貼る!$N$6:$N$10005,①今日の在庫を貼る!$B$6:$B$10005,'設定（最初に1回）'!$C$4,①今日の在庫を貼る!$I$6:$I$10005,$C300))</f>
        <v/>
      </c>
      <c r="L300" s="69" t="str">
        <f aca="false">IF($C300="","",SUMIFS(月1回_前回の在庫を貼る!$N$6:$N$10005,月1回_前回の在庫を貼る!$B$6:$B$10005,'設定（最初に1回）'!$C$4,月1回_前回の在庫を貼る!$I$6:$I$10005,$C300))</f>
        <v/>
      </c>
      <c r="M300" s="69" t="str">
        <f aca="false">IF($C300="","",IF(OR('設定（最初に1回）'!$C$6="",'設定（最初に1回）'!$C$7=""),0,SUMIFS(発注管理!$S$6:$S$1005,発注管理!$C$6:$C$1005,'設定（最初に1回）'!$C$4,発注管理!$F$6:$F$1005,$C300,発注管理!$R$6:$R$1005,"&gt;="&amp;'設定（最初に1回）'!$C$7,発注管理!$R$6:$R$1005,"&lt;="&amp;'設定（最初に1回）'!$C$6)))</f>
        <v/>
      </c>
      <c r="N300" s="69" t="str">
        <f aca="false">IF(OR($C300="",'設定（最初に1回）'!$C$15=0),"",$L300+$M300-$K300)</f>
        <v/>
      </c>
      <c r="O300" s="143" t="str">
        <f aca="false">IF(OR($N300="",'設定（最初に1回）'!$C$8="",'設定（最初に1回）'!$C$8&lt;=0),"",MAX(0,$N300)/'設定（最初に1回）'!$C$8)</f>
        <v/>
      </c>
      <c r="P300" s="143" t="str">
        <f aca="false">IF($C300="","",IFERROR(INDEX(商品マスタ!$M$6:$N$1005,MATCH($C300,商品マスタ!$B$6:$B$1005,0),MATCH("PI値 "&amp;'設定（最初に1回）'!$C$11,商品マスタ!$M$5:$N$5,0)),""))</f>
        <v/>
      </c>
      <c r="Q300" s="143" t="str">
        <f aca="false">IF(OR($C300="",$P300="",$P300=0,(N($I300)+N($AG300))&lt;=0),"",IFERROR(SUMIFS(随時_動員を入れる!$G$8:$G$97,随時_動員を入れる!$B$8:$B$97,"&gt;="&amp;'設定（最初に1回）'!$C$6,随時_動員を入れる!$B$8:$B$97,"&lt;="&amp;'設定（最初に1回）'!$C$6+(N($I300)+N($AG300))-1)/(N($I300)+N($AG300)),0)*$P300/100)</f>
        <v/>
      </c>
      <c r="R300" s="69" t="str">
        <f aca="false">IF($C300="","",SUMIFS(①今日の在庫を貼る!$O$6:$O$10005,①今日の在庫を貼る!$B$6:$B$10005,'設定（最初に1回）'!$C$4,①今日の在庫を貼る!$I$6:$I$10005,$C300))</f>
        <v/>
      </c>
      <c r="S300" s="143" t="str">
        <f aca="false">IF($C300="","",IF('設定（最初に1回）'!$C$9="実績消費",N($O300),IF('設定（最初に1回）'!$C$9="PI値予測",N($Q300),MAX(N($O300),N($Q300)))))</f>
        <v/>
      </c>
      <c r="T300" s="67" t="str">
        <f aca="false">IF(OR($S300="",$S300&lt;=0),"",$K300/$S300)</f>
        <v/>
      </c>
      <c r="U300" s="69" t="str">
        <f aca="false">IF($S300="","",ROUNDUP(N($S300)*'設定（最初に1回）'!$C$12,0))</f>
        <v/>
      </c>
      <c r="V300" s="69" t="str">
        <f aca="false">IF($C300="","",ROUNDUP(N($S300)*(N($I300)+N($AG300))+N($U300),0))</f>
        <v/>
      </c>
      <c r="W300" s="69" t="str">
        <f aca="false">IF($C300="","",SUMIFS(発注管理!$L$6:$L$1005,発注管理!$C$6:$C$1005,'設定（最初に1回）'!$C$4,発注管理!$F$6:$F$1005,$C300,発注管理!$Q$6:$Q$1005,"発注済"))</f>
        <v/>
      </c>
      <c r="X300" s="69" t="str">
        <f aca="false">IF($C300="","",MAX(0,N($V300)-N($K300)-N($W300)))</f>
        <v/>
      </c>
      <c r="Y300" s="147" t="str">
        <f aca="false">IF($C300="","",IF(N($X300)&lt;=0,0,CEILING($X300/MAX(1,N($G300)),MAX(1,N($J300)))))</f>
        <v/>
      </c>
      <c r="Z300" s="138" t="str">
        <f aca="false">IF($C300="","",IF(N($Y300)&gt;0,"要発注","正常"))</f>
        <v/>
      </c>
      <c r="AA300" s="71" t="str">
        <f aca="false">IF($C300="","",N($K300)*N($H300))</f>
        <v/>
      </c>
      <c r="AB300" s="66" t="str">
        <f aca="false">IF($C300="","",_xlfn.TEXTJOIN(" / ",TRUE(),IF(COUNTIF(商品マスタ!$B$6:$B$1005,$C300)=0,"マスタ未登録",""),IF(COUNTIFS(月1回_前回の在庫を貼る!$B$6:$B$10005,'設定（最初に1回）'!$C$4,月1回_前回の在庫を貼る!$I$6:$I$10005,$C300)=0,"新商品",""),IF(COUNTIFS(①今日の在庫を貼る!$B$6:$B$10005,'設定（最初に1回）'!$C$4,①今日の在庫を貼る!$I$6:$I$10005,$C300)=0,"終売候補",""),IF(N($K300)&lt;0,"在庫マイナス",""),IF(AND('設定（最初に1回）'!$C$9="PI値予測",$P300=""),"PI値未設定","")))</f>
        <v/>
      </c>
      <c r="AC300" s="71" t="n">
        <f aca="false">N($Y300)*N($H300)</f>
        <v>0</v>
      </c>
      <c r="AD300" s="66" t="str">
        <f aca="false">IF($C300="","",IFERROR(INDEX(商品マスタ!$K$6:$K$1005,MATCH($C300,商品マスタ!$B$6:$B$1005,0)),"常温"))</f>
        <v/>
      </c>
      <c r="AE300" s="69" t="str">
        <f aca="false">IF($C300="","",MAX(0,ROUNDUP(N($K300)/MAX(1,N($G300)),0)))</f>
        <v/>
      </c>
      <c r="AF300" s="66" t="str">
        <f aca="false">IF($C300="","",IFERROR(INDEX(商品マスタ!$L$6:$L$1005,MATCH($C300,商品マスタ!$B$6:$B$1005,0)),""))</f>
        <v/>
      </c>
      <c r="AG300" s="143" t="str">
        <f aca="false">IF($C300="","",IFERROR(INDEX(定数マスタ!$S$110:$S$119,MATCH($AF300,定数マスタ!$J$110:$J$119,0)),N('設定（最初に1回）'!$C$13)))</f>
        <v/>
      </c>
      <c r="AH300" s="66" t="n">
        <f aca="false">IF(AND(N($K300)&gt;0,N($Y300)&gt;0),N($Y300),0)</f>
        <v>0</v>
      </c>
    </row>
    <row r="301" customFormat="false" ht="15" hidden="false" customHeight="false" outlineLevel="0" collapsed="false">
      <c r="B301" s="66" t="n">
        <v>296</v>
      </c>
      <c r="C301" s="66" t="str">
        <f aca="false">IFERROR(IF($B301&lt;=MAX(①今日の在庫を貼る!$U$6:$U$10005),INDEX(①今日の在庫を貼る!$I$6:$I$10005,MATCH($B301,①今日の在庫を貼る!$U$6:$U$10005,0)),INDEX(月1回_前回の在庫を貼る!$I$6:$I$10005,MATCH($B301-MAX(①今日の在庫を貼る!$U$6:$U$10005),月1回_前回の在庫を貼る!$U$6:$U$10005,0))),"")</f>
        <v/>
      </c>
      <c r="D301" s="66" t="str">
        <f aca="false">IF($C301="","",IFERROR(INDEX(商品マスタ!$C$6:$C$1005,MATCH($C301,商品マスタ!$B$6:$B$1005,0)),IFERROR(INDEX(①今日の在庫を貼る!$J$6:$J$10005,MATCH($C301,①今日の在庫を貼る!$I$6:$I$10005,0)),IFERROR(INDEX(月1回_前回の在庫を貼る!$J$6:$J$10005,MATCH($C301,月1回_前回の在庫を貼る!$I$6:$I$10005,0)),""))))</f>
        <v/>
      </c>
      <c r="E301" s="66" t="str">
        <f aca="false">IF($C301="","",IFERROR(INDEX(商品マスタ!$D$6:$D$1005,MATCH($C301,商品マスタ!$B$6:$B$1005,0)),IFERROR(INDEX(①今日の在庫を貼る!$H$6:$H$10005,MATCH($C301,①今日の在庫を貼る!$I$6:$I$10005,0)),IFERROR(INDEX(月1回_前回の在庫を貼る!$H$6:$H$10005,MATCH($C301,月1回_前回の在庫を貼る!$I$6:$I$10005,0)),""))))</f>
        <v/>
      </c>
      <c r="F301" s="66" t="str">
        <f aca="false">IF($C301="","",IFERROR(INDEX(商品マスタ!$E$6:$E$1005,MATCH($C301,商品マスタ!$B$6:$B$1005,0)),IFERROR(INDEX(①今日の在庫を貼る!$E$6:$E$10005,MATCH($C301,①今日の在庫を貼る!$I$6:$I$10005,0)),IFERROR(INDEX(月1回_前回の在庫を貼る!$E$6:$E$10005,MATCH($C301,月1回_前回の在庫を貼る!$I$6:$I$10005,0)),""))))</f>
        <v/>
      </c>
      <c r="G301" s="69" t="str">
        <f aca="false">IF($C301="","",IFERROR(INDEX(商品マスタ!$F$6:$F$1005,MATCH($C301,商品マスタ!$B$6:$B$1005,0)),IFERROR(INDEX(①今日の在庫を貼る!$K$6:$K$10005,MATCH($C301,①今日の在庫を貼る!$I$6:$I$10005,0)),IFERROR(INDEX(月1回_前回の在庫を貼る!$K$6:$K$10005,MATCH($C301,月1回_前回の在庫を貼る!$I$6:$I$10005,0)),""))))</f>
        <v/>
      </c>
      <c r="H301" s="71" t="str">
        <f aca="false">IF($C301="","",IFERROR(INDEX(商品マスタ!$G$6:$G$1005,MATCH($C301,商品マスタ!$B$6:$B$1005,0)),IFERROR(INDEX(①今日の在庫を貼る!$Q$6:$Q$10005,MATCH($C301,①今日の在庫を貼る!$I$6:$I$10005,0)),IFERROR(INDEX(月1回_前回の在庫を貼る!$Q$6:$Q$10005,MATCH($C301,月1回_前回の在庫を貼る!$I$6:$I$10005,0)),""))))</f>
        <v/>
      </c>
      <c r="I301" s="66" t="str">
        <f aca="false">IF($C301="","",IFERROR(INDEX(商品マスタ!$H$6:$H$1005,MATCH($C301,商品マスタ!$B$6:$B$1005,0)),3))</f>
        <v/>
      </c>
      <c r="J301" s="66" t="str">
        <f aca="false">IF($C301="","",MAX(1,IFERROR(INDEX(商品マスタ!$I$6:$I$1005,MATCH($C301,商品マスタ!$B$6:$B$1005,0)),1)))</f>
        <v/>
      </c>
      <c r="K301" s="69" t="str">
        <f aca="false">IF($C301="","",SUMIFS(①今日の在庫を貼る!$N$6:$N$10005,①今日の在庫を貼る!$B$6:$B$10005,'設定（最初に1回）'!$C$4,①今日の在庫を貼る!$I$6:$I$10005,$C301))</f>
        <v/>
      </c>
      <c r="L301" s="69" t="str">
        <f aca="false">IF($C301="","",SUMIFS(月1回_前回の在庫を貼る!$N$6:$N$10005,月1回_前回の在庫を貼る!$B$6:$B$10005,'設定（最初に1回）'!$C$4,月1回_前回の在庫を貼る!$I$6:$I$10005,$C301))</f>
        <v/>
      </c>
      <c r="M301" s="69" t="str">
        <f aca="false">IF($C301="","",IF(OR('設定（最初に1回）'!$C$6="",'設定（最初に1回）'!$C$7=""),0,SUMIFS(発注管理!$S$6:$S$1005,発注管理!$C$6:$C$1005,'設定（最初に1回）'!$C$4,発注管理!$F$6:$F$1005,$C301,発注管理!$R$6:$R$1005,"&gt;="&amp;'設定（最初に1回）'!$C$7,発注管理!$R$6:$R$1005,"&lt;="&amp;'設定（最初に1回）'!$C$6)))</f>
        <v/>
      </c>
      <c r="N301" s="69" t="str">
        <f aca="false">IF(OR($C301="",'設定（最初に1回）'!$C$15=0),"",$L301+$M301-$K301)</f>
        <v/>
      </c>
      <c r="O301" s="143" t="str">
        <f aca="false">IF(OR($N301="",'設定（最初に1回）'!$C$8="",'設定（最初に1回）'!$C$8&lt;=0),"",MAX(0,$N301)/'設定（最初に1回）'!$C$8)</f>
        <v/>
      </c>
      <c r="P301" s="143" t="str">
        <f aca="false">IF($C301="","",IFERROR(INDEX(商品マスタ!$M$6:$N$1005,MATCH($C301,商品マスタ!$B$6:$B$1005,0),MATCH("PI値 "&amp;'設定（最初に1回）'!$C$11,商品マスタ!$M$5:$N$5,0)),""))</f>
        <v/>
      </c>
      <c r="Q301" s="143" t="str">
        <f aca="false">IF(OR($C301="",$P301="",$P301=0,(N($I301)+N($AG301))&lt;=0),"",IFERROR(SUMIFS(随時_動員を入れる!$G$8:$G$97,随時_動員を入れる!$B$8:$B$97,"&gt;="&amp;'設定（最初に1回）'!$C$6,随時_動員を入れる!$B$8:$B$97,"&lt;="&amp;'設定（最初に1回）'!$C$6+(N($I301)+N($AG301))-1)/(N($I301)+N($AG301)),0)*$P301/100)</f>
        <v/>
      </c>
      <c r="R301" s="69" t="str">
        <f aca="false">IF($C301="","",SUMIFS(①今日の在庫を貼る!$O$6:$O$10005,①今日の在庫を貼る!$B$6:$B$10005,'設定（最初に1回）'!$C$4,①今日の在庫を貼る!$I$6:$I$10005,$C301))</f>
        <v/>
      </c>
      <c r="S301" s="143" t="str">
        <f aca="false">IF($C301="","",IF('設定（最初に1回）'!$C$9="実績消費",N($O301),IF('設定（最初に1回）'!$C$9="PI値予測",N($Q301),MAX(N($O301),N($Q301)))))</f>
        <v/>
      </c>
      <c r="T301" s="67" t="str">
        <f aca="false">IF(OR($S301="",$S301&lt;=0),"",$K301/$S301)</f>
        <v/>
      </c>
      <c r="U301" s="69" t="str">
        <f aca="false">IF($S301="","",ROUNDUP(N($S301)*'設定（最初に1回）'!$C$12,0))</f>
        <v/>
      </c>
      <c r="V301" s="69" t="str">
        <f aca="false">IF($C301="","",ROUNDUP(N($S301)*(N($I301)+N($AG301))+N($U301),0))</f>
        <v/>
      </c>
      <c r="W301" s="69" t="str">
        <f aca="false">IF($C301="","",SUMIFS(発注管理!$L$6:$L$1005,発注管理!$C$6:$C$1005,'設定（最初に1回）'!$C$4,発注管理!$F$6:$F$1005,$C301,発注管理!$Q$6:$Q$1005,"発注済"))</f>
        <v/>
      </c>
      <c r="X301" s="69" t="str">
        <f aca="false">IF($C301="","",MAX(0,N($V301)-N($K301)-N($W301)))</f>
        <v/>
      </c>
      <c r="Y301" s="147" t="str">
        <f aca="false">IF($C301="","",IF(N($X301)&lt;=0,0,CEILING($X301/MAX(1,N($G301)),MAX(1,N($J301)))))</f>
        <v/>
      </c>
      <c r="Z301" s="138" t="str">
        <f aca="false">IF($C301="","",IF(N($Y301)&gt;0,"要発注","正常"))</f>
        <v/>
      </c>
      <c r="AA301" s="71" t="str">
        <f aca="false">IF($C301="","",N($K301)*N($H301))</f>
        <v/>
      </c>
      <c r="AB301" s="66" t="str">
        <f aca="false">IF($C301="","",_xlfn.TEXTJOIN(" / ",TRUE(),IF(COUNTIF(商品マスタ!$B$6:$B$1005,$C301)=0,"マスタ未登録",""),IF(COUNTIFS(月1回_前回の在庫を貼る!$B$6:$B$10005,'設定（最初に1回）'!$C$4,月1回_前回の在庫を貼る!$I$6:$I$10005,$C301)=0,"新商品",""),IF(COUNTIFS(①今日の在庫を貼る!$B$6:$B$10005,'設定（最初に1回）'!$C$4,①今日の在庫を貼る!$I$6:$I$10005,$C301)=0,"終売候補",""),IF(N($K301)&lt;0,"在庫マイナス",""),IF(AND('設定（最初に1回）'!$C$9="PI値予測",$P301=""),"PI値未設定","")))</f>
        <v/>
      </c>
      <c r="AC301" s="71" t="n">
        <f aca="false">N($Y301)*N($H301)</f>
        <v>0</v>
      </c>
      <c r="AD301" s="66" t="str">
        <f aca="false">IF($C301="","",IFERROR(INDEX(商品マスタ!$K$6:$K$1005,MATCH($C301,商品マスタ!$B$6:$B$1005,0)),"常温"))</f>
        <v/>
      </c>
      <c r="AE301" s="69" t="str">
        <f aca="false">IF($C301="","",MAX(0,ROUNDUP(N($K301)/MAX(1,N($G301)),0)))</f>
        <v/>
      </c>
      <c r="AF301" s="66" t="str">
        <f aca="false">IF($C301="","",IFERROR(INDEX(商品マスタ!$L$6:$L$1005,MATCH($C301,商品マスタ!$B$6:$B$1005,0)),""))</f>
        <v/>
      </c>
      <c r="AG301" s="143" t="str">
        <f aca="false">IF($C301="","",IFERROR(INDEX(定数マスタ!$S$110:$S$119,MATCH($AF301,定数マスタ!$J$110:$J$119,0)),N('設定（最初に1回）'!$C$13)))</f>
        <v/>
      </c>
      <c r="AH301" s="66" t="n">
        <f aca="false">IF(AND(N($K301)&gt;0,N($Y301)&gt;0),N($Y301),0)</f>
        <v>0</v>
      </c>
    </row>
    <row r="302" customFormat="false" ht="15" hidden="false" customHeight="false" outlineLevel="0" collapsed="false">
      <c r="B302" s="66" t="n">
        <v>297</v>
      </c>
      <c r="C302" s="66" t="str">
        <f aca="false">IFERROR(IF($B302&lt;=MAX(①今日の在庫を貼る!$U$6:$U$10005),INDEX(①今日の在庫を貼る!$I$6:$I$10005,MATCH($B302,①今日の在庫を貼る!$U$6:$U$10005,0)),INDEX(月1回_前回の在庫を貼る!$I$6:$I$10005,MATCH($B302-MAX(①今日の在庫を貼る!$U$6:$U$10005),月1回_前回の在庫を貼る!$U$6:$U$10005,0))),"")</f>
        <v/>
      </c>
      <c r="D302" s="66" t="str">
        <f aca="false">IF($C302="","",IFERROR(INDEX(商品マスタ!$C$6:$C$1005,MATCH($C302,商品マスタ!$B$6:$B$1005,0)),IFERROR(INDEX(①今日の在庫を貼る!$J$6:$J$10005,MATCH($C302,①今日の在庫を貼る!$I$6:$I$10005,0)),IFERROR(INDEX(月1回_前回の在庫を貼る!$J$6:$J$10005,MATCH($C302,月1回_前回の在庫を貼る!$I$6:$I$10005,0)),""))))</f>
        <v/>
      </c>
      <c r="E302" s="66" t="str">
        <f aca="false">IF($C302="","",IFERROR(INDEX(商品マスタ!$D$6:$D$1005,MATCH($C302,商品マスタ!$B$6:$B$1005,0)),IFERROR(INDEX(①今日の在庫を貼る!$H$6:$H$10005,MATCH($C302,①今日の在庫を貼る!$I$6:$I$10005,0)),IFERROR(INDEX(月1回_前回の在庫を貼る!$H$6:$H$10005,MATCH($C302,月1回_前回の在庫を貼る!$I$6:$I$10005,0)),""))))</f>
        <v/>
      </c>
      <c r="F302" s="66" t="str">
        <f aca="false">IF($C302="","",IFERROR(INDEX(商品マスタ!$E$6:$E$1005,MATCH($C302,商品マスタ!$B$6:$B$1005,0)),IFERROR(INDEX(①今日の在庫を貼る!$E$6:$E$10005,MATCH($C302,①今日の在庫を貼る!$I$6:$I$10005,0)),IFERROR(INDEX(月1回_前回の在庫を貼る!$E$6:$E$10005,MATCH($C302,月1回_前回の在庫を貼る!$I$6:$I$10005,0)),""))))</f>
        <v/>
      </c>
      <c r="G302" s="69" t="str">
        <f aca="false">IF($C302="","",IFERROR(INDEX(商品マスタ!$F$6:$F$1005,MATCH($C302,商品マスタ!$B$6:$B$1005,0)),IFERROR(INDEX(①今日の在庫を貼る!$K$6:$K$10005,MATCH($C302,①今日の在庫を貼る!$I$6:$I$10005,0)),IFERROR(INDEX(月1回_前回の在庫を貼る!$K$6:$K$10005,MATCH($C302,月1回_前回の在庫を貼る!$I$6:$I$10005,0)),""))))</f>
        <v/>
      </c>
      <c r="H302" s="71" t="str">
        <f aca="false">IF($C302="","",IFERROR(INDEX(商品マスタ!$G$6:$G$1005,MATCH($C302,商品マスタ!$B$6:$B$1005,0)),IFERROR(INDEX(①今日の在庫を貼る!$Q$6:$Q$10005,MATCH($C302,①今日の在庫を貼る!$I$6:$I$10005,0)),IFERROR(INDEX(月1回_前回の在庫を貼る!$Q$6:$Q$10005,MATCH($C302,月1回_前回の在庫を貼る!$I$6:$I$10005,0)),""))))</f>
        <v/>
      </c>
      <c r="I302" s="66" t="str">
        <f aca="false">IF($C302="","",IFERROR(INDEX(商品マスタ!$H$6:$H$1005,MATCH($C302,商品マスタ!$B$6:$B$1005,0)),3))</f>
        <v/>
      </c>
      <c r="J302" s="66" t="str">
        <f aca="false">IF($C302="","",MAX(1,IFERROR(INDEX(商品マスタ!$I$6:$I$1005,MATCH($C302,商品マスタ!$B$6:$B$1005,0)),1)))</f>
        <v/>
      </c>
      <c r="K302" s="69" t="str">
        <f aca="false">IF($C302="","",SUMIFS(①今日の在庫を貼る!$N$6:$N$10005,①今日の在庫を貼る!$B$6:$B$10005,'設定（最初に1回）'!$C$4,①今日の在庫を貼る!$I$6:$I$10005,$C302))</f>
        <v/>
      </c>
      <c r="L302" s="69" t="str">
        <f aca="false">IF($C302="","",SUMIFS(月1回_前回の在庫を貼る!$N$6:$N$10005,月1回_前回の在庫を貼る!$B$6:$B$10005,'設定（最初に1回）'!$C$4,月1回_前回の在庫を貼る!$I$6:$I$10005,$C302))</f>
        <v/>
      </c>
      <c r="M302" s="69" t="str">
        <f aca="false">IF($C302="","",IF(OR('設定（最初に1回）'!$C$6="",'設定（最初に1回）'!$C$7=""),0,SUMIFS(発注管理!$S$6:$S$1005,発注管理!$C$6:$C$1005,'設定（最初に1回）'!$C$4,発注管理!$F$6:$F$1005,$C302,発注管理!$R$6:$R$1005,"&gt;="&amp;'設定（最初に1回）'!$C$7,発注管理!$R$6:$R$1005,"&lt;="&amp;'設定（最初に1回）'!$C$6)))</f>
        <v/>
      </c>
      <c r="N302" s="69" t="str">
        <f aca="false">IF(OR($C302="",'設定（最初に1回）'!$C$15=0),"",$L302+$M302-$K302)</f>
        <v/>
      </c>
      <c r="O302" s="143" t="str">
        <f aca="false">IF(OR($N302="",'設定（最初に1回）'!$C$8="",'設定（最初に1回）'!$C$8&lt;=0),"",MAX(0,$N302)/'設定（最初に1回）'!$C$8)</f>
        <v/>
      </c>
      <c r="P302" s="143" t="str">
        <f aca="false">IF($C302="","",IFERROR(INDEX(商品マスタ!$M$6:$N$1005,MATCH($C302,商品マスタ!$B$6:$B$1005,0),MATCH("PI値 "&amp;'設定（最初に1回）'!$C$11,商品マスタ!$M$5:$N$5,0)),""))</f>
        <v/>
      </c>
      <c r="Q302" s="143" t="str">
        <f aca="false">IF(OR($C302="",$P302="",$P302=0,(N($I302)+N($AG302))&lt;=0),"",IFERROR(SUMIFS(随時_動員を入れる!$G$8:$G$97,随時_動員を入れる!$B$8:$B$97,"&gt;="&amp;'設定（最初に1回）'!$C$6,随時_動員を入れる!$B$8:$B$97,"&lt;="&amp;'設定（最初に1回）'!$C$6+(N($I302)+N($AG302))-1)/(N($I302)+N($AG302)),0)*$P302/100)</f>
        <v/>
      </c>
      <c r="R302" s="69" t="str">
        <f aca="false">IF($C302="","",SUMIFS(①今日の在庫を貼る!$O$6:$O$10005,①今日の在庫を貼る!$B$6:$B$10005,'設定（最初に1回）'!$C$4,①今日の在庫を貼る!$I$6:$I$10005,$C302))</f>
        <v/>
      </c>
      <c r="S302" s="143" t="str">
        <f aca="false">IF($C302="","",IF('設定（最初に1回）'!$C$9="実績消費",N($O302),IF('設定（最初に1回）'!$C$9="PI値予測",N($Q302),MAX(N($O302),N($Q302)))))</f>
        <v/>
      </c>
      <c r="T302" s="67" t="str">
        <f aca="false">IF(OR($S302="",$S302&lt;=0),"",$K302/$S302)</f>
        <v/>
      </c>
      <c r="U302" s="69" t="str">
        <f aca="false">IF($S302="","",ROUNDUP(N($S302)*'設定（最初に1回）'!$C$12,0))</f>
        <v/>
      </c>
      <c r="V302" s="69" t="str">
        <f aca="false">IF($C302="","",ROUNDUP(N($S302)*(N($I302)+N($AG302))+N($U302),0))</f>
        <v/>
      </c>
      <c r="W302" s="69" t="str">
        <f aca="false">IF($C302="","",SUMIFS(発注管理!$L$6:$L$1005,発注管理!$C$6:$C$1005,'設定（最初に1回）'!$C$4,発注管理!$F$6:$F$1005,$C302,発注管理!$Q$6:$Q$1005,"発注済"))</f>
        <v/>
      </c>
      <c r="X302" s="69" t="str">
        <f aca="false">IF($C302="","",MAX(0,N($V302)-N($K302)-N($W302)))</f>
        <v/>
      </c>
      <c r="Y302" s="147" t="str">
        <f aca="false">IF($C302="","",IF(N($X302)&lt;=0,0,CEILING($X302/MAX(1,N($G302)),MAX(1,N($J302)))))</f>
        <v/>
      </c>
      <c r="Z302" s="138" t="str">
        <f aca="false">IF($C302="","",IF(N($Y302)&gt;0,"要発注","正常"))</f>
        <v/>
      </c>
      <c r="AA302" s="71" t="str">
        <f aca="false">IF($C302="","",N($K302)*N($H302))</f>
        <v/>
      </c>
      <c r="AB302" s="66" t="str">
        <f aca="false">IF($C302="","",_xlfn.TEXTJOIN(" / ",TRUE(),IF(COUNTIF(商品マスタ!$B$6:$B$1005,$C302)=0,"マスタ未登録",""),IF(COUNTIFS(月1回_前回の在庫を貼る!$B$6:$B$10005,'設定（最初に1回）'!$C$4,月1回_前回の在庫を貼る!$I$6:$I$10005,$C302)=0,"新商品",""),IF(COUNTIFS(①今日の在庫を貼る!$B$6:$B$10005,'設定（最初に1回）'!$C$4,①今日の在庫を貼る!$I$6:$I$10005,$C302)=0,"終売候補",""),IF(N($K302)&lt;0,"在庫マイナス",""),IF(AND('設定（最初に1回）'!$C$9="PI値予測",$P302=""),"PI値未設定","")))</f>
        <v/>
      </c>
      <c r="AC302" s="71" t="n">
        <f aca="false">N($Y302)*N($H302)</f>
        <v>0</v>
      </c>
      <c r="AD302" s="66" t="str">
        <f aca="false">IF($C302="","",IFERROR(INDEX(商品マスタ!$K$6:$K$1005,MATCH($C302,商品マスタ!$B$6:$B$1005,0)),"常温"))</f>
        <v/>
      </c>
      <c r="AE302" s="69" t="str">
        <f aca="false">IF($C302="","",MAX(0,ROUNDUP(N($K302)/MAX(1,N($G302)),0)))</f>
        <v/>
      </c>
      <c r="AF302" s="66" t="str">
        <f aca="false">IF($C302="","",IFERROR(INDEX(商品マスタ!$L$6:$L$1005,MATCH($C302,商品マスタ!$B$6:$B$1005,0)),""))</f>
        <v/>
      </c>
      <c r="AG302" s="143" t="str">
        <f aca="false">IF($C302="","",IFERROR(INDEX(定数マスタ!$S$110:$S$119,MATCH($AF302,定数マスタ!$J$110:$J$119,0)),N('設定（最初に1回）'!$C$13)))</f>
        <v/>
      </c>
      <c r="AH302" s="66" t="n">
        <f aca="false">IF(AND(N($K302)&gt;0,N($Y302)&gt;0),N($Y302),0)</f>
        <v>0</v>
      </c>
    </row>
    <row r="303" customFormat="false" ht="15" hidden="false" customHeight="false" outlineLevel="0" collapsed="false">
      <c r="B303" s="66" t="n">
        <v>298</v>
      </c>
      <c r="C303" s="66" t="str">
        <f aca="false">IFERROR(IF($B303&lt;=MAX(①今日の在庫を貼る!$U$6:$U$10005),INDEX(①今日の在庫を貼る!$I$6:$I$10005,MATCH($B303,①今日の在庫を貼る!$U$6:$U$10005,0)),INDEX(月1回_前回の在庫を貼る!$I$6:$I$10005,MATCH($B303-MAX(①今日の在庫を貼る!$U$6:$U$10005),月1回_前回の在庫を貼る!$U$6:$U$10005,0))),"")</f>
        <v/>
      </c>
      <c r="D303" s="66" t="str">
        <f aca="false">IF($C303="","",IFERROR(INDEX(商品マスタ!$C$6:$C$1005,MATCH($C303,商品マスタ!$B$6:$B$1005,0)),IFERROR(INDEX(①今日の在庫を貼る!$J$6:$J$10005,MATCH($C303,①今日の在庫を貼る!$I$6:$I$10005,0)),IFERROR(INDEX(月1回_前回の在庫を貼る!$J$6:$J$10005,MATCH($C303,月1回_前回の在庫を貼る!$I$6:$I$10005,0)),""))))</f>
        <v/>
      </c>
      <c r="E303" s="66" t="str">
        <f aca="false">IF($C303="","",IFERROR(INDEX(商品マスタ!$D$6:$D$1005,MATCH($C303,商品マスタ!$B$6:$B$1005,0)),IFERROR(INDEX(①今日の在庫を貼る!$H$6:$H$10005,MATCH($C303,①今日の在庫を貼る!$I$6:$I$10005,0)),IFERROR(INDEX(月1回_前回の在庫を貼る!$H$6:$H$10005,MATCH($C303,月1回_前回の在庫を貼る!$I$6:$I$10005,0)),""))))</f>
        <v/>
      </c>
      <c r="F303" s="66" t="str">
        <f aca="false">IF($C303="","",IFERROR(INDEX(商品マスタ!$E$6:$E$1005,MATCH($C303,商品マスタ!$B$6:$B$1005,0)),IFERROR(INDEX(①今日の在庫を貼る!$E$6:$E$10005,MATCH($C303,①今日の在庫を貼る!$I$6:$I$10005,0)),IFERROR(INDEX(月1回_前回の在庫を貼る!$E$6:$E$10005,MATCH($C303,月1回_前回の在庫を貼る!$I$6:$I$10005,0)),""))))</f>
        <v/>
      </c>
      <c r="G303" s="69" t="str">
        <f aca="false">IF($C303="","",IFERROR(INDEX(商品マスタ!$F$6:$F$1005,MATCH($C303,商品マスタ!$B$6:$B$1005,0)),IFERROR(INDEX(①今日の在庫を貼る!$K$6:$K$10005,MATCH($C303,①今日の在庫を貼る!$I$6:$I$10005,0)),IFERROR(INDEX(月1回_前回の在庫を貼る!$K$6:$K$10005,MATCH($C303,月1回_前回の在庫を貼る!$I$6:$I$10005,0)),""))))</f>
        <v/>
      </c>
      <c r="H303" s="71" t="str">
        <f aca="false">IF($C303="","",IFERROR(INDEX(商品マスタ!$G$6:$G$1005,MATCH($C303,商品マスタ!$B$6:$B$1005,0)),IFERROR(INDEX(①今日の在庫を貼る!$Q$6:$Q$10005,MATCH($C303,①今日の在庫を貼る!$I$6:$I$10005,0)),IFERROR(INDEX(月1回_前回の在庫を貼る!$Q$6:$Q$10005,MATCH($C303,月1回_前回の在庫を貼る!$I$6:$I$10005,0)),""))))</f>
        <v/>
      </c>
      <c r="I303" s="66" t="str">
        <f aca="false">IF($C303="","",IFERROR(INDEX(商品マスタ!$H$6:$H$1005,MATCH($C303,商品マスタ!$B$6:$B$1005,0)),3))</f>
        <v/>
      </c>
      <c r="J303" s="66" t="str">
        <f aca="false">IF($C303="","",MAX(1,IFERROR(INDEX(商品マスタ!$I$6:$I$1005,MATCH($C303,商品マスタ!$B$6:$B$1005,0)),1)))</f>
        <v/>
      </c>
      <c r="K303" s="69" t="str">
        <f aca="false">IF($C303="","",SUMIFS(①今日の在庫を貼る!$N$6:$N$10005,①今日の在庫を貼る!$B$6:$B$10005,'設定（最初に1回）'!$C$4,①今日の在庫を貼る!$I$6:$I$10005,$C303))</f>
        <v/>
      </c>
      <c r="L303" s="69" t="str">
        <f aca="false">IF($C303="","",SUMIFS(月1回_前回の在庫を貼る!$N$6:$N$10005,月1回_前回の在庫を貼る!$B$6:$B$10005,'設定（最初に1回）'!$C$4,月1回_前回の在庫を貼る!$I$6:$I$10005,$C303))</f>
        <v/>
      </c>
      <c r="M303" s="69" t="str">
        <f aca="false">IF($C303="","",IF(OR('設定（最初に1回）'!$C$6="",'設定（最初に1回）'!$C$7=""),0,SUMIFS(発注管理!$S$6:$S$1005,発注管理!$C$6:$C$1005,'設定（最初に1回）'!$C$4,発注管理!$F$6:$F$1005,$C303,発注管理!$R$6:$R$1005,"&gt;="&amp;'設定（最初に1回）'!$C$7,発注管理!$R$6:$R$1005,"&lt;="&amp;'設定（最初に1回）'!$C$6)))</f>
        <v/>
      </c>
      <c r="N303" s="69" t="str">
        <f aca="false">IF(OR($C303="",'設定（最初に1回）'!$C$15=0),"",$L303+$M303-$K303)</f>
        <v/>
      </c>
      <c r="O303" s="143" t="str">
        <f aca="false">IF(OR($N303="",'設定（最初に1回）'!$C$8="",'設定（最初に1回）'!$C$8&lt;=0),"",MAX(0,$N303)/'設定（最初に1回）'!$C$8)</f>
        <v/>
      </c>
      <c r="P303" s="143" t="str">
        <f aca="false">IF($C303="","",IFERROR(INDEX(商品マスタ!$M$6:$N$1005,MATCH($C303,商品マスタ!$B$6:$B$1005,0),MATCH("PI値 "&amp;'設定（最初に1回）'!$C$11,商品マスタ!$M$5:$N$5,0)),""))</f>
        <v/>
      </c>
      <c r="Q303" s="143" t="str">
        <f aca="false">IF(OR($C303="",$P303="",$P303=0,(N($I303)+N($AG303))&lt;=0),"",IFERROR(SUMIFS(随時_動員を入れる!$G$8:$G$97,随時_動員を入れる!$B$8:$B$97,"&gt;="&amp;'設定（最初に1回）'!$C$6,随時_動員を入れる!$B$8:$B$97,"&lt;="&amp;'設定（最初に1回）'!$C$6+(N($I303)+N($AG303))-1)/(N($I303)+N($AG303)),0)*$P303/100)</f>
        <v/>
      </c>
      <c r="R303" s="69" t="str">
        <f aca="false">IF($C303="","",SUMIFS(①今日の在庫を貼る!$O$6:$O$10005,①今日の在庫を貼る!$B$6:$B$10005,'設定（最初に1回）'!$C$4,①今日の在庫を貼る!$I$6:$I$10005,$C303))</f>
        <v/>
      </c>
      <c r="S303" s="143" t="str">
        <f aca="false">IF($C303="","",IF('設定（最初に1回）'!$C$9="実績消費",N($O303),IF('設定（最初に1回）'!$C$9="PI値予測",N($Q303),MAX(N($O303),N($Q303)))))</f>
        <v/>
      </c>
      <c r="T303" s="67" t="str">
        <f aca="false">IF(OR($S303="",$S303&lt;=0),"",$K303/$S303)</f>
        <v/>
      </c>
      <c r="U303" s="69" t="str">
        <f aca="false">IF($S303="","",ROUNDUP(N($S303)*'設定（最初に1回）'!$C$12,0))</f>
        <v/>
      </c>
      <c r="V303" s="69" t="str">
        <f aca="false">IF($C303="","",ROUNDUP(N($S303)*(N($I303)+N($AG303))+N($U303),0))</f>
        <v/>
      </c>
      <c r="W303" s="69" t="str">
        <f aca="false">IF($C303="","",SUMIFS(発注管理!$L$6:$L$1005,発注管理!$C$6:$C$1005,'設定（最初に1回）'!$C$4,発注管理!$F$6:$F$1005,$C303,発注管理!$Q$6:$Q$1005,"発注済"))</f>
        <v/>
      </c>
      <c r="X303" s="69" t="str">
        <f aca="false">IF($C303="","",MAX(0,N($V303)-N($K303)-N($W303)))</f>
        <v/>
      </c>
      <c r="Y303" s="147" t="str">
        <f aca="false">IF($C303="","",IF(N($X303)&lt;=0,0,CEILING($X303/MAX(1,N($G303)),MAX(1,N($J303)))))</f>
        <v/>
      </c>
      <c r="Z303" s="138" t="str">
        <f aca="false">IF($C303="","",IF(N($Y303)&gt;0,"要発注","正常"))</f>
        <v/>
      </c>
      <c r="AA303" s="71" t="str">
        <f aca="false">IF($C303="","",N($K303)*N($H303))</f>
        <v/>
      </c>
      <c r="AB303" s="66" t="str">
        <f aca="false">IF($C303="","",_xlfn.TEXTJOIN(" / ",TRUE(),IF(COUNTIF(商品マスタ!$B$6:$B$1005,$C303)=0,"マスタ未登録",""),IF(COUNTIFS(月1回_前回の在庫を貼る!$B$6:$B$10005,'設定（最初に1回）'!$C$4,月1回_前回の在庫を貼る!$I$6:$I$10005,$C303)=0,"新商品",""),IF(COUNTIFS(①今日の在庫を貼る!$B$6:$B$10005,'設定（最初に1回）'!$C$4,①今日の在庫を貼る!$I$6:$I$10005,$C303)=0,"終売候補",""),IF(N($K303)&lt;0,"在庫マイナス",""),IF(AND('設定（最初に1回）'!$C$9="PI値予測",$P303=""),"PI値未設定","")))</f>
        <v/>
      </c>
      <c r="AC303" s="71" t="n">
        <f aca="false">N($Y303)*N($H303)</f>
        <v>0</v>
      </c>
      <c r="AD303" s="66" t="str">
        <f aca="false">IF($C303="","",IFERROR(INDEX(商品マスタ!$K$6:$K$1005,MATCH($C303,商品マスタ!$B$6:$B$1005,0)),"常温"))</f>
        <v/>
      </c>
      <c r="AE303" s="69" t="str">
        <f aca="false">IF($C303="","",MAX(0,ROUNDUP(N($K303)/MAX(1,N($G303)),0)))</f>
        <v/>
      </c>
      <c r="AF303" s="66" t="str">
        <f aca="false">IF($C303="","",IFERROR(INDEX(商品マスタ!$L$6:$L$1005,MATCH($C303,商品マスタ!$B$6:$B$1005,0)),""))</f>
        <v/>
      </c>
      <c r="AG303" s="143" t="str">
        <f aca="false">IF($C303="","",IFERROR(INDEX(定数マスタ!$S$110:$S$119,MATCH($AF303,定数マスタ!$J$110:$J$119,0)),N('設定（最初に1回）'!$C$13)))</f>
        <v/>
      </c>
      <c r="AH303" s="66" t="n">
        <f aca="false">IF(AND(N($K303)&gt;0,N($Y303)&gt;0),N($Y303),0)</f>
        <v>0</v>
      </c>
    </row>
    <row r="304" customFormat="false" ht="15" hidden="false" customHeight="false" outlineLevel="0" collapsed="false">
      <c r="B304" s="66" t="n">
        <v>299</v>
      </c>
      <c r="C304" s="66" t="str">
        <f aca="false">IFERROR(IF($B304&lt;=MAX(①今日の在庫を貼る!$U$6:$U$10005),INDEX(①今日の在庫を貼る!$I$6:$I$10005,MATCH($B304,①今日の在庫を貼る!$U$6:$U$10005,0)),INDEX(月1回_前回の在庫を貼る!$I$6:$I$10005,MATCH($B304-MAX(①今日の在庫を貼る!$U$6:$U$10005),月1回_前回の在庫を貼る!$U$6:$U$10005,0))),"")</f>
        <v/>
      </c>
      <c r="D304" s="66" t="str">
        <f aca="false">IF($C304="","",IFERROR(INDEX(商品マスタ!$C$6:$C$1005,MATCH($C304,商品マスタ!$B$6:$B$1005,0)),IFERROR(INDEX(①今日の在庫を貼る!$J$6:$J$10005,MATCH($C304,①今日の在庫を貼る!$I$6:$I$10005,0)),IFERROR(INDEX(月1回_前回の在庫を貼る!$J$6:$J$10005,MATCH($C304,月1回_前回の在庫を貼る!$I$6:$I$10005,0)),""))))</f>
        <v/>
      </c>
      <c r="E304" s="66" t="str">
        <f aca="false">IF($C304="","",IFERROR(INDEX(商品マスタ!$D$6:$D$1005,MATCH($C304,商品マスタ!$B$6:$B$1005,0)),IFERROR(INDEX(①今日の在庫を貼る!$H$6:$H$10005,MATCH($C304,①今日の在庫を貼る!$I$6:$I$10005,0)),IFERROR(INDEX(月1回_前回の在庫を貼る!$H$6:$H$10005,MATCH($C304,月1回_前回の在庫を貼る!$I$6:$I$10005,0)),""))))</f>
        <v/>
      </c>
      <c r="F304" s="66" t="str">
        <f aca="false">IF($C304="","",IFERROR(INDEX(商品マスタ!$E$6:$E$1005,MATCH($C304,商品マスタ!$B$6:$B$1005,0)),IFERROR(INDEX(①今日の在庫を貼る!$E$6:$E$10005,MATCH($C304,①今日の在庫を貼る!$I$6:$I$10005,0)),IFERROR(INDEX(月1回_前回の在庫を貼る!$E$6:$E$10005,MATCH($C304,月1回_前回の在庫を貼る!$I$6:$I$10005,0)),""))))</f>
        <v/>
      </c>
      <c r="G304" s="69" t="str">
        <f aca="false">IF($C304="","",IFERROR(INDEX(商品マスタ!$F$6:$F$1005,MATCH($C304,商品マスタ!$B$6:$B$1005,0)),IFERROR(INDEX(①今日の在庫を貼る!$K$6:$K$10005,MATCH($C304,①今日の在庫を貼る!$I$6:$I$10005,0)),IFERROR(INDEX(月1回_前回の在庫を貼る!$K$6:$K$10005,MATCH($C304,月1回_前回の在庫を貼る!$I$6:$I$10005,0)),""))))</f>
        <v/>
      </c>
      <c r="H304" s="71" t="str">
        <f aca="false">IF($C304="","",IFERROR(INDEX(商品マスタ!$G$6:$G$1005,MATCH($C304,商品マスタ!$B$6:$B$1005,0)),IFERROR(INDEX(①今日の在庫を貼る!$Q$6:$Q$10005,MATCH($C304,①今日の在庫を貼る!$I$6:$I$10005,0)),IFERROR(INDEX(月1回_前回の在庫を貼る!$Q$6:$Q$10005,MATCH($C304,月1回_前回の在庫を貼る!$I$6:$I$10005,0)),""))))</f>
        <v/>
      </c>
      <c r="I304" s="66" t="str">
        <f aca="false">IF($C304="","",IFERROR(INDEX(商品マスタ!$H$6:$H$1005,MATCH($C304,商品マスタ!$B$6:$B$1005,0)),3))</f>
        <v/>
      </c>
      <c r="J304" s="66" t="str">
        <f aca="false">IF($C304="","",MAX(1,IFERROR(INDEX(商品マスタ!$I$6:$I$1005,MATCH($C304,商品マスタ!$B$6:$B$1005,0)),1)))</f>
        <v/>
      </c>
      <c r="K304" s="69" t="str">
        <f aca="false">IF($C304="","",SUMIFS(①今日の在庫を貼る!$N$6:$N$10005,①今日の在庫を貼る!$B$6:$B$10005,'設定（最初に1回）'!$C$4,①今日の在庫を貼る!$I$6:$I$10005,$C304))</f>
        <v/>
      </c>
      <c r="L304" s="69" t="str">
        <f aca="false">IF($C304="","",SUMIFS(月1回_前回の在庫を貼る!$N$6:$N$10005,月1回_前回の在庫を貼る!$B$6:$B$10005,'設定（最初に1回）'!$C$4,月1回_前回の在庫を貼る!$I$6:$I$10005,$C304))</f>
        <v/>
      </c>
      <c r="M304" s="69" t="str">
        <f aca="false">IF($C304="","",IF(OR('設定（最初に1回）'!$C$6="",'設定（最初に1回）'!$C$7=""),0,SUMIFS(発注管理!$S$6:$S$1005,発注管理!$C$6:$C$1005,'設定（最初に1回）'!$C$4,発注管理!$F$6:$F$1005,$C304,発注管理!$R$6:$R$1005,"&gt;="&amp;'設定（最初に1回）'!$C$7,発注管理!$R$6:$R$1005,"&lt;="&amp;'設定（最初に1回）'!$C$6)))</f>
        <v/>
      </c>
      <c r="N304" s="69" t="str">
        <f aca="false">IF(OR($C304="",'設定（最初に1回）'!$C$15=0),"",$L304+$M304-$K304)</f>
        <v/>
      </c>
      <c r="O304" s="143" t="str">
        <f aca="false">IF(OR($N304="",'設定（最初に1回）'!$C$8="",'設定（最初に1回）'!$C$8&lt;=0),"",MAX(0,$N304)/'設定（最初に1回）'!$C$8)</f>
        <v/>
      </c>
      <c r="P304" s="143" t="str">
        <f aca="false">IF($C304="","",IFERROR(INDEX(商品マスタ!$M$6:$N$1005,MATCH($C304,商品マスタ!$B$6:$B$1005,0),MATCH("PI値 "&amp;'設定（最初に1回）'!$C$11,商品マスタ!$M$5:$N$5,0)),""))</f>
        <v/>
      </c>
      <c r="Q304" s="143" t="str">
        <f aca="false">IF(OR($C304="",$P304="",$P304=0,(N($I304)+N($AG304))&lt;=0),"",IFERROR(SUMIFS(随時_動員を入れる!$G$8:$G$97,随時_動員を入れる!$B$8:$B$97,"&gt;="&amp;'設定（最初に1回）'!$C$6,随時_動員を入れる!$B$8:$B$97,"&lt;="&amp;'設定（最初に1回）'!$C$6+(N($I304)+N($AG304))-1)/(N($I304)+N($AG304)),0)*$P304/100)</f>
        <v/>
      </c>
      <c r="R304" s="69" t="str">
        <f aca="false">IF($C304="","",SUMIFS(①今日の在庫を貼る!$O$6:$O$10005,①今日の在庫を貼る!$B$6:$B$10005,'設定（最初に1回）'!$C$4,①今日の在庫を貼る!$I$6:$I$10005,$C304))</f>
        <v/>
      </c>
      <c r="S304" s="143" t="str">
        <f aca="false">IF($C304="","",IF('設定（最初に1回）'!$C$9="実績消費",N($O304),IF('設定（最初に1回）'!$C$9="PI値予測",N($Q304),MAX(N($O304),N($Q304)))))</f>
        <v/>
      </c>
      <c r="T304" s="67" t="str">
        <f aca="false">IF(OR($S304="",$S304&lt;=0),"",$K304/$S304)</f>
        <v/>
      </c>
      <c r="U304" s="69" t="str">
        <f aca="false">IF($S304="","",ROUNDUP(N($S304)*'設定（最初に1回）'!$C$12,0))</f>
        <v/>
      </c>
      <c r="V304" s="69" t="str">
        <f aca="false">IF($C304="","",ROUNDUP(N($S304)*(N($I304)+N($AG304))+N($U304),0))</f>
        <v/>
      </c>
      <c r="W304" s="69" t="str">
        <f aca="false">IF($C304="","",SUMIFS(発注管理!$L$6:$L$1005,発注管理!$C$6:$C$1005,'設定（最初に1回）'!$C$4,発注管理!$F$6:$F$1005,$C304,発注管理!$Q$6:$Q$1005,"発注済"))</f>
        <v/>
      </c>
      <c r="X304" s="69" t="str">
        <f aca="false">IF($C304="","",MAX(0,N($V304)-N($K304)-N($W304)))</f>
        <v/>
      </c>
      <c r="Y304" s="147" t="str">
        <f aca="false">IF($C304="","",IF(N($X304)&lt;=0,0,CEILING($X304/MAX(1,N($G304)),MAX(1,N($J304)))))</f>
        <v/>
      </c>
      <c r="Z304" s="138" t="str">
        <f aca="false">IF($C304="","",IF(N($Y304)&gt;0,"要発注","正常"))</f>
        <v/>
      </c>
      <c r="AA304" s="71" t="str">
        <f aca="false">IF($C304="","",N($K304)*N($H304))</f>
        <v/>
      </c>
      <c r="AB304" s="66" t="str">
        <f aca="false">IF($C304="","",_xlfn.TEXTJOIN(" / ",TRUE(),IF(COUNTIF(商品マスタ!$B$6:$B$1005,$C304)=0,"マスタ未登録",""),IF(COUNTIFS(月1回_前回の在庫を貼る!$B$6:$B$10005,'設定（最初に1回）'!$C$4,月1回_前回の在庫を貼る!$I$6:$I$10005,$C304)=0,"新商品",""),IF(COUNTIFS(①今日の在庫を貼る!$B$6:$B$10005,'設定（最初に1回）'!$C$4,①今日の在庫を貼る!$I$6:$I$10005,$C304)=0,"終売候補",""),IF(N($K304)&lt;0,"在庫マイナス",""),IF(AND('設定（最初に1回）'!$C$9="PI値予測",$P304=""),"PI値未設定","")))</f>
        <v/>
      </c>
      <c r="AC304" s="71" t="n">
        <f aca="false">N($Y304)*N($H304)</f>
        <v>0</v>
      </c>
      <c r="AD304" s="66" t="str">
        <f aca="false">IF($C304="","",IFERROR(INDEX(商品マスタ!$K$6:$K$1005,MATCH($C304,商品マスタ!$B$6:$B$1005,0)),"常温"))</f>
        <v/>
      </c>
      <c r="AE304" s="69" t="str">
        <f aca="false">IF($C304="","",MAX(0,ROUNDUP(N($K304)/MAX(1,N($G304)),0)))</f>
        <v/>
      </c>
      <c r="AF304" s="66" t="str">
        <f aca="false">IF($C304="","",IFERROR(INDEX(商品マスタ!$L$6:$L$1005,MATCH($C304,商品マスタ!$B$6:$B$1005,0)),""))</f>
        <v/>
      </c>
      <c r="AG304" s="143" t="str">
        <f aca="false">IF($C304="","",IFERROR(INDEX(定数マスタ!$S$110:$S$119,MATCH($AF304,定数マスタ!$J$110:$J$119,0)),N('設定（最初に1回）'!$C$13)))</f>
        <v/>
      </c>
      <c r="AH304" s="66" t="n">
        <f aca="false">IF(AND(N($K304)&gt;0,N($Y304)&gt;0),N($Y304),0)</f>
        <v>0</v>
      </c>
    </row>
    <row r="305" customFormat="false" ht="15" hidden="false" customHeight="false" outlineLevel="0" collapsed="false">
      <c r="B305" s="66" t="n">
        <v>300</v>
      </c>
      <c r="C305" s="66" t="str">
        <f aca="false">IFERROR(IF($B305&lt;=MAX(①今日の在庫を貼る!$U$6:$U$10005),INDEX(①今日の在庫を貼る!$I$6:$I$10005,MATCH($B305,①今日の在庫を貼る!$U$6:$U$10005,0)),INDEX(月1回_前回の在庫を貼る!$I$6:$I$10005,MATCH($B305-MAX(①今日の在庫を貼る!$U$6:$U$10005),月1回_前回の在庫を貼る!$U$6:$U$10005,0))),"")</f>
        <v/>
      </c>
      <c r="D305" s="66" t="str">
        <f aca="false">IF($C305="","",IFERROR(INDEX(商品マスタ!$C$6:$C$1005,MATCH($C305,商品マスタ!$B$6:$B$1005,0)),IFERROR(INDEX(①今日の在庫を貼る!$J$6:$J$10005,MATCH($C305,①今日の在庫を貼る!$I$6:$I$10005,0)),IFERROR(INDEX(月1回_前回の在庫を貼る!$J$6:$J$10005,MATCH($C305,月1回_前回の在庫を貼る!$I$6:$I$10005,0)),""))))</f>
        <v/>
      </c>
      <c r="E305" s="66" t="str">
        <f aca="false">IF($C305="","",IFERROR(INDEX(商品マスタ!$D$6:$D$1005,MATCH($C305,商品マスタ!$B$6:$B$1005,0)),IFERROR(INDEX(①今日の在庫を貼る!$H$6:$H$10005,MATCH($C305,①今日の在庫を貼る!$I$6:$I$10005,0)),IFERROR(INDEX(月1回_前回の在庫を貼る!$H$6:$H$10005,MATCH($C305,月1回_前回の在庫を貼る!$I$6:$I$10005,0)),""))))</f>
        <v/>
      </c>
      <c r="F305" s="66" t="str">
        <f aca="false">IF($C305="","",IFERROR(INDEX(商品マスタ!$E$6:$E$1005,MATCH($C305,商品マスタ!$B$6:$B$1005,0)),IFERROR(INDEX(①今日の在庫を貼る!$E$6:$E$10005,MATCH($C305,①今日の在庫を貼る!$I$6:$I$10005,0)),IFERROR(INDEX(月1回_前回の在庫を貼る!$E$6:$E$10005,MATCH($C305,月1回_前回の在庫を貼る!$I$6:$I$10005,0)),""))))</f>
        <v/>
      </c>
      <c r="G305" s="69" t="str">
        <f aca="false">IF($C305="","",IFERROR(INDEX(商品マスタ!$F$6:$F$1005,MATCH($C305,商品マスタ!$B$6:$B$1005,0)),IFERROR(INDEX(①今日の在庫を貼る!$K$6:$K$10005,MATCH($C305,①今日の在庫を貼る!$I$6:$I$10005,0)),IFERROR(INDEX(月1回_前回の在庫を貼る!$K$6:$K$10005,MATCH($C305,月1回_前回の在庫を貼る!$I$6:$I$10005,0)),""))))</f>
        <v/>
      </c>
      <c r="H305" s="71" t="str">
        <f aca="false">IF($C305="","",IFERROR(INDEX(商品マスタ!$G$6:$G$1005,MATCH($C305,商品マスタ!$B$6:$B$1005,0)),IFERROR(INDEX(①今日の在庫を貼る!$Q$6:$Q$10005,MATCH($C305,①今日の在庫を貼る!$I$6:$I$10005,0)),IFERROR(INDEX(月1回_前回の在庫を貼る!$Q$6:$Q$10005,MATCH($C305,月1回_前回の在庫を貼る!$I$6:$I$10005,0)),""))))</f>
        <v/>
      </c>
      <c r="I305" s="66" t="str">
        <f aca="false">IF($C305="","",IFERROR(INDEX(商品マスタ!$H$6:$H$1005,MATCH($C305,商品マスタ!$B$6:$B$1005,0)),3))</f>
        <v/>
      </c>
      <c r="J305" s="66" t="str">
        <f aca="false">IF($C305="","",MAX(1,IFERROR(INDEX(商品マスタ!$I$6:$I$1005,MATCH($C305,商品マスタ!$B$6:$B$1005,0)),1)))</f>
        <v/>
      </c>
      <c r="K305" s="69" t="str">
        <f aca="false">IF($C305="","",SUMIFS(①今日の在庫を貼る!$N$6:$N$10005,①今日の在庫を貼る!$B$6:$B$10005,'設定（最初に1回）'!$C$4,①今日の在庫を貼る!$I$6:$I$10005,$C305))</f>
        <v/>
      </c>
      <c r="L305" s="69" t="str">
        <f aca="false">IF($C305="","",SUMIFS(月1回_前回の在庫を貼る!$N$6:$N$10005,月1回_前回の在庫を貼る!$B$6:$B$10005,'設定（最初に1回）'!$C$4,月1回_前回の在庫を貼る!$I$6:$I$10005,$C305))</f>
        <v/>
      </c>
      <c r="M305" s="69" t="str">
        <f aca="false">IF($C305="","",IF(OR('設定（最初に1回）'!$C$6="",'設定（最初に1回）'!$C$7=""),0,SUMIFS(発注管理!$S$6:$S$1005,発注管理!$C$6:$C$1005,'設定（最初に1回）'!$C$4,発注管理!$F$6:$F$1005,$C305,発注管理!$R$6:$R$1005,"&gt;="&amp;'設定（最初に1回）'!$C$7,発注管理!$R$6:$R$1005,"&lt;="&amp;'設定（最初に1回）'!$C$6)))</f>
        <v/>
      </c>
      <c r="N305" s="69" t="str">
        <f aca="false">IF(OR($C305="",'設定（最初に1回）'!$C$15=0),"",$L305+$M305-$K305)</f>
        <v/>
      </c>
      <c r="O305" s="143" t="str">
        <f aca="false">IF(OR($N305="",'設定（最初に1回）'!$C$8="",'設定（最初に1回）'!$C$8&lt;=0),"",MAX(0,$N305)/'設定（最初に1回）'!$C$8)</f>
        <v/>
      </c>
      <c r="P305" s="143" t="str">
        <f aca="false">IF($C305="","",IFERROR(INDEX(商品マスタ!$M$6:$N$1005,MATCH($C305,商品マスタ!$B$6:$B$1005,0),MATCH("PI値 "&amp;'設定（最初に1回）'!$C$11,商品マスタ!$M$5:$N$5,0)),""))</f>
        <v/>
      </c>
      <c r="Q305" s="143" t="str">
        <f aca="false">IF(OR($C305="",$P305="",$P305=0,(N($I305)+N($AG305))&lt;=0),"",IFERROR(SUMIFS(随時_動員を入れる!$G$8:$G$97,随時_動員を入れる!$B$8:$B$97,"&gt;="&amp;'設定（最初に1回）'!$C$6,随時_動員を入れる!$B$8:$B$97,"&lt;="&amp;'設定（最初に1回）'!$C$6+(N($I305)+N($AG305))-1)/(N($I305)+N($AG305)),0)*$P305/100)</f>
        <v/>
      </c>
      <c r="R305" s="69" t="str">
        <f aca="false">IF($C305="","",SUMIFS(①今日の在庫を貼る!$O$6:$O$10005,①今日の在庫を貼る!$B$6:$B$10005,'設定（最初に1回）'!$C$4,①今日の在庫を貼る!$I$6:$I$10005,$C305))</f>
        <v/>
      </c>
      <c r="S305" s="143" t="str">
        <f aca="false">IF($C305="","",IF('設定（最初に1回）'!$C$9="実績消費",N($O305),IF('設定（最初に1回）'!$C$9="PI値予測",N($Q305),MAX(N($O305),N($Q305)))))</f>
        <v/>
      </c>
      <c r="T305" s="67" t="str">
        <f aca="false">IF(OR($S305="",$S305&lt;=0),"",$K305/$S305)</f>
        <v/>
      </c>
      <c r="U305" s="69" t="str">
        <f aca="false">IF($S305="","",ROUNDUP(N($S305)*'設定（最初に1回）'!$C$12,0))</f>
        <v/>
      </c>
      <c r="V305" s="69" t="str">
        <f aca="false">IF($C305="","",ROUNDUP(N($S305)*(N($I305)+N($AG305))+N($U305),0))</f>
        <v/>
      </c>
      <c r="W305" s="69" t="str">
        <f aca="false">IF($C305="","",SUMIFS(発注管理!$L$6:$L$1005,発注管理!$C$6:$C$1005,'設定（最初に1回）'!$C$4,発注管理!$F$6:$F$1005,$C305,発注管理!$Q$6:$Q$1005,"発注済"))</f>
        <v/>
      </c>
      <c r="X305" s="69" t="str">
        <f aca="false">IF($C305="","",MAX(0,N($V305)-N($K305)-N($W305)))</f>
        <v/>
      </c>
      <c r="Y305" s="147" t="str">
        <f aca="false">IF($C305="","",IF(N($X305)&lt;=0,0,CEILING($X305/MAX(1,N($G305)),MAX(1,N($J305)))))</f>
        <v/>
      </c>
      <c r="Z305" s="138" t="str">
        <f aca="false">IF($C305="","",IF(N($Y305)&gt;0,"要発注","正常"))</f>
        <v/>
      </c>
      <c r="AA305" s="71" t="str">
        <f aca="false">IF($C305="","",N($K305)*N($H305))</f>
        <v/>
      </c>
      <c r="AB305" s="66" t="str">
        <f aca="false">IF($C305="","",_xlfn.TEXTJOIN(" / ",TRUE(),IF(COUNTIF(商品マスタ!$B$6:$B$1005,$C305)=0,"マスタ未登録",""),IF(COUNTIFS(月1回_前回の在庫を貼る!$B$6:$B$10005,'設定（最初に1回）'!$C$4,月1回_前回の在庫を貼る!$I$6:$I$10005,$C305)=0,"新商品",""),IF(COUNTIFS(①今日の在庫を貼る!$B$6:$B$10005,'設定（最初に1回）'!$C$4,①今日の在庫を貼る!$I$6:$I$10005,$C305)=0,"終売候補",""),IF(N($K305)&lt;0,"在庫マイナス",""),IF(AND('設定（最初に1回）'!$C$9="PI値予測",$P305=""),"PI値未設定","")))</f>
        <v/>
      </c>
      <c r="AC305" s="71" t="n">
        <f aca="false">N($Y305)*N($H305)</f>
        <v>0</v>
      </c>
      <c r="AD305" s="66" t="str">
        <f aca="false">IF($C305="","",IFERROR(INDEX(商品マスタ!$K$6:$K$1005,MATCH($C305,商品マスタ!$B$6:$B$1005,0)),"常温"))</f>
        <v/>
      </c>
      <c r="AE305" s="69" t="str">
        <f aca="false">IF($C305="","",MAX(0,ROUNDUP(N($K305)/MAX(1,N($G305)),0)))</f>
        <v/>
      </c>
      <c r="AF305" s="66" t="str">
        <f aca="false">IF($C305="","",IFERROR(INDEX(商品マスタ!$L$6:$L$1005,MATCH($C305,商品マスタ!$B$6:$B$1005,0)),""))</f>
        <v/>
      </c>
      <c r="AG305" s="143" t="str">
        <f aca="false">IF($C305="","",IFERROR(INDEX(定数マスタ!$S$110:$S$119,MATCH($AF305,定数マスタ!$J$110:$J$119,0)),N('設定（最初に1回）'!$C$13)))</f>
        <v/>
      </c>
      <c r="AH305" s="66" t="n">
        <f aca="false">IF(AND(N($K305)&gt;0,N($Y305)&gt;0),N($Y305),0)</f>
        <v>0</v>
      </c>
    </row>
    <row r="306" customFormat="false" ht="15" hidden="false" customHeight="false" outlineLevel="0" collapsed="false">
      <c r="B306" s="66" t="n">
        <v>301</v>
      </c>
      <c r="C306" s="66" t="str">
        <f aca="false">IFERROR(IF($B306&lt;=MAX(①今日の在庫を貼る!$U$6:$U$10005),INDEX(①今日の在庫を貼る!$I$6:$I$10005,MATCH($B306,①今日の在庫を貼る!$U$6:$U$10005,0)),INDEX(月1回_前回の在庫を貼る!$I$6:$I$10005,MATCH($B306-MAX(①今日の在庫を貼る!$U$6:$U$10005),月1回_前回の在庫を貼る!$U$6:$U$10005,0))),"")</f>
        <v/>
      </c>
      <c r="D306" s="66" t="str">
        <f aca="false">IF($C306="","",IFERROR(INDEX(商品マスタ!$C$6:$C$1005,MATCH($C306,商品マスタ!$B$6:$B$1005,0)),IFERROR(INDEX(①今日の在庫を貼る!$J$6:$J$10005,MATCH($C306,①今日の在庫を貼る!$I$6:$I$10005,0)),IFERROR(INDEX(月1回_前回の在庫を貼る!$J$6:$J$10005,MATCH($C306,月1回_前回の在庫を貼る!$I$6:$I$10005,0)),""))))</f>
        <v/>
      </c>
      <c r="E306" s="66" t="str">
        <f aca="false">IF($C306="","",IFERROR(INDEX(商品マスタ!$D$6:$D$1005,MATCH($C306,商品マスタ!$B$6:$B$1005,0)),IFERROR(INDEX(①今日の在庫を貼る!$H$6:$H$10005,MATCH($C306,①今日の在庫を貼る!$I$6:$I$10005,0)),IFERROR(INDEX(月1回_前回の在庫を貼る!$H$6:$H$10005,MATCH($C306,月1回_前回の在庫を貼る!$I$6:$I$10005,0)),""))))</f>
        <v/>
      </c>
      <c r="F306" s="66" t="str">
        <f aca="false">IF($C306="","",IFERROR(INDEX(商品マスタ!$E$6:$E$1005,MATCH($C306,商品マスタ!$B$6:$B$1005,0)),IFERROR(INDEX(①今日の在庫を貼る!$E$6:$E$10005,MATCH($C306,①今日の在庫を貼る!$I$6:$I$10005,0)),IFERROR(INDEX(月1回_前回の在庫を貼る!$E$6:$E$10005,MATCH($C306,月1回_前回の在庫を貼る!$I$6:$I$10005,0)),""))))</f>
        <v/>
      </c>
      <c r="G306" s="69" t="str">
        <f aca="false">IF($C306="","",IFERROR(INDEX(商品マスタ!$F$6:$F$1005,MATCH($C306,商品マスタ!$B$6:$B$1005,0)),IFERROR(INDEX(①今日の在庫を貼る!$K$6:$K$10005,MATCH($C306,①今日の在庫を貼る!$I$6:$I$10005,0)),IFERROR(INDEX(月1回_前回の在庫を貼る!$K$6:$K$10005,MATCH($C306,月1回_前回の在庫を貼る!$I$6:$I$10005,0)),""))))</f>
        <v/>
      </c>
      <c r="H306" s="71" t="str">
        <f aca="false">IF($C306="","",IFERROR(INDEX(商品マスタ!$G$6:$G$1005,MATCH($C306,商品マスタ!$B$6:$B$1005,0)),IFERROR(INDEX(①今日の在庫を貼る!$Q$6:$Q$10005,MATCH($C306,①今日の在庫を貼る!$I$6:$I$10005,0)),IFERROR(INDEX(月1回_前回の在庫を貼る!$Q$6:$Q$10005,MATCH($C306,月1回_前回の在庫を貼る!$I$6:$I$10005,0)),""))))</f>
        <v/>
      </c>
      <c r="I306" s="66" t="str">
        <f aca="false">IF($C306="","",IFERROR(INDEX(商品マスタ!$H$6:$H$1005,MATCH($C306,商品マスタ!$B$6:$B$1005,0)),3))</f>
        <v/>
      </c>
      <c r="J306" s="66" t="str">
        <f aca="false">IF($C306="","",MAX(1,IFERROR(INDEX(商品マスタ!$I$6:$I$1005,MATCH($C306,商品マスタ!$B$6:$B$1005,0)),1)))</f>
        <v/>
      </c>
      <c r="K306" s="69" t="str">
        <f aca="false">IF($C306="","",SUMIFS(①今日の在庫を貼る!$N$6:$N$10005,①今日の在庫を貼る!$B$6:$B$10005,'設定（最初に1回）'!$C$4,①今日の在庫を貼る!$I$6:$I$10005,$C306))</f>
        <v/>
      </c>
      <c r="L306" s="69" t="str">
        <f aca="false">IF($C306="","",SUMIFS(月1回_前回の在庫を貼る!$N$6:$N$10005,月1回_前回の在庫を貼る!$B$6:$B$10005,'設定（最初に1回）'!$C$4,月1回_前回の在庫を貼る!$I$6:$I$10005,$C306))</f>
        <v/>
      </c>
      <c r="M306" s="69" t="str">
        <f aca="false">IF($C306="","",IF(OR('設定（最初に1回）'!$C$6="",'設定（最初に1回）'!$C$7=""),0,SUMIFS(発注管理!$S$6:$S$1005,発注管理!$C$6:$C$1005,'設定（最初に1回）'!$C$4,発注管理!$F$6:$F$1005,$C306,発注管理!$R$6:$R$1005,"&gt;="&amp;'設定（最初に1回）'!$C$7,発注管理!$R$6:$R$1005,"&lt;="&amp;'設定（最初に1回）'!$C$6)))</f>
        <v/>
      </c>
      <c r="N306" s="69" t="str">
        <f aca="false">IF(OR($C306="",'設定（最初に1回）'!$C$15=0),"",$L306+$M306-$K306)</f>
        <v/>
      </c>
      <c r="O306" s="143" t="str">
        <f aca="false">IF(OR($N306="",'設定（最初に1回）'!$C$8="",'設定（最初に1回）'!$C$8&lt;=0),"",MAX(0,$N306)/'設定（最初に1回）'!$C$8)</f>
        <v/>
      </c>
      <c r="P306" s="143" t="str">
        <f aca="false">IF($C306="","",IFERROR(INDEX(商品マスタ!$M$6:$N$1005,MATCH($C306,商品マスタ!$B$6:$B$1005,0),MATCH("PI値 "&amp;'設定（最初に1回）'!$C$11,商品マスタ!$M$5:$N$5,0)),""))</f>
        <v/>
      </c>
      <c r="Q306" s="143" t="str">
        <f aca="false">IF(OR($C306="",$P306="",$P306=0,(N($I306)+N($AG306))&lt;=0),"",IFERROR(SUMIFS(随時_動員を入れる!$G$8:$G$97,随時_動員を入れる!$B$8:$B$97,"&gt;="&amp;'設定（最初に1回）'!$C$6,随時_動員を入れる!$B$8:$B$97,"&lt;="&amp;'設定（最初に1回）'!$C$6+(N($I306)+N($AG306))-1)/(N($I306)+N($AG306)),0)*$P306/100)</f>
        <v/>
      </c>
      <c r="R306" s="69" t="str">
        <f aca="false">IF($C306="","",SUMIFS(①今日の在庫を貼る!$O$6:$O$10005,①今日の在庫を貼る!$B$6:$B$10005,'設定（最初に1回）'!$C$4,①今日の在庫を貼る!$I$6:$I$10005,$C306))</f>
        <v/>
      </c>
      <c r="S306" s="143" t="str">
        <f aca="false">IF($C306="","",IF('設定（最初に1回）'!$C$9="実績消費",N($O306),IF('設定（最初に1回）'!$C$9="PI値予測",N($Q306),MAX(N($O306),N($Q306)))))</f>
        <v/>
      </c>
      <c r="T306" s="67" t="str">
        <f aca="false">IF(OR($S306="",$S306&lt;=0),"",$K306/$S306)</f>
        <v/>
      </c>
      <c r="U306" s="69" t="str">
        <f aca="false">IF($S306="","",ROUNDUP(N($S306)*'設定（最初に1回）'!$C$12,0))</f>
        <v/>
      </c>
      <c r="V306" s="69" t="str">
        <f aca="false">IF($C306="","",ROUNDUP(N($S306)*(N($I306)+N($AG306))+N($U306),0))</f>
        <v/>
      </c>
      <c r="W306" s="69" t="str">
        <f aca="false">IF($C306="","",SUMIFS(発注管理!$L$6:$L$1005,発注管理!$C$6:$C$1005,'設定（最初に1回）'!$C$4,発注管理!$F$6:$F$1005,$C306,発注管理!$Q$6:$Q$1005,"発注済"))</f>
        <v/>
      </c>
      <c r="X306" s="69" t="str">
        <f aca="false">IF($C306="","",MAX(0,N($V306)-N($K306)-N($W306)))</f>
        <v/>
      </c>
      <c r="Y306" s="147" t="str">
        <f aca="false">IF($C306="","",IF(N($X306)&lt;=0,0,CEILING($X306/MAX(1,N($G306)),MAX(1,N($J306)))))</f>
        <v/>
      </c>
      <c r="Z306" s="138" t="str">
        <f aca="false">IF($C306="","",IF(N($Y306)&gt;0,"要発注","正常"))</f>
        <v/>
      </c>
      <c r="AA306" s="71" t="str">
        <f aca="false">IF($C306="","",N($K306)*N($H306))</f>
        <v/>
      </c>
      <c r="AB306" s="66" t="str">
        <f aca="false">IF($C306="","",_xlfn.TEXTJOIN(" / ",TRUE(),IF(COUNTIF(商品マスタ!$B$6:$B$1005,$C306)=0,"マスタ未登録",""),IF(COUNTIFS(月1回_前回の在庫を貼る!$B$6:$B$10005,'設定（最初に1回）'!$C$4,月1回_前回の在庫を貼る!$I$6:$I$10005,$C306)=0,"新商品",""),IF(COUNTIFS(①今日の在庫を貼る!$B$6:$B$10005,'設定（最初に1回）'!$C$4,①今日の在庫を貼る!$I$6:$I$10005,$C306)=0,"終売候補",""),IF(N($K306)&lt;0,"在庫マイナス",""),IF(AND('設定（最初に1回）'!$C$9="PI値予測",$P306=""),"PI値未設定","")))</f>
        <v/>
      </c>
      <c r="AC306" s="71" t="n">
        <f aca="false">N($Y306)*N($H306)</f>
        <v>0</v>
      </c>
      <c r="AD306" s="66" t="str">
        <f aca="false">IF($C306="","",IFERROR(INDEX(商品マスタ!$K$6:$K$1005,MATCH($C306,商品マスタ!$B$6:$B$1005,0)),"常温"))</f>
        <v/>
      </c>
      <c r="AE306" s="69" t="str">
        <f aca="false">IF($C306="","",MAX(0,ROUNDUP(N($K306)/MAX(1,N($G306)),0)))</f>
        <v/>
      </c>
      <c r="AF306" s="66" t="str">
        <f aca="false">IF($C306="","",IFERROR(INDEX(商品マスタ!$L$6:$L$1005,MATCH($C306,商品マスタ!$B$6:$B$1005,0)),""))</f>
        <v/>
      </c>
      <c r="AG306" s="143" t="str">
        <f aca="false">IF($C306="","",IFERROR(INDEX(定数マスタ!$S$110:$S$119,MATCH($AF306,定数マスタ!$J$110:$J$119,0)),N('設定（最初に1回）'!$C$13)))</f>
        <v/>
      </c>
      <c r="AH306" s="66" t="n">
        <f aca="false">IF(AND(N($K306)&gt;0,N($Y306)&gt;0),N($Y306),0)</f>
        <v>0</v>
      </c>
    </row>
    <row r="307" customFormat="false" ht="15" hidden="false" customHeight="false" outlineLevel="0" collapsed="false">
      <c r="B307" s="66" t="n">
        <v>302</v>
      </c>
      <c r="C307" s="66" t="str">
        <f aca="false">IFERROR(IF($B307&lt;=MAX(①今日の在庫を貼る!$U$6:$U$10005),INDEX(①今日の在庫を貼る!$I$6:$I$10005,MATCH($B307,①今日の在庫を貼る!$U$6:$U$10005,0)),INDEX(月1回_前回の在庫を貼る!$I$6:$I$10005,MATCH($B307-MAX(①今日の在庫を貼る!$U$6:$U$10005),月1回_前回の在庫を貼る!$U$6:$U$10005,0))),"")</f>
        <v/>
      </c>
      <c r="D307" s="66" t="str">
        <f aca="false">IF($C307="","",IFERROR(INDEX(商品マスタ!$C$6:$C$1005,MATCH($C307,商品マスタ!$B$6:$B$1005,0)),IFERROR(INDEX(①今日の在庫を貼る!$J$6:$J$10005,MATCH($C307,①今日の在庫を貼る!$I$6:$I$10005,0)),IFERROR(INDEX(月1回_前回の在庫を貼る!$J$6:$J$10005,MATCH($C307,月1回_前回の在庫を貼る!$I$6:$I$10005,0)),""))))</f>
        <v/>
      </c>
      <c r="E307" s="66" t="str">
        <f aca="false">IF($C307="","",IFERROR(INDEX(商品マスタ!$D$6:$D$1005,MATCH($C307,商品マスタ!$B$6:$B$1005,0)),IFERROR(INDEX(①今日の在庫を貼る!$H$6:$H$10005,MATCH($C307,①今日の在庫を貼る!$I$6:$I$10005,0)),IFERROR(INDEX(月1回_前回の在庫を貼る!$H$6:$H$10005,MATCH($C307,月1回_前回の在庫を貼る!$I$6:$I$10005,0)),""))))</f>
        <v/>
      </c>
      <c r="F307" s="66" t="str">
        <f aca="false">IF($C307="","",IFERROR(INDEX(商品マスタ!$E$6:$E$1005,MATCH($C307,商品マスタ!$B$6:$B$1005,0)),IFERROR(INDEX(①今日の在庫を貼る!$E$6:$E$10005,MATCH($C307,①今日の在庫を貼る!$I$6:$I$10005,0)),IFERROR(INDEX(月1回_前回の在庫を貼る!$E$6:$E$10005,MATCH($C307,月1回_前回の在庫を貼る!$I$6:$I$10005,0)),""))))</f>
        <v/>
      </c>
      <c r="G307" s="69" t="str">
        <f aca="false">IF($C307="","",IFERROR(INDEX(商品マスタ!$F$6:$F$1005,MATCH($C307,商品マスタ!$B$6:$B$1005,0)),IFERROR(INDEX(①今日の在庫を貼る!$K$6:$K$10005,MATCH($C307,①今日の在庫を貼る!$I$6:$I$10005,0)),IFERROR(INDEX(月1回_前回の在庫を貼る!$K$6:$K$10005,MATCH($C307,月1回_前回の在庫を貼る!$I$6:$I$10005,0)),""))))</f>
        <v/>
      </c>
      <c r="H307" s="71" t="str">
        <f aca="false">IF($C307="","",IFERROR(INDEX(商品マスタ!$G$6:$G$1005,MATCH($C307,商品マスタ!$B$6:$B$1005,0)),IFERROR(INDEX(①今日の在庫を貼る!$Q$6:$Q$10005,MATCH($C307,①今日の在庫を貼る!$I$6:$I$10005,0)),IFERROR(INDEX(月1回_前回の在庫を貼る!$Q$6:$Q$10005,MATCH($C307,月1回_前回の在庫を貼る!$I$6:$I$10005,0)),""))))</f>
        <v/>
      </c>
      <c r="I307" s="66" t="str">
        <f aca="false">IF($C307="","",IFERROR(INDEX(商品マスタ!$H$6:$H$1005,MATCH($C307,商品マスタ!$B$6:$B$1005,0)),3))</f>
        <v/>
      </c>
      <c r="J307" s="66" t="str">
        <f aca="false">IF($C307="","",MAX(1,IFERROR(INDEX(商品マスタ!$I$6:$I$1005,MATCH($C307,商品マスタ!$B$6:$B$1005,0)),1)))</f>
        <v/>
      </c>
      <c r="K307" s="69" t="str">
        <f aca="false">IF($C307="","",SUMIFS(①今日の在庫を貼る!$N$6:$N$10005,①今日の在庫を貼る!$B$6:$B$10005,'設定（最初に1回）'!$C$4,①今日の在庫を貼る!$I$6:$I$10005,$C307))</f>
        <v/>
      </c>
      <c r="L307" s="69" t="str">
        <f aca="false">IF($C307="","",SUMIFS(月1回_前回の在庫を貼る!$N$6:$N$10005,月1回_前回の在庫を貼る!$B$6:$B$10005,'設定（最初に1回）'!$C$4,月1回_前回の在庫を貼る!$I$6:$I$10005,$C307))</f>
        <v/>
      </c>
      <c r="M307" s="69" t="str">
        <f aca="false">IF($C307="","",IF(OR('設定（最初に1回）'!$C$6="",'設定（最初に1回）'!$C$7=""),0,SUMIFS(発注管理!$S$6:$S$1005,発注管理!$C$6:$C$1005,'設定（最初に1回）'!$C$4,発注管理!$F$6:$F$1005,$C307,発注管理!$R$6:$R$1005,"&gt;="&amp;'設定（最初に1回）'!$C$7,発注管理!$R$6:$R$1005,"&lt;="&amp;'設定（最初に1回）'!$C$6)))</f>
        <v/>
      </c>
      <c r="N307" s="69" t="str">
        <f aca="false">IF(OR($C307="",'設定（最初に1回）'!$C$15=0),"",$L307+$M307-$K307)</f>
        <v/>
      </c>
      <c r="O307" s="143" t="str">
        <f aca="false">IF(OR($N307="",'設定（最初に1回）'!$C$8="",'設定（最初に1回）'!$C$8&lt;=0),"",MAX(0,$N307)/'設定（最初に1回）'!$C$8)</f>
        <v/>
      </c>
      <c r="P307" s="143" t="str">
        <f aca="false">IF($C307="","",IFERROR(INDEX(商品マスタ!$M$6:$N$1005,MATCH($C307,商品マスタ!$B$6:$B$1005,0),MATCH("PI値 "&amp;'設定（最初に1回）'!$C$11,商品マスタ!$M$5:$N$5,0)),""))</f>
        <v/>
      </c>
      <c r="Q307" s="143" t="str">
        <f aca="false">IF(OR($C307="",$P307="",$P307=0,(N($I307)+N($AG307))&lt;=0),"",IFERROR(SUMIFS(随時_動員を入れる!$G$8:$G$97,随時_動員を入れる!$B$8:$B$97,"&gt;="&amp;'設定（最初に1回）'!$C$6,随時_動員を入れる!$B$8:$B$97,"&lt;="&amp;'設定（最初に1回）'!$C$6+(N($I307)+N($AG307))-1)/(N($I307)+N($AG307)),0)*$P307/100)</f>
        <v/>
      </c>
      <c r="R307" s="69" t="str">
        <f aca="false">IF($C307="","",SUMIFS(①今日の在庫を貼る!$O$6:$O$10005,①今日の在庫を貼る!$B$6:$B$10005,'設定（最初に1回）'!$C$4,①今日の在庫を貼る!$I$6:$I$10005,$C307))</f>
        <v/>
      </c>
      <c r="S307" s="143" t="str">
        <f aca="false">IF($C307="","",IF('設定（最初に1回）'!$C$9="実績消費",N($O307),IF('設定（最初に1回）'!$C$9="PI値予測",N($Q307),MAX(N($O307),N($Q307)))))</f>
        <v/>
      </c>
      <c r="T307" s="67" t="str">
        <f aca="false">IF(OR($S307="",$S307&lt;=0),"",$K307/$S307)</f>
        <v/>
      </c>
      <c r="U307" s="69" t="str">
        <f aca="false">IF($S307="","",ROUNDUP(N($S307)*'設定（最初に1回）'!$C$12,0))</f>
        <v/>
      </c>
      <c r="V307" s="69" t="str">
        <f aca="false">IF($C307="","",ROUNDUP(N($S307)*(N($I307)+N($AG307))+N($U307),0))</f>
        <v/>
      </c>
      <c r="W307" s="69" t="str">
        <f aca="false">IF($C307="","",SUMIFS(発注管理!$L$6:$L$1005,発注管理!$C$6:$C$1005,'設定（最初に1回）'!$C$4,発注管理!$F$6:$F$1005,$C307,発注管理!$Q$6:$Q$1005,"発注済"))</f>
        <v/>
      </c>
      <c r="X307" s="69" t="str">
        <f aca="false">IF($C307="","",MAX(0,N($V307)-N($K307)-N($W307)))</f>
        <v/>
      </c>
      <c r="Y307" s="147" t="str">
        <f aca="false">IF($C307="","",IF(N($X307)&lt;=0,0,CEILING($X307/MAX(1,N($G307)),MAX(1,N($J307)))))</f>
        <v/>
      </c>
      <c r="Z307" s="138" t="str">
        <f aca="false">IF($C307="","",IF(N($Y307)&gt;0,"要発注","正常"))</f>
        <v/>
      </c>
      <c r="AA307" s="71" t="str">
        <f aca="false">IF($C307="","",N($K307)*N($H307))</f>
        <v/>
      </c>
      <c r="AB307" s="66" t="str">
        <f aca="false">IF($C307="","",_xlfn.TEXTJOIN(" / ",TRUE(),IF(COUNTIF(商品マスタ!$B$6:$B$1005,$C307)=0,"マスタ未登録",""),IF(COUNTIFS(月1回_前回の在庫を貼る!$B$6:$B$10005,'設定（最初に1回）'!$C$4,月1回_前回の在庫を貼る!$I$6:$I$10005,$C307)=0,"新商品",""),IF(COUNTIFS(①今日の在庫を貼る!$B$6:$B$10005,'設定（最初に1回）'!$C$4,①今日の在庫を貼る!$I$6:$I$10005,$C307)=0,"終売候補",""),IF(N($K307)&lt;0,"在庫マイナス",""),IF(AND('設定（最初に1回）'!$C$9="PI値予測",$P307=""),"PI値未設定","")))</f>
        <v/>
      </c>
      <c r="AC307" s="71" t="n">
        <f aca="false">N($Y307)*N($H307)</f>
        <v>0</v>
      </c>
      <c r="AD307" s="66" t="str">
        <f aca="false">IF($C307="","",IFERROR(INDEX(商品マスタ!$K$6:$K$1005,MATCH($C307,商品マスタ!$B$6:$B$1005,0)),"常温"))</f>
        <v/>
      </c>
      <c r="AE307" s="69" t="str">
        <f aca="false">IF($C307="","",MAX(0,ROUNDUP(N($K307)/MAX(1,N($G307)),0)))</f>
        <v/>
      </c>
      <c r="AF307" s="66" t="str">
        <f aca="false">IF($C307="","",IFERROR(INDEX(商品マスタ!$L$6:$L$1005,MATCH($C307,商品マスタ!$B$6:$B$1005,0)),""))</f>
        <v/>
      </c>
      <c r="AG307" s="143" t="str">
        <f aca="false">IF($C307="","",IFERROR(INDEX(定数マスタ!$S$110:$S$119,MATCH($AF307,定数マスタ!$J$110:$J$119,0)),N('設定（最初に1回）'!$C$13)))</f>
        <v/>
      </c>
      <c r="AH307" s="66" t="n">
        <f aca="false">IF(AND(N($K307)&gt;0,N($Y307)&gt;0),N($Y307),0)</f>
        <v>0</v>
      </c>
    </row>
    <row r="308" customFormat="false" ht="15" hidden="false" customHeight="false" outlineLevel="0" collapsed="false">
      <c r="B308" s="66" t="n">
        <v>303</v>
      </c>
      <c r="C308" s="66" t="str">
        <f aca="false">IFERROR(IF($B308&lt;=MAX(①今日の在庫を貼る!$U$6:$U$10005),INDEX(①今日の在庫を貼る!$I$6:$I$10005,MATCH($B308,①今日の在庫を貼る!$U$6:$U$10005,0)),INDEX(月1回_前回の在庫を貼る!$I$6:$I$10005,MATCH($B308-MAX(①今日の在庫を貼る!$U$6:$U$10005),月1回_前回の在庫を貼る!$U$6:$U$10005,0))),"")</f>
        <v/>
      </c>
      <c r="D308" s="66" t="str">
        <f aca="false">IF($C308="","",IFERROR(INDEX(商品マスタ!$C$6:$C$1005,MATCH($C308,商品マスタ!$B$6:$B$1005,0)),IFERROR(INDEX(①今日の在庫を貼る!$J$6:$J$10005,MATCH($C308,①今日の在庫を貼る!$I$6:$I$10005,0)),IFERROR(INDEX(月1回_前回の在庫を貼る!$J$6:$J$10005,MATCH($C308,月1回_前回の在庫を貼る!$I$6:$I$10005,0)),""))))</f>
        <v/>
      </c>
      <c r="E308" s="66" t="str">
        <f aca="false">IF($C308="","",IFERROR(INDEX(商品マスタ!$D$6:$D$1005,MATCH($C308,商品マスタ!$B$6:$B$1005,0)),IFERROR(INDEX(①今日の在庫を貼る!$H$6:$H$10005,MATCH($C308,①今日の在庫を貼る!$I$6:$I$10005,0)),IFERROR(INDEX(月1回_前回の在庫を貼る!$H$6:$H$10005,MATCH($C308,月1回_前回の在庫を貼る!$I$6:$I$10005,0)),""))))</f>
        <v/>
      </c>
      <c r="F308" s="66" t="str">
        <f aca="false">IF($C308="","",IFERROR(INDEX(商品マスタ!$E$6:$E$1005,MATCH($C308,商品マスタ!$B$6:$B$1005,0)),IFERROR(INDEX(①今日の在庫を貼る!$E$6:$E$10005,MATCH($C308,①今日の在庫を貼る!$I$6:$I$10005,0)),IFERROR(INDEX(月1回_前回の在庫を貼る!$E$6:$E$10005,MATCH($C308,月1回_前回の在庫を貼る!$I$6:$I$10005,0)),""))))</f>
        <v/>
      </c>
      <c r="G308" s="69" t="str">
        <f aca="false">IF($C308="","",IFERROR(INDEX(商品マスタ!$F$6:$F$1005,MATCH($C308,商品マスタ!$B$6:$B$1005,0)),IFERROR(INDEX(①今日の在庫を貼る!$K$6:$K$10005,MATCH($C308,①今日の在庫を貼る!$I$6:$I$10005,0)),IFERROR(INDEX(月1回_前回の在庫を貼る!$K$6:$K$10005,MATCH($C308,月1回_前回の在庫を貼る!$I$6:$I$10005,0)),""))))</f>
        <v/>
      </c>
      <c r="H308" s="71" t="str">
        <f aca="false">IF($C308="","",IFERROR(INDEX(商品マスタ!$G$6:$G$1005,MATCH($C308,商品マスタ!$B$6:$B$1005,0)),IFERROR(INDEX(①今日の在庫を貼る!$Q$6:$Q$10005,MATCH($C308,①今日の在庫を貼る!$I$6:$I$10005,0)),IFERROR(INDEX(月1回_前回の在庫を貼る!$Q$6:$Q$10005,MATCH($C308,月1回_前回の在庫を貼る!$I$6:$I$10005,0)),""))))</f>
        <v/>
      </c>
      <c r="I308" s="66" t="str">
        <f aca="false">IF($C308="","",IFERROR(INDEX(商品マスタ!$H$6:$H$1005,MATCH($C308,商品マスタ!$B$6:$B$1005,0)),3))</f>
        <v/>
      </c>
      <c r="J308" s="66" t="str">
        <f aca="false">IF($C308="","",MAX(1,IFERROR(INDEX(商品マスタ!$I$6:$I$1005,MATCH($C308,商品マスタ!$B$6:$B$1005,0)),1)))</f>
        <v/>
      </c>
      <c r="K308" s="69" t="str">
        <f aca="false">IF($C308="","",SUMIFS(①今日の在庫を貼る!$N$6:$N$10005,①今日の在庫を貼る!$B$6:$B$10005,'設定（最初に1回）'!$C$4,①今日の在庫を貼る!$I$6:$I$10005,$C308))</f>
        <v/>
      </c>
      <c r="L308" s="69" t="str">
        <f aca="false">IF($C308="","",SUMIFS(月1回_前回の在庫を貼る!$N$6:$N$10005,月1回_前回の在庫を貼る!$B$6:$B$10005,'設定（最初に1回）'!$C$4,月1回_前回の在庫を貼る!$I$6:$I$10005,$C308))</f>
        <v/>
      </c>
      <c r="M308" s="69" t="str">
        <f aca="false">IF($C308="","",IF(OR('設定（最初に1回）'!$C$6="",'設定（最初に1回）'!$C$7=""),0,SUMIFS(発注管理!$S$6:$S$1005,発注管理!$C$6:$C$1005,'設定（最初に1回）'!$C$4,発注管理!$F$6:$F$1005,$C308,発注管理!$R$6:$R$1005,"&gt;="&amp;'設定（最初に1回）'!$C$7,発注管理!$R$6:$R$1005,"&lt;="&amp;'設定（最初に1回）'!$C$6)))</f>
        <v/>
      </c>
      <c r="N308" s="69" t="str">
        <f aca="false">IF(OR($C308="",'設定（最初に1回）'!$C$15=0),"",$L308+$M308-$K308)</f>
        <v/>
      </c>
      <c r="O308" s="143" t="str">
        <f aca="false">IF(OR($N308="",'設定（最初に1回）'!$C$8="",'設定（最初に1回）'!$C$8&lt;=0),"",MAX(0,$N308)/'設定（最初に1回）'!$C$8)</f>
        <v/>
      </c>
      <c r="P308" s="143" t="str">
        <f aca="false">IF($C308="","",IFERROR(INDEX(商品マスタ!$M$6:$N$1005,MATCH($C308,商品マスタ!$B$6:$B$1005,0),MATCH("PI値 "&amp;'設定（最初に1回）'!$C$11,商品マスタ!$M$5:$N$5,0)),""))</f>
        <v/>
      </c>
      <c r="Q308" s="143" t="str">
        <f aca="false">IF(OR($C308="",$P308="",$P308=0,(N($I308)+N($AG308))&lt;=0),"",IFERROR(SUMIFS(随時_動員を入れる!$G$8:$G$97,随時_動員を入れる!$B$8:$B$97,"&gt;="&amp;'設定（最初に1回）'!$C$6,随時_動員を入れる!$B$8:$B$97,"&lt;="&amp;'設定（最初に1回）'!$C$6+(N($I308)+N($AG308))-1)/(N($I308)+N($AG308)),0)*$P308/100)</f>
        <v/>
      </c>
      <c r="R308" s="69" t="str">
        <f aca="false">IF($C308="","",SUMIFS(①今日の在庫を貼る!$O$6:$O$10005,①今日の在庫を貼る!$B$6:$B$10005,'設定（最初に1回）'!$C$4,①今日の在庫を貼る!$I$6:$I$10005,$C308))</f>
        <v/>
      </c>
      <c r="S308" s="143" t="str">
        <f aca="false">IF($C308="","",IF('設定（最初に1回）'!$C$9="実績消費",N($O308),IF('設定（最初に1回）'!$C$9="PI値予測",N($Q308),MAX(N($O308),N($Q308)))))</f>
        <v/>
      </c>
      <c r="T308" s="67" t="str">
        <f aca="false">IF(OR($S308="",$S308&lt;=0),"",$K308/$S308)</f>
        <v/>
      </c>
      <c r="U308" s="69" t="str">
        <f aca="false">IF($S308="","",ROUNDUP(N($S308)*'設定（最初に1回）'!$C$12,0))</f>
        <v/>
      </c>
      <c r="V308" s="69" t="str">
        <f aca="false">IF($C308="","",ROUNDUP(N($S308)*(N($I308)+N($AG308))+N($U308),0))</f>
        <v/>
      </c>
      <c r="W308" s="69" t="str">
        <f aca="false">IF($C308="","",SUMIFS(発注管理!$L$6:$L$1005,発注管理!$C$6:$C$1005,'設定（最初に1回）'!$C$4,発注管理!$F$6:$F$1005,$C308,発注管理!$Q$6:$Q$1005,"発注済"))</f>
        <v/>
      </c>
      <c r="X308" s="69" t="str">
        <f aca="false">IF($C308="","",MAX(0,N($V308)-N($K308)-N($W308)))</f>
        <v/>
      </c>
      <c r="Y308" s="147" t="str">
        <f aca="false">IF($C308="","",IF(N($X308)&lt;=0,0,CEILING($X308/MAX(1,N($G308)),MAX(1,N($J308)))))</f>
        <v/>
      </c>
      <c r="Z308" s="138" t="str">
        <f aca="false">IF($C308="","",IF(N($Y308)&gt;0,"要発注","正常"))</f>
        <v/>
      </c>
      <c r="AA308" s="71" t="str">
        <f aca="false">IF($C308="","",N($K308)*N($H308))</f>
        <v/>
      </c>
      <c r="AB308" s="66" t="str">
        <f aca="false">IF($C308="","",_xlfn.TEXTJOIN(" / ",TRUE(),IF(COUNTIF(商品マスタ!$B$6:$B$1005,$C308)=0,"マスタ未登録",""),IF(COUNTIFS(月1回_前回の在庫を貼る!$B$6:$B$10005,'設定（最初に1回）'!$C$4,月1回_前回の在庫を貼る!$I$6:$I$10005,$C308)=0,"新商品",""),IF(COUNTIFS(①今日の在庫を貼る!$B$6:$B$10005,'設定（最初に1回）'!$C$4,①今日の在庫を貼る!$I$6:$I$10005,$C308)=0,"終売候補",""),IF(N($K308)&lt;0,"在庫マイナス",""),IF(AND('設定（最初に1回）'!$C$9="PI値予測",$P308=""),"PI値未設定","")))</f>
        <v/>
      </c>
      <c r="AC308" s="71" t="n">
        <f aca="false">N($Y308)*N($H308)</f>
        <v>0</v>
      </c>
      <c r="AD308" s="66" t="str">
        <f aca="false">IF($C308="","",IFERROR(INDEX(商品マスタ!$K$6:$K$1005,MATCH($C308,商品マスタ!$B$6:$B$1005,0)),"常温"))</f>
        <v/>
      </c>
      <c r="AE308" s="69" t="str">
        <f aca="false">IF($C308="","",MAX(0,ROUNDUP(N($K308)/MAX(1,N($G308)),0)))</f>
        <v/>
      </c>
      <c r="AF308" s="66" t="str">
        <f aca="false">IF($C308="","",IFERROR(INDEX(商品マスタ!$L$6:$L$1005,MATCH($C308,商品マスタ!$B$6:$B$1005,0)),""))</f>
        <v/>
      </c>
      <c r="AG308" s="143" t="str">
        <f aca="false">IF($C308="","",IFERROR(INDEX(定数マスタ!$S$110:$S$119,MATCH($AF308,定数マスタ!$J$110:$J$119,0)),N('設定（最初に1回）'!$C$13)))</f>
        <v/>
      </c>
      <c r="AH308" s="66" t="n">
        <f aca="false">IF(AND(N($K308)&gt;0,N($Y308)&gt;0),N($Y308),0)</f>
        <v>0</v>
      </c>
    </row>
    <row r="309" customFormat="false" ht="15" hidden="false" customHeight="false" outlineLevel="0" collapsed="false">
      <c r="B309" s="66" t="n">
        <v>304</v>
      </c>
      <c r="C309" s="66" t="str">
        <f aca="false">IFERROR(IF($B309&lt;=MAX(①今日の在庫を貼る!$U$6:$U$10005),INDEX(①今日の在庫を貼る!$I$6:$I$10005,MATCH($B309,①今日の在庫を貼る!$U$6:$U$10005,0)),INDEX(月1回_前回の在庫を貼る!$I$6:$I$10005,MATCH($B309-MAX(①今日の在庫を貼る!$U$6:$U$10005),月1回_前回の在庫を貼る!$U$6:$U$10005,0))),"")</f>
        <v/>
      </c>
      <c r="D309" s="66" t="str">
        <f aca="false">IF($C309="","",IFERROR(INDEX(商品マスタ!$C$6:$C$1005,MATCH($C309,商品マスタ!$B$6:$B$1005,0)),IFERROR(INDEX(①今日の在庫を貼る!$J$6:$J$10005,MATCH($C309,①今日の在庫を貼る!$I$6:$I$10005,0)),IFERROR(INDEX(月1回_前回の在庫を貼る!$J$6:$J$10005,MATCH($C309,月1回_前回の在庫を貼る!$I$6:$I$10005,0)),""))))</f>
        <v/>
      </c>
      <c r="E309" s="66" t="str">
        <f aca="false">IF($C309="","",IFERROR(INDEX(商品マスタ!$D$6:$D$1005,MATCH($C309,商品マスタ!$B$6:$B$1005,0)),IFERROR(INDEX(①今日の在庫を貼る!$H$6:$H$10005,MATCH($C309,①今日の在庫を貼る!$I$6:$I$10005,0)),IFERROR(INDEX(月1回_前回の在庫を貼る!$H$6:$H$10005,MATCH($C309,月1回_前回の在庫を貼る!$I$6:$I$10005,0)),""))))</f>
        <v/>
      </c>
      <c r="F309" s="66" t="str">
        <f aca="false">IF($C309="","",IFERROR(INDEX(商品マスタ!$E$6:$E$1005,MATCH($C309,商品マスタ!$B$6:$B$1005,0)),IFERROR(INDEX(①今日の在庫を貼る!$E$6:$E$10005,MATCH($C309,①今日の在庫を貼る!$I$6:$I$10005,0)),IFERROR(INDEX(月1回_前回の在庫を貼る!$E$6:$E$10005,MATCH($C309,月1回_前回の在庫を貼る!$I$6:$I$10005,0)),""))))</f>
        <v/>
      </c>
      <c r="G309" s="69" t="str">
        <f aca="false">IF($C309="","",IFERROR(INDEX(商品マスタ!$F$6:$F$1005,MATCH($C309,商品マスタ!$B$6:$B$1005,0)),IFERROR(INDEX(①今日の在庫を貼る!$K$6:$K$10005,MATCH($C309,①今日の在庫を貼る!$I$6:$I$10005,0)),IFERROR(INDEX(月1回_前回の在庫を貼る!$K$6:$K$10005,MATCH($C309,月1回_前回の在庫を貼る!$I$6:$I$10005,0)),""))))</f>
        <v/>
      </c>
      <c r="H309" s="71" t="str">
        <f aca="false">IF($C309="","",IFERROR(INDEX(商品マスタ!$G$6:$G$1005,MATCH($C309,商品マスタ!$B$6:$B$1005,0)),IFERROR(INDEX(①今日の在庫を貼る!$Q$6:$Q$10005,MATCH($C309,①今日の在庫を貼る!$I$6:$I$10005,0)),IFERROR(INDEX(月1回_前回の在庫を貼る!$Q$6:$Q$10005,MATCH($C309,月1回_前回の在庫を貼る!$I$6:$I$10005,0)),""))))</f>
        <v/>
      </c>
      <c r="I309" s="66" t="str">
        <f aca="false">IF($C309="","",IFERROR(INDEX(商品マスタ!$H$6:$H$1005,MATCH($C309,商品マスタ!$B$6:$B$1005,0)),3))</f>
        <v/>
      </c>
      <c r="J309" s="66" t="str">
        <f aca="false">IF($C309="","",MAX(1,IFERROR(INDEX(商品マスタ!$I$6:$I$1005,MATCH($C309,商品マスタ!$B$6:$B$1005,0)),1)))</f>
        <v/>
      </c>
      <c r="K309" s="69" t="str">
        <f aca="false">IF($C309="","",SUMIFS(①今日の在庫を貼る!$N$6:$N$10005,①今日の在庫を貼る!$B$6:$B$10005,'設定（最初に1回）'!$C$4,①今日の在庫を貼る!$I$6:$I$10005,$C309))</f>
        <v/>
      </c>
      <c r="L309" s="69" t="str">
        <f aca="false">IF($C309="","",SUMIFS(月1回_前回の在庫を貼る!$N$6:$N$10005,月1回_前回の在庫を貼る!$B$6:$B$10005,'設定（最初に1回）'!$C$4,月1回_前回の在庫を貼る!$I$6:$I$10005,$C309))</f>
        <v/>
      </c>
      <c r="M309" s="69" t="str">
        <f aca="false">IF($C309="","",IF(OR('設定（最初に1回）'!$C$6="",'設定（最初に1回）'!$C$7=""),0,SUMIFS(発注管理!$S$6:$S$1005,発注管理!$C$6:$C$1005,'設定（最初に1回）'!$C$4,発注管理!$F$6:$F$1005,$C309,発注管理!$R$6:$R$1005,"&gt;="&amp;'設定（最初に1回）'!$C$7,発注管理!$R$6:$R$1005,"&lt;="&amp;'設定（最初に1回）'!$C$6)))</f>
        <v/>
      </c>
      <c r="N309" s="69" t="str">
        <f aca="false">IF(OR($C309="",'設定（最初に1回）'!$C$15=0),"",$L309+$M309-$K309)</f>
        <v/>
      </c>
      <c r="O309" s="143" t="str">
        <f aca="false">IF(OR($N309="",'設定（最初に1回）'!$C$8="",'設定（最初に1回）'!$C$8&lt;=0),"",MAX(0,$N309)/'設定（最初に1回）'!$C$8)</f>
        <v/>
      </c>
      <c r="P309" s="143" t="str">
        <f aca="false">IF($C309="","",IFERROR(INDEX(商品マスタ!$M$6:$N$1005,MATCH($C309,商品マスタ!$B$6:$B$1005,0),MATCH("PI値 "&amp;'設定（最初に1回）'!$C$11,商品マスタ!$M$5:$N$5,0)),""))</f>
        <v/>
      </c>
      <c r="Q309" s="143" t="str">
        <f aca="false">IF(OR($C309="",$P309="",$P309=0,(N($I309)+N($AG309))&lt;=0),"",IFERROR(SUMIFS(随時_動員を入れる!$G$8:$G$97,随時_動員を入れる!$B$8:$B$97,"&gt;="&amp;'設定（最初に1回）'!$C$6,随時_動員を入れる!$B$8:$B$97,"&lt;="&amp;'設定（最初に1回）'!$C$6+(N($I309)+N($AG309))-1)/(N($I309)+N($AG309)),0)*$P309/100)</f>
        <v/>
      </c>
      <c r="R309" s="69" t="str">
        <f aca="false">IF($C309="","",SUMIFS(①今日の在庫を貼る!$O$6:$O$10005,①今日の在庫を貼る!$B$6:$B$10005,'設定（最初に1回）'!$C$4,①今日の在庫を貼る!$I$6:$I$10005,$C309))</f>
        <v/>
      </c>
      <c r="S309" s="143" t="str">
        <f aca="false">IF($C309="","",IF('設定（最初に1回）'!$C$9="実績消費",N($O309),IF('設定（最初に1回）'!$C$9="PI値予測",N($Q309),MAX(N($O309),N($Q309)))))</f>
        <v/>
      </c>
      <c r="T309" s="67" t="str">
        <f aca="false">IF(OR($S309="",$S309&lt;=0),"",$K309/$S309)</f>
        <v/>
      </c>
      <c r="U309" s="69" t="str">
        <f aca="false">IF($S309="","",ROUNDUP(N($S309)*'設定（最初に1回）'!$C$12,0))</f>
        <v/>
      </c>
      <c r="V309" s="69" t="str">
        <f aca="false">IF($C309="","",ROUNDUP(N($S309)*(N($I309)+N($AG309))+N($U309),0))</f>
        <v/>
      </c>
      <c r="W309" s="69" t="str">
        <f aca="false">IF($C309="","",SUMIFS(発注管理!$L$6:$L$1005,発注管理!$C$6:$C$1005,'設定（最初に1回）'!$C$4,発注管理!$F$6:$F$1005,$C309,発注管理!$Q$6:$Q$1005,"発注済"))</f>
        <v/>
      </c>
      <c r="X309" s="69" t="str">
        <f aca="false">IF($C309="","",MAX(0,N($V309)-N($K309)-N($W309)))</f>
        <v/>
      </c>
      <c r="Y309" s="147" t="str">
        <f aca="false">IF($C309="","",IF(N($X309)&lt;=0,0,CEILING($X309/MAX(1,N($G309)),MAX(1,N($J309)))))</f>
        <v/>
      </c>
      <c r="Z309" s="138" t="str">
        <f aca="false">IF($C309="","",IF(N($Y309)&gt;0,"要発注","正常"))</f>
        <v/>
      </c>
      <c r="AA309" s="71" t="str">
        <f aca="false">IF($C309="","",N($K309)*N($H309))</f>
        <v/>
      </c>
      <c r="AB309" s="66" t="str">
        <f aca="false">IF($C309="","",_xlfn.TEXTJOIN(" / ",TRUE(),IF(COUNTIF(商品マスタ!$B$6:$B$1005,$C309)=0,"マスタ未登録",""),IF(COUNTIFS(月1回_前回の在庫を貼る!$B$6:$B$10005,'設定（最初に1回）'!$C$4,月1回_前回の在庫を貼る!$I$6:$I$10005,$C309)=0,"新商品",""),IF(COUNTIFS(①今日の在庫を貼る!$B$6:$B$10005,'設定（最初に1回）'!$C$4,①今日の在庫を貼る!$I$6:$I$10005,$C309)=0,"終売候補",""),IF(N($K309)&lt;0,"在庫マイナス",""),IF(AND('設定（最初に1回）'!$C$9="PI値予測",$P309=""),"PI値未設定","")))</f>
        <v/>
      </c>
      <c r="AC309" s="71" t="n">
        <f aca="false">N($Y309)*N($H309)</f>
        <v>0</v>
      </c>
      <c r="AD309" s="66" t="str">
        <f aca="false">IF($C309="","",IFERROR(INDEX(商品マスタ!$K$6:$K$1005,MATCH($C309,商品マスタ!$B$6:$B$1005,0)),"常温"))</f>
        <v/>
      </c>
      <c r="AE309" s="69" t="str">
        <f aca="false">IF($C309="","",MAX(0,ROUNDUP(N($K309)/MAX(1,N($G309)),0)))</f>
        <v/>
      </c>
      <c r="AF309" s="66" t="str">
        <f aca="false">IF($C309="","",IFERROR(INDEX(商品マスタ!$L$6:$L$1005,MATCH($C309,商品マスタ!$B$6:$B$1005,0)),""))</f>
        <v/>
      </c>
      <c r="AG309" s="143" t="str">
        <f aca="false">IF($C309="","",IFERROR(INDEX(定数マスタ!$S$110:$S$119,MATCH($AF309,定数マスタ!$J$110:$J$119,0)),N('設定（最初に1回）'!$C$13)))</f>
        <v/>
      </c>
      <c r="AH309" s="66" t="n">
        <f aca="false">IF(AND(N($K309)&gt;0,N($Y309)&gt;0),N($Y309),0)</f>
        <v>0</v>
      </c>
    </row>
    <row r="310" customFormat="false" ht="15" hidden="false" customHeight="false" outlineLevel="0" collapsed="false">
      <c r="B310" s="66" t="n">
        <v>305</v>
      </c>
      <c r="C310" s="66" t="str">
        <f aca="false">IFERROR(IF($B310&lt;=MAX(①今日の在庫を貼る!$U$6:$U$10005),INDEX(①今日の在庫を貼る!$I$6:$I$10005,MATCH($B310,①今日の在庫を貼る!$U$6:$U$10005,0)),INDEX(月1回_前回の在庫を貼る!$I$6:$I$10005,MATCH($B310-MAX(①今日の在庫を貼る!$U$6:$U$10005),月1回_前回の在庫を貼る!$U$6:$U$10005,0))),"")</f>
        <v/>
      </c>
      <c r="D310" s="66" t="str">
        <f aca="false">IF($C310="","",IFERROR(INDEX(商品マスタ!$C$6:$C$1005,MATCH($C310,商品マスタ!$B$6:$B$1005,0)),IFERROR(INDEX(①今日の在庫を貼る!$J$6:$J$10005,MATCH($C310,①今日の在庫を貼る!$I$6:$I$10005,0)),IFERROR(INDEX(月1回_前回の在庫を貼る!$J$6:$J$10005,MATCH($C310,月1回_前回の在庫を貼る!$I$6:$I$10005,0)),""))))</f>
        <v/>
      </c>
      <c r="E310" s="66" t="str">
        <f aca="false">IF($C310="","",IFERROR(INDEX(商品マスタ!$D$6:$D$1005,MATCH($C310,商品マスタ!$B$6:$B$1005,0)),IFERROR(INDEX(①今日の在庫を貼る!$H$6:$H$10005,MATCH($C310,①今日の在庫を貼る!$I$6:$I$10005,0)),IFERROR(INDEX(月1回_前回の在庫を貼る!$H$6:$H$10005,MATCH($C310,月1回_前回の在庫を貼る!$I$6:$I$10005,0)),""))))</f>
        <v/>
      </c>
      <c r="F310" s="66" t="str">
        <f aca="false">IF($C310="","",IFERROR(INDEX(商品マスタ!$E$6:$E$1005,MATCH($C310,商品マスタ!$B$6:$B$1005,0)),IFERROR(INDEX(①今日の在庫を貼る!$E$6:$E$10005,MATCH($C310,①今日の在庫を貼る!$I$6:$I$10005,0)),IFERROR(INDEX(月1回_前回の在庫を貼る!$E$6:$E$10005,MATCH($C310,月1回_前回の在庫を貼る!$I$6:$I$10005,0)),""))))</f>
        <v/>
      </c>
      <c r="G310" s="69" t="str">
        <f aca="false">IF($C310="","",IFERROR(INDEX(商品マスタ!$F$6:$F$1005,MATCH($C310,商品マスタ!$B$6:$B$1005,0)),IFERROR(INDEX(①今日の在庫を貼る!$K$6:$K$10005,MATCH($C310,①今日の在庫を貼る!$I$6:$I$10005,0)),IFERROR(INDEX(月1回_前回の在庫を貼る!$K$6:$K$10005,MATCH($C310,月1回_前回の在庫を貼る!$I$6:$I$10005,0)),""))))</f>
        <v/>
      </c>
      <c r="H310" s="71" t="str">
        <f aca="false">IF($C310="","",IFERROR(INDEX(商品マスタ!$G$6:$G$1005,MATCH($C310,商品マスタ!$B$6:$B$1005,0)),IFERROR(INDEX(①今日の在庫を貼る!$Q$6:$Q$10005,MATCH($C310,①今日の在庫を貼る!$I$6:$I$10005,0)),IFERROR(INDEX(月1回_前回の在庫を貼る!$Q$6:$Q$10005,MATCH($C310,月1回_前回の在庫を貼る!$I$6:$I$10005,0)),""))))</f>
        <v/>
      </c>
      <c r="I310" s="66" t="str">
        <f aca="false">IF($C310="","",IFERROR(INDEX(商品マスタ!$H$6:$H$1005,MATCH($C310,商品マスタ!$B$6:$B$1005,0)),3))</f>
        <v/>
      </c>
      <c r="J310" s="66" t="str">
        <f aca="false">IF($C310="","",MAX(1,IFERROR(INDEX(商品マスタ!$I$6:$I$1005,MATCH($C310,商品マスタ!$B$6:$B$1005,0)),1)))</f>
        <v/>
      </c>
      <c r="K310" s="69" t="str">
        <f aca="false">IF($C310="","",SUMIFS(①今日の在庫を貼る!$N$6:$N$10005,①今日の在庫を貼る!$B$6:$B$10005,'設定（最初に1回）'!$C$4,①今日の在庫を貼る!$I$6:$I$10005,$C310))</f>
        <v/>
      </c>
      <c r="L310" s="69" t="str">
        <f aca="false">IF($C310="","",SUMIFS(月1回_前回の在庫を貼る!$N$6:$N$10005,月1回_前回の在庫を貼る!$B$6:$B$10005,'設定（最初に1回）'!$C$4,月1回_前回の在庫を貼る!$I$6:$I$10005,$C310))</f>
        <v/>
      </c>
      <c r="M310" s="69" t="str">
        <f aca="false">IF($C310="","",IF(OR('設定（最初に1回）'!$C$6="",'設定（最初に1回）'!$C$7=""),0,SUMIFS(発注管理!$S$6:$S$1005,発注管理!$C$6:$C$1005,'設定（最初に1回）'!$C$4,発注管理!$F$6:$F$1005,$C310,発注管理!$R$6:$R$1005,"&gt;="&amp;'設定（最初に1回）'!$C$7,発注管理!$R$6:$R$1005,"&lt;="&amp;'設定（最初に1回）'!$C$6)))</f>
        <v/>
      </c>
      <c r="N310" s="69" t="str">
        <f aca="false">IF(OR($C310="",'設定（最初に1回）'!$C$15=0),"",$L310+$M310-$K310)</f>
        <v/>
      </c>
      <c r="O310" s="143" t="str">
        <f aca="false">IF(OR($N310="",'設定（最初に1回）'!$C$8="",'設定（最初に1回）'!$C$8&lt;=0),"",MAX(0,$N310)/'設定（最初に1回）'!$C$8)</f>
        <v/>
      </c>
      <c r="P310" s="143" t="str">
        <f aca="false">IF($C310="","",IFERROR(INDEX(商品マスタ!$M$6:$N$1005,MATCH($C310,商品マスタ!$B$6:$B$1005,0),MATCH("PI値 "&amp;'設定（最初に1回）'!$C$11,商品マスタ!$M$5:$N$5,0)),""))</f>
        <v/>
      </c>
      <c r="Q310" s="143" t="str">
        <f aca="false">IF(OR($C310="",$P310="",$P310=0,(N($I310)+N($AG310))&lt;=0),"",IFERROR(SUMIFS(随時_動員を入れる!$G$8:$G$97,随時_動員を入れる!$B$8:$B$97,"&gt;="&amp;'設定（最初に1回）'!$C$6,随時_動員を入れる!$B$8:$B$97,"&lt;="&amp;'設定（最初に1回）'!$C$6+(N($I310)+N($AG310))-1)/(N($I310)+N($AG310)),0)*$P310/100)</f>
        <v/>
      </c>
      <c r="R310" s="69" t="str">
        <f aca="false">IF($C310="","",SUMIFS(①今日の在庫を貼る!$O$6:$O$10005,①今日の在庫を貼る!$B$6:$B$10005,'設定（最初に1回）'!$C$4,①今日の在庫を貼る!$I$6:$I$10005,$C310))</f>
        <v/>
      </c>
      <c r="S310" s="143" t="str">
        <f aca="false">IF($C310="","",IF('設定（最初に1回）'!$C$9="実績消費",N($O310),IF('設定（最初に1回）'!$C$9="PI値予測",N($Q310),MAX(N($O310),N($Q310)))))</f>
        <v/>
      </c>
      <c r="T310" s="67" t="str">
        <f aca="false">IF(OR($S310="",$S310&lt;=0),"",$K310/$S310)</f>
        <v/>
      </c>
      <c r="U310" s="69" t="str">
        <f aca="false">IF($S310="","",ROUNDUP(N($S310)*'設定（最初に1回）'!$C$12,0))</f>
        <v/>
      </c>
      <c r="V310" s="69" t="str">
        <f aca="false">IF($C310="","",ROUNDUP(N($S310)*(N($I310)+N($AG310))+N($U310),0))</f>
        <v/>
      </c>
      <c r="W310" s="69" t="str">
        <f aca="false">IF($C310="","",SUMIFS(発注管理!$L$6:$L$1005,発注管理!$C$6:$C$1005,'設定（最初に1回）'!$C$4,発注管理!$F$6:$F$1005,$C310,発注管理!$Q$6:$Q$1005,"発注済"))</f>
        <v/>
      </c>
      <c r="X310" s="69" t="str">
        <f aca="false">IF($C310="","",MAX(0,N($V310)-N($K310)-N($W310)))</f>
        <v/>
      </c>
      <c r="Y310" s="147" t="str">
        <f aca="false">IF($C310="","",IF(N($X310)&lt;=0,0,CEILING($X310/MAX(1,N($G310)),MAX(1,N($J310)))))</f>
        <v/>
      </c>
      <c r="Z310" s="138" t="str">
        <f aca="false">IF($C310="","",IF(N($Y310)&gt;0,"要発注","正常"))</f>
        <v/>
      </c>
      <c r="AA310" s="71" t="str">
        <f aca="false">IF($C310="","",N($K310)*N($H310))</f>
        <v/>
      </c>
      <c r="AB310" s="66" t="str">
        <f aca="false">IF($C310="","",_xlfn.TEXTJOIN(" / ",TRUE(),IF(COUNTIF(商品マスタ!$B$6:$B$1005,$C310)=0,"マスタ未登録",""),IF(COUNTIFS(月1回_前回の在庫を貼る!$B$6:$B$10005,'設定（最初に1回）'!$C$4,月1回_前回の在庫を貼る!$I$6:$I$10005,$C310)=0,"新商品",""),IF(COUNTIFS(①今日の在庫を貼る!$B$6:$B$10005,'設定（最初に1回）'!$C$4,①今日の在庫を貼る!$I$6:$I$10005,$C310)=0,"終売候補",""),IF(N($K310)&lt;0,"在庫マイナス",""),IF(AND('設定（最初に1回）'!$C$9="PI値予測",$P310=""),"PI値未設定","")))</f>
        <v/>
      </c>
      <c r="AC310" s="71" t="n">
        <f aca="false">N($Y310)*N($H310)</f>
        <v>0</v>
      </c>
      <c r="AD310" s="66" t="str">
        <f aca="false">IF($C310="","",IFERROR(INDEX(商品マスタ!$K$6:$K$1005,MATCH($C310,商品マスタ!$B$6:$B$1005,0)),"常温"))</f>
        <v/>
      </c>
      <c r="AE310" s="69" t="str">
        <f aca="false">IF($C310="","",MAX(0,ROUNDUP(N($K310)/MAX(1,N($G310)),0)))</f>
        <v/>
      </c>
      <c r="AF310" s="66" t="str">
        <f aca="false">IF($C310="","",IFERROR(INDEX(商品マスタ!$L$6:$L$1005,MATCH($C310,商品マスタ!$B$6:$B$1005,0)),""))</f>
        <v/>
      </c>
      <c r="AG310" s="143" t="str">
        <f aca="false">IF($C310="","",IFERROR(INDEX(定数マスタ!$S$110:$S$119,MATCH($AF310,定数マスタ!$J$110:$J$119,0)),N('設定（最初に1回）'!$C$13)))</f>
        <v/>
      </c>
      <c r="AH310" s="66" t="n">
        <f aca="false">IF(AND(N($K310)&gt;0,N($Y310)&gt;0),N($Y310),0)</f>
        <v>0</v>
      </c>
    </row>
    <row r="311" customFormat="false" ht="15" hidden="false" customHeight="false" outlineLevel="0" collapsed="false">
      <c r="B311" s="66" t="n">
        <v>306</v>
      </c>
      <c r="C311" s="66" t="str">
        <f aca="false">IFERROR(IF($B311&lt;=MAX(①今日の在庫を貼る!$U$6:$U$10005),INDEX(①今日の在庫を貼る!$I$6:$I$10005,MATCH($B311,①今日の在庫を貼る!$U$6:$U$10005,0)),INDEX(月1回_前回の在庫を貼る!$I$6:$I$10005,MATCH($B311-MAX(①今日の在庫を貼る!$U$6:$U$10005),月1回_前回の在庫を貼る!$U$6:$U$10005,0))),"")</f>
        <v/>
      </c>
      <c r="D311" s="66" t="str">
        <f aca="false">IF($C311="","",IFERROR(INDEX(商品マスタ!$C$6:$C$1005,MATCH($C311,商品マスタ!$B$6:$B$1005,0)),IFERROR(INDEX(①今日の在庫を貼る!$J$6:$J$10005,MATCH($C311,①今日の在庫を貼る!$I$6:$I$10005,0)),IFERROR(INDEX(月1回_前回の在庫を貼る!$J$6:$J$10005,MATCH($C311,月1回_前回の在庫を貼る!$I$6:$I$10005,0)),""))))</f>
        <v/>
      </c>
      <c r="E311" s="66" t="str">
        <f aca="false">IF($C311="","",IFERROR(INDEX(商品マスタ!$D$6:$D$1005,MATCH($C311,商品マスタ!$B$6:$B$1005,0)),IFERROR(INDEX(①今日の在庫を貼る!$H$6:$H$10005,MATCH($C311,①今日の在庫を貼る!$I$6:$I$10005,0)),IFERROR(INDEX(月1回_前回の在庫を貼る!$H$6:$H$10005,MATCH($C311,月1回_前回の在庫を貼る!$I$6:$I$10005,0)),""))))</f>
        <v/>
      </c>
      <c r="F311" s="66" t="str">
        <f aca="false">IF($C311="","",IFERROR(INDEX(商品マスタ!$E$6:$E$1005,MATCH($C311,商品マスタ!$B$6:$B$1005,0)),IFERROR(INDEX(①今日の在庫を貼る!$E$6:$E$10005,MATCH($C311,①今日の在庫を貼る!$I$6:$I$10005,0)),IFERROR(INDEX(月1回_前回の在庫を貼る!$E$6:$E$10005,MATCH($C311,月1回_前回の在庫を貼る!$I$6:$I$10005,0)),""))))</f>
        <v/>
      </c>
      <c r="G311" s="69" t="str">
        <f aca="false">IF($C311="","",IFERROR(INDEX(商品マスタ!$F$6:$F$1005,MATCH($C311,商品マスタ!$B$6:$B$1005,0)),IFERROR(INDEX(①今日の在庫を貼る!$K$6:$K$10005,MATCH($C311,①今日の在庫を貼る!$I$6:$I$10005,0)),IFERROR(INDEX(月1回_前回の在庫を貼る!$K$6:$K$10005,MATCH($C311,月1回_前回の在庫を貼る!$I$6:$I$10005,0)),""))))</f>
        <v/>
      </c>
      <c r="H311" s="71" t="str">
        <f aca="false">IF($C311="","",IFERROR(INDEX(商品マスタ!$G$6:$G$1005,MATCH($C311,商品マスタ!$B$6:$B$1005,0)),IFERROR(INDEX(①今日の在庫を貼る!$Q$6:$Q$10005,MATCH($C311,①今日の在庫を貼る!$I$6:$I$10005,0)),IFERROR(INDEX(月1回_前回の在庫を貼る!$Q$6:$Q$10005,MATCH($C311,月1回_前回の在庫を貼る!$I$6:$I$10005,0)),""))))</f>
        <v/>
      </c>
      <c r="I311" s="66" t="str">
        <f aca="false">IF($C311="","",IFERROR(INDEX(商品マスタ!$H$6:$H$1005,MATCH($C311,商品マスタ!$B$6:$B$1005,0)),3))</f>
        <v/>
      </c>
      <c r="J311" s="66" t="str">
        <f aca="false">IF($C311="","",MAX(1,IFERROR(INDEX(商品マスタ!$I$6:$I$1005,MATCH($C311,商品マスタ!$B$6:$B$1005,0)),1)))</f>
        <v/>
      </c>
      <c r="K311" s="69" t="str">
        <f aca="false">IF($C311="","",SUMIFS(①今日の在庫を貼る!$N$6:$N$10005,①今日の在庫を貼る!$B$6:$B$10005,'設定（最初に1回）'!$C$4,①今日の在庫を貼る!$I$6:$I$10005,$C311))</f>
        <v/>
      </c>
      <c r="L311" s="69" t="str">
        <f aca="false">IF($C311="","",SUMIFS(月1回_前回の在庫を貼る!$N$6:$N$10005,月1回_前回の在庫を貼る!$B$6:$B$10005,'設定（最初に1回）'!$C$4,月1回_前回の在庫を貼る!$I$6:$I$10005,$C311))</f>
        <v/>
      </c>
      <c r="M311" s="69" t="str">
        <f aca="false">IF($C311="","",IF(OR('設定（最初に1回）'!$C$6="",'設定（最初に1回）'!$C$7=""),0,SUMIFS(発注管理!$S$6:$S$1005,発注管理!$C$6:$C$1005,'設定（最初に1回）'!$C$4,発注管理!$F$6:$F$1005,$C311,発注管理!$R$6:$R$1005,"&gt;="&amp;'設定（最初に1回）'!$C$7,発注管理!$R$6:$R$1005,"&lt;="&amp;'設定（最初に1回）'!$C$6)))</f>
        <v/>
      </c>
      <c r="N311" s="69" t="str">
        <f aca="false">IF(OR($C311="",'設定（最初に1回）'!$C$15=0),"",$L311+$M311-$K311)</f>
        <v/>
      </c>
      <c r="O311" s="143" t="str">
        <f aca="false">IF(OR($N311="",'設定（最初に1回）'!$C$8="",'設定（最初に1回）'!$C$8&lt;=0),"",MAX(0,$N311)/'設定（最初に1回）'!$C$8)</f>
        <v/>
      </c>
      <c r="P311" s="143" t="str">
        <f aca="false">IF($C311="","",IFERROR(INDEX(商品マスタ!$M$6:$N$1005,MATCH($C311,商品マスタ!$B$6:$B$1005,0),MATCH("PI値 "&amp;'設定（最初に1回）'!$C$11,商品マスタ!$M$5:$N$5,0)),""))</f>
        <v/>
      </c>
      <c r="Q311" s="143" t="str">
        <f aca="false">IF(OR($C311="",$P311="",$P311=0,(N($I311)+N($AG311))&lt;=0),"",IFERROR(SUMIFS(随時_動員を入れる!$G$8:$G$97,随時_動員を入れる!$B$8:$B$97,"&gt;="&amp;'設定（最初に1回）'!$C$6,随時_動員を入れる!$B$8:$B$97,"&lt;="&amp;'設定（最初に1回）'!$C$6+(N($I311)+N($AG311))-1)/(N($I311)+N($AG311)),0)*$P311/100)</f>
        <v/>
      </c>
      <c r="R311" s="69" t="str">
        <f aca="false">IF($C311="","",SUMIFS(①今日の在庫を貼る!$O$6:$O$10005,①今日の在庫を貼る!$B$6:$B$10005,'設定（最初に1回）'!$C$4,①今日の在庫を貼る!$I$6:$I$10005,$C311))</f>
        <v/>
      </c>
      <c r="S311" s="143" t="str">
        <f aca="false">IF($C311="","",IF('設定（最初に1回）'!$C$9="実績消費",N($O311),IF('設定（最初に1回）'!$C$9="PI値予測",N($Q311),MAX(N($O311),N($Q311)))))</f>
        <v/>
      </c>
      <c r="T311" s="67" t="str">
        <f aca="false">IF(OR($S311="",$S311&lt;=0),"",$K311/$S311)</f>
        <v/>
      </c>
      <c r="U311" s="69" t="str">
        <f aca="false">IF($S311="","",ROUNDUP(N($S311)*'設定（最初に1回）'!$C$12,0))</f>
        <v/>
      </c>
      <c r="V311" s="69" t="str">
        <f aca="false">IF($C311="","",ROUNDUP(N($S311)*(N($I311)+N($AG311))+N($U311),0))</f>
        <v/>
      </c>
      <c r="W311" s="69" t="str">
        <f aca="false">IF($C311="","",SUMIFS(発注管理!$L$6:$L$1005,発注管理!$C$6:$C$1005,'設定（最初に1回）'!$C$4,発注管理!$F$6:$F$1005,$C311,発注管理!$Q$6:$Q$1005,"発注済"))</f>
        <v/>
      </c>
      <c r="X311" s="69" t="str">
        <f aca="false">IF($C311="","",MAX(0,N($V311)-N($K311)-N($W311)))</f>
        <v/>
      </c>
      <c r="Y311" s="147" t="str">
        <f aca="false">IF($C311="","",IF(N($X311)&lt;=0,0,CEILING($X311/MAX(1,N($G311)),MAX(1,N($J311)))))</f>
        <v/>
      </c>
      <c r="Z311" s="138" t="str">
        <f aca="false">IF($C311="","",IF(N($Y311)&gt;0,"要発注","正常"))</f>
        <v/>
      </c>
      <c r="AA311" s="71" t="str">
        <f aca="false">IF($C311="","",N($K311)*N($H311))</f>
        <v/>
      </c>
      <c r="AB311" s="66" t="str">
        <f aca="false">IF($C311="","",_xlfn.TEXTJOIN(" / ",TRUE(),IF(COUNTIF(商品マスタ!$B$6:$B$1005,$C311)=0,"マスタ未登録",""),IF(COUNTIFS(月1回_前回の在庫を貼る!$B$6:$B$10005,'設定（最初に1回）'!$C$4,月1回_前回の在庫を貼る!$I$6:$I$10005,$C311)=0,"新商品",""),IF(COUNTIFS(①今日の在庫を貼る!$B$6:$B$10005,'設定（最初に1回）'!$C$4,①今日の在庫を貼る!$I$6:$I$10005,$C311)=0,"終売候補",""),IF(N($K311)&lt;0,"在庫マイナス",""),IF(AND('設定（最初に1回）'!$C$9="PI値予測",$P311=""),"PI値未設定","")))</f>
        <v/>
      </c>
      <c r="AC311" s="71" t="n">
        <f aca="false">N($Y311)*N($H311)</f>
        <v>0</v>
      </c>
      <c r="AD311" s="66" t="str">
        <f aca="false">IF($C311="","",IFERROR(INDEX(商品マスタ!$K$6:$K$1005,MATCH($C311,商品マスタ!$B$6:$B$1005,0)),"常温"))</f>
        <v/>
      </c>
      <c r="AE311" s="69" t="str">
        <f aca="false">IF($C311="","",MAX(0,ROUNDUP(N($K311)/MAX(1,N($G311)),0)))</f>
        <v/>
      </c>
      <c r="AF311" s="66" t="str">
        <f aca="false">IF($C311="","",IFERROR(INDEX(商品マスタ!$L$6:$L$1005,MATCH($C311,商品マスタ!$B$6:$B$1005,0)),""))</f>
        <v/>
      </c>
      <c r="AG311" s="143" t="str">
        <f aca="false">IF($C311="","",IFERROR(INDEX(定数マスタ!$S$110:$S$119,MATCH($AF311,定数マスタ!$J$110:$J$119,0)),N('設定（最初に1回）'!$C$13)))</f>
        <v/>
      </c>
      <c r="AH311" s="66" t="n">
        <f aca="false">IF(AND(N($K311)&gt;0,N($Y311)&gt;0),N($Y311),0)</f>
        <v>0</v>
      </c>
    </row>
    <row r="312" customFormat="false" ht="15" hidden="false" customHeight="false" outlineLevel="0" collapsed="false">
      <c r="B312" s="66" t="n">
        <v>307</v>
      </c>
      <c r="C312" s="66" t="str">
        <f aca="false">IFERROR(IF($B312&lt;=MAX(①今日の在庫を貼る!$U$6:$U$10005),INDEX(①今日の在庫を貼る!$I$6:$I$10005,MATCH($B312,①今日の在庫を貼る!$U$6:$U$10005,0)),INDEX(月1回_前回の在庫を貼る!$I$6:$I$10005,MATCH($B312-MAX(①今日の在庫を貼る!$U$6:$U$10005),月1回_前回の在庫を貼る!$U$6:$U$10005,0))),"")</f>
        <v/>
      </c>
      <c r="D312" s="66" t="str">
        <f aca="false">IF($C312="","",IFERROR(INDEX(商品マスタ!$C$6:$C$1005,MATCH($C312,商品マスタ!$B$6:$B$1005,0)),IFERROR(INDEX(①今日の在庫を貼る!$J$6:$J$10005,MATCH($C312,①今日の在庫を貼る!$I$6:$I$10005,0)),IFERROR(INDEX(月1回_前回の在庫を貼る!$J$6:$J$10005,MATCH($C312,月1回_前回の在庫を貼る!$I$6:$I$10005,0)),""))))</f>
        <v/>
      </c>
      <c r="E312" s="66" t="str">
        <f aca="false">IF($C312="","",IFERROR(INDEX(商品マスタ!$D$6:$D$1005,MATCH($C312,商品マスタ!$B$6:$B$1005,0)),IFERROR(INDEX(①今日の在庫を貼る!$H$6:$H$10005,MATCH($C312,①今日の在庫を貼る!$I$6:$I$10005,0)),IFERROR(INDEX(月1回_前回の在庫を貼る!$H$6:$H$10005,MATCH($C312,月1回_前回の在庫を貼る!$I$6:$I$10005,0)),""))))</f>
        <v/>
      </c>
      <c r="F312" s="66" t="str">
        <f aca="false">IF($C312="","",IFERROR(INDEX(商品マスタ!$E$6:$E$1005,MATCH($C312,商品マスタ!$B$6:$B$1005,0)),IFERROR(INDEX(①今日の在庫を貼る!$E$6:$E$10005,MATCH($C312,①今日の在庫を貼る!$I$6:$I$10005,0)),IFERROR(INDEX(月1回_前回の在庫を貼る!$E$6:$E$10005,MATCH($C312,月1回_前回の在庫を貼る!$I$6:$I$10005,0)),""))))</f>
        <v/>
      </c>
      <c r="G312" s="69" t="str">
        <f aca="false">IF($C312="","",IFERROR(INDEX(商品マスタ!$F$6:$F$1005,MATCH($C312,商品マスタ!$B$6:$B$1005,0)),IFERROR(INDEX(①今日の在庫を貼る!$K$6:$K$10005,MATCH($C312,①今日の在庫を貼る!$I$6:$I$10005,0)),IFERROR(INDEX(月1回_前回の在庫を貼る!$K$6:$K$10005,MATCH($C312,月1回_前回の在庫を貼る!$I$6:$I$10005,0)),""))))</f>
        <v/>
      </c>
      <c r="H312" s="71" t="str">
        <f aca="false">IF($C312="","",IFERROR(INDEX(商品マスタ!$G$6:$G$1005,MATCH($C312,商品マスタ!$B$6:$B$1005,0)),IFERROR(INDEX(①今日の在庫を貼る!$Q$6:$Q$10005,MATCH($C312,①今日の在庫を貼る!$I$6:$I$10005,0)),IFERROR(INDEX(月1回_前回の在庫を貼る!$Q$6:$Q$10005,MATCH($C312,月1回_前回の在庫を貼る!$I$6:$I$10005,0)),""))))</f>
        <v/>
      </c>
      <c r="I312" s="66" t="str">
        <f aca="false">IF($C312="","",IFERROR(INDEX(商品マスタ!$H$6:$H$1005,MATCH($C312,商品マスタ!$B$6:$B$1005,0)),3))</f>
        <v/>
      </c>
      <c r="J312" s="66" t="str">
        <f aca="false">IF($C312="","",MAX(1,IFERROR(INDEX(商品マスタ!$I$6:$I$1005,MATCH($C312,商品マスタ!$B$6:$B$1005,0)),1)))</f>
        <v/>
      </c>
      <c r="K312" s="69" t="str">
        <f aca="false">IF($C312="","",SUMIFS(①今日の在庫を貼る!$N$6:$N$10005,①今日の在庫を貼る!$B$6:$B$10005,'設定（最初に1回）'!$C$4,①今日の在庫を貼る!$I$6:$I$10005,$C312))</f>
        <v/>
      </c>
      <c r="L312" s="69" t="str">
        <f aca="false">IF($C312="","",SUMIFS(月1回_前回の在庫を貼る!$N$6:$N$10005,月1回_前回の在庫を貼る!$B$6:$B$10005,'設定（最初に1回）'!$C$4,月1回_前回の在庫を貼る!$I$6:$I$10005,$C312))</f>
        <v/>
      </c>
      <c r="M312" s="69" t="str">
        <f aca="false">IF($C312="","",IF(OR('設定（最初に1回）'!$C$6="",'設定（最初に1回）'!$C$7=""),0,SUMIFS(発注管理!$S$6:$S$1005,発注管理!$C$6:$C$1005,'設定（最初に1回）'!$C$4,発注管理!$F$6:$F$1005,$C312,発注管理!$R$6:$R$1005,"&gt;="&amp;'設定（最初に1回）'!$C$7,発注管理!$R$6:$R$1005,"&lt;="&amp;'設定（最初に1回）'!$C$6)))</f>
        <v/>
      </c>
      <c r="N312" s="69" t="str">
        <f aca="false">IF(OR($C312="",'設定（最初に1回）'!$C$15=0),"",$L312+$M312-$K312)</f>
        <v/>
      </c>
      <c r="O312" s="143" t="str">
        <f aca="false">IF(OR($N312="",'設定（最初に1回）'!$C$8="",'設定（最初に1回）'!$C$8&lt;=0),"",MAX(0,$N312)/'設定（最初に1回）'!$C$8)</f>
        <v/>
      </c>
      <c r="P312" s="143" t="str">
        <f aca="false">IF($C312="","",IFERROR(INDEX(商品マスタ!$M$6:$N$1005,MATCH($C312,商品マスタ!$B$6:$B$1005,0),MATCH("PI値 "&amp;'設定（最初に1回）'!$C$11,商品マスタ!$M$5:$N$5,0)),""))</f>
        <v/>
      </c>
      <c r="Q312" s="143" t="str">
        <f aca="false">IF(OR($C312="",$P312="",$P312=0,(N($I312)+N($AG312))&lt;=0),"",IFERROR(SUMIFS(随時_動員を入れる!$G$8:$G$97,随時_動員を入れる!$B$8:$B$97,"&gt;="&amp;'設定（最初に1回）'!$C$6,随時_動員を入れる!$B$8:$B$97,"&lt;="&amp;'設定（最初に1回）'!$C$6+(N($I312)+N($AG312))-1)/(N($I312)+N($AG312)),0)*$P312/100)</f>
        <v/>
      </c>
      <c r="R312" s="69" t="str">
        <f aca="false">IF($C312="","",SUMIFS(①今日の在庫を貼る!$O$6:$O$10005,①今日の在庫を貼る!$B$6:$B$10005,'設定（最初に1回）'!$C$4,①今日の在庫を貼る!$I$6:$I$10005,$C312))</f>
        <v/>
      </c>
      <c r="S312" s="143" t="str">
        <f aca="false">IF($C312="","",IF('設定（最初に1回）'!$C$9="実績消費",N($O312),IF('設定（最初に1回）'!$C$9="PI値予測",N($Q312),MAX(N($O312),N($Q312)))))</f>
        <v/>
      </c>
      <c r="T312" s="67" t="str">
        <f aca="false">IF(OR($S312="",$S312&lt;=0),"",$K312/$S312)</f>
        <v/>
      </c>
      <c r="U312" s="69" t="str">
        <f aca="false">IF($S312="","",ROUNDUP(N($S312)*'設定（最初に1回）'!$C$12,0))</f>
        <v/>
      </c>
      <c r="V312" s="69" t="str">
        <f aca="false">IF($C312="","",ROUNDUP(N($S312)*(N($I312)+N($AG312))+N($U312),0))</f>
        <v/>
      </c>
      <c r="W312" s="69" t="str">
        <f aca="false">IF($C312="","",SUMIFS(発注管理!$L$6:$L$1005,発注管理!$C$6:$C$1005,'設定（最初に1回）'!$C$4,発注管理!$F$6:$F$1005,$C312,発注管理!$Q$6:$Q$1005,"発注済"))</f>
        <v/>
      </c>
      <c r="X312" s="69" t="str">
        <f aca="false">IF($C312="","",MAX(0,N($V312)-N($K312)-N($W312)))</f>
        <v/>
      </c>
      <c r="Y312" s="147" t="str">
        <f aca="false">IF($C312="","",IF(N($X312)&lt;=0,0,CEILING($X312/MAX(1,N($G312)),MAX(1,N($J312)))))</f>
        <v/>
      </c>
      <c r="Z312" s="138" t="str">
        <f aca="false">IF($C312="","",IF(N($Y312)&gt;0,"要発注","正常"))</f>
        <v/>
      </c>
      <c r="AA312" s="71" t="str">
        <f aca="false">IF($C312="","",N($K312)*N($H312))</f>
        <v/>
      </c>
      <c r="AB312" s="66" t="str">
        <f aca="false">IF($C312="","",_xlfn.TEXTJOIN(" / ",TRUE(),IF(COUNTIF(商品マスタ!$B$6:$B$1005,$C312)=0,"マスタ未登録",""),IF(COUNTIFS(月1回_前回の在庫を貼る!$B$6:$B$10005,'設定（最初に1回）'!$C$4,月1回_前回の在庫を貼る!$I$6:$I$10005,$C312)=0,"新商品",""),IF(COUNTIFS(①今日の在庫を貼る!$B$6:$B$10005,'設定（最初に1回）'!$C$4,①今日の在庫を貼る!$I$6:$I$10005,$C312)=0,"終売候補",""),IF(N($K312)&lt;0,"在庫マイナス",""),IF(AND('設定（最初に1回）'!$C$9="PI値予測",$P312=""),"PI値未設定","")))</f>
        <v/>
      </c>
      <c r="AC312" s="71" t="n">
        <f aca="false">N($Y312)*N($H312)</f>
        <v>0</v>
      </c>
      <c r="AD312" s="66" t="str">
        <f aca="false">IF($C312="","",IFERROR(INDEX(商品マスタ!$K$6:$K$1005,MATCH($C312,商品マスタ!$B$6:$B$1005,0)),"常温"))</f>
        <v/>
      </c>
      <c r="AE312" s="69" t="str">
        <f aca="false">IF($C312="","",MAX(0,ROUNDUP(N($K312)/MAX(1,N($G312)),0)))</f>
        <v/>
      </c>
      <c r="AF312" s="66" t="str">
        <f aca="false">IF($C312="","",IFERROR(INDEX(商品マスタ!$L$6:$L$1005,MATCH($C312,商品マスタ!$B$6:$B$1005,0)),""))</f>
        <v/>
      </c>
      <c r="AG312" s="143" t="str">
        <f aca="false">IF($C312="","",IFERROR(INDEX(定数マスタ!$S$110:$S$119,MATCH($AF312,定数マスタ!$J$110:$J$119,0)),N('設定（最初に1回）'!$C$13)))</f>
        <v/>
      </c>
      <c r="AH312" s="66" t="n">
        <f aca="false">IF(AND(N($K312)&gt;0,N($Y312)&gt;0),N($Y312),0)</f>
        <v>0</v>
      </c>
    </row>
    <row r="313" customFormat="false" ht="15" hidden="false" customHeight="false" outlineLevel="0" collapsed="false">
      <c r="B313" s="66" t="n">
        <v>308</v>
      </c>
      <c r="C313" s="66" t="str">
        <f aca="false">IFERROR(IF($B313&lt;=MAX(①今日の在庫を貼る!$U$6:$U$10005),INDEX(①今日の在庫を貼る!$I$6:$I$10005,MATCH($B313,①今日の在庫を貼る!$U$6:$U$10005,0)),INDEX(月1回_前回の在庫を貼る!$I$6:$I$10005,MATCH($B313-MAX(①今日の在庫を貼る!$U$6:$U$10005),月1回_前回の在庫を貼る!$U$6:$U$10005,0))),"")</f>
        <v/>
      </c>
      <c r="D313" s="66" t="str">
        <f aca="false">IF($C313="","",IFERROR(INDEX(商品マスタ!$C$6:$C$1005,MATCH($C313,商品マスタ!$B$6:$B$1005,0)),IFERROR(INDEX(①今日の在庫を貼る!$J$6:$J$10005,MATCH($C313,①今日の在庫を貼る!$I$6:$I$10005,0)),IFERROR(INDEX(月1回_前回の在庫を貼る!$J$6:$J$10005,MATCH($C313,月1回_前回の在庫を貼る!$I$6:$I$10005,0)),""))))</f>
        <v/>
      </c>
      <c r="E313" s="66" t="str">
        <f aca="false">IF($C313="","",IFERROR(INDEX(商品マスタ!$D$6:$D$1005,MATCH($C313,商品マスタ!$B$6:$B$1005,0)),IFERROR(INDEX(①今日の在庫を貼る!$H$6:$H$10005,MATCH($C313,①今日の在庫を貼る!$I$6:$I$10005,0)),IFERROR(INDEX(月1回_前回の在庫を貼る!$H$6:$H$10005,MATCH($C313,月1回_前回の在庫を貼る!$I$6:$I$10005,0)),""))))</f>
        <v/>
      </c>
      <c r="F313" s="66" t="str">
        <f aca="false">IF($C313="","",IFERROR(INDEX(商品マスタ!$E$6:$E$1005,MATCH($C313,商品マスタ!$B$6:$B$1005,0)),IFERROR(INDEX(①今日の在庫を貼る!$E$6:$E$10005,MATCH($C313,①今日の在庫を貼る!$I$6:$I$10005,0)),IFERROR(INDEX(月1回_前回の在庫を貼る!$E$6:$E$10005,MATCH($C313,月1回_前回の在庫を貼る!$I$6:$I$10005,0)),""))))</f>
        <v/>
      </c>
      <c r="G313" s="69" t="str">
        <f aca="false">IF($C313="","",IFERROR(INDEX(商品マスタ!$F$6:$F$1005,MATCH($C313,商品マスタ!$B$6:$B$1005,0)),IFERROR(INDEX(①今日の在庫を貼る!$K$6:$K$10005,MATCH($C313,①今日の在庫を貼る!$I$6:$I$10005,0)),IFERROR(INDEX(月1回_前回の在庫を貼る!$K$6:$K$10005,MATCH($C313,月1回_前回の在庫を貼る!$I$6:$I$10005,0)),""))))</f>
        <v/>
      </c>
      <c r="H313" s="71" t="str">
        <f aca="false">IF($C313="","",IFERROR(INDEX(商品マスタ!$G$6:$G$1005,MATCH($C313,商品マスタ!$B$6:$B$1005,0)),IFERROR(INDEX(①今日の在庫を貼る!$Q$6:$Q$10005,MATCH($C313,①今日の在庫を貼る!$I$6:$I$10005,0)),IFERROR(INDEX(月1回_前回の在庫を貼る!$Q$6:$Q$10005,MATCH($C313,月1回_前回の在庫を貼る!$I$6:$I$10005,0)),""))))</f>
        <v/>
      </c>
      <c r="I313" s="66" t="str">
        <f aca="false">IF($C313="","",IFERROR(INDEX(商品マスタ!$H$6:$H$1005,MATCH($C313,商品マスタ!$B$6:$B$1005,0)),3))</f>
        <v/>
      </c>
      <c r="J313" s="66" t="str">
        <f aca="false">IF($C313="","",MAX(1,IFERROR(INDEX(商品マスタ!$I$6:$I$1005,MATCH($C313,商品マスタ!$B$6:$B$1005,0)),1)))</f>
        <v/>
      </c>
      <c r="K313" s="69" t="str">
        <f aca="false">IF($C313="","",SUMIFS(①今日の在庫を貼る!$N$6:$N$10005,①今日の在庫を貼る!$B$6:$B$10005,'設定（最初に1回）'!$C$4,①今日の在庫を貼る!$I$6:$I$10005,$C313))</f>
        <v/>
      </c>
      <c r="L313" s="69" t="str">
        <f aca="false">IF($C313="","",SUMIFS(月1回_前回の在庫を貼る!$N$6:$N$10005,月1回_前回の在庫を貼る!$B$6:$B$10005,'設定（最初に1回）'!$C$4,月1回_前回の在庫を貼る!$I$6:$I$10005,$C313))</f>
        <v/>
      </c>
      <c r="M313" s="69" t="str">
        <f aca="false">IF($C313="","",IF(OR('設定（最初に1回）'!$C$6="",'設定（最初に1回）'!$C$7=""),0,SUMIFS(発注管理!$S$6:$S$1005,発注管理!$C$6:$C$1005,'設定（最初に1回）'!$C$4,発注管理!$F$6:$F$1005,$C313,発注管理!$R$6:$R$1005,"&gt;="&amp;'設定（最初に1回）'!$C$7,発注管理!$R$6:$R$1005,"&lt;="&amp;'設定（最初に1回）'!$C$6)))</f>
        <v/>
      </c>
      <c r="N313" s="69" t="str">
        <f aca="false">IF(OR($C313="",'設定（最初に1回）'!$C$15=0),"",$L313+$M313-$K313)</f>
        <v/>
      </c>
      <c r="O313" s="143" t="str">
        <f aca="false">IF(OR($N313="",'設定（最初に1回）'!$C$8="",'設定（最初に1回）'!$C$8&lt;=0),"",MAX(0,$N313)/'設定（最初に1回）'!$C$8)</f>
        <v/>
      </c>
      <c r="P313" s="143" t="str">
        <f aca="false">IF($C313="","",IFERROR(INDEX(商品マスタ!$M$6:$N$1005,MATCH($C313,商品マスタ!$B$6:$B$1005,0),MATCH("PI値 "&amp;'設定（最初に1回）'!$C$11,商品マスタ!$M$5:$N$5,0)),""))</f>
        <v/>
      </c>
      <c r="Q313" s="143" t="str">
        <f aca="false">IF(OR($C313="",$P313="",$P313=0,(N($I313)+N($AG313))&lt;=0),"",IFERROR(SUMIFS(随時_動員を入れる!$G$8:$G$97,随時_動員を入れる!$B$8:$B$97,"&gt;="&amp;'設定（最初に1回）'!$C$6,随時_動員を入れる!$B$8:$B$97,"&lt;="&amp;'設定（最初に1回）'!$C$6+(N($I313)+N($AG313))-1)/(N($I313)+N($AG313)),0)*$P313/100)</f>
        <v/>
      </c>
      <c r="R313" s="69" t="str">
        <f aca="false">IF($C313="","",SUMIFS(①今日の在庫を貼る!$O$6:$O$10005,①今日の在庫を貼る!$B$6:$B$10005,'設定（最初に1回）'!$C$4,①今日の在庫を貼る!$I$6:$I$10005,$C313))</f>
        <v/>
      </c>
      <c r="S313" s="143" t="str">
        <f aca="false">IF($C313="","",IF('設定（最初に1回）'!$C$9="実績消費",N($O313),IF('設定（最初に1回）'!$C$9="PI値予測",N($Q313),MAX(N($O313),N($Q313)))))</f>
        <v/>
      </c>
      <c r="T313" s="67" t="str">
        <f aca="false">IF(OR($S313="",$S313&lt;=0),"",$K313/$S313)</f>
        <v/>
      </c>
      <c r="U313" s="69" t="str">
        <f aca="false">IF($S313="","",ROUNDUP(N($S313)*'設定（最初に1回）'!$C$12,0))</f>
        <v/>
      </c>
      <c r="V313" s="69" t="str">
        <f aca="false">IF($C313="","",ROUNDUP(N($S313)*(N($I313)+N($AG313))+N($U313),0))</f>
        <v/>
      </c>
      <c r="W313" s="69" t="str">
        <f aca="false">IF($C313="","",SUMIFS(発注管理!$L$6:$L$1005,発注管理!$C$6:$C$1005,'設定（最初に1回）'!$C$4,発注管理!$F$6:$F$1005,$C313,発注管理!$Q$6:$Q$1005,"発注済"))</f>
        <v/>
      </c>
      <c r="X313" s="69" t="str">
        <f aca="false">IF($C313="","",MAX(0,N($V313)-N($K313)-N($W313)))</f>
        <v/>
      </c>
      <c r="Y313" s="147" t="str">
        <f aca="false">IF($C313="","",IF(N($X313)&lt;=0,0,CEILING($X313/MAX(1,N($G313)),MAX(1,N($J313)))))</f>
        <v/>
      </c>
      <c r="Z313" s="138" t="str">
        <f aca="false">IF($C313="","",IF(N($Y313)&gt;0,"要発注","正常"))</f>
        <v/>
      </c>
      <c r="AA313" s="71" t="str">
        <f aca="false">IF($C313="","",N($K313)*N($H313))</f>
        <v/>
      </c>
      <c r="AB313" s="66" t="str">
        <f aca="false">IF($C313="","",_xlfn.TEXTJOIN(" / ",TRUE(),IF(COUNTIF(商品マスタ!$B$6:$B$1005,$C313)=0,"マスタ未登録",""),IF(COUNTIFS(月1回_前回の在庫を貼る!$B$6:$B$10005,'設定（最初に1回）'!$C$4,月1回_前回の在庫を貼る!$I$6:$I$10005,$C313)=0,"新商品",""),IF(COUNTIFS(①今日の在庫を貼る!$B$6:$B$10005,'設定（最初に1回）'!$C$4,①今日の在庫を貼る!$I$6:$I$10005,$C313)=0,"終売候補",""),IF(N($K313)&lt;0,"在庫マイナス",""),IF(AND('設定（最初に1回）'!$C$9="PI値予測",$P313=""),"PI値未設定","")))</f>
        <v/>
      </c>
      <c r="AC313" s="71" t="n">
        <f aca="false">N($Y313)*N($H313)</f>
        <v>0</v>
      </c>
      <c r="AD313" s="66" t="str">
        <f aca="false">IF($C313="","",IFERROR(INDEX(商品マスタ!$K$6:$K$1005,MATCH($C313,商品マスタ!$B$6:$B$1005,0)),"常温"))</f>
        <v/>
      </c>
      <c r="AE313" s="69" t="str">
        <f aca="false">IF($C313="","",MAX(0,ROUNDUP(N($K313)/MAX(1,N($G313)),0)))</f>
        <v/>
      </c>
      <c r="AF313" s="66" t="str">
        <f aca="false">IF($C313="","",IFERROR(INDEX(商品マスタ!$L$6:$L$1005,MATCH($C313,商品マスタ!$B$6:$B$1005,0)),""))</f>
        <v/>
      </c>
      <c r="AG313" s="143" t="str">
        <f aca="false">IF($C313="","",IFERROR(INDEX(定数マスタ!$S$110:$S$119,MATCH($AF313,定数マスタ!$J$110:$J$119,0)),N('設定（最初に1回）'!$C$13)))</f>
        <v/>
      </c>
      <c r="AH313" s="66" t="n">
        <f aca="false">IF(AND(N($K313)&gt;0,N($Y313)&gt;0),N($Y313),0)</f>
        <v>0</v>
      </c>
    </row>
    <row r="314" customFormat="false" ht="15" hidden="false" customHeight="false" outlineLevel="0" collapsed="false">
      <c r="B314" s="66" t="n">
        <v>309</v>
      </c>
      <c r="C314" s="66" t="str">
        <f aca="false">IFERROR(IF($B314&lt;=MAX(①今日の在庫を貼る!$U$6:$U$10005),INDEX(①今日の在庫を貼る!$I$6:$I$10005,MATCH($B314,①今日の在庫を貼る!$U$6:$U$10005,0)),INDEX(月1回_前回の在庫を貼る!$I$6:$I$10005,MATCH($B314-MAX(①今日の在庫を貼る!$U$6:$U$10005),月1回_前回の在庫を貼る!$U$6:$U$10005,0))),"")</f>
        <v/>
      </c>
      <c r="D314" s="66" t="str">
        <f aca="false">IF($C314="","",IFERROR(INDEX(商品マスタ!$C$6:$C$1005,MATCH($C314,商品マスタ!$B$6:$B$1005,0)),IFERROR(INDEX(①今日の在庫を貼る!$J$6:$J$10005,MATCH($C314,①今日の在庫を貼る!$I$6:$I$10005,0)),IFERROR(INDEX(月1回_前回の在庫を貼る!$J$6:$J$10005,MATCH($C314,月1回_前回の在庫を貼る!$I$6:$I$10005,0)),""))))</f>
        <v/>
      </c>
      <c r="E314" s="66" t="str">
        <f aca="false">IF($C314="","",IFERROR(INDEX(商品マスタ!$D$6:$D$1005,MATCH($C314,商品マスタ!$B$6:$B$1005,0)),IFERROR(INDEX(①今日の在庫を貼る!$H$6:$H$10005,MATCH($C314,①今日の在庫を貼る!$I$6:$I$10005,0)),IFERROR(INDEX(月1回_前回の在庫を貼る!$H$6:$H$10005,MATCH($C314,月1回_前回の在庫を貼る!$I$6:$I$10005,0)),""))))</f>
        <v/>
      </c>
      <c r="F314" s="66" t="str">
        <f aca="false">IF($C314="","",IFERROR(INDEX(商品マスタ!$E$6:$E$1005,MATCH($C314,商品マスタ!$B$6:$B$1005,0)),IFERROR(INDEX(①今日の在庫を貼る!$E$6:$E$10005,MATCH($C314,①今日の在庫を貼る!$I$6:$I$10005,0)),IFERROR(INDEX(月1回_前回の在庫を貼る!$E$6:$E$10005,MATCH($C314,月1回_前回の在庫を貼る!$I$6:$I$10005,0)),""))))</f>
        <v/>
      </c>
      <c r="G314" s="69" t="str">
        <f aca="false">IF($C314="","",IFERROR(INDEX(商品マスタ!$F$6:$F$1005,MATCH($C314,商品マスタ!$B$6:$B$1005,0)),IFERROR(INDEX(①今日の在庫を貼る!$K$6:$K$10005,MATCH($C314,①今日の在庫を貼る!$I$6:$I$10005,0)),IFERROR(INDEX(月1回_前回の在庫を貼る!$K$6:$K$10005,MATCH($C314,月1回_前回の在庫を貼る!$I$6:$I$10005,0)),""))))</f>
        <v/>
      </c>
      <c r="H314" s="71" t="str">
        <f aca="false">IF($C314="","",IFERROR(INDEX(商品マスタ!$G$6:$G$1005,MATCH($C314,商品マスタ!$B$6:$B$1005,0)),IFERROR(INDEX(①今日の在庫を貼る!$Q$6:$Q$10005,MATCH($C314,①今日の在庫を貼る!$I$6:$I$10005,0)),IFERROR(INDEX(月1回_前回の在庫を貼る!$Q$6:$Q$10005,MATCH($C314,月1回_前回の在庫を貼る!$I$6:$I$10005,0)),""))))</f>
        <v/>
      </c>
      <c r="I314" s="66" t="str">
        <f aca="false">IF($C314="","",IFERROR(INDEX(商品マスタ!$H$6:$H$1005,MATCH($C314,商品マスタ!$B$6:$B$1005,0)),3))</f>
        <v/>
      </c>
      <c r="J314" s="66" t="str">
        <f aca="false">IF($C314="","",MAX(1,IFERROR(INDEX(商品マスタ!$I$6:$I$1005,MATCH($C314,商品マスタ!$B$6:$B$1005,0)),1)))</f>
        <v/>
      </c>
      <c r="K314" s="69" t="str">
        <f aca="false">IF($C314="","",SUMIFS(①今日の在庫を貼る!$N$6:$N$10005,①今日の在庫を貼る!$B$6:$B$10005,'設定（最初に1回）'!$C$4,①今日の在庫を貼る!$I$6:$I$10005,$C314))</f>
        <v/>
      </c>
      <c r="L314" s="69" t="str">
        <f aca="false">IF($C314="","",SUMIFS(月1回_前回の在庫を貼る!$N$6:$N$10005,月1回_前回の在庫を貼る!$B$6:$B$10005,'設定（最初に1回）'!$C$4,月1回_前回の在庫を貼る!$I$6:$I$10005,$C314))</f>
        <v/>
      </c>
      <c r="M314" s="69" t="str">
        <f aca="false">IF($C314="","",IF(OR('設定（最初に1回）'!$C$6="",'設定（最初に1回）'!$C$7=""),0,SUMIFS(発注管理!$S$6:$S$1005,発注管理!$C$6:$C$1005,'設定（最初に1回）'!$C$4,発注管理!$F$6:$F$1005,$C314,発注管理!$R$6:$R$1005,"&gt;="&amp;'設定（最初に1回）'!$C$7,発注管理!$R$6:$R$1005,"&lt;="&amp;'設定（最初に1回）'!$C$6)))</f>
        <v/>
      </c>
      <c r="N314" s="69" t="str">
        <f aca="false">IF(OR($C314="",'設定（最初に1回）'!$C$15=0),"",$L314+$M314-$K314)</f>
        <v/>
      </c>
      <c r="O314" s="143" t="str">
        <f aca="false">IF(OR($N314="",'設定（最初に1回）'!$C$8="",'設定（最初に1回）'!$C$8&lt;=0),"",MAX(0,$N314)/'設定（最初に1回）'!$C$8)</f>
        <v/>
      </c>
      <c r="P314" s="143" t="str">
        <f aca="false">IF($C314="","",IFERROR(INDEX(商品マスタ!$M$6:$N$1005,MATCH($C314,商品マスタ!$B$6:$B$1005,0),MATCH("PI値 "&amp;'設定（最初に1回）'!$C$11,商品マスタ!$M$5:$N$5,0)),""))</f>
        <v/>
      </c>
      <c r="Q314" s="143" t="str">
        <f aca="false">IF(OR($C314="",$P314="",$P314=0,(N($I314)+N($AG314))&lt;=0),"",IFERROR(SUMIFS(随時_動員を入れる!$G$8:$G$97,随時_動員を入れる!$B$8:$B$97,"&gt;="&amp;'設定（最初に1回）'!$C$6,随時_動員を入れる!$B$8:$B$97,"&lt;="&amp;'設定（最初に1回）'!$C$6+(N($I314)+N($AG314))-1)/(N($I314)+N($AG314)),0)*$P314/100)</f>
        <v/>
      </c>
      <c r="R314" s="69" t="str">
        <f aca="false">IF($C314="","",SUMIFS(①今日の在庫を貼る!$O$6:$O$10005,①今日の在庫を貼る!$B$6:$B$10005,'設定（最初に1回）'!$C$4,①今日の在庫を貼る!$I$6:$I$10005,$C314))</f>
        <v/>
      </c>
      <c r="S314" s="143" t="str">
        <f aca="false">IF($C314="","",IF('設定（最初に1回）'!$C$9="実績消費",N($O314),IF('設定（最初に1回）'!$C$9="PI値予測",N($Q314),MAX(N($O314),N($Q314)))))</f>
        <v/>
      </c>
      <c r="T314" s="67" t="str">
        <f aca="false">IF(OR($S314="",$S314&lt;=0),"",$K314/$S314)</f>
        <v/>
      </c>
      <c r="U314" s="69" t="str">
        <f aca="false">IF($S314="","",ROUNDUP(N($S314)*'設定（最初に1回）'!$C$12,0))</f>
        <v/>
      </c>
      <c r="V314" s="69" t="str">
        <f aca="false">IF($C314="","",ROUNDUP(N($S314)*(N($I314)+N($AG314))+N($U314),0))</f>
        <v/>
      </c>
      <c r="W314" s="69" t="str">
        <f aca="false">IF($C314="","",SUMIFS(発注管理!$L$6:$L$1005,発注管理!$C$6:$C$1005,'設定（最初に1回）'!$C$4,発注管理!$F$6:$F$1005,$C314,発注管理!$Q$6:$Q$1005,"発注済"))</f>
        <v/>
      </c>
      <c r="X314" s="69" t="str">
        <f aca="false">IF($C314="","",MAX(0,N($V314)-N($K314)-N($W314)))</f>
        <v/>
      </c>
      <c r="Y314" s="147" t="str">
        <f aca="false">IF($C314="","",IF(N($X314)&lt;=0,0,CEILING($X314/MAX(1,N($G314)),MAX(1,N($J314)))))</f>
        <v/>
      </c>
      <c r="Z314" s="138" t="str">
        <f aca="false">IF($C314="","",IF(N($Y314)&gt;0,"要発注","正常"))</f>
        <v/>
      </c>
      <c r="AA314" s="71" t="str">
        <f aca="false">IF($C314="","",N($K314)*N($H314))</f>
        <v/>
      </c>
      <c r="AB314" s="66" t="str">
        <f aca="false">IF($C314="","",_xlfn.TEXTJOIN(" / ",TRUE(),IF(COUNTIF(商品マスタ!$B$6:$B$1005,$C314)=0,"マスタ未登録",""),IF(COUNTIFS(月1回_前回の在庫を貼る!$B$6:$B$10005,'設定（最初に1回）'!$C$4,月1回_前回の在庫を貼る!$I$6:$I$10005,$C314)=0,"新商品",""),IF(COUNTIFS(①今日の在庫を貼る!$B$6:$B$10005,'設定（最初に1回）'!$C$4,①今日の在庫を貼る!$I$6:$I$10005,$C314)=0,"終売候補",""),IF(N($K314)&lt;0,"在庫マイナス",""),IF(AND('設定（最初に1回）'!$C$9="PI値予測",$P314=""),"PI値未設定","")))</f>
        <v/>
      </c>
      <c r="AC314" s="71" t="n">
        <f aca="false">N($Y314)*N($H314)</f>
        <v>0</v>
      </c>
      <c r="AD314" s="66" t="str">
        <f aca="false">IF($C314="","",IFERROR(INDEX(商品マスタ!$K$6:$K$1005,MATCH($C314,商品マスタ!$B$6:$B$1005,0)),"常温"))</f>
        <v/>
      </c>
      <c r="AE314" s="69" t="str">
        <f aca="false">IF($C314="","",MAX(0,ROUNDUP(N($K314)/MAX(1,N($G314)),0)))</f>
        <v/>
      </c>
      <c r="AF314" s="66" t="str">
        <f aca="false">IF($C314="","",IFERROR(INDEX(商品マスタ!$L$6:$L$1005,MATCH($C314,商品マスタ!$B$6:$B$1005,0)),""))</f>
        <v/>
      </c>
      <c r="AG314" s="143" t="str">
        <f aca="false">IF($C314="","",IFERROR(INDEX(定数マスタ!$S$110:$S$119,MATCH($AF314,定数マスタ!$J$110:$J$119,0)),N('設定（最初に1回）'!$C$13)))</f>
        <v/>
      </c>
      <c r="AH314" s="66" t="n">
        <f aca="false">IF(AND(N($K314)&gt;0,N($Y314)&gt;0),N($Y314),0)</f>
        <v>0</v>
      </c>
    </row>
    <row r="315" customFormat="false" ht="15" hidden="false" customHeight="false" outlineLevel="0" collapsed="false">
      <c r="B315" s="66" t="n">
        <v>310</v>
      </c>
      <c r="C315" s="66" t="str">
        <f aca="false">IFERROR(IF($B315&lt;=MAX(①今日の在庫を貼る!$U$6:$U$10005),INDEX(①今日の在庫を貼る!$I$6:$I$10005,MATCH($B315,①今日の在庫を貼る!$U$6:$U$10005,0)),INDEX(月1回_前回の在庫を貼る!$I$6:$I$10005,MATCH($B315-MAX(①今日の在庫を貼る!$U$6:$U$10005),月1回_前回の在庫を貼る!$U$6:$U$10005,0))),"")</f>
        <v/>
      </c>
      <c r="D315" s="66" t="str">
        <f aca="false">IF($C315="","",IFERROR(INDEX(商品マスタ!$C$6:$C$1005,MATCH($C315,商品マスタ!$B$6:$B$1005,0)),IFERROR(INDEX(①今日の在庫を貼る!$J$6:$J$10005,MATCH($C315,①今日の在庫を貼る!$I$6:$I$10005,0)),IFERROR(INDEX(月1回_前回の在庫を貼る!$J$6:$J$10005,MATCH($C315,月1回_前回の在庫を貼る!$I$6:$I$10005,0)),""))))</f>
        <v/>
      </c>
      <c r="E315" s="66" t="str">
        <f aca="false">IF($C315="","",IFERROR(INDEX(商品マスタ!$D$6:$D$1005,MATCH($C315,商品マスタ!$B$6:$B$1005,0)),IFERROR(INDEX(①今日の在庫を貼る!$H$6:$H$10005,MATCH($C315,①今日の在庫を貼る!$I$6:$I$10005,0)),IFERROR(INDEX(月1回_前回の在庫を貼る!$H$6:$H$10005,MATCH($C315,月1回_前回の在庫を貼る!$I$6:$I$10005,0)),""))))</f>
        <v/>
      </c>
      <c r="F315" s="66" t="str">
        <f aca="false">IF($C315="","",IFERROR(INDEX(商品マスタ!$E$6:$E$1005,MATCH($C315,商品マスタ!$B$6:$B$1005,0)),IFERROR(INDEX(①今日の在庫を貼る!$E$6:$E$10005,MATCH($C315,①今日の在庫を貼る!$I$6:$I$10005,0)),IFERROR(INDEX(月1回_前回の在庫を貼る!$E$6:$E$10005,MATCH($C315,月1回_前回の在庫を貼る!$I$6:$I$10005,0)),""))))</f>
        <v/>
      </c>
      <c r="G315" s="69" t="str">
        <f aca="false">IF($C315="","",IFERROR(INDEX(商品マスタ!$F$6:$F$1005,MATCH($C315,商品マスタ!$B$6:$B$1005,0)),IFERROR(INDEX(①今日の在庫を貼る!$K$6:$K$10005,MATCH($C315,①今日の在庫を貼る!$I$6:$I$10005,0)),IFERROR(INDEX(月1回_前回の在庫を貼る!$K$6:$K$10005,MATCH($C315,月1回_前回の在庫を貼る!$I$6:$I$10005,0)),""))))</f>
        <v/>
      </c>
      <c r="H315" s="71" t="str">
        <f aca="false">IF($C315="","",IFERROR(INDEX(商品マスタ!$G$6:$G$1005,MATCH($C315,商品マスタ!$B$6:$B$1005,0)),IFERROR(INDEX(①今日の在庫を貼る!$Q$6:$Q$10005,MATCH($C315,①今日の在庫を貼る!$I$6:$I$10005,0)),IFERROR(INDEX(月1回_前回の在庫を貼る!$Q$6:$Q$10005,MATCH($C315,月1回_前回の在庫を貼る!$I$6:$I$10005,0)),""))))</f>
        <v/>
      </c>
      <c r="I315" s="66" t="str">
        <f aca="false">IF($C315="","",IFERROR(INDEX(商品マスタ!$H$6:$H$1005,MATCH($C315,商品マスタ!$B$6:$B$1005,0)),3))</f>
        <v/>
      </c>
      <c r="J315" s="66" t="str">
        <f aca="false">IF($C315="","",MAX(1,IFERROR(INDEX(商品マスタ!$I$6:$I$1005,MATCH($C315,商品マスタ!$B$6:$B$1005,0)),1)))</f>
        <v/>
      </c>
      <c r="K315" s="69" t="str">
        <f aca="false">IF($C315="","",SUMIFS(①今日の在庫を貼る!$N$6:$N$10005,①今日の在庫を貼る!$B$6:$B$10005,'設定（最初に1回）'!$C$4,①今日の在庫を貼る!$I$6:$I$10005,$C315))</f>
        <v/>
      </c>
      <c r="L315" s="69" t="str">
        <f aca="false">IF($C315="","",SUMIFS(月1回_前回の在庫を貼る!$N$6:$N$10005,月1回_前回の在庫を貼る!$B$6:$B$10005,'設定（最初に1回）'!$C$4,月1回_前回の在庫を貼る!$I$6:$I$10005,$C315))</f>
        <v/>
      </c>
      <c r="M315" s="69" t="str">
        <f aca="false">IF($C315="","",IF(OR('設定（最初に1回）'!$C$6="",'設定（最初に1回）'!$C$7=""),0,SUMIFS(発注管理!$S$6:$S$1005,発注管理!$C$6:$C$1005,'設定（最初に1回）'!$C$4,発注管理!$F$6:$F$1005,$C315,発注管理!$R$6:$R$1005,"&gt;="&amp;'設定（最初に1回）'!$C$7,発注管理!$R$6:$R$1005,"&lt;="&amp;'設定（最初に1回）'!$C$6)))</f>
        <v/>
      </c>
      <c r="N315" s="69" t="str">
        <f aca="false">IF(OR($C315="",'設定（最初に1回）'!$C$15=0),"",$L315+$M315-$K315)</f>
        <v/>
      </c>
      <c r="O315" s="143" t="str">
        <f aca="false">IF(OR($N315="",'設定（最初に1回）'!$C$8="",'設定（最初に1回）'!$C$8&lt;=0),"",MAX(0,$N315)/'設定（最初に1回）'!$C$8)</f>
        <v/>
      </c>
      <c r="P315" s="143" t="str">
        <f aca="false">IF($C315="","",IFERROR(INDEX(商品マスタ!$M$6:$N$1005,MATCH($C315,商品マスタ!$B$6:$B$1005,0),MATCH("PI値 "&amp;'設定（最初に1回）'!$C$11,商品マスタ!$M$5:$N$5,0)),""))</f>
        <v/>
      </c>
      <c r="Q315" s="143" t="str">
        <f aca="false">IF(OR($C315="",$P315="",$P315=0,(N($I315)+N($AG315))&lt;=0),"",IFERROR(SUMIFS(随時_動員を入れる!$G$8:$G$97,随時_動員を入れる!$B$8:$B$97,"&gt;="&amp;'設定（最初に1回）'!$C$6,随時_動員を入れる!$B$8:$B$97,"&lt;="&amp;'設定（最初に1回）'!$C$6+(N($I315)+N($AG315))-1)/(N($I315)+N($AG315)),0)*$P315/100)</f>
        <v/>
      </c>
      <c r="R315" s="69" t="str">
        <f aca="false">IF($C315="","",SUMIFS(①今日の在庫を貼る!$O$6:$O$10005,①今日の在庫を貼る!$B$6:$B$10005,'設定（最初に1回）'!$C$4,①今日の在庫を貼る!$I$6:$I$10005,$C315))</f>
        <v/>
      </c>
      <c r="S315" s="143" t="str">
        <f aca="false">IF($C315="","",IF('設定（最初に1回）'!$C$9="実績消費",N($O315),IF('設定（最初に1回）'!$C$9="PI値予測",N($Q315),MAX(N($O315),N($Q315)))))</f>
        <v/>
      </c>
      <c r="T315" s="67" t="str">
        <f aca="false">IF(OR($S315="",$S315&lt;=0),"",$K315/$S315)</f>
        <v/>
      </c>
      <c r="U315" s="69" t="str">
        <f aca="false">IF($S315="","",ROUNDUP(N($S315)*'設定（最初に1回）'!$C$12,0))</f>
        <v/>
      </c>
      <c r="V315" s="69" t="str">
        <f aca="false">IF($C315="","",ROUNDUP(N($S315)*(N($I315)+N($AG315))+N($U315),0))</f>
        <v/>
      </c>
      <c r="W315" s="69" t="str">
        <f aca="false">IF($C315="","",SUMIFS(発注管理!$L$6:$L$1005,発注管理!$C$6:$C$1005,'設定（最初に1回）'!$C$4,発注管理!$F$6:$F$1005,$C315,発注管理!$Q$6:$Q$1005,"発注済"))</f>
        <v/>
      </c>
      <c r="X315" s="69" t="str">
        <f aca="false">IF($C315="","",MAX(0,N($V315)-N($K315)-N($W315)))</f>
        <v/>
      </c>
      <c r="Y315" s="147" t="str">
        <f aca="false">IF($C315="","",IF(N($X315)&lt;=0,0,CEILING($X315/MAX(1,N($G315)),MAX(1,N($J315)))))</f>
        <v/>
      </c>
      <c r="Z315" s="138" t="str">
        <f aca="false">IF($C315="","",IF(N($Y315)&gt;0,"要発注","正常"))</f>
        <v/>
      </c>
      <c r="AA315" s="71" t="str">
        <f aca="false">IF($C315="","",N($K315)*N($H315))</f>
        <v/>
      </c>
      <c r="AB315" s="66" t="str">
        <f aca="false">IF($C315="","",_xlfn.TEXTJOIN(" / ",TRUE(),IF(COUNTIF(商品マスタ!$B$6:$B$1005,$C315)=0,"マスタ未登録",""),IF(COUNTIFS(月1回_前回の在庫を貼る!$B$6:$B$10005,'設定（最初に1回）'!$C$4,月1回_前回の在庫を貼る!$I$6:$I$10005,$C315)=0,"新商品",""),IF(COUNTIFS(①今日の在庫を貼る!$B$6:$B$10005,'設定（最初に1回）'!$C$4,①今日の在庫を貼る!$I$6:$I$10005,$C315)=0,"終売候補",""),IF(N($K315)&lt;0,"在庫マイナス",""),IF(AND('設定（最初に1回）'!$C$9="PI値予測",$P315=""),"PI値未設定","")))</f>
        <v/>
      </c>
      <c r="AC315" s="71" t="n">
        <f aca="false">N($Y315)*N($H315)</f>
        <v>0</v>
      </c>
      <c r="AD315" s="66" t="str">
        <f aca="false">IF($C315="","",IFERROR(INDEX(商品マスタ!$K$6:$K$1005,MATCH($C315,商品マスタ!$B$6:$B$1005,0)),"常温"))</f>
        <v/>
      </c>
      <c r="AE315" s="69" t="str">
        <f aca="false">IF($C315="","",MAX(0,ROUNDUP(N($K315)/MAX(1,N($G315)),0)))</f>
        <v/>
      </c>
      <c r="AF315" s="66" t="str">
        <f aca="false">IF($C315="","",IFERROR(INDEX(商品マスタ!$L$6:$L$1005,MATCH($C315,商品マスタ!$B$6:$B$1005,0)),""))</f>
        <v/>
      </c>
      <c r="AG315" s="143" t="str">
        <f aca="false">IF($C315="","",IFERROR(INDEX(定数マスタ!$S$110:$S$119,MATCH($AF315,定数マスタ!$J$110:$J$119,0)),N('設定（最初に1回）'!$C$13)))</f>
        <v/>
      </c>
      <c r="AH315" s="66" t="n">
        <f aca="false">IF(AND(N($K315)&gt;0,N($Y315)&gt;0),N($Y315),0)</f>
        <v>0</v>
      </c>
    </row>
    <row r="316" customFormat="false" ht="15" hidden="false" customHeight="false" outlineLevel="0" collapsed="false">
      <c r="B316" s="66" t="n">
        <v>311</v>
      </c>
      <c r="C316" s="66" t="str">
        <f aca="false">IFERROR(IF($B316&lt;=MAX(①今日の在庫を貼る!$U$6:$U$10005),INDEX(①今日の在庫を貼る!$I$6:$I$10005,MATCH($B316,①今日の在庫を貼る!$U$6:$U$10005,0)),INDEX(月1回_前回の在庫を貼る!$I$6:$I$10005,MATCH($B316-MAX(①今日の在庫を貼る!$U$6:$U$10005),月1回_前回の在庫を貼る!$U$6:$U$10005,0))),"")</f>
        <v/>
      </c>
      <c r="D316" s="66" t="str">
        <f aca="false">IF($C316="","",IFERROR(INDEX(商品マスタ!$C$6:$C$1005,MATCH($C316,商品マスタ!$B$6:$B$1005,0)),IFERROR(INDEX(①今日の在庫を貼る!$J$6:$J$10005,MATCH($C316,①今日の在庫を貼る!$I$6:$I$10005,0)),IFERROR(INDEX(月1回_前回の在庫を貼る!$J$6:$J$10005,MATCH($C316,月1回_前回の在庫を貼る!$I$6:$I$10005,0)),""))))</f>
        <v/>
      </c>
      <c r="E316" s="66" t="str">
        <f aca="false">IF($C316="","",IFERROR(INDEX(商品マスタ!$D$6:$D$1005,MATCH($C316,商品マスタ!$B$6:$B$1005,0)),IFERROR(INDEX(①今日の在庫を貼る!$H$6:$H$10005,MATCH($C316,①今日の在庫を貼る!$I$6:$I$10005,0)),IFERROR(INDEX(月1回_前回の在庫を貼る!$H$6:$H$10005,MATCH($C316,月1回_前回の在庫を貼る!$I$6:$I$10005,0)),""))))</f>
        <v/>
      </c>
      <c r="F316" s="66" t="str">
        <f aca="false">IF($C316="","",IFERROR(INDEX(商品マスタ!$E$6:$E$1005,MATCH($C316,商品マスタ!$B$6:$B$1005,0)),IFERROR(INDEX(①今日の在庫を貼る!$E$6:$E$10005,MATCH($C316,①今日の在庫を貼る!$I$6:$I$10005,0)),IFERROR(INDEX(月1回_前回の在庫を貼る!$E$6:$E$10005,MATCH($C316,月1回_前回の在庫を貼る!$I$6:$I$10005,0)),""))))</f>
        <v/>
      </c>
      <c r="G316" s="69" t="str">
        <f aca="false">IF($C316="","",IFERROR(INDEX(商品マスタ!$F$6:$F$1005,MATCH($C316,商品マスタ!$B$6:$B$1005,0)),IFERROR(INDEX(①今日の在庫を貼る!$K$6:$K$10005,MATCH($C316,①今日の在庫を貼る!$I$6:$I$10005,0)),IFERROR(INDEX(月1回_前回の在庫を貼る!$K$6:$K$10005,MATCH($C316,月1回_前回の在庫を貼る!$I$6:$I$10005,0)),""))))</f>
        <v/>
      </c>
      <c r="H316" s="71" t="str">
        <f aca="false">IF($C316="","",IFERROR(INDEX(商品マスタ!$G$6:$G$1005,MATCH($C316,商品マスタ!$B$6:$B$1005,0)),IFERROR(INDEX(①今日の在庫を貼る!$Q$6:$Q$10005,MATCH($C316,①今日の在庫を貼る!$I$6:$I$10005,0)),IFERROR(INDEX(月1回_前回の在庫を貼る!$Q$6:$Q$10005,MATCH($C316,月1回_前回の在庫を貼る!$I$6:$I$10005,0)),""))))</f>
        <v/>
      </c>
      <c r="I316" s="66" t="str">
        <f aca="false">IF($C316="","",IFERROR(INDEX(商品マスタ!$H$6:$H$1005,MATCH($C316,商品マスタ!$B$6:$B$1005,0)),3))</f>
        <v/>
      </c>
      <c r="J316" s="66" t="str">
        <f aca="false">IF($C316="","",MAX(1,IFERROR(INDEX(商品マスタ!$I$6:$I$1005,MATCH($C316,商品マスタ!$B$6:$B$1005,0)),1)))</f>
        <v/>
      </c>
      <c r="K316" s="69" t="str">
        <f aca="false">IF($C316="","",SUMIFS(①今日の在庫を貼る!$N$6:$N$10005,①今日の在庫を貼る!$B$6:$B$10005,'設定（最初に1回）'!$C$4,①今日の在庫を貼る!$I$6:$I$10005,$C316))</f>
        <v/>
      </c>
      <c r="L316" s="69" t="str">
        <f aca="false">IF($C316="","",SUMIFS(月1回_前回の在庫を貼る!$N$6:$N$10005,月1回_前回の在庫を貼る!$B$6:$B$10005,'設定（最初に1回）'!$C$4,月1回_前回の在庫を貼る!$I$6:$I$10005,$C316))</f>
        <v/>
      </c>
      <c r="M316" s="69" t="str">
        <f aca="false">IF($C316="","",IF(OR('設定（最初に1回）'!$C$6="",'設定（最初に1回）'!$C$7=""),0,SUMIFS(発注管理!$S$6:$S$1005,発注管理!$C$6:$C$1005,'設定（最初に1回）'!$C$4,発注管理!$F$6:$F$1005,$C316,発注管理!$R$6:$R$1005,"&gt;="&amp;'設定（最初に1回）'!$C$7,発注管理!$R$6:$R$1005,"&lt;="&amp;'設定（最初に1回）'!$C$6)))</f>
        <v/>
      </c>
      <c r="N316" s="69" t="str">
        <f aca="false">IF(OR($C316="",'設定（最初に1回）'!$C$15=0),"",$L316+$M316-$K316)</f>
        <v/>
      </c>
      <c r="O316" s="143" t="str">
        <f aca="false">IF(OR($N316="",'設定（最初に1回）'!$C$8="",'設定（最初に1回）'!$C$8&lt;=0),"",MAX(0,$N316)/'設定（最初に1回）'!$C$8)</f>
        <v/>
      </c>
      <c r="P316" s="143" t="str">
        <f aca="false">IF($C316="","",IFERROR(INDEX(商品マスタ!$M$6:$N$1005,MATCH($C316,商品マスタ!$B$6:$B$1005,0),MATCH("PI値 "&amp;'設定（最初に1回）'!$C$11,商品マスタ!$M$5:$N$5,0)),""))</f>
        <v/>
      </c>
      <c r="Q316" s="143" t="str">
        <f aca="false">IF(OR($C316="",$P316="",$P316=0,(N($I316)+N($AG316))&lt;=0),"",IFERROR(SUMIFS(随時_動員を入れる!$G$8:$G$97,随時_動員を入れる!$B$8:$B$97,"&gt;="&amp;'設定（最初に1回）'!$C$6,随時_動員を入れる!$B$8:$B$97,"&lt;="&amp;'設定（最初に1回）'!$C$6+(N($I316)+N($AG316))-1)/(N($I316)+N($AG316)),0)*$P316/100)</f>
        <v/>
      </c>
      <c r="R316" s="69" t="str">
        <f aca="false">IF($C316="","",SUMIFS(①今日の在庫を貼る!$O$6:$O$10005,①今日の在庫を貼る!$B$6:$B$10005,'設定（最初に1回）'!$C$4,①今日の在庫を貼る!$I$6:$I$10005,$C316))</f>
        <v/>
      </c>
      <c r="S316" s="143" t="str">
        <f aca="false">IF($C316="","",IF('設定（最初に1回）'!$C$9="実績消費",N($O316),IF('設定（最初に1回）'!$C$9="PI値予測",N($Q316),MAX(N($O316),N($Q316)))))</f>
        <v/>
      </c>
      <c r="T316" s="67" t="str">
        <f aca="false">IF(OR($S316="",$S316&lt;=0),"",$K316/$S316)</f>
        <v/>
      </c>
      <c r="U316" s="69" t="str">
        <f aca="false">IF($S316="","",ROUNDUP(N($S316)*'設定（最初に1回）'!$C$12,0))</f>
        <v/>
      </c>
      <c r="V316" s="69" t="str">
        <f aca="false">IF($C316="","",ROUNDUP(N($S316)*(N($I316)+N($AG316))+N($U316),0))</f>
        <v/>
      </c>
      <c r="W316" s="69" t="str">
        <f aca="false">IF($C316="","",SUMIFS(発注管理!$L$6:$L$1005,発注管理!$C$6:$C$1005,'設定（最初に1回）'!$C$4,発注管理!$F$6:$F$1005,$C316,発注管理!$Q$6:$Q$1005,"発注済"))</f>
        <v/>
      </c>
      <c r="X316" s="69" t="str">
        <f aca="false">IF($C316="","",MAX(0,N($V316)-N($K316)-N($W316)))</f>
        <v/>
      </c>
      <c r="Y316" s="147" t="str">
        <f aca="false">IF($C316="","",IF(N($X316)&lt;=0,0,CEILING($X316/MAX(1,N($G316)),MAX(1,N($J316)))))</f>
        <v/>
      </c>
      <c r="Z316" s="138" t="str">
        <f aca="false">IF($C316="","",IF(N($Y316)&gt;0,"要発注","正常"))</f>
        <v/>
      </c>
      <c r="AA316" s="71" t="str">
        <f aca="false">IF($C316="","",N($K316)*N($H316))</f>
        <v/>
      </c>
      <c r="AB316" s="66" t="str">
        <f aca="false">IF($C316="","",_xlfn.TEXTJOIN(" / ",TRUE(),IF(COUNTIF(商品マスタ!$B$6:$B$1005,$C316)=0,"マスタ未登録",""),IF(COUNTIFS(月1回_前回の在庫を貼る!$B$6:$B$10005,'設定（最初に1回）'!$C$4,月1回_前回の在庫を貼る!$I$6:$I$10005,$C316)=0,"新商品",""),IF(COUNTIFS(①今日の在庫を貼る!$B$6:$B$10005,'設定（最初に1回）'!$C$4,①今日の在庫を貼る!$I$6:$I$10005,$C316)=0,"終売候補",""),IF(N($K316)&lt;0,"在庫マイナス",""),IF(AND('設定（最初に1回）'!$C$9="PI値予測",$P316=""),"PI値未設定","")))</f>
        <v/>
      </c>
      <c r="AC316" s="71" t="n">
        <f aca="false">N($Y316)*N($H316)</f>
        <v>0</v>
      </c>
      <c r="AD316" s="66" t="str">
        <f aca="false">IF($C316="","",IFERROR(INDEX(商品マスタ!$K$6:$K$1005,MATCH($C316,商品マスタ!$B$6:$B$1005,0)),"常温"))</f>
        <v/>
      </c>
      <c r="AE316" s="69" t="str">
        <f aca="false">IF($C316="","",MAX(0,ROUNDUP(N($K316)/MAX(1,N($G316)),0)))</f>
        <v/>
      </c>
      <c r="AF316" s="66" t="str">
        <f aca="false">IF($C316="","",IFERROR(INDEX(商品マスタ!$L$6:$L$1005,MATCH($C316,商品マスタ!$B$6:$B$1005,0)),""))</f>
        <v/>
      </c>
      <c r="AG316" s="143" t="str">
        <f aca="false">IF($C316="","",IFERROR(INDEX(定数マスタ!$S$110:$S$119,MATCH($AF316,定数マスタ!$J$110:$J$119,0)),N('設定（最初に1回）'!$C$13)))</f>
        <v/>
      </c>
      <c r="AH316" s="66" t="n">
        <f aca="false">IF(AND(N($K316)&gt;0,N($Y316)&gt;0),N($Y316),0)</f>
        <v>0</v>
      </c>
    </row>
    <row r="317" customFormat="false" ht="15" hidden="false" customHeight="false" outlineLevel="0" collapsed="false">
      <c r="B317" s="66" t="n">
        <v>312</v>
      </c>
      <c r="C317" s="66" t="str">
        <f aca="false">IFERROR(IF($B317&lt;=MAX(①今日の在庫を貼る!$U$6:$U$10005),INDEX(①今日の在庫を貼る!$I$6:$I$10005,MATCH($B317,①今日の在庫を貼る!$U$6:$U$10005,0)),INDEX(月1回_前回の在庫を貼る!$I$6:$I$10005,MATCH($B317-MAX(①今日の在庫を貼る!$U$6:$U$10005),月1回_前回の在庫を貼る!$U$6:$U$10005,0))),"")</f>
        <v/>
      </c>
      <c r="D317" s="66" t="str">
        <f aca="false">IF($C317="","",IFERROR(INDEX(商品マスタ!$C$6:$C$1005,MATCH($C317,商品マスタ!$B$6:$B$1005,0)),IFERROR(INDEX(①今日の在庫を貼る!$J$6:$J$10005,MATCH($C317,①今日の在庫を貼る!$I$6:$I$10005,0)),IFERROR(INDEX(月1回_前回の在庫を貼る!$J$6:$J$10005,MATCH($C317,月1回_前回の在庫を貼る!$I$6:$I$10005,0)),""))))</f>
        <v/>
      </c>
      <c r="E317" s="66" t="str">
        <f aca="false">IF($C317="","",IFERROR(INDEX(商品マスタ!$D$6:$D$1005,MATCH($C317,商品マスタ!$B$6:$B$1005,0)),IFERROR(INDEX(①今日の在庫を貼る!$H$6:$H$10005,MATCH($C317,①今日の在庫を貼る!$I$6:$I$10005,0)),IFERROR(INDEX(月1回_前回の在庫を貼る!$H$6:$H$10005,MATCH($C317,月1回_前回の在庫を貼る!$I$6:$I$10005,0)),""))))</f>
        <v/>
      </c>
      <c r="F317" s="66" t="str">
        <f aca="false">IF($C317="","",IFERROR(INDEX(商品マスタ!$E$6:$E$1005,MATCH($C317,商品マスタ!$B$6:$B$1005,0)),IFERROR(INDEX(①今日の在庫を貼る!$E$6:$E$10005,MATCH($C317,①今日の在庫を貼る!$I$6:$I$10005,0)),IFERROR(INDEX(月1回_前回の在庫を貼る!$E$6:$E$10005,MATCH($C317,月1回_前回の在庫を貼る!$I$6:$I$10005,0)),""))))</f>
        <v/>
      </c>
      <c r="G317" s="69" t="str">
        <f aca="false">IF($C317="","",IFERROR(INDEX(商品マスタ!$F$6:$F$1005,MATCH($C317,商品マスタ!$B$6:$B$1005,0)),IFERROR(INDEX(①今日の在庫を貼る!$K$6:$K$10005,MATCH($C317,①今日の在庫を貼る!$I$6:$I$10005,0)),IFERROR(INDEX(月1回_前回の在庫を貼る!$K$6:$K$10005,MATCH($C317,月1回_前回の在庫を貼る!$I$6:$I$10005,0)),""))))</f>
        <v/>
      </c>
      <c r="H317" s="71" t="str">
        <f aca="false">IF($C317="","",IFERROR(INDEX(商品マスタ!$G$6:$G$1005,MATCH($C317,商品マスタ!$B$6:$B$1005,0)),IFERROR(INDEX(①今日の在庫を貼る!$Q$6:$Q$10005,MATCH($C317,①今日の在庫を貼る!$I$6:$I$10005,0)),IFERROR(INDEX(月1回_前回の在庫を貼る!$Q$6:$Q$10005,MATCH($C317,月1回_前回の在庫を貼る!$I$6:$I$10005,0)),""))))</f>
        <v/>
      </c>
      <c r="I317" s="66" t="str">
        <f aca="false">IF($C317="","",IFERROR(INDEX(商品マスタ!$H$6:$H$1005,MATCH($C317,商品マスタ!$B$6:$B$1005,0)),3))</f>
        <v/>
      </c>
      <c r="J317" s="66" t="str">
        <f aca="false">IF($C317="","",MAX(1,IFERROR(INDEX(商品マスタ!$I$6:$I$1005,MATCH($C317,商品マスタ!$B$6:$B$1005,0)),1)))</f>
        <v/>
      </c>
      <c r="K317" s="69" t="str">
        <f aca="false">IF($C317="","",SUMIFS(①今日の在庫を貼る!$N$6:$N$10005,①今日の在庫を貼る!$B$6:$B$10005,'設定（最初に1回）'!$C$4,①今日の在庫を貼る!$I$6:$I$10005,$C317))</f>
        <v/>
      </c>
      <c r="L317" s="69" t="str">
        <f aca="false">IF($C317="","",SUMIFS(月1回_前回の在庫を貼る!$N$6:$N$10005,月1回_前回の在庫を貼る!$B$6:$B$10005,'設定（最初に1回）'!$C$4,月1回_前回の在庫を貼る!$I$6:$I$10005,$C317))</f>
        <v/>
      </c>
      <c r="M317" s="69" t="str">
        <f aca="false">IF($C317="","",IF(OR('設定（最初に1回）'!$C$6="",'設定（最初に1回）'!$C$7=""),0,SUMIFS(発注管理!$S$6:$S$1005,発注管理!$C$6:$C$1005,'設定（最初に1回）'!$C$4,発注管理!$F$6:$F$1005,$C317,発注管理!$R$6:$R$1005,"&gt;="&amp;'設定（最初に1回）'!$C$7,発注管理!$R$6:$R$1005,"&lt;="&amp;'設定（最初に1回）'!$C$6)))</f>
        <v/>
      </c>
      <c r="N317" s="69" t="str">
        <f aca="false">IF(OR($C317="",'設定（最初に1回）'!$C$15=0),"",$L317+$M317-$K317)</f>
        <v/>
      </c>
      <c r="O317" s="143" t="str">
        <f aca="false">IF(OR($N317="",'設定（最初に1回）'!$C$8="",'設定（最初に1回）'!$C$8&lt;=0),"",MAX(0,$N317)/'設定（最初に1回）'!$C$8)</f>
        <v/>
      </c>
      <c r="P317" s="143" t="str">
        <f aca="false">IF($C317="","",IFERROR(INDEX(商品マスタ!$M$6:$N$1005,MATCH($C317,商品マスタ!$B$6:$B$1005,0),MATCH("PI値 "&amp;'設定（最初に1回）'!$C$11,商品マスタ!$M$5:$N$5,0)),""))</f>
        <v/>
      </c>
      <c r="Q317" s="143" t="str">
        <f aca="false">IF(OR($C317="",$P317="",$P317=0,(N($I317)+N($AG317))&lt;=0),"",IFERROR(SUMIFS(随時_動員を入れる!$G$8:$G$97,随時_動員を入れる!$B$8:$B$97,"&gt;="&amp;'設定（最初に1回）'!$C$6,随時_動員を入れる!$B$8:$B$97,"&lt;="&amp;'設定（最初に1回）'!$C$6+(N($I317)+N($AG317))-1)/(N($I317)+N($AG317)),0)*$P317/100)</f>
        <v/>
      </c>
      <c r="R317" s="69" t="str">
        <f aca="false">IF($C317="","",SUMIFS(①今日の在庫を貼る!$O$6:$O$10005,①今日の在庫を貼る!$B$6:$B$10005,'設定（最初に1回）'!$C$4,①今日の在庫を貼る!$I$6:$I$10005,$C317))</f>
        <v/>
      </c>
      <c r="S317" s="143" t="str">
        <f aca="false">IF($C317="","",IF('設定（最初に1回）'!$C$9="実績消費",N($O317),IF('設定（最初に1回）'!$C$9="PI値予測",N($Q317),MAX(N($O317),N($Q317)))))</f>
        <v/>
      </c>
      <c r="T317" s="67" t="str">
        <f aca="false">IF(OR($S317="",$S317&lt;=0),"",$K317/$S317)</f>
        <v/>
      </c>
      <c r="U317" s="69" t="str">
        <f aca="false">IF($S317="","",ROUNDUP(N($S317)*'設定（最初に1回）'!$C$12,0))</f>
        <v/>
      </c>
      <c r="V317" s="69" t="str">
        <f aca="false">IF($C317="","",ROUNDUP(N($S317)*(N($I317)+N($AG317))+N($U317),0))</f>
        <v/>
      </c>
      <c r="W317" s="69" t="str">
        <f aca="false">IF($C317="","",SUMIFS(発注管理!$L$6:$L$1005,発注管理!$C$6:$C$1005,'設定（最初に1回）'!$C$4,発注管理!$F$6:$F$1005,$C317,発注管理!$Q$6:$Q$1005,"発注済"))</f>
        <v/>
      </c>
      <c r="X317" s="69" t="str">
        <f aca="false">IF($C317="","",MAX(0,N($V317)-N($K317)-N($W317)))</f>
        <v/>
      </c>
      <c r="Y317" s="147" t="str">
        <f aca="false">IF($C317="","",IF(N($X317)&lt;=0,0,CEILING($X317/MAX(1,N($G317)),MAX(1,N($J317)))))</f>
        <v/>
      </c>
      <c r="Z317" s="138" t="str">
        <f aca="false">IF($C317="","",IF(N($Y317)&gt;0,"要発注","正常"))</f>
        <v/>
      </c>
      <c r="AA317" s="71" t="str">
        <f aca="false">IF($C317="","",N($K317)*N($H317))</f>
        <v/>
      </c>
      <c r="AB317" s="66" t="str">
        <f aca="false">IF($C317="","",_xlfn.TEXTJOIN(" / ",TRUE(),IF(COUNTIF(商品マスタ!$B$6:$B$1005,$C317)=0,"マスタ未登録",""),IF(COUNTIFS(月1回_前回の在庫を貼る!$B$6:$B$10005,'設定（最初に1回）'!$C$4,月1回_前回の在庫を貼る!$I$6:$I$10005,$C317)=0,"新商品",""),IF(COUNTIFS(①今日の在庫を貼る!$B$6:$B$10005,'設定（最初に1回）'!$C$4,①今日の在庫を貼る!$I$6:$I$10005,$C317)=0,"終売候補",""),IF(N($K317)&lt;0,"在庫マイナス",""),IF(AND('設定（最初に1回）'!$C$9="PI値予測",$P317=""),"PI値未設定","")))</f>
        <v/>
      </c>
      <c r="AC317" s="71" t="n">
        <f aca="false">N($Y317)*N($H317)</f>
        <v>0</v>
      </c>
      <c r="AD317" s="66" t="str">
        <f aca="false">IF($C317="","",IFERROR(INDEX(商品マスタ!$K$6:$K$1005,MATCH($C317,商品マスタ!$B$6:$B$1005,0)),"常温"))</f>
        <v/>
      </c>
      <c r="AE317" s="69" t="str">
        <f aca="false">IF($C317="","",MAX(0,ROUNDUP(N($K317)/MAX(1,N($G317)),0)))</f>
        <v/>
      </c>
      <c r="AF317" s="66" t="str">
        <f aca="false">IF($C317="","",IFERROR(INDEX(商品マスタ!$L$6:$L$1005,MATCH($C317,商品マスタ!$B$6:$B$1005,0)),""))</f>
        <v/>
      </c>
      <c r="AG317" s="143" t="str">
        <f aca="false">IF($C317="","",IFERROR(INDEX(定数マスタ!$S$110:$S$119,MATCH($AF317,定数マスタ!$J$110:$J$119,0)),N('設定（最初に1回）'!$C$13)))</f>
        <v/>
      </c>
      <c r="AH317" s="66" t="n">
        <f aca="false">IF(AND(N($K317)&gt;0,N($Y317)&gt;0),N($Y317),0)</f>
        <v>0</v>
      </c>
    </row>
    <row r="318" customFormat="false" ht="15" hidden="false" customHeight="false" outlineLevel="0" collapsed="false">
      <c r="B318" s="66" t="n">
        <v>313</v>
      </c>
      <c r="C318" s="66" t="str">
        <f aca="false">IFERROR(IF($B318&lt;=MAX(①今日の在庫を貼る!$U$6:$U$10005),INDEX(①今日の在庫を貼る!$I$6:$I$10005,MATCH($B318,①今日の在庫を貼る!$U$6:$U$10005,0)),INDEX(月1回_前回の在庫を貼る!$I$6:$I$10005,MATCH($B318-MAX(①今日の在庫を貼る!$U$6:$U$10005),月1回_前回の在庫を貼る!$U$6:$U$10005,0))),"")</f>
        <v/>
      </c>
      <c r="D318" s="66" t="str">
        <f aca="false">IF($C318="","",IFERROR(INDEX(商品マスタ!$C$6:$C$1005,MATCH($C318,商品マスタ!$B$6:$B$1005,0)),IFERROR(INDEX(①今日の在庫を貼る!$J$6:$J$10005,MATCH($C318,①今日の在庫を貼る!$I$6:$I$10005,0)),IFERROR(INDEX(月1回_前回の在庫を貼る!$J$6:$J$10005,MATCH($C318,月1回_前回の在庫を貼る!$I$6:$I$10005,0)),""))))</f>
        <v/>
      </c>
      <c r="E318" s="66" t="str">
        <f aca="false">IF($C318="","",IFERROR(INDEX(商品マスタ!$D$6:$D$1005,MATCH($C318,商品マスタ!$B$6:$B$1005,0)),IFERROR(INDEX(①今日の在庫を貼る!$H$6:$H$10005,MATCH($C318,①今日の在庫を貼る!$I$6:$I$10005,0)),IFERROR(INDEX(月1回_前回の在庫を貼る!$H$6:$H$10005,MATCH($C318,月1回_前回の在庫を貼る!$I$6:$I$10005,0)),""))))</f>
        <v/>
      </c>
      <c r="F318" s="66" t="str">
        <f aca="false">IF($C318="","",IFERROR(INDEX(商品マスタ!$E$6:$E$1005,MATCH($C318,商品マスタ!$B$6:$B$1005,0)),IFERROR(INDEX(①今日の在庫を貼る!$E$6:$E$10005,MATCH($C318,①今日の在庫を貼る!$I$6:$I$10005,0)),IFERROR(INDEX(月1回_前回の在庫を貼る!$E$6:$E$10005,MATCH($C318,月1回_前回の在庫を貼る!$I$6:$I$10005,0)),""))))</f>
        <v/>
      </c>
      <c r="G318" s="69" t="str">
        <f aca="false">IF($C318="","",IFERROR(INDEX(商品マスタ!$F$6:$F$1005,MATCH($C318,商品マスタ!$B$6:$B$1005,0)),IFERROR(INDEX(①今日の在庫を貼る!$K$6:$K$10005,MATCH($C318,①今日の在庫を貼る!$I$6:$I$10005,0)),IFERROR(INDEX(月1回_前回の在庫を貼る!$K$6:$K$10005,MATCH($C318,月1回_前回の在庫を貼る!$I$6:$I$10005,0)),""))))</f>
        <v/>
      </c>
      <c r="H318" s="71" t="str">
        <f aca="false">IF($C318="","",IFERROR(INDEX(商品マスタ!$G$6:$G$1005,MATCH($C318,商品マスタ!$B$6:$B$1005,0)),IFERROR(INDEX(①今日の在庫を貼る!$Q$6:$Q$10005,MATCH($C318,①今日の在庫を貼る!$I$6:$I$10005,0)),IFERROR(INDEX(月1回_前回の在庫を貼る!$Q$6:$Q$10005,MATCH($C318,月1回_前回の在庫を貼る!$I$6:$I$10005,0)),""))))</f>
        <v/>
      </c>
      <c r="I318" s="66" t="str">
        <f aca="false">IF($C318="","",IFERROR(INDEX(商品マスタ!$H$6:$H$1005,MATCH($C318,商品マスタ!$B$6:$B$1005,0)),3))</f>
        <v/>
      </c>
      <c r="J318" s="66" t="str">
        <f aca="false">IF($C318="","",MAX(1,IFERROR(INDEX(商品マスタ!$I$6:$I$1005,MATCH($C318,商品マスタ!$B$6:$B$1005,0)),1)))</f>
        <v/>
      </c>
      <c r="K318" s="69" t="str">
        <f aca="false">IF($C318="","",SUMIFS(①今日の在庫を貼る!$N$6:$N$10005,①今日の在庫を貼る!$B$6:$B$10005,'設定（最初に1回）'!$C$4,①今日の在庫を貼る!$I$6:$I$10005,$C318))</f>
        <v/>
      </c>
      <c r="L318" s="69" t="str">
        <f aca="false">IF($C318="","",SUMIFS(月1回_前回の在庫を貼る!$N$6:$N$10005,月1回_前回の在庫を貼る!$B$6:$B$10005,'設定（最初に1回）'!$C$4,月1回_前回の在庫を貼る!$I$6:$I$10005,$C318))</f>
        <v/>
      </c>
      <c r="M318" s="69" t="str">
        <f aca="false">IF($C318="","",IF(OR('設定（最初に1回）'!$C$6="",'設定（最初に1回）'!$C$7=""),0,SUMIFS(発注管理!$S$6:$S$1005,発注管理!$C$6:$C$1005,'設定（最初に1回）'!$C$4,発注管理!$F$6:$F$1005,$C318,発注管理!$R$6:$R$1005,"&gt;="&amp;'設定（最初に1回）'!$C$7,発注管理!$R$6:$R$1005,"&lt;="&amp;'設定（最初に1回）'!$C$6)))</f>
        <v/>
      </c>
      <c r="N318" s="69" t="str">
        <f aca="false">IF(OR($C318="",'設定（最初に1回）'!$C$15=0),"",$L318+$M318-$K318)</f>
        <v/>
      </c>
      <c r="O318" s="143" t="str">
        <f aca="false">IF(OR($N318="",'設定（最初に1回）'!$C$8="",'設定（最初に1回）'!$C$8&lt;=0),"",MAX(0,$N318)/'設定（最初に1回）'!$C$8)</f>
        <v/>
      </c>
      <c r="P318" s="143" t="str">
        <f aca="false">IF($C318="","",IFERROR(INDEX(商品マスタ!$M$6:$N$1005,MATCH($C318,商品マスタ!$B$6:$B$1005,0),MATCH("PI値 "&amp;'設定（最初に1回）'!$C$11,商品マスタ!$M$5:$N$5,0)),""))</f>
        <v/>
      </c>
      <c r="Q318" s="143" t="str">
        <f aca="false">IF(OR($C318="",$P318="",$P318=0,(N($I318)+N($AG318))&lt;=0),"",IFERROR(SUMIFS(随時_動員を入れる!$G$8:$G$97,随時_動員を入れる!$B$8:$B$97,"&gt;="&amp;'設定（最初に1回）'!$C$6,随時_動員を入れる!$B$8:$B$97,"&lt;="&amp;'設定（最初に1回）'!$C$6+(N($I318)+N($AG318))-1)/(N($I318)+N($AG318)),0)*$P318/100)</f>
        <v/>
      </c>
      <c r="R318" s="69" t="str">
        <f aca="false">IF($C318="","",SUMIFS(①今日の在庫を貼る!$O$6:$O$10005,①今日の在庫を貼る!$B$6:$B$10005,'設定（最初に1回）'!$C$4,①今日の在庫を貼る!$I$6:$I$10005,$C318))</f>
        <v/>
      </c>
      <c r="S318" s="143" t="str">
        <f aca="false">IF($C318="","",IF('設定（最初に1回）'!$C$9="実績消費",N($O318),IF('設定（最初に1回）'!$C$9="PI値予測",N($Q318),MAX(N($O318),N($Q318)))))</f>
        <v/>
      </c>
      <c r="T318" s="67" t="str">
        <f aca="false">IF(OR($S318="",$S318&lt;=0),"",$K318/$S318)</f>
        <v/>
      </c>
      <c r="U318" s="69" t="str">
        <f aca="false">IF($S318="","",ROUNDUP(N($S318)*'設定（最初に1回）'!$C$12,0))</f>
        <v/>
      </c>
      <c r="V318" s="69" t="str">
        <f aca="false">IF($C318="","",ROUNDUP(N($S318)*(N($I318)+N($AG318))+N($U318),0))</f>
        <v/>
      </c>
      <c r="W318" s="69" t="str">
        <f aca="false">IF($C318="","",SUMIFS(発注管理!$L$6:$L$1005,発注管理!$C$6:$C$1005,'設定（最初に1回）'!$C$4,発注管理!$F$6:$F$1005,$C318,発注管理!$Q$6:$Q$1005,"発注済"))</f>
        <v/>
      </c>
      <c r="X318" s="69" t="str">
        <f aca="false">IF($C318="","",MAX(0,N($V318)-N($K318)-N($W318)))</f>
        <v/>
      </c>
      <c r="Y318" s="147" t="str">
        <f aca="false">IF($C318="","",IF(N($X318)&lt;=0,0,CEILING($X318/MAX(1,N($G318)),MAX(1,N($J318)))))</f>
        <v/>
      </c>
      <c r="Z318" s="138" t="str">
        <f aca="false">IF($C318="","",IF(N($Y318)&gt;0,"要発注","正常"))</f>
        <v/>
      </c>
      <c r="AA318" s="71" t="str">
        <f aca="false">IF($C318="","",N($K318)*N($H318))</f>
        <v/>
      </c>
      <c r="AB318" s="66" t="str">
        <f aca="false">IF($C318="","",_xlfn.TEXTJOIN(" / ",TRUE(),IF(COUNTIF(商品マスタ!$B$6:$B$1005,$C318)=0,"マスタ未登録",""),IF(COUNTIFS(月1回_前回の在庫を貼る!$B$6:$B$10005,'設定（最初に1回）'!$C$4,月1回_前回の在庫を貼る!$I$6:$I$10005,$C318)=0,"新商品",""),IF(COUNTIFS(①今日の在庫を貼る!$B$6:$B$10005,'設定（最初に1回）'!$C$4,①今日の在庫を貼る!$I$6:$I$10005,$C318)=0,"終売候補",""),IF(N($K318)&lt;0,"在庫マイナス",""),IF(AND('設定（最初に1回）'!$C$9="PI値予測",$P318=""),"PI値未設定","")))</f>
        <v/>
      </c>
      <c r="AC318" s="71" t="n">
        <f aca="false">N($Y318)*N($H318)</f>
        <v>0</v>
      </c>
      <c r="AD318" s="66" t="str">
        <f aca="false">IF($C318="","",IFERROR(INDEX(商品マスタ!$K$6:$K$1005,MATCH($C318,商品マスタ!$B$6:$B$1005,0)),"常温"))</f>
        <v/>
      </c>
      <c r="AE318" s="69" t="str">
        <f aca="false">IF($C318="","",MAX(0,ROUNDUP(N($K318)/MAX(1,N($G318)),0)))</f>
        <v/>
      </c>
      <c r="AF318" s="66" t="str">
        <f aca="false">IF($C318="","",IFERROR(INDEX(商品マスタ!$L$6:$L$1005,MATCH($C318,商品マスタ!$B$6:$B$1005,0)),""))</f>
        <v/>
      </c>
      <c r="AG318" s="143" t="str">
        <f aca="false">IF($C318="","",IFERROR(INDEX(定数マスタ!$S$110:$S$119,MATCH($AF318,定数マスタ!$J$110:$J$119,0)),N('設定（最初に1回）'!$C$13)))</f>
        <v/>
      </c>
      <c r="AH318" s="66" t="n">
        <f aca="false">IF(AND(N($K318)&gt;0,N($Y318)&gt;0),N($Y318),0)</f>
        <v>0</v>
      </c>
    </row>
    <row r="319" customFormat="false" ht="15" hidden="false" customHeight="false" outlineLevel="0" collapsed="false">
      <c r="B319" s="66" t="n">
        <v>314</v>
      </c>
      <c r="C319" s="66" t="str">
        <f aca="false">IFERROR(IF($B319&lt;=MAX(①今日の在庫を貼る!$U$6:$U$10005),INDEX(①今日の在庫を貼る!$I$6:$I$10005,MATCH($B319,①今日の在庫を貼る!$U$6:$U$10005,0)),INDEX(月1回_前回の在庫を貼る!$I$6:$I$10005,MATCH($B319-MAX(①今日の在庫を貼る!$U$6:$U$10005),月1回_前回の在庫を貼る!$U$6:$U$10005,0))),"")</f>
        <v/>
      </c>
      <c r="D319" s="66" t="str">
        <f aca="false">IF($C319="","",IFERROR(INDEX(商品マスタ!$C$6:$C$1005,MATCH($C319,商品マスタ!$B$6:$B$1005,0)),IFERROR(INDEX(①今日の在庫を貼る!$J$6:$J$10005,MATCH($C319,①今日の在庫を貼る!$I$6:$I$10005,0)),IFERROR(INDEX(月1回_前回の在庫を貼る!$J$6:$J$10005,MATCH($C319,月1回_前回の在庫を貼る!$I$6:$I$10005,0)),""))))</f>
        <v/>
      </c>
      <c r="E319" s="66" t="str">
        <f aca="false">IF($C319="","",IFERROR(INDEX(商品マスタ!$D$6:$D$1005,MATCH($C319,商品マスタ!$B$6:$B$1005,0)),IFERROR(INDEX(①今日の在庫を貼る!$H$6:$H$10005,MATCH($C319,①今日の在庫を貼る!$I$6:$I$10005,0)),IFERROR(INDEX(月1回_前回の在庫を貼る!$H$6:$H$10005,MATCH($C319,月1回_前回の在庫を貼る!$I$6:$I$10005,0)),""))))</f>
        <v/>
      </c>
      <c r="F319" s="66" t="str">
        <f aca="false">IF($C319="","",IFERROR(INDEX(商品マスタ!$E$6:$E$1005,MATCH($C319,商品マスタ!$B$6:$B$1005,0)),IFERROR(INDEX(①今日の在庫を貼る!$E$6:$E$10005,MATCH($C319,①今日の在庫を貼る!$I$6:$I$10005,0)),IFERROR(INDEX(月1回_前回の在庫を貼る!$E$6:$E$10005,MATCH($C319,月1回_前回の在庫を貼る!$I$6:$I$10005,0)),""))))</f>
        <v/>
      </c>
      <c r="G319" s="69" t="str">
        <f aca="false">IF($C319="","",IFERROR(INDEX(商品マスタ!$F$6:$F$1005,MATCH($C319,商品マスタ!$B$6:$B$1005,0)),IFERROR(INDEX(①今日の在庫を貼る!$K$6:$K$10005,MATCH($C319,①今日の在庫を貼る!$I$6:$I$10005,0)),IFERROR(INDEX(月1回_前回の在庫を貼る!$K$6:$K$10005,MATCH($C319,月1回_前回の在庫を貼る!$I$6:$I$10005,0)),""))))</f>
        <v/>
      </c>
      <c r="H319" s="71" t="str">
        <f aca="false">IF($C319="","",IFERROR(INDEX(商品マスタ!$G$6:$G$1005,MATCH($C319,商品マスタ!$B$6:$B$1005,0)),IFERROR(INDEX(①今日の在庫を貼る!$Q$6:$Q$10005,MATCH($C319,①今日の在庫を貼る!$I$6:$I$10005,0)),IFERROR(INDEX(月1回_前回の在庫を貼る!$Q$6:$Q$10005,MATCH($C319,月1回_前回の在庫を貼る!$I$6:$I$10005,0)),""))))</f>
        <v/>
      </c>
      <c r="I319" s="66" t="str">
        <f aca="false">IF($C319="","",IFERROR(INDEX(商品マスタ!$H$6:$H$1005,MATCH($C319,商品マスタ!$B$6:$B$1005,0)),3))</f>
        <v/>
      </c>
      <c r="J319" s="66" t="str">
        <f aca="false">IF($C319="","",MAX(1,IFERROR(INDEX(商品マスタ!$I$6:$I$1005,MATCH($C319,商品マスタ!$B$6:$B$1005,0)),1)))</f>
        <v/>
      </c>
      <c r="K319" s="69" t="str">
        <f aca="false">IF($C319="","",SUMIFS(①今日の在庫を貼る!$N$6:$N$10005,①今日の在庫を貼る!$B$6:$B$10005,'設定（最初に1回）'!$C$4,①今日の在庫を貼る!$I$6:$I$10005,$C319))</f>
        <v/>
      </c>
      <c r="L319" s="69" t="str">
        <f aca="false">IF($C319="","",SUMIFS(月1回_前回の在庫を貼る!$N$6:$N$10005,月1回_前回の在庫を貼る!$B$6:$B$10005,'設定（最初に1回）'!$C$4,月1回_前回の在庫を貼る!$I$6:$I$10005,$C319))</f>
        <v/>
      </c>
      <c r="M319" s="69" t="str">
        <f aca="false">IF($C319="","",IF(OR('設定（最初に1回）'!$C$6="",'設定（最初に1回）'!$C$7=""),0,SUMIFS(発注管理!$S$6:$S$1005,発注管理!$C$6:$C$1005,'設定（最初に1回）'!$C$4,発注管理!$F$6:$F$1005,$C319,発注管理!$R$6:$R$1005,"&gt;="&amp;'設定（最初に1回）'!$C$7,発注管理!$R$6:$R$1005,"&lt;="&amp;'設定（最初に1回）'!$C$6)))</f>
        <v/>
      </c>
      <c r="N319" s="69" t="str">
        <f aca="false">IF(OR($C319="",'設定（最初に1回）'!$C$15=0),"",$L319+$M319-$K319)</f>
        <v/>
      </c>
      <c r="O319" s="143" t="str">
        <f aca="false">IF(OR($N319="",'設定（最初に1回）'!$C$8="",'設定（最初に1回）'!$C$8&lt;=0),"",MAX(0,$N319)/'設定（最初に1回）'!$C$8)</f>
        <v/>
      </c>
      <c r="P319" s="143" t="str">
        <f aca="false">IF($C319="","",IFERROR(INDEX(商品マスタ!$M$6:$N$1005,MATCH($C319,商品マスタ!$B$6:$B$1005,0),MATCH("PI値 "&amp;'設定（最初に1回）'!$C$11,商品マスタ!$M$5:$N$5,0)),""))</f>
        <v/>
      </c>
      <c r="Q319" s="143" t="str">
        <f aca="false">IF(OR($C319="",$P319="",$P319=0,(N($I319)+N($AG319))&lt;=0),"",IFERROR(SUMIFS(随時_動員を入れる!$G$8:$G$97,随時_動員を入れる!$B$8:$B$97,"&gt;="&amp;'設定（最初に1回）'!$C$6,随時_動員を入れる!$B$8:$B$97,"&lt;="&amp;'設定（最初に1回）'!$C$6+(N($I319)+N($AG319))-1)/(N($I319)+N($AG319)),0)*$P319/100)</f>
        <v/>
      </c>
      <c r="R319" s="69" t="str">
        <f aca="false">IF($C319="","",SUMIFS(①今日の在庫を貼る!$O$6:$O$10005,①今日の在庫を貼る!$B$6:$B$10005,'設定（最初に1回）'!$C$4,①今日の在庫を貼る!$I$6:$I$10005,$C319))</f>
        <v/>
      </c>
      <c r="S319" s="143" t="str">
        <f aca="false">IF($C319="","",IF('設定（最初に1回）'!$C$9="実績消費",N($O319),IF('設定（最初に1回）'!$C$9="PI値予測",N($Q319),MAX(N($O319),N($Q319)))))</f>
        <v/>
      </c>
      <c r="T319" s="67" t="str">
        <f aca="false">IF(OR($S319="",$S319&lt;=0),"",$K319/$S319)</f>
        <v/>
      </c>
      <c r="U319" s="69" t="str">
        <f aca="false">IF($S319="","",ROUNDUP(N($S319)*'設定（最初に1回）'!$C$12,0))</f>
        <v/>
      </c>
      <c r="V319" s="69" t="str">
        <f aca="false">IF($C319="","",ROUNDUP(N($S319)*(N($I319)+N($AG319))+N($U319),0))</f>
        <v/>
      </c>
      <c r="W319" s="69" t="str">
        <f aca="false">IF($C319="","",SUMIFS(発注管理!$L$6:$L$1005,発注管理!$C$6:$C$1005,'設定（最初に1回）'!$C$4,発注管理!$F$6:$F$1005,$C319,発注管理!$Q$6:$Q$1005,"発注済"))</f>
        <v/>
      </c>
      <c r="X319" s="69" t="str">
        <f aca="false">IF($C319="","",MAX(0,N($V319)-N($K319)-N($W319)))</f>
        <v/>
      </c>
      <c r="Y319" s="147" t="str">
        <f aca="false">IF($C319="","",IF(N($X319)&lt;=0,0,CEILING($X319/MAX(1,N($G319)),MAX(1,N($J319)))))</f>
        <v/>
      </c>
      <c r="Z319" s="138" t="str">
        <f aca="false">IF($C319="","",IF(N($Y319)&gt;0,"要発注","正常"))</f>
        <v/>
      </c>
      <c r="AA319" s="71" t="str">
        <f aca="false">IF($C319="","",N($K319)*N($H319))</f>
        <v/>
      </c>
      <c r="AB319" s="66" t="str">
        <f aca="false">IF($C319="","",_xlfn.TEXTJOIN(" / ",TRUE(),IF(COUNTIF(商品マスタ!$B$6:$B$1005,$C319)=0,"マスタ未登録",""),IF(COUNTIFS(月1回_前回の在庫を貼る!$B$6:$B$10005,'設定（最初に1回）'!$C$4,月1回_前回の在庫を貼る!$I$6:$I$10005,$C319)=0,"新商品",""),IF(COUNTIFS(①今日の在庫を貼る!$B$6:$B$10005,'設定（最初に1回）'!$C$4,①今日の在庫を貼る!$I$6:$I$10005,$C319)=0,"終売候補",""),IF(N($K319)&lt;0,"在庫マイナス",""),IF(AND('設定（最初に1回）'!$C$9="PI値予測",$P319=""),"PI値未設定","")))</f>
        <v/>
      </c>
      <c r="AC319" s="71" t="n">
        <f aca="false">N($Y319)*N($H319)</f>
        <v>0</v>
      </c>
      <c r="AD319" s="66" t="str">
        <f aca="false">IF($C319="","",IFERROR(INDEX(商品マスタ!$K$6:$K$1005,MATCH($C319,商品マスタ!$B$6:$B$1005,0)),"常温"))</f>
        <v/>
      </c>
      <c r="AE319" s="69" t="str">
        <f aca="false">IF($C319="","",MAX(0,ROUNDUP(N($K319)/MAX(1,N($G319)),0)))</f>
        <v/>
      </c>
      <c r="AF319" s="66" t="str">
        <f aca="false">IF($C319="","",IFERROR(INDEX(商品マスタ!$L$6:$L$1005,MATCH($C319,商品マスタ!$B$6:$B$1005,0)),""))</f>
        <v/>
      </c>
      <c r="AG319" s="143" t="str">
        <f aca="false">IF($C319="","",IFERROR(INDEX(定数マスタ!$S$110:$S$119,MATCH($AF319,定数マスタ!$J$110:$J$119,0)),N('設定（最初に1回）'!$C$13)))</f>
        <v/>
      </c>
      <c r="AH319" s="66" t="n">
        <f aca="false">IF(AND(N($K319)&gt;0,N($Y319)&gt;0),N($Y319),0)</f>
        <v>0</v>
      </c>
    </row>
    <row r="320" customFormat="false" ht="15" hidden="false" customHeight="false" outlineLevel="0" collapsed="false">
      <c r="B320" s="66" t="n">
        <v>315</v>
      </c>
      <c r="C320" s="66" t="str">
        <f aca="false">IFERROR(IF($B320&lt;=MAX(①今日の在庫を貼る!$U$6:$U$10005),INDEX(①今日の在庫を貼る!$I$6:$I$10005,MATCH($B320,①今日の在庫を貼る!$U$6:$U$10005,0)),INDEX(月1回_前回の在庫を貼る!$I$6:$I$10005,MATCH($B320-MAX(①今日の在庫を貼る!$U$6:$U$10005),月1回_前回の在庫を貼る!$U$6:$U$10005,0))),"")</f>
        <v/>
      </c>
      <c r="D320" s="66" t="str">
        <f aca="false">IF($C320="","",IFERROR(INDEX(商品マスタ!$C$6:$C$1005,MATCH($C320,商品マスタ!$B$6:$B$1005,0)),IFERROR(INDEX(①今日の在庫を貼る!$J$6:$J$10005,MATCH($C320,①今日の在庫を貼る!$I$6:$I$10005,0)),IFERROR(INDEX(月1回_前回の在庫を貼る!$J$6:$J$10005,MATCH($C320,月1回_前回の在庫を貼る!$I$6:$I$10005,0)),""))))</f>
        <v/>
      </c>
      <c r="E320" s="66" t="str">
        <f aca="false">IF($C320="","",IFERROR(INDEX(商品マスタ!$D$6:$D$1005,MATCH($C320,商品マスタ!$B$6:$B$1005,0)),IFERROR(INDEX(①今日の在庫を貼る!$H$6:$H$10005,MATCH($C320,①今日の在庫を貼る!$I$6:$I$10005,0)),IFERROR(INDEX(月1回_前回の在庫を貼る!$H$6:$H$10005,MATCH($C320,月1回_前回の在庫を貼る!$I$6:$I$10005,0)),""))))</f>
        <v/>
      </c>
      <c r="F320" s="66" t="str">
        <f aca="false">IF($C320="","",IFERROR(INDEX(商品マスタ!$E$6:$E$1005,MATCH($C320,商品マスタ!$B$6:$B$1005,0)),IFERROR(INDEX(①今日の在庫を貼る!$E$6:$E$10005,MATCH($C320,①今日の在庫を貼る!$I$6:$I$10005,0)),IFERROR(INDEX(月1回_前回の在庫を貼る!$E$6:$E$10005,MATCH($C320,月1回_前回の在庫を貼る!$I$6:$I$10005,0)),""))))</f>
        <v/>
      </c>
      <c r="G320" s="69" t="str">
        <f aca="false">IF($C320="","",IFERROR(INDEX(商品マスタ!$F$6:$F$1005,MATCH($C320,商品マスタ!$B$6:$B$1005,0)),IFERROR(INDEX(①今日の在庫を貼る!$K$6:$K$10005,MATCH($C320,①今日の在庫を貼る!$I$6:$I$10005,0)),IFERROR(INDEX(月1回_前回の在庫を貼る!$K$6:$K$10005,MATCH($C320,月1回_前回の在庫を貼る!$I$6:$I$10005,0)),""))))</f>
        <v/>
      </c>
      <c r="H320" s="71" t="str">
        <f aca="false">IF($C320="","",IFERROR(INDEX(商品マスタ!$G$6:$G$1005,MATCH($C320,商品マスタ!$B$6:$B$1005,0)),IFERROR(INDEX(①今日の在庫を貼る!$Q$6:$Q$10005,MATCH($C320,①今日の在庫を貼る!$I$6:$I$10005,0)),IFERROR(INDEX(月1回_前回の在庫を貼る!$Q$6:$Q$10005,MATCH($C320,月1回_前回の在庫を貼る!$I$6:$I$10005,0)),""))))</f>
        <v/>
      </c>
      <c r="I320" s="66" t="str">
        <f aca="false">IF($C320="","",IFERROR(INDEX(商品マスタ!$H$6:$H$1005,MATCH($C320,商品マスタ!$B$6:$B$1005,0)),3))</f>
        <v/>
      </c>
      <c r="J320" s="66" t="str">
        <f aca="false">IF($C320="","",MAX(1,IFERROR(INDEX(商品マスタ!$I$6:$I$1005,MATCH($C320,商品マスタ!$B$6:$B$1005,0)),1)))</f>
        <v/>
      </c>
      <c r="K320" s="69" t="str">
        <f aca="false">IF($C320="","",SUMIFS(①今日の在庫を貼る!$N$6:$N$10005,①今日の在庫を貼る!$B$6:$B$10005,'設定（最初に1回）'!$C$4,①今日の在庫を貼る!$I$6:$I$10005,$C320))</f>
        <v/>
      </c>
      <c r="L320" s="69" t="str">
        <f aca="false">IF($C320="","",SUMIFS(月1回_前回の在庫を貼る!$N$6:$N$10005,月1回_前回の在庫を貼る!$B$6:$B$10005,'設定（最初に1回）'!$C$4,月1回_前回の在庫を貼る!$I$6:$I$10005,$C320))</f>
        <v/>
      </c>
      <c r="M320" s="69" t="str">
        <f aca="false">IF($C320="","",IF(OR('設定（最初に1回）'!$C$6="",'設定（最初に1回）'!$C$7=""),0,SUMIFS(発注管理!$S$6:$S$1005,発注管理!$C$6:$C$1005,'設定（最初に1回）'!$C$4,発注管理!$F$6:$F$1005,$C320,発注管理!$R$6:$R$1005,"&gt;="&amp;'設定（最初に1回）'!$C$7,発注管理!$R$6:$R$1005,"&lt;="&amp;'設定（最初に1回）'!$C$6)))</f>
        <v/>
      </c>
      <c r="N320" s="69" t="str">
        <f aca="false">IF(OR($C320="",'設定（最初に1回）'!$C$15=0),"",$L320+$M320-$K320)</f>
        <v/>
      </c>
      <c r="O320" s="143" t="str">
        <f aca="false">IF(OR($N320="",'設定（最初に1回）'!$C$8="",'設定（最初に1回）'!$C$8&lt;=0),"",MAX(0,$N320)/'設定（最初に1回）'!$C$8)</f>
        <v/>
      </c>
      <c r="P320" s="143" t="str">
        <f aca="false">IF($C320="","",IFERROR(INDEX(商品マスタ!$M$6:$N$1005,MATCH($C320,商品マスタ!$B$6:$B$1005,0),MATCH("PI値 "&amp;'設定（最初に1回）'!$C$11,商品マスタ!$M$5:$N$5,0)),""))</f>
        <v/>
      </c>
      <c r="Q320" s="143" t="str">
        <f aca="false">IF(OR($C320="",$P320="",$P320=0,(N($I320)+N($AG320))&lt;=0),"",IFERROR(SUMIFS(随時_動員を入れる!$G$8:$G$97,随時_動員を入れる!$B$8:$B$97,"&gt;="&amp;'設定（最初に1回）'!$C$6,随時_動員を入れる!$B$8:$B$97,"&lt;="&amp;'設定（最初に1回）'!$C$6+(N($I320)+N($AG320))-1)/(N($I320)+N($AG320)),0)*$P320/100)</f>
        <v/>
      </c>
      <c r="R320" s="69" t="str">
        <f aca="false">IF($C320="","",SUMIFS(①今日の在庫を貼る!$O$6:$O$10005,①今日の在庫を貼る!$B$6:$B$10005,'設定（最初に1回）'!$C$4,①今日の在庫を貼る!$I$6:$I$10005,$C320))</f>
        <v/>
      </c>
      <c r="S320" s="143" t="str">
        <f aca="false">IF($C320="","",IF('設定（最初に1回）'!$C$9="実績消費",N($O320),IF('設定（最初に1回）'!$C$9="PI値予測",N($Q320),MAX(N($O320),N($Q320)))))</f>
        <v/>
      </c>
      <c r="T320" s="67" t="str">
        <f aca="false">IF(OR($S320="",$S320&lt;=0),"",$K320/$S320)</f>
        <v/>
      </c>
      <c r="U320" s="69" t="str">
        <f aca="false">IF($S320="","",ROUNDUP(N($S320)*'設定（最初に1回）'!$C$12,0))</f>
        <v/>
      </c>
      <c r="V320" s="69" t="str">
        <f aca="false">IF($C320="","",ROUNDUP(N($S320)*(N($I320)+N($AG320))+N($U320),0))</f>
        <v/>
      </c>
      <c r="W320" s="69" t="str">
        <f aca="false">IF($C320="","",SUMIFS(発注管理!$L$6:$L$1005,発注管理!$C$6:$C$1005,'設定（最初に1回）'!$C$4,発注管理!$F$6:$F$1005,$C320,発注管理!$Q$6:$Q$1005,"発注済"))</f>
        <v/>
      </c>
      <c r="X320" s="69" t="str">
        <f aca="false">IF($C320="","",MAX(0,N($V320)-N($K320)-N($W320)))</f>
        <v/>
      </c>
      <c r="Y320" s="147" t="str">
        <f aca="false">IF($C320="","",IF(N($X320)&lt;=0,0,CEILING($X320/MAX(1,N($G320)),MAX(1,N($J320)))))</f>
        <v/>
      </c>
      <c r="Z320" s="138" t="str">
        <f aca="false">IF($C320="","",IF(N($Y320)&gt;0,"要発注","正常"))</f>
        <v/>
      </c>
      <c r="AA320" s="71" t="str">
        <f aca="false">IF($C320="","",N($K320)*N($H320))</f>
        <v/>
      </c>
      <c r="AB320" s="66" t="str">
        <f aca="false">IF($C320="","",_xlfn.TEXTJOIN(" / ",TRUE(),IF(COUNTIF(商品マスタ!$B$6:$B$1005,$C320)=0,"マスタ未登録",""),IF(COUNTIFS(月1回_前回の在庫を貼る!$B$6:$B$10005,'設定（最初に1回）'!$C$4,月1回_前回の在庫を貼る!$I$6:$I$10005,$C320)=0,"新商品",""),IF(COUNTIFS(①今日の在庫を貼る!$B$6:$B$10005,'設定（最初に1回）'!$C$4,①今日の在庫を貼る!$I$6:$I$10005,$C320)=0,"終売候補",""),IF(N($K320)&lt;0,"在庫マイナス",""),IF(AND('設定（最初に1回）'!$C$9="PI値予測",$P320=""),"PI値未設定","")))</f>
        <v/>
      </c>
      <c r="AC320" s="71" t="n">
        <f aca="false">N($Y320)*N($H320)</f>
        <v>0</v>
      </c>
      <c r="AD320" s="66" t="str">
        <f aca="false">IF($C320="","",IFERROR(INDEX(商品マスタ!$K$6:$K$1005,MATCH($C320,商品マスタ!$B$6:$B$1005,0)),"常温"))</f>
        <v/>
      </c>
      <c r="AE320" s="69" t="str">
        <f aca="false">IF($C320="","",MAX(0,ROUNDUP(N($K320)/MAX(1,N($G320)),0)))</f>
        <v/>
      </c>
      <c r="AF320" s="66" t="str">
        <f aca="false">IF($C320="","",IFERROR(INDEX(商品マスタ!$L$6:$L$1005,MATCH($C320,商品マスタ!$B$6:$B$1005,0)),""))</f>
        <v/>
      </c>
      <c r="AG320" s="143" t="str">
        <f aca="false">IF($C320="","",IFERROR(INDEX(定数マスタ!$S$110:$S$119,MATCH($AF320,定数マスタ!$J$110:$J$119,0)),N('設定（最初に1回）'!$C$13)))</f>
        <v/>
      </c>
      <c r="AH320" s="66" t="n">
        <f aca="false">IF(AND(N($K320)&gt;0,N($Y320)&gt;0),N($Y320),0)</f>
        <v>0</v>
      </c>
    </row>
    <row r="321" customFormat="false" ht="15" hidden="false" customHeight="false" outlineLevel="0" collapsed="false">
      <c r="B321" s="66" t="n">
        <v>316</v>
      </c>
      <c r="C321" s="66" t="str">
        <f aca="false">IFERROR(IF($B321&lt;=MAX(①今日の在庫を貼る!$U$6:$U$10005),INDEX(①今日の在庫を貼る!$I$6:$I$10005,MATCH($B321,①今日の在庫を貼る!$U$6:$U$10005,0)),INDEX(月1回_前回の在庫を貼る!$I$6:$I$10005,MATCH($B321-MAX(①今日の在庫を貼る!$U$6:$U$10005),月1回_前回の在庫を貼る!$U$6:$U$10005,0))),"")</f>
        <v/>
      </c>
      <c r="D321" s="66" t="str">
        <f aca="false">IF($C321="","",IFERROR(INDEX(商品マスタ!$C$6:$C$1005,MATCH($C321,商品マスタ!$B$6:$B$1005,0)),IFERROR(INDEX(①今日の在庫を貼る!$J$6:$J$10005,MATCH($C321,①今日の在庫を貼る!$I$6:$I$10005,0)),IFERROR(INDEX(月1回_前回の在庫を貼る!$J$6:$J$10005,MATCH($C321,月1回_前回の在庫を貼る!$I$6:$I$10005,0)),""))))</f>
        <v/>
      </c>
      <c r="E321" s="66" t="str">
        <f aca="false">IF($C321="","",IFERROR(INDEX(商品マスタ!$D$6:$D$1005,MATCH($C321,商品マスタ!$B$6:$B$1005,0)),IFERROR(INDEX(①今日の在庫を貼る!$H$6:$H$10005,MATCH($C321,①今日の在庫を貼る!$I$6:$I$10005,0)),IFERROR(INDEX(月1回_前回の在庫を貼る!$H$6:$H$10005,MATCH($C321,月1回_前回の在庫を貼る!$I$6:$I$10005,0)),""))))</f>
        <v/>
      </c>
      <c r="F321" s="66" t="str">
        <f aca="false">IF($C321="","",IFERROR(INDEX(商品マスタ!$E$6:$E$1005,MATCH($C321,商品マスタ!$B$6:$B$1005,0)),IFERROR(INDEX(①今日の在庫を貼る!$E$6:$E$10005,MATCH($C321,①今日の在庫を貼る!$I$6:$I$10005,0)),IFERROR(INDEX(月1回_前回の在庫を貼る!$E$6:$E$10005,MATCH($C321,月1回_前回の在庫を貼る!$I$6:$I$10005,0)),""))))</f>
        <v/>
      </c>
      <c r="G321" s="69" t="str">
        <f aca="false">IF($C321="","",IFERROR(INDEX(商品マスタ!$F$6:$F$1005,MATCH($C321,商品マスタ!$B$6:$B$1005,0)),IFERROR(INDEX(①今日の在庫を貼る!$K$6:$K$10005,MATCH($C321,①今日の在庫を貼る!$I$6:$I$10005,0)),IFERROR(INDEX(月1回_前回の在庫を貼る!$K$6:$K$10005,MATCH($C321,月1回_前回の在庫を貼る!$I$6:$I$10005,0)),""))))</f>
        <v/>
      </c>
      <c r="H321" s="71" t="str">
        <f aca="false">IF($C321="","",IFERROR(INDEX(商品マスタ!$G$6:$G$1005,MATCH($C321,商品マスタ!$B$6:$B$1005,0)),IFERROR(INDEX(①今日の在庫を貼る!$Q$6:$Q$10005,MATCH($C321,①今日の在庫を貼る!$I$6:$I$10005,0)),IFERROR(INDEX(月1回_前回の在庫を貼る!$Q$6:$Q$10005,MATCH($C321,月1回_前回の在庫を貼る!$I$6:$I$10005,0)),""))))</f>
        <v/>
      </c>
      <c r="I321" s="66" t="str">
        <f aca="false">IF($C321="","",IFERROR(INDEX(商品マスタ!$H$6:$H$1005,MATCH($C321,商品マスタ!$B$6:$B$1005,0)),3))</f>
        <v/>
      </c>
      <c r="J321" s="66" t="str">
        <f aca="false">IF($C321="","",MAX(1,IFERROR(INDEX(商品マスタ!$I$6:$I$1005,MATCH($C321,商品マスタ!$B$6:$B$1005,0)),1)))</f>
        <v/>
      </c>
      <c r="K321" s="69" t="str">
        <f aca="false">IF($C321="","",SUMIFS(①今日の在庫を貼る!$N$6:$N$10005,①今日の在庫を貼る!$B$6:$B$10005,'設定（最初に1回）'!$C$4,①今日の在庫を貼る!$I$6:$I$10005,$C321))</f>
        <v/>
      </c>
      <c r="L321" s="69" t="str">
        <f aca="false">IF($C321="","",SUMIFS(月1回_前回の在庫を貼る!$N$6:$N$10005,月1回_前回の在庫を貼る!$B$6:$B$10005,'設定（最初に1回）'!$C$4,月1回_前回の在庫を貼る!$I$6:$I$10005,$C321))</f>
        <v/>
      </c>
      <c r="M321" s="69" t="str">
        <f aca="false">IF($C321="","",IF(OR('設定（最初に1回）'!$C$6="",'設定（最初に1回）'!$C$7=""),0,SUMIFS(発注管理!$S$6:$S$1005,発注管理!$C$6:$C$1005,'設定（最初に1回）'!$C$4,発注管理!$F$6:$F$1005,$C321,発注管理!$R$6:$R$1005,"&gt;="&amp;'設定（最初に1回）'!$C$7,発注管理!$R$6:$R$1005,"&lt;="&amp;'設定（最初に1回）'!$C$6)))</f>
        <v/>
      </c>
      <c r="N321" s="69" t="str">
        <f aca="false">IF(OR($C321="",'設定（最初に1回）'!$C$15=0),"",$L321+$M321-$K321)</f>
        <v/>
      </c>
      <c r="O321" s="143" t="str">
        <f aca="false">IF(OR($N321="",'設定（最初に1回）'!$C$8="",'設定（最初に1回）'!$C$8&lt;=0),"",MAX(0,$N321)/'設定（最初に1回）'!$C$8)</f>
        <v/>
      </c>
      <c r="P321" s="143" t="str">
        <f aca="false">IF($C321="","",IFERROR(INDEX(商品マスタ!$M$6:$N$1005,MATCH($C321,商品マスタ!$B$6:$B$1005,0),MATCH("PI値 "&amp;'設定（最初に1回）'!$C$11,商品マスタ!$M$5:$N$5,0)),""))</f>
        <v/>
      </c>
      <c r="Q321" s="143" t="str">
        <f aca="false">IF(OR($C321="",$P321="",$P321=0,(N($I321)+N($AG321))&lt;=0),"",IFERROR(SUMIFS(随時_動員を入れる!$G$8:$G$97,随時_動員を入れる!$B$8:$B$97,"&gt;="&amp;'設定（最初に1回）'!$C$6,随時_動員を入れる!$B$8:$B$97,"&lt;="&amp;'設定（最初に1回）'!$C$6+(N($I321)+N($AG321))-1)/(N($I321)+N($AG321)),0)*$P321/100)</f>
        <v/>
      </c>
      <c r="R321" s="69" t="str">
        <f aca="false">IF($C321="","",SUMIFS(①今日の在庫を貼る!$O$6:$O$10005,①今日の在庫を貼る!$B$6:$B$10005,'設定（最初に1回）'!$C$4,①今日の在庫を貼る!$I$6:$I$10005,$C321))</f>
        <v/>
      </c>
      <c r="S321" s="143" t="str">
        <f aca="false">IF($C321="","",IF('設定（最初に1回）'!$C$9="実績消費",N($O321),IF('設定（最初に1回）'!$C$9="PI値予測",N($Q321),MAX(N($O321),N($Q321)))))</f>
        <v/>
      </c>
      <c r="T321" s="67" t="str">
        <f aca="false">IF(OR($S321="",$S321&lt;=0),"",$K321/$S321)</f>
        <v/>
      </c>
      <c r="U321" s="69" t="str">
        <f aca="false">IF($S321="","",ROUNDUP(N($S321)*'設定（最初に1回）'!$C$12,0))</f>
        <v/>
      </c>
      <c r="V321" s="69" t="str">
        <f aca="false">IF($C321="","",ROUNDUP(N($S321)*(N($I321)+N($AG321))+N($U321),0))</f>
        <v/>
      </c>
      <c r="W321" s="69" t="str">
        <f aca="false">IF($C321="","",SUMIFS(発注管理!$L$6:$L$1005,発注管理!$C$6:$C$1005,'設定（最初に1回）'!$C$4,発注管理!$F$6:$F$1005,$C321,発注管理!$Q$6:$Q$1005,"発注済"))</f>
        <v/>
      </c>
      <c r="X321" s="69" t="str">
        <f aca="false">IF($C321="","",MAX(0,N($V321)-N($K321)-N($W321)))</f>
        <v/>
      </c>
      <c r="Y321" s="147" t="str">
        <f aca="false">IF($C321="","",IF(N($X321)&lt;=0,0,CEILING($X321/MAX(1,N($G321)),MAX(1,N($J321)))))</f>
        <v/>
      </c>
      <c r="Z321" s="138" t="str">
        <f aca="false">IF($C321="","",IF(N($Y321)&gt;0,"要発注","正常"))</f>
        <v/>
      </c>
      <c r="AA321" s="71" t="str">
        <f aca="false">IF($C321="","",N($K321)*N($H321))</f>
        <v/>
      </c>
      <c r="AB321" s="66" t="str">
        <f aca="false">IF($C321="","",_xlfn.TEXTJOIN(" / ",TRUE(),IF(COUNTIF(商品マスタ!$B$6:$B$1005,$C321)=0,"マスタ未登録",""),IF(COUNTIFS(月1回_前回の在庫を貼る!$B$6:$B$10005,'設定（最初に1回）'!$C$4,月1回_前回の在庫を貼る!$I$6:$I$10005,$C321)=0,"新商品",""),IF(COUNTIFS(①今日の在庫を貼る!$B$6:$B$10005,'設定（最初に1回）'!$C$4,①今日の在庫を貼る!$I$6:$I$10005,$C321)=0,"終売候補",""),IF(N($K321)&lt;0,"在庫マイナス",""),IF(AND('設定（最初に1回）'!$C$9="PI値予測",$P321=""),"PI値未設定","")))</f>
        <v/>
      </c>
      <c r="AC321" s="71" t="n">
        <f aca="false">N($Y321)*N($H321)</f>
        <v>0</v>
      </c>
      <c r="AD321" s="66" t="str">
        <f aca="false">IF($C321="","",IFERROR(INDEX(商品マスタ!$K$6:$K$1005,MATCH($C321,商品マスタ!$B$6:$B$1005,0)),"常温"))</f>
        <v/>
      </c>
      <c r="AE321" s="69" t="str">
        <f aca="false">IF($C321="","",MAX(0,ROUNDUP(N($K321)/MAX(1,N($G321)),0)))</f>
        <v/>
      </c>
      <c r="AF321" s="66" t="str">
        <f aca="false">IF($C321="","",IFERROR(INDEX(商品マスタ!$L$6:$L$1005,MATCH($C321,商品マスタ!$B$6:$B$1005,0)),""))</f>
        <v/>
      </c>
      <c r="AG321" s="143" t="str">
        <f aca="false">IF($C321="","",IFERROR(INDEX(定数マスタ!$S$110:$S$119,MATCH($AF321,定数マスタ!$J$110:$J$119,0)),N('設定（最初に1回）'!$C$13)))</f>
        <v/>
      </c>
      <c r="AH321" s="66" t="n">
        <f aca="false">IF(AND(N($K321)&gt;0,N($Y321)&gt;0),N($Y321),0)</f>
        <v>0</v>
      </c>
    </row>
    <row r="322" customFormat="false" ht="15" hidden="false" customHeight="false" outlineLevel="0" collapsed="false">
      <c r="B322" s="66" t="n">
        <v>317</v>
      </c>
      <c r="C322" s="66" t="str">
        <f aca="false">IFERROR(IF($B322&lt;=MAX(①今日の在庫を貼る!$U$6:$U$10005),INDEX(①今日の在庫を貼る!$I$6:$I$10005,MATCH($B322,①今日の在庫を貼る!$U$6:$U$10005,0)),INDEX(月1回_前回の在庫を貼る!$I$6:$I$10005,MATCH($B322-MAX(①今日の在庫を貼る!$U$6:$U$10005),月1回_前回の在庫を貼る!$U$6:$U$10005,0))),"")</f>
        <v/>
      </c>
      <c r="D322" s="66" t="str">
        <f aca="false">IF($C322="","",IFERROR(INDEX(商品マスタ!$C$6:$C$1005,MATCH($C322,商品マスタ!$B$6:$B$1005,0)),IFERROR(INDEX(①今日の在庫を貼る!$J$6:$J$10005,MATCH($C322,①今日の在庫を貼る!$I$6:$I$10005,0)),IFERROR(INDEX(月1回_前回の在庫を貼る!$J$6:$J$10005,MATCH($C322,月1回_前回の在庫を貼る!$I$6:$I$10005,0)),""))))</f>
        <v/>
      </c>
      <c r="E322" s="66" t="str">
        <f aca="false">IF($C322="","",IFERROR(INDEX(商品マスタ!$D$6:$D$1005,MATCH($C322,商品マスタ!$B$6:$B$1005,0)),IFERROR(INDEX(①今日の在庫を貼る!$H$6:$H$10005,MATCH($C322,①今日の在庫を貼る!$I$6:$I$10005,0)),IFERROR(INDEX(月1回_前回の在庫を貼る!$H$6:$H$10005,MATCH($C322,月1回_前回の在庫を貼る!$I$6:$I$10005,0)),""))))</f>
        <v/>
      </c>
      <c r="F322" s="66" t="str">
        <f aca="false">IF($C322="","",IFERROR(INDEX(商品マスタ!$E$6:$E$1005,MATCH($C322,商品マスタ!$B$6:$B$1005,0)),IFERROR(INDEX(①今日の在庫を貼る!$E$6:$E$10005,MATCH($C322,①今日の在庫を貼る!$I$6:$I$10005,0)),IFERROR(INDEX(月1回_前回の在庫を貼る!$E$6:$E$10005,MATCH($C322,月1回_前回の在庫を貼る!$I$6:$I$10005,0)),""))))</f>
        <v/>
      </c>
      <c r="G322" s="69" t="str">
        <f aca="false">IF($C322="","",IFERROR(INDEX(商品マスタ!$F$6:$F$1005,MATCH($C322,商品マスタ!$B$6:$B$1005,0)),IFERROR(INDEX(①今日の在庫を貼る!$K$6:$K$10005,MATCH($C322,①今日の在庫を貼る!$I$6:$I$10005,0)),IFERROR(INDEX(月1回_前回の在庫を貼る!$K$6:$K$10005,MATCH($C322,月1回_前回の在庫を貼る!$I$6:$I$10005,0)),""))))</f>
        <v/>
      </c>
      <c r="H322" s="71" t="str">
        <f aca="false">IF($C322="","",IFERROR(INDEX(商品マスタ!$G$6:$G$1005,MATCH($C322,商品マスタ!$B$6:$B$1005,0)),IFERROR(INDEX(①今日の在庫を貼る!$Q$6:$Q$10005,MATCH($C322,①今日の在庫を貼る!$I$6:$I$10005,0)),IFERROR(INDEX(月1回_前回の在庫を貼る!$Q$6:$Q$10005,MATCH($C322,月1回_前回の在庫を貼る!$I$6:$I$10005,0)),""))))</f>
        <v/>
      </c>
      <c r="I322" s="66" t="str">
        <f aca="false">IF($C322="","",IFERROR(INDEX(商品マスタ!$H$6:$H$1005,MATCH($C322,商品マスタ!$B$6:$B$1005,0)),3))</f>
        <v/>
      </c>
      <c r="J322" s="66" t="str">
        <f aca="false">IF($C322="","",MAX(1,IFERROR(INDEX(商品マスタ!$I$6:$I$1005,MATCH($C322,商品マスタ!$B$6:$B$1005,0)),1)))</f>
        <v/>
      </c>
      <c r="K322" s="69" t="str">
        <f aca="false">IF($C322="","",SUMIFS(①今日の在庫を貼る!$N$6:$N$10005,①今日の在庫を貼る!$B$6:$B$10005,'設定（最初に1回）'!$C$4,①今日の在庫を貼る!$I$6:$I$10005,$C322))</f>
        <v/>
      </c>
      <c r="L322" s="69" t="str">
        <f aca="false">IF($C322="","",SUMIFS(月1回_前回の在庫を貼る!$N$6:$N$10005,月1回_前回の在庫を貼る!$B$6:$B$10005,'設定（最初に1回）'!$C$4,月1回_前回の在庫を貼る!$I$6:$I$10005,$C322))</f>
        <v/>
      </c>
      <c r="M322" s="69" t="str">
        <f aca="false">IF($C322="","",IF(OR('設定（最初に1回）'!$C$6="",'設定（最初に1回）'!$C$7=""),0,SUMIFS(発注管理!$S$6:$S$1005,発注管理!$C$6:$C$1005,'設定（最初に1回）'!$C$4,発注管理!$F$6:$F$1005,$C322,発注管理!$R$6:$R$1005,"&gt;="&amp;'設定（最初に1回）'!$C$7,発注管理!$R$6:$R$1005,"&lt;="&amp;'設定（最初に1回）'!$C$6)))</f>
        <v/>
      </c>
      <c r="N322" s="69" t="str">
        <f aca="false">IF(OR($C322="",'設定（最初に1回）'!$C$15=0),"",$L322+$M322-$K322)</f>
        <v/>
      </c>
      <c r="O322" s="143" t="str">
        <f aca="false">IF(OR($N322="",'設定（最初に1回）'!$C$8="",'設定（最初に1回）'!$C$8&lt;=0),"",MAX(0,$N322)/'設定（最初に1回）'!$C$8)</f>
        <v/>
      </c>
      <c r="P322" s="143" t="str">
        <f aca="false">IF($C322="","",IFERROR(INDEX(商品マスタ!$M$6:$N$1005,MATCH($C322,商品マスタ!$B$6:$B$1005,0),MATCH("PI値 "&amp;'設定（最初に1回）'!$C$11,商品マスタ!$M$5:$N$5,0)),""))</f>
        <v/>
      </c>
      <c r="Q322" s="143" t="str">
        <f aca="false">IF(OR($C322="",$P322="",$P322=0,(N($I322)+N($AG322))&lt;=0),"",IFERROR(SUMIFS(随時_動員を入れる!$G$8:$G$97,随時_動員を入れる!$B$8:$B$97,"&gt;="&amp;'設定（最初に1回）'!$C$6,随時_動員を入れる!$B$8:$B$97,"&lt;="&amp;'設定（最初に1回）'!$C$6+(N($I322)+N($AG322))-1)/(N($I322)+N($AG322)),0)*$P322/100)</f>
        <v/>
      </c>
      <c r="R322" s="69" t="str">
        <f aca="false">IF($C322="","",SUMIFS(①今日の在庫を貼る!$O$6:$O$10005,①今日の在庫を貼る!$B$6:$B$10005,'設定（最初に1回）'!$C$4,①今日の在庫を貼る!$I$6:$I$10005,$C322))</f>
        <v/>
      </c>
      <c r="S322" s="143" t="str">
        <f aca="false">IF($C322="","",IF('設定（最初に1回）'!$C$9="実績消費",N($O322),IF('設定（最初に1回）'!$C$9="PI値予測",N($Q322),MAX(N($O322),N($Q322)))))</f>
        <v/>
      </c>
      <c r="T322" s="67" t="str">
        <f aca="false">IF(OR($S322="",$S322&lt;=0),"",$K322/$S322)</f>
        <v/>
      </c>
      <c r="U322" s="69" t="str">
        <f aca="false">IF($S322="","",ROUNDUP(N($S322)*'設定（最初に1回）'!$C$12,0))</f>
        <v/>
      </c>
      <c r="V322" s="69" t="str">
        <f aca="false">IF($C322="","",ROUNDUP(N($S322)*(N($I322)+N($AG322))+N($U322),0))</f>
        <v/>
      </c>
      <c r="W322" s="69" t="str">
        <f aca="false">IF($C322="","",SUMIFS(発注管理!$L$6:$L$1005,発注管理!$C$6:$C$1005,'設定（最初に1回）'!$C$4,発注管理!$F$6:$F$1005,$C322,発注管理!$Q$6:$Q$1005,"発注済"))</f>
        <v/>
      </c>
      <c r="X322" s="69" t="str">
        <f aca="false">IF($C322="","",MAX(0,N($V322)-N($K322)-N($W322)))</f>
        <v/>
      </c>
      <c r="Y322" s="147" t="str">
        <f aca="false">IF($C322="","",IF(N($X322)&lt;=0,0,CEILING($X322/MAX(1,N($G322)),MAX(1,N($J322)))))</f>
        <v/>
      </c>
      <c r="Z322" s="138" t="str">
        <f aca="false">IF($C322="","",IF(N($Y322)&gt;0,"要発注","正常"))</f>
        <v/>
      </c>
      <c r="AA322" s="71" t="str">
        <f aca="false">IF($C322="","",N($K322)*N($H322))</f>
        <v/>
      </c>
      <c r="AB322" s="66" t="str">
        <f aca="false">IF($C322="","",_xlfn.TEXTJOIN(" / ",TRUE(),IF(COUNTIF(商品マスタ!$B$6:$B$1005,$C322)=0,"マスタ未登録",""),IF(COUNTIFS(月1回_前回の在庫を貼る!$B$6:$B$10005,'設定（最初に1回）'!$C$4,月1回_前回の在庫を貼る!$I$6:$I$10005,$C322)=0,"新商品",""),IF(COUNTIFS(①今日の在庫を貼る!$B$6:$B$10005,'設定（最初に1回）'!$C$4,①今日の在庫を貼る!$I$6:$I$10005,$C322)=0,"終売候補",""),IF(N($K322)&lt;0,"在庫マイナス",""),IF(AND('設定（最初に1回）'!$C$9="PI値予測",$P322=""),"PI値未設定","")))</f>
        <v/>
      </c>
      <c r="AC322" s="71" t="n">
        <f aca="false">N($Y322)*N($H322)</f>
        <v>0</v>
      </c>
      <c r="AD322" s="66" t="str">
        <f aca="false">IF($C322="","",IFERROR(INDEX(商品マスタ!$K$6:$K$1005,MATCH($C322,商品マスタ!$B$6:$B$1005,0)),"常温"))</f>
        <v/>
      </c>
      <c r="AE322" s="69" t="str">
        <f aca="false">IF($C322="","",MAX(0,ROUNDUP(N($K322)/MAX(1,N($G322)),0)))</f>
        <v/>
      </c>
      <c r="AF322" s="66" t="str">
        <f aca="false">IF($C322="","",IFERROR(INDEX(商品マスタ!$L$6:$L$1005,MATCH($C322,商品マスタ!$B$6:$B$1005,0)),""))</f>
        <v/>
      </c>
      <c r="AG322" s="143" t="str">
        <f aca="false">IF($C322="","",IFERROR(INDEX(定数マスタ!$S$110:$S$119,MATCH($AF322,定数マスタ!$J$110:$J$119,0)),N('設定（最初に1回）'!$C$13)))</f>
        <v/>
      </c>
      <c r="AH322" s="66" t="n">
        <f aca="false">IF(AND(N($K322)&gt;0,N($Y322)&gt;0),N($Y322),0)</f>
        <v>0</v>
      </c>
    </row>
    <row r="323" customFormat="false" ht="15" hidden="false" customHeight="false" outlineLevel="0" collapsed="false">
      <c r="B323" s="66" t="n">
        <v>318</v>
      </c>
      <c r="C323" s="66" t="str">
        <f aca="false">IFERROR(IF($B323&lt;=MAX(①今日の在庫を貼る!$U$6:$U$10005),INDEX(①今日の在庫を貼る!$I$6:$I$10005,MATCH($B323,①今日の在庫を貼る!$U$6:$U$10005,0)),INDEX(月1回_前回の在庫を貼る!$I$6:$I$10005,MATCH($B323-MAX(①今日の在庫を貼る!$U$6:$U$10005),月1回_前回の在庫を貼る!$U$6:$U$10005,0))),"")</f>
        <v/>
      </c>
      <c r="D323" s="66" t="str">
        <f aca="false">IF($C323="","",IFERROR(INDEX(商品マスタ!$C$6:$C$1005,MATCH($C323,商品マスタ!$B$6:$B$1005,0)),IFERROR(INDEX(①今日の在庫を貼る!$J$6:$J$10005,MATCH($C323,①今日の在庫を貼る!$I$6:$I$10005,0)),IFERROR(INDEX(月1回_前回の在庫を貼る!$J$6:$J$10005,MATCH($C323,月1回_前回の在庫を貼る!$I$6:$I$10005,0)),""))))</f>
        <v/>
      </c>
      <c r="E323" s="66" t="str">
        <f aca="false">IF($C323="","",IFERROR(INDEX(商品マスタ!$D$6:$D$1005,MATCH($C323,商品マスタ!$B$6:$B$1005,0)),IFERROR(INDEX(①今日の在庫を貼る!$H$6:$H$10005,MATCH($C323,①今日の在庫を貼る!$I$6:$I$10005,0)),IFERROR(INDEX(月1回_前回の在庫を貼る!$H$6:$H$10005,MATCH($C323,月1回_前回の在庫を貼る!$I$6:$I$10005,0)),""))))</f>
        <v/>
      </c>
      <c r="F323" s="66" t="str">
        <f aca="false">IF($C323="","",IFERROR(INDEX(商品マスタ!$E$6:$E$1005,MATCH($C323,商品マスタ!$B$6:$B$1005,0)),IFERROR(INDEX(①今日の在庫を貼る!$E$6:$E$10005,MATCH($C323,①今日の在庫を貼る!$I$6:$I$10005,0)),IFERROR(INDEX(月1回_前回の在庫を貼る!$E$6:$E$10005,MATCH($C323,月1回_前回の在庫を貼る!$I$6:$I$10005,0)),""))))</f>
        <v/>
      </c>
      <c r="G323" s="69" t="str">
        <f aca="false">IF($C323="","",IFERROR(INDEX(商品マスタ!$F$6:$F$1005,MATCH($C323,商品マスタ!$B$6:$B$1005,0)),IFERROR(INDEX(①今日の在庫を貼る!$K$6:$K$10005,MATCH($C323,①今日の在庫を貼る!$I$6:$I$10005,0)),IFERROR(INDEX(月1回_前回の在庫を貼る!$K$6:$K$10005,MATCH($C323,月1回_前回の在庫を貼る!$I$6:$I$10005,0)),""))))</f>
        <v/>
      </c>
      <c r="H323" s="71" t="str">
        <f aca="false">IF($C323="","",IFERROR(INDEX(商品マスタ!$G$6:$G$1005,MATCH($C323,商品マスタ!$B$6:$B$1005,0)),IFERROR(INDEX(①今日の在庫を貼る!$Q$6:$Q$10005,MATCH($C323,①今日の在庫を貼る!$I$6:$I$10005,0)),IFERROR(INDEX(月1回_前回の在庫を貼る!$Q$6:$Q$10005,MATCH($C323,月1回_前回の在庫を貼る!$I$6:$I$10005,0)),""))))</f>
        <v/>
      </c>
      <c r="I323" s="66" t="str">
        <f aca="false">IF($C323="","",IFERROR(INDEX(商品マスタ!$H$6:$H$1005,MATCH($C323,商品マスタ!$B$6:$B$1005,0)),3))</f>
        <v/>
      </c>
      <c r="J323" s="66" t="str">
        <f aca="false">IF($C323="","",MAX(1,IFERROR(INDEX(商品マスタ!$I$6:$I$1005,MATCH($C323,商品マスタ!$B$6:$B$1005,0)),1)))</f>
        <v/>
      </c>
      <c r="K323" s="69" t="str">
        <f aca="false">IF($C323="","",SUMIFS(①今日の在庫を貼る!$N$6:$N$10005,①今日の在庫を貼る!$B$6:$B$10005,'設定（最初に1回）'!$C$4,①今日の在庫を貼る!$I$6:$I$10005,$C323))</f>
        <v/>
      </c>
      <c r="L323" s="69" t="str">
        <f aca="false">IF($C323="","",SUMIFS(月1回_前回の在庫を貼る!$N$6:$N$10005,月1回_前回の在庫を貼る!$B$6:$B$10005,'設定（最初に1回）'!$C$4,月1回_前回の在庫を貼る!$I$6:$I$10005,$C323))</f>
        <v/>
      </c>
      <c r="M323" s="69" t="str">
        <f aca="false">IF($C323="","",IF(OR('設定（最初に1回）'!$C$6="",'設定（最初に1回）'!$C$7=""),0,SUMIFS(発注管理!$S$6:$S$1005,発注管理!$C$6:$C$1005,'設定（最初に1回）'!$C$4,発注管理!$F$6:$F$1005,$C323,発注管理!$R$6:$R$1005,"&gt;="&amp;'設定（最初に1回）'!$C$7,発注管理!$R$6:$R$1005,"&lt;="&amp;'設定（最初に1回）'!$C$6)))</f>
        <v/>
      </c>
      <c r="N323" s="69" t="str">
        <f aca="false">IF(OR($C323="",'設定（最初に1回）'!$C$15=0),"",$L323+$M323-$K323)</f>
        <v/>
      </c>
      <c r="O323" s="143" t="str">
        <f aca="false">IF(OR($N323="",'設定（最初に1回）'!$C$8="",'設定（最初に1回）'!$C$8&lt;=0),"",MAX(0,$N323)/'設定（最初に1回）'!$C$8)</f>
        <v/>
      </c>
      <c r="P323" s="143" t="str">
        <f aca="false">IF($C323="","",IFERROR(INDEX(商品マスタ!$M$6:$N$1005,MATCH($C323,商品マスタ!$B$6:$B$1005,0),MATCH("PI値 "&amp;'設定（最初に1回）'!$C$11,商品マスタ!$M$5:$N$5,0)),""))</f>
        <v/>
      </c>
      <c r="Q323" s="143" t="str">
        <f aca="false">IF(OR($C323="",$P323="",$P323=0,(N($I323)+N($AG323))&lt;=0),"",IFERROR(SUMIFS(随時_動員を入れる!$G$8:$G$97,随時_動員を入れる!$B$8:$B$97,"&gt;="&amp;'設定（最初に1回）'!$C$6,随時_動員を入れる!$B$8:$B$97,"&lt;="&amp;'設定（最初に1回）'!$C$6+(N($I323)+N($AG323))-1)/(N($I323)+N($AG323)),0)*$P323/100)</f>
        <v/>
      </c>
      <c r="R323" s="69" t="str">
        <f aca="false">IF($C323="","",SUMIFS(①今日の在庫を貼る!$O$6:$O$10005,①今日の在庫を貼る!$B$6:$B$10005,'設定（最初に1回）'!$C$4,①今日の在庫を貼る!$I$6:$I$10005,$C323))</f>
        <v/>
      </c>
      <c r="S323" s="143" t="str">
        <f aca="false">IF($C323="","",IF('設定（最初に1回）'!$C$9="実績消費",N($O323),IF('設定（最初に1回）'!$C$9="PI値予測",N($Q323),MAX(N($O323),N($Q323)))))</f>
        <v/>
      </c>
      <c r="T323" s="67" t="str">
        <f aca="false">IF(OR($S323="",$S323&lt;=0),"",$K323/$S323)</f>
        <v/>
      </c>
      <c r="U323" s="69" t="str">
        <f aca="false">IF($S323="","",ROUNDUP(N($S323)*'設定（最初に1回）'!$C$12,0))</f>
        <v/>
      </c>
      <c r="V323" s="69" t="str">
        <f aca="false">IF($C323="","",ROUNDUP(N($S323)*(N($I323)+N($AG323))+N($U323),0))</f>
        <v/>
      </c>
      <c r="W323" s="69" t="str">
        <f aca="false">IF($C323="","",SUMIFS(発注管理!$L$6:$L$1005,発注管理!$C$6:$C$1005,'設定（最初に1回）'!$C$4,発注管理!$F$6:$F$1005,$C323,発注管理!$Q$6:$Q$1005,"発注済"))</f>
        <v/>
      </c>
      <c r="X323" s="69" t="str">
        <f aca="false">IF($C323="","",MAX(0,N($V323)-N($K323)-N($W323)))</f>
        <v/>
      </c>
      <c r="Y323" s="147" t="str">
        <f aca="false">IF($C323="","",IF(N($X323)&lt;=0,0,CEILING($X323/MAX(1,N($G323)),MAX(1,N($J323)))))</f>
        <v/>
      </c>
      <c r="Z323" s="138" t="str">
        <f aca="false">IF($C323="","",IF(N($Y323)&gt;0,"要発注","正常"))</f>
        <v/>
      </c>
      <c r="AA323" s="71" t="str">
        <f aca="false">IF($C323="","",N($K323)*N($H323))</f>
        <v/>
      </c>
      <c r="AB323" s="66" t="str">
        <f aca="false">IF($C323="","",_xlfn.TEXTJOIN(" / ",TRUE(),IF(COUNTIF(商品マスタ!$B$6:$B$1005,$C323)=0,"マスタ未登録",""),IF(COUNTIFS(月1回_前回の在庫を貼る!$B$6:$B$10005,'設定（最初に1回）'!$C$4,月1回_前回の在庫を貼る!$I$6:$I$10005,$C323)=0,"新商品",""),IF(COUNTIFS(①今日の在庫を貼る!$B$6:$B$10005,'設定（最初に1回）'!$C$4,①今日の在庫を貼る!$I$6:$I$10005,$C323)=0,"終売候補",""),IF(N($K323)&lt;0,"在庫マイナス",""),IF(AND('設定（最初に1回）'!$C$9="PI値予測",$P323=""),"PI値未設定","")))</f>
        <v/>
      </c>
      <c r="AC323" s="71" t="n">
        <f aca="false">N($Y323)*N($H323)</f>
        <v>0</v>
      </c>
      <c r="AD323" s="66" t="str">
        <f aca="false">IF($C323="","",IFERROR(INDEX(商品マスタ!$K$6:$K$1005,MATCH($C323,商品マスタ!$B$6:$B$1005,0)),"常温"))</f>
        <v/>
      </c>
      <c r="AE323" s="69" t="str">
        <f aca="false">IF($C323="","",MAX(0,ROUNDUP(N($K323)/MAX(1,N($G323)),0)))</f>
        <v/>
      </c>
      <c r="AF323" s="66" t="str">
        <f aca="false">IF($C323="","",IFERROR(INDEX(商品マスタ!$L$6:$L$1005,MATCH($C323,商品マスタ!$B$6:$B$1005,0)),""))</f>
        <v/>
      </c>
      <c r="AG323" s="143" t="str">
        <f aca="false">IF($C323="","",IFERROR(INDEX(定数マスタ!$S$110:$S$119,MATCH($AF323,定数マスタ!$J$110:$J$119,0)),N('設定（最初に1回）'!$C$13)))</f>
        <v/>
      </c>
      <c r="AH323" s="66" t="n">
        <f aca="false">IF(AND(N($K323)&gt;0,N($Y323)&gt;0),N($Y323),0)</f>
        <v>0</v>
      </c>
    </row>
    <row r="324" customFormat="false" ht="15" hidden="false" customHeight="false" outlineLevel="0" collapsed="false">
      <c r="B324" s="66" t="n">
        <v>319</v>
      </c>
      <c r="C324" s="66" t="str">
        <f aca="false">IFERROR(IF($B324&lt;=MAX(①今日の在庫を貼る!$U$6:$U$10005),INDEX(①今日の在庫を貼る!$I$6:$I$10005,MATCH($B324,①今日の在庫を貼る!$U$6:$U$10005,0)),INDEX(月1回_前回の在庫を貼る!$I$6:$I$10005,MATCH($B324-MAX(①今日の在庫を貼る!$U$6:$U$10005),月1回_前回の在庫を貼る!$U$6:$U$10005,0))),"")</f>
        <v/>
      </c>
      <c r="D324" s="66" t="str">
        <f aca="false">IF($C324="","",IFERROR(INDEX(商品マスタ!$C$6:$C$1005,MATCH($C324,商品マスタ!$B$6:$B$1005,0)),IFERROR(INDEX(①今日の在庫を貼る!$J$6:$J$10005,MATCH($C324,①今日の在庫を貼る!$I$6:$I$10005,0)),IFERROR(INDEX(月1回_前回の在庫を貼る!$J$6:$J$10005,MATCH($C324,月1回_前回の在庫を貼る!$I$6:$I$10005,0)),""))))</f>
        <v/>
      </c>
      <c r="E324" s="66" t="str">
        <f aca="false">IF($C324="","",IFERROR(INDEX(商品マスタ!$D$6:$D$1005,MATCH($C324,商品マスタ!$B$6:$B$1005,0)),IFERROR(INDEX(①今日の在庫を貼る!$H$6:$H$10005,MATCH($C324,①今日の在庫を貼る!$I$6:$I$10005,0)),IFERROR(INDEX(月1回_前回の在庫を貼る!$H$6:$H$10005,MATCH($C324,月1回_前回の在庫を貼る!$I$6:$I$10005,0)),""))))</f>
        <v/>
      </c>
      <c r="F324" s="66" t="str">
        <f aca="false">IF($C324="","",IFERROR(INDEX(商品マスタ!$E$6:$E$1005,MATCH($C324,商品マスタ!$B$6:$B$1005,0)),IFERROR(INDEX(①今日の在庫を貼る!$E$6:$E$10005,MATCH($C324,①今日の在庫を貼る!$I$6:$I$10005,0)),IFERROR(INDEX(月1回_前回の在庫を貼る!$E$6:$E$10005,MATCH($C324,月1回_前回の在庫を貼る!$I$6:$I$10005,0)),""))))</f>
        <v/>
      </c>
      <c r="G324" s="69" t="str">
        <f aca="false">IF($C324="","",IFERROR(INDEX(商品マスタ!$F$6:$F$1005,MATCH($C324,商品マスタ!$B$6:$B$1005,0)),IFERROR(INDEX(①今日の在庫を貼る!$K$6:$K$10005,MATCH($C324,①今日の在庫を貼る!$I$6:$I$10005,0)),IFERROR(INDEX(月1回_前回の在庫を貼る!$K$6:$K$10005,MATCH($C324,月1回_前回の在庫を貼る!$I$6:$I$10005,0)),""))))</f>
        <v/>
      </c>
      <c r="H324" s="71" t="str">
        <f aca="false">IF($C324="","",IFERROR(INDEX(商品マスタ!$G$6:$G$1005,MATCH($C324,商品マスタ!$B$6:$B$1005,0)),IFERROR(INDEX(①今日の在庫を貼る!$Q$6:$Q$10005,MATCH($C324,①今日の在庫を貼る!$I$6:$I$10005,0)),IFERROR(INDEX(月1回_前回の在庫を貼る!$Q$6:$Q$10005,MATCH($C324,月1回_前回の在庫を貼る!$I$6:$I$10005,0)),""))))</f>
        <v/>
      </c>
      <c r="I324" s="66" t="str">
        <f aca="false">IF($C324="","",IFERROR(INDEX(商品マスタ!$H$6:$H$1005,MATCH($C324,商品マスタ!$B$6:$B$1005,0)),3))</f>
        <v/>
      </c>
      <c r="J324" s="66" t="str">
        <f aca="false">IF($C324="","",MAX(1,IFERROR(INDEX(商品マスタ!$I$6:$I$1005,MATCH($C324,商品マスタ!$B$6:$B$1005,0)),1)))</f>
        <v/>
      </c>
      <c r="K324" s="69" t="str">
        <f aca="false">IF($C324="","",SUMIFS(①今日の在庫を貼る!$N$6:$N$10005,①今日の在庫を貼る!$B$6:$B$10005,'設定（最初に1回）'!$C$4,①今日の在庫を貼る!$I$6:$I$10005,$C324))</f>
        <v/>
      </c>
      <c r="L324" s="69" t="str">
        <f aca="false">IF($C324="","",SUMIFS(月1回_前回の在庫を貼る!$N$6:$N$10005,月1回_前回の在庫を貼る!$B$6:$B$10005,'設定（最初に1回）'!$C$4,月1回_前回の在庫を貼る!$I$6:$I$10005,$C324))</f>
        <v/>
      </c>
      <c r="M324" s="69" t="str">
        <f aca="false">IF($C324="","",IF(OR('設定（最初に1回）'!$C$6="",'設定（最初に1回）'!$C$7=""),0,SUMIFS(発注管理!$S$6:$S$1005,発注管理!$C$6:$C$1005,'設定（最初に1回）'!$C$4,発注管理!$F$6:$F$1005,$C324,発注管理!$R$6:$R$1005,"&gt;="&amp;'設定（最初に1回）'!$C$7,発注管理!$R$6:$R$1005,"&lt;="&amp;'設定（最初に1回）'!$C$6)))</f>
        <v/>
      </c>
      <c r="N324" s="69" t="str">
        <f aca="false">IF(OR($C324="",'設定（最初に1回）'!$C$15=0),"",$L324+$M324-$K324)</f>
        <v/>
      </c>
      <c r="O324" s="143" t="str">
        <f aca="false">IF(OR($N324="",'設定（最初に1回）'!$C$8="",'設定（最初に1回）'!$C$8&lt;=0),"",MAX(0,$N324)/'設定（最初に1回）'!$C$8)</f>
        <v/>
      </c>
      <c r="P324" s="143" t="str">
        <f aca="false">IF($C324="","",IFERROR(INDEX(商品マスタ!$M$6:$N$1005,MATCH($C324,商品マスタ!$B$6:$B$1005,0),MATCH("PI値 "&amp;'設定（最初に1回）'!$C$11,商品マスタ!$M$5:$N$5,0)),""))</f>
        <v/>
      </c>
      <c r="Q324" s="143" t="str">
        <f aca="false">IF(OR($C324="",$P324="",$P324=0,(N($I324)+N($AG324))&lt;=0),"",IFERROR(SUMIFS(随時_動員を入れる!$G$8:$G$97,随時_動員を入れる!$B$8:$B$97,"&gt;="&amp;'設定（最初に1回）'!$C$6,随時_動員を入れる!$B$8:$B$97,"&lt;="&amp;'設定（最初に1回）'!$C$6+(N($I324)+N($AG324))-1)/(N($I324)+N($AG324)),0)*$P324/100)</f>
        <v/>
      </c>
      <c r="R324" s="69" t="str">
        <f aca="false">IF($C324="","",SUMIFS(①今日の在庫を貼る!$O$6:$O$10005,①今日の在庫を貼る!$B$6:$B$10005,'設定（最初に1回）'!$C$4,①今日の在庫を貼る!$I$6:$I$10005,$C324))</f>
        <v/>
      </c>
      <c r="S324" s="143" t="str">
        <f aca="false">IF($C324="","",IF('設定（最初に1回）'!$C$9="実績消費",N($O324),IF('設定（最初に1回）'!$C$9="PI値予測",N($Q324),MAX(N($O324),N($Q324)))))</f>
        <v/>
      </c>
      <c r="T324" s="67" t="str">
        <f aca="false">IF(OR($S324="",$S324&lt;=0),"",$K324/$S324)</f>
        <v/>
      </c>
      <c r="U324" s="69" t="str">
        <f aca="false">IF($S324="","",ROUNDUP(N($S324)*'設定（最初に1回）'!$C$12,0))</f>
        <v/>
      </c>
      <c r="V324" s="69" t="str">
        <f aca="false">IF($C324="","",ROUNDUP(N($S324)*(N($I324)+N($AG324))+N($U324),0))</f>
        <v/>
      </c>
      <c r="W324" s="69" t="str">
        <f aca="false">IF($C324="","",SUMIFS(発注管理!$L$6:$L$1005,発注管理!$C$6:$C$1005,'設定（最初に1回）'!$C$4,発注管理!$F$6:$F$1005,$C324,発注管理!$Q$6:$Q$1005,"発注済"))</f>
        <v/>
      </c>
      <c r="X324" s="69" t="str">
        <f aca="false">IF($C324="","",MAX(0,N($V324)-N($K324)-N($W324)))</f>
        <v/>
      </c>
      <c r="Y324" s="147" t="str">
        <f aca="false">IF($C324="","",IF(N($X324)&lt;=0,0,CEILING($X324/MAX(1,N($G324)),MAX(1,N($J324)))))</f>
        <v/>
      </c>
      <c r="Z324" s="138" t="str">
        <f aca="false">IF($C324="","",IF(N($Y324)&gt;0,"要発注","正常"))</f>
        <v/>
      </c>
      <c r="AA324" s="71" t="str">
        <f aca="false">IF($C324="","",N($K324)*N($H324))</f>
        <v/>
      </c>
      <c r="AB324" s="66" t="str">
        <f aca="false">IF($C324="","",_xlfn.TEXTJOIN(" / ",TRUE(),IF(COUNTIF(商品マスタ!$B$6:$B$1005,$C324)=0,"マスタ未登録",""),IF(COUNTIFS(月1回_前回の在庫を貼る!$B$6:$B$10005,'設定（最初に1回）'!$C$4,月1回_前回の在庫を貼る!$I$6:$I$10005,$C324)=0,"新商品",""),IF(COUNTIFS(①今日の在庫を貼る!$B$6:$B$10005,'設定（最初に1回）'!$C$4,①今日の在庫を貼る!$I$6:$I$10005,$C324)=0,"終売候補",""),IF(N($K324)&lt;0,"在庫マイナス",""),IF(AND('設定（最初に1回）'!$C$9="PI値予測",$P324=""),"PI値未設定","")))</f>
        <v/>
      </c>
      <c r="AC324" s="71" t="n">
        <f aca="false">N($Y324)*N($H324)</f>
        <v>0</v>
      </c>
      <c r="AD324" s="66" t="str">
        <f aca="false">IF($C324="","",IFERROR(INDEX(商品マスタ!$K$6:$K$1005,MATCH($C324,商品マスタ!$B$6:$B$1005,0)),"常温"))</f>
        <v/>
      </c>
      <c r="AE324" s="69" t="str">
        <f aca="false">IF($C324="","",MAX(0,ROUNDUP(N($K324)/MAX(1,N($G324)),0)))</f>
        <v/>
      </c>
      <c r="AF324" s="66" t="str">
        <f aca="false">IF($C324="","",IFERROR(INDEX(商品マスタ!$L$6:$L$1005,MATCH($C324,商品マスタ!$B$6:$B$1005,0)),""))</f>
        <v/>
      </c>
      <c r="AG324" s="143" t="str">
        <f aca="false">IF($C324="","",IFERROR(INDEX(定数マスタ!$S$110:$S$119,MATCH($AF324,定数マスタ!$J$110:$J$119,0)),N('設定（最初に1回）'!$C$13)))</f>
        <v/>
      </c>
      <c r="AH324" s="66" t="n">
        <f aca="false">IF(AND(N($K324)&gt;0,N($Y324)&gt;0),N($Y324),0)</f>
        <v>0</v>
      </c>
    </row>
    <row r="325" customFormat="false" ht="15" hidden="false" customHeight="false" outlineLevel="0" collapsed="false">
      <c r="B325" s="66" t="n">
        <v>320</v>
      </c>
      <c r="C325" s="66" t="str">
        <f aca="false">IFERROR(IF($B325&lt;=MAX(①今日の在庫を貼る!$U$6:$U$10005),INDEX(①今日の在庫を貼る!$I$6:$I$10005,MATCH($B325,①今日の在庫を貼る!$U$6:$U$10005,0)),INDEX(月1回_前回の在庫を貼る!$I$6:$I$10005,MATCH($B325-MAX(①今日の在庫を貼る!$U$6:$U$10005),月1回_前回の在庫を貼る!$U$6:$U$10005,0))),"")</f>
        <v/>
      </c>
      <c r="D325" s="66" t="str">
        <f aca="false">IF($C325="","",IFERROR(INDEX(商品マスタ!$C$6:$C$1005,MATCH($C325,商品マスタ!$B$6:$B$1005,0)),IFERROR(INDEX(①今日の在庫を貼る!$J$6:$J$10005,MATCH($C325,①今日の在庫を貼る!$I$6:$I$10005,0)),IFERROR(INDEX(月1回_前回の在庫を貼る!$J$6:$J$10005,MATCH($C325,月1回_前回の在庫を貼る!$I$6:$I$10005,0)),""))))</f>
        <v/>
      </c>
      <c r="E325" s="66" t="str">
        <f aca="false">IF($C325="","",IFERROR(INDEX(商品マスタ!$D$6:$D$1005,MATCH($C325,商品マスタ!$B$6:$B$1005,0)),IFERROR(INDEX(①今日の在庫を貼る!$H$6:$H$10005,MATCH($C325,①今日の在庫を貼る!$I$6:$I$10005,0)),IFERROR(INDEX(月1回_前回の在庫を貼る!$H$6:$H$10005,MATCH($C325,月1回_前回の在庫を貼る!$I$6:$I$10005,0)),""))))</f>
        <v/>
      </c>
      <c r="F325" s="66" t="str">
        <f aca="false">IF($C325="","",IFERROR(INDEX(商品マスタ!$E$6:$E$1005,MATCH($C325,商品マスタ!$B$6:$B$1005,0)),IFERROR(INDEX(①今日の在庫を貼る!$E$6:$E$10005,MATCH($C325,①今日の在庫を貼る!$I$6:$I$10005,0)),IFERROR(INDEX(月1回_前回の在庫を貼る!$E$6:$E$10005,MATCH($C325,月1回_前回の在庫を貼る!$I$6:$I$10005,0)),""))))</f>
        <v/>
      </c>
      <c r="G325" s="69" t="str">
        <f aca="false">IF($C325="","",IFERROR(INDEX(商品マスタ!$F$6:$F$1005,MATCH($C325,商品マスタ!$B$6:$B$1005,0)),IFERROR(INDEX(①今日の在庫を貼る!$K$6:$K$10005,MATCH($C325,①今日の在庫を貼る!$I$6:$I$10005,0)),IFERROR(INDEX(月1回_前回の在庫を貼る!$K$6:$K$10005,MATCH($C325,月1回_前回の在庫を貼る!$I$6:$I$10005,0)),""))))</f>
        <v/>
      </c>
      <c r="H325" s="71" t="str">
        <f aca="false">IF($C325="","",IFERROR(INDEX(商品マスタ!$G$6:$G$1005,MATCH($C325,商品マスタ!$B$6:$B$1005,0)),IFERROR(INDEX(①今日の在庫を貼る!$Q$6:$Q$10005,MATCH($C325,①今日の在庫を貼る!$I$6:$I$10005,0)),IFERROR(INDEX(月1回_前回の在庫を貼る!$Q$6:$Q$10005,MATCH($C325,月1回_前回の在庫を貼る!$I$6:$I$10005,0)),""))))</f>
        <v/>
      </c>
      <c r="I325" s="66" t="str">
        <f aca="false">IF($C325="","",IFERROR(INDEX(商品マスタ!$H$6:$H$1005,MATCH($C325,商品マスタ!$B$6:$B$1005,0)),3))</f>
        <v/>
      </c>
      <c r="J325" s="66" t="str">
        <f aca="false">IF($C325="","",MAX(1,IFERROR(INDEX(商品マスタ!$I$6:$I$1005,MATCH($C325,商品マスタ!$B$6:$B$1005,0)),1)))</f>
        <v/>
      </c>
      <c r="K325" s="69" t="str">
        <f aca="false">IF($C325="","",SUMIFS(①今日の在庫を貼る!$N$6:$N$10005,①今日の在庫を貼る!$B$6:$B$10005,'設定（最初に1回）'!$C$4,①今日の在庫を貼る!$I$6:$I$10005,$C325))</f>
        <v/>
      </c>
      <c r="L325" s="69" t="str">
        <f aca="false">IF($C325="","",SUMIFS(月1回_前回の在庫を貼る!$N$6:$N$10005,月1回_前回の在庫を貼る!$B$6:$B$10005,'設定（最初に1回）'!$C$4,月1回_前回の在庫を貼る!$I$6:$I$10005,$C325))</f>
        <v/>
      </c>
      <c r="M325" s="69" t="str">
        <f aca="false">IF($C325="","",IF(OR('設定（最初に1回）'!$C$6="",'設定（最初に1回）'!$C$7=""),0,SUMIFS(発注管理!$S$6:$S$1005,発注管理!$C$6:$C$1005,'設定（最初に1回）'!$C$4,発注管理!$F$6:$F$1005,$C325,発注管理!$R$6:$R$1005,"&gt;="&amp;'設定（最初に1回）'!$C$7,発注管理!$R$6:$R$1005,"&lt;="&amp;'設定（最初に1回）'!$C$6)))</f>
        <v/>
      </c>
      <c r="N325" s="69" t="str">
        <f aca="false">IF(OR($C325="",'設定（最初に1回）'!$C$15=0),"",$L325+$M325-$K325)</f>
        <v/>
      </c>
      <c r="O325" s="143" t="str">
        <f aca="false">IF(OR($N325="",'設定（最初に1回）'!$C$8="",'設定（最初に1回）'!$C$8&lt;=0),"",MAX(0,$N325)/'設定（最初に1回）'!$C$8)</f>
        <v/>
      </c>
      <c r="P325" s="143" t="str">
        <f aca="false">IF($C325="","",IFERROR(INDEX(商品マスタ!$M$6:$N$1005,MATCH($C325,商品マスタ!$B$6:$B$1005,0),MATCH("PI値 "&amp;'設定（最初に1回）'!$C$11,商品マスタ!$M$5:$N$5,0)),""))</f>
        <v/>
      </c>
      <c r="Q325" s="143" t="str">
        <f aca="false">IF(OR($C325="",$P325="",$P325=0,(N($I325)+N($AG325))&lt;=0),"",IFERROR(SUMIFS(随時_動員を入れる!$G$8:$G$97,随時_動員を入れる!$B$8:$B$97,"&gt;="&amp;'設定（最初に1回）'!$C$6,随時_動員を入れる!$B$8:$B$97,"&lt;="&amp;'設定（最初に1回）'!$C$6+(N($I325)+N($AG325))-1)/(N($I325)+N($AG325)),0)*$P325/100)</f>
        <v/>
      </c>
      <c r="R325" s="69" t="str">
        <f aca="false">IF($C325="","",SUMIFS(①今日の在庫を貼る!$O$6:$O$10005,①今日の在庫を貼る!$B$6:$B$10005,'設定（最初に1回）'!$C$4,①今日の在庫を貼る!$I$6:$I$10005,$C325))</f>
        <v/>
      </c>
      <c r="S325" s="143" t="str">
        <f aca="false">IF($C325="","",IF('設定（最初に1回）'!$C$9="実績消費",N($O325),IF('設定（最初に1回）'!$C$9="PI値予測",N($Q325),MAX(N($O325),N($Q325)))))</f>
        <v/>
      </c>
      <c r="T325" s="67" t="str">
        <f aca="false">IF(OR($S325="",$S325&lt;=0),"",$K325/$S325)</f>
        <v/>
      </c>
      <c r="U325" s="69" t="str">
        <f aca="false">IF($S325="","",ROUNDUP(N($S325)*'設定（最初に1回）'!$C$12,0))</f>
        <v/>
      </c>
      <c r="V325" s="69" t="str">
        <f aca="false">IF($C325="","",ROUNDUP(N($S325)*(N($I325)+N($AG325))+N($U325),0))</f>
        <v/>
      </c>
      <c r="W325" s="69" t="str">
        <f aca="false">IF($C325="","",SUMIFS(発注管理!$L$6:$L$1005,発注管理!$C$6:$C$1005,'設定（最初に1回）'!$C$4,発注管理!$F$6:$F$1005,$C325,発注管理!$Q$6:$Q$1005,"発注済"))</f>
        <v/>
      </c>
      <c r="X325" s="69" t="str">
        <f aca="false">IF($C325="","",MAX(0,N($V325)-N($K325)-N($W325)))</f>
        <v/>
      </c>
      <c r="Y325" s="147" t="str">
        <f aca="false">IF($C325="","",IF(N($X325)&lt;=0,0,CEILING($X325/MAX(1,N($G325)),MAX(1,N($J325)))))</f>
        <v/>
      </c>
      <c r="Z325" s="138" t="str">
        <f aca="false">IF($C325="","",IF(N($Y325)&gt;0,"要発注","正常"))</f>
        <v/>
      </c>
      <c r="AA325" s="71" t="str">
        <f aca="false">IF($C325="","",N($K325)*N($H325))</f>
        <v/>
      </c>
      <c r="AB325" s="66" t="str">
        <f aca="false">IF($C325="","",_xlfn.TEXTJOIN(" / ",TRUE(),IF(COUNTIF(商品マスタ!$B$6:$B$1005,$C325)=0,"マスタ未登録",""),IF(COUNTIFS(月1回_前回の在庫を貼る!$B$6:$B$10005,'設定（最初に1回）'!$C$4,月1回_前回の在庫を貼る!$I$6:$I$10005,$C325)=0,"新商品",""),IF(COUNTIFS(①今日の在庫を貼る!$B$6:$B$10005,'設定（最初に1回）'!$C$4,①今日の在庫を貼る!$I$6:$I$10005,$C325)=0,"終売候補",""),IF(N($K325)&lt;0,"在庫マイナス",""),IF(AND('設定（最初に1回）'!$C$9="PI値予測",$P325=""),"PI値未設定","")))</f>
        <v/>
      </c>
      <c r="AC325" s="71" t="n">
        <f aca="false">N($Y325)*N($H325)</f>
        <v>0</v>
      </c>
      <c r="AD325" s="66" t="str">
        <f aca="false">IF($C325="","",IFERROR(INDEX(商品マスタ!$K$6:$K$1005,MATCH($C325,商品マスタ!$B$6:$B$1005,0)),"常温"))</f>
        <v/>
      </c>
      <c r="AE325" s="69" t="str">
        <f aca="false">IF($C325="","",MAX(0,ROUNDUP(N($K325)/MAX(1,N($G325)),0)))</f>
        <v/>
      </c>
      <c r="AF325" s="66" t="str">
        <f aca="false">IF($C325="","",IFERROR(INDEX(商品マスタ!$L$6:$L$1005,MATCH($C325,商品マスタ!$B$6:$B$1005,0)),""))</f>
        <v/>
      </c>
      <c r="AG325" s="143" t="str">
        <f aca="false">IF($C325="","",IFERROR(INDEX(定数マスタ!$S$110:$S$119,MATCH($AF325,定数マスタ!$J$110:$J$119,0)),N('設定（最初に1回）'!$C$13)))</f>
        <v/>
      </c>
      <c r="AH325" s="66" t="n">
        <f aca="false">IF(AND(N($K325)&gt;0,N($Y325)&gt;0),N($Y325),0)</f>
        <v>0</v>
      </c>
    </row>
    <row r="326" customFormat="false" ht="15" hidden="false" customHeight="false" outlineLevel="0" collapsed="false">
      <c r="B326" s="66" t="n">
        <v>321</v>
      </c>
      <c r="C326" s="66" t="str">
        <f aca="false">IFERROR(IF($B326&lt;=MAX(①今日の在庫を貼る!$U$6:$U$10005),INDEX(①今日の在庫を貼る!$I$6:$I$10005,MATCH($B326,①今日の在庫を貼る!$U$6:$U$10005,0)),INDEX(月1回_前回の在庫を貼る!$I$6:$I$10005,MATCH($B326-MAX(①今日の在庫を貼る!$U$6:$U$10005),月1回_前回の在庫を貼る!$U$6:$U$10005,0))),"")</f>
        <v/>
      </c>
      <c r="D326" s="66" t="str">
        <f aca="false">IF($C326="","",IFERROR(INDEX(商品マスタ!$C$6:$C$1005,MATCH($C326,商品マスタ!$B$6:$B$1005,0)),IFERROR(INDEX(①今日の在庫を貼る!$J$6:$J$10005,MATCH($C326,①今日の在庫を貼る!$I$6:$I$10005,0)),IFERROR(INDEX(月1回_前回の在庫を貼る!$J$6:$J$10005,MATCH($C326,月1回_前回の在庫を貼る!$I$6:$I$10005,0)),""))))</f>
        <v/>
      </c>
      <c r="E326" s="66" t="str">
        <f aca="false">IF($C326="","",IFERROR(INDEX(商品マスタ!$D$6:$D$1005,MATCH($C326,商品マスタ!$B$6:$B$1005,0)),IFERROR(INDEX(①今日の在庫を貼る!$H$6:$H$10005,MATCH($C326,①今日の在庫を貼る!$I$6:$I$10005,0)),IFERROR(INDEX(月1回_前回の在庫を貼る!$H$6:$H$10005,MATCH($C326,月1回_前回の在庫を貼る!$I$6:$I$10005,0)),""))))</f>
        <v/>
      </c>
      <c r="F326" s="66" t="str">
        <f aca="false">IF($C326="","",IFERROR(INDEX(商品マスタ!$E$6:$E$1005,MATCH($C326,商品マスタ!$B$6:$B$1005,0)),IFERROR(INDEX(①今日の在庫を貼る!$E$6:$E$10005,MATCH($C326,①今日の在庫を貼る!$I$6:$I$10005,0)),IFERROR(INDEX(月1回_前回の在庫を貼る!$E$6:$E$10005,MATCH($C326,月1回_前回の在庫を貼る!$I$6:$I$10005,0)),""))))</f>
        <v/>
      </c>
      <c r="G326" s="69" t="str">
        <f aca="false">IF($C326="","",IFERROR(INDEX(商品マスタ!$F$6:$F$1005,MATCH($C326,商品マスタ!$B$6:$B$1005,0)),IFERROR(INDEX(①今日の在庫を貼る!$K$6:$K$10005,MATCH($C326,①今日の在庫を貼る!$I$6:$I$10005,0)),IFERROR(INDEX(月1回_前回の在庫を貼る!$K$6:$K$10005,MATCH($C326,月1回_前回の在庫を貼る!$I$6:$I$10005,0)),""))))</f>
        <v/>
      </c>
      <c r="H326" s="71" t="str">
        <f aca="false">IF($C326="","",IFERROR(INDEX(商品マスタ!$G$6:$G$1005,MATCH($C326,商品マスタ!$B$6:$B$1005,0)),IFERROR(INDEX(①今日の在庫を貼る!$Q$6:$Q$10005,MATCH($C326,①今日の在庫を貼る!$I$6:$I$10005,0)),IFERROR(INDEX(月1回_前回の在庫を貼る!$Q$6:$Q$10005,MATCH($C326,月1回_前回の在庫を貼る!$I$6:$I$10005,0)),""))))</f>
        <v/>
      </c>
      <c r="I326" s="66" t="str">
        <f aca="false">IF($C326="","",IFERROR(INDEX(商品マスタ!$H$6:$H$1005,MATCH($C326,商品マスタ!$B$6:$B$1005,0)),3))</f>
        <v/>
      </c>
      <c r="J326" s="66" t="str">
        <f aca="false">IF($C326="","",MAX(1,IFERROR(INDEX(商品マスタ!$I$6:$I$1005,MATCH($C326,商品マスタ!$B$6:$B$1005,0)),1)))</f>
        <v/>
      </c>
      <c r="K326" s="69" t="str">
        <f aca="false">IF($C326="","",SUMIFS(①今日の在庫を貼る!$N$6:$N$10005,①今日の在庫を貼る!$B$6:$B$10005,'設定（最初に1回）'!$C$4,①今日の在庫を貼る!$I$6:$I$10005,$C326))</f>
        <v/>
      </c>
      <c r="L326" s="69" t="str">
        <f aca="false">IF($C326="","",SUMIFS(月1回_前回の在庫を貼る!$N$6:$N$10005,月1回_前回の在庫を貼る!$B$6:$B$10005,'設定（最初に1回）'!$C$4,月1回_前回の在庫を貼る!$I$6:$I$10005,$C326))</f>
        <v/>
      </c>
      <c r="M326" s="69" t="str">
        <f aca="false">IF($C326="","",IF(OR('設定（最初に1回）'!$C$6="",'設定（最初に1回）'!$C$7=""),0,SUMIFS(発注管理!$S$6:$S$1005,発注管理!$C$6:$C$1005,'設定（最初に1回）'!$C$4,発注管理!$F$6:$F$1005,$C326,発注管理!$R$6:$R$1005,"&gt;="&amp;'設定（最初に1回）'!$C$7,発注管理!$R$6:$R$1005,"&lt;="&amp;'設定（最初に1回）'!$C$6)))</f>
        <v/>
      </c>
      <c r="N326" s="69" t="str">
        <f aca="false">IF(OR($C326="",'設定（最初に1回）'!$C$15=0),"",$L326+$M326-$K326)</f>
        <v/>
      </c>
      <c r="O326" s="143" t="str">
        <f aca="false">IF(OR($N326="",'設定（最初に1回）'!$C$8="",'設定（最初に1回）'!$C$8&lt;=0),"",MAX(0,$N326)/'設定（最初に1回）'!$C$8)</f>
        <v/>
      </c>
      <c r="P326" s="143" t="str">
        <f aca="false">IF($C326="","",IFERROR(INDEX(商品マスタ!$M$6:$N$1005,MATCH($C326,商品マスタ!$B$6:$B$1005,0),MATCH("PI値 "&amp;'設定（最初に1回）'!$C$11,商品マスタ!$M$5:$N$5,0)),""))</f>
        <v/>
      </c>
      <c r="Q326" s="143" t="str">
        <f aca="false">IF(OR($C326="",$P326="",$P326=0,(N($I326)+N($AG326))&lt;=0),"",IFERROR(SUMIFS(随時_動員を入れる!$G$8:$G$97,随時_動員を入れる!$B$8:$B$97,"&gt;="&amp;'設定（最初に1回）'!$C$6,随時_動員を入れる!$B$8:$B$97,"&lt;="&amp;'設定（最初に1回）'!$C$6+(N($I326)+N($AG326))-1)/(N($I326)+N($AG326)),0)*$P326/100)</f>
        <v/>
      </c>
      <c r="R326" s="69" t="str">
        <f aca="false">IF($C326="","",SUMIFS(①今日の在庫を貼る!$O$6:$O$10005,①今日の在庫を貼る!$B$6:$B$10005,'設定（最初に1回）'!$C$4,①今日の在庫を貼る!$I$6:$I$10005,$C326))</f>
        <v/>
      </c>
      <c r="S326" s="143" t="str">
        <f aca="false">IF($C326="","",IF('設定（最初に1回）'!$C$9="実績消費",N($O326),IF('設定（最初に1回）'!$C$9="PI値予測",N($Q326),MAX(N($O326),N($Q326)))))</f>
        <v/>
      </c>
      <c r="T326" s="67" t="str">
        <f aca="false">IF(OR($S326="",$S326&lt;=0),"",$K326/$S326)</f>
        <v/>
      </c>
      <c r="U326" s="69" t="str">
        <f aca="false">IF($S326="","",ROUNDUP(N($S326)*'設定（最初に1回）'!$C$12,0))</f>
        <v/>
      </c>
      <c r="V326" s="69" t="str">
        <f aca="false">IF($C326="","",ROUNDUP(N($S326)*(N($I326)+N($AG326))+N($U326),0))</f>
        <v/>
      </c>
      <c r="W326" s="69" t="str">
        <f aca="false">IF($C326="","",SUMIFS(発注管理!$L$6:$L$1005,発注管理!$C$6:$C$1005,'設定（最初に1回）'!$C$4,発注管理!$F$6:$F$1005,$C326,発注管理!$Q$6:$Q$1005,"発注済"))</f>
        <v/>
      </c>
      <c r="X326" s="69" t="str">
        <f aca="false">IF($C326="","",MAX(0,N($V326)-N($K326)-N($W326)))</f>
        <v/>
      </c>
      <c r="Y326" s="147" t="str">
        <f aca="false">IF($C326="","",IF(N($X326)&lt;=0,0,CEILING($X326/MAX(1,N($G326)),MAX(1,N($J326)))))</f>
        <v/>
      </c>
      <c r="Z326" s="138" t="str">
        <f aca="false">IF($C326="","",IF(N($Y326)&gt;0,"要発注","正常"))</f>
        <v/>
      </c>
      <c r="AA326" s="71" t="str">
        <f aca="false">IF($C326="","",N($K326)*N($H326))</f>
        <v/>
      </c>
      <c r="AB326" s="66" t="str">
        <f aca="false">IF($C326="","",_xlfn.TEXTJOIN(" / ",TRUE(),IF(COUNTIF(商品マスタ!$B$6:$B$1005,$C326)=0,"マスタ未登録",""),IF(COUNTIFS(月1回_前回の在庫を貼る!$B$6:$B$10005,'設定（最初に1回）'!$C$4,月1回_前回の在庫を貼る!$I$6:$I$10005,$C326)=0,"新商品",""),IF(COUNTIFS(①今日の在庫を貼る!$B$6:$B$10005,'設定（最初に1回）'!$C$4,①今日の在庫を貼る!$I$6:$I$10005,$C326)=0,"終売候補",""),IF(N($K326)&lt;0,"在庫マイナス",""),IF(AND('設定（最初に1回）'!$C$9="PI値予測",$P326=""),"PI値未設定","")))</f>
        <v/>
      </c>
      <c r="AC326" s="71" t="n">
        <f aca="false">N($Y326)*N($H326)</f>
        <v>0</v>
      </c>
      <c r="AD326" s="66" t="str">
        <f aca="false">IF($C326="","",IFERROR(INDEX(商品マスタ!$K$6:$K$1005,MATCH($C326,商品マスタ!$B$6:$B$1005,0)),"常温"))</f>
        <v/>
      </c>
      <c r="AE326" s="69" t="str">
        <f aca="false">IF($C326="","",MAX(0,ROUNDUP(N($K326)/MAX(1,N($G326)),0)))</f>
        <v/>
      </c>
      <c r="AF326" s="66" t="str">
        <f aca="false">IF($C326="","",IFERROR(INDEX(商品マスタ!$L$6:$L$1005,MATCH($C326,商品マスタ!$B$6:$B$1005,0)),""))</f>
        <v/>
      </c>
      <c r="AG326" s="143" t="str">
        <f aca="false">IF($C326="","",IFERROR(INDEX(定数マスタ!$S$110:$S$119,MATCH($AF326,定数マスタ!$J$110:$J$119,0)),N('設定（最初に1回）'!$C$13)))</f>
        <v/>
      </c>
      <c r="AH326" s="66" t="n">
        <f aca="false">IF(AND(N($K326)&gt;0,N($Y326)&gt;0),N($Y326),0)</f>
        <v>0</v>
      </c>
    </row>
    <row r="327" customFormat="false" ht="15" hidden="false" customHeight="false" outlineLevel="0" collapsed="false">
      <c r="B327" s="66" t="n">
        <v>322</v>
      </c>
      <c r="C327" s="66" t="str">
        <f aca="false">IFERROR(IF($B327&lt;=MAX(①今日の在庫を貼る!$U$6:$U$10005),INDEX(①今日の在庫を貼る!$I$6:$I$10005,MATCH($B327,①今日の在庫を貼る!$U$6:$U$10005,0)),INDEX(月1回_前回の在庫を貼る!$I$6:$I$10005,MATCH($B327-MAX(①今日の在庫を貼る!$U$6:$U$10005),月1回_前回の在庫を貼る!$U$6:$U$10005,0))),"")</f>
        <v/>
      </c>
      <c r="D327" s="66" t="str">
        <f aca="false">IF($C327="","",IFERROR(INDEX(商品マスタ!$C$6:$C$1005,MATCH($C327,商品マスタ!$B$6:$B$1005,0)),IFERROR(INDEX(①今日の在庫を貼る!$J$6:$J$10005,MATCH($C327,①今日の在庫を貼る!$I$6:$I$10005,0)),IFERROR(INDEX(月1回_前回の在庫を貼る!$J$6:$J$10005,MATCH($C327,月1回_前回の在庫を貼る!$I$6:$I$10005,0)),""))))</f>
        <v/>
      </c>
      <c r="E327" s="66" t="str">
        <f aca="false">IF($C327="","",IFERROR(INDEX(商品マスタ!$D$6:$D$1005,MATCH($C327,商品マスタ!$B$6:$B$1005,0)),IFERROR(INDEX(①今日の在庫を貼る!$H$6:$H$10005,MATCH($C327,①今日の在庫を貼る!$I$6:$I$10005,0)),IFERROR(INDEX(月1回_前回の在庫を貼る!$H$6:$H$10005,MATCH($C327,月1回_前回の在庫を貼る!$I$6:$I$10005,0)),""))))</f>
        <v/>
      </c>
      <c r="F327" s="66" t="str">
        <f aca="false">IF($C327="","",IFERROR(INDEX(商品マスタ!$E$6:$E$1005,MATCH($C327,商品マスタ!$B$6:$B$1005,0)),IFERROR(INDEX(①今日の在庫を貼る!$E$6:$E$10005,MATCH($C327,①今日の在庫を貼る!$I$6:$I$10005,0)),IFERROR(INDEX(月1回_前回の在庫を貼る!$E$6:$E$10005,MATCH($C327,月1回_前回の在庫を貼る!$I$6:$I$10005,0)),""))))</f>
        <v/>
      </c>
      <c r="G327" s="69" t="str">
        <f aca="false">IF($C327="","",IFERROR(INDEX(商品マスタ!$F$6:$F$1005,MATCH($C327,商品マスタ!$B$6:$B$1005,0)),IFERROR(INDEX(①今日の在庫を貼る!$K$6:$K$10005,MATCH($C327,①今日の在庫を貼る!$I$6:$I$10005,0)),IFERROR(INDEX(月1回_前回の在庫を貼る!$K$6:$K$10005,MATCH($C327,月1回_前回の在庫を貼る!$I$6:$I$10005,0)),""))))</f>
        <v/>
      </c>
      <c r="H327" s="71" t="str">
        <f aca="false">IF($C327="","",IFERROR(INDEX(商品マスタ!$G$6:$G$1005,MATCH($C327,商品マスタ!$B$6:$B$1005,0)),IFERROR(INDEX(①今日の在庫を貼る!$Q$6:$Q$10005,MATCH($C327,①今日の在庫を貼る!$I$6:$I$10005,0)),IFERROR(INDEX(月1回_前回の在庫を貼る!$Q$6:$Q$10005,MATCH($C327,月1回_前回の在庫を貼る!$I$6:$I$10005,0)),""))))</f>
        <v/>
      </c>
      <c r="I327" s="66" t="str">
        <f aca="false">IF($C327="","",IFERROR(INDEX(商品マスタ!$H$6:$H$1005,MATCH($C327,商品マスタ!$B$6:$B$1005,0)),3))</f>
        <v/>
      </c>
      <c r="J327" s="66" t="str">
        <f aca="false">IF($C327="","",MAX(1,IFERROR(INDEX(商品マスタ!$I$6:$I$1005,MATCH($C327,商品マスタ!$B$6:$B$1005,0)),1)))</f>
        <v/>
      </c>
      <c r="K327" s="69" t="str">
        <f aca="false">IF($C327="","",SUMIFS(①今日の在庫を貼る!$N$6:$N$10005,①今日の在庫を貼る!$B$6:$B$10005,'設定（最初に1回）'!$C$4,①今日の在庫を貼る!$I$6:$I$10005,$C327))</f>
        <v/>
      </c>
      <c r="L327" s="69" t="str">
        <f aca="false">IF($C327="","",SUMIFS(月1回_前回の在庫を貼る!$N$6:$N$10005,月1回_前回の在庫を貼る!$B$6:$B$10005,'設定（最初に1回）'!$C$4,月1回_前回の在庫を貼る!$I$6:$I$10005,$C327))</f>
        <v/>
      </c>
      <c r="M327" s="69" t="str">
        <f aca="false">IF($C327="","",IF(OR('設定（最初に1回）'!$C$6="",'設定（最初に1回）'!$C$7=""),0,SUMIFS(発注管理!$S$6:$S$1005,発注管理!$C$6:$C$1005,'設定（最初に1回）'!$C$4,発注管理!$F$6:$F$1005,$C327,発注管理!$R$6:$R$1005,"&gt;="&amp;'設定（最初に1回）'!$C$7,発注管理!$R$6:$R$1005,"&lt;="&amp;'設定（最初に1回）'!$C$6)))</f>
        <v/>
      </c>
      <c r="N327" s="69" t="str">
        <f aca="false">IF(OR($C327="",'設定（最初に1回）'!$C$15=0),"",$L327+$M327-$K327)</f>
        <v/>
      </c>
      <c r="O327" s="143" t="str">
        <f aca="false">IF(OR($N327="",'設定（最初に1回）'!$C$8="",'設定（最初に1回）'!$C$8&lt;=0),"",MAX(0,$N327)/'設定（最初に1回）'!$C$8)</f>
        <v/>
      </c>
      <c r="P327" s="143" t="str">
        <f aca="false">IF($C327="","",IFERROR(INDEX(商品マスタ!$M$6:$N$1005,MATCH($C327,商品マスタ!$B$6:$B$1005,0),MATCH("PI値 "&amp;'設定（最初に1回）'!$C$11,商品マスタ!$M$5:$N$5,0)),""))</f>
        <v/>
      </c>
      <c r="Q327" s="143" t="str">
        <f aca="false">IF(OR($C327="",$P327="",$P327=0,(N($I327)+N($AG327))&lt;=0),"",IFERROR(SUMIFS(随時_動員を入れる!$G$8:$G$97,随時_動員を入れる!$B$8:$B$97,"&gt;="&amp;'設定（最初に1回）'!$C$6,随時_動員を入れる!$B$8:$B$97,"&lt;="&amp;'設定（最初に1回）'!$C$6+(N($I327)+N($AG327))-1)/(N($I327)+N($AG327)),0)*$P327/100)</f>
        <v/>
      </c>
      <c r="R327" s="69" t="str">
        <f aca="false">IF($C327="","",SUMIFS(①今日の在庫を貼る!$O$6:$O$10005,①今日の在庫を貼る!$B$6:$B$10005,'設定（最初に1回）'!$C$4,①今日の在庫を貼る!$I$6:$I$10005,$C327))</f>
        <v/>
      </c>
      <c r="S327" s="143" t="str">
        <f aca="false">IF($C327="","",IF('設定（最初に1回）'!$C$9="実績消費",N($O327),IF('設定（最初に1回）'!$C$9="PI値予測",N($Q327),MAX(N($O327),N($Q327)))))</f>
        <v/>
      </c>
      <c r="T327" s="67" t="str">
        <f aca="false">IF(OR($S327="",$S327&lt;=0),"",$K327/$S327)</f>
        <v/>
      </c>
      <c r="U327" s="69" t="str">
        <f aca="false">IF($S327="","",ROUNDUP(N($S327)*'設定（最初に1回）'!$C$12,0))</f>
        <v/>
      </c>
      <c r="V327" s="69" t="str">
        <f aca="false">IF($C327="","",ROUNDUP(N($S327)*(N($I327)+N($AG327))+N($U327),0))</f>
        <v/>
      </c>
      <c r="W327" s="69" t="str">
        <f aca="false">IF($C327="","",SUMIFS(発注管理!$L$6:$L$1005,発注管理!$C$6:$C$1005,'設定（最初に1回）'!$C$4,発注管理!$F$6:$F$1005,$C327,発注管理!$Q$6:$Q$1005,"発注済"))</f>
        <v/>
      </c>
      <c r="X327" s="69" t="str">
        <f aca="false">IF($C327="","",MAX(0,N($V327)-N($K327)-N($W327)))</f>
        <v/>
      </c>
      <c r="Y327" s="147" t="str">
        <f aca="false">IF($C327="","",IF(N($X327)&lt;=0,0,CEILING($X327/MAX(1,N($G327)),MAX(1,N($J327)))))</f>
        <v/>
      </c>
      <c r="Z327" s="138" t="str">
        <f aca="false">IF($C327="","",IF(N($Y327)&gt;0,"要発注","正常"))</f>
        <v/>
      </c>
      <c r="AA327" s="71" t="str">
        <f aca="false">IF($C327="","",N($K327)*N($H327))</f>
        <v/>
      </c>
      <c r="AB327" s="66" t="str">
        <f aca="false">IF($C327="","",_xlfn.TEXTJOIN(" / ",TRUE(),IF(COUNTIF(商品マスタ!$B$6:$B$1005,$C327)=0,"マスタ未登録",""),IF(COUNTIFS(月1回_前回の在庫を貼る!$B$6:$B$10005,'設定（最初に1回）'!$C$4,月1回_前回の在庫を貼る!$I$6:$I$10005,$C327)=0,"新商品",""),IF(COUNTIFS(①今日の在庫を貼る!$B$6:$B$10005,'設定（最初に1回）'!$C$4,①今日の在庫を貼る!$I$6:$I$10005,$C327)=0,"終売候補",""),IF(N($K327)&lt;0,"在庫マイナス",""),IF(AND('設定（最初に1回）'!$C$9="PI値予測",$P327=""),"PI値未設定","")))</f>
        <v/>
      </c>
      <c r="AC327" s="71" t="n">
        <f aca="false">N($Y327)*N($H327)</f>
        <v>0</v>
      </c>
      <c r="AD327" s="66" t="str">
        <f aca="false">IF($C327="","",IFERROR(INDEX(商品マスタ!$K$6:$K$1005,MATCH($C327,商品マスタ!$B$6:$B$1005,0)),"常温"))</f>
        <v/>
      </c>
      <c r="AE327" s="69" t="str">
        <f aca="false">IF($C327="","",MAX(0,ROUNDUP(N($K327)/MAX(1,N($G327)),0)))</f>
        <v/>
      </c>
      <c r="AF327" s="66" t="str">
        <f aca="false">IF($C327="","",IFERROR(INDEX(商品マスタ!$L$6:$L$1005,MATCH($C327,商品マスタ!$B$6:$B$1005,0)),""))</f>
        <v/>
      </c>
      <c r="AG327" s="143" t="str">
        <f aca="false">IF($C327="","",IFERROR(INDEX(定数マスタ!$S$110:$S$119,MATCH($AF327,定数マスタ!$J$110:$J$119,0)),N('設定（最初に1回）'!$C$13)))</f>
        <v/>
      </c>
      <c r="AH327" s="66" t="n">
        <f aca="false">IF(AND(N($K327)&gt;0,N($Y327)&gt;0),N($Y327),0)</f>
        <v>0</v>
      </c>
    </row>
    <row r="328" customFormat="false" ht="15" hidden="false" customHeight="false" outlineLevel="0" collapsed="false">
      <c r="B328" s="66" t="n">
        <v>323</v>
      </c>
      <c r="C328" s="66" t="str">
        <f aca="false">IFERROR(IF($B328&lt;=MAX(①今日の在庫を貼る!$U$6:$U$10005),INDEX(①今日の在庫を貼る!$I$6:$I$10005,MATCH($B328,①今日の在庫を貼る!$U$6:$U$10005,0)),INDEX(月1回_前回の在庫を貼る!$I$6:$I$10005,MATCH($B328-MAX(①今日の在庫を貼る!$U$6:$U$10005),月1回_前回の在庫を貼る!$U$6:$U$10005,0))),"")</f>
        <v/>
      </c>
      <c r="D328" s="66" t="str">
        <f aca="false">IF($C328="","",IFERROR(INDEX(商品マスタ!$C$6:$C$1005,MATCH($C328,商品マスタ!$B$6:$B$1005,0)),IFERROR(INDEX(①今日の在庫を貼る!$J$6:$J$10005,MATCH($C328,①今日の在庫を貼る!$I$6:$I$10005,0)),IFERROR(INDEX(月1回_前回の在庫を貼る!$J$6:$J$10005,MATCH($C328,月1回_前回の在庫を貼る!$I$6:$I$10005,0)),""))))</f>
        <v/>
      </c>
      <c r="E328" s="66" t="str">
        <f aca="false">IF($C328="","",IFERROR(INDEX(商品マスタ!$D$6:$D$1005,MATCH($C328,商品マスタ!$B$6:$B$1005,0)),IFERROR(INDEX(①今日の在庫を貼る!$H$6:$H$10005,MATCH($C328,①今日の在庫を貼る!$I$6:$I$10005,0)),IFERROR(INDEX(月1回_前回の在庫を貼る!$H$6:$H$10005,MATCH($C328,月1回_前回の在庫を貼る!$I$6:$I$10005,0)),""))))</f>
        <v/>
      </c>
      <c r="F328" s="66" t="str">
        <f aca="false">IF($C328="","",IFERROR(INDEX(商品マスタ!$E$6:$E$1005,MATCH($C328,商品マスタ!$B$6:$B$1005,0)),IFERROR(INDEX(①今日の在庫を貼る!$E$6:$E$10005,MATCH($C328,①今日の在庫を貼る!$I$6:$I$10005,0)),IFERROR(INDEX(月1回_前回の在庫を貼る!$E$6:$E$10005,MATCH($C328,月1回_前回の在庫を貼る!$I$6:$I$10005,0)),""))))</f>
        <v/>
      </c>
      <c r="G328" s="69" t="str">
        <f aca="false">IF($C328="","",IFERROR(INDEX(商品マスタ!$F$6:$F$1005,MATCH($C328,商品マスタ!$B$6:$B$1005,0)),IFERROR(INDEX(①今日の在庫を貼る!$K$6:$K$10005,MATCH($C328,①今日の在庫を貼る!$I$6:$I$10005,0)),IFERROR(INDEX(月1回_前回の在庫を貼る!$K$6:$K$10005,MATCH($C328,月1回_前回の在庫を貼る!$I$6:$I$10005,0)),""))))</f>
        <v/>
      </c>
      <c r="H328" s="71" t="str">
        <f aca="false">IF($C328="","",IFERROR(INDEX(商品マスタ!$G$6:$G$1005,MATCH($C328,商品マスタ!$B$6:$B$1005,0)),IFERROR(INDEX(①今日の在庫を貼る!$Q$6:$Q$10005,MATCH($C328,①今日の在庫を貼る!$I$6:$I$10005,0)),IFERROR(INDEX(月1回_前回の在庫を貼る!$Q$6:$Q$10005,MATCH($C328,月1回_前回の在庫を貼る!$I$6:$I$10005,0)),""))))</f>
        <v/>
      </c>
      <c r="I328" s="66" t="str">
        <f aca="false">IF($C328="","",IFERROR(INDEX(商品マスタ!$H$6:$H$1005,MATCH($C328,商品マスタ!$B$6:$B$1005,0)),3))</f>
        <v/>
      </c>
      <c r="J328" s="66" t="str">
        <f aca="false">IF($C328="","",MAX(1,IFERROR(INDEX(商品マスタ!$I$6:$I$1005,MATCH($C328,商品マスタ!$B$6:$B$1005,0)),1)))</f>
        <v/>
      </c>
      <c r="K328" s="69" t="str">
        <f aca="false">IF($C328="","",SUMIFS(①今日の在庫を貼る!$N$6:$N$10005,①今日の在庫を貼る!$B$6:$B$10005,'設定（最初に1回）'!$C$4,①今日の在庫を貼る!$I$6:$I$10005,$C328))</f>
        <v/>
      </c>
      <c r="L328" s="69" t="str">
        <f aca="false">IF($C328="","",SUMIFS(月1回_前回の在庫を貼る!$N$6:$N$10005,月1回_前回の在庫を貼る!$B$6:$B$10005,'設定（最初に1回）'!$C$4,月1回_前回の在庫を貼る!$I$6:$I$10005,$C328))</f>
        <v/>
      </c>
      <c r="M328" s="69" t="str">
        <f aca="false">IF($C328="","",IF(OR('設定（最初に1回）'!$C$6="",'設定（最初に1回）'!$C$7=""),0,SUMIFS(発注管理!$S$6:$S$1005,発注管理!$C$6:$C$1005,'設定（最初に1回）'!$C$4,発注管理!$F$6:$F$1005,$C328,発注管理!$R$6:$R$1005,"&gt;="&amp;'設定（最初に1回）'!$C$7,発注管理!$R$6:$R$1005,"&lt;="&amp;'設定（最初に1回）'!$C$6)))</f>
        <v/>
      </c>
      <c r="N328" s="69" t="str">
        <f aca="false">IF(OR($C328="",'設定（最初に1回）'!$C$15=0),"",$L328+$M328-$K328)</f>
        <v/>
      </c>
      <c r="O328" s="143" t="str">
        <f aca="false">IF(OR($N328="",'設定（最初に1回）'!$C$8="",'設定（最初に1回）'!$C$8&lt;=0),"",MAX(0,$N328)/'設定（最初に1回）'!$C$8)</f>
        <v/>
      </c>
      <c r="P328" s="143" t="str">
        <f aca="false">IF($C328="","",IFERROR(INDEX(商品マスタ!$M$6:$N$1005,MATCH($C328,商品マスタ!$B$6:$B$1005,0),MATCH("PI値 "&amp;'設定（最初に1回）'!$C$11,商品マスタ!$M$5:$N$5,0)),""))</f>
        <v/>
      </c>
      <c r="Q328" s="143" t="str">
        <f aca="false">IF(OR($C328="",$P328="",$P328=0,(N($I328)+N($AG328))&lt;=0),"",IFERROR(SUMIFS(随時_動員を入れる!$G$8:$G$97,随時_動員を入れる!$B$8:$B$97,"&gt;="&amp;'設定（最初に1回）'!$C$6,随時_動員を入れる!$B$8:$B$97,"&lt;="&amp;'設定（最初に1回）'!$C$6+(N($I328)+N($AG328))-1)/(N($I328)+N($AG328)),0)*$P328/100)</f>
        <v/>
      </c>
      <c r="R328" s="69" t="str">
        <f aca="false">IF($C328="","",SUMIFS(①今日の在庫を貼る!$O$6:$O$10005,①今日の在庫を貼る!$B$6:$B$10005,'設定（最初に1回）'!$C$4,①今日の在庫を貼る!$I$6:$I$10005,$C328))</f>
        <v/>
      </c>
      <c r="S328" s="143" t="str">
        <f aca="false">IF($C328="","",IF('設定（最初に1回）'!$C$9="実績消費",N($O328),IF('設定（最初に1回）'!$C$9="PI値予測",N($Q328),MAX(N($O328),N($Q328)))))</f>
        <v/>
      </c>
      <c r="T328" s="67" t="str">
        <f aca="false">IF(OR($S328="",$S328&lt;=0),"",$K328/$S328)</f>
        <v/>
      </c>
      <c r="U328" s="69" t="str">
        <f aca="false">IF($S328="","",ROUNDUP(N($S328)*'設定（最初に1回）'!$C$12,0))</f>
        <v/>
      </c>
      <c r="V328" s="69" t="str">
        <f aca="false">IF($C328="","",ROUNDUP(N($S328)*(N($I328)+N($AG328))+N($U328),0))</f>
        <v/>
      </c>
      <c r="W328" s="69" t="str">
        <f aca="false">IF($C328="","",SUMIFS(発注管理!$L$6:$L$1005,発注管理!$C$6:$C$1005,'設定（最初に1回）'!$C$4,発注管理!$F$6:$F$1005,$C328,発注管理!$Q$6:$Q$1005,"発注済"))</f>
        <v/>
      </c>
      <c r="X328" s="69" t="str">
        <f aca="false">IF($C328="","",MAX(0,N($V328)-N($K328)-N($W328)))</f>
        <v/>
      </c>
      <c r="Y328" s="147" t="str">
        <f aca="false">IF($C328="","",IF(N($X328)&lt;=0,0,CEILING($X328/MAX(1,N($G328)),MAX(1,N($J328)))))</f>
        <v/>
      </c>
      <c r="Z328" s="138" t="str">
        <f aca="false">IF($C328="","",IF(N($Y328)&gt;0,"要発注","正常"))</f>
        <v/>
      </c>
      <c r="AA328" s="71" t="str">
        <f aca="false">IF($C328="","",N($K328)*N($H328))</f>
        <v/>
      </c>
      <c r="AB328" s="66" t="str">
        <f aca="false">IF($C328="","",_xlfn.TEXTJOIN(" / ",TRUE(),IF(COUNTIF(商品マスタ!$B$6:$B$1005,$C328)=0,"マスタ未登録",""),IF(COUNTIFS(月1回_前回の在庫を貼る!$B$6:$B$10005,'設定（最初に1回）'!$C$4,月1回_前回の在庫を貼る!$I$6:$I$10005,$C328)=0,"新商品",""),IF(COUNTIFS(①今日の在庫を貼る!$B$6:$B$10005,'設定（最初に1回）'!$C$4,①今日の在庫を貼る!$I$6:$I$10005,$C328)=0,"終売候補",""),IF(N($K328)&lt;0,"在庫マイナス",""),IF(AND('設定（最初に1回）'!$C$9="PI値予測",$P328=""),"PI値未設定","")))</f>
        <v/>
      </c>
      <c r="AC328" s="71" t="n">
        <f aca="false">N($Y328)*N($H328)</f>
        <v>0</v>
      </c>
      <c r="AD328" s="66" t="str">
        <f aca="false">IF($C328="","",IFERROR(INDEX(商品マスタ!$K$6:$K$1005,MATCH($C328,商品マスタ!$B$6:$B$1005,0)),"常温"))</f>
        <v/>
      </c>
      <c r="AE328" s="69" t="str">
        <f aca="false">IF($C328="","",MAX(0,ROUNDUP(N($K328)/MAX(1,N($G328)),0)))</f>
        <v/>
      </c>
      <c r="AF328" s="66" t="str">
        <f aca="false">IF($C328="","",IFERROR(INDEX(商品マスタ!$L$6:$L$1005,MATCH($C328,商品マスタ!$B$6:$B$1005,0)),""))</f>
        <v/>
      </c>
      <c r="AG328" s="143" t="str">
        <f aca="false">IF($C328="","",IFERROR(INDEX(定数マスタ!$S$110:$S$119,MATCH($AF328,定数マスタ!$J$110:$J$119,0)),N('設定（最初に1回）'!$C$13)))</f>
        <v/>
      </c>
      <c r="AH328" s="66" t="n">
        <f aca="false">IF(AND(N($K328)&gt;0,N($Y328)&gt;0),N($Y328),0)</f>
        <v>0</v>
      </c>
    </row>
    <row r="329" customFormat="false" ht="15" hidden="false" customHeight="false" outlineLevel="0" collapsed="false">
      <c r="B329" s="66" t="n">
        <v>324</v>
      </c>
      <c r="C329" s="66" t="str">
        <f aca="false">IFERROR(IF($B329&lt;=MAX(①今日の在庫を貼る!$U$6:$U$10005),INDEX(①今日の在庫を貼る!$I$6:$I$10005,MATCH($B329,①今日の在庫を貼る!$U$6:$U$10005,0)),INDEX(月1回_前回の在庫を貼る!$I$6:$I$10005,MATCH($B329-MAX(①今日の在庫を貼る!$U$6:$U$10005),月1回_前回の在庫を貼る!$U$6:$U$10005,0))),"")</f>
        <v/>
      </c>
      <c r="D329" s="66" t="str">
        <f aca="false">IF($C329="","",IFERROR(INDEX(商品マスタ!$C$6:$C$1005,MATCH($C329,商品マスタ!$B$6:$B$1005,0)),IFERROR(INDEX(①今日の在庫を貼る!$J$6:$J$10005,MATCH($C329,①今日の在庫を貼る!$I$6:$I$10005,0)),IFERROR(INDEX(月1回_前回の在庫を貼る!$J$6:$J$10005,MATCH($C329,月1回_前回の在庫を貼る!$I$6:$I$10005,0)),""))))</f>
        <v/>
      </c>
      <c r="E329" s="66" t="str">
        <f aca="false">IF($C329="","",IFERROR(INDEX(商品マスタ!$D$6:$D$1005,MATCH($C329,商品マスタ!$B$6:$B$1005,0)),IFERROR(INDEX(①今日の在庫を貼る!$H$6:$H$10005,MATCH($C329,①今日の在庫を貼る!$I$6:$I$10005,0)),IFERROR(INDEX(月1回_前回の在庫を貼る!$H$6:$H$10005,MATCH($C329,月1回_前回の在庫を貼る!$I$6:$I$10005,0)),""))))</f>
        <v/>
      </c>
      <c r="F329" s="66" t="str">
        <f aca="false">IF($C329="","",IFERROR(INDEX(商品マスタ!$E$6:$E$1005,MATCH($C329,商品マスタ!$B$6:$B$1005,0)),IFERROR(INDEX(①今日の在庫を貼る!$E$6:$E$10005,MATCH($C329,①今日の在庫を貼る!$I$6:$I$10005,0)),IFERROR(INDEX(月1回_前回の在庫を貼る!$E$6:$E$10005,MATCH($C329,月1回_前回の在庫を貼る!$I$6:$I$10005,0)),""))))</f>
        <v/>
      </c>
      <c r="G329" s="69" t="str">
        <f aca="false">IF($C329="","",IFERROR(INDEX(商品マスタ!$F$6:$F$1005,MATCH($C329,商品マスタ!$B$6:$B$1005,0)),IFERROR(INDEX(①今日の在庫を貼る!$K$6:$K$10005,MATCH($C329,①今日の在庫を貼る!$I$6:$I$10005,0)),IFERROR(INDEX(月1回_前回の在庫を貼る!$K$6:$K$10005,MATCH($C329,月1回_前回の在庫を貼る!$I$6:$I$10005,0)),""))))</f>
        <v/>
      </c>
      <c r="H329" s="71" t="str">
        <f aca="false">IF($C329="","",IFERROR(INDEX(商品マスタ!$G$6:$G$1005,MATCH($C329,商品マスタ!$B$6:$B$1005,0)),IFERROR(INDEX(①今日の在庫を貼る!$Q$6:$Q$10005,MATCH($C329,①今日の在庫を貼る!$I$6:$I$10005,0)),IFERROR(INDEX(月1回_前回の在庫を貼る!$Q$6:$Q$10005,MATCH($C329,月1回_前回の在庫を貼る!$I$6:$I$10005,0)),""))))</f>
        <v/>
      </c>
      <c r="I329" s="66" t="str">
        <f aca="false">IF($C329="","",IFERROR(INDEX(商品マスタ!$H$6:$H$1005,MATCH($C329,商品マスタ!$B$6:$B$1005,0)),3))</f>
        <v/>
      </c>
      <c r="J329" s="66" t="str">
        <f aca="false">IF($C329="","",MAX(1,IFERROR(INDEX(商品マスタ!$I$6:$I$1005,MATCH($C329,商品マスタ!$B$6:$B$1005,0)),1)))</f>
        <v/>
      </c>
      <c r="K329" s="69" t="str">
        <f aca="false">IF($C329="","",SUMIFS(①今日の在庫を貼る!$N$6:$N$10005,①今日の在庫を貼る!$B$6:$B$10005,'設定（最初に1回）'!$C$4,①今日の在庫を貼る!$I$6:$I$10005,$C329))</f>
        <v/>
      </c>
      <c r="L329" s="69" t="str">
        <f aca="false">IF($C329="","",SUMIFS(月1回_前回の在庫を貼る!$N$6:$N$10005,月1回_前回の在庫を貼る!$B$6:$B$10005,'設定（最初に1回）'!$C$4,月1回_前回の在庫を貼る!$I$6:$I$10005,$C329))</f>
        <v/>
      </c>
      <c r="M329" s="69" t="str">
        <f aca="false">IF($C329="","",IF(OR('設定（最初に1回）'!$C$6="",'設定（最初に1回）'!$C$7=""),0,SUMIFS(発注管理!$S$6:$S$1005,発注管理!$C$6:$C$1005,'設定（最初に1回）'!$C$4,発注管理!$F$6:$F$1005,$C329,発注管理!$R$6:$R$1005,"&gt;="&amp;'設定（最初に1回）'!$C$7,発注管理!$R$6:$R$1005,"&lt;="&amp;'設定（最初に1回）'!$C$6)))</f>
        <v/>
      </c>
      <c r="N329" s="69" t="str">
        <f aca="false">IF(OR($C329="",'設定（最初に1回）'!$C$15=0),"",$L329+$M329-$K329)</f>
        <v/>
      </c>
      <c r="O329" s="143" t="str">
        <f aca="false">IF(OR($N329="",'設定（最初に1回）'!$C$8="",'設定（最初に1回）'!$C$8&lt;=0),"",MAX(0,$N329)/'設定（最初に1回）'!$C$8)</f>
        <v/>
      </c>
      <c r="P329" s="143" t="str">
        <f aca="false">IF($C329="","",IFERROR(INDEX(商品マスタ!$M$6:$N$1005,MATCH($C329,商品マスタ!$B$6:$B$1005,0),MATCH("PI値 "&amp;'設定（最初に1回）'!$C$11,商品マスタ!$M$5:$N$5,0)),""))</f>
        <v/>
      </c>
      <c r="Q329" s="143" t="str">
        <f aca="false">IF(OR($C329="",$P329="",$P329=0,(N($I329)+N($AG329))&lt;=0),"",IFERROR(SUMIFS(随時_動員を入れる!$G$8:$G$97,随時_動員を入れる!$B$8:$B$97,"&gt;="&amp;'設定（最初に1回）'!$C$6,随時_動員を入れる!$B$8:$B$97,"&lt;="&amp;'設定（最初に1回）'!$C$6+(N($I329)+N($AG329))-1)/(N($I329)+N($AG329)),0)*$P329/100)</f>
        <v/>
      </c>
      <c r="R329" s="69" t="str">
        <f aca="false">IF($C329="","",SUMIFS(①今日の在庫を貼る!$O$6:$O$10005,①今日の在庫を貼る!$B$6:$B$10005,'設定（最初に1回）'!$C$4,①今日の在庫を貼る!$I$6:$I$10005,$C329))</f>
        <v/>
      </c>
      <c r="S329" s="143" t="str">
        <f aca="false">IF($C329="","",IF('設定（最初に1回）'!$C$9="実績消費",N($O329),IF('設定（最初に1回）'!$C$9="PI値予測",N($Q329),MAX(N($O329),N($Q329)))))</f>
        <v/>
      </c>
      <c r="T329" s="67" t="str">
        <f aca="false">IF(OR($S329="",$S329&lt;=0),"",$K329/$S329)</f>
        <v/>
      </c>
      <c r="U329" s="69" t="str">
        <f aca="false">IF($S329="","",ROUNDUP(N($S329)*'設定（最初に1回）'!$C$12,0))</f>
        <v/>
      </c>
      <c r="V329" s="69" t="str">
        <f aca="false">IF($C329="","",ROUNDUP(N($S329)*(N($I329)+N($AG329))+N($U329),0))</f>
        <v/>
      </c>
      <c r="W329" s="69" t="str">
        <f aca="false">IF($C329="","",SUMIFS(発注管理!$L$6:$L$1005,発注管理!$C$6:$C$1005,'設定（最初に1回）'!$C$4,発注管理!$F$6:$F$1005,$C329,発注管理!$Q$6:$Q$1005,"発注済"))</f>
        <v/>
      </c>
      <c r="X329" s="69" t="str">
        <f aca="false">IF($C329="","",MAX(0,N($V329)-N($K329)-N($W329)))</f>
        <v/>
      </c>
      <c r="Y329" s="147" t="str">
        <f aca="false">IF($C329="","",IF(N($X329)&lt;=0,0,CEILING($X329/MAX(1,N($G329)),MAX(1,N($J329)))))</f>
        <v/>
      </c>
      <c r="Z329" s="138" t="str">
        <f aca="false">IF($C329="","",IF(N($Y329)&gt;0,"要発注","正常"))</f>
        <v/>
      </c>
      <c r="AA329" s="71" t="str">
        <f aca="false">IF($C329="","",N($K329)*N($H329))</f>
        <v/>
      </c>
      <c r="AB329" s="66" t="str">
        <f aca="false">IF($C329="","",_xlfn.TEXTJOIN(" / ",TRUE(),IF(COUNTIF(商品マスタ!$B$6:$B$1005,$C329)=0,"マスタ未登録",""),IF(COUNTIFS(月1回_前回の在庫を貼る!$B$6:$B$10005,'設定（最初に1回）'!$C$4,月1回_前回の在庫を貼る!$I$6:$I$10005,$C329)=0,"新商品",""),IF(COUNTIFS(①今日の在庫を貼る!$B$6:$B$10005,'設定（最初に1回）'!$C$4,①今日の在庫を貼る!$I$6:$I$10005,$C329)=0,"終売候補",""),IF(N($K329)&lt;0,"在庫マイナス",""),IF(AND('設定（最初に1回）'!$C$9="PI値予測",$P329=""),"PI値未設定","")))</f>
        <v/>
      </c>
      <c r="AC329" s="71" t="n">
        <f aca="false">N($Y329)*N($H329)</f>
        <v>0</v>
      </c>
      <c r="AD329" s="66" t="str">
        <f aca="false">IF($C329="","",IFERROR(INDEX(商品マスタ!$K$6:$K$1005,MATCH($C329,商品マスタ!$B$6:$B$1005,0)),"常温"))</f>
        <v/>
      </c>
      <c r="AE329" s="69" t="str">
        <f aca="false">IF($C329="","",MAX(0,ROUNDUP(N($K329)/MAX(1,N($G329)),0)))</f>
        <v/>
      </c>
      <c r="AF329" s="66" t="str">
        <f aca="false">IF($C329="","",IFERROR(INDEX(商品マスタ!$L$6:$L$1005,MATCH($C329,商品マスタ!$B$6:$B$1005,0)),""))</f>
        <v/>
      </c>
      <c r="AG329" s="143" t="str">
        <f aca="false">IF($C329="","",IFERROR(INDEX(定数マスタ!$S$110:$S$119,MATCH($AF329,定数マスタ!$J$110:$J$119,0)),N('設定（最初に1回）'!$C$13)))</f>
        <v/>
      </c>
      <c r="AH329" s="66" t="n">
        <f aca="false">IF(AND(N($K329)&gt;0,N($Y329)&gt;0),N($Y329),0)</f>
        <v>0</v>
      </c>
    </row>
    <row r="330" customFormat="false" ht="15" hidden="false" customHeight="false" outlineLevel="0" collapsed="false">
      <c r="B330" s="66" t="n">
        <v>325</v>
      </c>
      <c r="C330" s="66" t="str">
        <f aca="false">IFERROR(IF($B330&lt;=MAX(①今日の在庫を貼る!$U$6:$U$10005),INDEX(①今日の在庫を貼る!$I$6:$I$10005,MATCH($B330,①今日の在庫を貼る!$U$6:$U$10005,0)),INDEX(月1回_前回の在庫を貼る!$I$6:$I$10005,MATCH($B330-MAX(①今日の在庫を貼る!$U$6:$U$10005),月1回_前回の在庫を貼る!$U$6:$U$10005,0))),"")</f>
        <v/>
      </c>
      <c r="D330" s="66" t="str">
        <f aca="false">IF($C330="","",IFERROR(INDEX(商品マスタ!$C$6:$C$1005,MATCH($C330,商品マスタ!$B$6:$B$1005,0)),IFERROR(INDEX(①今日の在庫を貼る!$J$6:$J$10005,MATCH($C330,①今日の在庫を貼る!$I$6:$I$10005,0)),IFERROR(INDEX(月1回_前回の在庫を貼る!$J$6:$J$10005,MATCH($C330,月1回_前回の在庫を貼る!$I$6:$I$10005,0)),""))))</f>
        <v/>
      </c>
      <c r="E330" s="66" t="str">
        <f aca="false">IF($C330="","",IFERROR(INDEX(商品マスタ!$D$6:$D$1005,MATCH($C330,商品マスタ!$B$6:$B$1005,0)),IFERROR(INDEX(①今日の在庫を貼る!$H$6:$H$10005,MATCH($C330,①今日の在庫を貼る!$I$6:$I$10005,0)),IFERROR(INDEX(月1回_前回の在庫を貼る!$H$6:$H$10005,MATCH($C330,月1回_前回の在庫を貼る!$I$6:$I$10005,0)),""))))</f>
        <v/>
      </c>
      <c r="F330" s="66" t="str">
        <f aca="false">IF($C330="","",IFERROR(INDEX(商品マスタ!$E$6:$E$1005,MATCH($C330,商品マスタ!$B$6:$B$1005,0)),IFERROR(INDEX(①今日の在庫を貼る!$E$6:$E$10005,MATCH($C330,①今日の在庫を貼る!$I$6:$I$10005,0)),IFERROR(INDEX(月1回_前回の在庫を貼る!$E$6:$E$10005,MATCH($C330,月1回_前回の在庫を貼る!$I$6:$I$10005,0)),""))))</f>
        <v/>
      </c>
      <c r="G330" s="69" t="str">
        <f aca="false">IF($C330="","",IFERROR(INDEX(商品マスタ!$F$6:$F$1005,MATCH($C330,商品マスタ!$B$6:$B$1005,0)),IFERROR(INDEX(①今日の在庫を貼る!$K$6:$K$10005,MATCH($C330,①今日の在庫を貼る!$I$6:$I$10005,0)),IFERROR(INDEX(月1回_前回の在庫を貼る!$K$6:$K$10005,MATCH($C330,月1回_前回の在庫を貼る!$I$6:$I$10005,0)),""))))</f>
        <v/>
      </c>
      <c r="H330" s="71" t="str">
        <f aca="false">IF($C330="","",IFERROR(INDEX(商品マスタ!$G$6:$G$1005,MATCH($C330,商品マスタ!$B$6:$B$1005,0)),IFERROR(INDEX(①今日の在庫を貼る!$Q$6:$Q$10005,MATCH($C330,①今日の在庫を貼る!$I$6:$I$10005,0)),IFERROR(INDEX(月1回_前回の在庫を貼る!$Q$6:$Q$10005,MATCH($C330,月1回_前回の在庫を貼る!$I$6:$I$10005,0)),""))))</f>
        <v/>
      </c>
      <c r="I330" s="66" t="str">
        <f aca="false">IF($C330="","",IFERROR(INDEX(商品マスタ!$H$6:$H$1005,MATCH($C330,商品マスタ!$B$6:$B$1005,0)),3))</f>
        <v/>
      </c>
      <c r="J330" s="66" t="str">
        <f aca="false">IF($C330="","",MAX(1,IFERROR(INDEX(商品マスタ!$I$6:$I$1005,MATCH($C330,商品マスタ!$B$6:$B$1005,0)),1)))</f>
        <v/>
      </c>
      <c r="K330" s="69" t="str">
        <f aca="false">IF($C330="","",SUMIFS(①今日の在庫を貼る!$N$6:$N$10005,①今日の在庫を貼る!$B$6:$B$10005,'設定（最初に1回）'!$C$4,①今日の在庫を貼る!$I$6:$I$10005,$C330))</f>
        <v/>
      </c>
      <c r="L330" s="69" t="str">
        <f aca="false">IF($C330="","",SUMIFS(月1回_前回の在庫を貼る!$N$6:$N$10005,月1回_前回の在庫を貼る!$B$6:$B$10005,'設定（最初に1回）'!$C$4,月1回_前回の在庫を貼る!$I$6:$I$10005,$C330))</f>
        <v/>
      </c>
      <c r="M330" s="69" t="str">
        <f aca="false">IF($C330="","",IF(OR('設定（最初に1回）'!$C$6="",'設定（最初に1回）'!$C$7=""),0,SUMIFS(発注管理!$S$6:$S$1005,発注管理!$C$6:$C$1005,'設定（最初に1回）'!$C$4,発注管理!$F$6:$F$1005,$C330,発注管理!$R$6:$R$1005,"&gt;="&amp;'設定（最初に1回）'!$C$7,発注管理!$R$6:$R$1005,"&lt;="&amp;'設定（最初に1回）'!$C$6)))</f>
        <v/>
      </c>
      <c r="N330" s="69" t="str">
        <f aca="false">IF(OR($C330="",'設定（最初に1回）'!$C$15=0),"",$L330+$M330-$K330)</f>
        <v/>
      </c>
      <c r="O330" s="143" t="str">
        <f aca="false">IF(OR($N330="",'設定（最初に1回）'!$C$8="",'設定（最初に1回）'!$C$8&lt;=0),"",MAX(0,$N330)/'設定（最初に1回）'!$C$8)</f>
        <v/>
      </c>
      <c r="P330" s="143" t="str">
        <f aca="false">IF($C330="","",IFERROR(INDEX(商品マスタ!$M$6:$N$1005,MATCH($C330,商品マスタ!$B$6:$B$1005,0),MATCH("PI値 "&amp;'設定（最初に1回）'!$C$11,商品マスタ!$M$5:$N$5,0)),""))</f>
        <v/>
      </c>
      <c r="Q330" s="143" t="str">
        <f aca="false">IF(OR($C330="",$P330="",$P330=0,(N($I330)+N($AG330))&lt;=0),"",IFERROR(SUMIFS(随時_動員を入れる!$G$8:$G$97,随時_動員を入れる!$B$8:$B$97,"&gt;="&amp;'設定（最初に1回）'!$C$6,随時_動員を入れる!$B$8:$B$97,"&lt;="&amp;'設定（最初に1回）'!$C$6+(N($I330)+N($AG330))-1)/(N($I330)+N($AG330)),0)*$P330/100)</f>
        <v/>
      </c>
      <c r="R330" s="69" t="str">
        <f aca="false">IF($C330="","",SUMIFS(①今日の在庫を貼る!$O$6:$O$10005,①今日の在庫を貼る!$B$6:$B$10005,'設定（最初に1回）'!$C$4,①今日の在庫を貼る!$I$6:$I$10005,$C330))</f>
        <v/>
      </c>
      <c r="S330" s="143" t="str">
        <f aca="false">IF($C330="","",IF('設定（最初に1回）'!$C$9="実績消費",N($O330),IF('設定（最初に1回）'!$C$9="PI値予測",N($Q330),MAX(N($O330),N($Q330)))))</f>
        <v/>
      </c>
      <c r="T330" s="67" t="str">
        <f aca="false">IF(OR($S330="",$S330&lt;=0),"",$K330/$S330)</f>
        <v/>
      </c>
      <c r="U330" s="69" t="str">
        <f aca="false">IF($S330="","",ROUNDUP(N($S330)*'設定（最初に1回）'!$C$12,0))</f>
        <v/>
      </c>
      <c r="V330" s="69" t="str">
        <f aca="false">IF($C330="","",ROUNDUP(N($S330)*(N($I330)+N($AG330))+N($U330),0))</f>
        <v/>
      </c>
      <c r="W330" s="69" t="str">
        <f aca="false">IF($C330="","",SUMIFS(発注管理!$L$6:$L$1005,発注管理!$C$6:$C$1005,'設定（最初に1回）'!$C$4,発注管理!$F$6:$F$1005,$C330,発注管理!$Q$6:$Q$1005,"発注済"))</f>
        <v/>
      </c>
      <c r="X330" s="69" t="str">
        <f aca="false">IF($C330="","",MAX(0,N($V330)-N($K330)-N($W330)))</f>
        <v/>
      </c>
      <c r="Y330" s="147" t="str">
        <f aca="false">IF($C330="","",IF(N($X330)&lt;=0,0,CEILING($X330/MAX(1,N($G330)),MAX(1,N($J330)))))</f>
        <v/>
      </c>
      <c r="Z330" s="138" t="str">
        <f aca="false">IF($C330="","",IF(N($Y330)&gt;0,"要発注","正常"))</f>
        <v/>
      </c>
      <c r="AA330" s="71" t="str">
        <f aca="false">IF($C330="","",N($K330)*N($H330))</f>
        <v/>
      </c>
      <c r="AB330" s="66" t="str">
        <f aca="false">IF($C330="","",_xlfn.TEXTJOIN(" / ",TRUE(),IF(COUNTIF(商品マスタ!$B$6:$B$1005,$C330)=0,"マスタ未登録",""),IF(COUNTIFS(月1回_前回の在庫を貼る!$B$6:$B$10005,'設定（最初に1回）'!$C$4,月1回_前回の在庫を貼る!$I$6:$I$10005,$C330)=0,"新商品",""),IF(COUNTIFS(①今日の在庫を貼る!$B$6:$B$10005,'設定（最初に1回）'!$C$4,①今日の在庫を貼る!$I$6:$I$10005,$C330)=0,"終売候補",""),IF(N($K330)&lt;0,"在庫マイナス",""),IF(AND('設定（最初に1回）'!$C$9="PI値予測",$P330=""),"PI値未設定","")))</f>
        <v/>
      </c>
      <c r="AC330" s="71" t="n">
        <f aca="false">N($Y330)*N($H330)</f>
        <v>0</v>
      </c>
      <c r="AD330" s="66" t="str">
        <f aca="false">IF($C330="","",IFERROR(INDEX(商品マスタ!$K$6:$K$1005,MATCH($C330,商品マスタ!$B$6:$B$1005,0)),"常温"))</f>
        <v/>
      </c>
      <c r="AE330" s="69" t="str">
        <f aca="false">IF($C330="","",MAX(0,ROUNDUP(N($K330)/MAX(1,N($G330)),0)))</f>
        <v/>
      </c>
      <c r="AF330" s="66" t="str">
        <f aca="false">IF($C330="","",IFERROR(INDEX(商品マスタ!$L$6:$L$1005,MATCH($C330,商品マスタ!$B$6:$B$1005,0)),""))</f>
        <v/>
      </c>
      <c r="AG330" s="143" t="str">
        <f aca="false">IF($C330="","",IFERROR(INDEX(定数マスタ!$S$110:$S$119,MATCH($AF330,定数マスタ!$J$110:$J$119,0)),N('設定（最初に1回）'!$C$13)))</f>
        <v/>
      </c>
      <c r="AH330" s="66" t="n">
        <f aca="false">IF(AND(N($K330)&gt;0,N($Y330)&gt;0),N($Y330),0)</f>
        <v>0</v>
      </c>
    </row>
    <row r="331" customFormat="false" ht="15" hidden="false" customHeight="false" outlineLevel="0" collapsed="false">
      <c r="B331" s="66" t="n">
        <v>326</v>
      </c>
      <c r="C331" s="66" t="str">
        <f aca="false">IFERROR(IF($B331&lt;=MAX(①今日の在庫を貼る!$U$6:$U$10005),INDEX(①今日の在庫を貼る!$I$6:$I$10005,MATCH($B331,①今日の在庫を貼る!$U$6:$U$10005,0)),INDEX(月1回_前回の在庫を貼る!$I$6:$I$10005,MATCH($B331-MAX(①今日の在庫を貼る!$U$6:$U$10005),月1回_前回の在庫を貼る!$U$6:$U$10005,0))),"")</f>
        <v/>
      </c>
      <c r="D331" s="66" t="str">
        <f aca="false">IF($C331="","",IFERROR(INDEX(商品マスタ!$C$6:$C$1005,MATCH($C331,商品マスタ!$B$6:$B$1005,0)),IFERROR(INDEX(①今日の在庫を貼る!$J$6:$J$10005,MATCH($C331,①今日の在庫を貼る!$I$6:$I$10005,0)),IFERROR(INDEX(月1回_前回の在庫を貼る!$J$6:$J$10005,MATCH($C331,月1回_前回の在庫を貼る!$I$6:$I$10005,0)),""))))</f>
        <v/>
      </c>
      <c r="E331" s="66" t="str">
        <f aca="false">IF($C331="","",IFERROR(INDEX(商品マスタ!$D$6:$D$1005,MATCH($C331,商品マスタ!$B$6:$B$1005,0)),IFERROR(INDEX(①今日の在庫を貼る!$H$6:$H$10005,MATCH($C331,①今日の在庫を貼る!$I$6:$I$10005,0)),IFERROR(INDEX(月1回_前回の在庫を貼る!$H$6:$H$10005,MATCH($C331,月1回_前回の在庫を貼る!$I$6:$I$10005,0)),""))))</f>
        <v/>
      </c>
      <c r="F331" s="66" t="str">
        <f aca="false">IF($C331="","",IFERROR(INDEX(商品マスタ!$E$6:$E$1005,MATCH($C331,商品マスタ!$B$6:$B$1005,0)),IFERROR(INDEX(①今日の在庫を貼る!$E$6:$E$10005,MATCH($C331,①今日の在庫を貼る!$I$6:$I$10005,0)),IFERROR(INDEX(月1回_前回の在庫を貼る!$E$6:$E$10005,MATCH($C331,月1回_前回の在庫を貼る!$I$6:$I$10005,0)),""))))</f>
        <v/>
      </c>
      <c r="G331" s="69" t="str">
        <f aca="false">IF($C331="","",IFERROR(INDEX(商品マスタ!$F$6:$F$1005,MATCH($C331,商品マスタ!$B$6:$B$1005,0)),IFERROR(INDEX(①今日の在庫を貼る!$K$6:$K$10005,MATCH($C331,①今日の在庫を貼る!$I$6:$I$10005,0)),IFERROR(INDEX(月1回_前回の在庫を貼る!$K$6:$K$10005,MATCH($C331,月1回_前回の在庫を貼る!$I$6:$I$10005,0)),""))))</f>
        <v/>
      </c>
      <c r="H331" s="71" t="str">
        <f aca="false">IF($C331="","",IFERROR(INDEX(商品マスタ!$G$6:$G$1005,MATCH($C331,商品マスタ!$B$6:$B$1005,0)),IFERROR(INDEX(①今日の在庫を貼る!$Q$6:$Q$10005,MATCH($C331,①今日の在庫を貼る!$I$6:$I$10005,0)),IFERROR(INDEX(月1回_前回の在庫を貼る!$Q$6:$Q$10005,MATCH($C331,月1回_前回の在庫を貼る!$I$6:$I$10005,0)),""))))</f>
        <v/>
      </c>
      <c r="I331" s="66" t="str">
        <f aca="false">IF($C331="","",IFERROR(INDEX(商品マスタ!$H$6:$H$1005,MATCH($C331,商品マスタ!$B$6:$B$1005,0)),3))</f>
        <v/>
      </c>
      <c r="J331" s="66" t="str">
        <f aca="false">IF($C331="","",MAX(1,IFERROR(INDEX(商品マスタ!$I$6:$I$1005,MATCH($C331,商品マスタ!$B$6:$B$1005,0)),1)))</f>
        <v/>
      </c>
      <c r="K331" s="69" t="str">
        <f aca="false">IF($C331="","",SUMIFS(①今日の在庫を貼る!$N$6:$N$10005,①今日の在庫を貼る!$B$6:$B$10005,'設定（最初に1回）'!$C$4,①今日の在庫を貼る!$I$6:$I$10005,$C331))</f>
        <v/>
      </c>
      <c r="L331" s="69" t="str">
        <f aca="false">IF($C331="","",SUMIFS(月1回_前回の在庫を貼る!$N$6:$N$10005,月1回_前回の在庫を貼る!$B$6:$B$10005,'設定（最初に1回）'!$C$4,月1回_前回の在庫を貼る!$I$6:$I$10005,$C331))</f>
        <v/>
      </c>
      <c r="M331" s="69" t="str">
        <f aca="false">IF($C331="","",IF(OR('設定（最初に1回）'!$C$6="",'設定（最初に1回）'!$C$7=""),0,SUMIFS(発注管理!$S$6:$S$1005,発注管理!$C$6:$C$1005,'設定（最初に1回）'!$C$4,発注管理!$F$6:$F$1005,$C331,発注管理!$R$6:$R$1005,"&gt;="&amp;'設定（最初に1回）'!$C$7,発注管理!$R$6:$R$1005,"&lt;="&amp;'設定（最初に1回）'!$C$6)))</f>
        <v/>
      </c>
      <c r="N331" s="69" t="str">
        <f aca="false">IF(OR($C331="",'設定（最初に1回）'!$C$15=0),"",$L331+$M331-$K331)</f>
        <v/>
      </c>
      <c r="O331" s="143" t="str">
        <f aca="false">IF(OR($N331="",'設定（最初に1回）'!$C$8="",'設定（最初に1回）'!$C$8&lt;=0),"",MAX(0,$N331)/'設定（最初に1回）'!$C$8)</f>
        <v/>
      </c>
      <c r="P331" s="143" t="str">
        <f aca="false">IF($C331="","",IFERROR(INDEX(商品マスタ!$M$6:$N$1005,MATCH($C331,商品マスタ!$B$6:$B$1005,0),MATCH("PI値 "&amp;'設定（最初に1回）'!$C$11,商品マスタ!$M$5:$N$5,0)),""))</f>
        <v/>
      </c>
      <c r="Q331" s="143" t="str">
        <f aca="false">IF(OR($C331="",$P331="",$P331=0,(N($I331)+N($AG331))&lt;=0),"",IFERROR(SUMIFS(随時_動員を入れる!$G$8:$G$97,随時_動員を入れる!$B$8:$B$97,"&gt;="&amp;'設定（最初に1回）'!$C$6,随時_動員を入れる!$B$8:$B$97,"&lt;="&amp;'設定（最初に1回）'!$C$6+(N($I331)+N($AG331))-1)/(N($I331)+N($AG331)),0)*$P331/100)</f>
        <v/>
      </c>
      <c r="R331" s="69" t="str">
        <f aca="false">IF($C331="","",SUMIFS(①今日の在庫を貼る!$O$6:$O$10005,①今日の在庫を貼る!$B$6:$B$10005,'設定（最初に1回）'!$C$4,①今日の在庫を貼る!$I$6:$I$10005,$C331))</f>
        <v/>
      </c>
      <c r="S331" s="143" t="str">
        <f aca="false">IF($C331="","",IF('設定（最初に1回）'!$C$9="実績消費",N($O331),IF('設定（最初に1回）'!$C$9="PI値予測",N($Q331),MAX(N($O331),N($Q331)))))</f>
        <v/>
      </c>
      <c r="T331" s="67" t="str">
        <f aca="false">IF(OR($S331="",$S331&lt;=0),"",$K331/$S331)</f>
        <v/>
      </c>
      <c r="U331" s="69" t="str">
        <f aca="false">IF($S331="","",ROUNDUP(N($S331)*'設定（最初に1回）'!$C$12,0))</f>
        <v/>
      </c>
      <c r="V331" s="69" t="str">
        <f aca="false">IF($C331="","",ROUNDUP(N($S331)*(N($I331)+N($AG331))+N($U331),0))</f>
        <v/>
      </c>
      <c r="W331" s="69" t="str">
        <f aca="false">IF($C331="","",SUMIFS(発注管理!$L$6:$L$1005,発注管理!$C$6:$C$1005,'設定（最初に1回）'!$C$4,発注管理!$F$6:$F$1005,$C331,発注管理!$Q$6:$Q$1005,"発注済"))</f>
        <v/>
      </c>
      <c r="X331" s="69" t="str">
        <f aca="false">IF($C331="","",MAX(0,N($V331)-N($K331)-N($W331)))</f>
        <v/>
      </c>
      <c r="Y331" s="147" t="str">
        <f aca="false">IF($C331="","",IF(N($X331)&lt;=0,0,CEILING($X331/MAX(1,N($G331)),MAX(1,N($J331)))))</f>
        <v/>
      </c>
      <c r="Z331" s="138" t="str">
        <f aca="false">IF($C331="","",IF(N($Y331)&gt;0,"要発注","正常"))</f>
        <v/>
      </c>
      <c r="AA331" s="71" t="str">
        <f aca="false">IF($C331="","",N($K331)*N($H331))</f>
        <v/>
      </c>
      <c r="AB331" s="66" t="str">
        <f aca="false">IF($C331="","",_xlfn.TEXTJOIN(" / ",TRUE(),IF(COUNTIF(商品マスタ!$B$6:$B$1005,$C331)=0,"マスタ未登録",""),IF(COUNTIFS(月1回_前回の在庫を貼る!$B$6:$B$10005,'設定（最初に1回）'!$C$4,月1回_前回の在庫を貼る!$I$6:$I$10005,$C331)=0,"新商品",""),IF(COUNTIFS(①今日の在庫を貼る!$B$6:$B$10005,'設定（最初に1回）'!$C$4,①今日の在庫を貼る!$I$6:$I$10005,$C331)=0,"終売候補",""),IF(N($K331)&lt;0,"在庫マイナス",""),IF(AND('設定（最初に1回）'!$C$9="PI値予測",$P331=""),"PI値未設定","")))</f>
        <v/>
      </c>
      <c r="AC331" s="71" t="n">
        <f aca="false">N($Y331)*N($H331)</f>
        <v>0</v>
      </c>
      <c r="AD331" s="66" t="str">
        <f aca="false">IF($C331="","",IFERROR(INDEX(商品マスタ!$K$6:$K$1005,MATCH($C331,商品マスタ!$B$6:$B$1005,0)),"常温"))</f>
        <v/>
      </c>
      <c r="AE331" s="69" t="str">
        <f aca="false">IF($C331="","",MAX(0,ROUNDUP(N($K331)/MAX(1,N($G331)),0)))</f>
        <v/>
      </c>
      <c r="AF331" s="66" t="str">
        <f aca="false">IF($C331="","",IFERROR(INDEX(商品マスタ!$L$6:$L$1005,MATCH($C331,商品マスタ!$B$6:$B$1005,0)),""))</f>
        <v/>
      </c>
      <c r="AG331" s="143" t="str">
        <f aca="false">IF($C331="","",IFERROR(INDEX(定数マスタ!$S$110:$S$119,MATCH($AF331,定数マスタ!$J$110:$J$119,0)),N('設定（最初に1回）'!$C$13)))</f>
        <v/>
      </c>
      <c r="AH331" s="66" t="n">
        <f aca="false">IF(AND(N($K331)&gt;0,N($Y331)&gt;0),N($Y331),0)</f>
        <v>0</v>
      </c>
    </row>
    <row r="332" customFormat="false" ht="15" hidden="false" customHeight="false" outlineLevel="0" collapsed="false">
      <c r="B332" s="66" t="n">
        <v>327</v>
      </c>
      <c r="C332" s="66" t="str">
        <f aca="false">IFERROR(IF($B332&lt;=MAX(①今日の在庫を貼る!$U$6:$U$10005),INDEX(①今日の在庫を貼る!$I$6:$I$10005,MATCH($B332,①今日の在庫を貼る!$U$6:$U$10005,0)),INDEX(月1回_前回の在庫を貼る!$I$6:$I$10005,MATCH($B332-MAX(①今日の在庫を貼る!$U$6:$U$10005),月1回_前回の在庫を貼る!$U$6:$U$10005,0))),"")</f>
        <v/>
      </c>
      <c r="D332" s="66" t="str">
        <f aca="false">IF($C332="","",IFERROR(INDEX(商品マスタ!$C$6:$C$1005,MATCH($C332,商品マスタ!$B$6:$B$1005,0)),IFERROR(INDEX(①今日の在庫を貼る!$J$6:$J$10005,MATCH($C332,①今日の在庫を貼る!$I$6:$I$10005,0)),IFERROR(INDEX(月1回_前回の在庫を貼る!$J$6:$J$10005,MATCH($C332,月1回_前回の在庫を貼る!$I$6:$I$10005,0)),""))))</f>
        <v/>
      </c>
      <c r="E332" s="66" t="str">
        <f aca="false">IF($C332="","",IFERROR(INDEX(商品マスタ!$D$6:$D$1005,MATCH($C332,商品マスタ!$B$6:$B$1005,0)),IFERROR(INDEX(①今日の在庫を貼る!$H$6:$H$10005,MATCH($C332,①今日の在庫を貼る!$I$6:$I$10005,0)),IFERROR(INDEX(月1回_前回の在庫を貼る!$H$6:$H$10005,MATCH($C332,月1回_前回の在庫を貼る!$I$6:$I$10005,0)),""))))</f>
        <v/>
      </c>
      <c r="F332" s="66" t="str">
        <f aca="false">IF($C332="","",IFERROR(INDEX(商品マスタ!$E$6:$E$1005,MATCH($C332,商品マスタ!$B$6:$B$1005,0)),IFERROR(INDEX(①今日の在庫を貼る!$E$6:$E$10005,MATCH($C332,①今日の在庫を貼る!$I$6:$I$10005,0)),IFERROR(INDEX(月1回_前回の在庫を貼る!$E$6:$E$10005,MATCH($C332,月1回_前回の在庫を貼る!$I$6:$I$10005,0)),""))))</f>
        <v/>
      </c>
      <c r="G332" s="69" t="str">
        <f aca="false">IF($C332="","",IFERROR(INDEX(商品マスタ!$F$6:$F$1005,MATCH($C332,商品マスタ!$B$6:$B$1005,0)),IFERROR(INDEX(①今日の在庫を貼る!$K$6:$K$10005,MATCH($C332,①今日の在庫を貼る!$I$6:$I$10005,0)),IFERROR(INDEX(月1回_前回の在庫を貼る!$K$6:$K$10005,MATCH($C332,月1回_前回の在庫を貼る!$I$6:$I$10005,0)),""))))</f>
        <v/>
      </c>
      <c r="H332" s="71" t="str">
        <f aca="false">IF($C332="","",IFERROR(INDEX(商品マスタ!$G$6:$G$1005,MATCH($C332,商品マスタ!$B$6:$B$1005,0)),IFERROR(INDEX(①今日の在庫を貼る!$Q$6:$Q$10005,MATCH($C332,①今日の在庫を貼る!$I$6:$I$10005,0)),IFERROR(INDEX(月1回_前回の在庫を貼る!$Q$6:$Q$10005,MATCH($C332,月1回_前回の在庫を貼る!$I$6:$I$10005,0)),""))))</f>
        <v/>
      </c>
      <c r="I332" s="66" t="str">
        <f aca="false">IF($C332="","",IFERROR(INDEX(商品マスタ!$H$6:$H$1005,MATCH($C332,商品マスタ!$B$6:$B$1005,0)),3))</f>
        <v/>
      </c>
      <c r="J332" s="66" t="str">
        <f aca="false">IF($C332="","",MAX(1,IFERROR(INDEX(商品マスタ!$I$6:$I$1005,MATCH($C332,商品マスタ!$B$6:$B$1005,0)),1)))</f>
        <v/>
      </c>
      <c r="K332" s="69" t="str">
        <f aca="false">IF($C332="","",SUMIFS(①今日の在庫を貼る!$N$6:$N$10005,①今日の在庫を貼る!$B$6:$B$10005,'設定（最初に1回）'!$C$4,①今日の在庫を貼る!$I$6:$I$10005,$C332))</f>
        <v/>
      </c>
      <c r="L332" s="69" t="str">
        <f aca="false">IF($C332="","",SUMIFS(月1回_前回の在庫を貼る!$N$6:$N$10005,月1回_前回の在庫を貼る!$B$6:$B$10005,'設定（最初に1回）'!$C$4,月1回_前回の在庫を貼る!$I$6:$I$10005,$C332))</f>
        <v/>
      </c>
      <c r="M332" s="69" t="str">
        <f aca="false">IF($C332="","",IF(OR('設定（最初に1回）'!$C$6="",'設定（最初に1回）'!$C$7=""),0,SUMIFS(発注管理!$S$6:$S$1005,発注管理!$C$6:$C$1005,'設定（最初に1回）'!$C$4,発注管理!$F$6:$F$1005,$C332,発注管理!$R$6:$R$1005,"&gt;="&amp;'設定（最初に1回）'!$C$7,発注管理!$R$6:$R$1005,"&lt;="&amp;'設定（最初に1回）'!$C$6)))</f>
        <v/>
      </c>
      <c r="N332" s="69" t="str">
        <f aca="false">IF(OR($C332="",'設定（最初に1回）'!$C$15=0),"",$L332+$M332-$K332)</f>
        <v/>
      </c>
      <c r="O332" s="143" t="str">
        <f aca="false">IF(OR($N332="",'設定（最初に1回）'!$C$8="",'設定（最初に1回）'!$C$8&lt;=0),"",MAX(0,$N332)/'設定（最初に1回）'!$C$8)</f>
        <v/>
      </c>
      <c r="P332" s="143" t="str">
        <f aca="false">IF($C332="","",IFERROR(INDEX(商品マスタ!$M$6:$N$1005,MATCH($C332,商品マスタ!$B$6:$B$1005,0),MATCH("PI値 "&amp;'設定（最初に1回）'!$C$11,商品マスタ!$M$5:$N$5,0)),""))</f>
        <v/>
      </c>
      <c r="Q332" s="143" t="str">
        <f aca="false">IF(OR($C332="",$P332="",$P332=0,(N($I332)+N($AG332))&lt;=0),"",IFERROR(SUMIFS(随時_動員を入れる!$G$8:$G$97,随時_動員を入れる!$B$8:$B$97,"&gt;="&amp;'設定（最初に1回）'!$C$6,随時_動員を入れる!$B$8:$B$97,"&lt;="&amp;'設定（最初に1回）'!$C$6+(N($I332)+N($AG332))-1)/(N($I332)+N($AG332)),0)*$P332/100)</f>
        <v/>
      </c>
      <c r="R332" s="69" t="str">
        <f aca="false">IF($C332="","",SUMIFS(①今日の在庫を貼る!$O$6:$O$10005,①今日の在庫を貼る!$B$6:$B$10005,'設定（最初に1回）'!$C$4,①今日の在庫を貼る!$I$6:$I$10005,$C332))</f>
        <v/>
      </c>
      <c r="S332" s="143" t="str">
        <f aca="false">IF($C332="","",IF('設定（最初に1回）'!$C$9="実績消費",N($O332),IF('設定（最初に1回）'!$C$9="PI値予測",N($Q332),MAX(N($O332),N($Q332)))))</f>
        <v/>
      </c>
      <c r="T332" s="67" t="str">
        <f aca="false">IF(OR($S332="",$S332&lt;=0),"",$K332/$S332)</f>
        <v/>
      </c>
      <c r="U332" s="69" t="str">
        <f aca="false">IF($S332="","",ROUNDUP(N($S332)*'設定（最初に1回）'!$C$12,0))</f>
        <v/>
      </c>
      <c r="V332" s="69" t="str">
        <f aca="false">IF($C332="","",ROUNDUP(N($S332)*(N($I332)+N($AG332))+N($U332),0))</f>
        <v/>
      </c>
      <c r="W332" s="69" t="str">
        <f aca="false">IF($C332="","",SUMIFS(発注管理!$L$6:$L$1005,発注管理!$C$6:$C$1005,'設定（最初に1回）'!$C$4,発注管理!$F$6:$F$1005,$C332,発注管理!$Q$6:$Q$1005,"発注済"))</f>
        <v/>
      </c>
      <c r="X332" s="69" t="str">
        <f aca="false">IF($C332="","",MAX(0,N($V332)-N($K332)-N($W332)))</f>
        <v/>
      </c>
      <c r="Y332" s="147" t="str">
        <f aca="false">IF($C332="","",IF(N($X332)&lt;=0,0,CEILING($X332/MAX(1,N($G332)),MAX(1,N($J332)))))</f>
        <v/>
      </c>
      <c r="Z332" s="138" t="str">
        <f aca="false">IF($C332="","",IF(N($Y332)&gt;0,"要発注","正常"))</f>
        <v/>
      </c>
      <c r="AA332" s="71" t="str">
        <f aca="false">IF($C332="","",N($K332)*N($H332))</f>
        <v/>
      </c>
      <c r="AB332" s="66" t="str">
        <f aca="false">IF($C332="","",_xlfn.TEXTJOIN(" / ",TRUE(),IF(COUNTIF(商品マスタ!$B$6:$B$1005,$C332)=0,"マスタ未登録",""),IF(COUNTIFS(月1回_前回の在庫を貼る!$B$6:$B$10005,'設定（最初に1回）'!$C$4,月1回_前回の在庫を貼る!$I$6:$I$10005,$C332)=0,"新商品",""),IF(COUNTIFS(①今日の在庫を貼る!$B$6:$B$10005,'設定（最初に1回）'!$C$4,①今日の在庫を貼る!$I$6:$I$10005,$C332)=0,"終売候補",""),IF(N($K332)&lt;0,"在庫マイナス",""),IF(AND('設定（最初に1回）'!$C$9="PI値予測",$P332=""),"PI値未設定","")))</f>
        <v/>
      </c>
      <c r="AC332" s="71" t="n">
        <f aca="false">N($Y332)*N($H332)</f>
        <v>0</v>
      </c>
      <c r="AD332" s="66" t="str">
        <f aca="false">IF($C332="","",IFERROR(INDEX(商品マスタ!$K$6:$K$1005,MATCH($C332,商品マスタ!$B$6:$B$1005,0)),"常温"))</f>
        <v/>
      </c>
      <c r="AE332" s="69" t="str">
        <f aca="false">IF($C332="","",MAX(0,ROUNDUP(N($K332)/MAX(1,N($G332)),0)))</f>
        <v/>
      </c>
      <c r="AF332" s="66" t="str">
        <f aca="false">IF($C332="","",IFERROR(INDEX(商品マスタ!$L$6:$L$1005,MATCH($C332,商品マスタ!$B$6:$B$1005,0)),""))</f>
        <v/>
      </c>
      <c r="AG332" s="143" t="str">
        <f aca="false">IF($C332="","",IFERROR(INDEX(定数マスタ!$S$110:$S$119,MATCH($AF332,定数マスタ!$J$110:$J$119,0)),N('設定（最初に1回）'!$C$13)))</f>
        <v/>
      </c>
      <c r="AH332" s="66" t="n">
        <f aca="false">IF(AND(N($K332)&gt;0,N($Y332)&gt;0),N($Y332),0)</f>
        <v>0</v>
      </c>
    </row>
    <row r="333" customFormat="false" ht="15" hidden="false" customHeight="false" outlineLevel="0" collapsed="false">
      <c r="B333" s="66" t="n">
        <v>328</v>
      </c>
      <c r="C333" s="66" t="str">
        <f aca="false">IFERROR(IF($B333&lt;=MAX(①今日の在庫を貼る!$U$6:$U$10005),INDEX(①今日の在庫を貼る!$I$6:$I$10005,MATCH($B333,①今日の在庫を貼る!$U$6:$U$10005,0)),INDEX(月1回_前回の在庫を貼る!$I$6:$I$10005,MATCH($B333-MAX(①今日の在庫を貼る!$U$6:$U$10005),月1回_前回の在庫を貼る!$U$6:$U$10005,0))),"")</f>
        <v/>
      </c>
      <c r="D333" s="66" t="str">
        <f aca="false">IF($C333="","",IFERROR(INDEX(商品マスタ!$C$6:$C$1005,MATCH($C333,商品マスタ!$B$6:$B$1005,0)),IFERROR(INDEX(①今日の在庫を貼る!$J$6:$J$10005,MATCH($C333,①今日の在庫を貼る!$I$6:$I$10005,0)),IFERROR(INDEX(月1回_前回の在庫を貼る!$J$6:$J$10005,MATCH($C333,月1回_前回の在庫を貼る!$I$6:$I$10005,0)),""))))</f>
        <v/>
      </c>
      <c r="E333" s="66" t="str">
        <f aca="false">IF($C333="","",IFERROR(INDEX(商品マスタ!$D$6:$D$1005,MATCH($C333,商品マスタ!$B$6:$B$1005,0)),IFERROR(INDEX(①今日の在庫を貼る!$H$6:$H$10005,MATCH($C333,①今日の在庫を貼る!$I$6:$I$10005,0)),IFERROR(INDEX(月1回_前回の在庫を貼る!$H$6:$H$10005,MATCH($C333,月1回_前回の在庫を貼る!$I$6:$I$10005,0)),""))))</f>
        <v/>
      </c>
      <c r="F333" s="66" t="str">
        <f aca="false">IF($C333="","",IFERROR(INDEX(商品マスタ!$E$6:$E$1005,MATCH($C333,商品マスタ!$B$6:$B$1005,0)),IFERROR(INDEX(①今日の在庫を貼る!$E$6:$E$10005,MATCH($C333,①今日の在庫を貼る!$I$6:$I$10005,0)),IFERROR(INDEX(月1回_前回の在庫を貼る!$E$6:$E$10005,MATCH($C333,月1回_前回の在庫を貼る!$I$6:$I$10005,0)),""))))</f>
        <v/>
      </c>
      <c r="G333" s="69" t="str">
        <f aca="false">IF($C333="","",IFERROR(INDEX(商品マスタ!$F$6:$F$1005,MATCH($C333,商品マスタ!$B$6:$B$1005,0)),IFERROR(INDEX(①今日の在庫を貼る!$K$6:$K$10005,MATCH($C333,①今日の在庫を貼る!$I$6:$I$10005,0)),IFERROR(INDEX(月1回_前回の在庫を貼る!$K$6:$K$10005,MATCH($C333,月1回_前回の在庫を貼る!$I$6:$I$10005,0)),""))))</f>
        <v/>
      </c>
      <c r="H333" s="71" t="str">
        <f aca="false">IF($C333="","",IFERROR(INDEX(商品マスタ!$G$6:$G$1005,MATCH($C333,商品マスタ!$B$6:$B$1005,0)),IFERROR(INDEX(①今日の在庫を貼る!$Q$6:$Q$10005,MATCH($C333,①今日の在庫を貼る!$I$6:$I$10005,0)),IFERROR(INDEX(月1回_前回の在庫を貼る!$Q$6:$Q$10005,MATCH($C333,月1回_前回の在庫を貼る!$I$6:$I$10005,0)),""))))</f>
        <v/>
      </c>
      <c r="I333" s="66" t="str">
        <f aca="false">IF($C333="","",IFERROR(INDEX(商品マスタ!$H$6:$H$1005,MATCH($C333,商品マスタ!$B$6:$B$1005,0)),3))</f>
        <v/>
      </c>
      <c r="J333" s="66" t="str">
        <f aca="false">IF($C333="","",MAX(1,IFERROR(INDEX(商品マスタ!$I$6:$I$1005,MATCH($C333,商品マスタ!$B$6:$B$1005,0)),1)))</f>
        <v/>
      </c>
      <c r="K333" s="69" t="str">
        <f aca="false">IF($C333="","",SUMIFS(①今日の在庫を貼る!$N$6:$N$10005,①今日の在庫を貼る!$B$6:$B$10005,'設定（最初に1回）'!$C$4,①今日の在庫を貼る!$I$6:$I$10005,$C333))</f>
        <v/>
      </c>
      <c r="L333" s="69" t="str">
        <f aca="false">IF($C333="","",SUMIFS(月1回_前回の在庫を貼る!$N$6:$N$10005,月1回_前回の在庫を貼る!$B$6:$B$10005,'設定（最初に1回）'!$C$4,月1回_前回の在庫を貼る!$I$6:$I$10005,$C333))</f>
        <v/>
      </c>
      <c r="M333" s="69" t="str">
        <f aca="false">IF($C333="","",IF(OR('設定（最初に1回）'!$C$6="",'設定（最初に1回）'!$C$7=""),0,SUMIFS(発注管理!$S$6:$S$1005,発注管理!$C$6:$C$1005,'設定（最初に1回）'!$C$4,発注管理!$F$6:$F$1005,$C333,発注管理!$R$6:$R$1005,"&gt;="&amp;'設定（最初に1回）'!$C$7,発注管理!$R$6:$R$1005,"&lt;="&amp;'設定（最初に1回）'!$C$6)))</f>
        <v/>
      </c>
      <c r="N333" s="69" t="str">
        <f aca="false">IF(OR($C333="",'設定（最初に1回）'!$C$15=0),"",$L333+$M333-$K333)</f>
        <v/>
      </c>
      <c r="O333" s="143" t="str">
        <f aca="false">IF(OR($N333="",'設定（最初に1回）'!$C$8="",'設定（最初に1回）'!$C$8&lt;=0),"",MAX(0,$N333)/'設定（最初に1回）'!$C$8)</f>
        <v/>
      </c>
      <c r="P333" s="143" t="str">
        <f aca="false">IF($C333="","",IFERROR(INDEX(商品マスタ!$M$6:$N$1005,MATCH($C333,商品マスタ!$B$6:$B$1005,0),MATCH("PI値 "&amp;'設定（最初に1回）'!$C$11,商品マスタ!$M$5:$N$5,0)),""))</f>
        <v/>
      </c>
      <c r="Q333" s="143" t="str">
        <f aca="false">IF(OR($C333="",$P333="",$P333=0,(N($I333)+N($AG333))&lt;=0),"",IFERROR(SUMIFS(随時_動員を入れる!$G$8:$G$97,随時_動員を入れる!$B$8:$B$97,"&gt;="&amp;'設定（最初に1回）'!$C$6,随時_動員を入れる!$B$8:$B$97,"&lt;="&amp;'設定（最初に1回）'!$C$6+(N($I333)+N($AG333))-1)/(N($I333)+N($AG333)),0)*$P333/100)</f>
        <v/>
      </c>
      <c r="R333" s="69" t="str">
        <f aca="false">IF($C333="","",SUMIFS(①今日の在庫を貼る!$O$6:$O$10005,①今日の在庫を貼る!$B$6:$B$10005,'設定（最初に1回）'!$C$4,①今日の在庫を貼る!$I$6:$I$10005,$C333))</f>
        <v/>
      </c>
      <c r="S333" s="143" t="str">
        <f aca="false">IF($C333="","",IF('設定（最初に1回）'!$C$9="実績消費",N($O333),IF('設定（最初に1回）'!$C$9="PI値予測",N($Q333),MAX(N($O333),N($Q333)))))</f>
        <v/>
      </c>
      <c r="T333" s="67" t="str">
        <f aca="false">IF(OR($S333="",$S333&lt;=0),"",$K333/$S333)</f>
        <v/>
      </c>
      <c r="U333" s="69" t="str">
        <f aca="false">IF($S333="","",ROUNDUP(N($S333)*'設定（最初に1回）'!$C$12,0))</f>
        <v/>
      </c>
      <c r="V333" s="69" t="str">
        <f aca="false">IF($C333="","",ROUNDUP(N($S333)*(N($I333)+N($AG333))+N($U333),0))</f>
        <v/>
      </c>
      <c r="W333" s="69" t="str">
        <f aca="false">IF($C333="","",SUMIFS(発注管理!$L$6:$L$1005,発注管理!$C$6:$C$1005,'設定（最初に1回）'!$C$4,発注管理!$F$6:$F$1005,$C333,発注管理!$Q$6:$Q$1005,"発注済"))</f>
        <v/>
      </c>
      <c r="X333" s="69" t="str">
        <f aca="false">IF($C333="","",MAX(0,N($V333)-N($K333)-N($W333)))</f>
        <v/>
      </c>
      <c r="Y333" s="147" t="str">
        <f aca="false">IF($C333="","",IF(N($X333)&lt;=0,0,CEILING($X333/MAX(1,N($G333)),MAX(1,N($J333)))))</f>
        <v/>
      </c>
      <c r="Z333" s="138" t="str">
        <f aca="false">IF($C333="","",IF(N($Y333)&gt;0,"要発注","正常"))</f>
        <v/>
      </c>
      <c r="AA333" s="71" t="str">
        <f aca="false">IF($C333="","",N($K333)*N($H333))</f>
        <v/>
      </c>
      <c r="AB333" s="66" t="str">
        <f aca="false">IF($C333="","",_xlfn.TEXTJOIN(" / ",TRUE(),IF(COUNTIF(商品マスタ!$B$6:$B$1005,$C333)=0,"マスタ未登録",""),IF(COUNTIFS(月1回_前回の在庫を貼る!$B$6:$B$10005,'設定（最初に1回）'!$C$4,月1回_前回の在庫を貼る!$I$6:$I$10005,$C333)=0,"新商品",""),IF(COUNTIFS(①今日の在庫を貼る!$B$6:$B$10005,'設定（最初に1回）'!$C$4,①今日の在庫を貼る!$I$6:$I$10005,$C333)=0,"終売候補",""),IF(N($K333)&lt;0,"在庫マイナス",""),IF(AND('設定（最初に1回）'!$C$9="PI値予測",$P333=""),"PI値未設定","")))</f>
        <v/>
      </c>
      <c r="AC333" s="71" t="n">
        <f aca="false">N($Y333)*N($H333)</f>
        <v>0</v>
      </c>
      <c r="AD333" s="66" t="str">
        <f aca="false">IF($C333="","",IFERROR(INDEX(商品マスタ!$K$6:$K$1005,MATCH($C333,商品マスタ!$B$6:$B$1005,0)),"常温"))</f>
        <v/>
      </c>
      <c r="AE333" s="69" t="str">
        <f aca="false">IF($C333="","",MAX(0,ROUNDUP(N($K333)/MAX(1,N($G333)),0)))</f>
        <v/>
      </c>
      <c r="AF333" s="66" t="str">
        <f aca="false">IF($C333="","",IFERROR(INDEX(商品マスタ!$L$6:$L$1005,MATCH($C333,商品マスタ!$B$6:$B$1005,0)),""))</f>
        <v/>
      </c>
      <c r="AG333" s="143" t="str">
        <f aca="false">IF($C333="","",IFERROR(INDEX(定数マスタ!$S$110:$S$119,MATCH($AF333,定数マスタ!$J$110:$J$119,0)),N('設定（最初に1回）'!$C$13)))</f>
        <v/>
      </c>
      <c r="AH333" s="66" t="n">
        <f aca="false">IF(AND(N($K333)&gt;0,N($Y333)&gt;0),N($Y333),0)</f>
        <v>0</v>
      </c>
    </row>
    <row r="334" customFormat="false" ht="15" hidden="false" customHeight="false" outlineLevel="0" collapsed="false">
      <c r="B334" s="66" t="n">
        <v>329</v>
      </c>
      <c r="C334" s="66" t="str">
        <f aca="false">IFERROR(IF($B334&lt;=MAX(①今日の在庫を貼る!$U$6:$U$10005),INDEX(①今日の在庫を貼る!$I$6:$I$10005,MATCH($B334,①今日の在庫を貼る!$U$6:$U$10005,0)),INDEX(月1回_前回の在庫を貼る!$I$6:$I$10005,MATCH($B334-MAX(①今日の在庫を貼る!$U$6:$U$10005),月1回_前回の在庫を貼る!$U$6:$U$10005,0))),"")</f>
        <v/>
      </c>
      <c r="D334" s="66" t="str">
        <f aca="false">IF($C334="","",IFERROR(INDEX(商品マスタ!$C$6:$C$1005,MATCH($C334,商品マスタ!$B$6:$B$1005,0)),IFERROR(INDEX(①今日の在庫を貼る!$J$6:$J$10005,MATCH($C334,①今日の在庫を貼る!$I$6:$I$10005,0)),IFERROR(INDEX(月1回_前回の在庫を貼る!$J$6:$J$10005,MATCH($C334,月1回_前回の在庫を貼る!$I$6:$I$10005,0)),""))))</f>
        <v/>
      </c>
      <c r="E334" s="66" t="str">
        <f aca="false">IF($C334="","",IFERROR(INDEX(商品マスタ!$D$6:$D$1005,MATCH($C334,商品マスタ!$B$6:$B$1005,0)),IFERROR(INDEX(①今日の在庫を貼る!$H$6:$H$10005,MATCH($C334,①今日の在庫を貼る!$I$6:$I$10005,0)),IFERROR(INDEX(月1回_前回の在庫を貼る!$H$6:$H$10005,MATCH($C334,月1回_前回の在庫を貼る!$I$6:$I$10005,0)),""))))</f>
        <v/>
      </c>
      <c r="F334" s="66" t="str">
        <f aca="false">IF($C334="","",IFERROR(INDEX(商品マスタ!$E$6:$E$1005,MATCH($C334,商品マスタ!$B$6:$B$1005,0)),IFERROR(INDEX(①今日の在庫を貼る!$E$6:$E$10005,MATCH($C334,①今日の在庫を貼る!$I$6:$I$10005,0)),IFERROR(INDEX(月1回_前回の在庫を貼る!$E$6:$E$10005,MATCH($C334,月1回_前回の在庫を貼る!$I$6:$I$10005,0)),""))))</f>
        <v/>
      </c>
      <c r="G334" s="69" t="str">
        <f aca="false">IF($C334="","",IFERROR(INDEX(商品マスタ!$F$6:$F$1005,MATCH($C334,商品マスタ!$B$6:$B$1005,0)),IFERROR(INDEX(①今日の在庫を貼る!$K$6:$K$10005,MATCH($C334,①今日の在庫を貼る!$I$6:$I$10005,0)),IFERROR(INDEX(月1回_前回の在庫を貼る!$K$6:$K$10005,MATCH($C334,月1回_前回の在庫を貼る!$I$6:$I$10005,0)),""))))</f>
        <v/>
      </c>
      <c r="H334" s="71" t="str">
        <f aca="false">IF($C334="","",IFERROR(INDEX(商品マスタ!$G$6:$G$1005,MATCH($C334,商品マスタ!$B$6:$B$1005,0)),IFERROR(INDEX(①今日の在庫を貼る!$Q$6:$Q$10005,MATCH($C334,①今日の在庫を貼る!$I$6:$I$10005,0)),IFERROR(INDEX(月1回_前回の在庫を貼る!$Q$6:$Q$10005,MATCH($C334,月1回_前回の在庫を貼る!$I$6:$I$10005,0)),""))))</f>
        <v/>
      </c>
      <c r="I334" s="66" t="str">
        <f aca="false">IF($C334="","",IFERROR(INDEX(商品マスタ!$H$6:$H$1005,MATCH($C334,商品マスタ!$B$6:$B$1005,0)),3))</f>
        <v/>
      </c>
      <c r="J334" s="66" t="str">
        <f aca="false">IF($C334="","",MAX(1,IFERROR(INDEX(商品マスタ!$I$6:$I$1005,MATCH($C334,商品マスタ!$B$6:$B$1005,0)),1)))</f>
        <v/>
      </c>
      <c r="K334" s="69" t="str">
        <f aca="false">IF($C334="","",SUMIFS(①今日の在庫を貼る!$N$6:$N$10005,①今日の在庫を貼る!$B$6:$B$10005,'設定（最初に1回）'!$C$4,①今日の在庫を貼る!$I$6:$I$10005,$C334))</f>
        <v/>
      </c>
      <c r="L334" s="69" t="str">
        <f aca="false">IF($C334="","",SUMIFS(月1回_前回の在庫を貼る!$N$6:$N$10005,月1回_前回の在庫を貼る!$B$6:$B$10005,'設定（最初に1回）'!$C$4,月1回_前回の在庫を貼る!$I$6:$I$10005,$C334))</f>
        <v/>
      </c>
      <c r="M334" s="69" t="str">
        <f aca="false">IF($C334="","",IF(OR('設定（最初に1回）'!$C$6="",'設定（最初に1回）'!$C$7=""),0,SUMIFS(発注管理!$S$6:$S$1005,発注管理!$C$6:$C$1005,'設定（最初に1回）'!$C$4,発注管理!$F$6:$F$1005,$C334,発注管理!$R$6:$R$1005,"&gt;="&amp;'設定（最初に1回）'!$C$7,発注管理!$R$6:$R$1005,"&lt;="&amp;'設定（最初に1回）'!$C$6)))</f>
        <v/>
      </c>
      <c r="N334" s="69" t="str">
        <f aca="false">IF(OR($C334="",'設定（最初に1回）'!$C$15=0),"",$L334+$M334-$K334)</f>
        <v/>
      </c>
      <c r="O334" s="143" t="str">
        <f aca="false">IF(OR($N334="",'設定（最初に1回）'!$C$8="",'設定（最初に1回）'!$C$8&lt;=0),"",MAX(0,$N334)/'設定（最初に1回）'!$C$8)</f>
        <v/>
      </c>
      <c r="P334" s="143" t="str">
        <f aca="false">IF($C334="","",IFERROR(INDEX(商品マスタ!$M$6:$N$1005,MATCH($C334,商品マスタ!$B$6:$B$1005,0),MATCH("PI値 "&amp;'設定（最初に1回）'!$C$11,商品マスタ!$M$5:$N$5,0)),""))</f>
        <v/>
      </c>
      <c r="Q334" s="143" t="str">
        <f aca="false">IF(OR($C334="",$P334="",$P334=0,(N($I334)+N($AG334))&lt;=0),"",IFERROR(SUMIFS(随時_動員を入れる!$G$8:$G$97,随時_動員を入れる!$B$8:$B$97,"&gt;="&amp;'設定（最初に1回）'!$C$6,随時_動員を入れる!$B$8:$B$97,"&lt;="&amp;'設定（最初に1回）'!$C$6+(N($I334)+N($AG334))-1)/(N($I334)+N($AG334)),0)*$P334/100)</f>
        <v/>
      </c>
      <c r="R334" s="69" t="str">
        <f aca="false">IF($C334="","",SUMIFS(①今日の在庫を貼る!$O$6:$O$10005,①今日の在庫を貼る!$B$6:$B$10005,'設定（最初に1回）'!$C$4,①今日の在庫を貼る!$I$6:$I$10005,$C334))</f>
        <v/>
      </c>
      <c r="S334" s="143" t="str">
        <f aca="false">IF($C334="","",IF('設定（最初に1回）'!$C$9="実績消費",N($O334),IF('設定（最初に1回）'!$C$9="PI値予測",N($Q334),MAX(N($O334),N($Q334)))))</f>
        <v/>
      </c>
      <c r="T334" s="67" t="str">
        <f aca="false">IF(OR($S334="",$S334&lt;=0),"",$K334/$S334)</f>
        <v/>
      </c>
      <c r="U334" s="69" t="str">
        <f aca="false">IF($S334="","",ROUNDUP(N($S334)*'設定（最初に1回）'!$C$12,0))</f>
        <v/>
      </c>
      <c r="V334" s="69" t="str">
        <f aca="false">IF($C334="","",ROUNDUP(N($S334)*(N($I334)+N($AG334))+N($U334),0))</f>
        <v/>
      </c>
      <c r="W334" s="69" t="str">
        <f aca="false">IF($C334="","",SUMIFS(発注管理!$L$6:$L$1005,発注管理!$C$6:$C$1005,'設定（最初に1回）'!$C$4,発注管理!$F$6:$F$1005,$C334,発注管理!$Q$6:$Q$1005,"発注済"))</f>
        <v/>
      </c>
      <c r="X334" s="69" t="str">
        <f aca="false">IF($C334="","",MAX(0,N($V334)-N($K334)-N($W334)))</f>
        <v/>
      </c>
      <c r="Y334" s="147" t="str">
        <f aca="false">IF($C334="","",IF(N($X334)&lt;=0,0,CEILING($X334/MAX(1,N($G334)),MAX(1,N($J334)))))</f>
        <v/>
      </c>
      <c r="Z334" s="138" t="str">
        <f aca="false">IF($C334="","",IF(N($Y334)&gt;0,"要発注","正常"))</f>
        <v/>
      </c>
      <c r="AA334" s="71" t="str">
        <f aca="false">IF($C334="","",N($K334)*N($H334))</f>
        <v/>
      </c>
      <c r="AB334" s="66" t="str">
        <f aca="false">IF($C334="","",_xlfn.TEXTJOIN(" / ",TRUE(),IF(COUNTIF(商品マスタ!$B$6:$B$1005,$C334)=0,"マスタ未登録",""),IF(COUNTIFS(月1回_前回の在庫を貼る!$B$6:$B$10005,'設定（最初に1回）'!$C$4,月1回_前回の在庫を貼る!$I$6:$I$10005,$C334)=0,"新商品",""),IF(COUNTIFS(①今日の在庫を貼る!$B$6:$B$10005,'設定（最初に1回）'!$C$4,①今日の在庫を貼る!$I$6:$I$10005,$C334)=0,"終売候補",""),IF(N($K334)&lt;0,"在庫マイナス",""),IF(AND('設定（最初に1回）'!$C$9="PI値予測",$P334=""),"PI値未設定","")))</f>
        <v/>
      </c>
      <c r="AC334" s="71" t="n">
        <f aca="false">N($Y334)*N($H334)</f>
        <v>0</v>
      </c>
      <c r="AD334" s="66" t="str">
        <f aca="false">IF($C334="","",IFERROR(INDEX(商品マスタ!$K$6:$K$1005,MATCH($C334,商品マスタ!$B$6:$B$1005,0)),"常温"))</f>
        <v/>
      </c>
      <c r="AE334" s="69" t="str">
        <f aca="false">IF($C334="","",MAX(0,ROUNDUP(N($K334)/MAX(1,N($G334)),0)))</f>
        <v/>
      </c>
      <c r="AF334" s="66" t="str">
        <f aca="false">IF($C334="","",IFERROR(INDEX(商品マスタ!$L$6:$L$1005,MATCH($C334,商品マスタ!$B$6:$B$1005,0)),""))</f>
        <v/>
      </c>
      <c r="AG334" s="143" t="str">
        <f aca="false">IF($C334="","",IFERROR(INDEX(定数マスタ!$S$110:$S$119,MATCH($AF334,定数マスタ!$J$110:$J$119,0)),N('設定（最初に1回）'!$C$13)))</f>
        <v/>
      </c>
      <c r="AH334" s="66" t="n">
        <f aca="false">IF(AND(N($K334)&gt;0,N($Y334)&gt;0),N($Y334),0)</f>
        <v>0</v>
      </c>
    </row>
    <row r="335" customFormat="false" ht="15" hidden="false" customHeight="false" outlineLevel="0" collapsed="false">
      <c r="B335" s="66" t="n">
        <v>330</v>
      </c>
      <c r="C335" s="66" t="str">
        <f aca="false">IFERROR(IF($B335&lt;=MAX(①今日の在庫を貼る!$U$6:$U$10005),INDEX(①今日の在庫を貼る!$I$6:$I$10005,MATCH($B335,①今日の在庫を貼る!$U$6:$U$10005,0)),INDEX(月1回_前回の在庫を貼る!$I$6:$I$10005,MATCH($B335-MAX(①今日の在庫を貼る!$U$6:$U$10005),月1回_前回の在庫を貼る!$U$6:$U$10005,0))),"")</f>
        <v/>
      </c>
      <c r="D335" s="66" t="str">
        <f aca="false">IF($C335="","",IFERROR(INDEX(商品マスタ!$C$6:$C$1005,MATCH($C335,商品マスタ!$B$6:$B$1005,0)),IFERROR(INDEX(①今日の在庫を貼る!$J$6:$J$10005,MATCH($C335,①今日の在庫を貼る!$I$6:$I$10005,0)),IFERROR(INDEX(月1回_前回の在庫を貼る!$J$6:$J$10005,MATCH($C335,月1回_前回の在庫を貼る!$I$6:$I$10005,0)),""))))</f>
        <v/>
      </c>
      <c r="E335" s="66" t="str">
        <f aca="false">IF($C335="","",IFERROR(INDEX(商品マスタ!$D$6:$D$1005,MATCH($C335,商品マスタ!$B$6:$B$1005,0)),IFERROR(INDEX(①今日の在庫を貼る!$H$6:$H$10005,MATCH($C335,①今日の在庫を貼る!$I$6:$I$10005,0)),IFERROR(INDEX(月1回_前回の在庫を貼る!$H$6:$H$10005,MATCH($C335,月1回_前回の在庫を貼る!$I$6:$I$10005,0)),""))))</f>
        <v/>
      </c>
      <c r="F335" s="66" t="str">
        <f aca="false">IF($C335="","",IFERROR(INDEX(商品マスタ!$E$6:$E$1005,MATCH($C335,商品マスタ!$B$6:$B$1005,0)),IFERROR(INDEX(①今日の在庫を貼る!$E$6:$E$10005,MATCH($C335,①今日の在庫を貼る!$I$6:$I$10005,0)),IFERROR(INDEX(月1回_前回の在庫を貼る!$E$6:$E$10005,MATCH($C335,月1回_前回の在庫を貼る!$I$6:$I$10005,0)),""))))</f>
        <v/>
      </c>
      <c r="G335" s="69" t="str">
        <f aca="false">IF($C335="","",IFERROR(INDEX(商品マスタ!$F$6:$F$1005,MATCH($C335,商品マスタ!$B$6:$B$1005,0)),IFERROR(INDEX(①今日の在庫を貼る!$K$6:$K$10005,MATCH($C335,①今日の在庫を貼る!$I$6:$I$10005,0)),IFERROR(INDEX(月1回_前回の在庫を貼る!$K$6:$K$10005,MATCH($C335,月1回_前回の在庫を貼る!$I$6:$I$10005,0)),""))))</f>
        <v/>
      </c>
      <c r="H335" s="71" t="str">
        <f aca="false">IF($C335="","",IFERROR(INDEX(商品マスタ!$G$6:$G$1005,MATCH($C335,商品マスタ!$B$6:$B$1005,0)),IFERROR(INDEX(①今日の在庫を貼る!$Q$6:$Q$10005,MATCH($C335,①今日の在庫を貼る!$I$6:$I$10005,0)),IFERROR(INDEX(月1回_前回の在庫を貼る!$Q$6:$Q$10005,MATCH($C335,月1回_前回の在庫を貼る!$I$6:$I$10005,0)),""))))</f>
        <v/>
      </c>
      <c r="I335" s="66" t="str">
        <f aca="false">IF($C335="","",IFERROR(INDEX(商品マスタ!$H$6:$H$1005,MATCH($C335,商品マスタ!$B$6:$B$1005,0)),3))</f>
        <v/>
      </c>
      <c r="J335" s="66" t="str">
        <f aca="false">IF($C335="","",MAX(1,IFERROR(INDEX(商品マスタ!$I$6:$I$1005,MATCH($C335,商品マスタ!$B$6:$B$1005,0)),1)))</f>
        <v/>
      </c>
      <c r="K335" s="69" t="str">
        <f aca="false">IF($C335="","",SUMIFS(①今日の在庫を貼る!$N$6:$N$10005,①今日の在庫を貼る!$B$6:$B$10005,'設定（最初に1回）'!$C$4,①今日の在庫を貼る!$I$6:$I$10005,$C335))</f>
        <v/>
      </c>
      <c r="L335" s="69" t="str">
        <f aca="false">IF($C335="","",SUMIFS(月1回_前回の在庫を貼る!$N$6:$N$10005,月1回_前回の在庫を貼る!$B$6:$B$10005,'設定（最初に1回）'!$C$4,月1回_前回の在庫を貼る!$I$6:$I$10005,$C335))</f>
        <v/>
      </c>
      <c r="M335" s="69" t="str">
        <f aca="false">IF($C335="","",IF(OR('設定（最初に1回）'!$C$6="",'設定（最初に1回）'!$C$7=""),0,SUMIFS(発注管理!$S$6:$S$1005,発注管理!$C$6:$C$1005,'設定（最初に1回）'!$C$4,発注管理!$F$6:$F$1005,$C335,発注管理!$R$6:$R$1005,"&gt;="&amp;'設定（最初に1回）'!$C$7,発注管理!$R$6:$R$1005,"&lt;="&amp;'設定（最初に1回）'!$C$6)))</f>
        <v/>
      </c>
      <c r="N335" s="69" t="str">
        <f aca="false">IF(OR($C335="",'設定（最初に1回）'!$C$15=0),"",$L335+$M335-$K335)</f>
        <v/>
      </c>
      <c r="O335" s="143" t="str">
        <f aca="false">IF(OR($N335="",'設定（最初に1回）'!$C$8="",'設定（最初に1回）'!$C$8&lt;=0),"",MAX(0,$N335)/'設定（最初に1回）'!$C$8)</f>
        <v/>
      </c>
      <c r="P335" s="143" t="str">
        <f aca="false">IF($C335="","",IFERROR(INDEX(商品マスタ!$M$6:$N$1005,MATCH($C335,商品マスタ!$B$6:$B$1005,0),MATCH("PI値 "&amp;'設定（最初に1回）'!$C$11,商品マスタ!$M$5:$N$5,0)),""))</f>
        <v/>
      </c>
      <c r="Q335" s="143" t="str">
        <f aca="false">IF(OR($C335="",$P335="",$P335=0,(N($I335)+N($AG335))&lt;=0),"",IFERROR(SUMIFS(随時_動員を入れる!$G$8:$G$97,随時_動員を入れる!$B$8:$B$97,"&gt;="&amp;'設定（最初に1回）'!$C$6,随時_動員を入れる!$B$8:$B$97,"&lt;="&amp;'設定（最初に1回）'!$C$6+(N($I335)+N($AG335))-1)/(N($I335)+N($AG335)),0)*$P335/100)</f>
        <v/>
      </c>
      <c r="R335" s="69" t="str">
        <f aca="false">IF($C335="","",SUMIFS(①今日の在庫を貼る!$O$6:$O$10005,①今日の在庫を貼る!$B$6:$B$10005,'設定（最初に1回）'!$C$4,①今日の在庫を貼る!$I$6:$I$10005,$C335))</f>
        <v/>
      </c>
      <c r="S335" s="143" t="str">
        <f aca="false">IF($C335="","",IF('設定（最初に1回）'!$C$9="実績消費",N($O335),IF('設定（最初に1回）'!$C$9="PI値予測",N($Q335),MAX(N($O335),N($Q335)))))</f>
        <v/>
      </c>
      <c r="T335" s="67" t="str">
        <f aca="false">IF(OR($S335="",$S335&lt;=0),"",$K335/$S335)</f>
        <v/>
      </c>
      <c r="U335" s="69" t="str">
        <f aca="false">IF($S335="","",ROUNDUP(N($S335)*'設定（最初に1回）'!$C$12,0))</f>
        <v/>
      </c>
      <c r="V335" s="69" t="str">
        <f aca="false">IF($C335="","",ROUNDUP(N($S335)*(N($I335)+N($AG335))+N($U335),0))</f>
        <v/>
      </c>
      <c r="W335" s="69" t="str">
        <f aca="false">IF($C335="","",SUMIFS(発注管理!$L$6:$L$1005,発注管理!$C$6:$C$1005,'設定（最初に1回）'!$C$4,発注管理!$F$6:$F$1005,$C335,発注管理!$Q$6:$Q$1005,"発注済"))</f>
        <v/>
      </c>
      <c r="X335" s="69" t="str">
        <f aca="false">IF($C335="","",MAX(0,N($V335)-N($K335)-N($W335)))</f>
        <v/>
      </c>
      <c r="Y335" s="147" t="str">
        <f aca="false">IF($C335="","",IF(N($X335)&lt;=0,0,CEILING($X335/MAX(1,N($G335)),MAX(1,N($J335)))))</f>
        <v/>
      </c>
      <c r="Z335" s="138" t="str">
        <f aca="false">IF($C335="","",IF(N($Y335)&gt;0,"要発注","正常"))</f>
        <v/>
      </c>
      <c r="AA335" s="71" t="str">
        <f aca="false">IF($C335="","",N($K335)*N($H335))</f>
        <v/>
      </c>
      <c r="AB335" s="66" t="str">
        <f aca="false">IF($C335="","",_xlfn.TEXTJOIN(" / ",TRUE(),IF(COUNTIF(商品マスタ!$B$6:$B$1005,$C335)=0,"マスタ未登録",""),IF(COUNTIFS(月1回_前回の在庫を貼る!$B$6:$B$10005,'設定（最初に1回）'!$C$4,月1回_前回の在庫を貼る!$I$6:$I$10005,$C335)=0,"新商品",""),IF(COUNTIFS(①今日の在庫を貼る!$B$6:$B$10005,'設定（最初に1回）'!$C$4,①今日の在庫を貼る!$I$6:$I$10005,$C335)=0,"終売候補",""),IF(N($K335)&lt;0,"在庫マイナス",""),IF(AND('設定（最初に1回）'!$C$9="PI値予測",$P335=""),"PI値未設定","")))</f>
        <v/>
      </c>
      <c r="AC335" s="71" t="n">
        <f aca="false">N($Y335)*N($H335)</f>
        <v>0</v>
      </c>
      <c r="AD335" s="66" t="str">
        <f aca="false">IF($C335="","",IFERROR(INDEX(商品マスタ!$K$6:$K$1005,MATCH($C335,商品マスタ!$B$6:$B$1005,0)),"常温"))</f>
        <v/>
      </c>
      <c r="AE335" s="69" t="str">
        <f aca="false">IF($C335="","",MAX(0,ROUNDUP(N($K335)/MAX(1,N($G335)),0)))</f>
        <v/>
      </c>
      <c r="AF335" s="66" t="str">
        <f aca="false">IF($C335="","",IFERROR(INDEX(商品マスタ!$L$6:$L$1005,MATCH($C335,商品マスタ!$B$6:$B$1005,0)),""))</f>
        <v/>
      </c>
      <c r="AG335" s="143" t="str">
        <f aca="false">IF($C335="","",IFERROR(INDEX(定数マスタ!$S$110:$S$119,MATCH($AF335,定数マスタ!$J$110:$J$119,0)),N('設定（最初に1回）'!$C$13)))</f>
        <v/>
      </c>
      <c r="AH335" s="66" t="n">
        <f aca="false">IF(AND(N($K335)&gt;0,N($Y335)&gt;0),N($Y335),0)</f>
        <v>0</v>
      </c>
    </row>
    <row r="336" customFormat="false" ht="15" hidden="false" customHeight="false" outlineLevel="0" collapsed="false">
      <c r="B336" s="66" t="n">
        <v>331</v>
      </c>
      <c r="C336" s="66" t="str">
        <f aca="false">IFERROR(IF($B336&lt;=MAX(①今日の在庫を貼る!$U$6:$U$10005),INDEX(①今日の在庫を貼る!$I$6:$I$10005,MATCH($B336,①今日の在庫を貼る!$U$6:$U$10005,0)),INDEX(月1回_前回の在庫を貼る!$I$6:$I$10005,MATCH($B336-MAX(①今日の在庫を貼る!$U$6:$U$10005),月1回_前回の在庫を貼る!$U$6:$U$10005,0))),"")</f>
        <v/>
      </c>
      <c r="D336" s="66" t="str">
        <f aca="false">IF($C336="","",IFERROR(INDEX(商品マスタ!$C$6:$C$1005,MATCH($C336,商品マスタ!$B$6:$B$1005,0)),IFERROR(INDEX(①今日の在庫を貼る!$J$6:$J$10005,MATCH($C336,①今日の在庫を貼る!$I$6:$I$10005,0)),IFERROR(INDEX(月1回_前回の在庫を貼る!$J$6:$J$10005,MATCH($C336,月1回_前回の在庫を貼る!$I$6:$I$10005,0)),""))))</f>
        <v/>
      </c>
      <c r="E336" s="66" t="str">
        <f aca="false">IF($C336="","",IFERROR(INDEX(商品マスタ!$D$6:$D$1005,MATCH($C336,商品マスタ!$B$6:$B$1005,0)),IFERROR(INDEX(①今日の在庫を貼る!$H$6:$H$10005,MATCH($C336,①今日の在庫を貼る!$I$6:$I$10005,0)),IFERROR(INDEX(月1回_前回の在庫を貼る!$H$6:$H$10005,MATCH($C336,月1回_前回の在庫を貼る!$I$6:$I$10005,0)),""))))</f>
        <v/>
      </c>
      <c r="F336" s="66" t="str">
        <f aca="false">IF($C336="","",IFERROR(INDEX(商品マスタ!$E$6:$E$1005,MATCH($C336,商品マスタ!$B$6:$B$1005,0)),IFERROR(INDEX(①今日の在庫を貼る!$E$6:$E$10005,MATCH($C336,①今日の在庫を貼る!$I$6:$I$10005,0)),IFERROR(INDEX(月1回_前回の在庫を貼る!$E$6:$E$10005,MATCH($C336,月1回_前回の在庫を貼る!$I$6:$I$10005,0)),""))))</f>
        <v/>
      </c>
      <c r="G336" s="69" t="str">
        <f aca="false">IF($C336="","",IFERROR(INDEX(商品マスタ!$F$6:$F$1005,MATCH($C336,商品マスタ!$B$6:$B$1005,0)),IFERROR(INDEX(①今日の在庫を貼る!$K$6:$K$10005,MATCH($C336,①今日の在庫を貼る!$I$6:$I$10005,0)),IFERROR(INDEX(月1回_前回の在庫を貼る!$K$6:$K$10005,MATCH($C336,月1回_前回の在庫を貼る!$I$6:$I$10005,0)),""))))</f>
        <v/>
      </c>
      <c r="H336" s="71" t="str">
        <f aca="false">IF($C336="","",IFERROR(INDEX(商品マスタ!$G$6:$G$1005,MATCH($C336,商品マスタ!$B$6:$B$1005,0)),IFERROR(INDEX(①今日の在庫を貼る!$Q$6:$Q$10005,MATCH($C336,①今日の在庫を貼る!$I$6:$I$10005,0)),IFERROR(INDEX(月1回_前回の在庫を貼る!$Q$6:$Q$10005,MATCH($C336,月1回_前回の在庫を貼る!$I$6:$I$10005,0)),""))))</f>
        <v/>
      </c>
      <c r="I336" s="66" t="str">
        <f aca="false">IF($C336="","",IFERROR(INDEX(商品マスタ!$H$6:$H$1005,MATCH($C336,商品マスタ!$B$6:$B$1005,0)),3))</f>
        <v/>
      </c>
      <c r="J336" s="66" t="str">
        <f aca="false">IF($C336="","",MAX(1,IFERROR(INDEX(商品マスタ!$I$6:$I$1005,MATCH($C336,商品マスタ!$B$6:$B$1005,0)),1)))</f>
        <v/>
      </c>
      <c r="K336" s="69" t="str">
        <f aca="false">IF($C336="","",SUMIFS(①今日の在庫を貼る!$N$6:$N$10005,①今日の在庫を貼る!$B$6:$B$10005,'設定（最初に1回）'!$C$4,①今日の在庫を貼る!$I$6:$I$10005,$C336))</f>
        <v/>
      </c>
      <c r="L336" s="69" t="str">
        <f aca="false">IF($C336="","",SUMIFS(月1回_前回の在庫を貼る!$N$6:$N$10005,月1回_前回の在庫を貼る!$B$6:$B$10005,'設定（最初に1回）'!$C$4,月1回_前回の在庫を貼る!$I$6:$I$10005,$C336))</f>
        <v/>
      </c>
      <c r="M336" s="69" t="str">
        <f aca="false">IF($C336="","",IF(OR('設定（最初に1回）'!$C$6="",'設定（最初に1回）'!$C$7=""),0,SUMIFS(発注管理!$S$6:$S$1005,発注管理!$C$6:$C$1005,'設定（最初に1回）'!$C$4,発注管理!$F$6:$F$1005,$C336,発注管理!$R$6:$R$1005,"&gt;="&amp;'設定（最初に1回）'!$C$7,発注管理!$R$6:$R$1005,"&lt;="&amp;'設定（最初に1回）'!$C$6)))</f>
        <v/>
      </c>
      <c r="N336" s="69" t="str">
        <f aca="false">IF(OR($C336="",'設定（最初に1回）'!$C$15=0),"",$L336+$M336-$K336)</f>
        <v/>
      </c>
      <c r="O336" s="143" t="str">
        <f aca="false">IF(OR($N336="",'設定（最初に1回）'!$C$8="",'設定（最初に1回）'!$C$8&lt;=0),"",MAX(0,$N336)/'設定（最初に1回）'!$C$8)</f>
        <v/>
      </c>
      <c r="P336" s="143" t="str">
        <f aca="false">IF($C336="","",IFERROR(INDEX(商品マスタ!$M$6:$N$1005,MATCH($C336,商品マスタ!$B$6:$B$1005,0),MATCH("PI値 "&amp;'設定（最初に1回）'!$C$11,商品マスタ!$M$5:$N$5,0)),""))</f>
        <v/>
      </c>
      <c r="Q336" s="143" t="str">
        <f aca="false">IF(OR($C336="",$P336="",$P336=0,(N($I336)+N($AG336))&lt;=0),"",IFERROR(SUMIFS(随時_動員を入れる!$G$8:$G$97,随時_動員を入れる!$B$8:$B$97,"&gt;="&amp;'設定（最初に1回）'!$C$6,随時_動員を入れる!$B$8:$B$97,"&lt;="&amp;'設定（最初に1回）'!$C$6+(N($I336)+N($AG336))-1)/(N($I336)+N($AG336)),0)*$P336/100)</f>
        <v/>
      </c>
      <c r="R336" s="69" t="str">
        <f aca="false">IF($C336="","",SUMIFS(①今日の在庫を貼る!$O$6:$O$10005,①今日の在庫を貼る!$B$6:$B$10005,'設定（最初に1回）'!$C$4,①今日の在庫を貼る!$I$6:$I$10005,$C336))</f>
        <v/>
      </c>
      <c r="S336" s="143" t="str">
        <f aca="false">IF($C336="","",IF('設定（最初に1回）'!$C$9="実績消費",N($O336),IF('設定（最初に1回）'!$C$9="PI値予測",N($Q336),MAX(N($O336),N($Q336)))))</f>
        <v/>
      </c>
      <c r="T336" s="67" t="str">
        <f aca="false">IF(OR($S336="",$S336&lt;=0),"",$K336/$S336)</f>
        <v/>
      </c>
      <c r="U336" s="69" t="str">
        <f aca="false">IF($S336="","",ROUNDUP(N($S336)*'設定（最初に1回）'!$C$12,0))</f>
        <v/>
      </c>
      <c r="V336" s="69" t="str">
        <f aca="false">IF($C336="","",ROUNDUP(N($S336)*(N($I336)+N($AG336))+N($U336),0))</f>
        <v/>
      </c>
      <c r="W336" s="69" t="str">
        <f aca="false">IF($C336="","",SUMIFS(発注管理!$L$6:$L$1005,発注管理!$C$6:$C$1005,'設定（最初に1回）'!$C$4,発注管理!$F$6:$F$1005,$C336,発注管理!$Q$6:$Q$1005,"発注済"))</f>
        <v/>
      </c>
      <c r="X336" s="69" t="str">
        <f aca="false">IF($C336="","",MAX(0,N($V336)-N($K336)-N($W336)))</f>
        <v/>
      </c>
      <c r="Y336" s="147" t="str">
        <f aca="false">IF($C336="","",IF(N($X336)&lt;=0,0,CEILING($X336/MAX(1,N($G336)),MAX(1,N($J336)))))</f>
        <v/>
      </c>
      <c r="Z336" s="138" t="str">
        <f aca="false">IF($C336="","",IF(N($Y336)&gt;0,"要発注","正常"))</f>
        <v/>
      </c>
      <c r="AA336" s="71" t="str">
        <f aca="false">IF($C336="","",N($K336)*N($H336))</f>
        <v/>
      </c>
      <c r="AB336" s="66" t="str">
        <f aca="false">IF($C336="","",_xlfn.TEXTJOIN(" / ",TRUE(),IF(COUNTIF(商品マスタ!$B$6:$B$1005,$C336)=0,"マスタ未登録",""),IF(COUNTIFS(月1回_前回の在庫を貼る!$B$6:$B$10005,'設定（最初に1回）'!$C$4,月1回_前回の在庫を貼る!$I$6:$I$10005,$C336)=0,"新商品",""),IF(COUNTIFS(①今日の在庫を貼る!$B$6:$B$10005,'設定（最初に1回）'!$C$4,①今日の在庫を貼る!$I$6:$I$10005,$C336)=0,"終売候補",""),IF(N($K336)&lt;0,"在庫マイナス",""),IF(AND('設定（最初に1回）'!$C$9="PI値予測",$P336=""),"PI値未設定","")))</f>
        <v/>
      </c>
      <c r="AC336" s="71" t="n">
        <f aca="false">N($Y336)*N($H336)</f>
        <v>0</v>
      </c>
      <c r="AD336" s="66" t="str">
        <f aca="false">IF($C336="","",IFERROR(INDEX(商品マスタ!$K$6:$K$1005,MATCH($C336,商品マスタ!$B$6:$B$1005,0)),"常温"))</f>
        <v/>
      </c>
      <c r="AE336" s="69" t="str">
        <f aca="false">IF($C336="","",MAX(0,ROUNDUP(N($K336)/MAX(1,N($G336)),0)))</f>
        <v/>
      </c>
      <c r="AF336" s="66" t="str">
        <f aca="false">IF($C336="","",IFERROR(INDEX(商品マスタ!$L$6:$L$1005,MATCH($C336,商品マスタ!$B$6:$B$1005,0)),""))</f>
        <v/>
      </c>
      <c r="AG336" s="143" t="str">
        <f aca="false">IF($C336="","",IFERROR(INDEX(定数マスタ!$S$110:$S$119,MATCH($AF336,定数マスタ!$J$110:$J$119,0)),N('設定（最初に1回）'!$C$13)))</f>
        <v/>
      </c>
      <c r="AH336" s="66" t="n">
        <f aca="false">IF(AND(N($K336)&gt;0,N($Y336)&gt;0),N($Y336),0)</f>
        <v>0</v>
      </c>
    </row>
    <row r="337" customFormat="false" ht="15" hidden="false" customHeight="false" outlineLevel="0" collapsed="false">
      <c r="B337" s="66" t="n">
        <v>332</v>
      </c>
      <c r="C337" s="66" t="str">
        <f aca="false">IFERROR(IF($B337&lt;=MAX(①今日の在庫を貼る!$U$6:$U$10005),INDEX(①今日の在庫を貼る!$I$6:$I$10005,MATCH($B337,①今日の在庫を貼る!$U$6:$U$10005,0)),INDEX(月1回_前回の在庫を貼る!$I$6:$I$10005,MATCH($B337-MAX(①今日の在庫を貼る!$U$6:$U$10005),月1回_前回の在庫を貼る!$U$6:$U$10005,0))),"")</f>
        <v/>
      </c>
      <c r="D337" s="66" t="str">
        <f aca="false">IF($C337="","",IFERROR(INDEX(商品マスタ!$C$6:$C$1005,MATCH($C337,商品マスタ!$B$6:$B$1005,0)),IFERROR(INDEX(①今日の在庫を貼る!$J$6:$J$10005,MATCH($C337,①今日の在庫を貼る!$I$6:$I$10005,0)),IFERROR(INDEX(月1回_前回の在庫を貼る!$J$6:$J$10005,MATCH($C337,月1回_前回の在庫を貼る!$I$6:$I$10005,0)),""))))</f>
        <v/>
      </c>
      <c r="E337" s="66" t="str">
        <f aca="false">IF($C337="","",IFERROR(INDEX(商品マスタ!$D$6:$D$1005,MATCH($C337,商品マスタ!$B$6:$B$1005,0)),IFERROR(INDEX(①今日の在庫を貼る!$H$6:$H$10005,MATCH($C337,①今日の在庫を貼る!$I$6:$I$10005,0)),IFERROR(INDEX(月1回_前回の在庫を貼る!$H$6:$H$10005,MATCH($C337,月1回_前回の在庫を貼る!$I$6:$I$10005,0)),""))))</f>
        <v/>
      </c>
      <c r="F337" s="66" t="str">
        <f aca="false">IF($C337="","",IFERROR(INDEX(商品マスタ!$E$6:$E$1005,MATCH($C337,商品マスタ!$B$6:$B$1005,0)),IFERROR(INDEX(①今日の在庫を貼る!$E$6:$E$10005,MATCH($C337,①今日の在庫を貼る!$I$6:$I$10005,0)),IFERROR(INDEX(月1回_前回の在庫を貼る!$E$6:$E$10005,MATCH($C337,月1回_前回の在庫を貼る!$I$6:$I$10005,0)),""))))</f>
        <v/>
      </c>
      <c r="G337" s="69" t="str">
        <f aca="false">IF($C337="","",IFERROR(INDEX(商品マスタ!$F$6:$F$1005,MATCH($C337,商品マスタ!$B$6:$B$1005,0)),IFERROR(INDEX(①今日の在庫を貼る!$K$6:$K$10005,MATCH($C337,①今日の在庫を貼る!$I$6:$I$10005,0)),IFERROR(INDEX(月1回_前回の在庫を貼る!$K$6:$K$10005,MATCH($C337,月1回_前回の在庫を貼る!$I$6:$I$10005,0)),""))))</f>
        <v/>
      </c>
      <c r="H337" s="71" t="str">
        <f aca="false">IF($C337="","",IFERROR(INDEX(商品マスタ!$G$6:$G$1005,MATCH($C337,商品マスタ!$B$6:$B$1005,0)),IFERROR(INDEX(①今日の在庫を貼る!$Q$6:$Q$10005,MATCH($C337,①今日の在庫を貼る!$I$6:$I$10005,0)),IFERROR(INDEX(月1回_前回の在庫を貼る!$Q$6:$Q$10005,MATCH($C337,月1回_前回の在庫を貼る!$I$6:$I$10005,0)),""))))</f>
        <v/>
      </c>
      <c r="I337" s="66" t="str">
        <f aca="false">IF($C337="","",IFERROR(INDEX(商品マスタ!$H$6:$H$1005,MATCH($C337,商品マスタ!$B$6:$B$1005,0)),3))</f>
        <v/>
      </c>
      <c r="J337" s="66" t="str">
        <f aca="false">IF($C337="","",MAX(1,IFERROR(INDEX(商品マスタ!$I$6:$I$1005,MATCH($C337,商品マスタ!$B$6:$B$1005,0)),1)))</f>
        <v/>
      </c>
      <c r="K337" s="69" t="str">
        <f aca="false">IF($C337="","",SUMIFS(①今日の在庫を貼る!$N$6:$N$10005,①今日の在庫を貼る!$B$6:$B$10005,'設定（最初に1回）'!$C$4,①今日の在庫を貼る!$I$6:$I$10005,$C337))</f>
        <v/>
      </c>
      <c r="L337" s="69" t="str">
        <f aca="false">IF($C337="","",SUMIFS(月1回_前回の在庫を貼る!$N$6:$N$10005,月1回_前回の在庫を貼る!$B$6:$B$10005,'設定（最初に1回）'!$C$4,月1回_前回の在庫を貼る!$I$6:$I$10005,$C337))</f>
        <v/>
      </c>
      <c r="M337" s="69" t="str">
        <f aca="false">IF($C337="","",IF(OR('設定（最初に1回）'!$C$6="",'設定（最初に1回）'!$C$7=""),0,SUMIFS(発注管理!$S$6:$S$1005,発注管理!$C$6:$C$1005,'設定（最初に1回）'!$C$4,発注管理!$F$6:$F$1005,$C337,発注管理!$R$6:$R$1005,"&gt;="&amp;'設定（最初に1回）'!$C$7,発注管理!$R$6:$R$1005,"&lt;="&amp;'設定（最初に1回）'!$C$6)))</f>
        <v/>
      </c>
      <c r="N337" s="69" t="str">
        <f aca="false">IF(OR($C337="",'設定（最初に1回）'!$C$15=0),"",$L337+$M337-$K337)</f>
        <v/>
      </c>
      <c r="O337" s="143" t="str">
        <f aca="false">IF(OR($N337="",'設定（最初に1回）'!$C$8="",'設定（最初に1回）'!$C$8&lt;=0),"",MAX(0,$N337)/'設定（最初に1回）'!$C$8)</f>
        <v/>
      </c>
      <c r="P337" s="143" t="str">
        <f aca="false">IF($C337="","",IFERROR(INDEX(商品マスタ!$M$6:$N$1005,MATCH($C337,商品マスタ!$B$6:$B$1005,0),MATCH("PI値 "&amp;'設定（最初に1回）'!$C$11,商品マスタ!$M$5:$N$5,0)),""))</f>
        <v/>
      </c>
      <c r="Q337" s="143" t="str">
        <f aca="false">IF(OR($C337="",$P337="",$P337=0,(N($I337)+N($AG337))&lt;=0),"",IFERROR(SUMIFS(随時_動員を入れる!$G$8:$G$97,随時_動員を入れる!$B$8:$B$97,"&gt;="&amp;'設定（最初に1回）'!$C$6,随時_動員を入れる!$B$8:$B$97,"&lt;="&amp;'設定（最初に1回）'!$C$6+(N($I337)+N($AG337))-1)/(N($I337)+N($AG337)),0)*$P337/100)</f>
        <v/>
      </c>
      <c r="R337" s="69" t="str">
        <f aca="false">IF($C337="","",SUMIFS(①今日の在庫を貼る!$O$6:$O$10005,①今日の在庫を貼る!$B$6:$B$10005,'設定（最初に1回）'!$C$4,①今日の在庫を貼る!$I$6:$I$10005,$C337))</f>
        <v/>
      </c>
      <c r="S337" s="143" t="str">
        <f aca="false">IF($C337="","",IF('設定（最初に1回）'!$C$9="実績消費",N($O337),IF('設定（最初に1回）'!$C$9="PI値予測",N($Q337),MAX(N($O337),N($Q337)))))</f>
        <v/>
      </c>
      <c r="T337" s="67" t="str">
        <f aca="false">IF(OR($S337="",$S337&lt;=0),"",$K337/$S337)</f>
        <v/>
      </c>
      <c r="U337" s="69" t="str">
        <f aca="false">IF($S337="","",ROUNDUP(N($S337)*'設定（最初に1回）'!$C$12,0))</f>
        <v/>
      </c>
      <c r="V337" s="69" t="str">
        <f aca="false">IF($C337="","",ROUNDUP(N($S337)*(N($I337)+N($AG337))+N($U337),0))</f>
        <v/>
      </c>
      <c r="W337" s="69" t="str">
        <f aca="false">IF($C337="","",SUMIFS(発注管理!$L$6:$L$1005,発注管理!$C$6:$C$1005,'設定（最初に1回）'!$C$4,発注管理!$F$6:$F$1005,$C337,発注管理!$Q$6:$Q$1005,"発注済"))</f>
        <v/>
      </c>
      <c r="X337" s="69" t="str">
        <f aca="false">IF($C337="","",MAX(0,N($V337)-N($K337)-N($W337)))</f>
        <v/>
      </c>
      <c r="Y337" s="147" t="str">
        <f aca="false">IF($C337="","",IF(N($X337)&lt;=0,0,CEILING($X337/MAX(1,N($G337)),MAX(1,N($J337)))))</f>
        <v/>
      </c>
      <c r="Z337" s="138" t="str">
        <f aca="false">IF($C337="","",IF(N($Y337)&gt;0,"要発注","正常"))</f>
        <v/>
      </c>
      <c r="AA337" s="71" t="str">
        <f aca="false">IF($C337="","",N($K337)*N($H337))</f>
        <v/>
      </c>
      <c r="AB337" s="66" t="str">
        <f aca="false">IF($C337="","",_xlfn.TEXTJOIN(" / ",TRUE(),IF(COUNTIF(商品マスタ!$B$6:$B$1005,$C337)=0,"マスタ未登録",""),IF(COUNTIFS(月1回_前回の在庫を貼る!$B$6:$B$10005,'設定（最初に1回）'!$C$4,月1回_前回の在庫を貼る!$I$6:$I$10005,$C337)=0,"新商品",""),IF(COUNTIFS(①今日の在庫を貼る!$B$6:$B$10005,'設定（最初に1回）'!$C$4,①今日の在庫を貼る!$I$6:$I$10005,$C337)=0,"終売候補",""),IF(N($K337)&lt;0,"在庫マイナス",""),IF(AND('設定（最初に1回）'!$C$9="PI値予測",$P337=""),"PI値未設定","")))</f>
        <v/>
      </c>
      <c r="AC337" s="71" t="n">
        <f aca="false">N($Y337)*N($H337)</f>
        <v>0</v>
      </c>
      <c r="AD337" s="66" t="str">
        <f aca="false">IF($C337="","",IFERROR(INDEX(商品マスタ!$K$6:$K$1005,MATCH($C337,商品マスタ!$B$6:$B$1005,0)),"常温"))</f>
        <v/>
      </c>
      <c r="AE337" s="69" t="str">
        <f aca="false">IF($C337="","",MAX(0,ROUNDUP(N($K337)/MAX(1,N($G337)),0)))</f>
        <v/>
      </c>
      <c r="AF337" s="66" t="str">
        <f aca="false">IF($C337="","",IFERROR(INDEX(商品マスタ!$L$6:$L$1005,MATCH($C337,商品マスタ!$B$6:$B$1005,0)),""))</f>
        <v/>
      </c>
      <c r="AG337" s="143" t="str">
        <f aca="false">IF($C337="","",IFERROR(INDEX(定数マスタ!$S$110:$S$119,MATCH($AF337,定数マスタ!$J$110:$J$119,0)),N('設定（最初に1回）'!$C$13)))</f>
        <v/>
      </c>
      <c r="AH337" s="66" t="n">
        <f aca="false">IF(AND(N($K337)&gt;0,N($Y337)&gt;0),N($Y337),0)</f>
        <v>0</v>
      </c>
    </row>
    <row r="338" customFormat="false" ht="15" hidden="false" customHeight="false" outlineLevel="0" collapsed="false">
      <c r="B338" s="66" t="n">
        <v>333</v>
      </c>
      <c r="C338" s="66" t="str">
        <f aca="false">IFERROR(IF($B338&lt;=MAX(①今日の在庫を貼る!$U$6:$U$10005),INDEX(①今日の在庫を貼る!$I$6:$I$10005,MATCH($B338,①今日の在庫を貼る!$U$6:$U$10005,0)),INDEX(月1回_前回の在庫を貼る!$I$6:$I$10005,MATCH($B338-MAX(①今日の在庫を貼る!$U$6:$U$10005),月1回_前回の在庫を貼る!$U$6:$U$10005,0))),"")</f>
        <v/>
      </c>
      <c r="D338" s="66" t="str">
        <f aca="false">IF($C338="","",IFERROR(INDEX(商品マスタ!$C$6:$C$1005,MATCH($C338,商品マスタ!$B$6:$B$1005,0)),IFERROR(INDEX(①今日の在庫を貼る!$J$6:$J$10005,MATCH($C338,①今日の在庫を貼る!$I$6:$I$10005,0)),IFERROR(INDEX(月1回_前回の在庫を貼る!$J$6:$J$10005,MATCH($C338,月1回_前回の在庫を貼る!$I$6:$I$10005,0)),""))))</f>
        <v/>
      </c>
      <c r="E338" s="66" t="str">
        <f aca="false">IF($C338="","",IFERROR(INDEX(商品マスタ!$D$6:$D$1005,MATCH($C338,商品マスタ!$B$6:$B$1005,0)),IFERROR(INDEX(①今日の在庫を貼る!$H$6:$H$10005,MATCH($C338,①今日の在庫を貼る!$I$6:$I$10005,0)),IFERROR(INDEX(月1回_前回の在庫を貼る!$H$6:$H$10005,MATCH($C338,月1回_前回の在庫を貼る!$I$6:$I$10005,0)),""))))</f>
        <v/>
      </c>
      <c r="F338" s="66" t="str">
        <f aca="false">IF($C338="","",IFERROR(INDEX(商品マスタ!$E$6:$E$1005,MATCH($C338,商品マスタ!$B$6:$B$1005,0)),IFERROR(INDEX(①今日の在庫を貼る!$E$6:$E$10005,MATCH($C338,①今日の在庫を貼る!$I$6:$I$10005,0)),IFERROR(INDEX(月1回_前回の在庫を貼る!$E$6:$E$10005,MATCH($C338,月1回_前回の在庫を貼る!$I$6:$I$10005,0)),""))))</f>
        <v/>
      </c>
      <c r="G338" s="69" t="str">
        <f aca="false">IF($C338="","",IFERROR(INDEX(商品マスタ!$F$6:$F$1005,MATCH($C338,商品マスタ!$B$6:$B$1005,0)),IFERROR(INDEX(①今日の在庫を貼る!$K$6:$K$10005,MATCH($C338,①今日の在庫を貼る!$I$6:$I$10005,0)),IFERROR(INDEX(月1回_前回の在庫を貼る!$K$6:$K$10005,MATCH($C338,月1回_前回の在庫を貼る!$I$6:$I$10005,0)),""))))</f>
        <v/>
      </c>
      <c r="H338" s="71" t="str">
        <f aca="false">IF($C338="","",IFERROR(INDEX(商品マスタ!$G$6:$G$1005,MATCH($C338,商品マスタ!$B$6:$B$1005,0)),IFERROR(INDEX(①今日の在庫を貼る!$Q$6:$Q$10005,MATCH($C338,①今日の在庫を貼る!$I$6:$I$10005,0)),IFERROR(INDEX(月1回_前回の在庫を貼る!$Q$6:$Q$10005,MATCH($C338,月1回_前回の在庫を貼る!$I$6:$I$10005,0)),""))))</f>
        <v/>
      </c>
      <c r="I338" s="66" t="str">
        <f aca="false">IF($C338="","",IFERROR(INDEX(商品マスタ!$H$6:$H$1005,MATCH($C338,商品マスタ!$B$6:$B$1005,0)),3))</f>
        <v/>
      </c>
      <c r="J338" s="66" t="str">
        <f aca="false">IF($C338="","",MAX(1,IFERROR(INDEX(商品マスタ!$I$6:$I$1005,MATCH($C338,商品マスタ!$B$6:$B$1005,0)),1)))</f>
        <v/>
      </c>
      <c r="K338" s="69" t="str">
        <f aca="false">IF($C338="","",SUMIFS(①今日の在庫を貼る!$N$6:$N$10005,①今日の在庫を貼る!$B$6:$B$10005,'設定（最初に1回）'!$C$4,①今日の在庫を貼る!$I$6:$I$10005,$C338))</f>
        <v/>
      </c>
      <c r="L338" s="69" t="str">
        <f aca="false">IF($C338="","",SUMIFS(月1回_前回の在庫を貼る!$N$6:$N$10005,月1回_前回の在庫を貼る!$B$6:$B$10005,'設定（最初に1回）'!$C$4,月1回_前回の在庫を貼る!$I$6:$I$10005,$C338))</f>
        <v/>
      </c>
      <c r="M338" s="69" t="str">
        <f aca="false">IF($C338="","",IF(OR('設定（最初に1回）'!$C$6="",'設定（最初に1回）'!$C$7=""),0,SUMIFS(発注管理!$S$6:$S$1005,発注管理!$C$6:$C$1005,'設定（最初に1回）'!$C$4,発注管理!$F$6:$F$1005,$C338,発注管理!$R$6:$R$1005,"&gt;="&amp;'設定（最初に1回）'!$C$7,発注管理!$R$6:$R$1005,"&lt;="&amp;'設定（最初に1回）'!$C$6)))</f>
        <v/>
      </c>
      <c r="N338" s="69" t="str">
        <f aca="false">IF(OR($C338="",'設定（最初に1回）'!$C$15=0),"",$L338+$M338-$K338)</f>
        <v/>
      </c>
      <c r="O338" s="143" t="str">
        <f aca="false">IF(OR($N338="",'設定（最初に1回）'!$C$8="",'設定（最初に1回）'!$C$8&lt;=0),"",MAX(0,$N338)/'設定（最初に1回）'!$C$8)</f>
        <v/>
      </c>
      <c r="P338" s="143" t="str">
        <f aca="false">IF($C338="","",IFERROR(INDEX(商品マスタ!$M$6:$N$1005,MATCH($C338,商品マスタ!$B$6:$B$1005,0),MATCH("PI値 "&amp;'設定（最初に1回）'!$C$11,商品マスタ!$M$5:$N$5,0)),""))</f>
        <v/>
      </c>
      <c r="Q338" s="143" t="str">
        <f aca="false">IF(OR($C338="",$P338="",$P338=0,(N($I338)+N($AG338))&lt;=0),"",IFERROR(SUMIFS(随時_動員を入れる!$G$8:$G$97,随時_動員を入れる!$B$8:$B$97,"&gt;="&amp;'設定（最初に1回）'!$C$6,随時_動員を入れる!$B$8:$B$97,"&lt;="&amp;'設定（最初に1回）'!$C$6+(N($I338)+N($AG338))-1)/(N($I338)+N($AG338)),0)*$P338/100)</f>
        <v/>
      </c>
      <c r="R338" s="69" t="str">
        <f aca="false">IF($C338="","",SUMIFS(①今日の在庫を貼る!$O$6:$O$10005,①今日の在庫を貼る!$B$6:$B$10005,'設定（最初に1回）'!$C$4,①今日の在庫を貼る!$I$6:$I$10005,$C338))</f>
        <v/>
      </c>
      <c r="S338" s="143" t="str">
        <f aca="false">IF($C338="","",IF('設定（最初に1回）'!$C$9="実績消費",N($O338),IF('設定（最初に1回）'!$C$9="PI値予測",N($Q338),MAX(N($O338),N($Q338)))))</f>
        <v/>
      </c>
      <c r="T338" s="67" t="str">
        <f aca="false">IF(OR($S338="",$S338&lt;=0),"",$K338/$S338)</f>
        <v/>
      </c>
      <c r="U338" s="69" t="str">
        <f aca="false">IF($S338="","",ROUNDUP(N($S338)*'設定（最初に1回）'!$C$12,0))</f>
        <v/>
      </c>
      <c r="V338" s="69" t="str">
        <f aca="false">IF($C338="","",ROUNDUP(N($S338)*(N($I338)+N($AG338))+N($U338),0))</f>
        <v/>
      </c>
      <c r="W338" s="69" t="str">
        <f aca="false">IF($C338="","",SUMIFS(発注管理!$L$6:$L$1005,発注管理!$C$6:$C$1005,'設定（最初に1回）'!$C$4,発注管理!$F$6:$F$1005,$C338,発注管理!$Q$6:$Q$1005,"発注済"))</f>
        <v/>
      </c>
      <c r="X338" s="69" t="str">
        <f aca="false">IF($C338="","",MAX(0,N($V338)-N($K338)-N($W338)))</f>
        <v/>
      </c>
      <c r="Y338" s="147" t="str">
        <f aca="false">IF($C338="","",IF(N($X338)&lt;=0,0,CEILING($X338/MAX(1,N($G338)),MAX(1,N($J338)))))</f>
        <v/>
      </c>
      <c r="Z338" s="138" t="str">
        <f aca="false">IF($C338="","",IF(N($Y338)&gt;0,"要発注","正常"))</f>
        <v/>
      </c>
      <c r="AA338" s="71" t="str">
        <f aca="false">IF($C338="","",N($K338)*N($H338))</f>
        <v/>
      </c>
      <c r="AB338" s="66" t="str">
        <f aca="false">IF($C338="","",_xlfn.TEXTJOIN(" / ",TRUE(),IF(COUNTIF(商品マスタ!$B$6:$B$1005,$C338)=0,"マスタ未登録",""),IF(COUNTIFS(月1回_前回の在庫を貼る!$B$6:$B$10005,'設定（最初に1回）'!$C$4,月1回_前回の在庫を貼る!$I$6:$I$10005,$C338)=0,"新商品",""),IF(COUNTIFS(①今日の在庫を貼る!$B$6:$B$10005,'設定（最初に1回）'!$C$4,①今日の在庫を貼る!$I$6:$I$10005,$C338)=0,"終売候補",""),IF(N($K338)&lt;0,"在庫マイナス",""),IF(AND('設定（最初に1回）'!$C$9="PI値予測",$P338=""),"PI値未設定","")))</f>
        <v/>
      </c>
      <c r="AC338" s="71" t="n">
        <f aca="false">N($Y338)*N($H338)</f>
        <v>0</v>
      </c>
      <c r="AD338" s="66" t="str">
        <f aca="false">IF($C338="","",IFERROR(INDEX(商品マスタ!$K$6:$K$1005,MATCH($C338,商品マスタ!$B$6:$B$1005,0)),"常温"))</f>
        <v/>
      </c>
      <c r="AE338" s="69" t="str">
        <f aca="false">IF($C338="","",MAX(0,ROUNDUP(N($K338)/MAX(1,N($G338)),0)))</f>
        <v/>
      </c>
      <c r="AF338" s="66" t="str">
        <f aca="false">IF($C338="","",IFERROR(INDEX(商品マスタ!$L$6:$L$1005,MATCH($C338,商品マスタ!$B$6:$B$1005,0)),""))</f>
        <v/>
      </c>
      <c r="AG338" s="143" t="str">
        <f aca="false">IF($C338="","",IFERROR(INDEX(定数マスタ!$S$110:$S$119,MATCH($AF338,定数マスタ!$J$110:$J$119,0)),N('設定（最初に1回）'!$C$13)))</f>
        <v/>
      </c>
      <c r="AH338" s="66" t="n">
        <f aca="false">IF(AND(N($K338)&gt;0,N($Y338)&gt;0),N($Y338),0)</f>
        <v>0</v>
      </c>
    </row>
    <row r="339" customFormat="false" ht="15" hidden="false" customHeight="false" outlineLevel="0" collapsed="false">
      <c r="B339" s="66" t="n">
        <v>334</v>
      </c>
      <c r="C339" s="66" t="str">
        <f aca="false">IFERROR(IF($B339&lt;=MAX(①今日の在庫を貼る!$U$6:$U$10005),INDEX(①今日の在庫を貼る!$I$6:$I$10005,MATCH($B339,①今日の在庫を貼る!$U$6:$U$10005,0)),INDEX(月1回_前回の在庫を貼る!$I$6:$I$10005,MATCH($B339-MAX(①今日の在庫を貼る!$U$6:$U$10005),月1回_前回の在庫を貼る!$U$6:$U$10005,0))),"")</f>
        <v/>
      </c>
      <c r="D339" s="66" t="str">
        <f aca="false">IF($C339="","",IFERROR(INDEX(商品マスタ!$C$6:$C$1005,MATCH($C339,商品マスタ!$B$6:$B$1005,0)),IFERROR(INDEX(①今日の在庫を貼る!$J$6:$J$10005,MATCH($C339,①今日の在庫を貼る!$I$6:$I$10005,0)),IFERROR(INDEX(月1回_前回の在庫を貼る!$J$6:$J$10005,MATCH($C339,月1回_前回の在庫を貼る!$I$6:$I$10005,0)),""))))</f>
        <v/>
      </c>
      <c r="E339" s="66" t="str">
        <f aca="false">IF($C339="","",IFERROR(INDEX(商品マスタ!$D$6:$D$1005,MATCH($C339,商品マスタ!$B$6:$B$1005,0)),IFERROR(INDEX(①今日の在庫を貼る!$H$6:$H$10005,MATCH($C339,①今日の在庫を貼る!$I$6:$I$10005,0)),IFERROR(INDEX(月1回_前回の在庫を貼る!$H$6:$H$10005,MATCH($C339,月1回_前回の在庫を貼る!$I$6:$I$10005,0)),""))))</f>
        <v/>
      </c>
      <c r="F339" s="66" t="str">
        <f aca="false">IF($C339="","",IFERROR(INDEX(商品マスタ!$E$6:$E$1005,MATCH($C339,商品マスタ!$B$6:$B$1005,0)),IFERROR(INDEX(①今日の在庫を貼る!$E$6:$E$10005,MATCH($C339,①今日の在庫を貼る!$I$6:$I$10005,0)),IFERROR(INDEX(月1回_前回の在庫を貼る!$E$6:$E$10005,MATCH($C339,月1回_前回の在庫を貼る!$I$6:$I$10005,0)),""))))</f>
        <v/>
      </c>
      <c r="G339" s="69" t="str">
        <f aca="false">IF($C339="","",IFERROR(INDEX(商品マスタ!$F$6:$F$1005,MATCH($C339,商品マスタ!$B$6:$B$1005,0)),IFERROR(INDEX(①今日の在庫を貼る!$K$6:$K$10005,MATCH($C339,①今日の在庫を貼る!$I$6:$I$10005,0)),IFERROR(INDEX(月1回_前回の在庫を貼る!$K$6:$K$10005,MATCH($C339,月1回_前回の在庫を貼る!$I$6:$I$10005,0)),""))))</f>
        <v/>
      </c>
      <c r="H339" s="71" t="str">
        <f aca="false">IF($C339="","",IFERROR(INDEX(商品マスタ!$G$6:$G$1005,MATCH($C339,商品マスタ!$B$6:$B$1005,0)),IFERROR(INDEX(①今日の在庫を貼る!$Q$6:$Q$10005,MATCH($C339,①今日の在庫を貼る!$I$6:$I$10005,0)),IFERROR(INDEX(月1回_前回の在庫を貼る!$Q$6:$Q$10005,MATCH($C339,月1回_前回の在庫を貼る!$I$6:$I$10005,0)),""))))</f>
        <v/>
      </c>
      <c r="I339" s="66" t="str">
        <f aca="false">IF($C339="","",IFERROR(INDEX(商品マスタ!$H$6:$H$1005,MATCH($C339,商品マスタ!$B$6:$B$1005,0)),3))</f>
        <v/>
      </c>
      <c r="J339" s="66" t="str">
        <f aca="false">IF($C339="","",MAX(1,IFERROR(INDEX(商品マスタ!$I$6:$I$1005,MATCH($C339,商品マスタ!$B$6:$B$1005,0)),1)))</f>
        <v/>
      </c>
      <c r="K339" s="69" t="str">
        <f aca="false">IF($C339="","",SUMIFS(①今日の在庫を貼る!$N$6:$N$10005,①今日の在庫を貼る!$B$6:$B$10005,'設定（最初に1回）'!$C$4,①今日の在庫を貼る!$I$6:$I$10005,$C339))</f>
        <v/>
      </c>
      <c r="L339" s="69" t="str">
        <f aca="false">IF($C339="","",SUMIFS(月1回_前回の在庫を貼る!$N$6:$N$10005,月1回_前回の在庫を貼る!$B$6:$B$10005,'設定（最初に1回）'!$C$4,月1回_前回の在庫を貼る!$I$6:$I$10005,$C339))</f>
        <v/>
      </c>
      <c r="M339" s="69" t="str">
        <f aca="false">IF($C339="","",IF(OR('設定（最初に1回）'!$C$6="",'設定（最初に1回）'!$C$7=""),0,SUMIFS(発注管理!$S$6:$S$1005,発注管理!$C$6:$C$1005,'設定（最初に1回）'!$C$4,発注管理!$F$6:$F$1005,$C339,発注管理!$R$6:$R$1005,"&gt;="&amp;'設定（最初に1回）'!$C$7,発注管理!$R$6:$R$1005,"&lt;="&amp;'設定（最初に1回）'!$C$6)))</f>
        <v/>
      </c>
      <c r="N339" s="69" t="str">
        <f aca="false">IF(OR($C339="",'設定（最初に1回）'!$C$15=0),"",$L339+$M339-$K339)</f>
        <v/>
      </c>
      <c r="O339" s="143" t="str">
        <f aca="false">IF(OR($N339="",'設定（最初に1回）'!$C$8="",'設定（最初に1回）'!$C$8&lt;=0),"",MAX(0,$N339)/'設定（最初に1回）'!$C$8)</f>
        <v/>
      </c>
      <c r="P339" s="143" t="str">
        <f aca="false">IF($C339="","",IFERROR(INDEX(商品マスタ!$M$6:$N$1005,MATCH($C339,商品マスタ!$B$6:$B$1005,0),MATCH("PI値 "&amp;'設定（最初に1回）'!$C$11,商品マスタ!$M$5:$N$5,0)),""))</f>
        <v/>
      </c>
      <c r="Q339" s="143" t="str">
        <f aca="false">IF(OR($C339="",$P339="",$P339=0,(N($I339)+N($AG339))&lt;=0),"",IFERROR(SUMIFS(随時_動員を入れる!$G$8:$G$97,随時_動員を入れる!$B$8:$B$97,"&gt;="&amp;'設定（最初に1回）'!$C$6,随時_動員を入れる!$B$8:$B$97,"&lt;="&amp;'設定（最初に1回）'!$C$6+(N($I339)+N($AG339))-1)/(N($I339)+N($AG339)),0)*$P339/100)</f>
        <v/>
      </c>
      <c r="R339" s="69" t="str">
        <f aca="false">IF($C339="","",SUMIFS(①今日の在庫を貼る!$O$6:$O$10005,①今日の在庫を貼る!$B$6:$B$10005,'設定（最初に1回）'!$C$4,①今日の在庫を貼る!$I$6:$I$10005,$C339))</f>
        <v/>
      </c>
      <c r="S339" s="143" t="str">
        <f aca="false">IF($C339="","",IF('設定（最初に1回）'!$C$9="実績消費",N($O339),IF('設定（最初に1回）'!$C$9="PI値予測",N($Q339),MAX(N($O339),N($Q339)))))</f>
        <v/>
      </c>
      <c r="T339" s="67" t="str">
        <f aca="false">IF(OR($S339="",$S339&lt;=0),"",$K339/$S339)</f>
        <v/>
      </c>
      <c r="U339" s="69" t="str">
        <f aca="false">IF($S339="","",ROUNDUP(N($S339)*'設定（最初に1回）'!$C$12,0))</f>
        <v/>
      </c>
      <c r="V339" s="69" t="str">
        <f aca="false">IF($C339="","",ROUNDUP(N($S339)*(N($I339)+N($AG339))+N($U339),0))</f>
        <v/>
      </c>
      <c r="W339" s="69" t="str">
        <f aca="false">IF($C339="","",SUMIFS(発注管理!$L$6:$L$1005,発注管理!$C$6:$C$1005,'設定（最初に1回）'!$C$4,発注管理!$F$6:$F$1005,$C339,発注管理!$Q$6:$Q$1005,"発注済"))</f>
        <v/>
      </c>
      <c r="X339" s="69" t="str">
        <f aca="false">IF($C339="","",MAX(0,N($V339)-N($K339)-N($W339)))</f>
        <v/>
      </c>
      <c r="Y339" s="147" t="str">
        <f aca="false">IF($C339="","",IF(N($X339)&lt;=0,0,CEILING($X339/MAX(1,N($G339)),MAX(1,N($J339)))))</f>
        <v/>
      </c>
      <c r="Z339" s="138" t="str">
        <f aca="false">IF($C339="","",IF(N($Y339)&gt;0,"要発注","正常"))</f>
        <v/>
      </c>
      <c r="AA339" s="71" t="str">
        <f aca="false">IF($C339="","",N($K339)*N($H339))</f>
        <v/>
      </c>
      <c r="AB339" s="66" t="str">
        <f aca="false">IF($C339="","",_xlfn.TEXTJOIN(" / ",TRUE(),IF(COUNTIF(商品マスタ!$B$6:$B$1005,$C339)=0,"マスタ未登録",""),IF(COUNTIFS(月1回_前回の在庫を貼る!$B$6:$B$10005,'設定（最初に1回）'!$C$4,月1回_前回の在庫を貼る!$I$6:$I$10005,$C339)=0,"新商品",""),IF(COUNTIFS(①今日の在庫を貼る!$B$6:$B$10005,'設定（最初に1回）'!$C$4,①今日の在庫を貼る!$I$6:$I$10005,$C339)=0,"終売候補",""),IF(N($K339)&lt;0,"在庫マイナス",""),IF(AND('設定（最初に1回）'!$C$9="PI値予測",$P339=""),"PI値未設定","")))</f>
        <v/>
      </c>
      <c r="AC339" s="71" t="n">
        <f aca="false">N($Y339)*N($H339)</f>
        <v>0</v>
      </c>
      <c r="AD339" s="66" t="str">
        <f aca="false">IF($C339="","",IFERROR(INDEX(商品マスタ!$K$6:$K$1005,MATCH($C339,商品マスタ!$B$6:$B$1005,0)),"常温"))</f>
        <v/>
      </c>
      <c r="AE339" s="69" t="str">
        <f aca="false">IF($C339="","",MAX(0,ROUNDUP(N($K339)/MAX(1,N($G339)),0)))</f>
        <v/>
      </c>
      <c r="AF339" s="66" t="str">
        <f aca="false">IF($C339="","",IFERROR(INDEX(商品マスタ!$L$6:$L$1005,MATCH($C339,商品マスタ!$B$6:$B$1005,0)),""))</f>
        <v/>
      </c>
      <c r="AG339" s="143" t="str">
        <f aca="false">IF($C339="","",IFERROR(INDEX(定数マスタ!$S$110:$S$119,MATCH($AF339,定数マスタ!$J$110:$J$119,0)),N('設定（最初に1回）'!$C$13)))</f>
        <v/>
      </c>
      <c r="AH339" s="66" t="n">
        <f aca="false">IF(AND(N($K339)&gt;0,N($Y339)&gt;0),N($Y339),0)</f>
        <v>0</v>
      </c>
    </row>
    <row r="340" customFormat="false" ht="15" hidden="false" customHeight="false" outlineLevel="0" collapsed="false">
      <c r="B340" s="66" t="n">
        <v>335</v>
      </c>
      <c r="C340" s="66" t="str">
        <f aca="false">IFERROR(IF($B340&lt;=MAX(①今日の在庫を貼る!$U$6:$U$10005),INDEX(①今日の在庫を貼る!$I$6:$I$10005,MATCH($B340,①今日の在庫を貼る!$U$6:$U$10005,0)),INDEX(月1回_前回の在庫を貼る!$I$6:$I$10005,MATCH($B340-MAX(①今日の在庫を貼る!$U$6:$U$10005),月1回_前回の在庫を貼る!$U$6:$U$10005,0))),"")</f>
        <v/>
      </c>
      <c r="D340" s="66" t="str">
        <f aca="false">IF($C340="","",IFERROR(INDEX(商品マスタ!$C$6:$C$1005,MATCH($C340,商品マスタ!$B$6:$B$1005,0)),IFERROR(INDEX(①今日の在庫を貼る!$J$6:$J$10005,MATCH($C340,①今日の在庫を貼る!$I$6:$I$10005,0)),IFERROR(INDEX(月1回_前回の在庫を貼る!$J$6:$J$10005,MATCH($C340,月1回_前回の在庫を貼る!$I$6:$I$10005,0)),""))))</f>
        <v/>
      </c>
      <c r="E340" s="66" t="str">
        <f aca="false">IF($C340="","",IFERROR(INDEX(商品マスタ!$D$6:$D$1005,MATCH($C340,商品マスタ!$B$6:$B$1005,0)),IFERROR(INDEX(①今日の在庫を貼る!$H$6:$H$10005,MATCH($C340,①今日の在庫を貼る!$I$6:$I$10005,0)),IFERROR(INDEX(月1回_前回の在庫を貼る!$H$6:$H$10005,MATCH($C340,月1回_前回の在庫を貼る!$I$6:$I$10005,0)),""))))</f>
        <v/>
      </c>
      <c r="F340" s="66" t="str">
        <f aca="false">IF($C340="","",IFERROR(INDEX(商品マスタ!$E$6:$E$1005,MATCH($C340,商品マスタ!$B$6:$B$1005,0)),IFERROR(INDEX(①今日の在庫を貼る!$E$6:$E$10005,MATCH($C340,①今日の在庫を貼る!$I$6:$I$10005,0)),IFERROR(INDEX(月1回_前回の在庫を貼る!$E$6:$E$10005,MATCH($C340,月1回_前回の在庫を貼る!$I$6:$I$10005,0)),""))))</f>
        <v/>
      </c>
      <c r="G340" s="69" t="str">
        <f aca="false">IF($C340="","",IFERROR(INDEX(商品マスタ!$F$6:$F$1005,MATCH($C340,商品マスタ!$B$6:$B$1005,0)),IFERROR(INDEX(①今日の在庫を貼る!$K$6:$K$10005,MATCH($C340,①今日の在庫を貼る!$I$6:$I$10005,0)),IFERROR(INDEX(月1回_前回の在庫を貼る!$K$6:$K$10005,MATCH($C340,月1回_前回の在庫を貼る!$I$6:$I$10005,0)),""))))</f>
        <v/>
      </c>
      <c r="H340" s="71" t="str">
        <f aca="false">IF($C340="","",IFERROR(INDEX(商品マスタ!$G$6:$G$1005,MATCH($C340,商品マスタ!$B$6:$B$1005,0)),IFERROR(INDEX(①今日の在庫を貼る!$Q$6:$Q$10005,MATCH($C340,①今日の在庫を貼る!$I$6:$I$10005,0)),IFERROR(INDEX(月1回_前回の在庫を貼る!$Q$6:$Q$10005,MATCH($C340,月1回_前回の在庫を貼る!$I$6:$I$10005,0)),""))))</f>
        <v/>
      </c>
      <c r="I340" s="66" t="str">
        <f aca="false">IF($C340="","",IFERROR(INDEX(商品マスタ!$H$6:$H$1005,MATCH($C340,商品マスタ!$B$6:$B$1005,0)),3))</f>
        <v/>
      </c>
      <c r="J340" s="66" t="str">
        <f aca="false">IF($C340="","",MAX(1,IFERROR(INDEX(商品マスタ!$I$6:$I$1005,MATCH($C340,商品マスタ!$B$6:$B$1005,0)),1)))</f>
        <v/>
      </c>
      <c r="K340" s="69" t="str">
        <f aca="false">IF($C340="","",SUMIFS(①今日の在庫を貼る!$N$6:$N$10005,①今日の在庫を貼る!$B$6:$B$10005,'設定（最初に1回）'!$C$4,①今日の在庫を貼る!$I$6:$I$10005,$C340))</f>
        <v/>
      </c>
      <c r="L340" s="69" t="str">
        <f aca="false">IF($C340="","",SUMIFS(月1回_前回の在庫を貼る!$N$6:$N$10005,月1回_前回の在庫を貼る!$B$6:$B$10005,'設定（最初に1回）'!$C$4,月1回_前回の在庫を貼る!$I$6:$I$10005,$C340))</f>
        <v/>
      </c>
      <c r="M340" s="69" t="str">
        <f aca="false">IF($C340="","",IF(OR('設定（最初に1回）'!$C$6="",'設定（最初に1回）'!$C$7=""),0,SUMIFS(発注管理!$S$6:$S$1005,発注管理!$C$6:$C$1005,'設定（最初に1回）'!$C$4,発注管理!$F$6:$F$1005,$C340,発注管理!$R$6:$R$1005,"&gt;="&amp;'設定（最初に1回）'!$C$7,発注管理!$R$6:$R$1005,"&lt;="&amp;'設定（最初に1回）'!$C$6)))</f>
        <v/>
      </c>
      <c r="N340" s="69" t="str">
        <f aca="false">IF(OR($C340="",'設定（最初に1回）'!$C$15=0),"",$L340+$M340-$K340)</f>
        <v/>
      </c>
      <c r="O340" s="143" t="str">
        <f aca="false">IF(OR($N340="",'設定（最初に1回）'!$C$8="",'設定（最初に1回）'!$C$8&lt;=0),"",MAX(0,$N340)/'設定（最初に1回）'!$C$8)</f>
        <v/>
      </c>
      <c r="P340" s="143" t="str">
        <f aca="false">IF($C340="","",IFERROR(INDEX(商品マスタ!$M$6:$N$1005,MATCH($C340,商品マスタ!$B$6:$B$1005,0),MATCH("PI値 "&amp;'設定（最初に1回）'!$C$11,商品マスタ!$M$5:$N$5,0)),""))</f>
        <v/>
      </c>
      <c r="Q340" s="143" t="str">
        <f aca="false">IF(OR($C340="",$P340="",$P340=0,(N($I340)+N($AG340))&lt;=0),"",IFERROR(SUMIFS(随時_動員を入れる!$G$8:$G$97,随時_動員を入れる!$B$8:$B$97,"&gt;="&amp;'設定（最初に1回）'!$C$6,随時_動員を入れる!$B$8:$B$97,"&lt;="&amp;'設定（最初に1回）'!$C$6+(N($I340)+N($AG340))-1)/(N($I340)+N($AG340)),0)*$P340/100)</f>
        <v/>
      </c>
      <c r="R340" s="69" t="str">
        <f aca="false">IF($C340="","",SUMIFS(①今日の在庫を貼る!$O$6:$O$10005,①今日の在庫を貼る!$B$6:$B$10005,'設定（最初に1回）'!$C$4,①今日の在庫を貼る!$I$6:$I$10005,$C340))</f>
        <v/>
      </c>
      <c r="S340" s="143" t="str">
        <f aca="false">IF($C340="","",IF('設定（最初に1回）'!$C$9="実績消費",N($O340),IF('設定（最初に1回）'!$C$9="PI値予測",N($Q340),MAX(N($O340),N($Q340)))))</f>
        <v/>
      </c>
      <c r="T340" s="67" t="str">
        <f aca="false">IF(OR($S340="",$S340&lt;=0),"",$K340/$S340)</f>
        <v/>
      </c>
      <c r="U340" s="69" t="str">
        <f aca="false">IF($S340="","",ROUNDUP(N($S340)*'設定（最初に1回）'!$C$12,0))</f>
        <v/>
      </c>
      <c r="V340" s="69" t="str">
        <f aca="false">IF($C340="","",ROUNDUP(N($S340)*(N($I340)+N($AG340))+N($U340),0))</f>
        <v/>
      </c>
      <c r="W340" s="69" t="str">
        <f aca="false">IF($C340="","",SUMIFS(発注管理!$L$6:$L$1005,発注管理!$C$6:$C$1005,'設定（最初に1回）'!$C$4,発注管理!$F$6:$F$1005,$C340,発注管理!$Q$6:$Q$1005,"発注済"))</f>
        <v/>
      </c>
      <c r="X340" s="69" t="str">
        <f aca="false">IF($C340="","",MAX(0,N($V340)-N($K340)-N($W340)))</f>
        <v/>
      </c>
      <c r="Y340" s="147" t="str">
        <f aca="false">IF($C340="","",IF(N($X340)&lt;=0,0,CEILING($X340/MAX(1,N($G340)),MAX(1,N($J340)))))</f>
        <v/>
      </c>
      <c r="Z340" s="138" t="str">
        <f aca="false">IF($C340="","",IF(N($Y340)&gt;0,"要発注","正常"))</f>
        <v/>
      </c>
      <c r="AA340" s="71" t="str">
        <f aca="false">IF($C340="","",N($K340)*N($H340))</f>
        <v/>
      </c>
      <c r="AB340" s="66" t="str">
        <f aca="false">IF($C340="","",_xlfn.TEXTJOIN(" / ",TRUE(),IF(COUNTIF(商品マスタ!$B$6:$B$1005,$C340)=0,"マスタ未登録",""),IF(COUNTIFS(月1回_前回の在庫を貼る!$B$6:$B$10005,'設定（最初に1回）'!$C$4,月1回_前回の在庫を貼る!$I$6:$I$10005,$C340)=0,"新商品",""),IF(COUNTIFS(①今日の在庫を貼る!$B$6:$B$10005,'設定（最初に1回）'!$C$4,①今日の在庫を貼る!$I$6:$I$10005,$C340)=0,"終売候補",""),IF(N($K340)&lt;0,"在庫マイナス",""),IF(AND('設定（最初に1回）'!$C$9="PI値予測",$P340=""),"PI値未設定","")))</f>
        <v/>
      </c>
      <c r="AC340" s="71" t="n">
        <f aca="false">N($Y340)*N($H340)</f>
        <v>0</v>
      </c>
      <c r="AD340" s="66" t="str">
        <f aca="false">IF($C340="","",IFERROR(INDEX(商品マスタ!$K$6:$K$1005,MATCH($C340,商品マスタ!$B$6:$B$1005,0)),"常温"))</f>
        <v/>
      </c>
      <c r="AE340" s="69" t="str">
        <f aca="false">IF($C340="","",MAX(0,ROUNDUP(N($K340)/MAX(1,N($G340)),0)))</f>
        <v/>
      </c>
      <c r="AF340" s="66" t="str">
        <f aca="false">IF($C340="","",IFERROR(INDEX(商品マスタ!$L$6:$L$1005,MATCH($C340,商品マスタ!$B$6:$B$1005,0)),""))</f>
        <v/>
      </c>
      <c r="AG340" s="143" t="str">
        <f aca="false">IF($C340="","",IFERROR(INDEX(定数マスタ!$S$110:$S$119,MATCH($AF340,定数マスタ!$J$110:$J$119,0)),N('設定（最初に1回）'!$C$13)))</f>
        <v/>
      </c>
      <c r="AH340" s="66" t="n">
        <f aca="false">IF(AND(N($K340)&gt;0,N($Y340)&gt;0),N($Y340),0)</f>
        <v>0</v>
      </c>
    </row>
    <row r="341" customFormat="false" ht="15" hidden="false" customHeight="false" outlineLevel="0" collapsed="false">
      <c r="B341" s="66" t="n">
        <v>336</v>
      </c>
      <c r="C341" s="66" t="str">
        <f aca="false">IFERROR(IF($B341&lt;=MAX(①今日の在庫を貼る!$U$6:$U$10005),INDEX(①今日の在庫を貼る!$I$6:$I$10005,MATCH($B341,①今日の在庫を貼る!$U$6:$U$10005,0)),INDEX(月1回_前回の在庫を貼る!$I$6:$I$10005,MATCH($B341-MAX(①今日の在庫を貼る!$U$6:$U$10005),月1回_前回の在庫を貼る!$U$6:$U$10005,0))),"")</f>
        <v/>
      </c>
      <c r="D341" s="66" t="str">
        <f aca="false">IF($C341="","",IFERROR(INDEX(商品マスタ!$C$6:$C$1005,MATCH($C341,商品マスタ!$B$6:$B$1005,0)),IFERROR(INDEX(①今日の在庫を貼る!$J$6:$J$10005,MATCH($C341,①今日の在庫を貼る!$I$6:$I$10005,0)),IFERROR(INDEX(月1回_前回の在庫を貼る!$J$6:$J$10005,MATCH($C341,月1回_前回の在庫を貼る!$I$6:$I$10005,0)),""))))</f>
        <v/>
      </c>
      <c r="E341" s="66" t="str">
        <f aca="false">IF($C341="","",IFERROR(INDEX(商品マスタ!$D$6:$D$1005,MATCH($C341,商品マスタ!$B$6:$B$1005,0)),IFERROR(INDEX(①今日の在庫を貼る!$H$6:$H$10005,MATCH($C341,①今日の在庫を貼る!$I$6:$I$10005,0)),IFERROR(INDEX(月1回_前回の在庫を貼る!$H$6:$H$10005,MATCH($C341,月1回_前回の在庫を貼る!$I$6:$I$10005,0)),""))))</f>
        <v/>
      </c>
      <c r="F341" s="66" t="str">
        <f aca="false">IF($C341="","",IFERROR(INDEX(商品マスタ!$E$6:$E$1005,MATCH($C341,商品マスタ!$B$6:$B$1005,0)),IFERROR(INDEX(①今日の在庫を貼る!$E$6:$E$10005,MATCH($C341,①今日の在庫を貼る!$I$6:$I$10005,0)),IFERROR(INDEX(月1回_前回の在庫を貼る!$E$6:$E$10005,MATCH($C341,月1回_前回の在庫を貼る!$I$6:$I$10005,0)),""))))</f>
        <v/>
      </c>
      <c r="G341" s="69" t="str">
        <f aca="false">IF($C341="","",IFERROR(INDEX(商品マスタ!$F$6:$F$1005,MATCH($C341,商品マスタ!$B$6:$B$1005,0)),IFERROR(INDEX(①今日の在庫を貼る!$K$6:$K$10005,MATCH($C341,①今日の在庫を貼る!$I$6:$I$10005,0)),IFERROR(INDEX(月1回_前回の在庫を貼る!$K$6:$K$10005,MATCH($C341,月1回_前回の在庫を貼る!$I$6:$I$10005,0)),""))))</f>
        <v/>
      </c>
      <c r="H341" s="71" t="str">
        <f aca="false">IF($C341="","",IFERROR(INDEX(商品マスタ!$G$6:$G$1005,MATCH($C341,商品マスタ!$B$6:$B$1005,0)),IFERROR(INDEX(①今日の在庫を貼る!$Q$6:$Q$10005,MATCH($C341,①今日の在庫を貼る!$I$6:$I$10005,0)),IFERROR(INDEX(月1回_前回の在庫を貼る!$Q$6:$Q$10005,MATCH($C341,月1回_前回の在庫を貼る!$I$6:$I$10005,0)),""))))</f>
        <v/>
      </c>
      <c r="I341" s="66" t="str">
        <f aca="false">IF($C341="","",IFERROR(INDEX(商品マスタ!$H$6:$H$1005,MATCH($C341,商品マスタ!$B$6:$B$1005,0)),3))</f>
        <v/>
      </c>
      <c r="J341" s="66" t="str">
        <f aca="false">IF($C341="","",MAX(1,IFERROR(INDEX(商品マスタ!$I$6:$I$1005,MATCH($C341,商品マスタ!$B$6:$B$1005,0)),1)))</f>
        <v/>
      </c>
      <c r="K341" s="69" t="str">
        <f aca="false">IF($C341="","",SUMIFS(①今日の在庫を貼る!$N$6:$N$10005,①今日の在庫を貼る!$B$6:$B$10005,'設定（最初に1回）'!$C$4,①今日の在庫を貼る!$I$6:$I$10005,$C341))</f>
        <v/>
      </c>
      <c r="L341" s="69" t="str">
        <f aca="false">IF($C341="","",SUMIFS(月1回_前回の在庫を貼る!$N$6:$N$10005,月1回_前回の在庫を貼る!$B$6:$B$10005,'設定（最初に1回）'!$C$4,月1回_前回の在庫を貼る!$I$6:$I$10005,$C341))</f>
        <v/>
      </c>
      <c r="M341" s="69" t="str">
        <f aca="false">IF($C341="","",IF(OR('設定（最初に1回）'!$C$6="",'設定（最初に1回）'!$C$7=""),0,SUMIFS(発注管理!$S$6:$S$1005,発注管理!$C$6:$C$1005,'設定（最初に1回）'!$C$4,発注管理!$F$6:$F$1005,$C341,発注管理!$R$6:$R$1005,"&gt;="&amp;'設定（最初に1回）'!$C$7,発注管理!$R$6:$R$1005,"&lt;="&amp;'設定（最初に1回）'!$C$6)))</f>
        <v/>
      </c>
      <c r="N341" s="69" t="str">
        <f aca="false">IF(OR($C341="",'設定（最初に1回）'!$C$15=0),"",$L341+$M341-$K341)</f>
        <v/>
      </c>
      <c r="O341" s="143" t="str">
        <f aca="false">IF(OR($N341="",'設定（最初に1回）'!$C$8="",'設定（最初に1回）'!$C$8&lt;=0),"",MAX(0,$N341)/'設定（最初に1回）'!$C$8)</f>
        <v/>
      </c>
      <c r="P341" s="143" t="str">
        <f aca="false">IF($C341="","",IFERROR(INDEX(商品マスタ!$M$6:$N$1005,MATCH($C341,商品マスタ!$B$6:$B$1005,0),MATCH("PI値 "&amp;'設定（最初に1回）'!$C$11,商品マスタ!$M$5:$N$5,0)),""))</f>
        <v/>
      </c>
      <c r="Q341" s="143" t="str">
        <f aca="false">IF(OR($C341="",$P341="",$P341=0,(N($I341)+N($AG341))&lt;=0),"",IFERROR(SUMIFS(随時_動員を入れる!$G$8:$G$97,随時_動員を入れる!$B$8:$B$97,"&gt;="&amp;'設定（最初に1回）'!$C$6,随時_動員を入れる!$B$8:$B$97,"&lt;="&amp;'設定（最初に1回）'!$C$6+(N($I341)+N($AG341))-1)/(N($I341)+N($AG341)),0)*$P341/100)</f>
        <v/>
      </c>
      <c r="R341" s="69" t="str">
        <f aca="false">IF($C341="","",SUMIFS(①今日の在庫を貼る!$O$6:$O$10005,①今日の在庫を貼る!$B$6:$B$10005,'設定（最初に1回）'!$C$4,①今日の在庫を貼る!$I$6:$I$10005,$C341))</f>
        <v/>
      </c>
      <c r="S341" s="143" t="str">
        <f aca="false">IF($C341="","",IF('設定（最初に1回）'!$C$9="実績消費",N($O341),IF('設定（最初に1回）'!$C$9="PI値予測",N($Q341),MAX(N($O341),N($Q341)))))</f>
        <v/>
      </c>
      <c r="T341" s="67" t="str">
        <f aca="false">IF(OR($S341="",$S341&lt;=0),"",$K341/$S341)</f>
        <v/>
      </c>
      <c r="U341" s="69" t="str">
        <f aca="false">IF($S341="","",ROUNDUP(N($S341)*'設定（最初に1回）'!$C$12,0))</f>
        <v/>
      </c>
      <c r="V341" s="69" t="str">
        <f aca="false">IF($C341="","",ROUNDUP(N($S341)*(N($I341)+N($AG341))+N($U341),0))</f>
        <v/>
      </c>
      <c r="W341" s="69" t="str">
        <f aca="false">IF($C341="","",SUMIFS(発注管理!$L$6:$L$1005,発注管理!$C$6:$C$1005,'設定（最初に1回）'!$C$4,発注管理!$F$6:$F$1005,$C341,発注管理!$Q$6:$Q$1005,"発注済"))</f>
        <v/>
      </c>
      <c r="X341" s="69" t="str">
        <f aca="false">IF($C341="","",MAX(0,N($V341)-N($K341)-N($W341)))</f>
        <v/>
      </c>
      <c r="Y341" s="147" t="str">
        <f aca="false">IF($C341="","",IF(N($X341)&lt;=0,0,CEILING($X341/MAX(1,N($G341)),MAX(1,N($J341)))))</f>
        <v/>
      </c>
      <c r="Z341" s="138" t="str">
        <f aca="false">IF($C341="","",IF(N($Y341)&gt;0,"要発注","正常"))</f>
        <v/>
      </c>
      <c r="AA341" s="71" t="str">
        <f aca="false">IF($C341="","",N($K341)*N($H341))</f>
        <v/>
      </c>
      <c r="AB341" s="66" t="str">
        <f aca="false">IF($C341="","",_xlfn.TEXTJOIN(" / ",TRUE(),IF(COUNTIF(商品マスタ!$B$6:$B$1005,$C341)=0,"マスタ未登録",""),IF(COUNTIFS(月1回_前回の在庫を貼る!$B$6:$B$10005,'設定（最初に1回）'!$C$4,月1回_前回の在庫を貼る!$I$6:$I$10005,$C341)=0,"新商品",""),IF(COUNTIFS(①今日の在庫を貼る!$B$6:$B$10005,'設定（最初に1回）'!$C$4,①今日の在庫を貼る!$I$6:$I$10005,$C341)=0,"終売候補",""),IF(N($K341)&lt;0,"在庫マイナス",""),IF(AND('設定（最初に1回）'!$C$9="PI値予測",$P341=""),"PI値未設定","")))</f>
        <v/>
      </c>
      <c r="AC341" s="71" t="n">
        <f aca="false">N($Y341)*N($H341)</f>
        <v>0</v>
      </c>
      <c r="AD341" s="66" t="str">
        <f aca="false">IF($C341="","",IFERROR(INDEX(商品マスタ!$K$6:$K$1005,MATCH($C341,商品マスタ!$B$6:$B$1005,0)),"常温"))</f>
        <v/>
      </c>
      <c r="AE341" s="69" t="str">
        <f aca="false">IF($C341="","",MAX(0,ROUNDUP(N($K341)/MAX(1,N($G341)),0)))</f>
        <v/>
      </c>
      <c r="AF341" s="66" t="str">
        <f aca="false">IF($C341="","",IFERROR(INDEX(商品マスタ!$L$6:$L$1005,MATCH($C341,商品マスタ!$B$6:$B$1005,0)),""))</f>
        <v/>
      </c>
      <c r="AG341" s="143" t="str">
        <f aca="false">IF($C341="","",IFERROR(INDEX(定数マスタ!$S$110:$S$119,MATCH($AF341,定数マスタ!$J$110:$J$119,0)),N('設定（最初に1回）'!$C$13)))</f>
        <v/>
      </c>
      <c r="AH341" s="66" t="n">
        <f aca="false">IF(AND(N($K341)&gt;0,N($Y341)&gt;0),N($Y341),0)</f>
        <v>0</v>
      </c>
    </row>
    <row r="342" customFormat="false" ht="15" hidden="false" customHeight="false" outlineLevel="0" collapsed="false">
      <c r="B342" s="66" t="n">
        <v>337</v>
      </c>
      <c r="C342" s="66" t="str">
        <f aca="false">IFERROR(IF($B342&lt;=MAX(①今日の在庫を貼る!$U$6:$U$10005),INDEX(①今日の在庫を貼る!$I$6:$I$10005,MATCH($B342,①今日の在庫を貼る!$U$6:$U$10005,0)),INDEX(月1回_前回の在庫を貼る!$I$6:$I$10005,MATCH($B342-MAX(①今日の在庫を貼る!$U$6:$U$10005),月1回_前回の在庫を貼る!$U$6:$U$10005,0))),"")</f>
        <v/>
      </c>
      <c r="D342" s="66" t="str">
        <f aca="false">IF($C342="","",IFERROR(INDEX(商品マスタ!$C$6:$C$1005,MATCH($C342,商品マスタ!$B$6:$B$1005,0)),IFERROR(INDEX(①今日の在庫を貼る!$J$6:$J$10005,MATCH($C342,①今日の在庫を貼る!$I$6:$I$10005,0)),IFERROR(INDEX(月1回_前回の在庫を貼る!$J$6:$J$10005,MATCH($C342,月1回_前回の在庫を貼る!$I$6:$I$10005,0)),""))))</f>
        <v/>
      </c>
      <c r="E342" s="66" t="str">
        <f aca="false">IF($C342="","",IFERROR(INDEX(商品マスタ!$D$6:$D$1005,MATCH($C342,商品マスタ!$B$6:$B$1005,0)),IFERROR(INDEX(①今日の在庫を貼る!$H$6:$H$10005,MATCH($C342,①今日の在庫を貼る!$I$6:$I$10005,0)),IFERROR(INDEX(月1回_前回の在庫を貼る!$H$6:$H$10005,MATCH($C342,月1回_前回の在庫を貼る!$I$6:$I$10005,0)),""))))</f>
        <v/>
      </c>
      <c r="F342" s="66" t="str">
        <f aca="false">IF($C342="","",IFERROR(INDEX(商品マスタ!$E$6:$E$1005,MATCH($C342,商品マスタ!$B$6:$B$1005,0)),IFERROR(INDEX(①今日の在庫を貼る!$E$6:$E$10005,MATCH($C342,①今日の在庫を貼る!$I$6:$I$10005,0)),IFERROR(INDEX(月1回_前回の在庫を貼る!$E$6:$E$10005,MATCH($C342,月1回_前回の在庫を貼る!$I$6:$I$10005,0)),""))))</f>
        <v/>
      </c>
      <c r="G342" s="69" t="str">
        <f aca="false">IF($C342="","",IFERROR(INDEX(商品マスタ!$F$6:$F$1005,MATCH($C342,商品マスタ!$B$6:$B$1005,0)),IFERROR(INDEX(①今日の在庫を貼る!$K$6:$K$10005,MATCH($C342,①今日の在庫を貼る!$I$6:$I$10005,0)),IFERROR(INDEX(月1回_前回の在庫を貼る!$K$6:$K$10005,MATCH($C342,月1回_前回の在庫を貼る!$I$6:$I$10005,0)),""))))</f>
        <v/>
      </c>
      <c r="H342" s="71" t="str">
        <f aca="false">IF($C342="","",IFERROR(INDEX(商品マスタ!$G$6:$G$1005,MATCH($C342,商品マスタ!$B$6:$B$1005,0)),IFERROR(INDEX(①今日の在庫を貼る!$Q$6:$Q$10005,MATCH($C342,①今日の在庫を貼る!$I$6:$I$10005,0)),IFERROR(INDEX(月1回_前回の在庫を貼る!$Q$6:$Q$10005,MATCH($C342,月1回_前回の在庫を貼る!$I$6:$I$10005,0)),""))))</f>
        <v/>
      </c>
      <c r="I342" s="66" t="str">
        <f aca="false">IF($C342="","",IFERROR(INDEX(商品マスタ!$H$6:$H$1005,MATCH($C342,商品マスタ!$B$6:$B$1005,0)),3))</f>
        <v/>
      </c>
      <c r="J342" s="66" t="str">
        <f aca="false">IF($C342="","",MAX(1,IFERROR(INDEX(商品マスタ!$I$6:$I$1005,MATCH($C342,商品マスタ!$B$6:$B$1005,0)),1)))</f>
        <v/>
      </c>
      <c r="K342" s="69" t="str">
        <f aca="false">IF($C342="","",SUMIFS(①今日の在庫を貼る!$N$6:$N$10005,①今日の在庫を貼る!$B$6:$B$10005,'設定（最初に1回）'!$C$4,①今日の在庫を貼る!$I$6:$I$10005,$C342))</f>
        <v/>
      </c>
      <c r="L342" s="69" t="str">
        <f aca="false">IF($C342="","",SUMIFS(月1回_前回の在庫を貼る!$N$6:$N$10005,月1回_前回の在庫を貼る!$B$6:$B$10005,'設定（最初に1回）'!$C$4,月1回_前回の在庫を貼る!$I$6:$I$10005,$C342))</f>
        <v/>
      </c>
      <c r="M342" s="69" t="str">
        <f aca="false">IF($C342="","",IF(OR('設定（最初に1回）'!$C$6="",'設定（最初に1回）'!$C$7=""),0,SUMIFS(発注管理!$S$6:$S$1005,発注管理!$C$6:$C$1005,'設定（最初に1回）'!$C$4,発注管理!$F$6:$F$1005,$C342,発注管理!$R$6:$R$1005,"&gt;="&amp;'設定（最初に1回）'!$C$7,発注管理!$R$6:$R$1005,"&lt;="&amp;'設定（最初に1回）'!$C$6)))</f>
        <v/>
      </c>
      <c r="N342" s="69" t="str">
        <f aca="false">IF(OR($C342="",'設定（最初に1回）'!$C$15=0),"",$L342+$M342-$K342)</f>
        <v/>
      </c>
      <c r="O342" s="143" t="str">
        <f aca="false">IF(OR($N342="",'設定（最初に1回）'!$C$8="",'設定（最初に1回）'!$C$8&lt;=0),"",MAX(0,$N342)/'設定（最初に1回）'!$C$8)</f>
        <v/>
      </c>
      <c r="P342" s="143" t="str">
        <f aca="false">IF($C342="","",IFERROR(INDEX(商品マスタ!$M$6:$N$1005,MATCH($C342,商品マスタ!$B$6:$B$1005,0),MATCH("PI値 "&amp;'設定（最初に1回）'!$C$11,商品マスタ!$M$5:$N$5,0)),""))</f>
        <v/>
      </c>
      <c r="Q342" s="143" t="str">
        <f aca="false">IF(OR($C342="",$P342="",$P342=0,(N($I342)+N($AG342))&lt;=0),"",IFERROR(SUMIFS(随時_動員を入れる!$G$8:$G$97,随時_動員を入れる!$B$8:$B$97,"&gt;="&amp;'設定（最初に1回）'!$C$6,随時_動員を入れる!$B$8:$B$97,"&lt;="&amp;'設定（最初に1回）'!$C$6+(N($I342)+N($AG342))-1)/(N($I342)+N($AG342)),0)*$P342/100)</f>
        <v/>
      </c>
      <c r="R342" s="69" t="str">
        <f aca="false">IF($C342="","",SUMIFS(①今日の在庫を貼る!$O$6:$O$10005,①今日の在庫を貼る!$B$6:$B$10005,'設定（最初に1回）'!$C$4,①今日の在庫を貼る!$I$6:$I$10005,$C342))</f>
        <v/>
      </c>
      <c r="S342" s="143" t="str">
        <f aca="false">IF($C342="","",IF('設定（最初に1回）'!$C$9="実績消費",N($O342),IF('設定（最初に1回）'!$C$9="PI値予測",N($Q342),MAX(N($O342),N($Q342)))))</f>
        <v/>
      </c>
      <c r="T342" s="67" t="str">
        <f aca="false">IF(OR($S342="",$S342&lt;=0),"",$K342/$S342)</f>
        <v/>
      </c>
      <c r="U342" s="69" t="str">
        <f aca="false">IF($S342="","",ROUNDUP(N($S342)*'設定（最初に1回）'!$C$12,0))</f>
        <v/>
      </c>
      <c r="V342" s="69" t="str">
        <f aca="false">IF($C342="","",ROUNDUP(N($S342)*(N($I342)+N($AG342))+N($U342),0))</f>
        <v/>
      </c>
      <c r="W342" s="69" t="str">
        <f aca="false">IF($C342="","",SUMIFS(発注管理!$L$6:$L$1005,発注管理!$C$6:$C$1005,'設定（最初に1回）'!$C$4,発注管理!$F$6:$F$1005,$C342,発注管理!$Q$6:$Q$1005,"発注済"))</f>
        <v/>
      </c>
      <c r="X342" s="69" t="str">
        <f aca="false">IF($C342="","",MAX(0,N($V342)-N($K342)-N($W342)))</f>
        <v/>
      </c>
      <c r="Y342" s="147" t="str">
        <f aca="false">IF($C342="","",IF(N($X342)&lt;=0,0,CEILING($X342/MAX(1,N($G342)),MAX(1,N($J342)))))</f>
        <v/>
      </c>
      <c r="Z342" s="138" t="str">
        <f aca="false">IF($C342="","",IF(N($Y342)&gt;0,"要発注","正常"))</f>
        <v/>
      </c>
      <c r="AA342" s="71" t="str">
        <f aca="false">IF($C342="","",N($K342)*N($H342))</f>
        <v/>
      </c>
      <c r="AB342" s="66" t="str">
        <f aca="false">IF($C342="","",_xlfn.TEXTJOIN(" / ",TRUE(),IF(COUNTIF(商品マスタ!$B$6:$B$1005,$C342)=0,"マスタ未登録",""),IF(COUNTIFS(月1回_前回の在庫を貼る!$B$6:$B$10005,'設定（最初に1回）'!$C$4,月1回_前回の在庫を貼る!$I$6:$I$10005,$C342)=0,"新商品",""),IF(COUNTIFS(①今日の在庫を貼る!$B$6:$B$10005,'設定（最初に1回）'!$C$4,①今日の在庫を貼る!$I$6:$I$10005,$C342)=0,"終売候補",""),IF(N($K342)&lt;0,"在庫マイナス",""),IF(AND('設定（最初に1回）'!$C$9="PI値予測",$P342=""),"PI値未設定","")))</f>
        <v/>
      </c>
      <c r="AC342" s="71" t="n">
        <f aca="false">N($Y342)*N($H342)</f>
        <v>0</v>
      </c>
      <c r="AD342" s="66" t="str">
        <f aca="false">IF($C342="","",IFERROR(INDEX(商品マスタ!$K$6:$K$1005,MATCH($C342,商品マスタ!$B$6:$B$1005,0)),"常温"))</f>
        <v/>
      </c>
      <c r="AE342" s="69" t="str">
        <f aca="false">IF($C342="","",MAX(0,ROUNDUP(N($K342)/MAX(1,N($G342)),0)))</f>
        <v/>
      </c>
      <c r="AF342" s="66" t="str">
        <f aca="false">IF($C342="","",IFERROR(INDEX(商品マスタ!$L$6:$L$1005,MATCH($C342,商品マスタ!$B$6:$B$1005,0)),""))</f>
        <v/>
      </c>
      <c r="AG342" s="143" t="str">
        <f aca="false">IF($C342="","",IFERROR(INDEX(定数マスタ!$S$110:$S$119,MATCH($AF342,定数マスタ!$J$110:$J$119,0)),N('設定（最初に1回）'!$C$13)))</f>
        <v/>
      </c>
      <c r="AH342" s="66" t="n">
        <f aca="false">IF(AND(N($K342)&gt;0,N($Y342)&gt;0),N($Y342),0)</f>
        <v>0</v>
      </c>
    </row>
    <row r="343" customFormat="false" ht="15" hidden="false" customHeight="false" outlineLevel="0" collapsed="false">
      <c r="B343" s="66" t="n">
        <v>338</v>
      </c>
      <c r="C343" s="66" t="str">
        <f aca="false">IFERROR(IF($B343&lt;=MAX(①今日の在庫を貼る!$U$6:$U$10005),INDEX(①今日の在庫を貼る!$I$6:$I$10005,MATCH($B343,①今日の在庫を貼る!$U$6:$U$10005,0)),INDEX(月1回_前回の在庫を貼る!$I$6:$I$10005,MATCH($B343-MAX(①今日の在庫を貼る!$U$6:$U$10005),月1回_前回の在庫を貼る!$U$6:$U$10005,0))),"")</f>
        <v/>
      </c>
      <c r="D343" s="66" t="str">
        <f aca="false">IF($C343="","",IFERROR(INDEX(商品マスタ!$C$6:$C$1005,MATCH($C343,商品マスタ!$B$6:$B$1005,0)),IFERROR(INDEX(①今日の在庫を貼る!$J$6:$J$10005,MATCH($C343,①今日の在庫を貼る!$I$6:$I$10005,0)),IFERROR(INDEX(月1回_前回の在庫を貼る!$J$6:$J$10005,MATCH($C343,月1回_前回の在庫を貼る!$I$6:$I$10005,0)),""))))</f>
        <v/>
      </c>
      <c r="E343" s="66" t="str">
        <f aca="false">IF($C343="","",IFERROR(INDEX(商品マスタ!$D$6:$D$1005,MATCH($C343,商品マスタ!$B$6:$B$1005,0)),IFERROR(INDEX(①今日の在庫を貼る!$H$6:$H$10005,MATCH($C343,①今日の在庫を貼る!$I$6:$I$10005,0)),IFERROR(INDEX(月1回_前回の在庫を貼る!$H$6:$H$10005,MATCH($C343,月1回_前回の在庫を貼る!$I$6:$I$10005,0)),""))))</f>
        <v/>
      </c>
      <c r="F343" s="66" t="str">
        <f aca="false">IF($C343="","",IFERROR(INDEX(商品マスタ!$E$6:$E$1005,MATCH($C343,商品マスタ!$B$6:$B$1005,0)),IFERROR(INDEX(①今日の在庫を貼る!$E$6:$E$10005,MATCH($C343,①今日の在庫を貼る!$I$6:$I$10005,0)),IFERROR(INDEX(月1回_前回の在庫を貼る!$E$6:$E$10005,MATCH($C343,月1回_前回の在庫を貼る!$I$6:$I$10005,0)),""))))</f>
        <v/>
      </c>
      <c r="G343" s="69" t="str">
        <f aca="false">IF($C343="","",IFERROR(INDEX(商品マスタ!$F$6:$F$1005,MATCH($C343,商品マスタ!$B$6:$B$1005,0)),IFERROR(INDEX(①今日の在庫を貼る!$K$6:$K$10005,MATCH($C343,①今日の在庫を貼る!$I$6:$I$10005,0)),IFERROR(INDEX(月1回_前回の在庫を貼る!$K$6:$K$10005,MATCH($C343,月1回_前回の在庫を貼る!$I$6:$I$10005,0)),""))))</f>
        <v/>
      </c>
      <c r="H343" s="71" t="str">
        <f aca="false">IF($C343="","",IFERROR(INDEX(商品マスタ!$G$6:$G$1005,MATCH($C343,商品マスタ!$B$6:$B$1005,0)),IFERROR(INDEX(①今日の在庫を貼る!$Q$6:$Q$10005,MATCH($C343,①今日の在庫を貼る!$I$6:$I$10005,0)),IFERROR(INDEX(月1回_前回の在庫を貼る!$Q$6:$Q$10005,MATCH($C343,月1回_前回の在庫を貼る!$I$6:$I$10005,0)),""))))</f>
        <v/>
      </c>
      <c r="I343" s="66" t="str">
        <f aca="false">IF($C343="","",IFERROR(INDEX(商品マスタ!$H$6:$H$1005,MATCH($C343,商品マスタ!$B$6:$B$1005,0)),3))</f>
        <v/>
      </c>
      <c r="J343" s="66" t="str">
        <f aca="false">IF($C343="","",MAX(1,IFERROR(INDEX(商品マスタ!$I$6:$I$1005,MATCH($C343,商品マスタ!$B$6:$B$1005,0)),1)))</f>
        <v/>
      </c>
      <c r="K343" s="69" t="str">
        <f aca="false">IF($C343="","",SUMIFS(①今日の在庫を貼る!$N$6:$N$10005,①今日の在庫を貼る!$B$6:$B$10005,'設定（最初に1回）'!$C$4,①今日の在庫を貼る!$I$6:$I$10005,$C343))</f>
        <v/>
      </c>
      <c r="L343" s="69" t="str">
        <f aca="false">IF($C343="","",SUMIFS(月1回_前回の在庫を貼る!$N$6:$N$10005,月1回_前回の在庫を貼る!$B$6:$B$10005,'設定（最初に1回）'!$C$4,月1回_前回の在庫を貼る!$I$6:$I$10005,$C343))</f>
        <v/>
      </c>
      <c r="M343" s="69" t="str">
        <f aca="false">IF($C343="","",IF(OR('設定（最初に1回）'!$C$6="",'設定（最初に1回）'!$C$7=""),0,SUMIFS(発注管理!$S$6:$S$1005,発注管理!$C$6:$C$1005,'設定（最初に1回）'!$C$4,発注管理!$F$6:$F$1005,$C343,発注管理!$R$6:$R$1005,"&gt;="&amp;'設定（最初に1回）'!$C$7,発注管理!$R$6:$R$1005,"&lt;="&amp;'設定（最初に1回）'!$C$6)))</f>
        <v/>
      </c>
      <c r="N343" s="69" t="str">
        <f aca="false">IF(OR($C343="",'設定（最初に1回）'!$C$15=0),"",$L343+$M343-$K343)</f>
        <v/>
      </c>
      <c r="O343" s="143" t="str">
        <f aca="false">IF(OR($N343="",'設定（最初に1回）'!$C$8="",'設定（最初に1回）'!$C$8&lt;=0),"",MAX(0,$N343)/'設定（最初に1回）'!$C$8)</f>
        <v/>
      </c>
      <c r="P343" s="143" t="str">
        <f aca="false">IF($C343="","",IFERROR(INDEX(商品マスタ!$M$6:$N$1005,MATCH($C343,商品マスタ!$B$6:$B$1005,0),MATCH("PI値 "&amp;'設定（最初に1回）'!$C$11,商品マスタ!$M$5:$N$5,0)),""))</f>
        <v/>
      </c>
      <c r="Q343" s="143" t="str">
        <f aca="false">IF(OR($C343="",$P343="",$P343=0,(N($I343)+N($AG343))&lt;=0),"",IFERROR(SUMIFS(随時_動員を入れる!$G$8:$G$97,随時_動員を入れる!$B$8:$B$97,"&gt;="&amp;'設定（最初に1回）'!$C$6,随時_動員を入れる!$B$8:$B$97,"&lt;="&amp;'設定（最初に1回）'!$C$6+(N($I343)+N($AG343))-1)/(N($I343)+N($AG343)),0)*$P343/100)</f>
        <v/>
      </c>
      <c r="R343" s="69" t="str">
        <f aca="false">IF($C343="","",SUMIFS(①今日の在庫を貼る!$O$6:$O$10005,①今日の在庫を貼る!$B$6:$B$10005,'設定（最初に1回）'!$C$4,①今日の在庫を貼る!$I$6:$I$10005,$C343))</f>
        <v/>
      </c>
      <c r="S343" s="143" t="str">
        <f aca="false">IF($C343="","",IF('設定（最初に1回）'!$C$9="実績消費",N($O343),IF('設定（最初に1回）'!$C$9="PI値予測",N($Q343),MAX(N($O343),N($Q343)))))</f>
        <v/>
      </c>
      <c r="T343" s="67" t="str">
        <f aca="false">IF(OR($S343="",$S343&lt;=0),"",$K343/$S343)</f>
        <v/>
      </c>
      <c r="U343" s="69" t="str">
        <f aca="false">IF($S343="","",ROUNDUP(N($S343)*'設定（最初に1回）'!$C$12,0))</f>
        <v/>
      </c>
      <c r="V343" s="69" t="str">
        <f aca="false">IF($C343="","",ROUNDUP(N($S343)*(N($I343)+N($AG343))+N($U343),0))</f>
        <v/>
      </c>
      <c r="W343" s="69" t="str">
        <f aca="false">IF($C343="","",SUMIFS(発注管理!$L$6:$L$1005,発注管理!$C$6:$C$1005,'設定（最初に1回）'!$C$4,発注管理!$F$6:$F$1005,$C343,発注管理!$Q$6:$Q$1005,"発注済"))</f>
        <v/>
      </c>
      <c r="X343" s="69" t="str">
        <f aca="false">IF($C343="","",MAX(0,N($V343)-N($K343)-N($W343)))</f>
        <v/>
      </c>
      <c r="Y343" s="147" t="str">
        <f aca="false">IF($C343="","",IF(N($X343)&lt;=0,0,CEILING($X343/MAX(1,N($G343)),MAX(1,N($J343)))))</f>
        <v/>
      </c>
      <c r="Z343" s="138" t="str">
        <f aca="false">IF($C343="","",IF(N($Y343)&gt;0,"要発注","正常"))</f>
        <v/>
      </c>
      <c r="AA343" s="71" t="str">
        <f aca="false">IF($C343="","",N($K343)*N($H343))</f>
        <v/>
      </c>
      <c r="AB343" s="66" t="str">
        <f aca="false">IF($C343="","",_xlfn.TEXTJOIN(" / ",TRUE(),IF(COUNTIF(商品マスタ!$B$6:$B$1005,$C343)=0,"マスタ未登録",""),IF(COUNTIFS(月1回_前回の在庫を貼る!$B$6:$B$10005,'設定（最初に1回）'!$C$4,月1回_前回の在庫を貼る!$I$6:$I$10005,$C343)=0,"新商品",""),IF(COUNTIFS(①今日の在庫を貼る!$B$6:$B$10005,'設定（最初に1回）'!$C$4,①今日の在庫を貼る!$I$6:$I$10005,$C343)=0,"終売候補",""),IF(N($K343)&lt;0,"在庫マイナス",""),IF(AND('設定（最初に1回）'!$C$9="PI値予測",$P343=""),"PI値未設定","")))</f>
        <v/>
      </c>
      <c r="AC343" s="71" t="n">
        <f aca="false">N($Y343)*N($H343)</f>
        <v>0</v>
      </c>
      <c r="AD343" s="66" t="str">
        <f aca="false">IF($C343="","",IFERROR(INDEX(商品マスタ!$K$6:$K$1005,MATCH($C343,商品マスタ!$B$6:$B$1005,0)),"常温"))</f>
        <v/>
      </c>
      <c r="AE343" s="69" t="str">
        <f aca="false">IF($C343="","",MAX(0,ROUNDUP(N($K343)/MAX(1,N($G343)),0)))</f>
        <v/>
      </c>
      <c r="AF343" s="66" t="str">
        <f aca="false">IF($C343="","",IFERROR(INDEX(商品マスタ!$L$6:$L$1005,MATCH($C343,商品マスタ!$B$6:$B$1005,0)),""))</f>
        <v/>
      </c>
      <c r="AG343" s="143" t="str">
        <f aca="false">IF($C343="","",IFERROR(INDEX(定数マスタ!$S$110:$S$119,MATCH($AF343,定数マスタ!$J$110:$J$119,0)),N('設定（最初に1回）'!$C$13)))</f>
        <v/>
      </c>
      <c r="AH343" s="66" t="n">
        <f aca="false">IF(AND(N($K343)&gt;0,N($Y343)&gt;0),N($Y343),0)</f>
        <v>0</v>
      </c>
    </row>
    <row r="344" customFormat="false" ht="15" hidden="false" customHeight="false" outlineLevel="0" collapsed="false">
      <c r="B344" s="66" t="n">
        <v>339</v>
      </c>
      <c r="C344" s="66" t="str">
        <f aca="false">IFERROR(IF($B344&lt;=MAX(①今日の在庫を貼る!$U$6:$U$10005),INDEX(①今日の在庫を貼る!$I$6:$I$10005,MATCH($B344,①今日の在庫を貼る!$U$6:$U$10005,0)),INDEX(月1回_前回の在庫を貼る!$I$6:$I$10005,MATCH($B344-MAX(①今日の在庫を貼る!$U$6:$U$10005),月1回_前回の在庫を貼る!$U$6:$U$10005,0))),"")</f>
        <v/>
      </c>
      <c r="D344" s="66" t="str">
        <f aca="false">IF($C344="","",IFERROR(INDEX(商品マスタ!$C$6:$C$1005,MATCH($C344,商品マスタ!$B$6:$B$1005,0)),IFERROR(INDEX(①今日の在庫を貼る!$J$6:$J$10005,MATCH($C344,①今日の在庫を貼る!$I$6:$I$10005,0)),IFERROR(INDEX(月1回_前回の在庫を貼る!$J$6:$J$10005,MATCH($C344,月1回_前回の在庫を貼る!$I$6:$I$10005,0)),""))))</f>
        <v/>
      </c>
      <c r="E344" s="66" t="str">
        <f aca="false">IF($C344="","",IFERROR(INDEX(商品マスタ!$D$6:$D$1005,MATCH($C344,商品マスタ!$B$6:$B$1005,0)),IFERROR(INDEX(①今日の在庫を貼る!$H$6:$H$10005,MATCH($C344,①今日の在庫を貼る!$I$6:$I$10005,0)),IFERROR(INDEX(月1回_前回の在庫を貼る!$H$6:$H$10005,MATCH($C344,月1回_前回の在庫を貼る!$I$6:$I$10005,0)),""))))</f>
        <v/>
      </c>
      <c r="F344" s="66" t="str">
        <f aca="false">IF($C344="","",IFERROR(INDEX(商品マスタ!$E$6:$E$1005,MATCH($C344,商品マスタ!$B$6:$B$1005,0)),IFERROR(INDEX(①今日の在庫を貼る!$E$6:$E$10005,MATCH($C344,①今日の在庫を貼る!$I$6:$I$10005,0)),IFERROR(INDEX(月1回_前回の在庫を貼る!$E$6:$E$10005,MATCH($C344,月1回_前回の在庫を貼る!$I$6:$I$10005,0)),""))))</f>
        <v/>
      </c>
      <c r="G344" s="69" t="str">
        <f aca="false">IF($C344="","",IFERROR(INDEX(商品マスタ!$F$6:$F$1005,MATCH($C344,商品マスタ!$B$6:$B$1005,0)),IFERROR(INDEX(①今日の在庫を貼る!$K$6:$K$10005,MATCH($C344,①今日の在庫を貼る!$I$6:$I$10005,0)),IFERROR(INDEX(月1回_前回の在庫を貼る!$K$6:$K$10005,MATCH($C344,月1回_前回の在庫を貼る!$I$6:$I$10005,0)),""))))</f>
        <v/>
      </c>
      <c r="H344" s="71" t="str">
        <f aca="false">IF($C344="","",IFERROR(INDEX(商品マスタ!$G$6:$G$1005,MATCH($C344,商品マスタ!$B$6:$B$1005,0)),IFERROR(INDEX(①今日の在庫を貼る!$Q$6:$Q$10005,MATCH($C344,①今日の在庫を貼る!$I$6:$I$10005,0)),IFERROR(INDEX(月1回_前回の在庫を貼る!$Q$6:$Q$10005,MATCH($C344,月1回_前回の在庫を貼る!$I$6:$I$10005,0)),""))))</f>
        <v/>
      </c>
      <c r="I344" s="66" t="str">
        <f aca="false">IF($C344="","",IFERROR(INDEX(商品マスタ!$H$6:$H$1005,MATCH($C344,商品マスタ!$B$6:$B$1005,0)),3))</f>
        <v/>
      </c>
      <c r="J344" s="66" t="str">
        <f aca="false">IF($C344="","",MAX(1,IFERROR(INDEX(商品マスタ!$I$6:$I$1005,MATCH($C344,商品マスタ!$B$6:$B$1005,0)),1)))</f>
        <v/>
      </c>
      <c r="K344" s="69" t="str">
        <f aca="false">IF($C344="","",SUMIFS(①今日の在庫を貼る!$N$6:$N$10005,①今日の在庫を貼る!$B$6:$B$10005,'設定（最初に1回）'!$C$4,①今日の在庫を貼る!$I$6:$I$10005,$C344))</f>
        <v/>
      </c>
      <c r="L344" s="69" t="str">
        <f aca="false">IF($C344="","",SUMIFS(月1回_前回の在庫を貼る!$N$6:$N$10005,月1回_前回の在庫を貼る!$B$6:$B$10005,'設定（最初に1回）'!$C$4,月1回_前回の在庫を貼る!$I$6:$I$10005,$C344))</f>
        <v/>
      </c>
      <c r="M344" s="69" t="str">
        <f aca="false">IF($C344="","",IF(OR('設定（最初に1回）'!$C$6="",'設定（最初に1回）'!$C$7=""),0,SUMIFS(発注管理!$S$6:$S$1005,発注管理!$C$6:$C$1005,'設定（最初に1回）'!$C$4,発注管理!$F$6:$F$1005,$C344,発注管理!$R$6:$R$1005,"&gt;="&amp;'設定（最初に1回）'!$C$7,発注管理!$R$6:$R$1005,"&lt;="&amp;'設定（最初に1回）'!$C$6)))</f>
        <v/>
      </c>
      <c r="N344" s="69" t="str">
        <f aca="false">IF(OR($C344="",'設定（最初に1回）'!$C$15=0),"",$L344+$M344-$K344)</f>
        <v/>
      </c>
      <c r="O344" s="143" t="str">
        <f aca="false">IF(OR($N344="",'設定（最初に1回）'!$C$8="",'設定（最初に1回）'!$C$8&lt;=0),"",MAX(0,$N344)/'設定（最初に1回）'!$C$8)</f>
        <v/>
      </c>
      <c r="P344" s="143" t="str">
        <f aca="false">IF($C344="","",IFERROR(INDEX(商品マスタ!$M$6:$N$1005,MATCH($C344,商品マスタ!$B$6:$B$1005,0),MATCH("PI値 "&amp;'設定（最初に1回）'!$C$11,商品マスタ!$M$5:$N$5,0)),""))</f>
        <v/>
      </c>
      <c r="Q344" s="143" t="str">
        <f aca="false">IF(OR($C344="",$P344="",$P344=0,(N($I344)+N($AG344))&lt;=0),"",IFERROR(SUMIFS(随時_動員を入れる!$G$8:$G$97,随時_動員を入れる!$B$8:$B$97,"&gt;="&amp;'設定（最初に1回）'!$C$6,随時_動員を入れる!$B$8:$B$97,"&lt;="&amp;'設定（最初に1回）'!$C$6+(N($I344)+N($AG344))-1)/(N($I344)+N($AG344)),0)*$P344/100)</f>
        <v/>
      </c>
      <c r="R344" s="69" t="str">
        <f aca="false">IF($C344="","",SUMIFS(①今日の在庫を貼る!$O$6:$O$10005,①今日の在庫を貼る!$B$6:$B$10005,'設定（最初に1回）'!$C$4,①今日の在庫を貼る!$I$6:$I$10005,$C344))</f>
        <v/>
      </c>
      <c r="S344" s="143" t="str">
        <f aca="false">IF($C344="","",IF('設定（最初に1回）'!$C$9="実績消費",N($O344),IF('設定（最初に1回）'!$C$9="PI値予測",N($Q344),MAX(N($O344),N($Q344)))))</f>
        <v/>
      </c>
      <c r="T344" s="67" t="str">
        <f aca="false">IF(OR($S344="",$S344&lt;=0),"",$K344/$S344)</f>
        <v/>
      </c>
      <c r="U344" s="69" t="str">
        <f aca="false">IF($S344="","",ROUNDUP(N($S344)*'設定（最初に1回）'!$C$12,0))</f>
        <v/>
      </c>
      <c r="V344" s="69" t="str">
        <f aca="false">IF($C344="","",ROUNDUP(N($S344)*(N($I344)+N($AG344))+N($U344),0))</f>
        <v/>
      </c>
      <c r="W344" s="69" t="str">
        <f aca="false">IF($C344="","",SUMIFS(発注管理!$L$6:$L$1005,発注管理!$C$6:$C$1005,'設定（最初に1回）'!$C$4,発注管理!$F$6:$F$1005,$C344,発注管理!$Q$6:$Q$1005,"発注済"))</f>
        <v/>
      </c>
      <c r="X344" s="69" t="str">
        <f aca="false">IF($C344="","",MAX(0,N($V344)-N($K344)-N($W344)))</f>
        <v/>
      </c>
      <c r="Y344" s="147" t="str">
        <f aca="false">IF($C344="","",IF(N($X344)&lt;=0,0,CEILING($X344/MAX(1,N($G344)),MAX(1,N($J344)))))</f>
        <v/>
      </c>
      <c r="Z344" s="138" t="str">
        <f aca="false">IF($C344="","",IF(N($Y344)&gt;0,"要発注","正常"))</f>
        <v/>
      </c>
      <c r="AA344" s="71" t="str">
        <f aca="false">IF($C344="","",N($K344)*N($H344))</f>
        <v/>
      </c>
      <c r="AB344" s="66" t="str">
        <f aca="false">IF($C344="","",_xlfn.TEXTJOIN(" / ",TRUE(),IF(COUNTIF(商品マスタ!$B$6:$B$1005,$C344)=0,"マスタ未登録",""),IF(COUNTIFS(月1回_前回の在庫を貼る!$B$6:$B$10005,'設定（最初に1回）'!$C$4,月1回_前回の在庫を貼る!$I$6:$I$10005,$C344)=0,"新商品",""),IF(COUNTIFS(①今日の在庫を貼る!$B$6:$B$10005,'設定（最初に1回）'!$C$4,①今日の在庫を貼る!$I$6:$I$10005,$C344)=0,"終売候補",""),IF(N($K344)&lt;0,"在庫マイナス",""),IF(AND('設定（最初に1回）'!$C$9="PI値予測",$P344=""),"PI値未設定","")))</f>
        <v/>
      </c>
      <c r="AC344" s="71" t="n">
        <f aca="false">N($Y344)*N($H344)</f>
        <v>0</v>
      </c>
      <c r="AD344" s="66" t="str">
        <f aca="false">IF($C344="","",IFERROR(INDEX(商品マスタ!$K$6:$K$1005,MATCH($C344,商品マスタ!$B$6:$B$1005,0)),"常温"))</f>
        <v/>
      </c>
      <c r="AE344" s="69" t="str">
        <f aca="false">IF($C344="","",MAX(0,ROUNDUP(N($K344)/MAX(1,N($G344)),0)))</f>
        <v/>
      </c>
      <c r="AF344" s="66" t="str">
        <f aca="false">IF($C344="","",IFERROR(INDEX(商品マスタ!$L$6:$L$1005,MATCH($C344,商品マスタ!$B$6:$B$1005,0)),""))</f>
        <v/>
      </c>
      <c r="AG344" s="143" t="str">
        <f aca="false">IF($C344="","",IFERROR(INDEX(定数マスタ!$S$110:$S$119,MATCH($AF344,定数マスタ!$J$110:$J$119,0)),N('設定（最初に1回）'!$C$13)))</f>
        <v/>
      </c>
      <c r="AH344" s="66" t="n">
        <f aca="false">IF(AND(N($K344)&gt;0,N($Y344)&gt;0),N($Y344),0)</f>
        <v>0</v>
      </c>
    </row>
    <row r="345" customFormat="false" ht="15" hidden="false" customHeight="false" outlineLevel="0" collapsed="false">
      <c r="B345" s="66" t="n">
        <v>340</v>
      </c>
      <c r="C345" s="66" t="str">
        <f aca="false">IFERROR(IF($B345&lt;=MAX(①今日の在庫を貼る!$U$6:$U$10005),INDEX(①今日の在庫を貼る!$I$6:$I$10005,MATCH($B345,①今日の在庫を貼る!$U$6:$U$10005,0)),INDEX(月1回_前回の在庫を貼る!$I$6:$I$10005,MATCH($B345-MAX(①今日の在庫を貼る!$U$6:$U$10005),月1回_前回の在庫を貼る!$U$6:$U$10005,0))),"")</f>
        <v/>
      </c>
      <c r="D345" s="66" t="str">
        <f aca="false">IF($C345="","",IFERROR(INDEX(商品マスタ!$C$6:$C$1005,MATCH($C345,商品マスタ!$B$6:$B$1005,0)),IFERROR(INDEX(①今日の在庫を貼る!$J$6:$J$10005,MATCH($C345,①今日の在庫を貼る!$I$6:$I$10005,0)),IFERROR(INDEX(月1回_前回の在庫を貼る!$J$6:$J$10005,MATCH($C345,月1回_前回の在庫を貼る!$I$6:$I$10005,0)),""))))</f>
        <v/>
      </c>
      <c r="E345" s="66" t="str">
        <f aca="false">IF($C345="","",IFERROR(INDEX(商品マスタ!$D$6:$D$1005,MATCH($C345,商品マスタ!$B$6:$B$1005,0)),IFERROR(INDEX(①今日の在庫を貼る!$H$6:$H$10005,MATCH($C345,①今日の在庫を貼る!$I$6:$I$10005,0)),IFERROR(INDEX(月1回_前回の在庫を貼る!$H$6:$H$10005,MATCH($C345,月1回_前回の在庫を貼る!$I$6:$I$10005,0)),""))))</f>
        <v/>
      </c>
      <c r="F345" s="66" t="str">
        <f aca="false">IF($C345="","",IFERROR(INDEX(商品マスタ!$E$6:$E$1005,MATCH($C345,商品マスタ!$B$6:$B$1005,0)),IFERROR(INDEX(①今日の在庫を貼る!$E$6:$E$10005,MATCH($C345,①今日の在庫を貼る!$I$6:$I$10005,0)),IFERROR(INDEX(月1回_前回の在庫を貼る!$E$6:$E$10005,MATCH($C345,月1回_前回の在庫を貼る!$I$6:$I$10005,0)),""))))</f>
        <v/>
      </c>
      <c r="G345" s="69" t="str">
        <f aca="false">IF($C345="","",IFERROR(INDEX(商品マスタ!$F$6:$F$1005,MATCH($C345,商品マスタ!$B$6:$B$1005,0)),IFERROR(INDEX(①今日の在庫を貼る!$K$6:$K$10005,MATCH($C345,①今日の在庫を貼る!$I$6:$I$10005,0)),IFERROR(INDEX(月1回_前回の在庫を貼る!$K$6:$K$10005,MATCH($C345,月1回_前回の在庫を貼る!$I$6:$I$10005,0)),""))))</f>
        <v/>
      </c>
      <c r="H345" s="71" t="str">
        <f aca="false">IF($C345="","",IFERROR(INDEX(商品マスタ!$G$6:$G$1005,MATCH($C345,商品マスタ!$B$6:$B$1005,0)),IFERROR(INDEX(①今日の在庫を貼る!$Q$6:$Q$10005,MATCH($C345,①今日の在庫を貼る!$I$6:$I$10005,0)),IFERROR(INDEX(月1回_前回の在庫を貼る!$Q$6:$Q$10005,MATCH($C345,月1回_前回の在庫を貼る!$I$6:$I$10005,0)),""))))</f>
        <v/>
      </c>
      <c r="I345" s="66" t="str">
        <f aca="false">IF($C345="","",IFERROR(INDEX(商品マスタ!$H$6:$H$1005,MATCH($C345,商品マスタ!$B$6:$B$1005,0)),3))</f>
        <v/>
      </c>
      <c r="J345" s="66" t="str">
        <f aca="false">IF($C345="","",MAX(1,IFERROR(INDEX(商品マスタ!$I$6:$I$1005,MATCH($C345,商品マスタ!$B$6:$B$1005,0)),1)))</f>
        <v/>
      </c>
      <c r="K345" s="69" t="str">
        <f aca="false">IF($C345="","",SUMIFS(①今日の在庫を貼る!$N$6:$N$10005,①今日の在庫を貼る!$B$6:$B$10005,'設定（最初に1回）'!$C$4,①今日の在庫を貼る!$I$6:$I$10005,$C345))</f>
        <v/>
      </c>
      <c r="L345" s="69" t="str">
        <f aca="false">IF($C345="","",SUMIFS(月1回_前回の在庫を貼る!$N$6:$N$10005,月1回_前回の在庫を貼る!$B$6:$B$10005,'設定（最初に1回）'!$C$4,月1回_前回の在庫を貼る!$I$6:$I$10005,$C345))</f>
        <v/>
      </c>
      <c r="M345" s="69" t="str">
        <f aca="false">IF($C345="","",IF(OR('設定（最初に1回）'!$C$6="",'設定（最初に1回）'!$C$7=""),0,SUMIFS(発注管理!$S$6:$S$1005,発注管理!$C$6:$C$1005,'設定（最初に1回）'!$C$4,発注管理!$F$6:$F$1005,$C345,発注管理!$R$6:$R$1005,"&gt;="&amp;'設定（最初に1回）'!$C$7,発注管理!$R$6:$R$1005,"&lt;="&amp;'設定（最初に1回）'!$C$6)))</f>
        <v/>
      </c>
      <c r="N345" s="69" t="str">
        <f aca="false">IF(OR($C345="",'設定（最初に1回）'!$C$15=0),"",$L345+$M345-$K345)</f>
        <v/>
      </c>
      <c r="O345" s="143" t="str">
        <f aca="false">IF(OR($N345="",'設定（最初に1回）'!$C$8="",'設定（最初に1回）'!$C$8&lt;=0),"",MAX(0,$N345)/'設定（最初に1回）'!$C$8)</f>
        <v/>
      </c>
      <c r="P345" s="143" t="str">
        <f aca="false">IF($C345="","",IFERROR(INDEX(商品マスタ!$M$6:$N$1005,MATCH($C345,商品マスタ!$B$6:$B$1005,0),MATCH("PI値 "&amp;'設定（最初に1回）'!$C$11,商品マスタ!$M$5:$N$5,0)),""))</f>
        <v/>
      </c>
      <c r="Q345" s="143" t="str">
        <f aca="false">IF(OR($C345="",$P345="",$P345=0,(N($I345)+N($AG345))&lt;=0),"",IFERROR(SUMIFS(随時_動員を入れる!$G$8:$G$97,随時_動員を入れる!$B$8:$B$97,"&gt;="&amp;'設定（最初に1回）'!$C$6,随時_動員を入れる!$B$8:$B$97,"&lt;="&amp;'設定（最初に1回）'!$C$6+(N($I345)+N($AG345))-1)/(N($I345)+N($AG345)),0)*$P345/100)</f>
        <v/>
      </c>
      <c r="R345" s="69" t="str">
        <f aca="false">IF($C345="","",SUMIFS(①今日の在庫を貼る!$O$6:$O$10005,①今日の在庫を貼る!$B$6:$B$10005,'設定（最初に1回）'!$C$4,①今日の在庫を貼る!$I$6:$I$10005,$C345))</f>
        <v/>
      </c>
      <c r="S345" s="143" t="str">
        <f aca="false">IF($C345="","",IF('設定（最初に1回）'!$C$9="実績消費",N($O345),IF('設定（最初に1回）'!$C$9="PI値予測",N($Q345),MAX(N($O345),N($Q345)))))</f>
        <v/>
      </c>
      <c r="T345" s="67" t="str">
        <f aca="false">IF(OR($S345="",$S345&lt;=0),"",$K345/$S345)</f>
        <v/>
      </c>
      <c r="U345" s="69" t="str">
        <f aca="false">IF($S345="","",ROUNDUP(N($S345)*'設定（最初に1回）'!$C$12,0))</f>
        <v/>
      </c>
      <c r="V345" s="69" t="str">
        <f aca="false">IF($C345="","",ROUNDUP(N($S345)*(N($I345)+N($AG345))+N($U345),0))</f>
        <v/>
      </c>
      <c r="W345" s="69" t="str">
        <f aca="false">IF($C345="","",SUMIFS(発注管理!$L$6:$L$1005,発注管理!$C$6:$C$1005,'設定（最初に1回）'!$C$4,発注管理!$F$6:$F$1005,$C345,発注管理!$Q$6:$Q$1005,"発注済"))</f>
        <v/>
      </c>
      <c r="X345" s="69" t="str">
        <f aca="false">IF($C345="","",MAX(0,N($V345)-N($K345)-N($W345)))</f>
        <v/>
      </c>
      <c r="Y345" s="147" t="str">
        <f aca="false">IF($C345="","",IF(N($X345)&lt;=0,0,CEILING($X345/MAX(1,N($G345)),MAX(1,N($J345)))))</f>
        <v/>
      </c>
      <c r="Z345" s="138" t="str">
        <f aca="false">IF($C345="","",IF(N($Y345)&gt;0,"要発注","正常"))</f>
        <v/>
      </c>
      <c r="AA345" s="71" t="str">
        <f aca="false">IF($C345="","",N($K345)*N($H345))</f>
        <v/>
      </c>
      <c r="AB345" s="66" t="str">
        <f aca="false">IF($C345="","",_xlfn.TEXTJOIN(" / ",TRUE(),IF(COUNTIF(商品マスタ!$B$6:$B$1005,$C345)=0,"マスタ未登録",""),IF(COUNTIFS(月1回_前回の在庫を貼る!$B$6:$B$10005,'設定（最初に1回）'!$C$4,月1回_前回の在庫を貼る!$I$6:$I$10005,$C345)=0,"新商品",""),IF(COUNTIFS(①今日の在庫を貼る!$B$6:$B$10005,'設定（最初に1回）'!$C$4,①今日の在庫を貼る!$I$6:$I$10005,$C345)=0,"終売候補",""),IF(N($K345)&lt;0,"在庫マイナス",""),IF(AND('設定（最初に1回）'!$C$9="PI値予測",$P345=""),"PI値未設定","")))</f>
        <v/>
      </c>
      <c r="AC345" s="71" t="n">
        <f aca="false">N($Y345)*N($H345)</f>
        <v>0</v>
      </c>
      <c r="AD345" s="66" t="str">
        <f aca="false">IF($C345="","",IFERROR(INDEX(商品マスタ!$K$6:$K$1005,MATCH($C345,商品マスタ!$B$6:$B$1005,0)),"常温"))</f>
        <v/>
      </c>
      <c r="AE345" s="69" t="str">
        <f aca="false">IF($C345="","",MAX(0,ROUNDUP(N($K345)/MAX(1,N($G345)),0)))</f>
        <v/>
      </c>
      <c r="AF345" s="66" t="str">
        <f aca="false">IF($C345="","",IFERROR(INDEX(商品マスタ!$L$6:$L$1005,MATCH($C345,商品マスタ!$B$6:$B$1005,0)),""))</f>
        <v/>
      </c>
      <c r="AG345" s="143" t="str">
        <f aca="false">IF($C345="","",IFERROR(INDEX(定数マスタ!$S$110:$S$119,MATCH($AF345,定数マスタ!$J$110:$J$119,0)),N('設定（最初に1回）'!$C$13)))</f>
        <v/>
      </c>
      <c r="AH345" s="66" t="n">
        <f aca="false">IF(AND(N($K345)&gt;0,N($Y345)&gt;0),N($Y345),0)</f>
        <v>0</v>
      </c>
    </row>
    <row r="346" customFormat="false" ht="15" hidden="false" customHeight="false" outlineLevel="0" collapsed="false">
      <c r="B346" s="66" t="n">
        <v>341</v>
      </c>
      <c r="C346" s="66" t="str">
        <f aca="false">IFERROR(IF($B346&lt;=MAX(①今日の在庫を貼る!$U$6:$U$10005),INDEX(①今日の在庫を貼る!$I$6:$I$10005,MATCH($B346,①今日の在庫を貼る!$U$6:$U$10005,0)),INDEX(月1回_前回の在庫を貼る!$I$6:$I$10005,MATCH($B346-MAX(①今日の在庫を貼る!$U$6:$U$10005),月1回_前回の在庫を貼る!$U$6:$U$10005,0))),"")</f>
        <v/>
      </c>
      <c r="D346" s="66" t="str">
        <f aca="false">IF($C346="","",IFERROR(INDEX(商品マスタ!$C$6:$C$1005,MATCH($C346,商品マスタ!$B$6:$B$1005,0)),IFERROR(INDEX(①今日の在庫を貼る!$J$6:$J$10005,MATCH($C346,①今日の在庫を貼る!$I$6:$I$10005,0)),IFERROR(INDEX(月1回_前回の在庫を貼る!$J$6:$J$10005,MATCH($C346,月1回_前回の在庫を貼る!$I$6:$I$10005,0)),""))))</f>
        <v/>
      </c>
      <c r="E346" s="66" t="str">
        <f aca="false">IF($C346="","",IFERROR(INDEX(商品マスタ!$D$6:$D$1005,MATCH($C346,商品マスタ!$B$6:$B$1005,0)),IFERROR(INDEX(①今日の在庫を貼る!$H$6:$H$10005,MATCH($C346,①今日の在庫を貼る!$I$6:$I$10005,0)),IFERROR(INDEX(月1回_前回の在庫を貼る!$H$6:$H$10005,MATCH($C346,月1回_前回の在庫を貼る!$I$6:$I$10005,0)),""))))</f>
        <v/>
      </c>
      <c r="F346" s="66" t="str">
        <f aca="false">IF($C346="","",IFERROR(INDEX(商品マスタ!$E$6:$E$1005,MATCH($C346,商品マスタ!$B$6:$B$1005,0)),IFERROR(INDEX(①今日の在庫を貼る!$E$6:$E$10005,MATCH($C346,①今日の在庫を貼る!$I$6:$I$10005,0)),IFERROR(INDEX(月1回_前回の在庫を貼る!$E$6:$E$10005,MATCH($C346,月1回_前回の在庫を貼る!$I$6:$I$10005,0)),""))))</f>
        <v/>
      </c>
      <c r="G346" s="69" t="str">
        <f aca="false">IF($C346="","",IFERROR(INDEX(商品マスタ!$F$6:$F$1005,MATCH($C346,商品マスタ!$B$6:$B$1005,0)),IFERROR(INDEX(①今日の在庫を貼る!$K$6:$K$10005,MATCH($C346,①今日の在庫を貼る!$I$6:$I$10005,0)),IFERROR(INDEX(月1回_前回の在庫を貼る!$K$6:$K$10005,MATCH($C346,月1回_前回の在庫を貼る!$I$6:$I$10005,0)),""))))</f>
        <v/>
      </c>
      <c r="H346" s="71" t="str">
        <f aca="false">IF($C346="","",IFERROR(INDEX(商品マスタ!$G$6:$G$1005,MATCH($C346,商品マスタ!$B$6:$B$1005,0)),IFERROR(INDEX(①今日の在庫を貼る!$Q$6:$Q$10005,MATCH($C346,①今日の在庫を貼る!$I$6:$I$10005,0)),IFERROR(INDEX(月1回_前回の在庫を貼る!$Q$6:$Q$10005,MATCH($C346,月1回_前回の在庫を貼る!$I$6:$I$10005,0)),""))))</f>
        <v/>
      </c>
      <c r="I346" s="66" t="str">
        <f aca="false">IF($C346="","",IFERROR(INDEX(商品マスタ!$H$6:$H$1005,MATCH($C346,商品マスタ!$B$6:$B$1005,0)),3))</f>
        <v/>
      </c>
      <c r="J346" s="66" t="str">
        <f aca="false">IF($C346="","",MAX(1,IFERROR(INDEX(商品マスタ!$I$6:$I$1005,MATCH($C346,商品マスタ!$B$6:$B$1005,0)),1)))</f>
        <v/>
      </c>
      <c r="K346" s="69" t="str">
        <f aca="false">IF($C346="","",SUMIFS(①今日の在庫を貼る!$N$6:$N$10005,①今日の在庫を貼る!$B$6:$B$10005,'設定（最初に1回）'!$C$4,①今日の在庫を貼る!$I$6:$I$10005,$C346))</f>
        <v/>
      </c>
      <c r="L346" s="69" t="str">
        <f aca="false">IF($C346="","",SUMIFS(月1回_前回の在庫を貼る!$N$6:$N$10005,月1回_前回の在庫を貼る!$B$6:$B$10005,'設定（最初に1回）'!$C$4,月1回_前回の在庫を貼る!$I$6:$I$10005,$C346))</f>
        <v/>
      </c>
      <c r="M346" s="69" t="str">
        <f aca="false">IF($C346="","",IF(OR('設定（最初に1回）'!$C$6="",'設定（最初に1回）'!$C$7=""),0,SUMIFS(発注管理!$S$6:$S$1005,発注管理!$C$6:$C$1005,'設定（最初に1回）'!$C$4,発注管理!$F$6:$F$1005,$C346,発注管理!$R$6:$R$1005,"&gt;="&amp;'設定（最初に1回）'!$C$7,発注管理!$R$6:$R$1005,"&lt;="&amp;'設定（最初に1回）'!$C$6)))</f>
        <v/>
      </c>
      <c r="N346" s="69" t="str">
        <f aca="false">IF(OR($C346="",'設定（最初に1回）'!$C$15=0),"",$L346+$M346-$K346)</f>
        <v/>
      </c>
      <c r="O346" s="143" t="str">
        <f aca="false">IF(OR($N346="",'設定（最初に1回）'!$C$8="",'設定（最初に1回）'!$C$8&lt;=0),"",MAX(0,$N346)/'設定（最初に1回）'!$C$8)</f>
        <v/>
      </c>
      <c r="P346" s="143" t="str">
        <f aca="false">IF($C346="","",IFERROR(INDEX(商品マスタ!$M$6:$N$1005,MATCH($C346,商品マスタ!$B$6:$B$1005,0),MATCH("PI値 "&amp;'設定（最初に1回）'!$C$11,商品マスタ!$M$5:$N$5,0)),""))</f>
        <v/>
      </c>
      <c r="Q346" s="143" t="str">
        <f aca="false">IF(OR($C346="",$P346="",$P346=0,(N($I346)+N($AG346))&lt;=0),"",IFERROR(SUMIFS(随時_動員を入れる!$G$8:$G$97,随時_動員を入れる!$B$8:$B$97,"&gt;="&amp;'設定（最初に1回）'!$C$6,随時_動員を入れる!$B$8:$B$97,"&lt;="&amp;'設定（最初に1回）'!$C$6+(N($I346)+N($AG346))-1)/(N($I346)+N($AG346)),0)*$P346/100)</f>
        <v/>
      </c>
      <c r="R346" s="69" t="str">
        <f aca="false">IF($C346="","",SUMIFS(①今日の在庫を貼る!$O$6:$O$10005,①今日の在庫を貼る!$B$6:$B$10005,'設定（最初に1回）'!$C$4,①今日の在庫を貼る!$I$6:$I$10005,$C346))</f>
        <v/>
      </c>
      <c r="S346" s="143" t="str">
        <f aca="false">IF($C346="","",IF('設定（最初に1回）'!$C$9="実績消費",N($O346),IF('設定（最初に1回）'!$C$9="PI値予測",N($Q346),MAX(N($O346),N($Q346)))))</f>
        <v/>
      </c>
      <c r="T346" s="67" t="str">
        <f aca="false">IF(OR($S346="",$S346&lt;=0),"",$K346/$S346)</f>
        <v/>
      </c>
      <c r="U346" s="69" t="str">
        <f aca="false">IF($S346="","",ROUNDUP(N($S346)*'設定（最初に1回）'!$C$12,0))</f>
        <v/>
      </c>
      <c r="V346" s="69" t="str">
        <f aca="false">IF($C346="","",ROUNDUP(N($S346)*(N($I346)+N($AG346))+N($U346),0))</f>
        <v/>
      </c>
      <c r="W346" s="69" t="str">
        <f aca="false">IF($C346="","",SUMIFS(発注管理!$L$6:$L$1005,発注管理!$C$6:$C$1005,'設定（最初に1回）'!$C$4,発注管理!$F$6:$F$1005,$C346,発注管理!$Q$6:$Q$1005,"発注済"))</f>
        <v/>
      </c>
      <c r="X346" s="69" t="str">
        <f aca="false">IF($C346="","",MAX(0,N($V346)-N($K346)-N($W346)))</f>
        <v/>
      </c>
      <c r="Y346" s="147" t="str">
        <f aca="false">IF($C346="","",IF(N($X346)&lt;=0,0,CEILING($X346/MAX(1,N($G346)),MAX(1,N($J346)))))</f>
        <v/>
      </c>
      <c r="Z346" s="138" t="str">
        <f aca="false">IF($C346="","",IF(N($Y346)&gt;0,"要発注","正常"))</f>
        <v/>
      </c>
      <c r="AA346" s="71" t="str">
        <f aca="false">IF($C346="","",N($K346)*N($H346))</f>
        <v/>
      </c>
      <c r="AB346" s="66" t="str">
        <f aca="false">IF($C346="","",_xlfn.TEXTJOIN(" / ",TRUE(),IF(COUNTIF(商品マスタ!$B$6:$B$1005,$C346)=0,"マスタ未登録",""),IF(COUNTIFS(月1回_前回の在庫を貼る!$B$6:$B$10005,'設定（最初に1回）'!$C$4,月1回_前回の在庫を貼る!$I$6:$I$10005,$C346)=0,"新商品",""),IF(COUNTIFS(①今日の在庫を貼る!$B$6:$B$10005,'設定（最初に1回）'!$C$4,①今日の在庫を貼る!$I$6:$I$10005,$C346)=0,"終売候補",""),IF(N($K346)&lt;0,"在庫マイナス",""),IF(AND('設定（最初に1回）'!$C$9="PI値予測",$P346=""),"PI値未設定","")))</f>
        <v/>
      </c>
      <c r="AC346" s="71" t="n">
        <f aca="false">N($Y346)*N($H346)</f>
        <v>0</v>
      </c>
      <c r="AD346" s="66" t="str">
        <f aca="false">IF($C346="","",IFERROR(INDEX(商品マスタ!$K$6:$K$1005,MATCH($C346,商品マスタ!$B$6:$B$1005,0)),"常温"))</f>
        <v/>
      </c>
      <c r="AE346" s="69" t="str">
        <f aca="false">IF($C346="","",MAX(0,ROUNDUP(N($K346)/MAX(1,N($G346)),0)))</f>
        <v/>
      </c>
      <c r="AF346" s="66" t="str">
        <f aca="false">IF($C346="","",IFERROR(INDEX(商品マスタ!$L$6:$L$1005,MATCH($C346,商品マスタ!$B$6:$B$1005,0)),""))</f>
        <v/>
      </c>
      <c r="AG346" s="143" t="str">
        <f aca="false">IF($C346="","",IFERROR(INDEX(定数マスタ!$S$110:$S$119,MATCH($AF346,定数マスタ!$J$110:$J$119,0)),N('設定（最初に1回）'!$C$13)))</f>
        <v/>
      </c>
      <c r="AH346" s="66" t="n">
        <f aca="false">IF(AND(N($K346)&gt;0,N($Y346)&gt;0),N($Y346),0)</f>
        <v>0</v>
      </c>
    </row>
    <row r="347" customFormat="false" ht="15" hidden="false" customHeight="false" outlineLevel="0" collapsed="false">
      <c r="B347" s="66" t="n">
        <v>342</v>
      </c>
      <c r="C347" s="66" t="str">
        <f aca="false">IFERROR(IF($B347&lt;=MAX(①今日の在庫を貼る!$U$6:$U$10005),INDEX(①今日の在庫を貼る!$I$6:$I$10005,MATCH($B347,①今日の在庫を貼る!$U$6:$U$10005,0)),INDEX(月1回_前回の在庫を貼る!$I$6:$I$10005,MATCH($B347-MAX(①今日の在庫を貼る!$U$6:$U$10005),月1回_前回の在庫を貼る!$U$6:$U$10005,0))),"")</f>
        <v/>
      </c>
      <c r="D347" s="66" t="str">
        <f aca="false">IF($C347="","",IFERROR(INDEX(商品マスタ!$C$6:$C$1005,MATCH($C347,商品マスタ!$B$6:$B$1005,0)),IFERROR(INDEX(①今日の在庫を貼る!$J$6:$J$10005,MATCH($C347,①今日の在庫を貼る!$I$6:$I$10005,0)),IFERROR(INDEX(月1回_前回の在庫を貼る!$J$6:$J$10005,MATCH($C347,月1回_前回の在庫を貼る!$I$6:$I$10005,0)),""))))</f>
        <v/>
      </c>
      <c r="E347" s="66" t="str">
        <f aca="false">IF($C347="","",IFERROR(INDEX(商品マスタ!$D$6:$D$1005,MATCH($C347,商品マスタ!$B$6:$B$1005,0)),IFERROR(INDEX(①今日の在庫を貼る!$H$6:$H$10005,MATCH($C347,①今日の在庫を貼る!$I$6:$I$10005,0)),IFERROR(INDEX(月1回_前回の在庫を貼る!$H$6:$H$10005,MATCH($C347,月1回_前回の在庫を貼る!$I$6:$I$10005,0)),""))))</f>
        <v/>
      </c>
      <c r="F347" s="66" t="str">
        <f aca="false">IF($C347="","",IFERROR(INDEX(商品マスタ!$E$6:$E$1005,MATCH($C347,商品マスタ!$B$6:$B$1005,0)),IFERROR(INDEX(①今日の在庫を貼る!$E$6:$E$10005,MATCH($C347,①今日の在庫を貼る!$I$6:$I$10005,0)),IFERROR(INDEX(月1回_前回の在庫を貼る!$E$6:$E$10005,MATCH($C347,月1回_前回の在庫を貼る!$I$6:$I$10005,0)),""))))</f>
        <v/>
      </c>
      <c r="G347" s="69" t="str">
        <f aca="false">IF($C347="","",IFERROR(INDEX(商品マスタ!$F$6:$F$1005,MATCH($C347,商品マスタ!$B$6:$B$1005,0)),IFERROR(INDEX(①今日の在庫を貼る!$K$6:$K$10005,MATCH($C347,①今日の在庫を貼る!$I$6:$I$10005,0)),IFERROR(INDEX(月1回_前回の在庫を貼る!$K$6:$K$10005,MATCH($C347,月1回_前回の在庫を貼る!$I$6:$I$10005,0)),""))))</f>
        <v/>
      </c>
      <c r="H347" s="71" t="str">
        <f aca="false">IF($C347="","",IFERROR(INDEX(商品マスタ!$G$6:$G$1005,MATCH($C347,商品マスタ!$B$6:$B$1005,0)),IFERROR(INDEX(①今日の在庫を貼る!$Q$6:$Q$10005,MATCH($C347,①今日の在庫を貼る!$I$6:$I$10005,0)),IFERROR(INDEX(月1回_前回の在庫を貼る!$Q$6:$Q$10005,MATCH($C347,月1回_前回の在庫を貼る!$I$6:$I$10005,0)),""))))</f>
        <v/>
      </c>
      <c r="I347" s="66" t="str">
        <f aca="false">IF($C347="","",IFERROR(INDEX(商品マスタ!$H$6:$H$1005,MATCH($C347,商品マスタ!$B$6:$B$1005,0)),3))</f>
        <v/>
      </c>
      <c r="J347" s="66" t="str">
        <f aca="false">IF($C347="","",MAX(1,IFERROR(INDEX(商品マスタ!$I$6:$I$1005,MATCH($C347,商品マスタ!$B$6:$B$1005,0)),1)))</f>
        <v/>
      </c>
      <c r="K347" s="69" t="str">
        <f aca="false">IF($C347="","",SUMIFS(①今日の在庫を貼る!$N$6:$N$10005,①今日の在庫を貼る!$B$6:$B$10005,'設定（最初に1回）'!$C$4,①今日の在庫を貼る!$I$6:$I$10005,$C347))</f>
        <v/>
      </c>
      <c r="L347" s="69" t="str">
        <f aca="false">IF($C347="","",SUMIFS(月1回_前回の在庫を貼る!$N$6:$N$10005,月1回_前回の在庫を貼る!$B$6:$B$10005,'設定（最初に1回）'!$C$4,月1回_前回の在庫を貼る!$I$6:$I$10005,$C347))</f>
        <v/>
      </c>
      <c r="M347" s="69" t="str">
        <f aca="false">IF($C347="","",IF(OR('設定（最初に1回）'!$C$6="",'設定（最初に1回）'!$C$7=""),0,SUMIFS(発注管理!$S$6:$S$1005,発注管理!$C$6:$C$1005,'設定（最初に1回）'!$C$4,発注管理!$F$6:$F$1005,$C347,発注管理!$R$6:$R$1005,"&gt;="&amp;'設定（最初に1回）'!$C$7,発注管理!$R$6:$R$1005,"&lt;="&amp;'設定（最初に1回）'!$C$6)))</f>
        <v/>
      </c>
      <c r="N347" s="69" t="str">
        <f aca="false">IF(OR($C347="",'設定（最初に1回）'!$C$15=0),"",$L347+$M347-$K347)</f>
        <v/>
      </c>
      <c r="O347" s="143" t="str">
        <f aca="false">IF(OR($N347="",'設定（最初に1回）'!$C$8="",'設定（最初に1回）'!$C$8&lt;=0),"",MAX(0,$N347)/'設定（最初に1回）'!$C$8)</f>
        <v/>
      </c>
      <c r="P347" s="143" t="str">
        <f aca="false">IF($C347="","",IFERROR(INDEX(商品マスタ!$M$6:$N$1005,MATCH($C347,商品マスタ!$B$6:$B$1005,0),MATCH("PI値 "&amp;'設定（最初に1回）'!$C$11,商品マスタ!$M$5:$N$5,0)),""))</f>
        <v/>
      </c>
      <c r="Q347" s="143" t="str">
        <f aca="false">IF(OR($C347="",$P347="",$P347=0,(N($I347)+N($AG347))&lt;=0),"",IFERROR(SUMIFS(随時_動員を入れる!$G$8:$G$97,随時_動員を入れる!$B$8:$B$97,"&gt;="&amp;'設定（最初に1回）'!$C$6,随時_動員を入れる!$B$8:$B$97,"&lt;="&amp;'設定（最初に1回）'!$C$6+(N($I347)+N($AG347))-1)/(N($I347)+N($AG347)),0)*$P347/100)</f>
        <v/>
      </c>
      <c r="R347" s="69" t="str">
        <f aca="false">IF($C347="","",SUMIFS(①今日の在庫を貼る!$O$6:$O$10005,①今日の在庫を貼る!$B$6:$B$10005,'設定（最初に1回）'!$C$4,①今日の在庫を貼る!$I$6:$I$10005,$C347))</f>
        <v/>
      </c>
      <c r="S347" s="143" t="str">
        <f aca="false">IF($C347="","",IF('設定（最初に1回）'!$C$9="実績消費",N($O347),IF('設定（最初に1回）'!$C$9="PI値予測",N($Q347),MAX(N($O347),N($Q347)))))</f>
        <v/>
      </c>
      <c r="T347" s="67" t="str">
        <f aca="false">IF(OR($S347="",$S347&lt;=0),"",$K347/$S347)</f>
        <v/>
      </c>
      <c r="U347" s="69" t="str">
        <f aca="false">IF($S347="","",ROUNDUP(N($S347)*'設定（最初に1回）'!$C$12,0))</f>
        <v/>
      </c>
      <c r="V347" s="69" t="str">
        <f aca="false">IF($C347="","",ROUNDUP(N($S347)*(N($I347)+N($AG347))+N($U347),0))</f>
        <v/>
      </c>
      <c r="W347" s="69" t="str">
        <f aca="false">IF($C347="","",SUMIFS(発注管理!$L$6:$L$1005,発注管理!$C$6:$C$1005,'設定（最初に1回）'!$C$4,発注管理!$F$6:$F$1005,$C347,発注管理!$Q$6:$Q$1005,"発注済"))</f>
        <v/>
      </c>
      <c r="X347" s="69" t="str">
        <f aca="false">IF($C347="","",MAX(0,N($V347)-N($K347)-N($W347)))</f>
        <v/>
      </c>
      <c r="Y347" s="147" t="str">
        <f aca="false">IF($C347="","",IF(N($X347)&lt;=0,0,CEILING($X347/MAX(1,N($G347)),MAX(1,N($J347)))))</f>
        <v/>
      </c>
      <c r="Z347" s="138" t="str">
        <f aca="false">IF($C347="","",IF(N($Y347)&gt;0,"要発注","正常"))</f>
        <v/>
      </c>
      <c r="AA347" s="71" t="str">
        <f aca="false">IF($C347="","",N($K347)*N($H347))</f>
        <v/>
      </c>
      <c r="AB347" s="66" t="str">
        <f aca="false">IF($C347="","",_xlfn.TEXTJOIN(" / ",TRUE(),IF(COUNTIF(商品マスタ!$B$6:$B$1005,$C347)=0,"マスタ未登録",""),IF(COUNTIFS(月1回_前回の在庫を貼る!$B$6:$B$10005,'設定（最初に1回）'!$C$4,月1回_前回の在庫を貼る!$I$6:$I$10005,$C347)=0,"新商品",""),IF(COUNTIFS(①今日の在庫を貼る!$B$6:$B$10005,'設定（最初に1回）'!$C$4,①今日の在庫を貼る!$I$6:$I$10005,$C347)=0,"終売候補",""),IF(N($K347)&lt;0,"在庫マイナス",""),IF(AND('設定（最初に1回）'!$C$9="PI値予測",$P347=""),"PI値未設定","")))</f>
        <v/>
      </c>
      <c r="AC347" s="71" t="n">
        <f aca="false">N($Y347)*N($H347)</f>
        <v>0</v>
      </c>
      <c r="AD347" s="66" t="str">
        <f aca="false">IF($C347="","",IFERROR(INDEX(商品マスタ!$K$6:$K$1005,MATCH($C347,商品マスタ!$B$6:$B$1005,0)),"常温"))</f>
        <v/>
      </c>
      <c r="AE347" s="69" t="str">
        <f aca="false">IF($C347="","",MAX(0,ROUNDUP(N($K347)/MAX(1,N($G347)),0)))</f>
        <v/>
      </c>
      <c r="AF347" s="66" t="str">
        <f aca="false">IF($C347="","",IFERROR(INDEX(商品マスタ!$L$6:$L$1005,MATCH($C347,商品マスタ!$B$6:$B$1005,0)),""))</f>
        <v/>
      </c>
      <c r="AG347" s="143" t="str">
        <f aca="false">IF($C347="","",IFERROR(INDEX(定数マスタ!$S$110:$S$119,MATCH($AF347,定数マスタ!$J$110:$J$119,0)),N('設定（最初に1回）'!$C$13)))</f>
        <v/>
      </c>
      <c r="AH347" s="66" t="n">
        <f aca="false">IF(AND(N($K347)&gt;0,N($Y347)&gt;0),N($Y347),0)</f>
        <v>0</v>
      </c>
    </row>
    <row r="348" customFormat="false" ht="15" hidden="false" customHeight="false" outlineLevel="0" collapsed="false">
      <c r="B348" s="66" t="n">
        <v>343</v>
      </c>
      <c r="C348" s="66" t="str">
        <f aca="false">IFERROR(IF($B348&lt;=MAX(①今日の在庫を貼る!$U$6:$U$10005),INDEX(①今日の在庫を貼る!$I$6:$I$10005,MATCH($B348,①今日の在庫を貼る!$U$6:$U$10005,0)),INDEX(月1回_前回の在庫を貼る!$I$6:$I$10005,MATCH($B348-MAX(①今日の在庫を貼る!$U$6:$U$10005),月1回_前回の在庫を貼る!$U$6:$U$10005,0))),"")</f>
        <v/>
      </c>
      <c r="D348" s="66" t="str">
        <f aca="false">IF($C348="","",IFERROR(INDEX(商品マスタ!$C$6:$C$1005,MATCH($C348,商品マスタ!$B$6:$B$1005,0)),IFERROR(INDEX(①今日の在庫を貼る!$J$6:$J$10005,MATCH($C348,①今日の在庫を貼る!$I$6:$I$10005,0)),IFERROR(INDEX(月1回_前回の在庫を貼る!$J$6:$J$10005,MATCH($C348,月1回_前回の在庫を貼る!$I$6:$I$10005,0)),""))))</f>
        <v/>
      </c>
      <c r="E348" s="66" t="str">
        <f aca="false">IF($C348="","",IFERROR(INDEX(商品マスタ!$D$6:$D$1005,MATCH($C348,商品マスタ!$B$6:$B$1005,0)),IFERROR(INDEX(①今日の在庫を貼る!$H$6:$H$10005,MATCH($C348,①今日の在庫を貼る!$I$6:$I$10005,0)),IFERROR(INDEX(月1回_前回の在庫を貼る!$H$6:$H$10005,MATCH($C348,月1回_前回の在庫を貼る!$I$6:$I$10005,0)),""))))</f>
        <v/>
      </c>
      <c r="F348" s="66" t="str">
        <f aca="false">IF($C348="","",IFERROR(INDEX(商品マスタ!$E$6:$E$1005,MATCH($C348,商品マスタ!$B$6:$B$1005,0)),IFERROR(INDEX(①今日の在庫を貼る!$E$6:$E$10005,MATCH($C348,①今日の在庫を貼る!$I$6:$I$10005,0)),IFERROR(INDEX(月1回_前回の在庫を貼る!$E$6:$E$10005,MATCH($C348,月1回_前回の在庫を貼る!$I$6:$I$10005,0)),""))))</f>
        <v/>
      </c>
      <c r="G348" s="69" t="str">
        <f aca="false">IF($C348="","",IFERROR(INDEX(商品マスタ!$F$6:$F$1005,MATCH($C348,商品マスタ!$B$6:$B$1005,0)),IFERROR(INDEX(①今日の在庫を貼る!$K$6:$K$10005,MATCH($C348,①今日の在庫を貼る!$I$6:$I$10005,0)),IFERROR(INDEX(月1回_前回の在庫を貼る!$K$6:$K$10005,MATCH($C348,月1回_前回の在庫を貼る!$I$6:$I$10005,0)),""))))</f>
        <v/>
      </c>
      <c r="H348" s="71" t="str">
        <f aca="false">IF($C348="","",IFERROR(INDEX(商品マスタ!$G$6:$G$1005,MATCH($C348,商品マスタ!$B$6:$B$1005,0)),IFERROR(INDEX(①今日の在庫を貼る!$Q$6:$Q$10005,MATCH($C348,①今日の在庫を貼る!$I$6:$I$10005,0)),IFERROR(INDEX(月1回_前回の在庫を貼る!$Q$6:$Q$10005,MATCH($C348,月1回_前回の在庫を貼る!$I$6:$I$10005,0)),""))))</f>
        <v/>
      </c>
      <c r="I348" s="66" t="str">
        <f aca="false">IF($C348="","",IFERROR(INDEX(商品マスタ!$H$6:$H$1005,MATCH($C348,商品マスタ!$B$6:$B$1005,0)),3))</f>
        <v/>
      </c>
      <c r="J348" s="66" t="str">
        <f aca="false">IF($C348="","",MAX(1,IFERROR(INDEX(商品マスタ!$I$6:$I$1005,MATCH($C348,商品マスタ!$B$6:$B$1005,0)),1)))</f>
        <v/>
      </c>
      <c r="K348" s="69" t="str">
        <f aca="false">IF($C348="","",SUMIFS(①今日の在庫を貼る!$N$6:$N$10005,①今日の在庫を貼る!$B$6:$B$10005,'設定（最初に1回）'!$C$4,①今日の在庫を貼る!$I$6:$I$10005,$C348))</f>
        <v/>
      </c>
      <c r="L348" s="69" t="str">
        <f aca="false">IF($C348="","",SUMIFS(月1回_前回の在庫を貼る!$N$6:$N$10005,月1回_前回の在庫を貼る!$B$6:$B$10005,'設定（最初に1回）'!$C$4,月1回_前回の在庫を貼る!$I$6:$I$10005,$C348))</f>
        <v/>
      </c>
      <c r="M348" s="69" t="str">
        <f aca="false">IF($C348="","",IF(OR('設定（最初に1回）'!$C$6="",'設定（最初に1回）'!$C$7=""),0,SUMIFS(発注管理!$S$6:$S$1005,発注管理!$C$6:$C$1005,'設定（最初に1回）'!$C$4,発注管理!$F$6:$F$1005,$C348,発注管理!$R$6:$R$1005,"&gt;="&amp;'設定（最初に1回）'!$C$7,発注管理!$R$6:$R$1005,"&lt;="&amp;'設定（最初に1回）'!$C$6)))</f>
        <v/>
      </c>
      <c r="N348" s="69" t="str">
        <f aca="false">IF(OR($C348="",'設定（最初に1回）'!$C$15=0),"",$L348+$M348-$K348)</f>
        <v/>
      </c>
      <c r="O348" s="143" t="str">
        <f aca="false">IF(OR($N348="",'設定（最初に1回）'!$C$8="",'設定（最初に1回）'!$C$8&lt;=0),"",MAX(0,$N348)/'設定（最初に1回）'!$C$8)</f>
        <v/>
      </c>
      <c r="P348" s="143" t="str">
        <f aca="false">IF($C348="","",IFERROR(INDEX(商品マスタ!$M$6:$N$1005,MATCH($C348,商品マスタ!$B$6:$B$1005,0),MATCH("PI値 "&amp;'設定（最初に1回）'!$C$11,商品マスタ!$M$5:$N$5,0)),""))</f>
        <v/>
      </c>
      <c r="Q348" s="143" t="str">
        <f aca="false">IF(OR($C348="",$P348="",$P348=0,(N($I348)+N($AG348))&lt;=0),"",IFERROR(SUMIFS(随時_動員を入れる!$G$8:$G$97,随時_動員を入れる!$B$8:$B$97,"&gt;="&amp;'設定（最初に1回）'!$C$6,随時_動員を入れる!$B$8:$B$97,"&lt;="&amp;'設定（最初に1回）'!$C$6+(N($I348)+N($AG348))-1)/(N($I348)+N($AG348)),0)*$P348/100)</f>
        <v/>
      </c>
      <c r="R348" s="69" t="str">
        <f aca="false">IF($C348="","",SUMIFS(①今日の在庫を貼る!$O$6:$O$10005,①今日の在庫を貼る!$B$6:$B$10005,'設定（最初に1回）'!$C$4,①今日の在庫を貼る!$I$6:$I$10005,$C348))</f>
        <v/>
      </c>
      <c r="S348" s="143" t="str">
        <f aca="false">IF($C348="","",IF('設定（最初に1回）'!$C$9="実績消費",N($O348),IF('設定（最初に1回）'!$C$9="PI値予測",N($Q348),MAX(N($O348),N($Q348)))))</f>
        <v/>
      </c>
      <c r="T348" s="67" t="str">
        <f aca="false">IF(OR($S348="",$S348&lt;=0),"",$K348/$S348)</f>
        <v/>
      </c>
      <c r="U348" s="69" t="str">
        <f aca="false">IF($S348="","",ROUNDUP(N($S348)*'設定（最初に1回）'!$C$12,0))</f>
        <v/>
      </c>
      <c r="V348" s="69" t="str">
        <f aca="false">IF($C348="","",ROUNDUP(N($S348)*(N($I348)+N($AG348))+N($U348),0))</f>
        <v/>
      </c>
      <c r="W348" s="69" t="str">
        <f aca="false">IF($C348="","",SUMIFS(発注管理!$L$6:$L$1005,発注管理!$C$6:$C$1005,'設定（最初に1回）'!$C$4,発注管理!$F$6:$F$1005,$C348,発注管理!$Q$6:$Q$1005,"発注済"))</f>
        <v/>
      </c>
      <c r="X348" s="69" t="str">
        <f aca="false">IF($C348="","",MAX(0,N($V348)-N($K348)-N($W348)))</f>
        <v/>
      </c>
      <c r="Y348" s="147" t="str">
        <f aca="false">IF($C348="","",IF(N($X348)&lt;=0,0,CEILING($X348/MAX(1,N($G348)),MAX(1,N($J348)))))</f>
        <v/>
      </c>
      <c r="Z348" s="138" t="str">
        <f aca="false">IF($C348="","",IF(N($Y348)&gt;0,"要発注","正常"))</f>
        <v/>
      </c>
      <c r="AA348" s="71" t="str">
        <f aca="false">IF($C348="","",N($K348)*N($H348))</f>
        <v/>
      </c>
      <c r="AB348" s="66" t="str">
        <f aca="false">IF($C348="","",_xlfn.TEXTJOIN(" / ",TRUE(),IF(COUNTIF(商品マスタ!$B$6:$B$1005,$C348)=0,"マスタ未登録",""),IF(COUNTIFS(月1回_前回の在庫を貼る!$B$6:$B$10005,'設定（最初に1回）'!$C$4,月1回_前回の在庫を貼る!$I$6:$I$10005,$C348)=0,"新商品",""),IF(COUNTIFS(①今日の在庫を貼る!$B$6:$B$10005,'設定（最初に1回）'!$C$4,①今日の在庫を貼る!$I$6:$I$10005,$C348)=0,"終売候補",""),IF(N($K348)&lt;0,"在庫マイナス",""),IF(AND('設定（最初に1回）'!$C$9="PI値予測",$P348=""),"PI値未設定","")))</f>
        <v/>
      </c>
      <c r="AC348" s="71" t="n">
        <f aca="false">N($Y348)*N($H348)</f>
        <v>0</v>
      </c>
      <c r="AD348" s="66" t="str">
        <f aca="false">IF($C348="","",IFERROR(INDEX(商品マスタ!$K$6:$K$1005,MATCH($C348,商品マスタ!$B$6:$B$1005,0)),"常温"))</f>
        <v/>
      </c>
      <c r="AE348" s="69" t="str">
        <f aca="false">IF($C348="","",MAX(0,ROUNDUP(N($K348)/MAX(1,N($G348)),0)))</f>
        <v/>
      </c>
      <c r="AF348" s="66" t="str">
        <f aca="false">IF($C348="","",IFERROR(INDEX(商品マスタ!$L$6:$L$1005,MATCH($C348,商品マスタ!$B$6:$B$1005,0)),""))</f>
        <v/>
      </c>
      <c r="AG348" s="143" t="str">
        <f aca="false">IF($C348="","",IFERROR(INDEX(定数マスタ!$S$110:$S$119,MATCH($AF348,定数マスタ!$J$110:$J$119,0)),N('設定（最初に1回）'!$C$13)))</f>
        <v/>
      </c>
      <c r="AH348" s="66" t="n">
        <f aca="false">IF(AND(N($K348)&gt;0,N($Y348)&gt;0),N($Y348),0)</f>
        <v>0</v>
      </c>
    </row>
    <row r="349" customFormat="false" ht="15" hidden="false" customHeight="false" outlineLevel="0" collapsed="false">
      <c r="B349" s="66" t="n">
        <v>344</v>
      </c>
      <c r="C349" s="66" t="str">
        <f aca="false">IFERROR(IF($B349&lt;=MAX(①今日の在庫を貼る!$U$6:$U$10005),INDEX(①今日の在庫を貼る!$I$6:$I$10005,MATCH($B349,①今日の在庫を貼る!$U$6:$U$10005,0)),INDEX(月1回_前回の在庫を貼る!$I$6:$I$10005,MATCH($B349-MAX(①今日の在庫を貼る!$U$6:$U$10005),月1回_前回の在庫を貼る!$U$6:$U$10005,0))),"")</f>
        <v/>
      </c>
      <c r="D349" s="66" t="str">
        <f aca="false">IF($C349="","",IFERROR(INDEX(商品マスタ!$C$6:$C$1005,MATCH($C349,商品マスタ!$B$6:$B$1005,0)),IFERROR(INDEX(①今日の在庫を貼る!$J$6:$J$10005,MATCH($C349,①今日の在庫を貼る!$I$6:$I$10005,0)),IFERROR(INDEX(月1回_前回の在庫を貼る!$J$6:$J$10005,MATCH($C349,月1回_前回の在庫を貼る!$I$6:$I$10005,0)),""))))</f>
        <v/>
      </c>
      <c r="E349" s="66" t="str">
        <f aca="false">IF($C349="","",IFERROR(INDEX(商品マスタ!$D$6:$D$1005,MATCH($C349,商品マスタ!$B$6:$B$1005,0)),IFERROR(INDEX(①今日の在庫を貼る!$H$6:$H$10005,MATCH($C349,①今日の在庫を貼る!$I$6:$I$10005,0)),IFERROR(INDEX(月1回_前回の在庫を貼る!$H$6:$H$10005,MATCH($C349,月1回_前回の在庫を貼る!$I$6:$I$10005,0)),""))))</f>
        <v/>
      </c>
      <c r="F349" s="66" t="str">
        <f aca="false">IF($C349="","",IFERROR(INDEX(商品マスタ!$E$6:$E$1005,MATCH($C349,商品マスタ!$B$6:$B$1005,0)),IFERROR(INDEX(①今日の在庫を貼る!$E$6:$E$10005,MATCH($C349,①今日の在庫を貼る!$I$6:$I$10005,0)),IFERROR(INDEX(月1回_前回の在庫を貼る!$E$6:$E$10005,MATCH($C349,月1回_前回の在庫を貼る!$I$6:$I$10005,0)),""))))</f>
        <v/>
      </c>
      <c r="G349" s="69" t="str">
        <f aca="false">IF($C349="","",IFERROR(INDEX(商品マスタ!$F$6:$F$1005,MATCH($C349,商品マスタ!$B$6:$B$1005,0)),IFERROR(INDEX(①今日の在庫を貼る!$K$6:$K$10005,MATCH($C349,①今日の在庫を貼る!$I$6:$I$10005,0)),IFERROR(INDEX(月1回_前回の在庫を貼る!$K$6:$K$10005,MATCH($C349,月1回_前回の在庫を貼る!$I$6:$I$10005,0)),""))))</f>
        <v/>
      </c>
      <c r="H349" s="71" t="str">
        <f aca="false">IF($C349="","",IFERROR(INDEX(商品マスタ!$G$6:$G$1005,MATCH($C349,商品マスタ!$B$6:$B$1005,0)),IFERROR(INDEX(①今日の在庫を貼る!$Q$6:$Q$10005,MATCH($C349,①今日の在庫を貼る!$I$6:$I$10005,0)),IFERROR(INDEX(月1回_前回の在庫を貼る!$Q$6:$Q$10005,MATCH($C349,月1回_前回の在庫を貼る!$I$6:$I$10005,0)),""))))</f>
        <v/>
      </c>
      <c r="I349" s="66" t="str">
        <f aca="false">IF($C349="","",IFERROR(INDEX(商品マスタ!$H$6:$H$1005,MATCH($C349,商品マスタ!$B$6:$B$1005,0)),3))</f>
        <v/>
      </c>
      <c r="J349" s="66" t="str">
        <f aca="false">IF($C349="","",MAX(1,IFERROR(INDEX(商品マスタ!$I$6:$I$1005,MATCH($C349,商品マスタ!$B$6:$B$1005,0)),1)))</f>
        <v/>
      </c>
      <c r="K349" s="69" t="str">
        <f aca="false">IF($C349="","",SUMIFS(①今日の在庫を貼る!$N$6:$N$10005,①今日の在庫を貼る!$B$6:$B$10005,'設定（最初に1回）'!$C$4,①今日の在庫を貼る!$I$6:$I$10005,$C349))</f>
        <v/>
      </c>
      <c r="L349" s="69" t="str">
        <f aca="false">IF($C349="","",SUMIFS(月1回_前回の在庫を貼る!$N$6:$N$10005,月1回_前回の在庫を貼る!$B$6:$B$10005,'設定（最初に1回）'!$C$4,月1回_前回の在庫を貼る!$I$6:$I$10005,$C349))</f>
        <v/>
      </c>
      <c r="M349" s="69" t="str">
        <f aca="false">IF($C349="","",IF(OR('設定（最初に1回）'!$C$6="",'設定（最初に1回）'!$C$7=""),0,SUMIFS(発注管理!$S$6:$S$1005,発注管理!$C$6:$C$1005,'設定（最初に1回）'!$C$4,発注管理!$F$6:$F$1005,$C349,発注管理!$R$6:$R$1005,"&gt;="&amp;'設定（最初に1回）'!$C$7,発注管理!$R$6:$R$1005,"&lt;="&amp;'設定（最初に1回）'!$C$6)))</f>
        <v/>
      </c>
      <c r="N349" s="69" t="str">
        <f aca="false">IF(OR($C349="",'設定（最初に1回）'!$C$15=0),"",$L349+$M349-$K349)</f>
        <v/>
      </c>
      <c r="O349" s="143" t="str">
        <f aca="false">IF(OR($N349="",'設定（最初に1回）'!$C$8="",'設定（最初に1回）'!$C$8&lt;=0),"",MAX(0,$N349)/'設定（最初に1回）'!$C$8)</f>
        <v/>
      </c>
      <c r="P349" s="143" t="str">
        <f aca="false">IF($C349="","",IFERROR(INDEX(商品マスタ!$M$6:$N$1005,MATCH($C349,商品マスタ!$B$6:$B$1005,0),MATCH("PI値 "&amp;'設定（最初に1回）'!$C$11,商品マスタ!$M$5:$N$5,0)),""))</f>
        <v/>
      </c>
      <c r="Q349" s="143" t="str">
        <f aca="false">IF(OR($C349="",$P349="",$P349=0,(N($I349)+N($AG349))&lt;=0),"",IFERROR(SUMIFS(随時_動員を入れる!$G$8:$G$97,随時_動員を入れる!$B$8:$B$97,"&gt;="&amp;'設定（最初に1回）'!$C$6,随時_動員を入れる!$B$8:$B$97,"&lt;="&amp;'設定（最初に1回）'!$C$6+(N($I349)+N($AG349))-1)/(N($I349)+N($AG349)),0)*$P349/100)</f>
        <v/>
      </c>
      <c r="R349" s="69" t="str">
        <f aca="false">IF($C349="","",SUMIFS(①今日の在庫を貼る!$O$6:$O$10005,①今日の在庫を貼る!$B$6:$B$10005,'設定（最初に1回）'!$C$4,①今日の在庫を貼る!$I$6:$I$10005,$C349))</f>
        <v/>
      </c>
      <c r="S349" s="143" t="str">
        <f aca="false">IF($C349="","",IF('設定（最初に1回）'!$C$9="実績消費",N($O349),IF('設定（最初に1回）'!$C$9="PI値予測",N($Q349),MAX(N($O349),N($Q349)))))</f>
        <v/>
      </c>
      <c r="T349" s="67" t="str">
        <f aca="false">IF(OR($S349="",$S349&lt;=0),"",$K349/$S349)</f>
        <v/>
      </c>
      <c r="U349" s="69" t="str">
        <f aca="false">IF($S349="","",ROUNDUP(N($S349)*'設定（最初に1回）'!$C$12,0))</f>
        <v/>
      </c>
      <c r="V349" s="69" t="str">
        <f aca="false">IF($C349="","",ROUNDUP(N($S349)*(N($I349)+N($AG349))+N($U349),0))</f>
        <v/>
      </c>
      <c r="W349" s="69" t="str">
        <f aca="false">IF($C349="","",SUMIFS(発注管理!$L$6:$L$1005,発注管理!$C$6:$C$1005,'設定（最初に1回）'!$C$4,発注管理!$F$6:$F$1005,$C349,発注管理!$Q$6:$Q$1005,"発注済"))</f>
        <v/>
      </c>
      <c r="X349" s="69" t="str">
        <f aca="false">IF($C349="","",MAX(0,N($V349)-N($K349)-N($W349)))</f>
        <v/>
      </c>
      <c r="Y349" s="147" t="str">
        <f aca="false">IF($C349="","",IF(N($X349)&lt;=0,0,CEILING($X349/MAX(1,N($G349)),MAX(1,N($J349)))))</f>
        <v/>
      </c>
      <c r="Z349" s="138" t="str">
        <f aca="false">IF($C349="","",IF(N($Y349)&gt;0,"要発注","正常"))</f>
        <v/>
      </c>
      <c r="AA349" s="71" t="str">
        <f aca="false">IF($C349="","",N($K349)*N($H349))</f>
        <v/>
      </c>
      <c r="AB349" s="66" t="str">
        <f aca="false">IF($C349="","",_xlfn.TEXTJOIN(" / ",TRUE(),IF(COUNTIF(商品マスタ!$B$6:$B$1005,$C349)=0,"マスタ未登録",""),IF(COUNTIFS(月1回_前回の在庫を貼る!$B$6:$B$10005,'設定（最初に1回）'!$C$4,月1回_前回の在庫を貼る!$I$6:$I$10005,$C349)=0,"新商品",""),IF(COUNTIFS(①今日の在庫を貼る!$B$6:$B$10005,'設定（最初に1回）'!$C$4,①今日の在庫を貼る!$I$6:$I$10005,$C349)=0,"終売候補",""),IF(N($K349)&lt;0,"在庫マイナス",""),IF(AND('設定（最初に1回）'!$C$9="PI値予測",$P349=""),"PI値未設定","")))</f>
        <v/>
      </c>
      <c r="AC349" s="71" t="n">
        <f aca="false">N($Y349)*N($H349)</f>
        <v>0</v>
      </c>
      <c r="AD349" s="66" t="str">
        <f aca="false">IF($C349="","",IFERROR(INDEX(商品マスタ!$K$6:$K$1005,MATCH($C349,商品マスタ!$B$6:$B$1005,0)),"常温"))</f>
        <v/>
      </c>
      <c r="AE349" s="69" t="str">
        <f aca="false">IF($C349="","",MAX(0,ROUNDUP(N($K349)/MAX(1,N($G349)),0)))</f>
        <v/>
      </c>
      <c r="AF349" s="66" t="str">
        <f aca="false">IF($C349="","",IFERROR(INDEX(商品マスタ!$L$6:$L$1005,MATCH($C349,商品マスタ!$B$6:$B$1005,0)),""))</f>
        <v/>
      </c>
      <c r="AG349" s="143" t="str">
        <f aca="false">IF($C349="","",IFERROR(INDEX(定数マスタ!$S$110:$S$119,MATCH($AF349,定数マスタ!$J$110:$J$119,0)),N('設定（最初に1回）'!$C$13)))</f>
        <v/>
      </c>
      <c r="AH349" s="66" t="n">
        <f aca="false">IF(AND(N($K349)&gt;0,N($Y349)&gt;0),N($Y349),0)</f>
        <v>0</v>
      </c>
    </row>
    <row r="350" customFormat="false" ht="15" hidden="false" customHeight="false" outlineLevel="0" collapsed="false">
      <c r="B350" s="66" t="n">
        <v>345</v>
      </c>
      <c r="C350" s="66" t="str">
        <f aca="false">IFERROR(IF($B350&lt;=MAX(①今日の在庫を貼る!$U$6:$U$10005),INDEX(①今日の在庫を貼る!$I$6:$I$10005,MATCH($B350,①今日の在庫を貼る!$U$6:$U$10005,0)),INDEX(月1回_前回の在庫を貼る!$I$6:$I$10005,MATCH($B350-MAX(①今日の在庫を貼る!$U$6:$U$10005),月1回_前回の在庫を貼る!$U$6:$U$10005,0))),"")</f>
        <v/>
      </c>
      <c r="D350" s="66" t="str">
        <f aca="false">IF($C350="","",IFERROR(INDEX(商品マスタ!$C$6:$C$1005,MATCH($C350,商品マスタ!$B$6:$B$1005,0)),IFERROR(INDEX(①今日の在庫を貼る!$J$6:$J$10005,MATCH($C350,①今日の在庫を貼る!$I$6:$I$10005,0)),IFERROR(INDEX(月1回_前回の在庫を貼る!$J$6:$J$10005,MATCH($C350,月1回_前回の在庫を貼る!$I$6:$I$10005,0)),""))))</f>
        <v/>
      </c>
      <c r="E350" s="66" t="str">
        <f aca="false">IF($C350="","",IFERROR(INDEX(商品マスタ!$D$6:$D$1005,MATCH($C350,商品マスタ!$B$6:$B$1005,0)),IFERROR(INDEX(①今日の在庫を貼る!$H$6:$H$10005,MATCH($C350,①今日の在庫を貼る!$I$6:$I$10005,0)),IFERROR(INDEX(月1回_前回の在庫を貼る!$H$6:$H$10005,MATCH($C350,月1回_前回の在庫を貼る!$I$6:$I$10005,0)),""))))</f>
        <v/>
      </c>
      <c r="F350" s="66" t="str">
        <f aca="false">IF($C350="","",IFERROR(INDEX(商品マスタ!$E$6:$E$1005,MATCH($C350,商品マスタ!$B$6:$B$1005,0)),IFERROR(INDEX(①今日の在庫を貼る!$E$6:$E$10005,MATCH($C350,①今日の在庫を貼る!$I$6:$I$10005,0)),IFERROR(INDEX(月1回_前回の在庫を貼る!$E$6:$E$10005,MATCH($C350,月1回_前回の在庫を貼る!$I$6:$I$10005,0)),""))))</f>
        <v/>
      </c>
      <c r="G350" s="69" t="str">
        <f aca="false">IF($C350="","",IFERROR(INDEX(商品マスタ!$F$6:$F$1005,MATCH($C350,商品マスタ!$B$6:$B$1005,0)),IFERROR(INDEX(①今日の在庫を貼る!$K$6:$K$10005,MATCH($C350,①今日の在庫を貼る!$I$6:$I$10005,0)),IFERROR(INDEX(月1回_前回の在庫を貼る!$K$6:$K$10005,MATCH($C350,月1回_前回の在庫を貼る!$I$6:$I$10005,0)),""))))</f>
        <v/>
      </c>
      <c r="H350" s="71" t="str">
        <f aca="false">IF($C350="","",IFERROR(INDEX(商品マスタ!$G$6:$G$1005,MATCH($C350,商品マスタ!$B$6:$B$1005,0)),IFERROR(INDEX(①今日の在庫を貼る!$Q$6:$Q$10005,MATCH($C350,①今日の在庫を貼る!$I$6:$I$10005,0)),IFERROR(INDEX(月1回_前回の在庫を貼る!$Q$6:$Q$10005,MATCH($C350,月1回_前回の在庫を貼る!$I$6:$I$10005,0)),""))))</f>
        <v/>
      </c>
      <c r="I350" s="66" t="str">
        <f aca="false">IF($C350="","",IFERROR(INDEX(商品マスタ!$H$6:$H$1005,MATCH($C350,商品マスタ!$B$6:$B$1005,0)),3))</f>
        <v/>
      </c>
      <c r="J350" s="66" t="str">
        <f aca="false">IF($C350="","",MAX(1,IFERROR(INDEX(商品マスタ!$I$6:$I$1005,MATCH($C350,商品マスタ!$B$6:$B$1005,0)),1)))</f>
        <v/>
      </c>
      <c r="K350" s="69" t="str">
        <f aca="false">IF($C350="","",SUMIFS(①今日の在庫を貼る!$N$6:$N$10005,①今日の在庫を貼る!$B$6:$B$10005,'設定（最初に1回）'!$C$4,①今日の在庫を貼る!$I$6:$I$10005,$C350))</f>
        <v/>
      </c>
      <c r="L350" s="69" t="str">
        <f aca="false">IF($C350="","",SUMIFS(月1回_前回の在庫を貼る!$N$6:$N$10005,月1回_前回の在庫を貼る!$B$6:$B$10005,'設定（最初に1回）'!$C$4,月1回_前回の在庫を貼る!$I$6:$I$10005,$C350))</f>
        <v/>
      </c>
      <c r="M350" s="69" t="str">
        <f aca="false">IF($C350="","",IF(OR('設定（最初に1回）'!$C$6="",'設定（最初に1回）'!$C$7=""),0,SUMIFS(発注管理!$S$6:$S$1005,発注管理!$C$6:$C$1005,'設定（最初に1回）'!$C$4,発注管理!$F$6:$F$1005,$C350,発注管理!$R$6:$R$1005,"&gt;="&amp;'設定（最初に1回）'!$C$7,発注管理!$R$6:$R$1005,"&lt;="&amp;'設定（最初に1回）'!$C$6)))</f>
        <v/>
      </c>
      <c r="N350" s="69" t="str">
        <f aca="false">IF(OR($C350="",'設定（最初に1回）'!$C$15=0),"",$L350+$M350-$K350)</f>
        <v/>
      </c>
      <c r="O350" s="143" t="str">
        <f aca="false">IF(OR($N350="",'設定（最初に1回）'!$C$8="",'設定（最初に1回）'!$C$8&lt;=0),"",MAX(0,$N350)/'設定（最初に1回）'!$C$8)</f>
        <v/>
      </c>
      <c r="P350" s="143" t="str">
        <f aca="false">IF($C350="","",IFERROR(INDEX(商品マスタ!$M$6:$N$1005,MATCH($C350,商品マスタ!$B$6:$B$1005,0),MATCH("PI値 "&amp;'設定（最初に1回）'!$C$11,商品マスタ!$M$5:$N$5,0)),""))</f>
        <v/>
      </c>
      <c r="Q350" s="143" t="str">
        <f aca="false">IF(OR($C350="",$P350="",$P350=0,(N($I350)+N($AG350))&lt;=0),"",IFERROR(SUMIFS(随時_動員を入れる!$G$8:$G$97,随時_動員を入れる!$B$8:$B$97,"&gt;="&amp;'設定（最初に1回）'!$C$6,随時_動員を入れる!$B$8:$B$97,"&lt;="&amp;'設定（最初に1回）'!$C$6+(N($I350)+N($AG350))-1)/(N($I350)+N($AG350)),0)*$P350/100)</f>
        <v/>
      </c>
      <c r="R350" s="69" t="str">
        <f aca="false">IF($C350="","",SUMIFS(①今日の在庫を貼る!$O$6:$O$10005,①今日の在庫を貼る!$B$6:$B$10005,'設定（最初に1回）'!$C$4,①今日の在庫を貼る!$I$6:$I$10005,$C350))</f>
        <v/>
      </c>
      <c r="S350" s="143" t="str">
        <f aca="false">IF($C350="","",IF('設定（最初に1回）'!$C$9="実績消費",N($O350),IF('設定（最初に1回）'!$C$9="PI値予測",N($Q350),MAX(N($O350),N($Q350)))))</f>
        <v/>
      </c>
      <c r="T350" s="67" t="str">
        <f aca="false">IF(OR($S350="",$S350&lt;=0),"",$K350/$S350)</f>
        <v/>
      </c>
      <c r="U350" s="69" t="str">
        <f aca="false">IF($S350="","",ROUNDUP(N($S350)*'設定（最初に1回）'!$C$12,0))</f>
        <v/>
      </c>
      <c r="V350" s="69" t="str">
        <f aca="false">IF($C350="","",ROUNDUP(N($S350)*(N($I350)+N($AG350))+N($U350),0))</f>
        <v/>
      </c>
      <c r="W350" s="69" t="str">
        <f aca="false">IF($C350="","",SUMIFS(発注管理!$L$6:$L$1005,発注管理!$C$6:$C$1005,'設定（最初に1回）'!$C$4,発注管理!$F$6:$F$1005,$C350,発注管理!$Q$6:$Q$1005,"発注済"))</f>
        <v/>
      </c>
      <c r="X350" s="69" t="str">
        <f aca="false">IF($C350="","",MAX(0,N($V350)-N($K350)-N($W350)))</f>
        <v/>
      </c>
      <c r="Y350" s="147" t="str">
        <f aca="false">IF($C350="","",IF(N($X350)&lt;=0,0,CEILING($X350/MAX(1,N($G350)),MAX(1,N($J350)))))</f>
        <v/>
      </c>
      <c r="Z350" s="138" t="str">
        <f aca="false">IF($C350="","",IF(N($Y350)&gt;0,"要発注","正常"))</f>
        <v/>
      </c>
      <c r="AA350" s="71" t="str">
        <f aca="false">IF($C350="","",N($K350)*N($H350))</f>
        <v/>
      </c>
      <c r="AB350" s="66" t="str">
        <f aca="false">IF($C350="","",_xlfn.TEXTJOIN(" / ",TRUE(),IF(COUNTIF(商品マスタ!$B$6:$B$1005,$C350)=0,"マスタ未登録",""),IF(COUNTIFS(月1回_前回の在庫を貼る!$B$6:$B$10005,'設定（最初に1回）'!$C$4,月1回_前回の在庫を貼る!$I$6:$I$10005,$C350)=0,"新商品",""),IF(COUNTIFS(①今日の在庫を貼る!$B$6:$B$10005,'設定（最初に1回）'!$C$4,①今日の在庫を貼る!$I$6:$I$10005,$C350)=0,"終売候補",""),IF(N($K350)&lt;0,"在庫マイナス",""),IF(AND('設定（最初に1回）'!$C$9="PI値予測",$P350=""),"PI値未設定","")))</f>
        <v/>
      </c>
      <c r="AC350" s="71" t="n">
        <f aca="false">N($Y350)*N($H350)</f>
        <v>0</v>
      </c>
      <c r="AD350" s="66" t="str">
        <f aca="false">IF($C350="","",IFERROR(INDEX(商品マスタ!$K$6:$K$1005,MATCH($C350,商品マスタ!$B$6:$B$1005,0)),"常温"))</f>
        <v/>
      </c>
      <c r="AE350" s="69" t="str">
        <f aca="false">IF($C350="","",MAX(0,ROUNDUP(N($K350)/MAX(1,N($G350)),0)))</f>
        <v/>
      </c>
      <c r="AF350" s="66" t="str">
        <f aca="false">IF($C350="","",IFERROR(INDEX(商品マスタ!$L$6:$L$1005,MATCH($C350,商品マスタ!$B$6:$B$1005,0)),""))</f>
        <v/>
      </c>
      <c r="AG350" s="143" t="str">
        <f aca="false">IF($C350="","",IFERROR(INDEX(定数マスタ!$S$110:$S$119,MATCH($AF350,定数マスタ!$J$110:$J$119,0)),N('設定（最初に1回）'!$C$13)))</f>
        <v/>
      </c>
      <c r="AH350" s="66" t="n">
        <f aca="false">IF(AND(N($K350)&gt;0,N($Y350)&gt;0),N($Y350),0)</f>
        <v>0</v>
      </c>
    </row>
    <row r="351" customFormat="false" ht="15" hidden="false" customHeight="false" outlineLevel="0" collapsed="false">
      <c r="B351" s="66" t="n">
        <v>346</v>
      </c>
      <c r="C351" s="66" t="str">
        <f aca="false">IFERROR(IF($B351&lt;=MAX(①今日の在庫を貼る!$U$6:$U$10005),INDEX(①今日の在庫を貼る!$I$6:$I$10005,MATCH($B351,①今日の在庫を貼る!$U$6:$U$10005,0)),INDEX(月1回_前回の在庫を貼る!$I$6:$I$10005,MATCH($B351-MAX(①今日の在庫を貼る!$U$6:$U$10005),月1回_前回の在庫を貼る!$U$6:$U$10005,0))),"")</f>
        <v/>
      </c>
      <c r="D351" s="66" t="str">
        <f aca="false">IF($C351="","",IFERROR(INDEX(商品マスタ!$C$6:$C$1005,MATCH($C351,商品マスタ!$B$6:$B$1005,0)),IFERROR(INDEX(①今日の在庫を貼る!$J$6:$J$10005,MATCH($C351,①今日の在庫を貼る!$I$6:$I$10005,0)),IFERROR(INDEX(月1回_前回の在庫を貼る!$J$6:$J$10005,MATCH($C351,月1回_前回の在庫を貼る!$I$6:$I$10005,0)),""))))</f>
        <v/>
      </c>
      <c r="E351" s="66" t="str">
        <f aca="false">IF($C351="","",IFERROR(INDEX(商品マスタ!$D$6:$D$1005,MATCH($C351,商品マスタ!$B$6:$B$1005,0)),IFERROR(INDEX(①今日の在庫を貼る!$H$6:$H$10005,MATCH($C351,①今日の在庫を貼る!$I$6:$I$10005,0)),IFERROR(INDEX(月1回_前回の在庫を貼る!$H$6:$H$10005,MATCH($C351,月1回_前回の在庫を貼る!$I$6:$I$10005,0)),""))))</f>
        <v/>
      </c>
      <c r="F351" s="66" t="str">
        <f aca="false">IF($C351="","",IFERROR(INDEX(商品マスタ!$E$6:$E$1005,MATCH($C351,商品マスタ!$B$6:$B$1005,0)),IFERROR(INDEX(①今日の在庫を貼る!$E$6:$E$10005,MATCH($C351,①今日の在庫を貼る!$I$6:$I$10005,0)),IFERROR(INDEX(月1回_前回の在庫を貼る!$E$6:$E$10005,MATCH($C351,月1回_前回の在庫を貼る!$I$6:$I$10005,0)),""))))</f>
        <v/>
      </c>
      <c r="G351" s="69" t="str">
        <f aca="false">IF($C351="","",IFERROR(INDEX(商品マスタ!$F$6:$F$1005,MATCH($C351,商品マスタ!$B$6:$B$1005,0)),IFERROR(INDEX(①今日の在庫を貼る!$K$6:$K$10005,MATCH($C351,①今日の在庫を貼る!$I$6:$I$10005,0)),IFERROR(INDEX(月1回_前回の在庫を貼る!$K$6:$K$10005,MATCH($C351,月1回_前回の在庫を貼る!$I$6:$I$10005,0)),""))))</f>
        <v/>
      </c>
      <c r="H351" s="71" t="str">
        <f aca="false">IF($C351="","",IFERROR(INDEX(商品マスタ!$G$6:$G$1005,MATCH($C351,商品マスタ!$B$6:$B$1005,0)),IFERROR(INDEX(①今日の在庫を貼る!$Q$6:$Q$10005,MATCH($C351,①今日の在庫を貼る!$I$6:$I$10005,0)),IFERROR(INDEX(月1回_前回の在庫を貼る!$Q$6:$Q$10005,MATCH($C351,月1回_前回の在庫を貼る!$I$6:$I$10005,0)),""))))</f>
        <v/>
      </c>
      <c r="I351" s="66" t="str">
        <f aca="false">IF($C351="","",IFERROR(INDEX(商品マスタ!$H$6:$H$1005,MATCH($C351,商品マスタ!$B$6:$B$1005,0)),3))</f>
        <v/>
      </c>
      <c r="J351" s="66" t="str">
        <f aca="false">IF($C351="","",MAX(1,IFERROR(INDEX(商品マスタ!$I$6:$I$1005,MATCH($C351,商品マスタ!$B$6:$B$1005,0)),1)))</f>
        <v/>
      </c>
      <c r="K351" s="69" t="str">
        <f aca="false">IF($C351="","",SUMIFS(①今日の在庫を貼る!$N$6:$N$10005,①今日の在庫を貼る!$B$6:$B$10005,'設定（最初に1回）'!$C$4,①今日の在庫を貼る!$I$6:$I$10005,$C351))</f>
        <v/>
      </c>
      <c r="L351" s="69" t="str">
        <f aca="false">IF($C351="","",SUMIFS(月1回_前回の在庫を貼る!$N$6:$N$10005,月1回_前回の在庫を貼る!$B$6:$B$10005,'設定（最初に1回）'!$C$4,月1回_前回の在庫を貼る!$I$6:$I$10005,$C351))</f>
        <v/>
      </c>
      <c r="M351" s="69" t="str">
        <f aca="false">IF($C351="","",IF(OR('設定（最初に1回）'!$C$6="",'設定（最初に1回）'!$C$7=""),0,SUMIFS(発注管理!$S$6:$S$1005,発注管理!$C$6:$C$1005,'設定（最初に1回）'!$C$4,発注管理!$F$6:$F$1005,$C351,発注管理!$R$6:$R$1005,"&gt;="&amp;'設定（最初に1回）'!$C$7,発注管理!$R$6:$R$1005,"&lt;="&amp;'設定（最初に1回）'!$C$6)))</f>
        <v/>
      </c>
      <c r="N351" s="69" t="str">
        <f aca="false">IF(OR($C351="",'設定（最初に1回）'!$C$15=0),"",$L351+$M351-$K351)</f>
        <v/>
      </c>
      <c r="O351" s="143" t="str">
        <f aca="false">IF(OR($N351="",'設定（最初に1回）'!$C$8="",'設定（最初に1回）'!$C$8&lt;=0),"",MAX(0,$N351)/'設定（最初に1回）'!$C$8)</f>
        <v/>
      </c>
      <c r="P351" s="143" t="str">
        <f aca="false">IF($C351="","",IFERROR(INDEX(商品マスタ!$M$6:$N$1005,MATCH($C351,商品マスタ!$B$6:$B$1005,0),MATCH("PI値 "&amp;'設定（最初に1回）'!$C$11,商品マスタ!$M$5:$N$5,0)),""))</f>
        <v/>
      </c>
      <c r="Q351" s="143" t="str">
        <f aca="false">IF(OR($C351="",$P351="",$P351=0,(N($I351)+N($AG351))&lt;=0),"",IFERROR(SUMIFS(随時_動員を入れる!$G$8:$G$97,随時_動員を入れる!$B$8:$B$97,"&gt;="&amp;'設定（最初に1回）'!$C$6,随時_動員を入れる!$B$8:$B$97,"&lt;="&amp;'設定（最初に1回）'!$C$6+(N($I351)+N($AG351))-1)/(N($I351)+N($AG351)),0)*$P351/100)</f>
        <v/>
      </c>
      <c r="R351" s="69" t="str">
        <f aca="false">IF($C351="","",SUMIFS(①今日の在庫を貼る!$O$6:$O$10005,①今日の在庫を貼る!$B$6:$B$10005,'設定（最初に1回）'!$C$4,①今日の在庫を貼る!$I$6:$I$10005,$C351))</f>
        <v/>
      </c>
      <c r="S351" s="143" t="str">
        <f aca="false">IF($C351="","",IF('設定（最初に1回）'!$C$9="実績消費",N($O351),IF('設定（最初に1回）'!$C$9="PI値予測",N($Q351),MAX(N($O351),N($Q351)))))</f>
        <v/>
      </c>
      <c r="T351" s="67" t="str">
        <f aca="false">IF(OR($S351="",$S351&lt;=0),"",$K351/$S351)</f>
        <v/>
      </c>
      <c r="U351" s="69" t="str">
        <f aca="false">IF($S351="","",ROUNDUP(N($S351)*'設定（最初に1回）'!$C$12,0))</f>
        <v/>
      </c>
      <c r="V351" s="69" t="str">
        <f aca="false">IF($C351="","",ROUNDUP(N($S351)*(N($I351)+N($AG351))+N($U351),0))</f>
        <v/>
      </c>
      <c r="W351" s="69" t="str">
        <f aca="false">IF($C351="","",SUMIFS(発注管理!$L$6:$L$1005,発注管理!$C$6:$C$1005,'設定（最初に1回）'!$C$4,発注管理!$F$6:$F$1005,$C351,発注管理!$Q$6:$Q$1005,"発注済"))</f>
        <v/>
      </c>
      <c r="X351" s="69" t="str">
        <f aca="false">IF($C351="","",MAX(0,N($V351)-N($K351)-N($W351)))</f>
        <v/>
      </c>
      <c r="Y351" s="147" t="str">
        <f aca="false">IF($C351="","",IF(N($X351)&lt;=0,0,CEILING($X351/MAX(1,N($G351)),MAX(1,N($J351)))))</f>
        <v/>
      </c>
      <c r="Z351" s="138" t="str">
        <f aca="false">IF($C351="","",IF(N($Y351)&gt;0,"要発注","正常"))</f>
        <v/>
      </c>
      <c r="AA351" s="71" t="str">
        <f aca="false">IF($C351="","",N($K351)*N($H351))</f>
        <v/>
      </c>
      <c r="AB351" s="66" t="str">
        <f aca="false">IF($C351="","",_xlfn.TEXTJOIN(" / ",TRUE(),IF(COUNTIF(商品マスタ!$B$6:$B$1005,$C351)=0,"マスタ未登録",""),IF(COUNTIFS(月1回_前回の在庫を貼る!$B$6:$B$10005,'設定（最初に1回）'!$C$4,月1回_前回の在庫を貼る!$I$6:$I$10005,$C351)=0,"新商品",""),IF(COUNTIFS(①今日の在庫を貼る!$B$6:$B$10005,'設定（最初に1回）'!$C$4,①今日の在庫を貼る!$I$6:$I$10005,$C351)=0,"終売候補",""),IF(N($K351)&lt;0,"在庫マイナス",""),IF(AND('設定（最初に1回）'!$C$9="PI値予測",$P351=""),"PI値未設定","")))</f>
        <v/>
      </c>
      <c r="AC351" s="71" t="n">
        <f aca="false">N($Y351)*N($H351)</f>
        <v>0</v>
      </c>
      <c r="AD351" s="66" t="str">
        <f aca="false">IF($C351="","",IFERROR(INDEX(商品マスタ!$K$6:$K$1005,MATCH($C351,商品マスタ!$B$6:$B$1005,0)),"常温"))</f>
        <v/>
      </c>
      <c r="AE351" s="69" t="str">
        <f aca="false">IF($C351="","",MAX(0,ROUNDUP(N($K351)/MAX(1,N($G351)),0)))</f>
        <v/>
      </c>
      <c r="AF351" s="66" t="str">
        <f aca="false">IF($C351="","",IFERROR(INDEX(商品マスタ!$L$6:$L$1005,MATCH($C351,商品マスタ!$B$6:$B$1005,0)),""))</f>
        <v/>
      </c>
      <c r="AG351" s="143" t="str">
        <f aca="false">IF($C351="","",IFERROR(INDEX(定数マスタ!$S$110:$S$119,MATCH($AF351,定数マスタ!$J$110:$J$119,0)),N('設定（最初に1回）'!$C$13)))</f>
        <v/>
      </c>
      <c r="AH351" s="66" t="n">
        <f aca="false">IF(AND(N($K351)&gt;0,N($Y351)&gt;0),N($Y351),0)</f>
        <v>0</v>
      </c>
    </row>
    <row r="352" customFormat="false" ht="15" hidden="false" customHeight="false" outlineLevel="0" collapsed="false">
      <c r="B352" s="66" t="n">
        <v>347</v>
      </c>
      <c r="C352" s="66" t="str">
        <f aca="false">IFERROR(IF($B352&lt;=MAX(①今日の在庫を貼る!$U$6:$U$10005),INDEX(①今日の在庫を貼る!$I$6:$I$10005,MATCH($B352,①今日の在庫を貼る!$U$6:$U$10005,0)),INDEX(月1回_前回の在庫を貼る!$I$6:$I$10005,MATCH($B352-MAX(①今日の在庫を貼る!$U$6:$U$10005),月1回_前回の在庫を貼る!$U$6:$U$10005,0))),"")</f>
        <v/>
      </c>
      <c r="D352" s="66" t="str">
        <f aca="false">IF($C352="","",IFERROR(INDEX(商品マスタ!$C$6:$C$1005,MATCH($C352,商品マスタ!$B$6:$B$1005,0)),IFERROR(INDEX(①今日の在庫を貼る!$J$6:$J$10005,MATCH($C352,①今日の在庫を貼る!$I$6:$I$10005,0)),IFERROR(INDEX(月1回_前回の在庫を貼る!$J$6:$J$10005,MATCH($C352,月1回_前回の在庫を貼る!$I$6:$I$10005,0)),""))))</f>
        <v/>
      </c>
      <c r="E352" s="66" t="str">
        <f aca="false">IF($C352="","",IFERROR(INDEX(商品マスタ!$D$6:$D$1005,MATCH($C352,商品マスタ!$B$6:$B$1005,0)),IFERROR(INDEX(①今日の在庫を貼る!$H$6:$H$10005,MATCH($C352,①今日の在庫を貼る!$I$6:$I$10005,0)),IFERROR(INDEX(月1回_前回の在庫を貼る!$H$6:$H$10005,MATCH($C352,月1回_前回の在庫を貼る!$I$6:$I$10005,0)),""))))</f>
        <v/>
      </c>
      <c r="F352" s="66" t="str">
        <f aca="false">IF($C352="","",IFERROR(INDEX(商品マスタ!$E$6:$E$1005,MATCH($C352,商品マスタ!$B$6:$B$1005,0)),IFERROR(INDEX(①今日の在庫を貼る!$E$6:$E$10005,MATCH($C352,①今日の在庫を貼る!$I$6:$I$10005,0)),IFERROR(INDEX(月1回_前回の在庫を貼る!$E$6:$E$10005,MATCH($C352,月1回_前回の在庫を貼る!$I$6:$I$10005,0)),""))))</f>
        <v/>
      </c>
      <c r="G352" s="69" t="str">
        <f aca="false">IF($C352="","",IFERROR(INDEX(商品マスタ!$F$6:$F$1005,MATCH($C352,商品マスタ!$B$6:$B$1005,0)),IFERROR(INDEX(①今日の在庫を貼る!$K$6:$K$10005,MATCH($C352,①今日の在庫を貼る!$I$6:$I$10005,0)),IFERROR(INDEX(月1回_前回の在庫を貼る!$K$6:$K$10005,MATCH($C352,月1回_前回の在庫を貼る!$I$6:$I$10005,0)),""))))</f>
        <v/>
      </c>
      <c r="H352" s="71" t="str">
        <f aca="false">IF($C352="","",IFERROR(INDEX(商品マスタ!$G$6:$G$1005,MATCH($C352,商品マスタ!$B$6:$B$1005,0)),IFERROR(INDEX(①今日の在庫を貼る!$Q$6:$Q$10005,MATCH($C352,①今日の在庫を貼る!$I$6:$I$10005,0)),IFERROR(INDEX(月1回_前回の在庫を貼る!$Q$6:$Q$10005,MATCH($C352,月1回_前回の在庫を貼る!$I$6:$I$10005,0)),""))))</f>
        <v/>
      </c>
      <c r="I352" s="66" t="str">
        <f aca="false">IF($C352="","",IFERROR(INDEX(商品マスタ!$H$6:$H$1005,MATCH($C352,商品マスタ!$B$6:$B$1005,0)),3))</f>
        <v/>
      </c>
      <c r="J352" s="66" t="str">
        <f aca="false">IF($C352="","",MAX(1,IFERROR(INDEX(商品マスタ!$I$6:$I$1005,MATCH($C352,商品マスタ!$B$6:$B$1005,0)),1)))</f>
        <v/>
      </c>
      <c r="K352" s="69" t="str">
        <f aca="false">IF($C352="","",SUMIFS(①今日の在庫を貼る!$N$6:$N$10005,①今日の在庫を貼る!$B$6:$B$10005,'設定（最初に1回）'!$C$4,①今日の在庫を貼る!$I$6:$I$10005,$C352))</f>
        <v/>
      </c>
      <c r="L352" s="69" t="str">
        <f aca="false">IF($C352="","",SUMIFS(月1回_前回の在庫を貼る!$N$6:$N$10005,月1回_前回の在庫を貼る!$B$6:$B$10005,'設定（最初に1回）'!$C$4,月1回_前回の在庫を貼る!$I$6:$I$10005,$C352))</f>
        <v/>
      </c>
      <c r="M352" s="69" t="str">
        <f aca="false">IF($C352="","",IF(OR('設定（最初に1回）'!$C$6="",'設定（最初に1回）'!$C$7=""),0,SUMIFS(発注管理!$S$6:$S$1005,発注管理!$C$6:$C$1005,'設定（最初に1回）'!$C$4,発注管理!$F$6:$F$1005,$C352,発注管理!$R$6:$R$1005,"&gt;="&amp;'設定（最初に1回）'!$C$7,発注管理!$R$6:$R$1005,"&lt;="&amp;'設定（最初に1回）'!$C$6)))</f>
        <v/>
      </c>
      <c r="N352" s="69" t="str">
        <f aca="false">IF(OR($C352="",'設定（最初に1回）'!$C$15=0),"",$L352+$M352-$K352)</f>
        <v/>
      </c>
      <c r="O352" s="143" t="str">
        <f aca="false">IF(OR($N352="",'設定（最初に1回）'!$C$8="",'設定（最初に1回）'!$C$8&lt;=0),"",MAX(0,$N352)/'設定（最初に1回）'!$C$8)</f>
        <v/>
      </c>
      <c r="P352" s="143" t="str">
        <f aca="false">IF($C352="","",IFERROR(INDEX(商品マスタ!$M$6:$N$1005,MATCH($C352,商品マスタ!$B$6:$B$1005,0),MATCH("PI値 "&amp;'設定（最初に1回）'!$C$11,商品マスタ!$M$5:$N$5,0)),""))</f>
        <v/>
      </c>
      <c r="Q352" s="143" t="str">
        <f aca="false">IF(OR($C352="",$P352="",$P352=0,(N($I352)+N($AG352))&lt;=0),"",IFERROR(SUMIFS(随時_動員を入れる!$G$8:$G$97,随時_動員を入れる!$B$8:$B$97,"&gt;="&amp;'設定（最初に1回）'!$C$6,随時_動員を入れる!$B$8:$B$97,"&lt;="&amp;'設定（最初に1回）'!$C$6+(N($I352)+N($AG352))-1)/(N($I352)+N($AG352)),0)*$P352/100)</f>
        <v/>
      </c>
      <c r="R352" s="69" t="str">
        <f aca="false">IF($C352="","",SUMIFS(①今日の在庫を貼る!$O$6:$O$10005,①今日の在庫を貼る!$B$6:$B$10005,'設定（最初に1回）'!$C$4,①今日の在庫を貼る!$I$6:$I$10005,$C352))</f>
        <v/>
      </c>
      <c r="S352" s="143" t="str">
        <f aca="false">IF($C352="","",IF('設定（最初に1回）'!$C$9="実績消費",N($O352),IF('設定（最初に1回）'!$C$9="PI値予測",N($Q352),MAX(N($O352),N($Q352)))))</f>
        <v/>
      </c>
      <c r="T352" s="67" t="str">
        <f aca="false">IF(OR($S352="",$S352&lt;=0),"",$K352/$S352)</f>
        <v/>
      </c>
      <c r="U352" s="69" t="str">
        <f aca="false">IF($S352="","",ROUNDUP(N($S352)*'設定（最初に1回）'!$C$12,0))</f>
        <v/>
      </c>
      <c r="V352" s="69" t="str">
        <f aca="false">IF($C352="","",ROUNDUP(N($S352)*(N($I352)+N($AG352))+N($U352),0))</f>
        <v/>
      </c>
      <c r="W352" s="69" t="str">
        <f aca="false">IF($C352="","",SUMIFS(発注管理!$L$6:$L$1005,発注管理!$C$6:$C$1005,'設定（最初に1回）'!$C$4,発注管理!$F$6:$F$1005,$C352,発注管理!$Q$6:$Q$1005,"発注済"))</f>
        <v/>
      </c>
      <c r="X352" s="69" t="str">
        <f aca="false">IF($C352="","",MAX(0,N($V352)-N($K352)-N($W352)))</f>
        <v/>
      </c>
      <c r="Y352" s="147" t="str">
        <f aca="false">IF($C352="","",IF(N($X352)&lt;=0,0,CEILING($X352/MAX(1,N($G352)),MAX(1,N($J352)))))</f>
        <v/>
      </c>
      <c r="Z352" s="138" t="str">
        <f aca="false">IF($C352="","",IF(N($Y352)&gt;0,"要発注","正常"))</f>
        <v/>
      </c>
      <c r="AA352" s="71" t="str">
        <f aca="false">IF($C352="","",N($K352)*N($H352))</f>
        <v/>
      </c>
      <c r="AB352" s="66" t="str">
        <f aca="false">IF($C352="","",_xlfn.TEXTJOIN(" / ",TRUE(),IF(COUNTIF(商品マスタ!$B$6:$B$1005,$C352)=0,"マスタ未登録",""),IF(COUNTIFS(月1回_前回の在庫を貼る!$B$6:$B$10005,'設定（最初に1回）'!$C$4,月1回_前回の在庫を貼る!$I$6:$I$10005,$C352)=0,"新商品",""),IF(COUNTIFS(①今日の在庫を貼る!$B$6:$B$10005,'設定（最初に1回）'!$C$4,①今日の在庫を貼る!$I$6:$I$10005,$C352)=0,"終売候補",""),IF(N($K352)&lt;0,"在庫マイナス",""),IF(AND('設定（最初に1回）'!$C$9="PI値予測",$P352=""),"PI値未設定","")))</f>
        <v/>
      </c>
      <c r="AC352" s="71" t="n">
        <f aca="false">N($Y352)*N($H352)</f>
        <v>0</v>
      </c>
      <c r="AD352" s="66" t="str">
        <f aca="false">IF($C352="","",IFERROR(INDEX(商品マスタ!$K$6:$K$1005,MATCH($C352,商品マスタ!$B$6:$B$1005,0)),"常温"))</f>
        <v/>
      </c>
      <c r="AE352" s="69" t="str">
        <f aca="false">IF($C352="","",MAX(0,ROUNDUP(N($K352)/MAX(1,N($G352)),0)))</f>
        <v/>
      </c>
      <c r="AF352" s="66" t="str">
        <f aca="false">IF($C352="","",IFERROR(INDEX(商品マスタ!$L$6:$L$1005,MATCH($C352,商品マスタ!$B$6:$B$1005,0)),""))</f>
        <v/>
      </c>
      <c r="AG352" s="143" t="str">
        <f aca="false">IF($C352="","",IFERROR(INDEX(定数マスタ!$S$110:$S$119,MATCH($AF352,定数マスタ!$J$110:$J$119,0)),N('設定（最初に1回）'!$C$13)))</f>
        <v/>
      </c>
      <c r="AH352" s="66" t="n">
        <f aca="false">IF(AND(N($K352)&gt;0,N($Y352)&gt;0),N($Y352),0)</f>
        <v>0</v>
      </c>
    </row>
    <row r="353" customFormat="false" ht="15" hidden="false" customHeight="false" outlineLevel="0" collapsed="false">
      <c r="B353" s="66" t="n">
        <v>348</v>
      </c>
      <c r="C353" s="66" t="str">
        <f aca="false">IFERROR(IF($B353&lt;=MAX(①今日の在庫を貼る!$U$6:$U$10005),INDEX(①今日の在庫を貼る!$I$6:$I$10005,MATCH($B353,①今日の在庫を貼る!$U$6:$U$10005,0)),INDEX(月1回_前回の在庫を貼る!$I$6:$I$10005,MATCH($B353-MAX(①今日の在庫を貼る!$U$6:$U$10005),月1回_前回の在庫を貼る!$U$6:$U$10005,0))),"")</f>
        <v/>
      </c>
      <c r="D353" s="66" t="str">
        <f aca="false">IF($C353="","",IFERROR(INDEX(商品マスタ!$C$6:$C$1005,MATCH($C353,商品マスタ!$B$6:$B$1005,0)),IFERROR(INDEX(①今日の在庫を貼る!$J$6:$J$10005,MATCH($C353,①今日の在庫を貼る!$I$6:$I$10005,0)),IFERROR(INDEX(月1回_前回の在庫を貼る!$J$6:$J$10005,MATCH($C353,月1回_前回の在庫を貼る!$I$6:$I$10005,0)),""))))</f>
        <v/>
      </c>
      <c r="E353" s="66" t="str">
        <f aca="false">IF($C353="","",IFERROR(INDEX(商品マスタ!$D$6:$D$1005,MATCH($C353,商品マスタ!$B$6:$B$1005,0)),IFERROR(INDEX(①今日の在庫を貼る!$H$6:$H$10005,MATCH($C353,①今日の在庫を貼る!$I$6:$I$10005,0)),IFERROR(INDEX(月1回_前回の在庫を貼る!$H$6:$H$10005,MATCH($C353,月1回_前回の在庫を貼る!$I$6:$I$10005,0)),""))))</f>
        <v/>
      </c>
      <c r="F353" s="66" t="str">
        <f aca="false">IF($C353="","",IFERROR(INDEX(商品マスタ!$E$6:$E$1005,MATCH($C353,商品マスタ!$B$6:$B$1005,0)),IFERROR(INDEX(①今日の在庫を貼る!$E$6:$E$10005,MATCH($C353,①今日の在庫を貼る!$I$6:$I$10005,0)),IFERROR(INDEX(月1回_前回の在庫を貼る!$E$6:$E$10005,MATCH($C353,月1回_前回の在庫を貼る!$I$6:$I$10005,0)),""))))</f>
        <v/>
      </c>
      <c r="G353" s="69" t="str">
        <f aca="false">IF($C353="","",IFERROR(INDEX(商品マスタ!$F$6:$F$1005,MATCH($C353,商品マスタ!$B$6:$B$1005,0)),IFERROR(INDEX(①今日の在庫を貼る!$K$6:$K$10005,MATCH($C353,①今日の在庫を貼る!$I$6:$I$10005,0)),IFERROR(INDEX(月1回_前回の在庫を貼る!$K$6:$K$10005,MATCH($C353,月1回_前回の在庫を貼る!$I$6:$I$10005,0)),""))))</f>
        <v/>
      </c>
      <c r="H353" s="71" t="str">
        <f aca="false">IF($C353="","",IFERROR(INDEX(商品マスタ!$G$6:$G$1005,MATCH($C353,商品マスタ!$B$6:$B$1005,0)),IFERROR(INDEX(①今日の在庫を貼る!$Q$6:$Q$10005,MATCH($C353,①今日の在庫を貼る!$I$6:$I$10005,0)),IFERROR(INDEX(月1回_前回の在庫を貼る!$Q$6:$Q$10005,MATCH($C353,月1回_前回の在庫を貼る!$I$6:$I$10005,0)),""))))</f>
        <v/>
      </c>
      <c r="I353" s="66" t="str">
        <f aca="false">IF($C353="","",IFERROR(INDEX(商品マスタ!$H$6:$H$1005,MATCH($C353,商品マスタ!$B$6:$B$1005,0)),3))</f>
        <v/>
      </c>
      <c r="J353" s="66" t="str">
        <f aca="false">IF($C353="","",MAX(1,IFERROR(INDEX(商品マスタ!$I$6:$I$1005,MATCH($C353,商品マスタ!$B$6:$B$1005,0)),1)))</f>
        <v/>
      </c>
      <c r="K353" s="69" t="str">
        <f aca="false">IF($C353="","",SUMIFS(①今日の在庫を貼る!$N$6:$N$10005,①今日の在庫を貼る!$B$6:$B$10005,'設定（最初に1回）'!$C$4,①今日の在庫を貼る!$I$6:$I$10005,$C353))</f>
        <v/>
      </c>
      <c r="L353" s="69" t="str">
        <f aca="false">IF($C353="","",SUMIFS(月1回_前回の在庫を貼る!$N$6:$N$10005,月1回_前回の在庫を貼る!$B$6:$B$10005,'設定（最初に1回）'!$C$4,月1回_前回の在庫を貼る!$I$6:$I$10005,$C353))</f>
        <v/>
      </c>
      <c r="M353" s="69" t="str">
        <f aca="false">IF($C353="","",IF(OR('設定（最初に1回）'!$C$6="",'設定（最初に1回）'!$C$7=""),0,SUMIFS(発注管理!$S$6:$S$1005,発注管理!$C$6:$C$1005,'設定（最初に1回）'!$C$4,発注管理!$F$6:$F$1005,$C353,発注管理!$R$6:$R$1005,"&gt;="&amp;'設定（最初に1回）'!$C$7,発注管理!$R$6:$R$1005,"&lt;="&amp;'設定（最初に1回）'!$C$6)))</f>
        <v/>
      </c>
      <c r="N353" s="69" t="str">
        <f aca="false">IF(OR($C353="",'設定（最初に1回）'!$C$15=0),"",$L353+$M353-$K353)</f>
        <v/>
      </c>
      <c r="O353" s="143" t="str">
        <f aca="false">IF(OR($N353="",'設定（最初に1回）'!$C$8="",'設定（最初に1回）'!$C$8&lt;=0),"",MAX(0,$N353)/'設定（最初に1回）'!$C$8)</f>
        <v/>
      </c>
      <c r="P353" s="143" t="str">
        <f aca="false">IF($C353="","",IFERROR(INDEX(商品マスタ!$M$6:$N$1005,MATCH($C353,商品マスタ!$B$6:$B$1005,0),MATCH("PI値 "&amp;'設定（最初に1回）'!$C$11,商品マスタ!$M$5:$N$5,0)),""))</f>
        <v/>
      </c>
      <c r="Q353" s="143" t="str">
        <f aca="false">IF(OR($C353="",$P353="",$P353=0,(N($I353)+N($AG353))&lt;=0),"",IFERROR(SUMIFS(随時_動員を入れる!$G$8:$G$97,随時_動員を入れる!$B$8:$B$97,"&gt;="&amp;'設定（最初に1回）'!$C$6,随時_動員を入れる!$B$8:$B$97,"&lt;="&amp;'設定（最初に1回）'!$C$6+(N($I353)+N($AG353))-1)/(N($I353)+N($AG353)),0)*$P353/100)</f>
        <v/>
      </c>
      <c r="R353" s="69" t="str">
        <f aca="false">IF($C353="","",SUMIFS(①今日の在庫を貼る!$O$6:$O$10005,①今日の在庫を貼る!$B$6:$B$10005,'設定（最初に1回）'!$C$4,①今日の在庫を貼る!$I$6:$I$10005,$C353))</f>
        <v/>
      </c>
      <c r="S353" s="143" t="str">
        <f aca="false">IF($C353="","",IF('設定（最初に1回）'!$C$9="実績消費",N($O353),IF('設定（最初に1回）'!$C$9="PI値予測",N($Q353),MAX(N($O353),N($Q353)))))</f>
        <v/>
      </c>
      <c r="T353" s="67" t="str">
        <f aca="false">IF(OR($S353="",$S353&lt;=0),"",$K353/$S353)</f>
        <v/>
      </c>
      <c r="U353" s="69" t="str">
        <f aca="false">IF($S353="","",ROUNDUP(N($S353)*'設定（最初に1回）'!$C$12,0))</f>
        <v/>
      </c>
      <c r="V353" s="69" t="str">
        <f aca="false">IF($C353="","",ROUNDUP(N($S353)*(N($I353)+N($AG353))+N($U353),0))</f>
        <v/>
      </c>
      <c r="W353" s="69" t="str">
        <f aca="false">IF($C353="","",SUMIFS(発注管理!$L$6:$L$1005,発注管理!$C$6:$C$1005,'設定（最初に1回）'!$C$4,発注管理!$F$6:$F$1005,$C353,発注管理!$Q$6:$Q$1005,"発注済"))</f>
        <v/>
      </c>
      <c r="X353" s="69" t="str">
        <f aca="false">IF($C353="","",MAX(0,N($V353)-N($K353)-N($W353)))</f>
        <v/>
      </c>
      <c r="Y353" s="147" t="str">
        <f aca="false">IF($C353="","",IF(N($X353)&lt;=0,0,CEILING($X353/MAX(1,N($G353)),MAX(1,N($J353)))))</f>
        <v/>
      </c>
      <c r="Z353" s="138" t="str">
        <f aca="false">IF($C353="","",IF(N($Y353)&gt;0,"要発注","正常"))</f>
        <v/>
      </c>
      <c r="AA353" s="71" t="str">
        <f aca="false">IF($C353="","",N($K353)*N($H353))</f>
        <v/>
      </c>
      <c r="AB353" s="66" t="str">
        <f aca="false">IF($C353="","",_xlfn.TEXTJOIN(" / ",TRUE(),IF(COUNTIF(商品マスタ!$B$6:$B$1005,$C353)=0,"マスタ未登録",""),IF(COUNTIFS(月1回_前回の在庫を貼る!$B$6:$B$10005,'設定（最初に1回）'!$C$4,月1回_前回の在庫を貼る!$I$6:$I$10005,$C353)=0,"新商品",""),IF(COUNTIFS(①今日の在庫を貼る!$B$6:$B$10005,'設定（最初に1回）'!$C$4,①今日の在庫を貼る!$I$6:$I$10005,$C353)=0,"終売候補",""),IF(N($K353)&lt;0,"在庫マイナス",""),IF(AND('設定（最初に1回）'!$C$9="PI値予測",$P353=""),"PI値未設定","")))</f>
        <v/>
      </c>
      <c r="AC353" s="71" t="n">
        <f aca="false">N($Y353)*N($H353)</f>
        <v>0</v>
      </c>
      <c r="AD353" s="66" t="str">
        <f aca="false">IF($C353="","",IFERROR(INDEX(商品マスタ!$K$6:$K$1005,MATCH($C353,商品マスタ!$B$6:$B$1005,0)),"常温"))</f>
        <v/>
      </c>
      <c r="AE353" s="69" t="str">
        <f aca="false">IF($C353="","",MAX(0,ROUNDUP(N($K353)/MAX(1,N($G353)),0)))</f>
        <v/>
      </c>
      <c r="AF353" s="66" t="str">
        <f aca="false">IF($C353="","",IFERROR(INDEX(商品マスタ!$L$6:$L$1005,MATCH($C353,商品マスタ!$B$6:$B$1005,0)),""))</f>
        <v/>
      </c>
      <c r="AG353" s="143" t="str">
        <f aca="false">IF($C353="","",IFERROR(INDEX(定数マスタ!$S$110:$S$119,MATCH($AF353,定数マスタ!$J$110:$J$119,0)),N('設定（最初に1回）'!$C$13)))</f>
        <v/>
      </c>
      <c r="AH353" s="66" t="n">
        <f aca="false">IF(AND(N($K353)&gt;0,N($Y353)&gt;0),N($Y353),0)</f>
        <v>0</v>
      </c>
    </row>
    <row r="354" customFormat="false" ht="15" hidden="false" customHeight="false" outlineLevel="0" collapsed="false">
      <c r="B354" s="66" t="n">
        <v>349</v>
      </c>
      <c r="C354" s="66" t="str">
        <f aca="false">IFERROR(IF($B354&lt;=MAX(①今日の在庫を貼る!$U$6:$U$10005),INDEX(①今日の在庫を貼る!$I$6:$I$10005,MATCH($B354,①今日の在庫を貼る!$U$6:$U$10005,0)),INDEX(月1回_前回の在庫を貼る!$I$6:$I$10005,MATCH($B354-MAX(①今日の在庫を貼る!$U$6:$U$10005),月1回_前回の在庫を貼る!$U$6:$U$10005,0))),"")</f>
        <v/>
      </c>
      <c r="D354" s="66" t="str">
        <f aca="false">IF($C354="","",IFERROR(INDEX(商品マスタ!$C$6:$C$1005,MATCH($C354,商品マスタ!$B$6:$B$1005,0)),IFERROR(INDEX(①今日の在庫を貼る!$J$6:$J$10005,MATCH($C354,①今日の在庫を貼る!$I$6:$I$10005,0)),IFERROR(INDEX(月1回_前回の在庫を貼る!$J$6:$J$10005,MATCH($C354,月1回_前回の在庫を貼る!$I$6:$I$10005,0)),""))))</f>
        <v/>
      </c>
      <c r="E354" s="66" t="str">
        <f aca="false">IF($C354="","",IFERROR(INDEX(商品マスタ!$D$6:$D$1005,MATCH($C354,商品マスタ!$B$6:$B$1005,0)),IFERROR(INDEX(①今日の在庫を貼る!$H$6:$H$10005,MATCH($C354,①今日の在庫を貼る!$I$6:$I$10005,0)),IFERROR(INDEX(月1回_前回の在庫を貼る!$H$6:$H$10005,MATCH($C354,月1回_前回の在庫を貼る!$I$6:$I$10005,0)),""))))</f>
        <v/>
      </c>
      <c r="F354" s="66" t="str">
        <f aca="false">IF($C354="","",IFERROR(INDEX(商品マスタ!$E$6:$E$1005,MATCH($C354,商品マスタ!$B$6:$B$1005,0)),IFERROR(INDEX(①今日の在庫を貼る!$E$6:$E$10005,MATCH($C354,①今日の在庫を貼る!$I$6:$I$10005,0)),IFERROR(INDEX(月1回_前回の在庫を貼る!$E$6:$E$10005,MATCH($C354,月1回_前回の在庫を貼る!$I$6:$I$10005,0)),""))))</f>
        <v/>
      </c>
      <c r="G354" s="69" t="str">
        <f aca="false">IF($C354="","",IFERROR(INDEX(商品マスタ!$F$6:$F$1005,MATCH($C354,商品マスタ!$B$6:$B$1005,0)),IFERROR(INDEX(①今日の在庫を貼る!$K$6:$K$10005,MATCH($C354,①今日の在庫を貼る!$I$6:$I$10005,0)),IFERROR(INDEX(月1回_前回の在庫を貼る!$K$6:$K$10005,MATCH($C354,月1回_前回の在庫を貼る!$I$6:$I$10005,0)),""))))</f>
        <v/>
      </c>
      <c r="H354" s="71" t="str">
        <f aca="false">IF($C354="","",IFERROR(INDEX(商品マスタ!$G$6:$G$1005,MATCH($C354,商品マスタ!$B$6:$B$1005,0)),IFERROR(INDEX(①今日の在庫を貼る!$Q$6:$Q$10005,MATCH($C354,①今日の在庫を貼る!$I$6:$I$10005,0)),IFERROR(INDEX(月1回_前回の在庫を貼る!$Q$6:$Q$10005,MATCH($C354,月1回_前回の在庫を貼る!$I$6:$I$10005,0)),""))))</f>
        <v/>
      </c>
      <c r="I354" s="66" t="str">
        <f aca="false">IF($C354="","",IFERROR(INDEX(商品マスタ!$H$6:$H$1005,MATCH($C354,商品マスタ!$B$6:$B$1005,0)),3))</f>
        <v/>
      </c>
      <c r="J354" s="66" t="str">
        <f aca="false">IF($C354="","",MAX(1,IFERROR(INDEX(商品マスタ!$I$6:$I$1005,MATCH($C354,商品マスタ!$B$6:$B$1005,0)),1)))</f>
        <v/>
      </c>
      <c r="K354" s="69" t="str">
        <f aca="false">IF($C354="","",SUMIFS(①今日の在庫を貼る!$N$6:$N$10005,①今日の在庫を貼る!$B$6:$B$10005,'設定（最初に1回）'!$C$4,①今日の在庫を貼る!$I$6:$I$10005,$C354))</f>
        <v/>
      </c>
      <c r="L354" s="69" t="str">
        <f aca="false">IF($C354="","",SUMIFS(月1回_前回の在庫を貼る!$N$6:$N$10005,月1回_前回の在庫を貼る!$B$6:$B$10005,'設定（最初に1回）'!$C$4,月1回_前回の在庫を貼る!$I$6:$I$10005,$C354))</f>
        <v/>
      </c>
      <c r="M354" s="69" t="str">
        <f aca="false">IF($C354="","",IF(OR('設定（最初に1回）'!$C$6="",'設定（最初に1回）'!$C$7=""),0,SUMIFS(発注管理!$S$6:$S$1005,発注管理!$C$6:$C$1005,'設定（最初に1回）'!$C$4,発注管理!$F$6:$F$1005,$C354,発注管理!$R$6:$R$1005,"&gt;="&amp;'設定（最初に1回）'!$C$7,発注管理!$R$6:$R$1005,"&lt;="&amp;'設定（最初に1回）'!$C$6)))</f>
        <v/>
      </c>
      <c r="N354" s="69" t="str">
        <f aca="false">IF(OR($C354="",'設定（最初に1回）'!$C$15=0),"",$L354+$M354-$K354)</f>
        <v/>
      </c>
      <c r="O354" s="143" t="str">
        <f aca="false">IF(OR($N354="",'設定（最初に1回）'!$C$8="",'設定（最初に1回）'!$C$8&lt;=0),"",MAX(0,$N354)/'設定（最初に1回）'!$C$8)</f>
        <v/>
      </c>
      <c r="P354" s="143" t="str">
        <f aca="false">IF($C354="","",IFERROR(INDEX(商品マスタ!$M$6:$N$1005,MATCH($C354,商品マスタ!$B$6:$B$1005,0),MATCH("PI値 "&amp;'設定（最初に1回）'!$C$11,商品マスタ!$M$5:$N$5,0)),""))</f>
        <v/>
      </c>
      <c r="Q354" s="143" t="str">
        <f aca="false">IF(OR($C354="",$P354="",$P354=0,(N($I354)+N($AG354))&lt;=0),"",IFERROR(SUMIFS(随時_動員を入れる!$G$8:$G$97,随時_動員を入れる!$B$8:$B$97,"&gt;="&amp;'設定（最初に1回）'!$C$6,随時_動員を入れる!$B$8:$B$97,"&lt;="&amp;'設定（最初に1回）'!$C$6+(N($I354)+N($AG354))-1)/(N($I354)+N($AG354)),0)*$P354/100)</f>
        <v/>
      </c>
      <c r="R354" s="69" t="str">
        <f aca="false">IF($C354="","",SUMIFS(①今日の在庫を貼る!$O$6:$O$10005,①今日の在庫を貼る!$B$6:$B$10005,'設定（最初に1回）'!$C$4,①今日の在庫を貼る!$I$6:$I$10005,$C354))</f>
        <v/>
      </c>
      <c r="S354" s="143" t="str">
        <f aca="false">IF($C354="","",IF('設定（最初に1回）'!$C$9="実績消費",N($O354),IF('設定（最初に1回）'!$C$9="PI値予測",N($Q354),MAX(N($O354),N($Q354)))))</f>
        <v/>
      </c>
      <c r="T354" s="67" t="str">
        <f aca="false">IF(OR($S354="",$S354&lt;=0),"",$K354/$S354)</f>
        <v/>
      </c>
      <c r="U354" s="69" t="str">
        <f aca="false">IF($S354="","",ROUNDUP(N($S354)*'設定（最初に1回）'!$C$12,0))</f>
        <v/>
      </c>
      <c r="V354" s="69" t="str">
        <f aca="false">IF($C354="","",ROUNDUP(N($S354)*(N($I354)+N($AG354))+N($U354),0))</f>
        <v/>
      </c>
      <c r="W354" s="69" t="str">
        <f aca="false">IF($C354="","",SUMIFS(発注管理!$L$6:$L$1005,発注管理!$C$6:$C$1005,'設定（最初に1回）'!$C$4,発注管理!$F$6:$F$1005,$C354,発注管理!$Q$6:$Q$1005,"発注済"))</f>
        <v/>
      </c>
      <c r="X354" s="69" t="str">
        <f aca="false">IF($C354="","",MAX(0,N($V354)-N($K354)-N($W354)))</f>
        <v/>
      </c>
      <c r="Y354" s="147" t="str">
        <f aca="false">IF($C354="","",IF(N($X354)&lt;=0,0,CEILING($X354/MAX(1,N($G354)),MAX(1,N($J354)))))</f>
        <v/>
      </c>
      <c r="Z354" s="138" t="str">
        <f aca="false">IF($C354="","",IF(N($Y354)&gt;0,"要発注","正常"))</f>
        <v/>
      </c>
      <c r="AA354" s="71" t="str">
        <f aca="false">IF($C354="","",N($K354)*N($H354))</f>
        <v/>
      </c>
      <c r="AB354" s="66" t="str">
        <f aca="false">IF($C354="","",_xlfn.TEXTJOIN(" / ",TRUE(),IF(COUNTIF(商品マスタ!$B$6:$B$1005,$C354)=0,"マスタ未登録",""),IF(COUNTIFS(月1回_前回の在庫を貼る!$B$6:$B$10005,'設定（最初に1回）'!$C$4,月1回_前回の在庫を貼る!$I$6:$I$10005,$C354)=0,"新商品",""),IF(COUNTIFS(①今日の在庫を貼る!$B$6:$B$10005,'設定（最初に1回）'!$C$4,①今日の在庫を貼る!$I$6:$I$10005,$C354)=0,"終売候補",""),IF(N($K354)&lt;0,"在庫マイナス",""),IF(AND('設定（最初に1回）'!$C$9="PI値予測",$P354=""),"PI値未設定","")))</f>
        <v/>
      </c>
      <c r="AC354" s="71" t="n">
        <f aca="false">N($Y354)*N($H354)</f>
        <v>0</v>
      </c>
      <c r="AD354" s="66" t="str">
        <f aca="false">IF($C354="","",IFERROR(INDEX(商品マスタ!$K$6:$K$1005,MATCH($C354,商品マスタ!$B$6:$B$1005,0)),"常温"))</f>
        <v/>
      </c>
      <c r="AE354" s="69" t="str">
        <f aca="false">IF($C354="","",MAX(0,ROUNDUP(N($K354)/MAX(1,N($G354)),0)))</f>
        <v/>
      </c>
      <c r="AF354" s="66" t="str">
        <f aca="false">IF($C354="","",IFERROR(INDEX(商品マスタ!$L$6:$L$1005,MATCH($C354,商品マスタ!$B$6:$B$1005,0)),""))</f>
        <v/>
      </c>
      <c r="AG354" s="143" t="str">
        <f aca="false">IF($C354="","",IFERROR(INDEX(定数マスタ!$S$110:$S$119,MATCH($AF354,定数マスタ!$J$110:$J$119,0)),N('設定（最初に1回）'!$C$13)))</f>
        <v/>
      </c>
      <c r="AH354" s="66" t="n">
        <f aca="false">IF(AND(N($K354)&gt;0,N($Y354)&gt;0),N($Y354),0)</f>
        <v>0</v>
      </c>
    </row>
    <row r="355" customFormat="false" ht="15" hidden="false" customHeight="false" outlineLevel="0" collapsed="false">
      <c r="B355" s="66" t="n">
        <v>350</v>
      </c>
      <c r="C355" s="66" t="str">
        <f aca="false">IFERROR(IF($B355&lt;=MAX(①今日の在庫を貼る!$U$6:$U$10005),INDEX(①今日の在庫を貼る!$I$6:$I$10005,MATCH($B355,①今日の在庫を貼る!$U$6:$U$10005,0)),INDEX(月1回_前回の在庫を貼る!$I$6:$I$10005,MATCH($B355-MAX(①今日の在庫を貼る!$U$6:$U$10005),月1回_前回の在庫を貼る!$U$6:$U$10005,0))),"")</f>
        <v/>
      </c>
      <c r="D355" s="66" t="str">
        <f aca="false">IF($C355="","",IFERROR(INDEX(商品マスタ!$C$6:$C$1005,MATCH($C355,商品マスタ!$B$6:$B$1005,0)),IFERROR(INDEX(①今日の在庫を貼る!$J$6:$J$10005,MATCH($C355,①今日の在庫を貼る!$I$6:$I$10005,0)),IFERROR(INDEX(月1回_前回の在庫を貼る!$J$6:$J$10005,MATCH($C355,月1回_前回の在庫を貼る!$I$6:$I$10005,0)),""))))</f>
        <v/>
      </c>
      <c r="E355" s="66" t="str">
        <f aca="false">IF($C355="","",IFERROR(INDEX(商品マスタ!$D$6:$D$1005,MATCH($C355,商品マスタ!$B$6:$B$1005,0)),IFERROR(INDEX(①今日の在庫を貼る!$H$6:$H$10005,MATCH($C355,①今日の在庫を貼る!$I$6:$I$10005,0)),IFERROR(INDEX(月1回_前回の在庫を貼る!$H$6:$H$10005,MATCH($C355,月1回_前回の在庫を貼る!$I$6:$I$10005,0)),""))))</f>
        <v/>
      </c>
      <c r="F355" s="66" t="str">
        <f aca="false">IF($C355="","",IFERROR(INDEX(商品マスタ!$E$6:$E$1005,MATCH($C355,商品マスタ!$B$6:$B$1005,0)),IFERROR(INDEX(①今日の在庫を貼る!$E$6:$E$10005,MATCH($C355,①今日の在庫を貼る!$I$6:$I$10005,0)),IFERROR(INDEX(月1回_前回の在庫を貼る!$E$6:$E$10005,MATCH($C355,月1回_前回の在庫を貼る!$I$6:$I$10005,0)),""))))</f>
        <v/>
      </c>
      <c r="G355" s="69" t="str">
        <f aca="false">IF($C355="","",IFERROR(INDEX(商品マスタ!$F$6:$F$1005,MATCH($C355,商品マスタ!$B$6:$B$1005,0)),IFERROR(INDEX(①今日の在庫を貼る!$K$6:$K$10005,MATCH($C355,①今日の在庫を貼る!$I$6:$I$10005,0)),IFERROR(INDEX(月1回_前回の在庫を貼る!$K$6:$K$10005,MATCH($C355,月1回_前回の在庫を貼る!$I$6:$I$10005,0)),""))))</f>
        <v/>
      </c>
      <c r="H355" s="71" t="str">
        <f aca="false">IF($C355="","",IFERROR(INDEX(商品マスタ!$G$6:$G$1005,MATCH($C355,商品マスタ!$B$6:$B$1005,0)),IFERROR(INDEX(①今日の在庫を貼る!$Q$6:$Q$10005,MATCH($C355,①今日の在庫を貼る!$I$6:$I$10005,0)),IFERROR(INDEX(月1回_前回の在庫を貼る!$Q$6:$Q$10005,MATCH($C355,月1回_前回の在庫を貼る!$I$6:$I$10005,0)),""))))</f>
        <v/>
      </c>
      <c r="I355" s="66" t="str">
        <f aca="false">IF($C355="","",IFERROR(INDEX(商品マスタ!$H$6:$H$1005,MATCH($C355,商品マスタ!$B$6:$B$1005,0)),3))</f>
        <v/>
      </c>
      <c r="J355" s="66" t="str">
        <f aca="false">IF($C355="","",MAX(1,IFERROR(INDEX(商品マスタ!$I$6:$I$1005,MATCH($C355,商品マスタ!$B$6:$B$1005,0)),1)))</f>
        <v/>
      </c>
      <c r="K355" s="69" t="str">
        <f aca="false">IF($C355="","",SUMIFS(①今日の在庫を貼る!$N$6:$N$10005,①今日の在庫を貼る!$B$6:$B$10005,'設定（最初に1回）'!$C$4,①今日の在庫を貼る!$I$6:$I$10005,$C355))</f>
        <v/>
      </c>
      <c r="L355" s="69" t="str">
        <f aca="false">IF($C355="","",SUMIFS(月1回_前回の在庫を貼る!$N$6:$N$10005,月1回_前回の在庫を貼る!$B$6:$B$10005,'設定（最初に1回）'!$C$4,月1回_前回の在庫を貼る!$I$6:$I$10005,$C355))</f>
        <v/>
      </c>
      <c r="M355" s="69" t="str">
        <f aca="false">IF($C355="","",IF(OR('設定（最初に1回）'!$C$6="",'設定（最初に1回）'!$C$7=""),0,SUMIFS(発注管理!$S$6:$S$1005,発注管理!$C$6:$C$1005,'設定（最初に1回）'!$C$4,発注管理!$F$6:$F$1005,$C355,発注管理!$R$6:$R$1005,"&gt;="&amp;'設定（最初に1回）'!$C$7,発注管理!$R$6:$R$1005,"&lt;="&amp;'設定（最初に1回）'!$C$6)))</f>
        <v/>
      </c>
      <c r="N355" s="69" t="str">
        <f aca="false">IF(OR($C355="",'設定（最初に1回）'!$C$15=0),"",$L355+$M355-$K355)</f>
        <v/>
      </c>
      <c r="O355" s="143" t="str">
        <f aca="false">IF(OR($N355="",'設定（最初に1回）'!$C$8="",'設定（最初に1回）'!$C$8&lt;=0),"",MAX(0,$N355)/'設定（最初に1回）'!$C$8)</f>
        <v/>
      </c>
      <c r="P355" s="143" t="str">
        <f aca="false">IF($C355="","",IFERROR(INDEX(商品マスタ!$M$6:$N$1005,MATCH($C355,商品マスタ!$B$6:$B$1005,0),MATCH("PI値 "&amp;'設定（最初に1回）'!$C$11,商品マスタ!$M$5:$N$5,0)),""))</f>
        <v/>
      </c>
      <c r="Q355" s="143" t="str">
        <f aca="false">IF(OR($C355="",$P355="",$P355=0,(N($I355)+N($AG355))&lt;=0),"",IFERROR(SUMIFS(随時_動員を入れる!$G$8:$G$97,随時_動員を入れる!$B$8:$B$97,"&gt;="&amp;'設定（最初に1回）'!$C$6,随時_動員を入れる!$B$8:$B$97,"&lt;="&amp;'設定（最初に1回）'!$C$6+(N($I355)+N($AG355))-1)/(N($I355)+N($AG355)),0)*$P355/100)</f>
        <v/>
      </c>
      <c r="R355" s="69" t="str">
        <f aca="false">IF($C355="","",SUMIFS(①今日の在庫を貼る!$O$6:$O$10005,①今日の在庫を貼る!$B$6:$B$10005,'設定（最初に1回）'!$C$4,①今日の在庫を貼る!$I$6:$I$10005,$C355))</f>
        <v/>
      </c>
      <c r="S355" s="143" t="str">
        <f aca="false">IF($C355="","",IF('設定（最初に1回）'!$C$9="実績消費",N($O355),IF('設定（最初に1回）'!$C$9="PI値予測",N($Q355),MAX(N($O355),N($Q355)))))</f>
        <v/>
      </c>
      <c r="T355" s="67" t="str">
        <f aca="false">IF(OR($S355="",$S355&lt;=0),"",$K355/$S355)</f>
        <v/>
      </c>
      <c r="U355" s="69" t="str">
        <f aca="false">IF($S355="","",ROUNDUP(N($S355)*'設定（最初に1回）'!$C$12,0))</f>
        <v/>
      </c>
      <c r="V355" s="69" t="str">
        <f aca="false">IF($C355="","",ROUNDUP(N($S355)*(N($I355)+N($AG355))+N($U355),0))</f>
        <v/>
      </c>
      <c r="W355" s="69" t="str">
        <f aca="false">IF($C355="","",SUMIFS(発注管理!$L$6:$L$1005,発注管理!$C$6:$C$1005,'設定（最初に1回）'!$C$4,発注管理!$F$6:$F$1005,$C355,発注管理!$Q$6:$Q$1005,"発注済"))</f>
        <v/>
      </c>
      <c r="X355" s="69" t="str">
        <f aca="false">IF($C355="","",MAX(0,N($V355)-N($K355)-N($W355)))</f>
        <v/>
      </c>
      <c r="Y355" s="147" t="str">
        <f aca="false">IF($C355="","",IF(N($X355)&lt;=0,0,CEILING($X355/MAX(1,N($G355)),MAX(1,N($J355)))))</f>
        <v/>
      </c>
      <c r="Z355" s="138" t="str">
        <f aca="false">IF($C355="","",IF(N($Y355)&gt;0,"要発注","正常"))</f>
        <v/>
      </c>
      <c r="AA355" s="71" t="str">
        <f aca="false">IF($C355="","",N($K355)*N($H355))</f>
        <v/>
      </c>
      <c r="AB355" s="66" t="str">
        <f aca="false">IF($C355="","",_xlfn.TEXTJOIN(" / ",TRUE(),IF(COUNTIF(商品マスタ!$B$6:$B$1005,$C355)=0,"マスタ未登録",""),IF(COUNTIFS(月1回_前回の在庫を貼る!$B$6:$B$10005,'設定（最初に1回）'!$C$4,月1回_前回の在庫を貼る!$I$6:$I$10005,$C355)=0,"新商品",""),IF(COUNTIFS(①今日の在庫を貼る!$B$6:$B$10005,'設定（最初に1回）'!$C$4,①今日の在庫を貼る!$I$6:$I$10005,$C355)=0,"終売候補",""),IF(N($K355)&lt;0,"在庫マイナス",""),IF(AND('設定（最初に1回）'!$C$9="PI値予測",$P355=""),"PI値未設定","")))</f>
        <v/>
      </c>
      <c r="AC355" s="71" t="n">
        <f aca="false">N($Y355)*N($H355)</f>
        <v>0</v>
      </c>
      <c r="AD355" s="66" t="str">
        <f aca="false">IF($C355="","",IFERROR(INDEX(商品マスタ!$K$6:$K$1005,MATCH($C355,商品マスタ!$B$6:$B$1005,0)),"常温"))</f>
        <v/>
      </c>
      <c r="AE355" s="69" t="str">
        <f aca="false">IF($C355="","",MAX(0,ROUNDUP(N($K355)/MAX(1,N($G355)),0)))</f>
        <v/>
      </c>
      <c r="AF355" s="66" t="str">
        <f aca="false">IF($C355="","",IFERROR(INDEX(商品マスタ!$L$6:$L$1005,MATCH($C355,商品マスタ!$B$6:$B$1005,0)),""))</f>
        <v/>
      </c>
      <c r="AG355" s="143" t="str">
        <f aca="false">IF($C355="","",IFERROR(INDEX(定数マスタ!$S$110:$S$119,MATCH($AF355,定数マスタ!$J$110:$J$119,0)),N('設定（最初に1回）'!$C$13)))</f>
        <v/>
      </c>
      <c r="AH355" s="66" t="n">
        <f aca="false">IF(AND(N($K355)&gt;0,N($Y355)&gt;0),N($Y355),0)</f>
        <v>0</v>
      </c>
    </row>
    <row r="356" customFormat="false" ht="15" hidden="false" customHeight="false" outlineLevel="0" collapsed="false">
      <c r="B356" s="66" t="n">
        <v>351</v>
      </c>
      <c r="C356" s="66" t="str">
        <f aca="false">IFERROR(IF($B356&lt;=MAX(①今日の在庫を貼る!$U$6:$U$10005),INDEX(①今日の在庫を貼る!$I$6:$I$10005,MATCH($B356,①今日の在庫を貼る!$U$6:$U$10005,0)),INDEX(月1回_前回の在庫を貼る!$I$6:$I$10005,MATCH($B356-MAX(①今日の在庫を貼る!$U$6:$U$10005),月1回_前回の在庫を貼る!$U$6:$U$10005,0))),"")</f>
        <v/>
      </c>
      <c r="D356" s="66" t="str">
        <f aca="false">IF($C356="","",IFERROR(INDEX(商品マスタ!$C$6:$C$1005,MATCH($C356,商品マスタ!$B$6:$B$1005,0)),IFERROR(INDEX(①今日の在庫を貼る!$J$6:$J$10005,MATCH($C356,①今日の在庫を貼る!$I$6:$I$10005,0)),IFERROR(INDEX(月1回_前回の在庫を貼る!$J$6:$J$10005,MATCH($C356,月1回_前回の在庫を貼る!$I$6:$I$10005,0)),""))))</f>
        <v/>
      </c>
      <c r="E356" s="66" t="str">
        <f aca="false">IF($C356="","",IFERROR(INDEX(商品マスタ!$D$6:$D$1005,MATCH($C356,商品マスタ!$B$6:$B$1005,0)),IFERROR(INDEX(①今日の在庫を貼る!$H$6:$H$10005,MATCH($C356,①今日の在庫を貼る!$I$6:$I$10005,0)),IFERROR(INDEX(月1回_前回の在庫を貼る!$H$6:$H$10005,MATCH($C356,月1回_前回の在庫を貼る!$I$6:$I$10005,0)),""))))</f>
        <v/>
      </c>
      <c r="F356" s="66" t="str">
        <f aca="false">IF($C356="","",IFERROR(INDEX(商品マスタ!$E$6:$E$1005,MATCH($C356,商品マスタ!$B$6:$B$1005,0)),IFERROR(INDEX(①今日の在庫を貼る!$E$6:$E$10005,MATCH($C356,①今日の在庫を貼る!$I$6:$I$10005,0)),IFERROR(INDEX(月1回_前回の在庫を貼る!$E$6:$E$10005,MATCH($C356,月1回_前回の在庫を貼る!$I$6:$I$10005,0)),""))))</f>
        <v/>
      </c>
      <c r="G356" s="69" t="str">
        <f aca="false">IF($C356="","",IFERROR(INDEX(商品マスタ!$F$6:$F$1005,MATCH($C356,商品マスタ!$B$6:$B$1005,0)),IFERROR(INDEX(①今日の在庫を貼る!$K$6:$K$10005,MATCH($C356,①今日の在庫を貼る!$I$6:$I$10005,0)),IFERROR(INDEX(月1回_前回の在庫を貼る!$K$6:$K$10005,MATCH($C356,月1回_前回の在庫を貼る!$I$6:$I$10005,0)),""))))</f>
        <v/>
      </c>
      <c r="H356" s="71" t="str">
        <f aca="false">IF($C356="","",IFERROR(INDEX(商品マスタ!$G$6:$G$1005,MATCH($C356,商品マスタ!$B$6:$B$1005,0)),IFERROR(INDEX(①今日の在庫を貼る!$Q$6:$Q$10005,MATCH($C356,①今日の在庫を貼る!$I$6:$I$10005,0)),IFERROR(INDEX(月1回_前回の在庫を貼る!$Q$6:$Q$10005,MATCH($C356,月1回_前回の在庫を貼る!$I$6:$I$10005,0)),""))))</f>
        <v/>
      </c>
      <c r="I356" s="66" t="str">
        <f aca="false">IF($C356="","",IFERROR(INDEX(商品マスタ!$H$6:$H$1005,MATCH($C356,商品マスタ!$B$6:$B$1005,0)),3))</f>
        <v/>
      </c>
      <c r="J356" s="66" t="str">
        <f aca="false">IF($C356="","",MAX(1,IFERROR(INDEX(商品マスタ!$I$6:$I$1005,MATCH($C356,商品マスタ!$B$6:$B$1005,0)),1)))</f>
        <v/>
      </c>
      <c r="K356" s="69" t="str">
        <f aca="false">IF($C356="","",SUMIFS(①今日の在庫を貼る!$N$6:$N$10005,①今日の在庫を貼る!$B$6:$B$10005,'設定（最初に1回）'!$C$4,①今日の在庫を貼る!$I$6:$I$10005,$C356))</f>
        <v/>
      </c>
      <c r="L356" s="69" t="str">
        <f aca="false">IF($C356="","",SUMIFS(月1回_前回の在庫を貼る!$N$6:$N$10005,月1回_前回の在庫を貼る!$B$6:$B$10005,'設定（最初に1回）'!$C$4,月1回_前回の在庫を貼る!$I$6:$I$10005,$C356))</f>
        <v/>
      </c>
      <c r="M356" s="69" t="str">
        <f aca="false">IF($C356="","",IF(OR('設定（最初に1回）'!$C$6="",'設定（最初に1回）'!$C$7=""),0,SUMIFS(発注管理!$S$6:$S$1005,発注管理!$C$6:$C$1005,'設定（最初に1回）'!$C$4,発注管理!$F$6:$F$1005,$C356,発注管理!$R$6:$R$1005,"&gt;="&amp;'設定（最初に1回）'!$C$7,発注管理!$R$6:$R$1005,"&lt;="&amp;'設定（最初に1回）'!$C$6)))</f>
        <v/>
      </c>
      <c r="N356" s="69" t="str">
        <f aca="false">IF(OR($C356="",'設定（最初に1回）'!$C$15=0),"",$L356+$M356-$K356)</f>
        <v/>
      </c>
      <c r="O356" s="143" t="str">
        <f aca="false">IF(OR($N356="",'設定（最初に1回）'!$C$8="",'設定（最初に1回）'!$C$8&lt;=0),"",MAX(0,$N356)/'設定（最初に1回）'!$C$8)</f>
        <v/>
      </c>
      <c r="P356" s="143" t="str">
        <f aca="false">IF($C356="","",IFERROR(INDEX(商品マスタ!$M$6:$N$1005,MATCH($C356,商品マスタ!$B$6:$B$1005,0),MATCH("PI値 "&amp;'設定（最初に1回）'!$C$11,商品マスタ!$M$5:$N$5,0)),""))</f>
        <v/>
      </c>
      <c r="Q356" s="143" t="str">
        <f aca="false">IF(OR($C356="",$P356="",$P356=0,(N($I356)+N($AG356))&lt;=0),"",IFERROR(SUMIFS(随時_動員を入れる!$G$8:$G$97,随時_動員を入れる!$B$8:$B$97,"&gt;="&amp;'設定（最初に1回）'!$C$6,随時_動員を入れる!$B$8:$B$97,"&lt;="&amp;'設定（最初に1回）'!$C$6+(N($I356)+N($AG356))-1)/(N($I356)+N($AG356)),0)*$P356/100)</f>
        <v/>
      </c>
      <c r="R356" s="69" t="str">
        <f aca="false">IF($C356="","",SUMIFS(①今日の在庫を貼る!$O$6:$O$10005,①今日の在庫を貼る!$B$6:$B$10005,'設定（最初に1回）'!$C$4,①今日の在庫を貼る!$I$6:$I$10005,$C356))</f>
        <v/>
      </c>
      <c r="S356" s="143" t="str">
        <f aca="false">IF($C356="","",IF('設定（最初に1回）'!$C$9="実績消費",N($O356),IF('設定（最初に1回）'!$C$9="PI値予測",N($Q356),MAX(N($O356),N($Q356)))))</f>
        <v/>
      </c>
      <c r="T356" s="67" t="str">
        <f aca="false">IF(OR($S356="",$S356&lt;=0),"",$K356/$S356)</f>
        <v/>
      </c>
      <c r="U356" s="69" t="str">
        <f aca="false">IF($S356="","",ROUNDUP(N($S356)*'設定（最初に1回）'!$C$12,0))</f>
        <v/>
      </c>
      <c r="V356" s="69" t="str">
        <f aca="false">IF($C356="","",ROUNDUP(N($S356)*(N($I356)+N($AG356))+N($U356),0))</f>
        <v/>
      </c>
      <c r="W356" s="69" t="str">
        <f aca="false">IF($C356="","",SUMIFS(発注管理!$L$6:$L$1005,発注管理!$C$6:$C$1005,'設定（最初に1回）'!$C$4,発注管理!$F$6:$F$1005,$C356,発注管理!$Q$6:$Q$1005,"発注済"))</f>
        <v/>
      </c>
      <c r="X356" s="69" t="str">
        <f aca="false">IF($C356="","",MAX(0,N($V356)-N($K356)-N($W356)))</f>
        <v/>
      </c>
      <c r="Y356" s="147" t="str">
        <f aca="false">IF($C356="","",IF(N($X356)&lt;=0,0,CEILING($X356/MAX(1,N($G356)),MAX(1,N($J356)))))</f>
        <v/>
      </c>
      <c r="Z356" s="138" t="str">
        <f aca="false">IF($C356="","",IF(N($Y356)&gt;0,"要発注","正常"))</f>
        <v/>
      </c>
      <c r="AA356" s="71" t="str">
        <f aca="false">IF($C356="","",N($K356)*N($H356))</f>
        <v/>
      </c>
      <c r="AB356" s="66" t="str">
        <f aca="false">IF($C356="","",_xlfn.TEXTJOIN(" / ",TRUE(),IF(COUNTIF(商品マスタ!$B$6:$B$1005,$C356)=0,"マスタ未登録",""),IF(COUNTIFS(月1回_前回の在庫を貼る!$B$6:$B$10005,'設定（最初に1回）'!$C$4,月1回_前回の在庫を貼る!$I$6:$I$10005,$C356)=0,"新商品",""),IF(COUNTIFS(①今日の在庫を貼る!$B$6:$B$10005,'設定（最初に1回）'!$C$4,①今日の在庫を貼る!$I$6:$I$10005,$C356)=0,"終売候補",""),IF(N($K356)&lt;0,"在庫マイナス",""),IF(AND('設定（最初に1回）'!$C$9="PI値予測",$P356=""),"PI値未設定","")))</f>
        <v/>
      </c>
      <c r="AC356" s="71" t="n">
        <f aca="false">N($Y356)*N($H356)</f>
        <v>0</v>
      </c>
      <c r="AD356" s="66" t="str">
        <f aca="false">IF($C356="","",IFERROR(INDEX(商品マスタ!$K$6:$K$1005,MATCH($C356,商品マスタ!$B$6:$B$1005,0)),"常温"))</f>
        <v/>
      </c>
      <c r="AE356" s="69" t="str">
        <f aca="false">IF($C356="","",MAX(0,ROUNDUP(N($K356)/MAX(1,N($G356)),0)))</f>
        <v/>
      </c>
      <c r="AF356" s="66" t="str">
        <f aca="false">IF($C356="","",IFERROR(INDEX(商品マスタ!$L$6:$L$1005,MATCH($C356,商品マスタ!$B$6:$B$1005,0)),""))</f>
        <v/>
      </c>
      <c r="AG356" s="143" t="str">
        <f aca="false">IF($C356="","",IFERROR(INDEX(定数マスタ!$S$110:$S$119,MATCH($AF356,定数マスタ!$J$110:$J$119,0)),N('設定（最初に1回）'!$C$13)))</f>
        <v/>
      </c>
      <c r="AH356" s="66" t="n">
        <f aca="false">IF(AND(N($K356)&gt;0,N($Y356)&gt;0),N($Y356),0)</f>
        <v>0</v>
      </c>
    </row>
    <row r="357" customFormat="false" ht="15" hidden="false" customHeight="false" outlineLevel="0" collapsed="false">
      <c r="B357" s="66" t="n">
        <v>352</v>
      </c>
      <c r="C357" s="66" t="str">
        <f aca="false">IFERROR(IF($B357&lt;=MAX(①今日の在庫を貼る!$U$6:$U$10005),INDEX(①今日の在庫を貼る!$I$6:$I$10005,MATCH($B357,①今日の在庫を貼る!$U$6:$U$10005,0)),INDEX(月1回_前回の在庫を貼る!$I$6:$I$10005,MATCH($B357-MAX(①今日の在庫を貼る!$U$6:$U$10005),月1回_前回の在庫を貼る!$U$6:$U$10005,0))),"")</f>
        <v/>
      </c>
      <c r="D357" s="66" t="str">
        <f aca="false">IF($C357="","",IFERROR(INDEX(商品マスタ!$C$6:$C$1005,MATCH($C357,商品マスタ!$B$6:$B$1005,0)),IFERROR(INDEX(①今日の在庫を貼る!$J$6:$J$10005,MATCH($C357,①今日の在庫を貼る!$I$6:$I$10005,0)),IFERROR(INDEX(月1回_前回の在庫を貼る!$J$6:$J$10005,MATCH($C357,月1回_前回の在庫を貼る!$I$6:$I$10005,0)),""))))</f>
        <v/>
      </c>
      <c r="E357" s="66" t="str">
        <f aca="false">IF($C357="","",IFERROR(INDEX(商品マスタ!$D$6:$D$1005,MATCH($C357,商品マスタ!$B$6:$B$1005,0)),IFERROR(INDEX(①今日の在庫を貼る!$H$6:$H$10005,MATCH($C357,①今日の在庫を貼る!$I$6:$I$10005,0)),IFERROR(INDEX(月1回_前回の在庫を貼る!$H$6:$H$10005,MATCH($C357,月1回_前回の在庫を貼る!$I$6:$I$10005,0)),""))))</f>
        <v/>
      </c>
      <c r="F357" s="66" t="str">
        <f aca="false">IF($C357="","",IFERROR(INDEX(商品マスタ!$E$6:$E$1005,MATCH($C357,商品マスタ!$B$6:$B$1005,0)),IFERROR(INDEX(①今日の在庫を貼る!$E$6:$E$10005,MATCH($C357,①今日の在庫を貼る!$I$6:$I$10005,0)),IFERROR(INDEX(月1回_前回の在庫を貼る!$E$6:$E$10005,MATCH($C357,月1回_前回の在庫を貼る!$I$6:$I$10005,0)),""))))</f>
        <v/>
      </c>
      <c r="G357" s="69" t="str">
        <f aca="false">IF($C357="","",IFERROR(INDEX(商品マスタ!$F$6:$F$1005,MATCH($C357,商品マスタ!$B$6:$B$1005,0)),IFERROR(INDEX(①今日の在庫を貼る!$K$6:$K$10005,MATCH($C357,①今日の在庫を貼る!$I$6:$I$10005,0)),IFERROR(INDEX(月1回_前回の在庫を貼る!$K$6:$K$10005,MATCH($C357,月1回_前回の在庫を貼る!$I$6:$I$10005,0)),""))))</f>
        <v/>
      </c>
      <c r="H357" s="71" t="str">
        <f aca="false">IF($C357="","",IFERROR(INDEX(商品マスタ!$G$6:$G$1005,MATCH($C357,商品マスタ!$B$6:$B$1005,0)),IFERROR(INDEX(①今日の在庫を貼る!$Q$6:$Q$10005,MATCH($C357,①今日の在庫を貼る!$I$6:$I$10005,0)),IFERROR(INDEX(月1回_前回の在庫を貼る!$Q$6:$Q$10005,MATCH($C357,月1回_前回の在庫を貼る!$I$6:$I$10005,0)),""))))</f>
        <v/>
      </c>
      <c r="I357" s="66" t="str">
        <f aca="false">IF($C357="","",IFERROR(INDEX(商品マスタ!$H$6:$H$1005,MATCH($C357,商品マスタ!$B$6:$B$1005,0)),3))</f>
        <v/>
      </c>
      <c r="J357" s="66" t="str">
        <f aca="false">IF($C357="","",MAX(1,IFERROR(INDEX(商品マスタ!$I$6:$I$1005,MATCH($C357,商品マスタ!$B$6:$B$1005,0)),1)))</f>
        <v/>
      </c>
      <c r="K357" s="69" t="str">
        <f aca="false">IF($C357="","",SUMIFS(①今日の在庫を貼る!$N$6:$N$10005,①今日の在庫を貼る!$B$6:$B$10005,'設定（最初に1回）'!$C$4,①今日の在庫を貼る!$I$6:$I$10005,$C357))</f>
        <v/>
      </c>
      <c r="L357" s="69" t="str">
        <f aca="false">IF($C357="","",SUMIFS(月1回_前回の在庫を貼る!$N$6:$N$10005,月1回_前回の在庫を貼る!$B$6:$B$10005,'設定（最初に1回）'!$C$4,月1回_前回の在庫を貼る!$I$6:$I$10005,$C357))</f>
        <v/>
      </c>
      <c r="M357" s="69" t="str">
        <f aca="false">IF($C357="","",IF(OR('設定（最初に1回）'!$C$6="",'設定（最初に1回）'!$C$7=""),0,SUMIFS(発注管理!$S$6:$S$1005,発注管理!$C$6:$C$1005,'設定（最初に1回）'!$C$4,発注管理!$F$6:$F$1005,$C357,発注管理!$R$6:$R$1005,"&gt;="&amp;'設定（最初に1回）'!$C$7,発注管理!$R$6:$R$1005,"&lt;="&amp;'設定（最初に1回）'!$C$6)))</f>
        <v/>
      </c>
      <c r="N357" s="69" t="str">
        <f aca="false">IF(OR($C357="",'設定（最初に1回）'!$C$15=0),"",$L357+$M357-$K357)</f>
        <v/>
      </c>
      <c r="O357" s="143" t="str">
        <f aca="false">IF(OR($N357="",'設定（最初に1回）'!$C$8="",'設定（最初に1回）'!$C$8&lt;=0),"",MAX(0,$N357)/'設定（最初に1回）'!$C$8)</f>
        <v/>
      </c>
      <c r="P357" s="143" t="str">
        <f aca="false">IF($C357="","",IFERROR(INDEX(商品マスタ!$M$6:$N$1005,MATCH($C357,商品マスタ!$B$6:$B$1005,0),MATCH("PI値 "&amp;'設定（最初に1回）'!$C$11,商品マスタ!$M$5:$N$5,0)),""))</f>
        <v/>
      </c>
      <c r="Q357" s="143" t="str">
        <f aca="false">IF(OR($C357="",$P357="",$P357=0,(N($I357)+N($AG357))&lt;=0),"",IFERROR(SUMIFS(随時_動員を入れる!$G$8:$G$97,随時_動員を入れる!$B$8:$B$97,"&gt;="&amp;'設定（最初に1回）'!$C$6,随時_動員を入れる!$B$8:$B$97,"&lt;="&amp;'設定（最初に1回）'!$C$6+(N($I357)+N($AG357))-1)/(N($I357)+N($AG357)),0)*$P357/100)</f>
        <v/>
      </c>
      <c r="R357" s="69" t="str">
        <f aca="false">IF($C357="","",SUMIFS(①今日の在庫を貼る!$O$6:$O$10005,①今日の在庫を貼る!$B$6:$B$10005,'設定（最初に1回）'!$C$4,①今日の在庫を貼る!$I$6:$I$10005,$C357))</f>
        <v/>
      </c>
      <c r="S357" s="143" t="str">
        <f aca="false">IF($C357="","",IF('設定（最初に1回）'!$C$9="実績消費",N($O357),IF('設定（最初に1回）'!$C$9="PI値予測",N($Q357),MAX(N($O357),N($Q357)))))</f>
        <v/>
      </c>
      <c r="T357" s="67" t="str">
        <f aca="false">IF(OR($S357="",$S357&lt;=0),"",$K357/$S357)</f>
        <v/>
      </c>
      <c r="U357" s="69" t="str">
        <f aca="false">IF($S357="","",ROUNDUP(N($S357)*'設定（最初に1回）'!$C$12,0))</f>
        <v/>
      </c>
      <c r="V357" s="69" t="str">
        <f aca="false">IF($C357="","",ROUNDUP(N($S357)*(N($I357)+N($AG357))+N($U357),0))</f>
        <v/>
      </c>
      <c r="W357" s="69" t="str">
        <f aca="false">IF($C357="","",SUMIFS(発注管理!$L$6:$L$1005,発注管理!$C$6:$C$1005,'設定（最初に1回）'!$C$4,発注管理!$F$6:$F$1005,$C357,発注管理!$Q$6:$Q$1005,"発注済"))</f>
        <v/>
      </c>
      <c r="X357" s="69" t="str">
        <f aca="false">IF($C357="","",MAX(0,N($V357)-N($K357)-N($W357)))</f>
        <v/>
      </c>
      <c r="Y357" s="147" t="str">
        <f aca="false">IF($C357="","",IF(N($X357)&lt;=0,0,CEILING($X357/MAX(1,N($G357)),MAX(1,N($J357)))))</f>
        <v/>
      </c>
      <c r="Z357" s="138" t="str">
        <f aca="false">IF($C357="","",IF(N($Y357)&gt;0,"要発注","正常"))</f>
        <v/>
      </c>
      <c r="AA357" s="71" t="str">
        <f aca="false">IF($C357="","",N($K357)*N($H357))</f>
        <v/>
      </c>
      <c r="AB357" s="66" t="str">
        <f aca="false">IF($C357="","",_xlfn.TEXTJOIN(" / ",TRUE(),IF(COUNTIF(商品マスタ!$B$6:$B$1005,$C357)=0,"マスタ未登録",""),IF(COUNTIFS(月1回_前回の在庫を貼る!$B$6:$B$10005,'設定（最初に1回）'!$C$4,月1回_前回の在庫を貼る!$I$6:$I$10005,$C357)=0,"新商品",""),IF(COUNTIFS(①今日の在庫を貼る!$B$6:$B$10005,'設定（最初に1回）'!$C$4,①今日の在庫を貼る!$I$6:$I$10005,$C357)=0,"終売候補",""),IF(N($K357)&lt;0,"在庫マイナス",""),IF(AND('設定（最初に1回）'!$C$9="PI値予測",$P357=""),"PI値未設定","")))</f>
        <v/>
      </c>
      <c r="AC357" s="71" t="n">
        <f aca="false">N($Y357)*N($H357)</f>
        <v>0</v>
      </c>
      <c r="AD357" s="66" t="str">
        <f aca="false">IF($C357="","",IFERROR(INDEX(商品マスタ!$K$6:$K$1005,MATCH($C357,商品マスタ!$B$6:$B$1005,0)),"常温"))</f>
        <v/>
      </c>
      <c r="AE357" s="69" t="str">
        <f aca="false">IF($C357="","",MAX(0,ROUNDUP(N($K357)/MAX(1,N($G357)),0)))</f>
        <v/>
      </c>
      <c r="AF357" s="66" t="str">
        <f aca="false">IF($C357="","",IFERROR(INDEX(商品マスタ!$L$6:$L$1005,MATCH($C357,商品マスタ!$B$6:$B$1005,0)),""))</f>
        <v/>
      </c>
      <c r="AG357" s="143" t="str">
        <f aca="false">IF($C357="","",IFERROR(INDEX(定数マスタ!$S$110:$S$119,MATCH($AF357,定数マスタ!$J$110:$J$119,0)),N('設定（最初に1回）'!$C$13)))</f>
        <v/>
      </c>
      <c r="AH357" s="66" t="n">
        <f aca="false">IF(AND(N($K357)&gt;0,N($Y357)&gt;0),N($Y357),0)</f>
        <v>0</v>
      </c>
    </row>
    <row r="358" customFormat="false" ht="15" hidden="false" customHeight="false" outlineLevel="0" collapsed="false">
      <c r="B358" s="66" t="n">
        <v>353</v>
      </c>
      <c r="C358" s="66" t="str">
        <f aca="false">IFERROR(IF($B358&lt;=MAX(①今日の在庫を貼る!$U$6:$U$10005),INDEX(①今日の在庫を貼る!$I$6:$I$10005,MATCH($B358,①今日の在庫を貼る!$U$6:$U$10005,0)),INDEX(月1回_前回の在庫を貼る!$I$6:$I$10005,MATCH($B358-MAX(①今日の在庫を貼る!$U$6:$U$10005),月1回_前回の在庫を貼る!$U$6:$U$10005,0))),"")</f>
        <v/>
      </c>
      <c r="D358" s="66" t="str">
        <f aca="false">IF($C358="","",IFERROR(INDEX(商品マスタ!$C$6:$C$1005,MATCH($C358,商品マスタ!$B$6:$B$1005,0)),IFERROR(INDEX(①今日の在庫を貼る!$J$6:$J$10005,MATCH($C358,①今日の在庫を貼る!$I$6:$I$10005,0)),IFERROR(INDEX(月1回_前回の在庫を貼る!$J$6:$J$10005,MATCH($C358,月1回_前回の在庫を貼る!$I$6:$I$10005,0)),""))))</f>
        <v/>
      </c>
      <c r="E358" s="66" t="str">
        <f aca="false">IF($C358="","",IFERROR(INDEX(商品マスタ!$D$6:$D$1005,MATCH($C358,商品マスタ!$B$6:$B$1005,0)),IFERROR(INDEX(①今日の在庫を貼る!$H$6:$H$10005,MATCH($C358,①今日の在庫を貼る!$I$6:$I$10005,0)),IFERROR(INDEX(月1回_前回の在庫を貼る!$H$6:$H$10005,MATCH($C358,月1回_前回の在庫を貼る!$I$6:$I$10005,0)),""))))</f>
        <v/>
      </c>
      <c r="F358" s="66" t="str">
        <f aca="false">IF($C358="","",IFERROR(INDEX(商品マスタ!$E$6:$E$1005,MATCH($C358,商品マスタ!$B$6:$B$1005,0)),IFERROR(INDEX(①今日の在庫を貼る!$E$6:$E$10005,MATCH($C358,①今日の在庫を貼る!$I$6:$I$10005,0)),IFERROR(INDEX(月1回_前回の在庫を貼る!$E$6:$E$10005,MATCH($C358,月1回_前回の在庫を貼る!$I$6:$I$10005,0)),""))))</f>
        <v/>
      </c>
      <c r="G358" s="69" t="str">
        <f aca="false">IF($C358="","",IFERROR(INDEX(商品マスタ!$F$6:$F$1005,MATCH($C358,商品マスタ!$B$6:$B$1005,0)),IFERROR(INDEX(①今日の在庫を貼る!$K$6:$K$10005,MATCH($C358,①今日の在庫を貼る!$I$6:$I$10005,0)),IFERROR(INDEX(月1回_前回の在庫を貼る!$K$6:$K$10005,MATCH($C358,月1回_前回の在庫を貼る!$I$6:$I$10005,0)),""))))</f>
        <v/>
      </c>
      <c r="H358" s="71" t="str">
        <f aca="false">IF($C358="","",IFERROR(INDEX(商品マスタ!$G$6:$G$1005,MATCH($C358,商品マスタ!$B$6:$B$1005,0)),IFERROR(INDEX(①今日の在庫を貼る!$Q$6:$Q$10005,MATCH($C358,①今日の在庫を貼る!$I$6:$I$10005,0)),IFERROR(INDEX(月1回_前回の在庫を貼る!$Q$6:$Q$10005,MATCH($C358,月1回_前回の在庫を貼る!$I$6:$I$10005,0)),""))))</f>
        <v/>
      </c>
      <c r="I358" s="66" t="str">
        <f aca="false">IF($C358="","",IFERROR(INDEX(商品マスタ!$H$6:$H$1005,MATCH($C358,商品マスタ!$B$6:$B$1005,0)),3))</f>
        <v/>
      </c>
      <c r="J358" s="66" t="str">
        <f aca="false">IF($C358="","",MAX(1,IFERROR(INDEX(商品マスタ!$I$6:$I$1005,MATCH($C358,商品マスタ!$B$6:$B$1005,0)),1)))</f>
        <v/>
      </c>
      <c r="K358" s="69" t="str">
        <f aca="false">IF($C358="","",SUMIFS(①今日の在庫を貼る!$N$6:$N$10005,①今日の在庫を貼る!$B$6:$B$10005,'設定（最初に1回）'!$C$4,①今日の在庫を貼る!$I$6:$I$10005,$C358))</f>
        <v/>
      </c>
      <c r="L358" s="69" t="str">
        <f aca="false">IF($C358="","",SUMIFS(月1回_前回の在庫を貼る!$N$6:$N$10005,月1回_前回の在庫を貼る!$B$6:$B$10005,'設定（最初に1回）'!$C$4,月1回_前回の在庫を貼る!$I$6:$I$10005,$C358))</f>
        <v/>
      </c>
      <c r="M358" s="69" t="str">
        <f aca="false">IF($C358="","",IF(OR('設定（最初に1回）'!$C$6="",'設定（最初に1回）'!$C$7=""),0,SUMIFS(発注管理!$S$6:$S$1005,発注管理!$C$6:$C$1005,'設定（最初に1回）'!$C$4,発注管理!$F$6:$F$1005,$C358,発注管理!$R$6:$R$1005,"&gt;="&amp;'設定（最初に1回）'!$C$7,発注管理!$R$6:$R$1005,"&lt;="&amp;'設定（最初に1回）'!$C$6)))</f>
        <v/>
      </c>
      <c r="N358" s="69" t="str">
        <f aca="false">IF(OR($C358="",'設定（最初に1回）'!$C$15=0),"",$L358+$M358-$K358)</f>
        <v/>
      </c>
      <c r="O358" s="143" t="str">
        <f aca="false">IF(OR($N358="",'設定（最初に1回）'!$C$8="",'設定（最初に1回）'!$C$8&lt;=0),"",MAX(0,$N358)/'設定（最初に1回）'!$C$8)</f>
        <v/>
      </c>
      <c r="P358" s="143" t="str">
        <f aca="false">IF($C358="","",IFERROR(INDEX(商品マスタ!$M$6:$N$1005,MATCH($C358,商品マスタ!$B$6:$B$1005,0),MATCH("PI値 "&amp;'設定（最初に1回）'!$C$11,商品マスタ!$M$5:$N$5,0)),""))</f>
        <v/>
      </c>
      <c r="Q358" s="143" t="str">
        <f aca="false">IF(OR($C358="",$P358="",$P358=0,(N($I358)+N($AG358))&lt;=0),"",IFERROR(SUMIFS(随時_動員を入れる!$G$8:$G$97,随時_動員を入れる!$B$8:$B$97,"&gt;="&amp;'設定（最初に1回）'!$C$6,随時_動員を入れる!$B$8:$B$97,"&lt;="&amp;'設定（最初に1回）'!$C$6+(N($I358)+N($AG358))-1)/(N($I358)+N($AG358)),0)*$P358/100)</f>
        <v/>
      </c>
      <c r="R358" s="69" t="str">
        <f aca="false">IF($C358="","",SUMIFS(①今日の在庫を貼る!$O$6:$O$10005,①今日の在庫を貼る!$B$6:$B$10005,'設定（最初に1回）'!$C$4,①今日の在庫を貼る!$I$6:$I$10005,$C358))</f>
        <v/>
      </c>
      <c r="S358" s="143" t="str">
        <f aca="false">IF($C358="","",IF('設定（最初に1回）'!$C$9="実績消費",N($O358),IF('設定（最初に1回）'!$C$9="PI値予測",N($Q358),MAX(N($O358),N($Q358)))))</f>
        <v/>
      </c>
      <c r="T358" s="67" t="str">
        <f aca="false">IF(OR($S358="",$S358&lt;=0),"",$K358/$S358)</f>
        <v/>
      </c>
      <c r="U358" s="69" t="str">
        <f aca="false">IF($S358="","",ROUNDUP(N($S358)*'設定（最初に1回）'!$C$12,0))</f>
        <v/>
      </c>
      <c r="V358" s="69" t="str">
        <f aca="false">IF($C358="","",ROUNDUP(N($S358)*(N($I358)+N($AG358))+N($U358),0))</f>
        <v/>
      </c>
      <c r="W358" s="69" t="str">
        <f aca="false">IF($C358="","",SUMIFS(発注管理!$L$6:$L$1005,発注管理!$C$6:$C$1005,'設定（最初に1回）'!$C$4,発注管理!$F$6:$F$1005,$C358,発注管理!$Q$6:$Q$1005,"発注済"))</f>
        <v/>
      </c>
      <c r="X358" s="69" t="str">
        <f aca="false">IF($C358="","",MAX(0,N($V358)-N($K358)-N($W358)))</f>
        <v/>
      </c>
      <c r="Y358" s="147" t="str">
        <f aca="false">IF($C358="","",IF(N($X358)&lt;=0,0,CEILING($X358/MAX(1,N($G358)),MAX(1,N($J358)))))</f>
        <v/>
      </c>
      <c r="Z358" s="138" t="str">
        <f aca="false">IF($C358="","",IF(N($Y358)&gt;0,"要発注","正常"))</f>
        <v/>
      </c>
      <c r="AA358" s="71" t="str">
        <f aca="false">IF($C358="","",N($K358)*N($H358))</f>
        <v/>
      </c>
      <c r="AB358" s="66" t="str">
        <f aca="false">IF($C358="","",_xlfn.TEXTJOIN(" / ",TRUE(),IF(COUNTIF(商品マスタ!$B$6:$B$1005,$C358)=0,"マスタ未登録",""),IF(COUNTIFS(月1回_前回の在庫を貼る!$B$6:$B$10005,'設定（最初に1回）'!$C$4,月1回_前回の在庫を貼る!$I$6:$I$10005,$C358)=0,"新商品",""),IF(COUNTIFS(①今日の在庫を貼る!$B$6:$B$10005,'設定（最初に1回）'!$C$4,①今日の在庫を貼る!$I$6:$I$10005,$C358)=0,"終売候補",""),IF(N($K358)&lt;0,"在庫マイナス",""),IF(AND('設定（最初に1回）'!$C$9="PI値予測",$P358=""),"PI値未設定","")))</f>
        <v/>
      </c>
      <c r="AC358" s="71" t="n">
        <f aca="false">N($Y358)*N($H358)</f>
        <v>0</v>
      </c>
      <c r="AD358" s="66" t="str">
        <f aca="false">IF($C358="","",IFERROR(INDEX(商品マスタ!$K$6:$K$1005,MATCH($C358,商品マスタ!$B$6:$B$1005,0)),"常温"))</f>
        <v/>
      </c>
      <c r="AE358" s="69" t="str">
        <f aca="false">IF($C358="","",MAX(0,ROUNDUP(N($K358)/MAX(1,N($G358)),0)))</f>
        <v/>
      </c>
      <c r="AF358" s="66" t="str">
        <f aca="false">IF($C358="","",IFERROR(INDEX(商品マスタ!$L$6:$L$1005,MATCH($C358,商品マスタ!$B$6:$B$1005,0)),""))</f>
        <v/>
      </c>
      <c r="AG358" s="143" t="str">
        <f aca="false">IF($C358="","",IFERROR(INDEX(定数マスタ!$S$110:$S$119,MATCH($AF358,定数マスタ!$J$110:$J$119,0)),N('設定（最初に1回）'!$C$13)))</f>
        <v/>
      </c>
      <c r="AH358" s="66" t="n">
        <f aca="false">IF(AND(N($K358)&gt;0,N($Y358)&gt;0),N($Y358),0)</f>
        <v>0</v>
      </c>
    </row>
    <row r="359" customFormat="false" ht="15" hidden="false" customHeight="false" outlineLevel="0" collapsed="false">
      <c r="B359" s="66" t="n">
        <v>354</v>
      </c>
      <c r="C359" s="66" t="str">
        <f aca="false">IFERROR(IF($B359&lt;=MAX(①今日の在庫を貼る!$U$6:$U$10005),INDEX(①今日の在庫を貼る!$I$6:$I$10005,MATCH($B359,①今日の在庫を貼る!$U$6:$U$10005,0)),INDEX(月1回_前回の在庫を貼る!$I$6:$I$10005,MATCH($B359-MAX(①今日の在庫を貼る!$U$6:$U$10005),月1回_前回の在庫を貼る!$U$6:$U$10005,0))),"")</f>
        <v/>
      </c>
      <c r="D359" s="66" t="str">
        <f aca="false">IF($C359="","",IFERROR(INDEX(商品マスタ!$C$6:$C$1005,MATCH($C359,商品マスタ!$B$6:$B$1005,0)),IFERROR(INDEX(①今日の在庫を貼る!$J$6:$J$10005,MATCH($C359,①今日の在庫を貼る!$I$6:$I$10005,0)),IFERROR(INDEX(月1回_前回の在庫を貼る!$J$6:$J$10005,MATCH($C359,月1回_前回の在庫を貼る!$I$6:$I$10005,0)),""))))</f>
        <v/>
      </c>
      <c r="E359" s="66" t="str">
        <f aca="false">IF($C359="","",IFERROR(INDEX(商品マスタ!$D$6:$D$1005,MATCH($C359,商品マスタ!$B$6:$B$1005,0)),IFERROR(INDEX(①今日の在庫を貼る!$H$6:$H$10005,MATCH($C359,①今日の在庫を貼る!$I$6:$I$10005,0)),IFERROR(INDEX(月1回_前回の在庫を貼る!$H$6:$H$10005,MATCH($C359,月1回_前回の在庫を貼る!$I$6:$I$10005,0)),""))))</f>
        <v/>
      </c>
      <c r="F359" s="66" t="str">
        <f aca="false">IF($C359="","",IFERROR(INDEX(商品マスタ!$E$6:$E$1005,MATCH($C359,商品マスタ!$B$6:$B$1005,0)),IFERROR(INDEX(①今日の在庫を貼る!$E$6:$E$10005,MATCH($C359,①今日の在庫を貼る!$I$6:$I$10005,0)),IFERROR(INDEX(月1回_前回の在庫を貼る!$E$6:$E$10005,MATCH($C359,月1回_前回の在庫を貼る!$I$6:$I$10005,0)),""))))</f>
        <v/>
      </c>
      <c r="G359" s="69" t="str">
        <f aca="false">IF($C359="","",IFERROR(INDEX(商品マスタ!$F$6:$F$1005,MATCH($C359,商品マスタ!$B$6:$B$1005,0)),IFERROR(INDEX(①今日の在庫を貼る!$K$6:$K$10005,MATCH($C359,①今日の在庫を貼る!$I$6:$I$10005,0)),IFERROR(INDEX(月1回_前回の在庫を貼る!$K$6:$K$10005,MATCH($C359,月1回_前回の在庫を貼る!$I$6:$I$10005,0)),""))))</f>
        <v/>
      </c>
      <c r="H359" s="71" t="str">
        <f aca="false">IF($C359="","",IFERROR(INDEX(商品マスタ!$G$6:$G$1005,MATCH($C359,商品マスタ!$B$6:$B$1005,0)),IFERROR(INDEX(①今日の在庫を貼る!$Q$6:$Q$10005,MATCH($C359,①今日の在庫を貼る!$I$6:$I$10005,0)),IFERROR(INDEX(月1回_前回の在庫を貼る!$Q$6:$Q$10005,MATCH($C359,月1回_前回の在庫を貼る!$I$6:$I$10005,0)),""))))</f>
        <v/>
      </c>
      <c r="I359" s="66" t="str">
        <f aca="false">IF($C359="","",IFERROR(INDEX(商品マスタ!$H$6:$H$1005,MATCH($C359,商品マスタ!$B$6:$B$1005,0)),3))</f>
        <v/>
      </c>
      <c r="J359" s="66" t="str">
        <f aca="false">IF($C359="","",MAX(1,IFERROR(INDEX(商品マスタ!$I$6:$I$1005,MATCH($C359,商品マスタ!$B$6:$B$1005,0)),1)))</f>
        <v/>
      </c>
      <c r="K359" s="69" t="str">
        <f aca="false">IF($C359="","",SUMIFS(①今日の在庫を貼る!$N$6:$N$10005,①今日の在庫を貼る!$B$6:$B$10005,'設定（最初に1回）'!$C$4,①今日の在庫を貼る!$I$6:$I$10005,$C359))</f>
        <v/>
      </c>
      <c r="L359" s="69" t="str">
        <f aca="false">IF($C359="","",SUMIFS(月1回_前回の在庫を貼る!$N$6:$N$10005,月1回_前回の在庫を貼る!$B$6:$B$10005,'設定（最初に1回）'!$C$4,月1回_前回の在庫を貼る!$I$6:$I$10005,$C359))</f>
        <v/>
      </c>
      <c r="M359" s="69" t="str">
        <f aca="false">IF($C359="","",IF(OR('設定（最初に1回）'!$C$6="",'設定（最初に1回）'!$C$7=""),0,SUMIFS(発注管理!$S$6:$S$1005,発注管理!$C$6:$C$1005,'設定（最初に1回）'!$C$4,発注管理!$F$6:$F$1005,$C359,発注管理!$R$6:$R$1005,"&gt;="&amp;'設定（最初に1回）'!$C$7,発注管理!$R$6:$R$1005,"&lt;="&amp;'設定（最初に1回）'!$C$6)))</f>
        <v/>
      </c>
      <c r="N359" s="69" t="str">
        <f aca="false">IF(OR($C359="",'設定（最初に1回）'!$C$15=0),"",$L359+$M359-$K359)</f>
        <v/>
      </c>
      <c r="O359" s="143" t="str">
        <f aca="false">IF(OR($N359="",'設定（最初に1回）'!$C$8="",'設定（最初に1回）'!$C$8&lt;=0),"",MAX(0,$N359)/'設定（最初に1回）'!$C$8)</f>
        <v/>
      </c>
      <c r="P359" s="143" t="str">
        <f aca="false">IF($C359="","",IFERROR(INDEX(商品マスタ!$M$6:$N$1005,MATCH($C359,商品マスタ!$B$6:$B$1005,0),MATCH("PI値 "&amp;'設定（最初に1回）'!$C$11,商品マスタ!$M$5:$N$5,0)),""))</f>
        <v/>
      </c>
      <c r="Q359" s="143" t="str">
        <f aca="false">IF(OR($C359="",$P359="",$P359=0,(N($I359)+N($AG359))&lt;=0),"",IFERROR(SUMIFS(随時_動員を入れる!$G$8:$G$97,随時_動員を入れる!$B$8:$B$97,"&gt;="&amp;'設定（最初に1回）'!$C$6,随時_動員を入れる!$B$8:$B$97,"&lt;="&amp;'設定（最初に1回）'!$C$6+(N($I359)+N($AG359))-1)/(N($I359)+N($AG359)),0)*$P359/100)</f>
        <v/>
      </c>
      <c r="R359" s="69" t="str">
        <f aca="false">IF($C359="","",SUMIFS(①今日の在庫を貼る!$O$6:$O$10005,①今日の在庫を貼る!$B$6:$B$10005,'設定（最初に1回）'!$C$4,①今日の在庫を貼る!$I$6:$I$10005,$C359))</f>
        <v/>
      </c>
      <c r="S359" s="143" t="str">
        <f aca="false">IF($C359="","",IF('設定（最初に1回）'!$C$9="実績消費",N($O359),IF('設定（最初に1回）'!$C$9="PI値予測",N($Q359),MAX(N($O359),N($Q359)))))</f>
        <v/>
      </c>
      <c r="T359" s="67" t="str">
        <f aca="false">IF(OR($S359="",$S359&lt;=0),"",$K359/$S359)</f>
        <v/>
      </c>
      <c r="U359" s="69" t="str">
        <f aca="false">IF($S359="","",ROUNDUP(N($S359)*'設定（最初に1回）'!$C$12,0))</f>
        <v/>
      </c>
      <c r="V359" s="69" t="str">
        <f aca="false">IF($C359="","",ROUNDUP(N($S359)*(N($I359)+N($AG359))+N($U359),0))</f>
        <v/>
      </c>
      <c r="W359" s="69" t="str">
        <f aca="false">IF($C359="","",SUMIFS(発注管理!$L$6:$L$1005,発注管理!$C$6:$C$1005,'設定（最初に1回）'!$C$4,発注管理!$F$6:$F$1005,$C359,発注管理!$Q$6:$Q$1005,"発注済"))</f>
        <v/>
      </c>
      <c r="X359" s="69" t="str">
        <f aca="false">IF($C359="","",MAX(0,N($V359)-N($K359)-N($W359)))</f>
        <v/>
      </c>
      <c r="Y359" s="147" t="str">
        <f aca="false">IF($C359="","",IF(N($X359)&lt;=0,0,CEILING($X359/MAX(1,N($G359)),MAX(1,N($J359)))))</f>
        <v/>
      </c>
      <c r="Z359" s="138" t="str">
        <f aca="false">IF($C359="","",IF(N($Y359)&gt;0,"要発注","正常"))</f>
        <v/>
      </c>
      <c r="AA359" s="71" t="str">
        <f aca="false">IF($C359="","",N($K359)*N($H359))</f>
        <v/>
      </c>
      <c r="AB359" s="66" t="str">
        <f aca="false">IF($C359="","",_xlfn.TEXTJOIN(" / ",TRUE(),IF(COUNTIF(商品マスタ!$B$6:$B$1005,$C359)=0,"マスタ未登録",""),IF(COUNTIFS(月1回_前回の在庫を貼る!$B$6:$B$10005,'設定（最初に1回）'!$C$4,月1回_前回の在庫を貼る!$I$6:$I$10005,$C359)=0,"新商品",""),IF(COUNTIFS(①今日の在庫を貼る!$B$6:$B$10005,'設定（最初に1回）'!$C$4,①今日の在庫を貼る!$I$6:$I$10005,$C359)=0,"終売候補",""),IF(N($K359)&lt;0,"在庫マイナス",""),IF(AND('設定（最初に1回）'!$C$9="PI値予測",$P359=""),"PI値未設定","")))</f>
        <v/>
      </c>
      <c r="AC359" s="71" t="n">
        <f aca="false">N($Y359)*N($H359)</f>
        <v>0</v>
      </c>
      <c r="AD359" s="66" t="str">
        <f aca="false">IF($C359="","",IFERROR(INDEX(商品マスタ!$K$6:$K$1005,MATCH($C359,商品マスタ!$B$6:$B$1005,0)),"常温"))</f>
        <v/>
      </c>
      <c r="AE359" s="69" t="str">
        <f aca="false">IF($C359="","",MAX(0,ROUNDUP(N($K359)/MAX(1,N($G359)),0)))</f>
        <v/>
      </c>
      <c r="AF359" s="66" t="str">
        <f aca="false">IF($C359="","",IFERROR(INDEX(商品マスタ!$L$6:$L$1005,MATCH($C359,商品マスタ!$B$6:$B$1005,0)),""))</f>
        <v/>
      </c>
      <c r="AG359" s="143" t="str">
        <f aca="false">IF($C359="","",IFERROR(INDEX(定数マスタ!$S$110:$S$119,MATCH($AF359,定数マスタ!$J$110:$J$119,0)),N('設定（最初に1回）'!$C$13)))</f>
        <v/>
      </c>
      <c r="AH359" s="66" t="n">
        <f aca="false">IF(AND(N($K359)&gt;0,N($Y359)&gt;0),N($Y359),0)</f>
        <v>0</v>
      </c>
    </row>
    <row r="360" customFormat="false" ht="15" hidden="false" customHeight="false" outlineLevel="0" collapsed="false">
      <c r="B360" s="66" t="n">
        <v>355</v>
      </c>
      <c r="C360" s="66" t="str">
        <f aca="false">IFERROR(IF($B360&lt;=MAX(①今日の在庫を貼る!$U$6:$U$10005),INDEX(①今日の在庫を貼る!$I$6:$I$10005,MATCH($B360,①今日の在庫を貼る!$U$6:$U$10005,0)),INDEX(月1回_前回の在庫を貼る!$I$6:$I$10005,MATCH($B360-MAX(①今日の在庫を貼る!$U$6:$U$10005),月1回_前回の在庫を貼る!$U$6:$U$10005,0))),"")</f>
        <v/>
      </c>
      <c r="D360" s="66" t="str">
        <f aca="false">IF($C360="","",IFERROR(INDEX(商品マスタ!$C$6:$C$1005,MATCH($C360,商品マスタ!$B$6:$B$1005,0)),IFERROR(INDEX(①今日の在庫を貼る!$J$6:$J$10005,MATCH($C360,①今日の在庫を貼る!$I$6:$I$10005,0)),IFERROR(INDEX(月1回_前回の在庫を貼る!$J$6:$J$10005,MATCH($C360,月1回_前回の在庫を貼る!$I$6:$I$10005,0)),""))))</f>
        <v/>
      </c>
      <c r="E360" s="66" t="str">
        <f aca="false">IF($C360="","",IFERROR(INDEX(商品マスタ!$D$6:$D$1005,MATCH($C360,商品マスタ!$B$6:$B$1005,0)),IFERROR(INDEX(①今日の在庫を貼る!$H$6:$H$10005,MATCH($C360,①今日の在庫を貼る!$I$6:$I$10005,0)),IFERROR(INDEX(月1回_前回の在庫を貼る!$H$6:$H$10005,MATCH($C360,月1回_前回の在庫を貼る!$I$6:$I$10005,0)),""))))</f>
        <v/>
      </c>
      <c r="F360" s="66" t="str">
        <f aca="false">IF($C360="","",IFERROR(INDEX(商品マスタ!$E$6:$E$1005,MATCH($C360,商品マスタ!$B$6:$B$1005,0)),IFERROR(INDEX(①今日の在庫を貼る!$E$6:$E$10005,MATCH($C360,①今日の在庫を貼る!$I$6:$I$10005,0)),IFERROR(INDEX(月1回_前回の在庫を貼る!$E$6:$E$10005,MATCH($C360,月1回_前回の在庫を貼る!$I$6:$I$10005,0)),""))))</f>
        <v/>
      </c>
      <c r="G360" s="69" t="str">
        <f aca="false">IF($C360="","",IFERROR(INDEX(商品マスタ!$F$6:$F$1005,MATCH($C360,商品マスタ!$B$6:$B$1005,0)),IFERROR(INDEX(①今日の在庫を貼る!$K$6:$K$10005,MATCH($C360,①今日の在庫を貼る!$I$6:$I$10005,0)),IFERROR(INDEX(月1回_前回の在庫を貼る!$K$6:$K$10005,MATCH($C360,月1回_前回の在庫を貼る!$I$6:$I$10005,0)),""))))</f>
        <v/>
      </c>
      <c r="H360" s="71" t="str">
        <f aca="false">IF($C360="","",IFERROR(INDEX(商品マスタ!$G$6:$G$1005,MATCH($C360,商品マスタ!$B$6:$B$1005,0)),IFERROR(INDEX(①今日の在庫を貼る!$Q$6:$Q$10005,MATCH($C360,①今日の在庫を貼る!$I$6:$I$10005,0)),IFERROR(INDEX(月1回_前回の在庫を貼る!$Q$6:$Q$10005,MATCH($C360,月1回_前回の在庫を貼る!$I$6:$I$10005,0)),""))))</f>
        <v/>
      </c>
      <c r="I360" s="66" t="str">
        <f aca="false">IF($C360="","",IFERROR(INDEX(商品マスタ!$H$6:$H$1005,MATCH($C360,商品マスタ!$B$6:$B$1005,0)),3))</f>
        <v/>
      </c>
      <c r="J360" s="66" t="str">
        <f aca="false">IF($C360="","",MAX(1,IFERROR(INDEX(商品マスタ!$I$6:$I$1005,MATCH($C360,商品マスタ!$B$6:$B$1005,0)),1)))</f>
        <v/>
      </c>
      <c r="K360" s="69" t="str">
        <f aca="false">IF($C360="","",SUMIFS(①今日の在庫を貼る!$N$6:$N$10005,①今日の在庫を貼る!$B$6:$B$10005,'設定（最初に1回）'!$C$4,①今日の在庫を貼る!$I$6:$I$10005,$C360))</f>
        <v/>
      </c>
      <c r="L360" s="69" t="str">
        <f aca="false">IF($C360="","",SUMIFS(月1回_前回の在庫を貼る!$N$6:$N$10005,月1回_前回の在庫を貼る!$B$6:$B$10005,'設定（最初に1回）'!$C$4,月1回_前回の在庫を貼る!$I$6:$I$10005,$C360))</f>
        <v/>
      </c>
      <c r="M360" s="69" t="str">
        <f aca="false">IF($C360="","",IF(OR('設定（最初に1回）'!$C$6="",'設定（最初に1回）'!$C$7=""),0,SUMIFS(発注管理!$S$6:$S$1005,発注管理!$C$6:$C$1005,'設定（最初に1回）'!$C$4,発注管理!$F$6:$F$1005,$C360,発注管理!$R$6:$R$1005,"&gt;="&amp;'設定（最初に1回）'!$C$7,発注管理!$R$6:$R$1005,"&lt;="&amp;'設定（最初に1回）'!$C$6)))</f>
        <v/>
      </c>
      <c r="N360" s="69" t="str">
        <f aca="false">IF(OR($C360="",'設定（最初に1回）'!$C$15=0),"",$L360+$M360-$K360)</f>
        <v/>
      </c>
      <c r="O360" s="143" t="str">
        <f aca="false">IF(OR($N360="",'設定（最初に1回）'!$C$8="",'設定（最初に1回）'!$C$8&lt;=0),"",MAX(0,$N360)/'設定（最初に1回）'!$C$8)</f>
        <v/>
      </c>
      <c r="P360" s="143" t="str">
        <f aca="false">IF($C360="","",IFERROR(INDEX(商品マスタ!$M$6:$N$1005,MATCH($C360,商品マスタ!$B$6:$B$1005,0),MATCH("PI値 "&amp;'設定（最初に1回）'!$C$11,商品マスタ!$M$5:$N$5,0)),""))</f>
        <v/>
      </c>
      <c r="Q360" s="143" t="str">
        <f aca="false">IF(OR($C360="",$P360="",$P360=0,(N($I360)+N($AG360))&lt;=0),"",IFERROR(SUMIFS(随時_動員を入れる!$G$8:$G$97,随時_動員を入れる!$B$8:$B$97,"&gt;="&amp;'設定（最初に1回）'!$C$6,随時_動員を入れる!$B$8:$B$97,"&lt;="&amp;'設定（最初に1回）'!$C$6+(N($I360)+N($AG360))-1)/(N($I360)+N($AG360)),0)*$P360/100)</f>
        <v/>
      </c>
      <c r="R360" s="69" t="str">
        <f aca="false">IF($C360="","",SUMIFS(①今日の在庫を貼る!$O$6:$O$10005,①今日の在庫を貼る!$B$6:$B$10005,'設定（最初に1回）'!$C$4,①今日の在庫を貼る!$I$6:$I$10005,$C360))</f>
        <v/>
      </c>
      <c r="S360" s="143" t="str">
        <f aca="false">IF($C360="","",IF('設定（最初に1回）'!$C$9="実績消費",N($O360),IF('設定（最初に1回）'!$C$9="PI値予測",N($Q360),MAX(N($O360),N($Q360)))))</f>
        <v/>
      </c>
      <c r="T360" s="67" t="str">
        <f aca="false">IF(OR($S360="",$S360&lt;=0),"",$K360/$S360)</f>
        <v/>
      </c>
      <c r="U360" s="69" t="str">
        <f aca="false">IF($S360="","",ROUNDUP(N($S360)*'設定（最初に1回）'!$C$12,0))</f>
        <v/>
      </c>
      <c r="V360" s="69" t="str">
        <f aca="false">IF($C360="","",ROUNDUP(N($S360)*(N($I360)+N($AG360))+N($U360),0))</f>
        <v/>
      </c>
      <c r="W360" s="69" t="str">
        <f aca="false">IF($C360="","",SUMIFS(発注管理!$L$6:$L$1005,発注管理!$C$6:$C$1005,'設定（最初に1回）'!$C$4,発注管理!$F$6:$F$1005,$C360,発注管理!$Q$6:$Q$1005,"発注済"))</f>
        <v/>
      </c>
      <c r="X360" s="69" t="str">
        <f aca="false">IF($C360="","",MAX(0,N($V360)-N($K360)-N($W360)))</f>
        <v/>
      </c>
      <c r="Y360" s="147" t="str">
        <f aca="false">IF($C360="","",IF(N($X360)&lt;=0,0,CEILING($X360/MAX(1,N($G360)),MAX(1,N($J360)))))</f>
        <v/>
      </c>
      <c r="Z360" s="138" t="str">
        <f aca="false">IF($C360="","",IF(N($Y360)&gt;0,"要発注","正常"))</f>
        <v/>
      </c>
      <c r="AA360" s="71" t="str">
        <f aca="false">IF($C360="","",N($K360)*N($H360))</f>
        <v/>
      </c>
      <c r="AB360" s="66" t="str">
        <f aca="false">IF($C360="","",_xlfn.TEXTJOIN(" / ",TRUE(),IF(COUNTIF(商品マスタ!$B$6:$B$1005,$C360)=0,"マスタ未登録",""),IF(COUNTIFS(月1回_前回の在庫を貼る!$B$6:$B$10005,'設定（最初に1回）'!$C$4,月1回_前回の在庫を貼る!$I$6:$I$10005,$C360)=0,"新商品",""),IF(COUNTIFS(①今日の在庫を貼る!$B$6:$B$10005,'設定（最初に1回）'!$C$4,①今日の在庫を貼る!$I$6:$I$10005,$C360)=0,"終売候補",""),IF(N($K360)&lt;0,"在庫マイナス",""),IF(AND('設定（最初に1回）'!$C$9="PI値予測",$P360=""),"PI値未設定","")))</f>
        <v/>
      </c>
      <c r="AC360" s="71" t="n">
        <f aca="false">N($Y360)*N($H360)</f>
        <v>0</v>
      </c>
      <c r="AD360" s="66" t="str">
        <f aca="false">IF($C360="","",IFERROR(INDEX(商品マスタ!$K$6:$K$1005,MATCH($C360,商品マスタ!$B$6:$B$1005,0)),"常温"))</f>
        <v/>
      </c>
      <c r="AE360" s="69" t="str">
        <f aca="false">IF($C360="","",MAX(0,ROUNDUP(N($K360)/MAX(1,N($G360)),0)))</f>
        <v/>
      </c>
      <c r="AF360" s="66" t="str">
        <f aca="false">IF($C360="","",IFERROR(INDEX(商品マスタ!$L$6:$L$1005,MATCH($C360,商品マスタ!$B$6:$B$1005,0)),""))</f>
        <v/>
      </c>
      <c r="AG360" s="143" t="str">
        <f aca="false">IF($C360="","",IFERROR(INDEX(定数マスタ!$S$110:$S$119,MATCH($AF360,定数マスタ!$J$110:$J$119,0)),N('設定（最初に1回）'!$C$13)))</f>
        <v/>
      </c>
      <c r="AH360" s="66" t="n">
        <f aca="false">IF(AND(N($K360)&gt;0,N($Y360)&gt;0),N($Y360),0)</f>
        <v>0</v>
      </c>
    </row>
    <row r="361" customFormat="false" ht="15" hidden="false" customHeight="false" outlineLevel="0" collapsed="false">
      <c r="B361" s="66" t="n">
        <v>356</v>
      </c>
      <c r="C361" s="66" t="str">
        <f aca="false">IFERROR(IF($B361&lt;=MAX(①今日の在庫を貼る!$U$6:$U$10005),INDEX(①今日の在庫を貼る!$I$6:$I$10005,MATCH($B361,①今日の在庫を貼る!$U$6:$U$10005,0)),INDEX(月1回_前回の在庫を貼る!$I$6:$I$10005,MATCH($B361-MAX(①今日の在庫を貼る!$U$6:$U$10005),月1回_前回の在庫を貼る!$U$6:$U$10005,0))),"")</f>
        <v/>
      </c>
      <c r="D361" s="66" t="str">
        <f aca="false">IF($C361="","",IFERROR(INDEX(商品マスタ!$C$6:$C$1005,MATCH($C361,商品マスタ!$B$6:$B$1005,0)),IFERROR(INDEX(①今日の在庫を貼る!$J$6:$J$10005,MATCH($C361,①今日の在庫を貼る!$I$6:$I$10005,0)),IFERROR(INDEX(月1回_前回の在庫を貼る!$J$6:$J$10005,MATCH($C361,月1回_前回の在庫を貼る!$I$6:$I$10005,0)),""))))</f>
        <v/>
      </c>
      <c r="E361" s="66" t="str">
        <f aca="false">IF($C361="","",IFERROR(INDEX(商品マスタ!$D$6:$D$1005,MATCH($C361,商品マスタ!$B$6:$B$1005,0)),IFERROR(INDEX(①今日の在庫を貼る!$H$6:$H$10005,MATCH($C361,①今日の在庫を貼る!$I$6:$I$10005,0)),IFERROR(INDEX(月1回_前回の在庫を貼る!$H$6:$H$10005,MATCH($C361,月1回_前回の在庫を貼る!$I$6:$I$10005,0)),""))))</f>
        <v/>
      </c>
      <c r="F361" s="66" t="str">
        <f aca="false">IF($C361="","",IFERROR(INDEX(商品マスタ!$E$6:$E$1005,MATCH($C361,商品マスタ!$B$6:$B$1005,0)),IFERROR(INDEX(①今日の在庫を貼る!$E$6:$E$10005,MATCH($C361,①今日の在庫を貼る!$I$6:$I$10005,0)),IFERROR(INDEX(月1回_前回の在庫を貼る!$E$6:$E$10005,MATCH($C361,月1回_前回の在庫を貼る!$I$6:$I$10005,0)),""))))</f>
        <v/>
      </c>
      <c r="G361" s="69" t="str">
        <f aca="false">IF($C361="","",IFERROR(INDEX(商品マスタ!$F$6:$F$1005,MATCH($C361,商品マスタ!$B$6:$B$1005,0)),IFERROR(INDEX(①今日の在庫を貼る!$K$6:$K$10005,MATCH($C361,①今日の在庫を貼る!$I$6:$I$10005,0)),IFERROR(INDEX(月1回_前回の在庫を貼る!$K$6:$K$10005,MATCH($C361,月1回_前回の在庫を貼る!$I$6:$I$10005,0)),""))))</f>
        <v/>
      </c>
      <c r="H361" s="71" t="str">
        <f aca="false">IF($C361="","",IFERROR(INDEX(商品マスタ!$G$6:$G$1005,MATCH($C361,商品マスタ!$B$6:$B$1005,0)),IFERROR(INDEX(①今日の在庫を貼る!$Q$6:$Q$10005,MATCH($C361,①今日の在庫を貼る!$I$6:$I$10005,0)),IFERROR(INDEX(月1回_前回の在庫を貼る!$Q$6:$Q$10005,MATCH($C361,月1回_前回の在庫を貼る!$I$6:$I$10005,0)),""))))</f>
        <v/>
      </c>
      <c r="I361" s="66" t="str">
        <f aca="false">IF($C361="","",IFERROR(INDEX(商品マスタ!$H$6:$H$1005,MATCH($C361,商品マスタ!$B$6:$B$1005,0)),3))</f>
        <v/>
      </c>
      <c r="J361" s="66" t="str">
        <f aca="false">IF($C361="","",MAX(1,IFERROR(INDEX(商品マスタ!$I$6:$I$1005,MATCH($C361,商品マスタ!$B$6:$B$1005,0)),1)))</f>
        <v/>
      </c>
      <c r="K361" s="69" t="str">
        <f aca="false">IF($C361="","",SUMIFS(①今日の在庫を貼る!$N$6:$N$10005,①今日の在庫を貼る!$B$6:$B$10005,'設定（最初に1回）'!$C$4,①今日の在庫を貼る!$I$6:$I$10005,$C361))</f>
        <v/>
      </c>
      <c r="L361" s="69" t="str">
        <f aca="false">IF($C361="","",SUMIFS(月1回_前回の在庫を貼る!$N$6:$N$10005,月1回_前回の在庫を貼る!$B$6:$B$10005,'設定（最初に1回）'!$C$4,月1回_前回の在庫を貼る!$I$6:$I$10005,$C361))</f>
        <v/>
      </c>
      <c r="M361" s="69" t="str">
        <f aca="false">IF($C361="","",IF(OR('設定（最初に1回）'!$C$6="",'設定（最初に1回）'!$C$7=""),0,SUMIFS(発注管理!$S$6:$S$1005,発注管理!$C$6:$C$1005,'設定（最初に1回）'!$C$4,発注管理!$F$6:$F$1005,$C361,発注管理!$R$6:$R$1005,"&gt;="&amp;'設定（最初に1回）'!$C$7,発注管理!$R$6:$R$1005,"&lt;="&amp;'設定（最初に1回）'!$C$6)))</f>
        <v/>
      </c>
      <c r="N361" s="69" t="str">
        <f aca="false">IF(OR($C361="",'設定（最初に1回）'!$C$15=0),"",$L361+$M361-$K361)</f>
        <v/>
      </c>
      <c r="O361" s="143" t="str">
        <f aca="false">IF(OR($N361="",'設定（最初に1回）'!$C$8="",'設定（最初に1回）'!$C$8&lt;=0),"",MAX(0,$N361)/'設定（最初に1回）'!$C$8)</f>
        <v/>
      </c>
      <c r="P361" s="143" t="str">
        <f aca="false">IF($C361="","",IFERROR(INDEX(商品マスタ!$M$6:$N$1005,MATCH($C361,商品マスタ!$B$6:$B$1005,0),MATCH("PI値 "&amp;'設定（最初に1回）'!$C$11,商品マスタ!$M$5:$N$5,0)),""))</f>
        <v/>
      </c>
      <c r="Q361" s="143" t="str">
        <f aca="false">IF(OR($C361="",$P361="",$P361=0,(N($I361)+N($AG361))&lt;=0),"",IFERROR(SUMIFS(随時_動員を入れる!$G$8:$G$97,随時_動員を入れる!$B$8:$B$97,"&gt;="&amp;'設定（最初に1回）'!$C$6,随時_動員を入れる!$B$8:$B$97,"&lt;="&amp;'設定（最初に1回）'!$C$6+(N($I361)+N($AG361))-1)/(N($I361)+N($AG361)),0)*$P361/100)</f>
        <v/>
      </c>
      <c r="R361" s="69" t="str">
        <f aca="false">IF($C361="","",SUMIFS(①今日の在庫を貼る!$O$6:$O$10005,①今日の在庫を貼る!$B$6:$B$10005,'設定（最初に1回）'!$C$4,①今日の在庫を貼る!$I$6:$I$10005,$C361))</f>
        <v/>
      </c>
      <c r="S361" s="143" t="str">
        <f aca="false">IF($C361="","",IF('設定（最初に1回）'!$C$9="実績消費",N($O361),IF('設定（最初に1回）'!$C$9="PI値予測",N($Q361),MAX(N($O361),N($Q361)))))</f>
        <v/>
      </c>
      <c r="T361" s="67" t="str">
        <f aca="false">IF(OR($S361="",$S361&lt;=0),"",$K361/$S361)</f>
        <v/>
      </c>
      <c r="U361" s="69" t="str">
        <f aca="false">IF($S361="","",ROUNDUP(N($S361)*'設定（最初に1回）'!$C$12,0))</f>
        <v/>
      </c>
      <c r="V361" s="69" t="str">
        <f aca="false">IF($C361="","",ROUNDUP(N($S361)*(N($I361)+N($AG361))+N($U361),0))</f>
        <v/>
      </c>
      <c r="W361" s="69" t="str">
        <f aca="false">IF($C361="","",SUMIFS(発注管理!$L$6:$L$1005,発注管理!$C$6:$C$1005,'設定（最初に1回）'!$C$4,発注管理!$F$6:$F$1005,$C361,発注管理!$Q$6:$Q$1005,"発注済"))</f>
        <v/>
      </c>
      <c r="X361" s="69" t="str">
        <f aca="false">IF($C361="","",MAX(0,N($V361)-N($K361)-N($W361)))</f>
        <v/>
      </c>
      <c r="Y361" s="147" t="str">
        <f aca="false">IF($C361="","",IF(N($X361)&lt;=0,0,CEILING($X361/MAX(1,N($G361)),MAX(1,N($J361)))))</f>
        <v/>
      </c>
      <c r="Z361" s="138" t="str">
        <f aca="false">IF($C361="","",IF(N($Y361)&gt;0,"要発注","正常"))</f>
        <v/>
      </c>
      <c r="AA361" s="71" t="str">
        <f aca="false">IF($C361="","",N($K361)*N($H361))</f>
        <v/>
      </c>
      <c r="AB361" s="66" t="str">
        <f aca="false">IF($C361="","",_xlfn.TEXTJOIN(" / ",TRUE(),IF(COUNTIF(商品マスタ!$B$6:$B$1005,$C361)=0,"マスタ未登録",""),IF(COUNTIFS(月1回_前回の在庫を貼る!$B$6:$B$10005,'設定（最初に1回）'!$C$4,月1回_前回の在庫を貼る!$I$6:$I$10005,$C361)=0,"新商品",""),IF(COUNTIFS(①今日の在庫を貼る!$B$6:$B$10005,'設定（最初に1回）'!$C$4,①今日の在庫を貼る!$I$6:$I$10005,$C361)=0,"終売候補",""),IF(N($K361)&lt;0,"在庫マイナス",""),IF(AND('設定（最初に1回）'!$C$9="PI値予測",$P361=""),"PI値未設定","")))</f>
        <v/>
      </c>
      <c r="AC361" s="71" t="n">
        <f aca="false">N($Y361)*N($H361)</f>
        <v>0</v>
      </c>
      <c r="AD361" s="66" t="str">
        <f aca="false">IF($C361="","",IFERROR(INDEX(商品マスタ!$K$6:$K$1005,MATCH($C361,商品マスタ!$B$6:$B$1005,0)),"常温"))</f>
        <v/>
      </c>
      <c r="AE361" s="69" t="str">
        <f aca="false">IF($C361="","",MAX(0,ROUNDUP(N($K361)/MAX(1,N($G361)),0)))</f>
        <v/>
      </c>
      <c r="AF361" s="66" t="str">
        <f aca="false">IF($C361="","",IFERROR(INDEX(商品マスタ!$L$6:$L$1005,MATCH($C361,商品マスタ!$B$6:$B$1005,0)),""))</f>
        <v/>
      </c>
      <c r="AG361" s="143" t="str">
        <f aca="false">IF($C361="","",IFERROR(INDEX(定数マスタ!$S$110:$S$119,MATCH($AF361,定数マスタ!$J$110:$J$119,0)),N('設定（最初に1回）'!$C$13)))</f>
        <v/>
      </c>
      <c r="AH361" s="66" t="n">
        <f aca="false">IF(AND(N($K361)&gt;0,N($Y361)&gt;0),N($Y361),0)</f>
        <v>0</v>
      </c>
    </row>
    <row r="362" customFormat="false" ht="15" hidden="false" customHeight="false" outlineLevel="0" collapsed="false">
      <c r="B362" s="66" t="n">
        <v>357</v>
      </c>
      <c r="C362" s="66" t="str">
        <f aca="false">IFERROR(IF($B362&lt;=MAX(①今日の在庫を貼る!$U$6:$U$10005),INDEX(①今日の在庫を貼る!$I$6:$I$10005,MATCH($B362,①今日の在庫を貼る!$U$6:$U$10005,0)),INDEX(月1回_前回の在庫を貼る!$I$6:$I$10005,MATCH($B362-MAX(①今日の在庫を貼る!$U$6:$U$10005),月1回_前回の在庫を貼る!$U$6:$U$10005,0))),"")</f>
        <v/>
      </c>
      <c r="D362" s="66" t="str">
        <f aca="false">IF($C362="","",IFERROR(INDEX(商品マスタ!$C$6:$C$1005,MATCH($C362,商品マスタ!$B$6:$B$1005,0)),IFERROR(INDEX(①今日の在庫を貼る!$J$6:$J$10005,MATCH($C362,①今日の在庫を貼る!$I$6:$I$10005,0)),IFERROR(INDEX(月1回_前回の在庫を貼る!$J$6:$J$10005,MATCH($C362,月1回_前回の在庫を貼る!$I$6:$I$10005,0)),""))))</f>
        <v/>
      </c>
      <c r="E362" s="66" t="str">
        <f aca="false">IF($C362="","",IFERROR(INDEX(商品マスタ!$D$6:$D$1005,MATCH($C362,商品マスタ!$B$6:$B$1005,0)),IFERROR(INDEX(①今日の在庫を貼る!$H$6:$H$10005,MATCH($C362,①今日の在庫を貼る!$I$6:$I$10005,0)),IFERROR(INDEX(月1回_前回の在庫を貼る!$H$6:$H$10005,MATCH($C362,月1回_前回の在庫を貼る!$I$6:$I$10005,0)),""))))</f>
        <v/>
      </c>
      <c r="F362" s="66" t="str">
        <f aca="false">IF($C362="","",IFERROR(INDEX(商品マスタ!$E$6:$E$1005,MATCH($C362,商品マスタ!$B$6:$B$1005,0)),IFERROR(INDEX(①今日の在庫を貼る!$E$6:$E$10005,MATCH($C362,①今日の在庫を貼る!$I$6:$I$10005,0)),IFERROR(INDEX(月1回_前回の在庫を貼る!$E$6:$E$10005,MATCH($C362,月1回_前回の在庫を貼る!$I$6:$I$10005,0)),""))))</f>
        <v/>
      </c>
      <c r="G362" s="69" t="str">
        <f aca="false">IF($C362="","",IFERROR(INDEX(商品マスタ!$F$6:$F$1005,MATCH($C362,商品マスタ!$B$6:$B$1005,0)),IFERROR(INDEX(①今日の在庫を貼る!$K$6:$K$10005,MATCH($C362,①今日の在庫を貼る!$I$6:$I$10005,0)),IFERROR(INDEX(月1回_前回の在庫を貼る!$K$6:$K$10005,MATCH($C362,月1回_前回の在庫を貼る!$I$6:$I$10005,0)),""))))</f>
        <v/>
      </c>
      <c r="H362" s="71" t="str">
        <f aca="false">IF($C362="","",IFERROR(INDEX(商品マスタ!$G$6:$G$1005,MATCH($C362,商品マスタ!$B$6:$B$1005,0)),IFERROR(INDEX(①今日の在庫を貼る!$Q$6:$Q$10005,MATCH($C362,①今日の在庫を貼る!$I$6:$I$10005,0)),IFERROR(INDEX(月1回_前回の在庫を貼る!$Q$6:$Q$10005,MATCH($C362,月1回_前回の在庫を貼る!$I$6:$I$10005,0)),""))))</f>
        <v/>
      </c>
      <c r="I362" s="66" t="str">
        <f aca="false">IF($C362="","",IFERROR(INDEX(商品マスタ!$H$6:$H$1005,MATCH($C362,商品マスタ!$B$6:$B$1005,0)),3))</f>
        <v/>
      </c>
      <c r="J362" s="66" t="str">
        <f aca="false">IF($C362="","",MAX(1,IFERROR(INDEX(商品マスタ!$I$6:$I$1005,MATCH($C362,商品マスタ!$B$6:$B$1005,0)),1)))</f>
        <v/>
      </c>
      <c r="K362" s="69" t="str">
        <f aca="false">IF($C362="","",SUMIFS(①今日の在庫を貼る!$N$6:$N$10005,①今日の在庫を貼る!$B$6:$B$10005,'設定（最初に1回）'!$C$4,①今日の在庫を貼る!$I$6:$I$10005,$C362))</f>
        <v/>
      </c>
      <c r="L362" s="69" t="str">
        <f aca="false">IF($C362="","",SUMIFS(月1回_前回の在庫を貼る!$N$6:$N$10005,月1回_前回の在庫を貼る!$B$6:$B$10005,'設定（最初に1回）'!$C$4,月1回_前回の在庫を貼る!$I$6:$I$10005,$C362))</f>
        <v/>
      </c>
      <c r="M362" s="69" t="str">
        <f aca="false">IF($C362="","",IF(OR('設定（最初に1回）'!$C$6="",'設定（最初に1回）'!$C$7=""),0,SUMIFS(発注管理!$S$6:$S$1005,発注管理!$C$6:$C$1005,'設定（最初に1回）'!$C$4,発注管理!$F$6:$F$1005,$C362,発注管理!$R$6:$R$1005,"&gt;="&amp;'設定（最初に1回）'!$C$7,発注管理!$R$6:$R$1005,"&lt;="&amp;'設定（最初に1回）'!$C$6)))</f>
        <v/>
      </c>
      <c r="N362" s="69" t="str">
        <f aca="false">IF(OR($C362="",'設定（最初に1回）'!$C$15=0),"",$L362+$M362-$K362)</f>
        <v/>
      </c>
      <c r="O362" s="143" t="str">
        <f aca="false">IF(OR($N362="",'設定（最初に1回）'!$C$8="",'設定（最初に1回）'!$C$8&lt;=0),"",MAX(0,$N362)/'設定（最初に1回）'!$C$8)</f>
        <v/>
      </c>
      <c r="P362" s="143" t="str">
        <f aca="false">IF($C362="","",IFERROR(INDEX(商品マスタ!$M$6:$N$1005,MATCH($C362,商品マスタ!$B$6:$B$1005,0),MATCH("PI値 "&amp;'設定（最初に1回）'!$C$11,商品マスタ!$M$5:$N$5,0)),""))</f>
        <v/>
      </c>
      <c r="Q362" s="143" t="str">
        <f aca="false">IF(OR($C362="",$P362="",$P362=0,(N($I362)+N($AG362))&lt;=0),"",IFERROR(SUMIFS(随時_動員を入れる!$G$8:$G$97,随時_動員を入れる!$B$8:$B$97,"&gt;="&amp;'設定（最初に1回）'!$C$6,随時_動員を入れる!$B$8:$B$97,"&lt;="&amp;'設定（最初に1回）'!$C$6+(N($I362)+N($AG362))-1)/(N($I362)+N($AG362)),0)*$P362/100)</f>
        <v/>
      </c>
      <c r="R362" s="69" t="str">
        <f aca="false">IF($C362="","",SUMIFS(①今日の在庫を貼る!$O$6:$O$10005,①今日の在庫を貼る!$B$6:$B$10005,'設定（最初に1回）'!$C$4,①今日の在庫を貼る!$I$6:$I$10005,$C362))</f>
        <v/>
      </c>
      <c r="S362" s="143" t="str">
        <f aca="false">IF($C362="","",IF('設定（最初に1回）'!$C$9="実績消費",N($O362),IF('設定（最初に1回）'!$C$9="PI値予測",N($Q362),MAX(N($O362),N($Q362)))))</f>
        <v/>
      </c>
      <c r="T362" s="67" t="str">
        <f aca="false">IF(OR($S362="",$S362&lt;=0),"",$K362/$S362)</f>
        <v/>
      </c>
      <c r="U362" s="69" t="str">
        <f aca="false">IF($S362="","",ROUNDUP(N($S362)*'設定（最初に1回）'!$C$12,0))</f>
        <v/>
      </c>
      <c r="V362" s="69" t="str">
        <f aca="false">IF($C362="","",ROUNDUP(N($S362)*(N($I362)+N($AG362))+N($U362),0))</f>
        <v/>
      </c>
      <c r="W362" s="69" t="str">
        <f aca="false">IF($C362="","",SUMIFS(発注管理!$L$6:$L$1005,発注管理!$C$6:$C$1005,'設定（最初に1回）'!$C$4,発注管理!$F$6:$F$1005,$C362,発注管理!$Q$6:$Q$1005,"発注済"))</f>
        <v/>
      </c>
      <c r="X362" s="69" t="str">
        <f aca="false">IF($C362="","",MAX(0,N($V362)-N($K362)-N($W362)))</f>
        <v/>
      </c>
      <c r="Y362" s="147" t="str">
        <f aca="false">IF($C362="","",IF(N($X362)&lt;=0,0,CEILING($X362/MAX(1,N($G362)),MAX(1,N($J362)))))</f>
        <v/>
      </c>
      <c r="Z362" s="138" t="str">
        <f aca="false">IF($C362="","",IF(N($Y362)&gt;0,"要発注","正常"))</f>
        <v/>
      </c>
      <c r="AA362" s="71" t="str">
        <f aca="false">IF($C362="","",N($K362)*N($H362))</f>
        <v/>
      </c>
      <c r="AB362" s="66" t="str">
        <f aca="false">IF($C362="","",_xlfn.TEXTJOIN(" / ",TRUE(),IF(COUNTIF(商品マスタ!$B$6:$B$1005,$C362)=0,"マスタ未登録",""),IF(COUNTIFS(月1回_前回の在庫を貼る!$B$6:$B$10005,'設定（最初に1回）'!$C$4,月1回_前回の在庫を貼る!$I$6:$I$10005,$C362)=0,"新商品",""),IF(COUNTIFS(①今日の在庫を貼る!$B$6:$B$10005,'設定（最初に1回）'!$C$4,①今日の在庫を貼る!$I$6:$I$10005,$C362)=0,"終売候補",""),IF(N($K362)&lt;0,"在庫マイナス",""),IF(AND('設定（最初に1回）'!$C$9="PI値予測",$P362=""),"PI値未設定","")))</f>
        <v/>
      </c>
      <c r="AC362" s="71" t="n">
        <f aca="false">N($Y362)*N($H362)</f>
        <v>0</v>
      </c>
      <c r="AD362" s="66" t="str">
        <f aca="false">IF($C362="","",IFERROR(INDEX(商品マスタ!$K$6:$K$1005,MATCH($C362,商品マスタ!$B$6:$B$1005,0)),"常温"))</f>
        <v/>
      </c>
      <c r="AE362" s="69" t="str">
        <f aca="false">IF($C362="","",MAX(0,ROUNDUP(N($K362)/MAX(1,N($G362)),0)))</f>
        <v/>
      </c>
      <c r="AF362" s="66" t="str">
        <f aca="false">IF($C362="","",IFERROR(INDEX(商品マスタ!$L$6:$L$1005,MATCH($C362,商品マスタ!$B$6:$B$1005,0)),""))</f>
        <v/>
      </c>
      <c r="AG362" s="143" t="str">
        <f aca="false">IF($C362="","",IFERROR(INDEX(定数マスタ!$S$110:$S$119,MATCH($AF362,定数マスタ!$J$110:$J$119,0)),N('設定（最初に1回）'!$C$13)))</f>
        <v/>
      </c>
      <c r="AH362" s="66" t="n">
        <f aca="false">IF(AND(N($K362)&gt;0,N($Y362)&gt;0),N($Y362),0)</f>
        <v>0</v>
      </c>
    </row>
    <row r="363" customFormat="false" ht="15" hidden="false" customHeight="false" outlineLevel="0" collapsed="false">
      <c r="B363" s="66" t="n">
        <v>358</v>
      </c>
      <c r="C363" s="66" t="str">
        <f aca="false">IFERROR(IF($B363&lt;=MAX(①今日の在庫を貼る!$U$6:$U$10005),INDEX(①今日の在庫を貼る!$I$6:$I$10005,MATCH($B363,①今日の在庫を貼る!$U$6:$U$10005,0)),INDEX(月1回_前回の在庫を貼る!$I$6:$I$10005,MATCH($B363-MAX(①今日の在庫を貼る!$U$6:$U$10005),月1回_前回の在庫を貼る!$U$6:$U$10005,0))),"")</f>
        <v/>
      </c>
      <c r="D363" s="66" t="str">
        <f aca="false">IF($C363="","",IFERROR(INDEX(商品マスタ!$C$6:$C$1005,MATCH($C363,商品マスタ!$B$6:$B$1005,0)),IFERROR(INDEX(①今日の在庫を貼る!$J$6:$J$10005,MATCH($C363,①今日の在庫を貼る!$I$6:$I$10005,0)),IFERROR(INDEX(月1回_前回の在庫を貼る!$J$6:$J$10005,MATCH($C363,月1回_前回の在庫を貼る!$I$6:$I$10005,0)),""))))</f>
        <v/>
      </c>
      <c r="E363" s="66" t="str">
        <f aca="false">IF($C363="","",IFERROR(INDEX(商品マスタ!$D$6:$D$1005,MATCH($C363,商品マスタ!$B$6:$B$1005,0)),IFERROR(INDEX(①今日の在庫を貼る!$H$6:$H$10005,MATCH($C363,①今日の在庫を貼る!$I$6:$I$10005,0)),IFERROR(INDEX(月1回_前回の在庫を貼る!$H$6:$H$10005,MATCH($C363,月1回_前回の在庫を貼る!$I$6:$I$10005,0)),""))))</f>
        <v/>
      </c>
      <c r="F363" s="66" t="str">
        <f aca="false">IF($C363="","",IFERROR(INDEX(商品マスタ!$E$6:$E$1005,MATCH($C363,商品マスタ!$B$6:$B$1005,0)),IFERROR(INDEX(①今日の在庫を貼る!$E$6:$E$10005,MATCH($C363,①今日の在庫を貼る!$I$6:$I$10005,0)),IFERROR(INDEX(月1回_前回の在庫を貼る!$E$6:$E$10005,MATCH($C363,月1回_前回の在庫を貼る!$I$6:$I$10005,0)),""))))</f>
        <v/>
      </c>
      <c r="G363" s="69" t="str">
        <f aca="false">IF($C363="","",IFERROR(INDEX(商品マスタ!$F$6:$F$1005,MATCH($C363,商品マスタ!$B$6:$B$1005,0)),IFERROR(INDEX(①今日の在庫を貼る!$K$6:$K$10005,MATCH($C363,①今日の在庫を貼る!$I$6:$I$10005,0)),IFERROR(INDEX(月1回_前回の在庫を貼る!$K$6:$K$10005,MATCH($C363,月1回_前回の在庫を貼る!$I$6:$I$10005,0)),""))))</f>
        <v/>
      </c>
      <c r="H363" s="71" t="str">
        <f aca="false">IF($C363="","",IFERROR(INDEX(商品マスタ!$G$6:$G$1005,MATCH($C363,商品マスタ!$B$6:$B$1005,0)),IFERROR(INDEX(①今日の在庫を貼る!$Q$6:$Q$10005,MATCH($C363,①今日の在庫を貼る!$I$6:$I$10005,0)),IFERROR(INDEX(月1回_前回の在庫を貼る!$Q$6:$Q$10005,MATCH($C363,月1回_前回の在庫を貼る!$I$6:$I$10005,0)),""))))</f>
        <v/>
      </c>
      <c r="I363" s="66" t="str">
        <f aca="false">IF($C363="","",IFERROR(INDEX(商品マスタ!$H$6:$H$1005,MATCH($C363,商品マスタ!$B$6:$B$1005,0)),3))</f>
        <v/>
      </c>
      <c r="J363" s="66" t="str">
        <f aca="false">IF($C363="","",MAX(1,IFERROR(INDEX(商品マスタ!$I$6:$I$1005,MATCH($C363,商品マスタ!$B$6:$B$1005,0)),1)))</f>
        <v/>
      </c>
      <c r="K363" s="69" t="str">
        <f aca="false">IF($C363="","",SUMIFS(①今日の在庫を貼る!$N$6:$N$10005,①今日の在庫を貼る!$B$6:$B$10005,'設定（最初に1回）'!$C$4,①今日の在庫を貼る!$I$6:$I$10005,$C363))</f>
        <v/>
      </c>
      <c r="L363" s="69" t="str">
        <f aca="false">IF($C363="","",SUMIFS(月1回_前回の在庫を貼る!$N$6:$N$10005,月1回_前回の在庫を貼る!$B$6:$B$10005,'設定（最初に1回）'!$C$4,月1回_前回の在庫を貼る!$I$6:$I$10005,$C363))</f>
        <v/>
      </c>
      <c r="M363" s="69" t="str">
        <f aca="false">IF($C363="","",IF(OR('設定（最初に1回）'!$C$6="",'設定（最初に1回）'!$C$7=""),0,SUMIFS(発注管理!$S$6:$S$1005,発注管理!$C$6:$C$1005,'設定（最初に1回）'!$C$4,発注管理!$F$6:$F$1005,$C363,発注管理!$R$6:$R$1005,"&gt;="&amp;'設定（最初に1回）'!$C$7,発注管理!$R$6:$R$1005,"&lt;="&amp;'設定（最初に1回）'!$C$6)))</f>
        <v/>
      </c>
      <c r="N363" s="69" t="str">
        <f aca="false">IF(OR($C363="",'設定（最初に1回）'!$C$15=0),"",$L363+$M363-$K363)</f>
        <v/>
      </c>
      <c r="O363" s="143" t="str">
        <f aca="false">IF(OR($N363="",'設定（最初に1回）'!$C$8="",'設定（最初に1回）'!$C$8&lt;=0),"",MAX(0,$N363)/'設定（最初に1回）'!$C$8)</f>
        <v/>
      </c>
      <c r="P363" s="143" t="str">
        <f aca="false">IF($C363="","",IFERROR(INDEX(商品マスタ!$M$6:$N$1005,MATCH($C363,商品マスタ!$B$6:$B$1005,0),MATCH("PI値 "&amp;'設定（最初に1回）'!$C$11,商品マスタ!$M$5:$N$5,0)),""))</f>
        <v/>
      </c>
      <c r="Q363" s="143" t="str">
        <f aca="false">IF(OR($C363="",$P363="",$P363=0,(N($I363)+N($AG363))&lt;=0),"",IFERROR(SUMIFS(随時_動員を入れる!$G$8:$G$97,随時_動員を入れる!$B$8:$B$97,"&gt;="&amp;'設定（最初に1回）'!$C$6,随時_動員を入れる!$B$8:$B$97,"&lt;="&amp;'設定（最初に1回）'!$C$6+(N($I363)+N($AG363))-1)/(N($I363)+N($AG363)),0)*$P363/100)</f>
        <v/>
      </c>
      <c r="R363" s="69" t="str">
        <f aca="false">IF($C363="","",SUMIFS(①今日の在庫を貼る!$O$6:$O$10005,①今日の在庫を貼る!$B$6:$B$10005,'設定（最初に1回）'!$C$4,①今日の在庫を貼る!$I$6:$I$10005,$C363))</f>
        <v/>
      </c>
      <c r="S363" s="143" t="str">
        <f aca="false">IF($C363="","",IF('設定（最初に1回）'!$C$9="実績消費",N($O363),IF('設定（最初に1回）'!$C$9="PI値予測",N($Q363),MAX(N($O363),N($Q363)))))</f>
        <v/>
      </c>
      <c r="T363" s="67" t="str">
        <f aca="false">IF(OR($S363="",$S363&lt;=0),"",$K363/$S363)</f>
        <v/>
      </c>
      <c r="U363" s="69" t="str">
        <f aca="false">IF($S363="","",ROUNDUP(N($S363)*'設定（最初に1回）'!$C$12,0))</f>
        <v/>
      </c>
      <c r="V363" s="69" t="str">
        <f aca="false">IF($C363="","",ROUNDUP(N($S363)*(N($I363)+N($AG363))+N($U363),0))</f>
        <v/>
      </c>
      <c r="W363" s="69" t="str">
        <f aca="false">IF($C363="","",SUMIFS(発注管理!$L$6:$L$1005,発注管理!$C$6:$C$1005,'設定（最初に1回）'!$C$4,発注管理!$F$6:$F$1005,$C363,発注管理!$Q$6:$Q$1005,"発注済"))</f>
        <v/>
      </c>
      <c r="X363" s="69" t="str">
        <f aca="false">IF($C363="","",MAX(0,N($V363)-N($K363)-N($W363)))</f>
        <v/>
      </c>
      <c r="Y363" s="147" t="str">
        <f aca="false">IF($C363="","",IF(N($X363)&lt;=0,0,CEILING($X363/MAX(1,N($G363)),MAX(1,N($J363)))))</f>
        <v/>
      </c>
      <c r="Z363" s="138" t="str">
        <f aca="false">IF($C363="","",IF(N($Y363)&gt;0,"要発注","正常"))</f>
        <v/>
      </c>
      <c r="AA363" s="71" t="str">
        <f aca="false">IF($C363="","",N($K363)*N($H363))</f>
        <v/>
      </c>
      <c r="AB363" s="66" t="str">
        <f aca="false">IF($C363="","",_xlfn.TEXTJOIN(" / ",TRUE(),IF(COUNTIF(商品マスタ!$B$6:$B$1005,$C363)=0,"マスタ未登録",""),IF(COUNTIFS(月1回_前回の在庫を貼る!$B$6:$B$10005,'設定（最初に1回）'!$C$4,月1回_前回の在庫を貼る!$I$6:$I$10005,$C363)=0,"新商品",""),IF(COUNTIFS(①今日の在庫を貼る!$B$6:$B$10005,'設定（最初に1回）'!$C$4,①今日の在庫を貼る!$I$6:$I$10005,$C363)=0,"終売候補",""),IF(N($K363)&lt;0,"在庫マイナス",""),IF(AND('設定（最初に1回）'!$C$9="PI値予測",$P363=""),"PI値未設定","")))</f>
        <v/>
      </c>
      <c r="AC363" s="71" t="n">
        <f aca="false">N($Y363)*N($H363)</f>
        <v>0</v>
      </c>
      <c r="AD363" s="66" t="str">
        <f aca="false">IF($C363="","",IFERROR(INDEX(商品マスタ!$K$6:$K$1005,MATCH($C363,商品マスタ!$B$6:$B$1005,0)),"常温"))</f>
        <v/>
      </c>
      <c r="AE363" s="69" t="str">
        <f aca="false">IF($C363="","",MAX(0,ROUNDUP(N($K363)/MAX(1,N($G363)),0)))</f>
        <v/>
      </c>
      <c r="AF363" s="66" t="str">
        <f aca="false">IF($C363="","",IFERROR(INDEX(商品マスタ!$L$6:$L$1005,MATCH($C363,商品マスタ!$B$6:$B$1005,0)),""))</f>
        <v/>
      </c>
      <c r="AG363" s="143" t="str">
        <f aca="false">IF($C363="","",IFERROR(INDEX(定数マスタ!$S$110:$S$119,MATCH($AF363,定数マスタ!$J$110:$J$119,0)),N('設定（最初に1回）'!$C$13)))</f>
        <v/>
      </c>
      <c r="AH363" s="66" t="n">
        <f aca="false">IF(AND(N($K363)&gt;0,N($Y363)&gt;0),N($Y363),0)</f>
        <v>0</v>
      </c>
    </row>
    <row r="364" customFormat="false" ht="15" hidden="false" customHeight="false" outlineLevel="0" collapsed="false">
      <c r="B364" s="66" t="n">
        <v>359</v>
      </c>
      <c r="C364" s="66" t="str">
        <f aca="false">IFERROR(IF($B364&lt;=MAX(①今日の在庫を貼る!$U$6:$U$10005),INDEX(①今日の在庫を貼る!$I$6:$I$10005,MATCH($B364,①今日の在庫を貼る!$U$6:$U$10005,0)),INDEX(月1回_前回の在庫を貼る!$I$6:$I$10005,MATCH($B364-MAX(①今日の在庫を貼る!$U$6:$U$10005),月1回_前回の在庫を貼る!$U$6:$U$10005,0))),"")</f>
        <v/>
      </c>
      <c r="D364" s="66" t="str">
        <f aca="false">IF($C364="","",IFERROR(INDEX(商品マスタ!$C$6:$C$1005,MATCH($C364,商品マスタ!$B$6:$B$1005,0)),IFERROR(INDEX(①今日の在庫を貼る!$J$6:$J$10005,MATCH($C364,①今日の在庫を貼る!$I$6:$I$10005,0)),IFERROR(INDEX(月1回_前回の在庫を貼る!$J$6:$J$10005,MATCH($C364,月1回_前回の在庫を貼る!$I$6:$I$10005,0)),""))))</f>
        <v/>
      </c>
      <c r="E364" s="66" t="str">
        <f aca="false">IF($C364="","",IFERROR(INDEX(商品マスタ!$D$6:$D$1005,MATCH($C364,商品マスタ!$B$6:$B$1005,0)),IFERROR(INDEX(①今日の在庫を貼る!$H$6:$H$10005,MATCH($C364,①今日の在庫を貼る!$I$6:$I$10005,0)),IFERROR(INDEX(月1回_前回の在庫を貼る!$H$6:$H$10005,MATCH($C364,月1回_前回の在庫を貼る!$I$6:$I$10005,0)),""))))</f>
        <v/>
      </c>
      <c r="F364" s="66" t="str">
        <f aca="false">IF($C364="","",IFERROR(INDEX(商品マスタ!$E$6:$E$1005,MATCH($C364,商品マスタ!$B$6:$B$1005,0)),IFERROR(INDEX(①今日の在庫を貼る!$E$6:$E$10005,MATCH($C364,①今日の在庫を貼る!$I$6:$I$10005,0)),IFERROR(INDEX(月1回_前回の在庫を貼る!$E$6:$E$10005,MATCH($C364,月1回_前回の在庫を貼る!$I$6:$I$10005,0)),""))))</f>
        <v/>
      </c>
      <c r="G364" s="69" t="str">
        <f aca="false">IF($C364="","",IFERROR(INDEX(商品マスタ!$F$6:$F$1005,MATCH($C364,商品マスタ!$B$6:$B$1005,0)),IFERROR(INDEX(①今日の在庫を貼る!$K$6:$K$10005,MATCH($C364,①今日の在庫を貼る!$I$6:$I$10005,0)),IFERROR(INDEX(月1回_前回の在庫を貼る!$K$6:$K$10005,MATCH($C364,月1回_前回の在庫を貼る!$I$6:$I$10005,0)),""))))</f>
        <v/>
      </c>
      <c r="H364" s="71" t="str">
        <f aca="false">IF($C364="","",IFERROR(INDEX(商品マスタ!$G$6:$G$1005,MATCH($C364,商品マスタ!$B$6:$B$1005,0)),IFERROR(INDEX(①今日の在庫を貼る!$Q$6:$Q$10005,MATCH($C364,①今日の在庫を貼る!$I$6:$I$10005,0)),IFERROR(INDEX(月1回_前回の在庫を貼る!$Q$6:$Q$10005,MATCH($C364,月1回_前回の在庫を貼る!$I$6:$I$10005,0)),""))))</f>
        <v/>
      </c>
      <c r="I364" s="66" t="str">
        <f aca="false">IF($C364="","",IFERROR(INDEX(商品マスタ!$H$6:$H$1005,MATCH($C364,商品マスタ!$B$6:$B$1005,0)),3))</f>
        <v/>
      </c>
      <c r="J364" s="66" t="str">
        <f aca="false">IF($C364="","",MAX(1,IFERROR(INDEX(商品マスタ!$I$6:$I$1005,MATCH($C364,商品マスタ!$B$6:$B$1005,0)),1)))</f>
        <v/>
      </c>
      <c r="K364" s="69" t="str">
        <f aca="false">IF($C364="","",SUMIFS(①今日の在庫を貼る!$N$6:$N$10005,①今日の在庫を貼る!$B$6:$B$10005,'設定（最初に1回）'!$C$4,①今日の在庫を貼る!$I$6:$I$10005,$C364))</f>
        <v/>
      </c>
      <c r="L364" s="69" t="str">
        <f aca="false">IF($C364="","",SUMIFS(月1回_前回の在庫を貼る!$N$6:$N$10005,月1回_前回の在庫を貼る!$B$6:$B$10005,'設定（最初に1回）'!$C$4,月1回_前回の在庫を貼る!$I$6:$I$10005,$C364))</f>
        <v/>
      </c>
      <c r="M364" s="69" t="str">
        <f aca="false">IF($C364="","",IF(OR('設定（最初に1回）'!$C$6="",'設定（最初に1回）'!$C$7=""),0,SUMIFS(発注管理!$S$6:$S$1005,発注管理!$C$6:$C$1005,'設定（最初に1回）'!$C$4,発注管理!$F$6:$F$1005,$C364,発注管理!$R$6:$R$1005,"&gt;="&amp;'設定（最初に1回）'!$C$7,発注管理!$R$6:$R$1005,"&lt;="&amp;'設定（最初に1回）'!$C$6)))</f>
        <v/>
      </c>
      <c r="N364" s="69" t="str">
        <f aca="false">IF(OR($C364="",'設定（最初に1回）'!$C$15=0),"",$L364+$M364-$K364)</f>
        <v/>
      </c>
      <c r="O364" s="143" t="str">
        <f aca="false">IF(OR($N364="",'設定（最初に1回）'!$C$8="",'設定（最初に1回）'!$C$8&lt;=0),"",MAX(0,$N364)/'設定（最初に1回）'!$C$8)</f>
        <v/>
      </c>
      <c r="P364" s="143" t="str">
        <f aca="false">IF($C364="","",IFERROR(INDEX(商品マスタ!$M$6:$N$1005,MATCH($C364,商品マスタ!$B$6:$B$1005,0),MATCH("PI値 "&amp;'設定（最初に1回）'!$C$11,商品マスタ!$M$5:$N$5,0)),""))</f>
        <v/>
      </c>
      <c r="Q364" s="143" t="str">
        <f aca="false">IF(OR($C364="",$P364="",$P364=0,(N($I364)+N($AG364))&lt;=0),"",IFERROR(SUMIFS(随時_動員を入れる!$G$8:$G$97,随時_動員を入れる!$B$8:$B$97,"&gt;="&amp;'設定（最初に1回）'!$C$6,随時_動員を入れる!$B$8:$B$97,"&lt;="&amp;'設定（最初に1回）'!$C$6+(N($I364)+N($AG364))-1)/(N($I364)+N($AG364)),0)*$P364/100)</f>
        <v/>
      </c>
      <c r="R364" s="69" t="str">
        <f aca="false">IF($C364="","",SUMIFS(①今日の在庫を貼る!$O$6:$O$10005,①今日の在庫を貼る!$B$6:$B$10005,'設定（最初に1回）'!$C$4,①今日の在庫を貼る!$I$6:$I$10005,$C364))</f>
        <v/>
      </c>
      <c r="S364" s="143" t="str">
        <f aca="false">IF($C364="","",IF('設定（最初に1回）'!$C$9="実績消費",N($O364),IF('設定（最初に1回）'!$C$9="PI値予測",N($Q364),MAX(N($O364),N($Q364)))))</f>
        <v/>
      </c>
      <c r="T364" s="67" t="str">
        <f aca="false">IF(OR($S364="",$S364&lt;=0),"",$K364/$S364)</f>
        <v/>
      </c>
      <c r="U364" s="69" t="str">
        <f aca="false">IF($S364="","",ROUNDUP(N($S364)*'設定（最初に1回）'!$C$12,0))</f>
        <v/>
      </c>
      <c r="V364" s="69" t="str">
        <f aca="false">IF($C364="","",ROUNDUP(N($S364)*(N($I364)+N($AG364))+N($U364),0))</f>
        <v/>
      </c>
      <c r="W364" s="69" t="str">
        <f aca="false">IF($C364="","",SUMIFS(発注管理!$L$6:$L$1005,発注管理!$C$6:$C$1005,'設定（最初に1回）'!$C$4,発注管理!$F$6:$F$1005,$C364,発注管理!$Q$6:$Q$1005,"発注済"))</f>
        <v/>
      </c>
      <c r="X364" s="69" t="str">
        <f aca="false">IF($C364="","",MAX(0,N($V364)-N($K364)-N($W364)))</f>
        <v/>
      </c>
      <c r="Y364" s="147" t="str">
        <f aca="false">IF($C364="","",IF(N($X364)&lt;=0,0,CEILING($X364/MAX(1,N($G364)),MAX(1,N($J364)))))</f>
        <v/>
      </c>
      <c r="Z364" s="138" t="str">
        <f aca="false">IF($C364="","",IF(N($Y364)&gt;0,"要発注","正常"))</f>
        <v/>
      </c>
      <c r="AA364" s="71" t="str">
        <f aca="false">IF($C364="","",N($K364)*N($H364))</f>
        <v/>
      </c>
      <c r="AB364" s="66" t="str">
        <f aca="false">IF($C364="","",_xlfn.TEXTJOIN(" / ",TRUE(),IF(COUNTIF(商品マスタ!$B$6:$B$1005,$C364)=0,"マスタ未登録",""),IF(COUNTIFS(月1回_前回の在庫を貼る!$B$6:$B$10005,'設定（最初に1回）'!$C$4,月1回_前回の在庫を貼る!$I$6:$I$10005,$C364)=0,"新商品",""),IF(COUNTIFS(①今日の在庫を貼る!$B$6:$B$10005,'設定（最初に1回）'!$C$4,①今日の在庫を貼る!$I$6:$I$10005,$C364)=0,"終売候補",""),IF(N($K364)&lt;0,"在庫マイナス",""),IF(AND('設定（最初に1回）'!$C$9="PI値予測",$P364=""),"PI値未設定","")))</f>
        <v/>
      </c>
      <c r="AC364" s="71" t="n">
        <f aca="false">N($Y364)*N($H364)</f>
        <v>0</v>
      </c>
      <c r="AD364" s="66" t="str">
        <f aca="false">IF($C364="","",IFERROR(INDEX(商品マスタ!$K$6:$K$1005,MATCH($C364,商品マスタ!$B$6:$B$1005,0)),"常温"))</f>
        <v/>
      </c>
      <c r="AE364" s="69" t="str">
        <f aca="false">IF($C364="","",MAX(0,ROUNDUP(N($K364)/MAX(1,N($G364)),0)))</f>
        <v/>
      </c>
      <c r="AF364" s="66" t="str">
        <f aca="false">IF($C364="","",IFERROR(INDEX(商品マスタ!$L$6:$L$1005,MATCH($C364,商品マスタ!$B$6:$B$1005,0)),""))</f>
        <v/>
      </c>
      <c r="AG364" s="143" t="str">
        <f aca="false">IF($C364="","",IFERROR(INDEX(定数マスタ!$S$110:$S$119,MATCH($AF364,定数マスタ!$J$110:$J$119,0)),N('設定（最初に1回）'!$C$13)))</f>
        <v/>
      </c>
      <c r="AH364" s="66" t="n">
        <f aca="false">IF(AND(N($K364)&gt;0,N($Y364)&gt;0),N($Y364),0)</f>
        <v>0</v>
      </c>
    </row>
    <row r="365" customFormat="false" ht="15" hidden="false" customHeight="false" outlineLevel="0" collapsed="false">
      <c r="B365" s="66" t="n">
        <v>360</v>
      </c>
      <c r="C365" s="66" t="str">
        <f aca="false">IFERROR(IF($B365&lt;=MAX(①今日の在庫を貼る!$U$6:$U$10005),INDEX(①今日の在庫を貼る!$I$6:$I$10005,MATCH($B365,①今日の在庫を貼る!$U$6:$U$10005,0)),INDEX(月1回_前回の在庫を貼る!$I$6:$I$10005,MATCH($B365-MAX(①今日の在庫を貼る!$U$6:$U$10005),月1回_前回の在庫を貼る!$U$6:$U$10005,0))),"")</f>
        <v/>
      </c>
      <c r="D365" s="66" t="str">
        <f aca="false">IF($C365="","",IFERROR(INDEX(商品マスタ!$C$6:$C$1005,MATCH($C365,商品マスタ!$B$6:$B$1005,0)),IFERROR(INDEX(①今日の在庫を貼る!$J$6:$J$10005,MATCH($C365,①今日の在庫を貼る!$I$6:$I$10005,0)),IFERROR(INDEX(月1回_前回の在庫を貼る!$J$6:$J$10005,MATCH($C365,月1回_前回の在庫を貼る!$I$6:$I$10005,0)),""))))</f>
        <v/>
      </c>
      <c r="E365" s="66" t="str">
        <f aca="false">IF($C365="","",IFERROR(INDEX(商品マスタ!$D$6:$D$1005,MATCH($C365,商品マスタ!$B$6:$B$1005,0)),IFERROR(INDEX(①今日の在庫を貼る!$H$6:$H$10005,MATCH($C365,①今日の在庫を貼る!$I$6:$I$10005,0)),IFERROR(INDEX(月1回_前回の在庫を貼る!$H$6:$H$10005,MATCH($C365,月1回_前回の在庫を貼る!$I$6:$I$10005,0)),""))))</f>
        <v/>
      </c>
      <c r="F365" s="66" t="str">
        <f aca="false">IF($C365="","",IFERROR(INDEX(商品マスタ!$E$6:$E$1005,MATCH($C365,商品マスタ!$B$6:$B$1005,0)),IFERROR(INDEX(①今日の在庫を貼る!$E$6:$E$10005,MATCH($C365,①今日の在庫を貼る!$I$6:$I$10005,0)),IFERROR(INDEX(月1回_前回の在庫を貼る!$E$6:$E$10005,MATCH($C365,月1回_前回の在庫を貼る!$I$6:$I$10005,0)),""))))</f>
        <v/>
      </c>
      <c r="G365" s="69" t="str">
        <f aca="false">IF($C365="","",IFERROR(INDEX(商品マスタ!$F$6:$F$1005,MATCH($C365,商品マスタ!$B$6:$B$1005,0)),IFERROR(INDEX(①今日の在庫を貼る!$K$6:$K$10005,MATCH($C365,①今日の在庫を貼る!$I$6:$I$10005,0)),IFERROR(INDEX(月1回_前回の在庫を貼る!$K$6:$K$10005,MATCH($C365,月1回_前回の在庫を貼る!$I$6:$I$10005,0)),""))))</f>
        <v/>
      </c>
      <c r="H365" s="71" t="str">
        <f aca="false">IF($C365="","",IFERROR(INDEX(商品マスタ!$G$6:$G$1005,MATCH($C365,商品マスタ!$B$6:$B$1005,0)),IFERROR(INDEX(①今日の在庫を貼る!$Q$6:$Q$10005,MATCH($C365,①今日の在庫を貼る!$I$6:$I$10005,0)),IFERROR(INDEX(月1回_前回の在庫を貼る!$Q$6:$Q$10005,MATCH($C365,月1回_前回の在庫を貼る!$I$6:$I$10005,0)),""))))</f>
        <v/>
      </c>
      <c r="I365" s="66" t="str">
        <f aca="false">IF($C365="","",IFERROR(INDEX(商品マスタ!$H$6:$H$1005,MATCH($C365,商品マスタ!$B$6:$B$1005,0)),3))</f>
        <v/>
      </c>
      <c r="J365" s="66" t="str">
        <f aca="false">IF($C365="","",MAX(1,IFERROR(INDEX(商品マスタ!$I$6:$I$1005,MATCH($C365,商品マスタ!$B$6:$B$1005,0)),1)))</f>
        <v/>
      </c>
      <c r="K365" s="69" t="str">
        <f aca="false">IF($C365="","",SUMIFS(①今日の在庫を貼る!$N$6:$N$10005,①今日の在庫を貼る!$B$6:$B$10005,'設定（最初に1回）'!$C$4,①今日の在庫を貼る!$I$6:$I$10005,$C365))</f>
        <v/>
      </c>
      <c r="L365" s="69" t="str">
        <f aca="false">IF($C365="","",SUMIFS(月1回_前回の在庫を貼る!$N$6:$N$10005,月1回_前回の在庫を貼る!$B$6:$B$10005,'設定（最初に1回）'!$C$4,月1回_前回の在庫を貼る!$I$6:$I$10005,$C365))</f>
        <v/>
      </c>
      <c r="M365" s="69" t="str">
        <f aca="false">IF($C365="","",IF(OR('設定（最初に1回）'!$C$6="",'設定（最初に1回）'!$C$7=""),0,SUMIFS(発注管理!$S$6:$S$1005,発注管理!$C$6:$C$1005,'設定（最初に1回）'!$C$4,発注管理!$F$6:$F$1005,$C365,発注管理!$R$6:$R$1005,"&gt;="&amp;'設定（最初に1回）'!$C$7,発注管理!$R$6:$R$1005,"&lt;="&amp;'設定（最初に1回）'!$C$6)))</f>
        <v/>
      </c>
      <c r="N365" s="69" t="str">
        <f aca="false">IF(OR($C365="",'設定（最初に1回）'!$C$15=0),"",$L365+$M365-$K365)</f>
        <v/>
      </c>
      <c r="O365" s="143" t="str">
        <f aca="false">IF(OR($N365="",'設定（最初に1回）'!$C$8="",'設定（最初に1回）'!$C$8&lt;=0),"",MAX(0,$N365)/'設定（最初に1回）'!$C$8)</f>
        <v/>
      </c>
      <c r="P365" s="143" t="str">
        <f aca="false">IF($C365="","",IFERROR(INDEX(商品マスタ!$M$6:$N$1005,MATCH($C365,商品マスタ!$B$6:$B$1005,0),MATCH("PI値 "&amp;'設定（最初に1回）'!$C$11,商品マスタ!$M$5:$N$5,0)),""))</f>
        <v/>
      </c>
      <c r="Q365" s="143" t="str">
        <f aca="false">IF(OR($C365="",$P365="",$P365=0,(N($I365)+N($AG365))&lt;=0),"",IFERROR(SUMIFS(随時_動員を入れる!$G$8:$G$97,随時_動員を入れる!$B$8:$B$97,"&gt;="&amp;'設定（最初に1回）'!$C$6,随時_動員を入れる!$B$8:$B$97,"&lt;="&amp;'設定（最初に1回）'!$C$6+(N($I365)+N($AG365))-1)/(N($I365)+N($AG365)),0)*$P365/100)</f>
        <v/>
      </c>
      <c r="R365" s="69" t="str">
        <f aca="false">IF($C365="","",SUMIFS(①今日の在庫を貼る!$O$6:$O$10005,①今日の在庫を貼る!$B$6:$B$10005,'設定（最初に1回）'!$C$4,①今日の在庫を貼る!$I$6:$I$10005,$C365))</f>
        <v/>
      </c>
      <c r="S365" s="143" t="str">
        <f aca="false">IF($C365="","",IF('設定（最初に1回）'!$C$9="実績消費",N($O365),IF('設定（最初に1回）'!$C$9="PI値予測",N($Q365),MAX(N($O365),N($Q365)))))</f>
        <v/>
      </c>
      <c r="T365" s="67" t="str">
        <f aca="false">IF(OR($S365="",$S365&lt;=0),"",$K365/$S365)</f>
        <v/>
      </c>
      <c r="U365" s="69" t="str">
        <f aca="false">IF($S365="","",ROUNDUP(N($S365)*'設定（最初に1回）'!$C$12,0))</f>
        <v/>
      </c>
      <c r="V365" s="69" t="str">
        <f aca="false">IF($C365="","",ROUNDUP(N($S365)*(N($I365)+N($AG365))+N($U365),0))</f>
        <v/>
      </c>
      <c r="W365" s="69" t="str">
        <f aca="false">IF($C365="","",SUMIFS(発注管理!$L$6:$L$1005,発注管理!$C$6:$C$1005,'設定（最初に1回）'!$C$4,発注管理!$F$6:$F$1005,$C365,発注管理!$Q$6:$Q$1005,"発注済"))</f>
        <v/>
      </c>
      <c r="X365" s="69" t="str">
        <f aca="false">IF($C365="","",MAX(0,N($V365)-N($K365)-N($W365)))</f>
        <v/>
      </c>
      <c r="Y365" s="147" t="str">
        <f aca="false">IF($C365="","",IF(N($X365)&lt;=0,0,CEILING($X365/MAX(1,N($G365)),MAX(1,N($J365)))))</f>
        <v/>
      </c>
      <c r="Z365" s="138" t="str">
        <f aca="false">IF($C365="","",IF(N($Y365)&gt;0,"要発注","正常"))</f>
        <v/>
      </c>
      <c r="AA365" s="71" t="str">
        <f aca="false">IF($C365="","",N($K365)*N($H365))</f>
        <v/>
      </c>
      <c r="AB365" s="66" t="str">
        <f aca="false">IF($C365="","",_xlfn.TEXTJOIN(" / ",TRUE(),IF(COUNTIF(商品マスタ!$B$6:$B$1005,$C365)=0,"マスタ未登録",""),IF(COUNTIFS(月1回_前回の在庫を貼る!$B$6:$B$10005,'設定（最初に1回）'!$C$4,月1回_前回の在庫を貼る!$I$6:$I$10005,$C365)=0,"新商品",""),IF(COUNTIFS(①今日の在庫を貼る!$B$6:$B$10005,'設定（最初に1回）'!$C$4,①今日の在庫を貼る!$I$6:$I$10005,$C365)=0,"終売候補",""),IF(N($K365)&lt;0,"在庫マイナス",""),IF(AND('設定（最初に1回）'!$C$9="PI値予測",$P365=""),"PI値未設定","")))</f>
        <v/>
      </c>
      <c r="AC365" s="71" t="n">
        <f aca="false">N($Y365)*N($H365)</f>
        <v>0</v>
      </c>
      <c r="AD365" s="66" t="str">
        <f aca="false">IF($C365="","",IFERROR(INDEX(商品マスタ!$K$6:$K$1005,MATCH($C365,商品マスタ!$B$6:$B$1005,0)),"常温"))</f>
        <v/>
      </c>
      <c r="AE365" s="69" t="str">
        <f aca="false">IF($C365="","",MAX(0,ROUNDUP(N($K365)/MAX(1,N($G365)),0)))</f>
        <v/>
      </c>
      <c r="AF365" s="66" t="str">
        <f aca="false">IF($C365="","",IFERROR(INDEX(商品マスタ!$L$6:$L$1005,MATCH($C365,商品マスタ!$B$6:$B$1005,0)),""))</f>
        <v/>
      </c>
      <c r="AG365" s="143" t="str">
        <f aca="false">IF($C365="","",IFERROR(INDEX(定数マスタ!$S$110:$S$119,MATCH($AF365,定数マスタ!$J$110:$J$119,0)),N('設定（最初に1回）'!$C$13)))</f>
        <v/>
      </c>
      <c r="AH365" s="66" t="n">
        <f aca="false">IF(AND(N($K365)&gt;0,N($Y365)&gt;0),N($Y365),0)</f>
        <v>0</v>
      </c>
    </row>
    <row r="366" customFormat="false" ht="15" hidden="false" customHeight="false" outlineLevel="0" collapsed="false">
      <c r="B366" s="66" t="n">
        <v>361</v>
      </c>
      <c r="C366" s="66" t="str">
        <f aca="false">IFERROR(IF($B366&lt;=MAX(①今日の在庫を貼る!$U$6:$U$10005),INDEX(①今日の在庫を貼る!$I$6:$I$10005,MATCH($B366,①今日の在庫を貼る!$U$6:$U$10005,0)),INDEX(月1回_前回の在庫を貼る!$I$6:$I$10005,MATCH($B366-MAX(①今日の在庫を貼る!$U$6:$U$10005),月1回_前回の在庫を貼る!$U$6:$U$10005,0))),"")</f>
        <v/>
      </c>
      <c r="D366" s="66" t="str">
        <f aca="false">IF($C366="","",IFERROR(INDEX(商品マスタ!$C$6:$C$1005,MATCH($C366,商品マスタ!$B$6:$B$1005,0)),IFERROR(INDEX(①今日の在庫を貼る!$J$6:$J$10005,MATCH($C366,①今日の在庫を貼る!$I$6:$I$10005,0)),IFERROR(INDEX(月1回_前回の在庫を貼る!$J$6:$J$10005,MATCH($C366,月1回_前回の在庫を貼る!$I$6:$I$10005,0)),""))))</f>
        <v/>
      </c>
      <c r="E366" s="66" t="str">
        <f aca="false">IF($C366="","",IFERROR(INDEX(商品マスタ!$D$6:$D$1005,MATCH($C366,商品マスタ!$B$6:$B$1005,0)),IFERROR(INDEX(①今日の在庫を貼る!$H$6:$H$10005,MATCH($C366,①今日の在庫を貼る!$I$6:$I$10005,0)),IFERROR(INDEX(月1回_前回の在庫を貼る!$H$6:$H$10005,MATCH($C366,月1回_前回の在庫を貼る!$I$6:$I$10005,0)),""))))</f>
        <v/>
      </c>
      <c r="F366" s="66" t="str">
        <f aca="false">IF($C366="","",IFERROR(INDEX(商品マスタ!$E$6:$E$1005,MATCH($C366,商品マスタ!$B$6:$B$1005,0)),IFERROR(INDEX(①今日の在庫を貼る!$E$6:$E$10005,MATCH($C366,①今日の在庫を貼る!$I$6:$I$10005,0)),IFERROR(INDEX(月1回_前回の在庫を貼る!$E$6:$E$10005,MATCH($C366,月1回_前回の在庫を貼る!$I$6:$I$10005,0)),""))))</f>
        <v/>
      </c>
      <c r="G366" s="69" t="str">
        <f aca="false">IF($C366="","",IFERROR(INDEX(商品マスタ!$F$6:$F$1005,MATCH($C366,商品マスタ!$B$6:$B$1005,0)),IFERROR(INDEX(①今日の在庫を貼る!$K$6:$K$10005,MATCH($C366,①今日の在庫を貼る!$I$6:$I$10005,0)),IFERROR(INDEX(月1回_前回の在庫を貼る!$K$6:$K$10005,MATCH($C366,月1回_前回の在庫を貼る!$I$6:$I$10005,0)),""))))</f>
        <v/>
      </c>
      <c r="H366" s="71" t="str">
        <f aca="false">IF($C366="","",IFERROR(INDEX(商品マスタ!$G$6:$G$1005,MATCH($C366,商品マスタ!$B$6:$B$1005,0)),IFERROR(INDEX(①今日の在庫を貼る!$Q$6:$Q$10005,MATCH($C366,①今日の在庫を貼る!$I$6:$I$10005,0)),IFERROR(INDEX(月1回_前回の在庫を貼る!$Q$6:$Q$10005,MATCH($C366,月1回_前回の在庫を貼る!$I$6:$I$10005,0)),""))))</f>
        <v/>
      </c>
      <c r="I366" s="66" t="str">
        <f aca="false">IF($C366="","",IFERROR(INDEX(商品マスタ!$H$6:$H$1005,MATCH($C366,商品マスタ!$B$6:$B$1005,0)),3))</f>
        <v/>
      </c>
      <c r="J366" s="66" t="str">
        <f aca="false">IF($C366="","",MAX(1,IFERROR(INDEX(商品マスタ!$I$6:$I$1005,MATCH($C366,商品マスタ!$B$6:$B$1005,0)),1)))</f>
        <v/>
      </c>
      <c r="K366" s="69" t="str">
        <f aca="false">IF($C366="","",SUMIFS(①今日の在庫を貼る!$N$6:$N$10005,①今日の在庫を貼る!$B$6:$B$10005,'設定（最初に1回）'!$C$4,①今日の在庫を貼る!$I$6:$I$10005,$C366))</f>
        <v/>
      </c>
      <c r="L366" s="69" t="str">
        <f aca="false">IF($C366="","",SUMIFS(月1回_前回の在庫を貼る!$N$6:$N$10005,月1回_前回の在庫を貼る!$B$6:$B$10005,'設定（最初に1回）'!$C$4,月1回_前回の在庫を貼る!$I$6:$I$10005,$C366))</f>
        <v/>
      </c>
      <c r="M366" s="69" t="str">
        <f aca="false">IF($C366="","",IF(OR('設定（最初に1回）'!$C$6="",'設定（最初に1回）'!$C$7=""),0,SUMIFS(発注管理!$S$6:$S$1005,発注管理!$C$6:$C$1005,'設定（最初に1回）'!$C$4,発注管理!$F$6:$F$1005,$C366,発注管理!$R$6:$R$1005,"&gt;="&amp;'設定（最初に1回）'!$C$7,発注管理!$R$6:$R$1005,"&lt;="&amp;'設定（最初に1回）'!$C$6)))</f>
        <v/>
      </c>
      <c r="N366" s="69" t="str">
        <f aca="false">IF(OR($C366="",'設定（最初に1回）'!$C$15=0),"",$L366+$M366-$K366)</f>
        <v/>
      </c>
      <c r="O366" s="143" t="str">
        <f aca="false">IF(OR($N366="",'設定（最初に1回）'!$C$8="",'設定（最初に1回）'!$C$8&lt;=0),"",MAX(0,$N366)/'設定（最初に1回）'!$C$8)</f>
        <v/>
      </c>
      <c r="P366" s="143" t="str">
        <f aca="false">IF($C366="","",IFERROR(INDEX(商品マスタ!$M$6:$N$1005,MATCH($C366,商品マスタ!$B$6:$B$1005,0),MATCH("PI値 "&amp;'設定（最初に1回）'!$C$11,商品マスタ!$M$5:$N$5,0)),""))</f>
        <v/>
      </c>
      <c r="Q366" s="143" t="str">
        <f aca="false">IF(OR($C366="",$P366="",$P366=0,(N($I366)+N($AG366))&lt;=0),"",IFERROR(SUMIFS(随時_動員を入れる!$G$8:$G$97,随時_動員を入れる!$B$8:$B$97,"&gt;="&amp;'設定（最初に1回）'!$C$6,随時_動員を入れる!$B$8:$B$97,"&lt;="&amp;'設定（最初に1回）'!$C$6+(N($I366)+N($AG366))-1)/(N($I366)+N($AG366)),0)*$P366/100)</f>
        <v/>
      </c>
      <c r="R366" s="69" t="str">
        <f aca="false">IF($C366="","",SUMIFS(①今日の在庫を貼る!$O$6:$O$10005,①今日の在庫を貼る!$B$6:$B$10005,'設定（最初に1回）'!$C$4,①今日の在庫を貼る!$I$6:$I$10005,$C366))</f>
        <v/>
      </c>
      <c r="S366" s="143" t="str">
        <f aca="false">IF($C366="","",IF('設定（最初に1回）'!$C$9="実績消費",N($O366),IF('設定（最初に1回）'!$C$9="PI値予測",N($Q366),MAX(N($O366),N($Q366)))))</f>
        <v/>
      </c>
      <c r="T366" s="67" t="str">
        <f aca="false">IF(OR($S366="",$S366&lt;=0),"",$K366/$S366)</f>
        <v/>
      </c>
      <c r="U366" s="69" t="str">
        <f aca="false">IF($S366="","",ROUNDUP(N($S366)*'設定（最初に1回）'!$C$12,0))</f>
        <v/>
      </c>
      <c r="V366" s="69" t="str">
        <f aca="false">IF($C366="","",ROUNDUP(N($S366)*(N($I366)+N($AG366))+N($U366),0))</f>
        <v/>
      </c>
      <c r="W366" s="69" t="str">
        <f aca="false">IF($C366="","",SUMIFS(発注管理!$L$6:$L$1005,発注管理!$C$6:$C$1005,'設定（最初に1回）'!$C$4,発注管理!$F$6:$F$1005,$C366,発注管理!$Q$6:$Q$1005,"発注済"))</f>
        <v/>
      </c>
      <c r="X366" s="69" t="str">
        <f aca="false">IF($C366="","",MAX(0,N($V366)-N($K366)-N($W366)))</f>
        <v/>
      </c>
      <c r="Y366" s="147" t="str">
        <f aca="false">IF($C366="","",IF(N($X366)&lt;=0,0,CEILING($X366/MAX(1,N($G366)),MAX(1,N($J366)))))</f>
        <v/>
      </c>
      <c r="Z366" s="138" t="str">
        <f aca="false">IF($C366="","",IF(N($Y366)&gt;0,"要発注","正常"))</f>
        <v/>
      </c>
      <c r="AA366" s="71" t="str">
        <f aca="false">IF($C366="","",N($K366)*N($H366))</f>
        <v/>
      </c>
      <c r="AB366" s="66" t="str">
        <f aca="false">IF($C366="","",_xlfn.TEXTJOIN(" / ",TRUE(),IF(COUNTIF(商品マスタ!$B$6:$B$1005,$C366)=0,"マスタ未登録",""),IF(COUNTIFS(月1回_前回の在庫を貼る!$B$6:$B$10005,'設定（最初に1回）'!$C$4,月1回_前回の在庫を貼る!$I$6:$I$10005,$C366)=0,"新商品",""),IF(COUNTIFS(①今日の在庫を貼る!$B$6:$B$10005,'設定（最初に1回）'!$C$4,①今日の在庫を貼る!$I$6:$I$10005,$C366)=0,"終売候補",""),IF(N($K366)&lt;0,"在庫マイナス",""),IF(AND('設定（最初に1回）'!$C$9="PI値予測",$P366=""),"PI値未設定","")))</f>
        <v/>
      </c>
      <c r="AC366" s="71" t="n">
        <f aca="false">N($Y366)*N($H366)</f>
        <v>0</v>
      </c>
      <c r="AD366" s="66" t="str">
        <f aca="false">IF($C366="","",IFERROR(INDEX(商品マスタ!$K$6:$K$1005,MATCH($C366,商品マスタ!$B$6:$B$1005,0)),"常温"))</f>
        <v/>
      </c>
      <c r="AE366" s="69" t="str">
        <f aca="false">IF($C366="","",MAX(0,ROUNDUP(N($K366)/MAX(1,N($G366)),0)))</f>
        <v/>
      </c>
      <c r="AF366" s="66" t="str">
        <f aca="false">IF($C366="","",IFERROR(INDEX(商品マスタ!$L$6:$L$1005,MATCH($C366,商品マスタ!$B$6:$B$1005,0)),""))</f>
        <v/>
      </c>
      <c r="AG366" s="143" t="str">
        <f aca="false">IF($C366="","",IFERROR(INDEX(定数マスタ!$S$110:$S$119,MATCH($AF366,定数マスタ!$J$110:$J$119,0)),N('設定（最初に1回）'!$C$13)))</f>
        <v/>
      </c>
      <c r="AH366" s="66" t="n">
        <f aca="false">IF(AND(N($K366)&gt;0,N($Y366)&gt;0),N($Y366),0)</f>
        <v>0</v>
      </c>
    </row>
    <row r="367" customFormat="false" ht="15" hidden="false" customHeight="false" outlineLevel="0" collapsed="false">
      <c r="B367" s="66" t="n">
        <v>362</v>
      </c>
      <c r="C367" s="66" t="str">
        <f aca="false">IFERROR(IF($B367&lt;=MAX(①今日の在庫を貼る!$U$6:$U$10005),INDEX(①今日の在庫を貼る!$I$6:$I$10005,MATCH($B367,①今日の在庫を貼る!$U$6:$U$10005,0)),INDEX(月1回_前回の在庫を貼る!$I$6:$I$10005,MATCH($B367-MAX(①今日の在庫を貼る!$U$6:$U$10005),月1回_前回の在庫を貼る!$U$6:$U$10005,0))),"")</f>
        <v/>
      </c>
      <c r="D367" s="66" t="str">
        <f aca="false">IF($C367="","",IFERROR(INDEX(商品マスタ!$C$6:$C$1005,MATCH($C367,商品マスタ!$B$6:$B$1005,0)),IFERROR(INDEX(①今日の在庫を貼る!$J$6:$J$10005,MATCH($C367,①今日の在庫を貼る!$I$6:$I$10005,0)),IFERROR(INDEX(月1回_前回の在庫を貼る!$J$6:$J$10005,MATCH($C367,月1回_前回の在庫を貼る!$I$6:$I$10005,0)),""))))</f>
        <v/>
      </c>
      <c r="E367" s="66" t="str">
        <f aca="false">IF($C367="","",IFERROR(INDEX(商品マスタ!$D$6:$D$1005,MATCH($C367,商品マスタ!$B$6:$B$1005,0)),IFERROR(INDEX(①今日の在庫を貼る!$H$6:$H$10005,MATCH($C367,①今日の在庫を貼る!$I$6:$I$10005,0)),IFERROR(INDEX(月1回_前回の在庫を貼る!$H$6:$H$10005,MATCH($C367,月1回_前回の在庫を貼る!$I$6:$I$10005,0)),""))))</f>
        <v/>
      </c>
      <c r="F367" s="66" t="str">
        <f aca="false">IF($C367="","",IFERROR(INDEX(商品マスタ!$E$6:$E$1005,MATCH($C367,商品マスタ!$B$6:$B$1005,0)),IFERROR(INDEX(①今日の在庫を貼る!$E$6:$E$10005,MATCH($C367,①今日の在庫を貼る!$I$6:$I$10005,0)),IFERROR(INDEX(月1回_前回の在庫を貼る!$E$6:$E$10005,MATCH($C367,月1回_前回の在庫を貼る!$I$6:$I$10005,0)),""))))</f>
        <v/>
      </c>
      <c r="G367" s="69" t="str">
        <f aca="false">IF($C367="","",IFERROR(INDEX(商品マスタ!$F$6:$F$1005,MATCH($C367,商品マスタ!$B$6:$B$1005,0)),IFERROR(INDEX(①今日の在庫を貼る!$K$6:$K$10005,MATCH($C367,①今日の在庫を貼る!$I$6:$I$10005,0)),IFERROR(INDEX(月1回_前回の在庫を貼る!$K$6:$K$10005,MATCH($C367,月1回_前回の在庫を貼る!$I$6:$I$10005,0)),""))))</f>
        <v/>
      </c>
      <c r="H367" s="71" t="str">
        <f aca="false">IF($C367="","",IFERROR(INDEX(商品マスタ!$G$6:$G$1005,MATCH($C367,商品マスタ!$B$6:$B$1005,0)),IFERROR(INDEX(①今日の在庫を貼る!$Q$6:$Q$10005,MATCH($C367,①今日の在庫を貼る!$I$6:$I$10005,0)),IFERROR(INDEX(月1回_前回の在庫を貼る!$Q$6:$Q$10005,MATCH($C367,月1回_前回の在庫を貼る!$I$6:$I$10005,0)),""))))</f>
        <v/>
      </c>
      <c r="I367" s="66" t="str">
        <f aca="false">IF($C367="","",IFERROR(INDEX(商品マスタ!$H$6:$H$1005,MATCH($C367,商品マスタ!$B$6:$B$1005,0)),3))</f>
        <v/>
      </c>
      <c r="J367" s="66" t="str">
        <f aca="false">IF($C367="","",MAX(1,IFERROR(INDEX(商品マスタ!$I$6:$I$1005,MATCH($C367,商品マスタ!$B$6:$B$1005,0)),1)))</f>
        <v/>
      </c>
      <c r="K367" s="69" t="str">
        <f aca="false">IF($C367="","",SUMIFS(①今日の在庫を貼る!$N$6:$N$10005,①今日の在庫を貼る!$B$6:$B$10005,'設定（最初に1回）'!$C$4,①今日の在庫を貼る!$I$6:$I$10005,$C367))</f>
        <v/>
      </c>
      <c r="L367" s="69" t="str">
        <f aca="false">IF($C367="","",SUMIFS(月1回_前回の在庫を貼る!$N$6:$N$10005,月1回_前回の在庫を貼る!$B$6:$B$10005,'設定（最初に1回）'!$C$4,月1回_前回の在庫を貼る!$I$6:$I$10005,$C367))</f>
        <v/>
      </c>
      <c r="M367" s="69" t="str">
        <f aca="false">IF($C367="","",IF(OR('設定（最初に1回）'!$C$6="",'設定（最初に1回）'!$C$7=""),0,SUMIFS(発注管理!$S$6:$S$1005,発注管理!$C$6:$C$1005,'設定（最初に1回）'!$C$4,発注管理!$F$6:$F$1005,$C367,発注管理!$R$6:$R$1005,"&gt;="&amp;'設定（最初に1回）'!$C$7,発注管理!$R$6:$R$1005,"&lt;="&amp;'設定（最初に1回）'!$C$6)))</f>
        <v/>
      </c>
      <c r="N367" s="69" t="str">
        <f aca="false">IF(OR($C367="",'設定（最初に1回）'!$C$15=0),"",$L367+$M367-$K367)</f>
        <v/>
      </c>
      <c r="O367" s="143" t="str">
        <f aca="false">IF(OR($N367="",'設定（最初に1回）'!$C$8="",'設定（最初に1回）'!$C$8&lt;=0),"",MAX(0,$N367)/'設定（最初に1回）'!$C$8)</f>
        <v/>
      </c>
      <c r="P367" s="143" t="str">
        <f aca="false">IF($C367="","",IFERROR(INDEX(商品マスタ!$M$6:$N$1005,MATCH($C367,商品マスタ!$B$6:$B$1005,0),MATCH("PI値 "&amp;'設定（最初に1回）'!$C$11,商品マスタ!$M$5:$N$5,0)),""))</f>
        <v/>
      </c>
      <c r="Q367" s="143" t="str">
        <f aca="false">IF(OR($C367="",$P367="",$P367=0,(N($I367)+N($AG367))&lt;=0),"",IFERROR(SUMIFS(随時_動員を入れる!$G$8:$G$97,随時_動員を入れる!$B$8:$B$97,"&gt;="&amp;'設定（最初に1回）'!$C$6,随時_動員を入れる!$B$8:$B$97,"&lt;="&amp;'設定（最初に1回）'!$C$6+(N($I367)+N($AG367))-1)/(N($I367)+N($AG367)),0)*$P367/100)</f>
        <v/>
      </c>
      <c r="R367" s="69" t="str">
        <f aca="false">IF($C367="","",SUMIFS(①今日の在庫を貼る!$O$6:$O$10005,①今日の在庫を貼る!$B$6:$B$10005,'設定（最初に1回）'!$C$4,①今日の在庫を貼る!$I$6:$I$10005,$C367))</f>
        <v/>
      </c>
      <c r="S367" s="143" t="str">
        <f aca="false">IF($C367="","",IF('設定（最初に1回）'!$C$9="実績消費",N($O367),IF('設定（最初に1回）'!$C$9="PI値予測",N($Q367),MAX(N($O367),N($Q367)))))</f>
        <v/>
      </c>
      <c r="T367" s="67" t="str">
        <f aca="false">IF(OR($S367="",$S367&lt;=0),"",$K367/$S367)</f>
        <v/>
      </c>
      <c r="U367" s="69" t="str">
        <f aca="false">IF($S367="","",ROUNDUP(N($S367)*'設定（最初に1回）'!$C$12,0))</f>
        <v/>
      </c>
      <c r="V367" s="69" t="str">
        <f aca="false">IF($C367="","",ROUNDUP(N($S367)*(N($I367)+N($AG367))+N($U367),0))</f>
        <v/>
      </c>
      <c r="W367" s="69" t="str">
        <f aca="false">IF($C367="","",SUMIFS(発注管理!$L$6:$L$1005,発注管理!$C$6:$C$1005,'設定（最初に1回）'!$C$4,発注管理!$F$6:$F$1005,$C367,発注管理!$Q$6:$Q$1005,"発注済"))</f>
        <v/>
      </c>
      <c r="X367" s="69" t="str">
        <f aca="false">IF($C367="","",MAX(0,N($V367)-N($K367)-N($W367)))</f>
        <v/>
      </c>
      <c r="Y367" s="147" t="str">
        <f aca="false">IF($C367="","",IF(N($X367)&lt;=0,0,CEILING($X367/MAX(1,N($G367)),MAX(1,N($J367)))))</f>
        <v/>
      </c>
      <c r="Z367" s="138" t="str">
        <f aca="false">IF($C367="","",IF(N($Y367)&gt;0,"要発注","正常"))</f>
        <v/>
      </c>
      <c r="AA367" s="71" t="str">
        <f aca="false">IF($C367="","",N($K367)*N($H367))</f>
        <v/>
      </c>
      <c r="AB367" s="66" t="str">
        <f aca="false">IF($C367="","",_xlfn.TEXTJOIN(" / ",TRUE(),IF(COUNTIF(商品マスタ!$B$6:$B$1005,$C367)=0,"マスタ未登録",""),IF(COUNTIFS(月1回_前回の在庫を貼る!$B$6:$B$10005,'設定（最初に1回）'!$C$4,月1回_前回の在庫を貼る!$I$6:$I$10005,$C367)=0,"新商品",""),IF(COUNTIFS(①今日の在庫を貼る!$B$6:$B$10005,'設定（最初に1回）'!$C$4,①今日の在庫を貼る!$I$6:$I$10005,$C367)=0,"終売候補",""),IF(N($K367)&lt;0,"在庫マイナス",""),IF(AND('設定（最初に1回）'!$C$9="PI値予測",$P367=""),"PI値未設定","")))</f>
        <v/>
      </c>
      <c r="AC367" s="71" t="n">
        <f aca="false">N($Y367)*N($H367)</f>
        <v>0</v>
      </c>
      <c r="AD367" s="66" t="str">
        <f aca="false">IF($C367="","",IFERROR(INDEX(商品マスタ!$K$6:$K$1005,MATCH($C367,商品マスタ!$B$6:$B$1005,0)),"常温"))</f>
        <v/>
      </c>
      <c r="AE367" s="69" t="str">
        <f aca="false">IF($C367="","",MAX(0,ROUNDUP(N($K367)/MAX(1,N($G367)),0)))</f>
        <v/>
      </c>
      <c r="AF367" s="66" t="str">
        <f aca="false">IF($C367="","",IFERROR(INDEX(商品マスタ!$L$6:$L$1005,MATCH($C367,商品マスタ!$B$6:$B$1005,0)),""))</f>
        <v/>
      </c>
      <c r="AG367" s="143" t="str">
        <f aca="false">IF($C367="","",IFERROR(INDEX(定数マスタ!$S$110:$S$119,MATCH($AF367,定数マスタ!$J$110:$J$119,0)),N('設定（最初に1回）'!$C$13)))</f>
        <v/>
      </c>
      <c r="AH367" s="66" t="n">
        <f aca="false">IF(AND(N($K367)&gt;0,N($Y367)&gt;0),N($Y367),0)</f>
        <v>0</v>
      </c>
    </row>
    <row r="368" customFormat="false" ht="15" hidden="false" customHeight="false" outlineLevel="0" collapsed="false">
      <c r="B368" s="66" t="n">
        <v>363</v>
      </c>
      <c r="C368" s="66" t="str">
        <f aca="false">IFERROR(IF($B368&lt;=MAX(①今日の在庫を貼る!$U$6:$U$10005),INDEX(①今日の在庫を貼る!$I$6:$I$10005,MATCH($B368,①今日の在庫を貼る!$U$6:$U$10005,0)),INDEX(月1回_前回の在庫を貼る!$I$6:$I$10005,MATCH($B368-MAX(①今日の在庫を貼る!$U$6:$U$10005),月1回_前回の在庫を貼る!$U$6:$U$10005,0))),"")</f>
        <v/>
      </c>
      <c r="D368" s="66" t="str">
        <f aca="false">IF($C368="","",IFERROR(INDEX(商品マスタ!$C$6:$C$1005,MATCH($C368,商品マスタ!$B$6:$B$1005,0)),IFERROR(INDEX(①今日の在庫を貼る!$J$6:$J$10005,MATCH($C368,①今日の在庫を貼る!$I$6:$I$10005,0)),IFERROR(INDEX(月1回_前回の在庫を貼る!$J$6:$J$10005,MATCH($C368,月1回_前回の在庫を貼る!$I$6:$I$10005,0)),""))))</f>
        <v/>
      </c>
      <c r="E368" s="66" t="str">
        <f aca="false">IF($C368="","",IFERROR(INDEX(商品マスタ!$D$6:$D$1005,MATCH($C368,商品マスタ!$B$6:$B$1005,0)),IFERROR(INDEX(①今日の在庫を貼る!$H$6:$H$10005,MATCH($C368,①今日の在庫を貼る!$I$6:$I$10005,0)),IFERROR(INDEX(月1回_前回の在庫を貼る!$H$6:$H$10005,MATCH($C368,月1回_前回の在庫を貼る!$I$6:$I$10005,0)),""))))</f>
        <v/>
      </c>
      <c r="F368" s="66" t="str">
        <f aca="false">IF($C368="","",IFERROR(INDEX(商品マスタ!$E$6:$E$1005,MATCH($C368,商品マスタ!$B$6:$B$1005,0)),IFERROR(INDEX(①今日の在庫を貼る!$E$6:$E$10005,MATCH($C368,①今日の在庫を貼る!$I$6:$I$10005,0)),IFERROR(INDEX(月1回_前回の在庫を貼る!$E$6:$E$10005,MATCH($C368,月1回_前回の在庫を貼る!$I$6:$I$10005,0)),""))))</f>
        <v/>
      </c>
      <c r="G368" s="69" t="str">
        <f aca="false">IF($C368="","",IFERROR(INDEX(商品マスタ!$F$6:$F$1005,MATCH($C368,商品マスタ!$B$6:$B$1005,0)),IFERROR(INDEX(①今日の在庫を貼る!$K$6:$K$10005,MATCH($C368,①今日の在庫を貼る!$I$6:$I$10005,0)),IFERROR(INDEX(月1回_前回の在庫を貼る!$K$6:$K$10005,MATCH($C368,月1回_前回の在庫を貼る!$I$6:$I$10005,0)),""))))</f>
        <v/>
      </c>
      <c r="H368" s="71" t="str">
        <f aca="false">IF($C368="","",IFERROR(INDEX(商品マスタ!$G$6:$G$1005,MATCH($C368,商品マスタ!$B$6:$B$1005,0)),IFERROR(INDEX(①今日の在庫を貼る!$Q$6:$Q$10005,MATCH($C368,①今日の在庫を貼る!$I$6:$I$10005,0)),IFERROR(INDEX(月1回_前回の在庫を貼る!$Q$6:$Q$10005,MATCH($C368,月1回_前回の在庫を貼る!$I$6:$I$10005,0)),""))))</f>
        <v/>
      </c>
      <c r="I368" s="66" t="str">
        <f aca="false">IF($C368="","",IFERROR(INDEX(商品マスタ!$H$6:$H$1005,MATCH($C368,商品マスタ!$B$6:$B$1005,0)),3))</f>
        <v/>
      </c>
      <c r="J368" s="66" t="str">
        <f aca="false">IF($C368="","",MAX(1,IFERROR(INDEX(商品マスタ!$I$6:$I$1005,MATCH($C368,商品マスタ!$B$6:$B$1005,0)),1)))</f>
        <v/>
      </c>
      <c r="K368" s="69" t="str">
        <f aca="false">IF($C368="","",SUMIFS(①今日の在庫を貼る!$N$6:$N$10005,①今日の在庫を貼る!$B$6:$B$10005,'設定（最初に1回）'!$C$4,①今日の在庫を貼る!$I$6:$I$10005,$C368))</f>
        <v/>
      </c>
      <c r="L368" s="69" t="str">
        <f aca="false">IF($C368="","",SUMIFS(月1回_前回の在庫を貼る!$N$6:$N$10005,月1回_前回の在庫を貼る!$B$6:$B$10005,'設定（最初に1回）'!$C$4,月1回_前回の在庫を貼る!$I$6:$I$10005,$C368))</f>
        <v/>
      </c>
      <c r="M368" s="69" t="str">
        <f aca="false">IF($C368="","",IF(OR('設定（最初に1回）'!$C$6="",'設定（最初に1回）'!$C$7=""),0,SUMIFS(発注管理!$S$6:$S$1005,発注管理!$C$6:$C$1005,'設定（最初に1回）'!$C$4,発注管理!$F$6:$F$1005,$C368,発注管理!$R$6:$R$1005,"&gt;="&amp;'設定（最初に1回）'!$C$7,発注管理!$R$6:$R$1005,"&lt;="&amp;'設定（最初に1回）'!$C$6)))</f>
        <v/>
      </c>
      <c r="N368" s="69" t="str">
        <f aca="false">IF(OR($C368="",'設定（最初に1回）'!$C$15=0),"",$L368+$M368-$K368)</f>
        <v/>
      </c>
      <c r="O368" s="143" t="str">
        <f aca="false">IF(OR($N368="",'設定（最初に1回）'!$C$8="",'設定（最初に1回）'!$C$8&lt;=0),"",MAX(0,$N368)/'設定（最初に1回）'!$C$8)</f>
        <v/>
      </c>
      <c r="P368" s="143" t="str">
        <f aca="false">IF($C368="","",IFERROR(INDEX(商品マスタ!$M$6:$N$1005,MATCH($C368,商品マスタ!$B$6:$B$1005,0),MATCH("PI値 "&amp;'設定（最初に1回）'!$C$11,商品マスタ!$M$5:$N$5,0)),""))</f>
        <v/>
      </c>
      <c r="Q368" s="143" t="str">
        <f aca="false">IF(OR($C368="",$P368="",$P368=0,(N($I368)+N($AG368))&lt;=0),"",IFERROR(SUMIFS(随時_動員を入れる!$G$8:$G$97,随時_動員を入れる!$B$8:$B$97,"&gt;="&amp;'設定（最初に1回）'!$C$6,随時_動員を入れる!$B$8:$B$97,"&lt;="&amp;'設定（最初に1回）'!$C$6+(N($I368)+N($AG368))-1)/(N($I368)+N($AG368)),0)*$P368/100)</f>
        <v/>
      </c>
      <c r="R368" s="69" t="str">
        <f aca="false">IF($C368="","",SUMIFS(①今日の在庫を貼る!$O$6:$O$10005,①今日の在庫を貼る!$B$6:$B$10005,'設定（最初に1回）'!$C$4,①今日の在庫を貼る!$I$6:$I$10005,$C368))</f>
        <v/>
      </c>
      <c r="S368" s="143" t="str">
        <f aca="false">IF($C368="","",IF('設定（最初に1回）'!$C$9="実績消費",N($O368),IF('設定（最初に1回）'!$C$9="PI値予測",N($Q368),MAX(N($O368),N($Q368)))))</f>
        <v/>
      </c>
      <c r="T368" s="67" t="str">
        <f aca="false">IF(OR($S368="",$S368&lt;=0),"",$K368/$S368)</f>
        <v/>
      </c>
      <c r="U368" s="69" t="str">
        <f aca="false">IF($S368="","",ROUNDUP(N($S368)*'設定（最初に1回）'!$C$12,0))</f>
        <v/>
      </c>
      <c r="V368" s="69" t="str">
        <f aca="false">IF($C368="","",ROUNDUP(N($S368)*(N($I368)+N($AG368))+N($U368),0))</f>
        <v/>
      </c>
      <c r="W368" s="69" t="str">
        <f aca="false">IF($C368="","",SUMIFS(発注管理!$L$6:$L$1005,発注管理!$C$6:$C$1005,'設定（最初に1回）'!$C$4,発注管理!$F$6:$F$1005,$C368,発注管理!$Q$6:$Q$1005,"発注済"))</f>
        <v/>
      </c>
      <c r="X368" s="69" t="str">
        <f aca="false">IF($C368="","",MAX(0,N($V368)-N($K368)-N($W368)))</f>
        <v/>
      </c>
      <c r="Y368" s="147" t="str">
        <f aca="false">IF($C368="","",IF(N($X368)&lt;=0,0,CEILING($X368/MAX(1,N($G368)),MAX(1,N($J368)))))</f>
        <v/>
      </c>
      <c r="Z368" s="138" t="str">
        <f aca="false">IF($C368="","",IF(N($Y368)&gt;0,"要発注","正常"))</f>
        <v/>
      </c>
      <c r="AA368" s="71" t="str">
        <f aca="false">IF($C368="","",N($K368)*N($H368))</f>
        <v/>
      </c>
      <c r="AB368" s="66" t="str">
        <f aca="false">IF($C368="","",_xlfn.TEXTJOIN(" / ",TRUE(),IF(COUNTIF(商品マスタ!$B$6:$B$1005,$C368)=0,"マスタ未登録",""),IF(COUNTIFS(月1回_前回の在庫を貼る!$B$6:$B$10005,'設定（最初に1回）'!$C$4,月1回_前回の在庫を貼る!$I$6:$I$10005,$C368)=0,"新商品",""),IF(COUNTIFS(①今日の在庫を貼る!$B$6:$B$10005,'設定（最初に1回）'!$C$4,①今日の在庫を貼る!$I$6:$I$10005,$C368)=0,"終売候補",""),IF(N($K368)&lt;0,"在庫マイナス",""),IF(AND('設定（最初に1回）'!$C$9="PI値予測",$P368=""),"PI値未設定","")))</f>
        <v/>
      </c>
      <c r="AC368" s="71" t="n">
        <f aca="false">N($Y368)*N($H368)</f>
        <v>0</v>
      </c>
      <c r="AD368" s="66" t="str">
        <f aca="false">IF($C368="","",IFERROR(INDEX(商品マスタ!$K$6:$K$1005,MATCH($C368,商品マスタ!$B$6:$B$1005,0)),"常温"))</f>
        <v/>
      </c>
      <c r="AE368" s="69" t="str">
        <f aca="false">IF($C368="","",MAX(0,ROUNDUP(N($K368)/MAX(1,N($G368)),0)))</f>
        <v/>
      </c>
      <c r="AF368" s="66" t="str">
        <f aca="false">IF($C368="","",IFERROR(INDEX(商品マスタ!$L$6:$L$1005,MATCH($C368,商品マスタ!$B$6:$B$1005,0)),""))</f>
        <v/>
      </c>
      <c r="AG368" s="143" t="str">
        <f aca="false">IF($C368="","",IFERROR(INDEX(定数マスタ!$S$110:$S$119,MATCH($AF368,定数マスタ!$J$110:$J$119,0)),N('設定（最初に1回）'!$C$13)))</f>
        <v/>
      </c>
      <c r="AH368" s="66" t="n">
        <f aca="false">IF(AND(N($K368)&gt;0,N($Y368)&gt;0),N($Y368),0)</f>
        <v>0</v>
      </c>
    </row>
    <row r="369" customFormat="false" ht="15" hidden="false" customHeight="false" outlineLevel="0" collapsed="false">
      <c r="B369" s="66" t="n">
        <v>364</v>
      </c>
      <c r="C369" s="66" t="str">
        <f aca="false">IFERROR(IF($B369&lt;=MAX(①今日の在庫を貼る!$U$6:$U$10005),INDEX(①今日の在庫を貼る!$I$6:$I$10005,MATCH($B369,①今日の在庫を貼る!$U$6:$U$10005,0)),INDEX(月1回_前回の在庫を貼る!$I$6:$I$10005,MATCH($B369-MAX(①今日の在庫を貼る!$U$6:$U$10005),月1回_前回の在庫を貼る!$U$6:$U$10005,0))),"")</f>
        <v/>
      </c>
      <c r="D369" s="66" t="str">
        <f aca="false">IF($C369="","",IFERROR(INDEX(商品マスタ!$C$6:$C$1005,MATCH($C369,商品マスタ!$B$6:$B$1005,0)),IFERROR(INDEX(①今日の在庫を貼る!$J$6:$J$10005,MATCH($C369,①今日の在庫を貼る!$I$6:$I$10005,0)),IFERROR(INDEX(月1回_前回の在庫を貼る!$J$6:$J$10005,MATCH($C369,月1回_前回の在庫を貼る!$I$6:$I$10005,0)),""))))</f>
        <v/>
      </c>
      <c r="E369" s="66" t="str">
        <f aca="false">IF($C369="","",IFERROR(INDEX(商品マスタ!$D$6:$D$1005,MATCH($C369,商品マスタ!$B$6:$B$1005,0)),IFERROR(INDEX(①今日の在庫を貼る!$H$6:$H$10005,MATCH($C369,①今日の在庫を貼る!$I$6:$I$10005,0)),IFERROR(INDEX(月1回_前回の在庫を貼る!$H$6:$H$10005,MATCH($C369,月1回_前回の在庫を貼る!$I$6:$I$10005,0)),""))))</f>
        <v/>
      </c>
      <c r="F369" s="66" t="str">
        <f aca="false">IF($C369="","",IFERROR(INDEX(商品マスタ!$E$6:$E$1005,MATCH($C369,商品マスタ!$B$6:$B$1005,0)),IFERROR(INDEX(①今日の在庫を貼る!$E$6:$E$10005,MATCH($C369,①今日の在庫を貼る!$I$6:$I$10005,0)),IFERROR(INDEX(月1回_前回の在庫を貼る!$E$6:$E$10005,MATCH($C369,月1回_前回の在庫を貼る!$I$6:$I$10005,0)),""))))</f>
        <v/>
      </c>
      <c r="G369" s="69" t="str">
        <f aca="false">IF($C369="","",IFERROR(INDEX(商品マスタ!$F$6:$F$1005,MATCH($C369,商品マスタ!$B$6:$B$1005,0)),IFERROR(INDEX(①今日の在庫を貼る!$K$6:$K$10005,MATCH($C369,①今日の在庫を貼る!$I$6:$I$10005,0)),IFERROR(INDEX(月1回_前回の在庫を貼る!$K$6:$K$10005,MATCH($C369,月1回_前回の在庫を貼る!$I$6:$I$10005,0)),""))))</f>
        <v/>
      </c>
      <c r="H369" s="71" t="str">
        <f aca="false">IF($C369="","",IFERROR(INDEX(商品マスタ!$G$6:$G$1005,MATCH($C369,商品マスタ!$B$6:$B$1005,0)),IFERROR(INDEX(①今日の在庫を貼る!$Q$6:$Q$10005,MATCH($C369,①今日の在庫を貼る!$I$6:$I$10005,0)),IFERROR(INDEX(月1回_前回の在庫を貼る!$Q$6:$Q$10005,MATCH($C369,月1回_前回の在庫を貼る!$I$6:$I$10005,0)),""))))</f>
        <v/>
      </c>
      <c r="I369" s="66" t="str">
        <f aca="false">IF($C369="","",IFERROR(INDEX(商品マスタ!$H$6:$H$1005,MATCH($C369,商品マスタ!$B$6:$B$1005,0)),3))</f>
        <v/>
      </c>
      <c r="J369" s="66" t="str">
        <f aca="false">IF($C369="","",MAX(1,IFERROR(INDEX(商品マスタ!$I$6:$I$1005,MATCH($C369,商品マスタ!$B$6:$B$1005,0)),1)))</f>
        <v/>
      </c>
      <c r="K369" s="69" t="str">
        <f aca="false">IF($C369="","",SUMIFS(①今日の在庫を貼る!$N$6:$N$10005,①今日の在庫を貼る!$B$6:$B$10005,'設定（最初に1回）'!$C$4,①今日の在庫を貼る!$I$6:$I$10005,$C369))</f>
        <v/>
      </c>
      <c r="L369" s="69" t="str">
        <f aca="false">IF($C369="","",SUMIFS(月1回_前回の在庫を貼る!$N$6:$N$10005,月1回_前回の在庫を貼る!$B$6:$B$10005,'設定（最初に1回）'!$C$4,月1回_前回の在庫を貼る!$I$6:$I$10005,$C369))</f>
        <v/>
      </c>
      <c r="M369" s="69" t="str">
        <f aca="false">IF($C369="","",IF(OR('設定（最初に1回）'!$C$6="",'設定（最初に1回）'!$C$7=""),0,SUMIFS(発注管理!$S$6:$S$1005,発注管理!$C$6:$C$1005,'設定（最初に1回）'!$C$4,発注管理!$F$6:$F$1005,$C369,発注管理!$R$6:$R$1005,"&gt;="&amp;'設定（最初に1回）'!$C$7,発注管理!$R$6:$R$1005,"&lt;="&amp;'設定（最初に1回）'!$C$6)))</f>
        <v/>
      </c>
      <c r="N369" s="69" t="str">
        <f aca="false">IF(OR($C369="",'設定（最初に1回）'!$C$15=0),"",$L369+$M369-$K369)</f>
        <v/>
      </c>
      <c r="O369" s="143" t="str">
        <f aca="false">IF(OR($N369="",'設定（最初に1回）'!$C$8="",'設定（最初に1回）'!$C$8&lt;=0),"",MAX(0,$N369)/'設定（最初に1回）'!$C$8)</f>
        <v/>
      </c>
      <c r="P369" s="143" t="str">
        <f aca="false">IF($C369="","",IFERROR(INDEX(商品マスタ!$M$6:$N$1005,MATCH($C369,商品マスタ!$B$6:$B$1005,0),MATCH("PI値 "&amp;'設定（最初に1回）'!$C$11,商品マスタ!$M$5:$N$5,0)),""))</f>
        <v/>
      </c>
      <c r="Q369" s="143" t="str">
        <f aca="false">IF(OR($C369="",$P369="",$P369=0,(N($I369)+N($AG369))&lt;=0),"",IFERROR(SUMIFS(随時_動員を入れる!$G$8:$G$97,随時_動員を入れる!$B$8:$B$97,"&gt;="&amp;'設定（最初に1回）'!$C$6,随時_動員を入れる!$B$8:$B$97,"&lt;="&amp;'設定（最初に1回）'!$C$6+(N($I369)+N($AG369))-1)/(N($I369)+N($AG369)),0)*$P369/100)</f>
        <v/>
      </c>
      <c r="R369" s="69" t="str">
        <f aca="false">IF($C369="","",SUMIFS(①今日の在庫を貼る!$O$6:$O$10005,①今日の在庫を貼る!$B$6:$B$10005,'設定（最初に1回）'!$C$4,①今日の在庫を貼る!$I$6:$I$10005,$C369))</f>
        <v/>
      </c>
      <c r="S369" s="143" t="str">
        <f aca="false">IF($C369="","",IF('設定（最初に1回）'!$C$9="実績消費",N($O369),IF('設定（最初に1回）'!$C$9="PI値予測",N($Q369),MAX(N($O369),N($Q369)))))</f>
        <v/>
      </c>
      <c r="T369" s="67" t="str">
        <f aca="false">IF(OR($S369="",$S369&lt;=0),"",$K369/$S369)</f>
        <v/>
      </c>
      <c r="U369" s="69" t="str">
        <f aca="false">IF($S369="","",ROUNDUP(N($S369)*'設定（最初に1回）'!$C$12,0))</f>
        <v/>
      </c>
      <c r="V369" s="69" t="str">
        <f aca="false">IF($C369="","",ROUNDUP(N($S369)*(N($I369)+N($AG369))+N($U369),0))</f>
        <v/>
      </c>
      <c r="W369" s="69" t="str">
        <f aca="false">IF($C369="","",SUMIFS(発注管理!$L$6:$L$1005,発注管理!$C$6:$C$1005,'設定（最初に1回）'!$C$4,発注管理!$F$6:$F$1005,$C369,発注管理!$Q$6:$Q$1005,"発注済"))</f>
        <v/>
      </c>
      <c r="X369" s="69" t="str">
        <f aca="false">IF($C369="","",MAX(0,N($V369)-N($K369)-N($W369)))</f>
        <v/>
      </c>
      <c r="Y369" s="147" t="str">
        <f aca="false">IF($C369="","",IF(N($X369)&lt;=0,0,CEILING($X369/MAX(1,N($G369)),MAX(1,N($J369)))))</f>
        <v/>
      </c>
      <c r="Z369" s="138" t="str">
        <f aca="false">IF($C369="","",IF(N($Y369)&gt;0,"要発注","正常"))</f>
        <v/>
      </c>
      <c r="AA369" s="71" t="str">
        <f aca="false">IF($C369="","",N($K369)*N($H369))</f>
        <v/>
      </c>
      <c r="AB369" s="66" t="str">
        <f aca="false">IF($C369="","",_xlfn.TEXTJOIN(" / ",TRUE(),IF(COUNTIF(商品マスタ!$B$6:$B$1005,$C369)=0,"マスタ未登録",""),IF(COUNTIFS(月1回_前回の在庫を貼る!$B$6:$B$10005,'設定（最初に1回）'!$C$4,月1回_前回の在庫を貼る!$I$6:$I$10005,$C369)=0,"新商品",""),IF(COUNTIFS(①今日の在庫を貼る!$B$6:$B$10005,'設定（最初に1回）'!$C$4,①今日の在庫を貼る!$I$6:$I$10005,$C369)=0,"終売候補",""),IF(N($K369)&lt;0,"在庫マイナス",""),IF(AND('設定（最初に1回）'!$C$9="PI値予測",$P369=""),"PI値未設定","")))</f>
        <v/>
      </c>
      <c r="AC369" s="71" t="n">
        <f aca="false">N($Y369)*N($H369)</f>
        <v>0</v>
      </c>
      <c r="AD369" s="66" t="str">
        <f aca="false">IF($C369="","",IFERROR(INDEX(商品マスタ!$K$6:$K$1005,MATCH($C369,商品マスタ!$B$6:$B$1005,0)),"常温"))</f>
        <v/>
      </c>
      <c r="AE369" s="69" t="str">
        <f aca="false">IF($C369="","",MAX(0,ROUNDUP(N($K369)/MAX(1,N($G369)),0)))</f>
        <v/>
      </c>
      <c r="AF369" s="66" t="str">
        <f aca="false">IF($C369="","",IFERROR(INDEX(商品マスタ!$L$6:$L$1005,MATCH($C369,商品マスタ!$B$6:$B$1005,0)),""))</f>
        <v/>
      </c>
      <c r="AG369" s="143" t="str">
        <f aca="false">IF($C369="","",IFERROR(INDEX(定数マスタ!$S$110:$S$119,MATCH($AF369,定数マスタ!$J$110:$J$119,0)),N('設定（最初に1回）'!$C$13)))</f>
        <v/>
      </c>
      <c r="AH369" s="66" t="n">
        <f aca="false">IF(AND(N($K369)&gt;0,N($Y369)&gt;0),N($Y369),0)</f>
        <v>0</v>
      </c>
    </row>
    <row r="370" customFormat="false" ht="15" hidden="false" customHeight="false" outlineLevel="0" collapsed="false">
      <c r="B370" s="66" t="n">
        <v>365</v>
      </c>
      <c r="C370" s="66" t="str">
        <f aca="false">IFERROR(IF($B370&lt;=MAX(①今日の在庫を貼る!$U$6:$U$10005),INDEX(①今日の在庫を貼る!$I$6:$I$10005,MATCH($B370,①今日の在庫を貼る!$U$6:$U$10005,0)),INDEX(月1回_前回の在庫を貼る!$I$6:$I$10005,MATCH($B370-MAX(①今日の在庫を貼る!$U$6:$U$10005),月1回_前回の在庫を貼る!$U$6:$U$10005,0))),"")</f>
        <v/>
      </c>
      <c r="D370" s="66" t="str">
        <f aca="false">IF($C370="","",IFERROR(INDEX(商品マスタ!$C$6:$C$1005,MATCH($C370,商品マスタ!$B$6:$B$1005,0)),IFERROR(INDEX(①今日の在庫を貼る!$J$6:$J$10005,MATCH($C370,①今日の在庫を貼る!$I$6:$I$10005,0)),IFERROR(INDEX(月1回_前回の在庫を貼る!$J$6:$J$10005,MATCH($C370,月1回_前回の在庫を貼る!$I$6:$I$10005,0)),""))))</f>
        <v/>
      </c>
      <c r="E370" s="66" t="str">
        <f aca="false">IF($C370="","",IFERROR(INDEX(商品マスタ!$D$6:$D$1005,MATCH($C370,商品マスタ!$B$6:$B$1005,0)),IFERROR(INDEX(①今日の在庫を貼る!$H$6:$H$10005,MATCH($C370,①今日の在庫を貼る!$I$6:$I$10005,0)),IFERROR(INDEX(月1回_前回の在庫を貼る!$H$6:$H$10005,MATCH($C370,月1回_前回の在庫を貼る!$I$6:$I$10005,0)),""))))</f>
        <v/>
      </c>
      <c r="F370" s="66" t="str">
        <f aca="false">IF($C370="","",IFERROR(INDEX(商品マスタ!$E$6:$E$1005,MATCH($C370,商品マスタ!$B$6:$B$1005,0)),IFERROR(INDEX(①今日の在庫を貼る!$E$6:$E$10005,MATCH($C370,①今日の在庫を貼る!$I$6:$I$10005,0)),IFERROR(INDEX(月1回_前回の在庫を貼る!$E$6:$E$10005,MATCH($C370,月1回_前回の在庫を貼る!$I$6:$I$10005,0)),""))))</f>
        <v/>
      </c>
      <c r="G370" s="69" t="str">
        <f aca="false">IF($C370="","",IFERROR(INDEX(商品マスタ!$F$6:$F$1005,MATCH($C370,商品マスタ!$B$6:$B$1005,0)),IFERROR(INDEX(①今日の在庫を貼る!$K$6:$K$10005,MATCH($C370,①今日の在庫を貼る!$I$6:$I$10005,0)),IFERROR(INDEX(月1回_前回の在庫を貼る!$K$6:$K$10005,MATCH($C370,月1回_前回の在庫を貼る!$I$6:$I$10005,0)),""))))</f>
        <v/>
      </c>
      <c r="H370" s="71" t="str">
        <f aca="false">IF($C370="","",IFERROR(INDEX(商品マスタ!$G$6:$G$1005,MATCH($C370,商品マスタ!$B$6:$B$1005,0)),IFERROR(INDEX(①今日の在庫を貼る!$Q$6:$Q$10005,MATCH($C370,①今日の在庫を貼る!$I$6:$I$10005,0)),IFERROR(INDEX(月1回_前回の在庫を貼る!$Q$6:$Q$10005,MATCH($C370,月1回_前回の在庫を貼る!$I$6:$I$10005,0)),""))))</f>
        <v/>
      </c>
      <c r="I370" s="66" t="str">
        <f aca="false">IF($C370="","",IFERROR(INDEX(商品マスタ!$H$6:$H$1005,MATCH($C370,商品マスタ!$B$6:$B$1005,0)),3))</f>
        <v/>
      </c>
      <c r="J370" s="66" t="str">
        <f aca="false">IF($C370="","",MAX(1,IFERROR(INDEX(商品マスタ!$I$6:$I$1005,MATCH($C370,商品マスタ!$B$6:$B$1005,0)),1)))</f>
        <v/>
      </c>
      <c r="K370" s="69" t="str">
        <f aca="false">IF($C370="","",SUMIFS(①今日の在庫を貼る!$N$6:$N$10005,①今日の在庫を貼る!$B$6:$B$10005,'設定（最初に1回）'!$C$4,①今日の在庫を貼る!$I$6:$I$10005,$C370))</f>
        <v/>
      </c>
      <c r="L370" s="69" t="str">
        <f aca="false">IF($C370="","",SUMIFS(月1回_前回の在庫を貼る!$N$6:$N$10005,月1回_前回の在庫を貼る!$B$6:$B$10005,'設定（最初に1回）'!$C$4,月1回_前回の在庫を貼る!$I$6:$I$10005,$C370))</f>
        <v/>
      </c>
      <c r="M370" s="69" t="str">
        <f aca="false">IF($C370="","",IF(OR('設定（最初に1回）'!$C$6="",'設定（最初に1回）'!$C$7=""),0,SUMIFS(発注管理!$S$6:$S$1005,発注管理!$C$6:$C$1005,'設定（最初に1回）'!$C$4,発注管理!$F$6:$F$1005,$C370,発注管理!$R$6:$R$1005,"&gt;="&amp;'設定（最初に1回）'!$C$7,発注管理!$R$6:$R$1005,"&lt;="&amp;'設定（最初に1回）'!$C$6)))</f>
        <v/>
      </c>
      <c r="N370" s="69" t="str">
        <f aca="false">IF(OR($C370="",'設定（最初に1回）'!$C$15=0),"",$L370+$M370-$K370)</f>
        <v/>
      </c>
      <c r="O370" s="143" t="str">
        <f aca="false">IF(OR($N370="",'設定（最初に1回）'!$C$8="",'設定（最初に1回）'!$C$8&lt;=0),"",MAX(0,$N370)/'設定（最初に1回）'!$C$8)</f>
        <v/>
      </c>
      <c r="P370" s="143" t="str">
        <f aca="false">IF($C370="","",IFERROR(INDEX(商品マスタ!$M$6:$N$1005,MATCH($C370,商品マスタ!$B$6:$B$1005,0),MATCH("PI値 "&amp;'設定（最初に1回）'!$C$11,商品マスタ!$M$5:$N$5,0)),""))</f>
        <v/>
      </c>
      <c r="Q370" s="143" t="str">
        <f aca="false">IF(OR($C370="",$P370="",$P370=0,(N($I370)+N($AG370))&lt;=0),"",IFERROR(SUMIFS(随時_動員を入れる!$G$8:$G$97,随時_動員を入れる!$B$8:$B$97,"&gt;="&amp;'設定（最初に1回）'!$C$6,随時_動員を入れる!$B$8:$B$97,"&lt;="&amp;'設定（最初に1回）'!$C$6+(N($I370)+N($AG370))-1)/(N($I370)+N($AG370)),0)*$P370/100)</f>
        <v/>
      </c>
      <c r="R370" s="69" t="str">
        <f aca="false">IF($C370="","",SUMIFS(①今日の在庫を貼る!$O$6:$O$10005,①今日の在庫を貼る!$B$6:$B$10005,'設定（最初に1回）'!$C$4,①今日の在庫を貼る!$I$6:$I$10005,$C370))</f>
        <v/>
      </c>
      <c r="S370" s="143" t="str">
        <f aca="false">IF($C370="","",IF('設定（最初に1回）'!$C$9="実績消費",N($O370),IF('設定（最初に1回）'!$C$9="PI値予測",N($Q370),MAX(N($O370),N($Q370)))))</f>
        <v/>
      </c>
      <c r="T370" s="67" t="str">
        <f aca="false">IF(OR($S370="",$S370&lt;=0),"",$K370/$S370)</f>
        <v/>
      </c>
      <c r="U370" s="69" t="str">
        <f aca="false">IF($S370="","",ROUNDUP(N($S370)*'設定（最初に1回）'!$C$12,0))</f>
        <v/>
      </c>
      <c r="V370" s="69" t="str">
        <f aca="false">IF($C370="","",ROUNDUP(N($S370)*(N($I370)+N($AG370))+N($U370),0))</f>
        <v/>
      </c>
      <c r="W370" s="69" t="str">
        <f aca="false">IF($C370="","",SUMIFS(発注管理!$L$6:$L$1005,発注管理!$C$6:$C$1005,'設定（最初に1回）'!$C$4,発注管理!$F$6:$F$1005,$C370,発注管理!$Q$6:$Q$1005,"発注済"))</f>
        <v/>
      </c>
      <c r="X370" s="69" t="str">
        <f aca="false">IF($C370="","",MAX(0,N($V370)-N($K370)-N($W370)))</f>
        <v/>
      </c>
      <c r="Y370" s="147" t="str">
        <f aca="false">IF($C370="","",IF(N($X370)&lt;=0,0,CEILING($X370/MAX(1,N($G370)),MAX(1,N($J370)))))</f>
        <v/>
      </c>
      <c r="Z370" s="138" t="str">
        <f aca="false">IF($C370="","",IF(N($Y370)&gt;0,"要発注","正常"))</f>
        <v/>
      </c>
      <c r="AA370" s="71" t="str">
        <f aca="false">IF($C370="","",N($K370)*N($H370))</f>
        <v/>
      </c>
      <c r="AB370" s="66" t="str">
        <f aca="false">IF($C370="","",_xlfn.TEXTJOIN(" / ",TRUE(),IF(COUNTIF(商品マスタ!$B$6:$B$1005,$C370)=0,"マスタ未登録",""),IF(COUNTIFS(月1回_前回の在庫を貼る!$B$6:$B$10005,'設定（最初に1回）'!$C$4,月1回_前回の在庫を貼る!$I$6:$I$10005,$C370)=0,"新商品",""),IF(COUNTIFS(①今日の在庫を貼る!$B$6:$B$10005,'設定（最初に1回）'!$C$4,①今日の在庫を貼る!$I$6:$I$10005,$C370)=0,"終売候補",""),IF(N($K370)&lt;0,"在庫マイナス",""),IF(AND('設定（最初に1回）'!$C$9="PI値予測",$P370=""),"PI値未設定","")))</f>
        <v/>
      </c>
      <c r="AC370" s="71" t="n">
        <f aca="false">N($Y370)*N($H370)</f>
        <v>0</v>
      </c>
      <c r="AD370" s="66" t="str">
        <f aca="false">IF($C370="","",IFERROR(INDEX(商品マスタ!$K$6:$K$1005,MATCH($C370,商品マスタ!$B$6:$B$1005,0)),"常温"))</f>
        <v/>
      </c>
      <c r="AE370" s="69" t="str">
        <f aca="false">IF($C370="","",MAX(0,ROUNDUP(N($K370)/MAX(1,N($G370)),0)))</f>
        <v/>
      </c>
      <c r="AF370" s="66" t="str">
        <f aca="false">IF($C370="","",IFERROR(INDEX(商品マスタ!$L$6:$L$1005,MATCH($C370,商品マスタ!$B$6:$B$1005,0)),""))</f>
        <v/>
      </c>
      <c r="AG370" s="143" t="str">
        <f aca="false">IF($C370="","",IFERROR(INDEX(定数マスタ!$S$110:$S$119,MATCH($AF370,定数マスタ!$J$110:$J$119,0)),N('設定（最初に1回）'!$C$13)))</f>
        <v/>
      </c>
      <c r="AH370" s="66" t="n">
        <f aca="false">IF(AND(N($K370)&gt;0,N($Y370)&gt;0),N($Y370),0)</f>
        <v>0</v>
      </c>
    </row>
    <row r="371" customFormat="false" ht="15" hidden="false" customHeight="false" outlineLevel="0" collapsed="false">
      <c r="B371" s="66" t="n">
        <v>366</v>
      </c>
      <c r="C371" s="66" t="str">
        <f aca="false">IFERROR(IF($B371&lt;=MAX(①今日の在庫を貼る!$U$6:$U$10005),INDEX(①今日の在庫を貼る!$I$6:$I$10005,MATCH($B371,①今日の在庫を貼る!$U$6:$U$10005,0)),INDEX(月1回_前回の在庫を貼る!$I$6:$I$10005,MATCH($B371-MAX(①今日の在庫を貼る!$U$6:$U$10005),月1回_前回の在庫を貼る!$U$6:$U$10005,0))),"")</f>
        <v/>
      </c>
      <c r="D371" s="66" t="str">
        <f aca="false">IF($C371="","",IFERROR(INDEX(商品マスタ!$C$6:$C$1005,MATCH($C371,商品マスタ!$B$6:$B$1005,0)),IFERROR(INDEX(①今日の在庫を貼る!$J$6:$J$10005,MATCH($C371,①今日の在庫を貼る!$I$6:$I$10005,0)),IFERROR(INDEX(月1回_前回の在庫を貼る!$J$6:$J$10005,MATCH($C371,月1回_前回の在庫を貼る!$I$6:$I$10005,0)),""))))</f>
        <v/>
      </c>
      <c r="E371" s="66" t="str">
        <f aca="false">IF($C371="","",IFERROR(INDEX(商品マスタ!$D$6:$D$1005,MATCH($C371,商品マスタ!$B$6:$B$1005,0)),IFERROR(INDEX(①今日の在庫を貼る!$H$6:$H$10005,MATCH($C371,①今日の在庫を貼る!$I$6:$I$10005,0)),IFERROR(INDEX(月1回_前回の在庫を貼る!$H$6:$H$10005,MATCH($C371,月1回_前回の在庫を貼る!$I$6:$I$10005,0)),""))))</f>
        <v/>
      </c>
      <c r="F371" s="66" t="str">
        <f aca="false">IF($C371="","",IFERROR(INDEX(商品マスタ!$E$6:$E$1005,MATCH($C371,商品マスタ!$B$6:$B$1005,0)),IFERROR(INDEX(①今日の在庫を貼る!$E$6:$E$10005,MATCH($C371,①今日の在庫を貼る!$I$6:$I$10005,0)),IFERROR(INDEX(月1回_前回の在庫を貼る!$E$6:$E$10005,MATCH($C371,月1回_前回の在庫を貼る!$I$6:$I$10005,0)),""))))</f>
        <v/>
      </c>
      <c r="G371" s="69" t="str">
        <f aca="false">IF($C371="","",IFERROR(INDEX(商品マスタ!$F$6:$F$1005,MATCH($C371,商品マスタ!$B$6:$B$1005,0)),IFERROR(INDEX(①今日の在庫を貼る!$K$6:$K$10005,MATCH($C371,①今日の在庫を貼る!$I$6:$I$10005,0)),IFERROR(INDEX(月1回_前回の在庫を貼る!$K$6:$K$10005,MATCH($C371,月1回_前回の在庫を貼る!$I$6:$I$10005,0)),""))))</f>
        <v/>
      </c>
      <c r="H371" s="71" t="str">
        <f aca="false">IF($C371="","",IFERROR(INDEX(商品マスタ!$G$6:$G$1005,MATCH($C371,商品マスタ!$B$6:$B$1005,0)),IFERROR(INDEX(①今日の在庫を貼る!$Q$6:$Q$10005,MATCH($C371,①今日の在庫を貼る!$I$6:$I$10005,0)),IFERROR(INDEX(月1回_前回の在庫を貼る!$Q$6:$Q$10005,MATCH($C371,月1回_前回の在庫を貼る!$I$6:$I$10005,0)),""))))</f>
        <v/>
      </c>
      <c r="I371" s="66" t="str">
        <f aca="false">IF($C371="","",IFERROR(INDEX(商品マスタ!$H$6:$H$1005,MATCH($C371,商品マスタ!$B$6:$B$1005,0)),3))</f>
        <v/>
      </c>
      <c r="J371" s="66" t="str">
        <f aca="false">IF($C371="","",MAX(1,IFERROR(INDEX(商品マスタ!$I$6:$I$1005,MATCH($C371,商品マスタ!$B$6:$B$1005,0)),1)))</f>
        <v/>
      </c>
      <c r="K371" s="69" t="str">
        <f aca="false">IF($C371="","",SUMIFS(①今日の在庫を貼る!$N$6:$N$10005,①今日の在庫を貼る!$B$6:$B$10005,'設定（最初に1回）'!$C$4,①今日の在庫を貼る!$I$6:$I$10005,$C371))</f>
        <v/>
      </c>
      <c r="L371" s="69" t="str">
        <f aca="false">IF($C371="","",SUMIFS(月1回_前回の在庫を貼る!$N$6:$N$10005,月1回_前回の在庫を貼る!$B$6:$B$10005,'設定（最初に1回）'!$C$4,月1回_前回の在庫を貼る!$I$6:$I$10005,$C371))</f>
        <v/>
      </c>
      <c r="M371" s="69" t="str">
        <f aca="false">IF($C371="","",IF(OR('設定（最初に1回）'!$C$6="",'設定（最初に1回）'!$C$7=""),0,SUMIFS(発注管理!$S$6:$S$1005,発注管理!$C$6:$C$1005,'設定（最初に1回）'!$C$4,発注管理!$F$6:$F$1005,$C371,発注管理!$R$6:$R$1005,"&gt;="&amp;'設定（最初に1回）'!$C$7,発注管理!$R$6:$R$1005,"&lt;="&amp;'設定（最初に1回）'!$C$6)))</f>
        <v/>
      </c>
      <c r="N371" s="69" t="str">
        <f aca="false">IF(OR($C371="",'設定（最初に1回）'!$C$15=0),"",$L371+$M371-$K371)</f>
        <v/>
      </c>
      <c r="O371" s="143" t="str">
        <f aca="false">IF(OR($N371="",'設定（最初に1回）'!$C$8="",'設定（最初に1回）'!$C$8&lt;=0),"",MAX(0,$N371)/'設定（最初に1回）'!$C$8)</f>
        <v/>
      </c>
      <c r="P371" s="143" t="str">
        <f aca="false">IF($C371="","",IFERROR(INDEX(商品マスタ!$M$6:$N$1005,MATCH($C371,商品マスタ!$B$6:$B$1005,0),MATCH("PI値 "&amp;'設定（最初に1回）'!$C$11,商品マスタ!$M$5:$N$5,0)),""))</f>
        <v/>
      </c>
      <c r="Q371" s="143" t="str">
        <f aca="false">IF(OR($C371="",$P371="",$P371=0,(N($I371)+N($AG371))&lt;=0),"",IFERROR(SUMIFS(随時_動員を入れる!$G$8:$G$97,随時_動員を入れる!$B$8:$B$97,"&gt;="&amp;'設定（最初に1回）'!$C$6,随時_動員を入れる!$B$8:$B$97,"&lt;="&amp;'設定（最初に1回）'!$C$6+(N($I371)+N($AG371))-1)/(N($I371)+N($AG371)),0)*$P371/100)</f>
        <v/>
      </c>
      <c r="R371" s="69" t="str">
        <f aca="false">IF($C371="","",SUMIFS(①今日の在庫を貼る!$O$6:$O$10005,①今日の在庫を貼る!$B$6:$B$10005,'設定（最初に1回）'!$C$4,①今日の在庫を貼る!$I$6:$I$10005,$C371))</f>
        <v/>
      </c>
      <c r="S371" s="143" t="str">
        <f aca="false">IF($C371="","",IF('設定（最初に1回）'!$C$9="実績消費",N($O371),IF('設定（最初に1回）'!$C$9="PI値予測",N($Q371),MAX(N($O371),N($Q371)))))</f>
        <v/>
      </c>
      <c r="T371" s="67" t="str">
        <f aca="false">IF(OR($S371="",$S371&lt;=0),"",$K371/$S371)</f>
        <v/>
      </c>
      <c r="U371" s="69" t="str">
        <f aca="false">IF($S371="","",ROUNDUP(N($S371)*'設定（最初に1回）'!$C$12,0))</f>
        <v/>
      </c>
      <c r="V371" s="69" t="str">
        <f aca="false">IF($C371="","",ROUNDUP(N($S371)*(N($I371)+N($AG371))+N($U371),0))</f>
        <v/>
      </c>
      <c r="W371" s="69" t="str">
        <f aca="false">IF($C371="","",SUMIFS(発注管理!$L$6:$L$1005,発注管理!$C$6:$C$1005,'設定（最初に1回）'!$C$4,発注管理!$F$6:$F$1005,$C371,発注管理!$Q$6:$Q$1005,"発注済"))</f>
        <v/>
      </c>
      <c r="X371" s="69" t="str">
        <f aca="false">IF($C371="","",MAX(0,N($V371)-N($K371)-N($W371)))</f>
        <v/>
      </c>
      <c r="Y371" s="147" t="str">
        <f aca="false">IF($C371="","",IF(N($X371)&lt;=0,0,CEILING($X371/MAX(1,N($G371)),MAX(1,N($J371)))))</f>
        <v/>
      </c>
      <c r="Z371" s="138" t="str">
        <f aca="false">IF($C371="","",IF(N($Y371)&gt;0,"要発注","正常"))</f>
        <v/>
      </c>
      <c r="AA371" s="71" t="str">
        <f aca="false">IF($C371="","",N($K371)*N($H371))</f>
        <v/>
      </c>
      <c r="AB371" s="66" t="str">
        <f aca="false">IF($C371="","",_xlfn.TEXTJOIN(" / ",TRUE(),IF(COUNTIF(商品マスタ!$B$6:$B$1005,$C371)=0,"マスタ未登録",""),IF(COUNTIFS(月1回_前回の在庫を貼る!$B$6:$B$10005,'設定（最初に1回）'!$C$4,月1回_前回の在庫を貼る!$I$6:$I$10005,$C371)=0,"新商品",""),IF(COUNTIFS(①今日の在庫を貼る!$B$6:$B$10005,'設定（最初に1回）'!$C$4,①今日の在庫を貼る!$I$6:$I$10005,$C371)=0,"終売候補",""),IF(N($K371)&lt;0,"在庫マイナス",""),IF(AND('設定（最初に1回）'!$C$9="PI値予測",$P371=""),"PI値未設定","")))</f>
        <v/>
      </c>
      <c r="AC371" s="71" t="n">
        <f aca="false">N($Y371)*N($H371)</f>
        <v>0</v>
      </c>
      <c r="AD371" s="66" t="str">
        <f aca="false">IF($C371="","",IFERROR(INDEX(商品マスタ!$K$6:$K$1005,MATCH($C371,商品マスタ!$B$6:$B$1005,0)),"常温"))</f>
        <v/>
      </c>
      <c r="AE371" s="69" t="str">
        <f aca="false">IF($C371="","",MAX(0,ROUNDUP(N($K371)/MAX(1,N($G371)),0)))</f>
        <v/>
      </c>
      <c r="AF371" s="66" t="str">
        <f aca="false">IF($C371="","",IFERROR(INDEX(商品マスタ!$L$6:$L$1005,MATCH($C371,商品マスタ!$B$6:$B$1005,0)),""))</f>
        <v/>
      </c>
      <c r="AG371" s="143" t="str">
        <f aca="false">IF($C371="","",IFERROR(INDEX(定数マスタ!$S$110:$S$119,MATCH($AF371,定数マスタ!$J$110:$J$119,0)),N('設定（最初に1回）'!$C$13)))</f>
        <v/>
      </c>
      <c r="AH371" s="66" t="n">
        <f aca="false">IF(AND(N($K371)&gt;0,N($Y371)&gt;0),N($Y371),0)</f>
        <v>0</v>
      </c>
    </row>
    <row r="372" customFormat="false" ht="15" hidden="false" customHeight="false" outlineLevel="0" collapsed="false">
      <c r="B372" s="66" t="n">
        <v>367</v>
      </c>
      <c r="C372" s="66" t="str">
        <f aca="false">IFERROR(IF($B372&lt;=MAX(①今日の在庫を貼る!$U$6:$U$10005),INDEX(①今日の在庫を貼る!$I$6:$I$10005,MATCH($B372,①今日の在庫を貼る!$U$6:$U$10005,0)),INDEX(月1回_前回の在庫を貼る!$I$6:$I$10005,MATCH($B372-MAX(①今日の在庫を貼る!$U$6:$U$10005),月1回_前回の在庫を貼る!$U$6:$U$10005,0))),"")</f>
        <v/>
      </c>
      <c r="D372" s="66" t="str">
        <f aca="false">IF($C372="","",IFERROR(INDEX(商品マスタ!$C$6:$C$1005,MATCH($C372,商品マスタ!$B$6:$B$1005,0)),IFERROR(INDEX(①今日の在庫を貼る!$J$6:$J$10005,MATCH($C372,①今日の在庫を貼る!$I$6:$I$10005,0)),IFERROR(INDEX(月1回_前回の在庫を貼る!$J$6:$J$10005,MATCH($C372,月1回_前回の在庫を貼る!$I$6:$I$10005,0)),""))))</f>
        <v/>
      </c>
      <c r="E372" s="66" t="str">
        <f aca="false">IF($C372="","",IFERROR(INDEX(商品マスタ!$D$6:$D$1005,MATCH($C372,商品マスタ!$B$6:$B$1005,0)),IFERROR(INDEX(①今日の在庫を貼る!$H$6:$H$10005,MATCH($C372,①今日の在庫を貼る!$I$6:$I$10005,0)),IFERROR(INDEX(月1回_前回の在庫を貼る!$H$6:$H$10005,MATCH($C372,月1回_前回の在庫を貼る!$I$6:$I$10005,0)),""))))</f>
        <v/>
      </c>
      <c r="F372" s="66" t="str">
        <f aca="false">IF($C372="","",IFERROR(INDEX(商品マスタ!$E$6:$E$1005,MATCH($C372,商品マスタ!$B$6:$B$1005,0)),IFERROR(INDEX(①今日の在庫を貼る!$E$6:$E$10005,MATCH($C372,①今日の在庫を貼る!$I$6:$I$10005,0)),IFERROR(INDEX(月1回_前回の在庫を貼る!$E$6:$E$10005,MATCH($C372,月1回_前回の在庫を貼る!$I$6:$I$10005,0)),""))))</f>
        <v/>
      </c>
      <c r="G372" s="69" t="str">
        <f aca="false">IF($C372="","",IFERROR(INDEX(商品マスタ!$F$6:$F$1005,MATCH($C372,商品マスタ!$B$6:$B$1005,0)),IFERROR(INDEX(①今日の在庫を貼る!$K$6:$K$10005,MATCH($C372,①今日の在庫を貼る!$I$6:$I$10005,0)),IFERROR(INDEX(月1回_前回の在庫を貼る!$K$6:$K$10005,MATCH($C372,月1回_前回の在庫を貼る!$I$6:$I$10005,0)),""))))</f>
        <v/>
      </c>
      <c r="H372" s="71" t="str">
        <f aca="false">IF($C372="","",IFERROR(INDEX(商品マスタ!$G$6:$G$1005,MATCH($C372,商品マスタ!$B$6:$B$1005,0)),IFERROR(INDEX(①今日の在庫を貼る!$Q$6:$Q$10005,MATCH($C372,①今日の在庫を貼る!$I$6:$I$10005,0)),IFERROR(INDEX(月1回_前回の在庫を貼る!$Q$6:$Q$10005,MATCH($C372,月1回_前回の在庫を貼る!$I$6:$I$10005,0)),""))))</f>
        <v/>
      </c>
      <c r="I372" s="66" t="str">
        <f aca="false">IF($C372="","",IFERROR(INDEX(商品マスタ!$H$6:$H$1005,MATCH($C372,商品マスタ!$B$6:$B$1005,0)),3))</f>
        <v/>
      </c>
      <c r="J372" s="66" t="str">
        <f aca="false">IF($C372="","",MAX(1,IFERROR(INDEX(商品マスタ!$I$6:$I$1005,MATCH($C372,商品マスタ!$B$6:$B$1005,0)),1)))</f>
        <v/>
      </c>
      <c r="K372" s="69" t="str">
        <f aca="false">IF($C372="","",SUMIFS(①今日の在庫を貼る!$N$6:$N$10005,①今日の在庫を貼る!$B$6:$B$10005,'設定（最初に1回）'!$C$4,①今日の在庫を貼る!$I$6:$I$10005,$C372))</f>
        <v/>
      </c>
      <c r="L372" s="69" t="str">
        <f aca="false">IF($C372="","",SUMIFS(月1回_前回の在庫を貼る!$N$6:$N$10005,月1回_前回の在庫を貼る!$B$6:$B$10005,'設定（最初に1回）'!$C$4,月1回_前回の在庫を貼る!$I$6:$I$10005,$C372))</f>
        <v/>
      </c>
      <c r="M372" s="69" t="str">
        <f aca="false">IF($C372="","",IF(OR('設定（最初に1回）'!$C$6="",'設定（最初に1回）'!$C$7=""),0,SUMIFS(発注管理!$S$6:$S$1005,発注管理!$C$6:$C$1005,'設定（最初に1回）'!$C$4,発注管理!$F$6:$F$1005,$C372,発注管理!$R$6:$R$1005,"&gt;="&amp;'設定（最初に1回）'!$C$7,発注管理!$R$6:$R$1005,"&lt;="&amp;'設定（最初に1回）'!$C$6)))</f>
        <v/>
      </c>
      <c r="N372" s="69" t="str">
        <f aca="false">IF(OR($C372="",'設定（最初に1回）'!$C$15=0),"",$L372+$M372-$K372)</f>
        <v/>
      </c>
      <c r="O372" s="143" t="str">
        <f aca="false">IF(OR($N372="",'設定（最初に1回）'!$C$8="",'設定（最初に1回）'!$C$8&lt;=0),"",MAX(0,$N372)/'設定（最初に1回）'!$C$8)</f>
        <v/>
      </c>
      <c r="P372" s="143" t="str">
        <f aca="false">IF($C372="","",IFERROR(INDEX(商品マスタ!$M$6:$N$1005,MATCH($C372,商品マスタ!$B$6:$B$1005,0),MATCH("PI値 "&amp;'設定（最初に1回）'!$C$11,商品マスタ!$M$5:$N$5,0)),""))</f>
        <v/>
      </c>
      <c r="Q372" s="143" t="str">
        <f aca="false">IF(OR($C372="",$P372="",$P372=0,(N($I372)+N($AG372))&lt;=0),"",IFERROR(SUMIFS(随時_動員を入れる!$G$8:$G$97,随時_動員を入れる!$B$8:$B$97,"&gt;="&amp;'設定（最初に1回）'!$C$6,随時_動員を入れる!$B$8:$B$97,"&lt;="&amp;'設定（最初に1回）'!$C$6+(N($I372)+N($AG372))-1)/(N($I372)+N($AG372)),0)*$P372/100)</f>
        <v/>
      </c>
      <c r="R372" s="69" t="str">
        <f aca="false">IF($C372="","",SUMIFS(①今日の在庫を貼る!$O$6:$O$10005,①今日の在庫を貼る!$B$6:$B$10005,'設定（最初に1回）'!$C$4,①今日の在庫を貼る!$I$6:$I$10005,$C372))</f>
        <v/>
      </c>
      <c r="S372" s="143" t="str">
        <f aca="false">IF($C372="","",IF('設定（最初に1回）'!$C$9="実績消費",N($O372),IF('設定（最初に1回）'!$C$9="PI値予測",N($Q372),MAX(N($O372),N($Q372)))))</f>
        <v/>
      </c>
      <c r="T372" s="67" t="str">
        <f aca="false">IF(OR($S372="",$S372&lt;=0),"",$K372/$S372)</f>
        <v/>
      </c>
      <c r="U372" s="69" t="str">
        <f aca="false">IF($S372="","",ROUNDUP(N($S372)*'設定（最初に1回）'!$C$12,0))</f>
        <v/>
      </c>
      <c r="V372" s="69" t="str">
        <f aca="false">IF($C372="","",ROUNDUP(N($S372)*(N($I372)+N($AG372))+N($U372),0))</f>
        <v/>
      </c>
      <c r="W372" s="69" t="str">
        <f aca="false">IF($C372="","",SUMIFS(発注管理!$L$6:$L$1005,発注管理!$C$6:$C$1005,'設定（最初に1回）'!$C$4,発注管理!$F$6:$F$1005,$C372,発注管理!$Q$6:$Q$1005,"発注済"))</f>
        <v/>
      </c>
      <c r="X372" s="69" t="str">
        <f aca="false">IF($C372="","",MAX(0,N($V372)-N($K372)-N($W372)))</f>
        <v/>
      </c>
      <c r="Y372" s="147" t="str">
        <f aca="false">IF($C372="","",IF(N($X372)&lt;=0,0,CEILING($X372/MAX(1,N($G372)),MAX(1,N($J372)))))</f>
        <v/>
      </c>
      <c r="Z372" s="138" t="str">
        <f aca="false">IF($C372="","",IF(N($Y372)&gt;0,"要発注","正常"))</f>
        <v/>
      </c>
      <c r="AA372" s="71" t="str">
        <f aca="false">IF($C372="","",N($K372)*N($H372))</f>
        <v/>
      </c>
      <c r="AB372" s="66" t="str">
        <f aca="false">IF($C372="","",_xlfn.TEXTJOIN(" / ",TRUE(),IF(COUNTIF(商品マスタ!$B$6:$B$1005,$C372)=0,"マスタ未登録",""),IF(COUNTIFS(月1回_前回の在庫を貼る!$B$6:$B$10005,'設定（最初に1回）'!$C$4,月1回_前回の在庫を貼る!$I$6:$I$10005,$C372)=0,"新商品",""),IF(COUNTIFS(①今日の在庫を貼る!$B$6:$B$10005,'設定（最初に1回）'!$C$4,①今日の在庫を貼る!$I$6:$I$10005,$C372)=0,"終売候補",""),IF(N($K372)&lt;0,"在庫マイナス",""),IF(AND('設定（最初に1回）'!$C$9="PI値予測",$P372=""),"PI値未設定","")))</f>
        <v/>
      </c>
      <c r="AC372" s="71" t="n">
        <f aca="false">N($Y372)*N($H372)</f>
        <v>0</v>
      </c>
      <c r="AD372" s="66" t="str">
        <f aca="false">IF($C372="","",IFERROR(INDEX(商品マスタ!$K$6:$K$1005,MATCH($C372,商品マスタ!$B$6:$B$1005,0)),"常温"))</f>
        <v/>
      </c>
      <c r="AE372" s="69" t="str">
        <f aca="false">IF($C372="","",MAX(0,ROUNDUP(N($K372)/MAX(1,N($G372)),0)))</f>
        <v/>
      </c>
      <c r="AF372" s="66" t="str">
        <f aca="false">IF($C372="","",IFERROR(INDEX(商品マスタ!$L$6:$L$1005,MATCH($C372,商品マスタ!$B$6:$B$1005,0)),""))</f>
        <v/>
      </c>
      <c r="AG372" s="143" t="str">
        <f aca="false">IF($C372="","",IFERROR(INDEX(定数マスタ!$S$110:$S$119,MATCH($AF372,定数マスタ!$J$110:$J$119,0)),N('設定（最初に1回）'!$C$13)))</f>
        <v/>
      </c>
      <c r="AH372" s="66" t="n">
        <f aca="false">IF(AND(N($K372)&gt;0,N($Y372)&gt;0),N($Y372),0)</f>
        <v>0</v>
      </c>
    </row>
    <row r="373" customFormat="false" ht="15" hidden="false" customHeight="false" outlineLevel="0" collapsed="false">
      <c r="B373" s="66" t="n">
        <v>368</v>
      </c>
      <c r="C373" s="66" t="str">
        <f aca="false">IFERROR(IF($B373&lt;=MAX(①今日の在庫を貼る!$U$6:$U$10005),INDEX(①今日の在庫を貼る!$I$6:$I$10005,MATCH($B373,①今日の在庫を貼る!$U$6:$U$10005,0)),INDEX(月1回_前回の在庫を貼る!$I$6:$I$10005,MATCH($B373-MAX(①今日の在庫を貼る!$U$6:$U$10005),月1回_前回の在庫を貼る!$U$6:$U$10005,0))),"")</f>
        <v/>
      </c>
      <c r="D373" s="66" t="str">
        <f aca="false">IF($C373="","",IFERROR(INDEX(商品マスタ!$C$6:$C$1005,MATCH($C373,商品マスタ!$B$6:$B$1005,0)),IFERROR(INDEX(①今日の在庫を貼る!$J$6:$J$10005,MATCH($C373,①今日の在庫を貼る!$I$6:$I$10005,0)),IFERROR(INDEX(月1回_前回の在庫を貼る!$J$6:$J$10005,MATCH($C373,月1回_前回の在庫を貼る!$I$6:$I$10005,0)),""))))</f>
        <v/>
      </c>
      <c r="E373" s="66" t="str">
        <f aca="false">IF($C373="","",IFERROR(INDEX(商品マスタ!$D$6:$D$1005,MATCH($C373,商品マスタ!$B$6:$B$1005,0)),IFERROR(INDEX(①今日の在庫を貼る!$H$6:$H$10005,MATCH($C373,①今日の在庫を貼る!$I$6:$I$10005,0)),IFERROR(INDEX(月1回_前回の在庫を貼る!$H$6:$H$10005,MATCH($C373,月1回_前回の在庫を貼る!$I$6:$I$10005,0)),""))))</f>
        <v/>
      </c>
      <c r="F373" s="66" t="str">
        <f aca="false">IF($C373="","",IFERROR(INDEX(商品マスタ!$E$6:$E$1005,MATCH($C373,商品マスタ!$B$6:$B$1005,0)),IFERROR(INDEX(①今日の在庫を貼る!$E$6:$E$10005,MATCH($C373,①今日の在庫を貼る!$I$6:$I$10005,0)),IFERROR(INDEX(月1回_前回の在庫を貼る!$E$6:$E$10005,MATCH($C373,月1回_前回の在庫を貼る!$I$6:$I$10005,0)),""))))</f>
        <v/>
      </c>
      <c r="G373" s="69" t="str">
        <f aca="false">IF($C373="","",IFERROR(INDEX(商品マスタ!$F$6:$F$1005,MATCH($C373,商品マスタ!$B$6:$B$1005,0)),IFERROR(INDEX(①今日の在庫を貼る!$K$6:$K$10005,MATCH($C373,①今日の在庫を貼る!$I$6:$I$10005,0)),IFERROR(INDEX(月1回_前回の在庫を貼る!$K$6:$K$10005,MATCH($C373,月1回_前回の在庫を貼る!$I$6:$I$10005,0)),""))))</f>
        <v/>
      </c>
      <c r="H373" s="71" t="str">
        <f aca="false">IF($C373="","",IFERROR(INDEX(商品マスタ!$G$6:$G$1005,MATCH($C373,商品マスタ!$B$6:$B$1005,0)),IFERROR(INDEX(①今日の在庫を貼る!$Q$6:$Q$10005,MATCH($C373,①今日の在庫を貼る!$I$6:$I$10005,0)),IFERROR(INDEX(月1回_前回の在庫を貼る!$Q$6:$Q$10005,MATCH($C373,月1回_前回の在庫を貼る!$I$6:$I$10005,0)),""))))</f>
        <v/>
      </c>
      <c r="I373" s="66" t="str">
        <f aca="false">IF($C373="","",IFERROR(INDEX(商品マスタ!$H$6:$H$1005,MATCH($C373,商品マスタ!$B$6:$B$1005,0)),3))</f>
        <v/>
      </c>
      <c r="J373" s="66" t="str">
        <f aca="false">IF($C373="","",MAX(1,IFERROR(INDEX(商品マスタ!$I$6:$I$1005,MATCH($C373,商品マスタ!$B$6:$B$1005,0)),1)))</f>
        <v/>
      </c>
      <c r="K373" s="69" t="str">
        <f aca="false">IF($C373="","",SUMIFS(①今日の在庫を貼る!$N$6:$N$10005,①今日の在庫を貼る!$B$6:$B$10005,'設定（最初に1回）'!$C$4,①今日の在庫を貼る!$I$6:$I$10005,$C373))</f>
        <v/>
      </c>
      <c r="L373" s="69" t="str">
        <f aca="false">IF($C373="","",SUMIFS(月1回_前回の在庫を貼る!$N$6:$N$10005,月1回_前回の在庫を貼る!$B$6:$B$10005,'設定（最初に1回）'!$C$4,月1回_前回の在庫を貼る!$I$6:$I$10005,$C373))</f>
        <v/>
      </c>
      <c r="M373" s="69" t="str">
        <f aca="false">IF($C373="","",IF(OR('設定（最初に1回）'!$C$6="",'設定（最初に1回）'!$C$7=""),0,SUMIFS(発注管理!$S$6:$S$1005,発注管理!$C$6:$C$1005,'設定（最初に1回）'!$C$4,発注管理!$F$6:$F$1005,$C373,発注管理!$R$6:$R$1005,"&gt;="&amp;'設定（最初に1回）'!$C$7,発注管理!$R$6:$R$1005,"&lt;="&amp;'設定（最初に1回）'!$C$6)))</f>
        <v/>
      </c>
      <c r="N373" s="69" t="str">
        <f aca="false">IF(OR($C373="",'設定（最初に1回）'!$C$15=0),"",$L373+$M373-$K373)</f>
        <v/>
      </c>
      <c r="O373" s="143" t="str">
        <f aca="false">IF(OR($N373="",'設定（最初に1回）'!$C$8="",'設定（最初に1回）'!$C$8&lt;=0),"",MAX(0,$N373)/'設定（最初に1回）'!$C$8)</f>
        <v/>
      </c>
      <c r="P373" s="143" t="str">
        <f aca="false">IF($C373="","",IFERROR(INDEX(商品マスタ!$M$6:$N$1005,MATCH($C373,商品マスタ!$B$6:$B$1005,0),MATCH("PI値 "&amp;'設定（最初に1回）'!$C$11,商品マスタ!$M$5:$N$5,0)),""))</f>
        <v/>
      </c>
      <c r="Q373" s="143" t="str">
        <f aca="false">IF(OR($C373="",$P373="",$P373=0,(N($I373)+N($AG373))&lt;=0),"",IFERROR(SUMIFS(随時_動員を入れる!$G$8:$G$97,随時_動員を入れる!$B$8:$B$97,"&gt;="&amp;'設定（最初に1回）'!$C$6,随時_動員を入れる!$B$8:$B$97,"&lt;="&amp;'設定（最初に1回）'!$C$6+(N($I373)+N($AG373))-1)/(N($I373)+N($AG373)),0)*$P373/100)</f>
        <v/>
      </c>
      <c r="R373" s="69" t="str">
        <f aca="false">IF($C373="","",SUMIFS(①今日の在庫を貼る!$O$6:$O$10005,①今日の在庫を貼る!$B$6:$B$10005,'設定（最初に1回）'!$C$4,①今日の在庫を貼る!$I$6:$I$10005,$C373))</f>
        <v/>
      </c>
      <c r="S373" s="143" t="str">
        <f aca="false">IF($C373="","",IF('設定（最初に1回）'!$C$9="実績消費",N($O373),IF('設定（最初に1回）'!$C$9="PI値予測",N($Q373),MAX(N($O373),N($Q373)))))</f>
        <v/>
      </c>
      <c r="T373" s="67" t="str">
        <f aca="false">IF(OR($S373="",$S373&lt;=0),"",$K373/$S373)</f>
        <v/>
      </c>
      <c r="U373" s="69" t="str">
        <f aca="false">IF($S373="","",ROUNDUP(N($S373)*'設定（最初に1回）'!$C$12,0))</f>
        <v/>
      </c>
      <c r="V373" s="69" t="str">
        <f aca="false">IF($C373="","",ROUNDUP(N($S373)*(N($I373)+N($AG373))+N($U373),0))</f>
        <v/>
      </c>
      <c r="W373" s="69" t="str">
        <f aca="false">IF($C373="","",SUMIFS(発注管理!$L$6:$L$1005,発注管理!$C$6:$C$1005,'設定（最初に1回）'!$C$4,発注管理!$F$6:$F$1005,$C373,発注管理!$Q$6:$Q$1005,"発注済"))</f>
        <v/>
      </c>
      <c r="X373" s="69" t="str">
        <f aca="false">IF($C373="","",MAX(0,N($V373)-N($K373)-N($W373)))</f>
        <v/>
      </c>
      <c r="Y373" s="147" t="str">
        <f aca="false">IF($C373="","",IF(N($X373)&lt;=0,0,CEILING($X373/MAX(1,N($G373)),MAX(1,N($J373)))))</f>
        <v/>
      </c>
      <c r="Z373" s="138" t="str">
        <f aca="false">IF($C373="","",IF(N($Y373)&gt;0,"要発注","正常"))</f>
        <v/>
      </c>
      <c r="AA373" s="71" t="str">
        <f aca="false">IF($C373="","",N($K373)*N($H373))</f>
        <v/>
      </c>
      <c r="AB373" s="66" t="str">
        <f aca="false">IF($C373="","",_xlfn.TEXTJOIN(" / ",TRUE(),IF(COUNTIF(商品マスタ!$B$6:$B$1005,$C373)=0,"マスタ未登録",""),IF(COUNTIFS(月1回_前回の在庫を貼る!$B$6:$B$10005,'設定（最初に1回）'!$C$4,月1回_前回の在庫を貼る!$I$6:$I$10005,$C373)=0,"新商品",""),IF(COUNTIFS(①今日の在庫を貼る!$B$6:$B$10005,'設定（最初に1回）'!$C$4,①今日の在庫を貼る!$I$6:$I$10005,$C373)=0,"終売候補",""),IF(N($K373)&lt;0,"在庫マイナス",""),IF(AND('設定（最初に1回）'!$C$9="PI値予測",$P373=""),"PI値未設定","")))</f>
        <v/>
      </c>
      <c r="AC373" s="71" t="n">
        <f aca="false">N($Y373)*N($H373)</f>
        <v>0</v>
      </c>
      <c r="AD373" s="66" t="str">
        <f aca="false">IF($C373="","",IFERROR(INDEX(商品マスタ!$K$6:$K$1005,MATCH($C373,商品マスタ!$B$6:$B$1005,0)),"常温"))</f>
        <v/>
      </c>
      <c r="AE373" s="69" t="str">
        <f aca="false">IF($C373="","",MAX(0,ROUNDUP(N($K373)/MAX(1,N($G373)),0)))</f>
        <v/>
      </c>
      <c r="AF373" s="66" t="str">
        <f aca="false">IF($C373="","",IFERROR(INDEX(商品マスタ!$L$6:$L$1005,MATCH($C373,商品マスタ!$B$6:$B$1005,0)),""))</f>
        <v/>
      </c>
      <c r="AG373" s="143" t="str">
        <f aca="false">IF($C373="","",IFERROR(INDEX(定数マスタ!$S$110:$S$119,MATCH($AF373,定数マスタ!$J$110:$J$119,0)),N('設定（最初に1回）'!$C$13)))</f>
        <v/>
      </c>
      <c r="AH373" s="66" t="n">
        <f aca="false">IF(AND(N($K373)&gt;0,N($Y373)&gt;0),N($Y373),0)</f>
        <v>0</v>
      </c>
    </row>
    <row r="374" customFormat="false" ht="15" hidden="false" customHeight="false" outlineLevel="0" collapsed="false">
      <c r="B374" s="66" t="n">
        <v>369</v>
      </c>
      <c r="C374" s="66" t="str">
        <f aca="false">IFERROR(IF($B374&lt;=MAX(①今日の在庫を貼る!$U$6:$U$10005),INDEX(①今日の在庫を貼る!$I$6:$I$10005,MATCH($B374,①今日の在庫を貼る!$U$6:$U$10005,0)),INDEX(月1回_前回の在庫を貼る!$I$6:$I$10005,MATCH($B374-MAX(①今日の在庫を貼る!$U$6:$U$10005),月1回_前回の在庫を貼る!$U$6:$U$10005,0))),"")</f>
        <v/>
      </c>
      <c r="D374" s="66" t="str">
        <f aca="false">IF($C374="","",IFERROR(INDEX(商品マスタ!$C$6:$C$1005,MATCH($C374,商品マスタ!$B$6:$B$1005,0)),IFERROR(INDEX(①今日の在庫を貼る!$J$6:$J$10005,MATCH($C374,①今日の在庫を貼る!$I$6:$I$10005,0)),IFERROR(INDEX(月1回_前回の在庫を貼る!$J$6:$J$10005,MATCH($C374,月1回_前回の在庫を貼る!$I$6:$I$10005,0)),""))))</f>
        <v/>
      </c>
      <c r="E374" s="66" t="str">
        <f aca="false">IF($C374="","",IFERROR(INDEX(商品マスタ!$D$6:$D$1005,MATCH($C374,商品マスタ!$B$6:$B$1005,0)),IFERROR(INDEX(①今日の在庫を貼る!$H$6:$H$10005,MATCH($C374,①今日の在庫を貼る!$I$6:$I$10005,0)),IFERROR(INDEX(月1回_前回の在庫を貼る!$H$6:$H$10005,MATCH($C374,月1回_前回の在庫を貼る!$I$6:$I$10005,0)),""))))</f>
        <v/>
      </c>
      <c r="F374" s="66" t="str">
        <f aca="false">IF($C374="","",IFERROR(INDEX(商品マスタ!$E$6:$E$1005,MATCH($C374,商品マスタ!$B$6:$B$1005,0)),IFERROR(INDEX(①今日の在庫を貼る!$E$6:$E$10005,MATCH($C374,①今日の在庫を貼る!$I$6:$I$10005,0)),IFERROR(INDEX(月1回_前回の在庫を貼る!$E$6:$E$10005,MATCH($C374,月1回_前回の在庫を貼る!$I$6:$I$10005,0)),""))))</f>
        <v/>
      </c>
      <c r="G374" s="69" t="str">
        <f aca="false">IF($C374="","",IFERROR(INDEX(商品マスタ!$F$6:$F$1005,MATCH($C374,商品マスタ!$B$6:$B$1005,0)),IFERROR(INDEX(①今日の在庫を貼る!$K$6:$K$10005,MATCH($C374,①今日の在庫を貼る!$I$6:$I$10005,0)),IFERROR(INDEX(月1回_前回の在庫を貼る!$K$6:$K$10005,MATCH($C374,月1回_前回の在庫を貼る!$I$6:$I$10005,0)),""))))</f>
        <v/>
      </c>
      <c r="H374" s="71" t="str">
        <f aca="false">IF($C374="","",IFERROR(INDEX(商品マスタ!$G$6:$G$1005,MATCH($C374,商品マスタ!$B$6:$B$1005,0)),IFERROR(INDEX(①今日の在庫を貼る!$Q$6:$Q$10005,MATCH($C374,①今日の在庫を貼る!$I$6:$I$10005,0)),IFERROR(INDEX(月1回_前回の在庫を貼る!$Q$6:$Q$10005,MATCH($C374,月1回_前回の在庫を貼る!$I$6:$I$10005,0)),""))))</f>
        <v/>
      </c>
      <c r="I374" s="66" t="str">
        <f aca="false">IF($C374="","",IFERROR(INDEX(商品マスタ!$H$6:$H$1005,MATCH($C374,商品マスタ!$B$6:$B$1005,0)),3))</f>
        <v/>
      </c>
      <c r="J374" s="66" t="str">
        <f aca="false">IF($C374="","",MAX(1,IFERROR(INDEX(商品マスタ!$I$6:$I$1005,MATCH($C374,商品マスタ!$B$6:$B$1005,0)),1)))</f>
        <v/>
      </c>
      <c r="K374" s="69" t="str">
        <f aca="false">IF($C374="","",SUMIFS(①今日の在庫を貼る!$N$6:$N$10005,①今日の在庫を貼る!$B$6:$B$10005,'設定（最初に1回）'!$C$4,①今日の在庫を貼る!$I$6:$I$10005,$C374))</f>
        <v/>
      </c>
      <c r="L374" s="69" t="str">
        <f aca="false">IF($C374="","",SUMIFS(月1回_前回の在庫を貼る!$N$6:$N$10005,月1回_前回の在庫を貼る!$B$6:$B$10005,'設定（最初に1回）'!$C$4,月1回_前回の在庫を貼る!$I$6:$I$10005,$C374))</f>
        <v/>
      </c>
      <c r="M374" s="69" t="str">
        <f aca="false">IF($C374="","",IF(OR('設定（最初に1回）'!$C$6="",'設定（最初に1回）'!$C$7=""),0,SUMIFS(発注管理!$S$6:$S$1005,発注管理!$C$6:$C$1005,'設定（最初に1回）'!$C$4,発注管理!$F$6:$F$1005,$C374,発注管理!$R$6:$R$1005,"&gt;="&amp;'設定（最初に1回）'!$C$7,発注管理!$R$6:$R$1005,"&lt;="&amp;'設定（最初に1回）'!$C$6)))</f>
        <v/>
      </c>
      <c r="N374" s="69" t="str">
        <f aca="false">IF(OR($C374="",'設定（最初に1回）'!$C$15=0),"",$L374+$M374-$K374)</f>
        <v/>
      </c>
      <c r="O374" s="143" t="str">
        <f aca="false">IF(OR($N374="",'設定（最初に1回）'!$C$8="",'設定（最初に1回）'!$C$8&lt;=0),"",MAX(0,$N374)/'設定（最初に1回）'!$C$8)</f>
        <v/>
      </c>
      <c r="P374" s="143" t="str">
        <f aca="false">IF($C374="","",IFERROR(INDEX(商品マスタ!$M$6:$N$1005,MATCH($C374,商品マスタ!$B$6:$B$1005,0),MATCH("PI値 "&amp;'設定（最初に1回）'!$C$11,商品マスタ!$M$5:$N$5,0)),""))</f>
        <v/>
      </c>
      <c r="Q374" s="143" t="str">
        <f aca="false">IF(OR($C374="",$P374="",$P374=0,(N($I374)+N($AG374))&lt;=0),"",IFERROR(SUMIFS(随時_動員を入れる!$G$8:$G$97,随時_動員を入れる!$B$8:$B$97,"&gt;="&amp;'設定（最初に1回）'!$C$6,随時_動員を入れる!$B$8:$B$97,"&lt;="&amp;'設定（最初に1回）'!$C$6+(N($I374)+N($AG374))-1)/(N($I374)+N($AG374)),0)*$P374/100)</f>
        <v/>
      </c>
      <c r="R374" s="69" t="str">
        <f aca="false">IF($C374="","",SUMIFS(①今日の在庫を貼る!$O$6:$O$10005,①今日の在庫を貼る!$B$6:$B$10005,'設定（最初に1回）'!$C$4,①今日の在庫を貼る!$I$6:$I$10005,$C374))</f>
        <v/>
      </c>
      <c r="S374" s="143" t="str">
        <f aca="false">IF($C374="","",IF('設定（最初に1回）'!$C$9="実績消費",N($O374),IF('設定（最初に1回）'!$C$9="PI値予測",N($Q374),MAX(N($O374),N($Q374)))))</f>
        <v/>
      </c>
      <c r="T374" s="67" t="str">
        <f aca="false">IF(OR($S374="",$S374&lt;=0),"",$K374/$S374)</f>
        <v/>
      </c>
      <c r="U374" s="69" t="str">
        <f aca="false">IF($S374="","",ROUNDUP(N($S374)*'設定（最初に1回）'!$C$12,0))</f>
        <v/>
      </c>
      <c r="V374" s="69" t="str">
        <f aca="false">IF($C374="","",ROUNDUP(N($S374)*(N($I374)+N($AG374))+N($U374),0))</f>
        <v/>
      </c>
      <c r="W374" s="69" t="str">
        <f aca="false">IF($C374="","",SUMIFS(発注管理!$L$6:$L$1005,発注管理!$C$6:$C$1005,'設定（最初に1回）'!$C$4,発注管理!$F$6:$F$1005,$C374,発注管理!$Q$6:$Q$1005,"発注済"))</f>
        <v/>
      </c>
      <c r="X374" s="69" t="str">
        <f aca="false">IF($C374="","",MAX(0,N($V374)-N($K374)-N($W374)))</f>
        <v/>
      </c>
      <c r="Y374" s="147" t="str">
        <f aca="false">IF($C374="","",IF(N($X374)&lt;=0,0,CEILING($X374/MAX(1,N($G374)),MAX(1,N($J374)))))</f>
        <v/>
      </c>
      <c r="Z374" s="138" t="str">
        <f aca="false">IF($C374="","",IF(N($Y374)&gt;0,"要発注","正常"))</f>
        <v/>
      </c>
      <c r="AA374" s="71" t="str">
        <f aca="false">IF($C374="","",N($K374)*N($H374))</f>
        <v/>
      </c>
      <c r="AB374" s="66" t="str">
        <f aca="false">IF($C374="","",_xlfn.TEXTJOIN(" / ",TRUE(),IF(COUNTIF(商品マスタ!$B$6:$B$1005,$C374)=0,"マスタ未登録",""),IF(COUNTIFS(月1回_前回の在庫を貼る!$B$6:$B$10005,'設定（最初に1回）'!$C$4,月1回_前回の在庫を貼る!$I$6:$I$10005,$C374)=0,"新商品",""),IF(COUNTIFS(①今日の在庫を貼る!$B$6:$B$10005,'設定（最初に1回）'!$C$4,①今日の在庫を貼る!$I$6:$I$10005,$C374)=0,"終売候補",""),IF(N($K374)&lt;0,"在庫マイナス",""),IF(AND('設定（最初に1回）'!$C$9="PI値予測",$P374=""),"PI値未設定","")))</f>
        <v/>
      </c>
      <c r="AC374" s="71" t="n">
        <f aca="false">N($Y374)*N($H374)</f>
        <v>0</v>
      </c>
      <c r="AD374" s="66" t="str">
        <f aca="false">IF($C374="","",IFERROR(INDEX(商品マスタ!$K$6:$K$1005,MATCH($C374,商品マスタ!$B$6:$B$1005,0)),"常温"))</f>
        <v/>
      </c>
      <c r="AE374" s="69" t="str">
        <f aca="false">IF($C374="","",MAX(0,ROUNDUP(N($K374)/MAX(1,N($G374)),0)))</f>
        <v/>
      </c>
      <c r="AF374" s="66" t="str">
        <f aca="false">IF($C374="","",IFERROR(INDEX(商品マスタ!$L$6:$L$1005,MATCH($C374,商品マスタ!$B$6:$B$1005,0)),""))</f>
        <v/>
      </c>
      <c r="AG374" s="143" t="str">
        <f aca="false">IF($C374="","",IFERROR(INDEX(定数マスタ!$S$110:$S$119,MATCH($AF374,定数マスタ!$J$110:$J$119,0)),N('設定（最初に1回）'!$C$13)))</f>
        <v/>
      </c>
      <c r="AH374" s="66" t="n">
        <f aca="false">IF(AND(N($K374)&gt;0,N($Y374)&gt;0),N($Y374),0)</f>
        <v>0</v>
      </c>
    </row>
    <row r="375" customFormat="false" ht="15" hidden="false" customHeight="false" outlineLevel="0" collapsed="false">
      <c r="B375" s="66" t="n">
        <v>370</v>
      </c>
      <c r="C375" s="66" t="str">
        <f aca="false">IFERROR(IF($B375&lt;=MAX(①今日の在庫を貼る!$U$6:$U$10005),INDEX(①今日の在庫を貼る!$I$6:$I$10005,MATCH($B375,①今日の在庫を貼る!$U$6:$U$10005,0)),INDEX(月1回_前回の在庫を貼る!$I$6:$I$10005,MATCH($B375-MAX(①今日の在庫を貼る!$U$6:$U$10005),月1回_前回の在庫を貼る!$U$6:$U$10005,0))),"")</f>
        <v/>
      </c>
      <c r="D375" s="66" t="str">
        <f aca="false">IF($C375="","",IFERROR(INDEX(商品マスタ!$C$6:$C$1005,MATCH($C375,商品マスタ!$B$6:$B$1005,0)),IFERROR(INDEX(①今日の在庫を貼る!$J$6:$J$10005,MATCH($C375,①今日の在庫を貼る!$I$6:$I$10005,0)),IFERROR(INDEX(月1回_前回の在庫を貼る!$J$6:$J$10005,MATCH($C375,月1回_前回の在庫を貼る!$I$6:$I$10005,0)),""))))</f>
        <v/>
      </c>
      <c r="E375" s="66" t="str">
        <f aca="false">IF($C375="","",IFERROR(INDEX(商品マスタ!$D$6:$D$1005,MATCH($C375,商品マスタ!$B$6:$B$1005,0)),IFERROR(INDEX(①今日の在庫を貼る!$H$6:$H$10005,MATCH($C375,①今日の在庫を貼る!$I$6:$I$10005,0)),IFERROR(INDEX(月1回_前回の在庫を貼る!$H$6:$H$10005,MATCH($C375,月1回_前回の在庫を貼る!$I$6:$I$10005,0)),""))))</f>
        <v/>
      </c>
      <c r="F375" s="66" t="str">
        <f aca="false">IF($C375="","",IFERROR(INDEX(商品マスタ!$E$6:$E$1005,MATCH($C375,商品マスタ!$B$6:$B$1005,0)),IFERROR(INDEX(①今日の在庫を貼る!$E$6:$E$10005,MATCH($C375,①今日の在庫を貼る!$I$6:$I$10005,0)),IFERROR(INDEX(月1回_前回の在庫を貼る!$E$6:$E$10005,MATCH($C375,月1回_前回の在庫を貼る!$I$6:$I$10005,0)),""))))</f>
        <v/>
      </c>
      <c r="G375" s="69" t="str">
        <f aca="false">IF($C375="","",IFERROR(INDEX(商品マスタ!$F$6:$F$1005,MATCH($C375,商品マスタ!$B$6:$B$1005,0)),IFERROR(INDEX(①今日の在庫を貼る!$K$6:$K$10005,MATCH($C375,①今日の在庫を貼る!$I$6:$I$10005,0)),IFERROR(INDEX(月1回_前回の在庫を貼る!$K$6:$K$10005,MATCH($C375,月1回_前回の在庫を貼る!$I$6:$I$10005,0)),""))))</f>
        <v/>
      </c>
      <c r="H375" s="71" t="str">
        <f aca="false">IF($C375="","",IFERROR(INDEX(商品マスタ!$G$6:$G$1005,MATCH($C375,商品マスタ!$B$6:$B$1005,0)),IFERROR(INDEX(①今日の在庫を貼る!$Q$6:$Q$10005,MATCH($C375,①今日の在庫を貼る!$I$6:$I$10005,0)),IFERROR(INDEX(月1回_前回の在庫を貼る!$Q$6:$Q$10005,MATCH($C375,月1回_前回の在庫を貼る!$I$6:$I$10005,0)),""))))</f>
        <v/>
      </c>
      <c r="I375" s="66" t="str">
        <f aca="false">IF($C375="","",IFERROR(INDEX(商品マスタ!$H$6:$H$1005,MATCH($C375,商品マスタ!$B$6:$B$1005,0)),3))</f>
        <v/>
      </c>
      <c r="J375" s="66" t="str">
        <f aca="false">IF($C375="","",MAX(1,IFERROR(INDEX(商品マスタ!$I$6:$I$1005,MATCH($C375,商品マスタ!$B$6:$B$1005,0)),1)))</f>
        <v/>
      </c>
      <c r="K375" s="69" t="str">
        <f aca="false">IF($C375="","",SUMIFS(①今日の在庫を貼る!$N$6:$N$10005,①今日の在庫を貼る!$B$6:$B$10005,'設定（最初に1回）'!$C$4,①今日の在庫を貼る!$I$6:$I$10005,$C375))</f>
        <v/>
      </c>
      <c r="L375" s="69" t="str">
        <f aca="false">IF($C375="","",SUMIFS(月1回_前回の在庫を貼る!$N$6:$N$10005,月1回_前回の在庫を貼る!$B$6:$B$10005,'設定（最初に1回）'!$C$4,月1回_前回の在庫を貼る!$I$6:$I$10005,$C375))</f>
        <v/>
      </c>
      <c r="M375" s="69" t="str">
        <f aca="false">IF($C375="","",IF(OR('設定（最初に1回）'!$C$6="",'設定（最初に1回）'!$C$7=""),0,SUMIFS(発注管理!$S$6:$S$1005,発注管理!$C$6:$C$1005,'設定（最初に1回）'!$C$4,発注管理!$F$6:$F$1005,$C375,発注管理!$R$6:$R$1005,"&gt;="&amp;'設定（最初に1回）'!$C$7,発注管理!$R$6:$R$1005,"&lt;="&amp;'設定（最初に1回）'!$C$6)))</f>
        <v/>
      </c>
      <c r="N375" s="69" t="str">
        <f aca="false">IF(OR($C375="",'設定（最初に1回）'!$C$15=0),"",$L375+$M375-$K375)</f>
        <v/>
      </c>
      <c r="O375" s="143" t="str">
        <f aca="false">IF(OR($N375="",'設定（最初に1回）'!$C$8="",'設定（最初に1回）'!$C$8&lt;=0),"",MAX(0,$N375)/'設定（最初に1回）'!$C$8)</f>
        <v/>
      </c>
      <c r="P375" s="143" t="str">
        <f aca="false">IF($C375="","",IFERROR(INDEX(商品マスタ!$M$6:$N$1005,MATCH($C375,商品マスタ!$B$6:$B$1005,0),MATCH("PI値 "&amp;'設定（最初に1回）'!$C$11,商品マスタ!$M$5:$N$5,0)),""))</f>
        <v/>
      </c>
      <c r="Q375" s="143" t="str">
        <f aca="false">IF(OR($C375="",$P375="",$P375=0,(N($I375)+N($AG375))&lt;=0),"",IFERROR(SUMIFS(随時_動員を入れる!$G$8:$G$97,随時_動員を入れる!$B$8:$B$97,"&gt;="&amp;'設定（最初に1回）'!$C$6,随時_動員を入れる!$B$8:$B$97,"&lt;="&amp;'設定（最初に1回）'!$C$6+(N($I375)+N($AG375))-1)/(N($I375)+N($AG375)),0)*$P375/100)</f>
        <v/>
      </c>
      <c r="R375" s="69" t="str">
        <f aca="false">IF($C375="","",SUMIFS(①今日の在庫を貼る!$O$6:$O$10005,①今日の在庫を貼る!$B$6:$B$10005,'設定（最初に1回）'!$C$4,①今日の在庫を貼る!$I$6:$I$10005,$C375))</f>
        <v/>
      </c>
      <c r="S375" s="143" t="str">
        <f aca="false">IF($C375="","",IF('設定（最初に1回）'!$C$9="実績消費",N($O375),IF('設定（最初に1回）'!$C$9="PI値予測",N($Q375),MAX(N($O375),N($Q375)))))</f>
        <v/>
      </c>
      <c r="T375" s="67" t="str">
        <f aca="false">IF(OR($S375="",$S375&lt;=0),"",$K375/$S375)</f>
        <v/>
      </c>
      <c r="U375" s="69" t="str">
        <f aca="false">IF($S375="","",ROUNDUP(N($S375)*'設定（最初に1回）'!$C$12,0))</f>
        <v/>
      </c>
      <c r="V375" s="69" t="str">
        <f aca="false">IF($C375="","",ROUNDUP(N($S375)*(N($I375)+N($AG375))+N($U375),0))</f>
        <v/>
      </c>
      <c r="W375" s="69" t="str">
        <f aca="false">IF($C375="","",SUMIFS(発注管理!$L$6:$L$1005,発注管理!$C$6:$C$1005,'設定（最初に1回）'!$C$4,発注管理!$F$6:$F$1005,$C375,発注管理!$Q$6:$Q$1005,"発注済"))</f>
        <v/>
      </c>
      <c r="X375" s="69" t="str">
        <f aca="false">IF($C375="","",MAX(0,N($V375)-N($K375)-N($W375)))</f>
        <v/>
      </c>
      <c r="Y375" s="147" t="str">
        <f aca="false">IF($C375="","",IF(N($X375)&lt;=0,0,CEILING($X375/MAX(1,N($G375)),MAX(1,N($J375)))))</f>
        <v/>
      </c>
      <c r="Z375" s="138" t="str">
        <f aca="false">IF($C375="","",IF(N($Y375)&gt;0,"要発注","正常"))</f>
        <v/>
      </c>
      <c r="AA375" s="71" t="str">
        <f aca="false">IF($C375="","",N($K375)*N($H375))</f>
        <v/>
      </c>
      <c r="AB375" s="66" t="str">
        <f aca="false">IF($C375="","",_xlfn.TEXTJOIN(" / ",TRUE(),IF(COUNTIF(商品マスタ!$B$6:$B$1005,$C375)=0,"マスタ未登録",""),IF(COUNTIFS(月1回_前回の在庫を貼る!$B$6:$B$10005,'設定（最初に1回）'!$C$4,月1回_前回の在庫を貼る!$I$6:$I$10005,$C375)=0,"新商品",""),IF(COUNTIFS(①今日の在庫を貼る!$B$6:$B$10005,'設定（最初に1回）'!$C$4,①今日の在庫を貼る!$I$6:$I$10005,$C375)=0,"終売候補",""),IF(N($K375)&lt;0,"在庫マイナス",""),IF(AND('設定（最初に1回）'!$C$9="PI値予測",$P375=""),"PI値未設定","")))</f>
        <v/>
      </c>
      <c r="AC375" s="71" t="n">
        <f aca="false">N($Y375)*N($H375)</f>
        <v>0</v>
      </c>
      <c r="AD375" s="66" t="str">
        <f aca="false">IF($C375="","",IFERROR(INDEX(商品マスタ!$K$6:$K$1005,MATCH($C375,商品マスタ!$B$6:$B$1005,0)),"常温"))</f>
        <v/>
      </c>
      <c r="AE375" s="69" t="str">
        <f aca="false">IF($C375="","",MAX(0,ROUNDUP(N($K375)/MAX(1,N($G375)),0)))</f>
        <v/>
      </c>
      <c r="AF375" s="66" t="str">
        <f aca="false">IF($C375="","",IFERROR(INDEX(商品マスタ!$L$6:$L$1005,MATCH($C375,商品マスタ!$B$6:$B$1005,0)),""))</f>
        <v/>
      </c>
      <c r="AG375" s="143" t="str">
        <f aca="false">IF($C375="","",IFERROR(INDEX(定数マスタ!$S$110:$S$119,MATCH($AF375,定数マスタ!$J$110:$J$119,0)),N('設定（最初に1回）'!$C$13)))</f>
        <v/>
      </c>
      <c r="AH375" s="66" t="n">
        <f aca="false">IF(AND(N($K375)&gt;0,N($Y375)&gt;0),N($Y375),0)</f>
        <v>0</v>
      </c>
    </row>
    <row r="376" customFormat="false" ht="15" hidden="false" customHeight="false" outlineLevel="0" collapsed="false">
      <c r="B376" s="66" t="n">
        <v>371</v>
      </c>
      <c r="C376" s="66" t="str">
        <f aca="false">IFERROR(IF($B376&lt;=MAX(①今日の在庫を貼る!$U$6:$U$10005),INDEX(①今日の在庫を貼る!$I$6:$I$10005,MATCH($B376,①今日の在庫を貼る!$U$6:$U$10005,0)),INDEX(月1回_前回の在庫を貼る!$I$6:$I$10005,MATCH($B376-MAX(①今日の在庫を貼る!$U$6:$U$10005),月1回_前回の在庫を貼る!$U$6:$U$10005,0))),"")</f>
        <v/>
      </c>
      <c r="D376" s="66" t="str">
        <f aca="false">IF($C376="","",IFERROR(INDEX(商品マスタ!$C$6:$C$1005,MATCH($C376,商品マスタ!$B$6:$B$1005,0)),IFERROR(INDEX(①今日の在庫を貼る!$J$6:$J$10005,MATCH($C376,①今日の在庫を貼る!$I$6:$I$10005,0)),IFERROR(INDEX(月1回_前回の在庫を貼る!$J$6:$J$10005,MATCH($C376,月1回_前回の在庫を貼る!$I$6:$I$10005,0)),""))))</f>
        <v/>
      </c>
      <c r="E376" s="66" t="str">
        <f aca="false">IF($C376="","",IFERROR(INDEX(商品マスタ!$D$6:$D$1005,MATCH($C376,商品マスタ!$B$6:$B$1005,0)),IFERROR(INDEX(①今日の在庫を貼る!$H$6:$H$10005,MATCH($C376,①今日の在庫を貼る!$I$6:$I$10005,0)),IFERROR(INDEX(月1回_前回の在庫を貼る!$H$6:$H$10005,MATCH($C376,月1回_前回の在庫を貼る!$I$6:$I$10005,0)),""))))</f>
        <v/>
      </c>
      <c r="F376" s="66" t="str">
        <f aca="false">IF($C376="","",IFERROR(INDEX(商品マスタ!$E$6:$E$1005,MATCH($C376,商品マスタ!$B$6:$B$1005,0)),IFERROR(INDEX(①今日の在庫を貼る!$E$6:$E$10005,MATCH($C376,①今日の在庫を貼る!$I$6:$I$10005,0)),IFERROR(INDEX(月1回_前回の在庫を貼る!$E$6:$E$10005,MATCH($C376,月1回_前回の在庫を貼る!$I$6:$I$10005,0)),""))))</f>
        <v/>
      </c>
      <c r="G376" s="69" t="str">
        <f aca="false">IF($C376="","",IFERROR(INDEX(商品マスタ!$F$6:$F$1005,MATCH($C376,商品マスタ!$B$6:$B$1005,0)),IFERROR(INDEX(①今日の在庫を貼る!$K$6:$K$10005,MATCH($C376,①今日の在庫を貼る!$I$6:$I$10005,0)),IFERROR(INDEX(月1回_前回の在庫を貼る!$K$6:$K$10005,MATCH($C376,月1回_前回の在庫を貼る!$I$6:$I$10005,0)),""))))</f>
        <v/>
      </c>
      <c r="H376" s="71" t="str">
        <f aca="false">IF($C376="","",IFERROR(INDEX(商品マスタ!$G$6:$G$1005,MATCH($C376,商品マスタ!$B$6:$B$1005,0)),IFERROR(INDEX(①今日の在庫を貼る!$Q$6:$Q$10005,MATCH($C376,①今日の在庫を貼る!$I$6:$I$10005,0)),IFERROR(INDEX(月1回_前回の在庫を貼る!$Q$6:$Q$10005,MATCH($C376,月1回_前回の在庫を貼る!$I$6:$I$10005,0)),""))))</f>
        <v/>
      </c>
      <c r="I376" s="66" t="str">
        <f aca="false">IF($C376="","",IFERROR(INDEX(商品マスタ!$H$6:$H$1005,MATCH($C376,商品マスタ!$B$6:$B$1005,0)),3))</f>
        <v/>
      </c>
      <c r="J376" s="66" t="str">
        <f aca="false">IF($C376="","",MAX(1,IFERROR(INDEX(商品マスタ!$I$6:$I$1005,MATCH($C376,商品マスタ!$B$6:$B$1005,0)),1)))</f>
        <v/>
      </c>
      <c r="K376" s="69" t="str">
        <f aca="false">IF($C376="","",SUMIFS(①今日の在庫を貼る!$N$6:$N$10005,①今日の在庫を貼る!$B$6:$B$10005,'設定（最初に1回）'!$C$4,①今日の在庫を貼る!$I$6:$I$10005,$C376))</f>
        <v/>
      </c>
      <c r="L376" s="69" t="str">
        <f aca="false">IF($C376="","",SUMIFS(月1回_前回の在庫を貼る!$N$6:$N$10005,月1回_前回の在庫を貼る!$B$6:$B$10005,'設定（最初に1回）'!$C$4,月1回_前回の在庫を貼る!$I$6:$I$10005,$C376))</f>
        <v/>
      </c>
      <c r="M376" s="69" t="str">
        <f aca="false">IF($C376="","",IF(OR('設定（最初に1回）'!$C$6="",'設定（最初に1回）'!$C$7=""),0,SUMIFS(発注管理!$S$6:$S$1005,発注管理!$C$6:$C$1005,'設定（最初に1回）'!$C$4,発注管理!$F$6:$F$1005,$C376,発注管理!$R$6:$R$1005,"&gt;="&amp;'設定（最初に1回）'!$C$7,発注管理!$R$6:$R$1005,"&lt;="&amp;'設定（最初に1回）'!$C$6)))</f>
        <v/>
      </c>
      <c r="N376" s="69" t="str">
        <f aca="false">IF(OR($C376="",'設定（最初に1回）'!$C$15=0),"",$L376+$M376-$K376)</f>
        <v/>
      </c>
      <c r="O376" s="143" t="str">
        <f aca="false">IF(OR($N376="",'設定（最初に1回）'!$C$8="",'設定（最初に1回）'!$C$8&lt;=0),"",MAX(0,$N376)/'設定（最初に1回）'!$C$8)</f>
        <v/>
      </c>
      <c r="P376" s="143" t="str">
        <f aca="false">IF($C376="","",IFERROR(INDEX(商品マスタ!$M$6:$N$1005,MATCH($C376,商品マスタ!$B$6:$B$1005,0),MATCH("PI値 "&amp;'設定（最初に1回）'!$C$11,商品マスタ!$M$5:$N$5,0)),""))</f>
        <v/>
      </c>
      <c r="Q376" s="143" t="str">
        <f aca="false">IF(OR($C376="",$P376="",$P376=0,(N($I376)+N($AG376))&lt;=0),"",IFERROR(SUMIFS(随時_動員を入れる!$G$8:$G$97,随時_動員を入れる!$B$8:$B$97,"&gt;="&amp;'設定（最初に1回）'!$C$6,随時_動員を入れる!$B$8:$B$97,"&lt;="&amp;'設定（最初に1回）'!$C$6+(N($I376)+N($AG376))-1)/(N($I376)+N($AG376)),0)*$P376/100)</f>
        <v/>
      </c>
      <c r="R376" s="69" t="str">
        <f aca="false">IF($C376="","",SUMIFS(①今日の在庫を貼る!$O$6:$O$10005,①今日の在庫を貼る!$B$6:$B$10005,'設定（最初に1回）'!$C$4,①今日の在庫を貼る!$I$6:$I$10005,$C376))</f>
        <v/>
      </c>
      <c r="S376" s="143" t="str">
        <f aca="false">IF($C376="","",IF('設定（最初に1回）'!$C$9="実績消費",N($O376),IF('設定（最初に1回）'!$C$9="PI値予測",N($Q376),MAX(N($O376),N($Q376)))))</f>
        <v/>
      </c>
      <c r="T376" s="67" t="str">
        <f aca="false">IF(OR($S376="",$S376&lt;=0),"",$K376/$S376)</f>
        <v/>
      </c>
      <c r="U376" s="69" t="str">
        <f aca="false">IF($S376="","",ROUNDUP(N($S376)*'設定（最初に1回）'!$C$12,0))</f>
        <v/>
      </c>
      <c r="V376" s="69" t="str">
        <f aca="false">IF($C376="","",ROUNDUP(N($S376)*(N($I376)+N($AG376))+N($U376),0))</f>
        <v/>
      </c>
      <c r="W376" s="69" t="str">
        <f aca="false">IF($C376="","",SUMIFS(発注管理!$L$6:$L$1005,発注管理!$C$6:$C$1005,'設定（最初に1回）'!$C$4,発注管理!$F$6:$F$1005,$C376,発注管理!$Q$6:$Q$1005,"発注済"))</f>
        <v/>
      </c>
      <c r="X376" s="69" t="str">
        <f aca="false">IF($C376="","",MAX(0,N($V376)-N($K376)-N($W376)))</f>
        <v/>
      </c>
      <c r="Y376" s="147" t="str">
        <f aca="false">IF($C376="","",IF(N($X376)&lt;=0,0,CEILING($X376/MAX(1,N($G376)),MAX(1,N($J376)))))</f>
        <v/>
      </c>
      <c r="Z376" s="138" t="str">
        <f aca="false">IF($C376="","",IF(N($Y376)&gt;0,"要発注","正常"))</f>
        <v/>
      </c>
      <c r="AA376" s="71" t="str">
        <f aca="false">IF($C376="","",N($K376)*N($H376))</f>
        <v/>
      </c>
      <c r="AB376" s="66" t="str">
        <f aca="false">IF($C376="","",_xlfn.TEXTJOIN(" / ",TRUE(),IF(COUNTIF(商品マスタ!$B$6:$B$1005,$C376)=0,"マスタ未登録",""),IF(COUNTIFS(月1回_前回の在庫を貼る!$B$6:$B$10005,'設定（最初に1回）'!$C$4,月1回_前回の在庫を貼る!$I$6:$I$10005,$C376)=0,"新商品",""),IF(COUNTIFS(①今日の在庫を貼る!$B$6:$B$10005,'設定（最初に1回）'!$C$4,①今日の在庫を貼る!$I$6:$I$10005,$C376)=0,"終売候補",""),IF(N($K376)&lt;0,"在庫マイナス",""),IF(AND('設定（最初に1回）'!$C$9="PI値予測",$P376=""),"PI値未設定","")))</f>
        <v/>
      </c>
      <c r="AC376" s="71" t="n">
        <f aca="false">N($Y376)*N($H376)</f>
        <v>0</v>
      </c>
      <c r="AD376" s="66" t="str">
        <f aca="false">IF($C376="","",IFERROR(INDEX(商品マスタ!$K$6:$K$1005,MATCH($C376,商品マスタ!$B$6:$B$1005,0)),"常温"))</f>
        <v/>
      </c>
      <c r="AE376" s="69" t="str">
        <f aca="false">IF($C376="","",MAX(0,ROUNDUP(N($K376)/MAX(1,N($G376)),0)))</f>
        <v/>
      </c>
      <c r="AF376" s="66" t="str">
        <f aca="false">IF($C376="","",IFERROR(INDEX(商品マスタ!$L$6:$L$1005,MATCH($C376,商品マスタ!$B$6:$B$1005,0)),""))</f>
        <v/>
      </c>
      <c r="AG376" s="143" t="str">
        <f aca="false">IF($C376="","",IFERROR(INDEX(定数マスタ!$S$110:$S$119,MATCH($AF376,定数マスタ!$J$110:$J$119,0)),N('設定（最初に1回）'!$C$13)))</f>
        <v/>
      </c>
      <c r="AH376" s="66" t="n">
        <f aca="false">IF(AND(N($K376)&gt;0,N($Y376)&gt;0),N($Y376),0)</f>
        <v>0</v>
      </c>
    </row>
    <row r="377" customFormat="false" ht="15" hidden="false" customHeight="false" outlineLevel="0" collapsed="false">
      <c r="B377" s="66" t="n">
        <v>372</v>
      </c>
      <c r="C377" s="66" t="str">
        <f aca="false">IFERROR(IF($B377&lt;=MAX(①今日の在庫を貼る!$U$6:$U$10005),INDEX(①今日の在庫を貼る!$I$6:$I$10005,MATCH($B377,①今日の在庫を貼る!$U$6:$U$10005,0)),INDEX(月1回_前回の在庫を貼る!$I$6:$I$10005,MATCH($B377-MAX(①今日の在庫を貼る!$U$6:$U$10005),月1回_前回の在庫を貼る!$U$6:$U$10005,0))),"")</f>
        <v/>
      </c>
      <c r="D377" s="66" t="str">
        <f aca="false">IF($C377="","",IFERROR(INDEX(商品マスタ!$C$6:$C$1005,MATCH($C377,商品マスタ!$B$6:$B$1005,0)),IFERROR(INDEX(①今日の在庫を貼る!$J$6:$J$10005,MATCH($C377,①今日の在庫を貼る!$I$6:$I$10005,0)),IFERROR(INDEX(月1回_前回の在庫を貼る!$J$6:$J$10005,MATCH($C377,月1回_前回の在庫を貼る!$I$6:$I$10005,0)),""))))</f>
        <v/>
      </c>
      <c r="E377" s="66" t="str">
        <f aca="false">IF($C377="","",IFERROR(INDEX(商品マスタ!$D$6:$D$1005,MATCH($C377,商品マスタ!$B$6:$B$1005,0)),IFERROR(INDEX(①今日の在庫を貼る!$H$6:$H$10005,MATCH($C377,①今日の在庫を貼る!$I$6:$I$10005,0)),IFERROR(INDEX(月1回_前回の在庫を貼る!$H$6:$H$10005,MATCH($C377,月1回_前回の在庫を貼る!$I$6:$I$10005,0)),""))))</f>
        <v/>
      </c>
      <c r="F377" s="66" t="str">
        <f aca="false">IF($C377="","",IFERROR(INDEX(商品マスタ!$E$6:$E$1005,MATCH($C377,商品マスタ!$B$6:$B$1005,0)),IFERROR(INDEX(①今日の在庫を貼る!$E$6:$E$10005,MATCH($C377,①今日の在庫を貼る!$I$6:$I$10005,0)),IFERROR(INDEX(月1回_前回の在庫を貼る!$E$6:$E$10005,MATCH($C377,月1回_前回の在庫を貼る!$I$6:$I$10005,0)),""))))</f>
        <v/>
      </c>
      <c r="G377" s="69" t="str">
        <f aca="false">IF($C377="","",IFERROR(INDEX(商品マスタ!$F$6:$F$1005,MATCH($C377,商品マスタ!$B$6:$B$1005,0)),IFERROR(INDEX(①今日の在庫を貼る!$K$6:$K$10005,MATCH($C377,①今日の在庫を貼る!$I$6:$I$10005,0)),IFERROR(INDEX(月1回_前回の在庫を貼る!$K$6:$K$10005,MATCH($C377,月1回_前回の在庫を貼る!$I$6:$I$10005,0)),""))))</f>
        <v/>
      </c>
      <c r="H377" s="71" t="str">
        <f aca="false">IF($C377="","",IFERROR(INDEX(商品マスタ!$G$6:$G$1005,MATCH($C377,商品マスタ!$B$6:$B$1005,0)),IFERROR(INDEX(①今日の在庫を貼る!$Q$6:$Q$10005,MATCH($C377,①今日の在庫を貼る!$I$6:$I$10005,0)),IFERROR(INDEX(月1回_前回の在庫を貼る!$Q$6:$Q$10005,MATCH($C377,月1回_前回の在庫を貼る!$I$6:$I$10005,0)),""))))</f>
        <v/>
      </c>
      <c r="I377" s="66" t="str">
        <f aca="false">IF($C377="","",IFERROR(INDEX(商品マスタ!$H$6:$H$1005,MATCH($C377,商品マスタ!$B$6:$B$1005,0)),3))</f>
        <v/>
      </c>
      <c r="J377" s="66" t="str">
        <f aca="false">IF($C377="","",MAX(1,IFERROR(INDEX(商品マスタ!$I$6:$I$1005,MATCH($C377,商品マスタ!$B$6:$B$1005,0)),1)))</f>
        <v/>
      </c>
      <c r="K377" s="69" t="str">
        <f aca="false">IF($C377="","",SUMIFS(①今日の在庫を貼る!$N$6:$N$10005,①今日の在庫を貼る!$B$6:$B$10005,'設定（最初に1回）'!$C$4,①今日の在庫を貼る!$I$6:$I$10005,$C377))</f>
        <v/>
      </c>
      <c r="L377" s="69" t="str">
        <f aca="false">IF($C377="","",SUMIFS(月1回_前回の在庫を貼る!$N$6:$N$10005,月1回_前回の在庫を貼る!$B$6:$B$10005,'設定（最初に1回）'!$C$4,月1回_前回の在庫を貼る!$I$6:$I$10005,$C377))</f>
        <v/>
      </c>
      <c r="M377" s="69" t="str">
        <f aca="false">IF($C377="","",IF(OR('設定（最初に1回）'!$C$6="",'設定（最初に1回）'!$C$7=""),0,SUMIFS(発注管理!$S$6:$S$1005,発注管理!$C$6:$C$1005,'設定（最初に1回）'!$C$4,発注管理!$F$6:$F$1005,$C377,発注管理!$R$6:$R$1005,"&gt;="&amp;'設定（最初に1回）'!$C$7,発注管理!$R$6:$R$1005,"&lt;="&amp;'設定（最初に1回）'!$C$6)))</f>
        <v/>
      </c>
      <c r="N377" s="69" t="str">
        <f aca="false">IF(OR($C377="",'設定（最初に1回）'!$C$15=0),"",$L377+$M377-$K377)</f>
        <v/>
      </c>
      <c r="O377" s="143" t="str">
        <f aca="false">IF(OR($N377="",'設定（最初に1回）'!$C$8="",'設定（最初に1回）'!$C$8&lt;=0),"",MAX(0,$N377)/'設定（最初に1回）'!$C$8)</f>
        <v/>
      </c>
      <c r="P377" s="143" t="str">
        <f aca="false">IF($C377="","",IFERROR(INDEX(商品マスタ!$M$6:$N$1005,MATCH($C377,商品マスタ!$B$6:$B$1005,0),MATCH("PI値 "&amp;'設定（最初に1回）'!$C$11,商品マスタ!$M$5:$N$5,0)),""))</f>
        <v/>
      </c>
      <c r="Q377" s="143" t="str">
        <f aca="false">IF(OR($C377="",$P377="",$P377=0,(N($I377)+N($AG377))&lt;=0),"",IFERROR(SUMIFS(随時_動員を入れる!$G$8:$G$97,随時_動員を入れる!$B$8:$B$97,"&gt;="&amp;'設定（最初に1回）'!$C$6,随時_動員を入れる!$B$8:$B$97,"&lt;="&amp;'設定（最初に1回）'!$C$6+(N($I377)+N($AG377))-1)/(N($I377)+N($AG377)),0)*$P377/100)</f>
        <v/>
      </c>
      <c r="R377" s="69" t="str">
        <f aca="false">IF($C377="","",SUMIFS(①今日の在庫を貼る!$O$6:$O$10005,①今日の在庫を貼る!$B$6:$B$10005,'設定（最初に1回）'!$C$4,①今日の在庫を貼る!$I$6:$I$10005,$C377))</f>
        <v/>
      </c>
      <c r="S377" s="143" t="str">
        <f aca="false">IF($C377="","",IF('設定（最初に1回）'!$C$9="実績消費",N($O377),IF('設定（最初に1回）'!$C$9="PI値予測",N($Q377),MAX(N($O377),N($Q377)))))</f>
        <v/>
      </c>
      <c r="T377" s="67" t="str">
        <f aca="false">IF(OR($S377="",$S377&lt;=0),"",$K377/$S377)</f>
        <v/>
      </c>
      <c r="U377" s="69" t="str">
        <f aca="false">IF($S377="","",ROUNDUP(N($S377)*'設定（最初に1回）'!$C$12,0))</f>
        <v/>
      </c>
      <c r="V377" s="69" t="str">
        <f aca="false">IF($C377="","",ROUNDUP(N($S377)*(N($I377)+N($AG377))+N($U377),0))</f>
        <v/>
      </c>
      <c r="W377" s="69" t="str">
        <f aca="false">IF($C377="","",SUMIFS(発注管理!$L$6:$L$1005,発注管理!$C$6:$C$1005,'設定（最初に1回）'!$C$4,発注管理!$F$6:$F$1005,$C377,発注管理!$Q$6:$Q$1005,"発注済"))</f>
        <v/>
      </c>
      <c r="X377" s="69" t="str">
        <f aca="false">IF($C377="","",MAX(0,N($V377)-N($K377)-N($W377)))</f>
        <v/>
      </c>
      <c r="Y377" s="147" t="str">
        <f aca="false">IF($C377="","",IF(N($X377)&lt;=0,0,CEILING($X377/MAX(1,N($G377)),MAX(1,N($J377)))))</f>
        <v/>
      </c>
      <c r="Z377" s="138" t="str">
        <f aca="false">IF($C377="","",IF(N($Y377)&gt;0,"要発注","正常"))</f>
        <v/>
      </c>
      <c r="AA377" s="71" t="str">
        <f aca="false">IF($C377="","",N($K377)*N($H377))</f>
        <v/>
      </c>
      <c r="AB377" s="66" t="str">
        <f aca="false">IF($C377="","",_xlfn.TEXTJOIN(" / ",TRUE(),IF(COUNTIF(商品マスタ!$B$6:$B$1005,$C377)=0,"マスタ未登録",""),IF(COUNTIFS(月1回_前回の在庫を貼る!$B$6:$B$10005,'設定（最初に1回）'!$C$4,月1回_前回の在庫を貼る!$I$6:$I$10005,$C377)=0,"新商品",""),IF(COUNTIFS(①今日の在庫を貼る!$B$6:$B$10005,'設定（最初に1回）'!$C$4,①今日の在庫を貼る!$I$6:$I$10005,$C377)=0,"終売候補",""),IF(N($K377)&lt;0,"在庫マイナス",""),IF(AND('設定（最初に1回）'!$C$9="PI値予測",$P377=""),"PI値未設定","")))</f>
        <v/>
      </c>
      <c r="AC377" s="71" t="n">
        <f aca="false">N($Y377)*N($H377)</f>
        <v>0</v>
      </c>
      <c r="AD377" s="66" t="str">
        <f aca="false">IF($C377="","",IFERROR(INDEX(商品マスタ!$K$6:$K$1005,MATCH($C377,商品マスタ!$B$6:$B$1005,0)),"常温"))</f>
        <v/>
      </c>
      <c r="AE377" s="69" t="str">
        <f aca="false">IF($C377="","",MAX(0,ROUNDUP(N($K377)/MAX(1,N($G377)),0)))</f>
        <v/>
      </c>
      <c r="AF377" s="66" t="str">
        <f aca="false">IF($C377="","",IFERROR(INDEX(商品マスタ!$L$6:$L$1005,MATCH($C377,商品マスタ!$B$6:$B$1005,0)),""))</f>
        <v/>
      </c>
      <c r="AG377" s="143" t="str">
        <f aca="false">IF($C377="","",IFERROR(INDEX(定数マスタ!$S$110:$S$119,MATCH($AF377,定数マスタ!$J$110:$J$119,0)),N('設定（最初に1回）'!$C$13)))</f>
        <v/>
      </c>
      <c r="AH377" s="66" t="n">
        <f aca="false">IF(AND(N($K377)&gt;0,N($Y377)&gt;0),N($Y377),0)</f>
        <v>0</v>
      </c>
    </row>
    <row r="378" customFormat="false" ht="15" hidden="false" customHeight="false" outlineLevel="0" collapsed="false">
      <c r="B378" s="66" t="n">
        <v>373</v>
      </c>
      <c r="C378" s="66" t="str">
        <f aca="false">IFERROR(IF($B378&lt;=MAX(①今日の在庫を貼る!$U$6:$U$10005),INDEX(①今日の在庫を貼る!$I$6:$I$10005,MATCH($B378,①今日の在庫を貼る!$U$6:$U$10005,0)),INDEX(月1回_前回の在庫を貼る!$I$6:$I$10005,MATCH($B378-MAX(①今日の在庫を貼る!$U$6:$U$10005),月1回_前回の在庫を貼る!$U$6:$U$10005,0))),"")</f>
        <v/>
      </c>
      <c r="D378" s="66" t="str">
        <f aca="false">IF($C378="","",IFERROR(INDEX(商品マスタ!$C$6:$C$1005,MATCH($C378,商品マスタ!$B$6:$B$1005,0)),IFERROR(INDEX(①今日の在庫を貼る!$J$6:$J$10005,MATCH($C378,①今日の在庫を貼る!$I$6:$I$10005,0)),IFERROR(INDEX(月1回_前回の在庫を貼る!$J$6:$J$10005,MATCH($C378,月1回_前回の在庫を貼る!$I$6:$I$10005,0)),""))))</f>
        <v/>
      </c>
      <c r="E378" s="66" t="str">
        <f aca="false">IF($C378="","",IFERROR(INDEX(商品マスタ!$D$6:$D$1005,MATCH($C378,商品マスタ!$B$6:$B$1005,0)),IFERROR(INDEX(①今日の在庫を貼る!$H$6:$H$10005,MATCH($C378,①今日の在庫を貼る!$I$6:$I$10005,0)),IFERROR(INDEX(月1回_前回の在庫を貼る!$H$6:$H$10005,MATCH($C378,月1回_前回の在庫を貼る!$I$6:$I$10005,0)),""))))</f>
        <v/>
      </c>
      <c r="F378" s="66" t="str">
        <f aca="false">IF($C378="","",IFERROR(INDEX(商品マスタ!$E$6:$E$1005,MATCH($C378,商品マスタ!$B$6:$B$1005,0)),IFERROR(INDEX(①今日の在庫を貼る!$E$6:$E$10005,MATCH($C378,①今日の在庫を貼る!$I$6:$I$10005,0)),IFERROR(INDEX(月1回_前回の在庫を貼る!$E$6:$E$10005,MATCH($C378,月1回_前回の在庫を貼る!$I$6:$I$10005,0)),""))))</f>
        <v/>
      </c>
      <c r="G378" s="69" t="str">
        <f aca="false">IF($C378="","",IFERROR(INDEX(商品マスタ!$F$6:$F$1005,MATCH($C378,商品マスタ!$B$6:$B$1005,0)),IFERROR(INDEX(①今日の在庫を貼る!$K$6:$K$10005,MATCH($C378,①今日の在庫を貼る!$I$6:$I$10005,0)),IFERROR(INDEX(月1回_前回の在庫を貼る!$K$6:$K$10005,MATCH($C378,月1回_前回の在庫を貼る!$I$6:$I$10005,0)),""))))</f>
        <v/>
      </c>
      <c r="H378" s="71" t="str">
        <f aca="false">IF($C378="","",IFERROR(INDEX(商品マスタ!$G$6:$G$1005,MATCH($C378,商品マスタ!$B$6:$B$1005,0)),IFERROR(INDEX(①今日の在庫を貼る!$Q$6:$Q$10005,MATCH($C378,①今日の在庫を貼る!$I$6:$I$10005,0)),IFERROR(INDEX(月1回_前回の在庫を貼る!$Q$6:$Q$10005,MATCH($C378,月1回_前回の在庫を貼る!$I$6:$I$10005,0)),""))))</f>
        <v/>
      </c>
      <c r="I378" s="66" t="str">
        <f aca="false">IF($C378="","",IFERROR(INDEX(商品マスタ!$H$6:$H$1005,MATCH($C378,商品マスタ!$B$6:$B$1005,0)),3))</f>
        <v/>
      </c>
      <c r="J378" s="66" t="str">
        <f aca="false">IF($C378="","",MAX(1,IFERROR(INDEX(商品マスタ!$I$6:$I$1005,MATCH($C378,商品マスタ!$B$6:$B$1005,0)),1)))</f>
        <v/>
      </c>
      <c r="K378" s="69" t="str">
        <f aca="false">IF($C378="","",SUMIFS(①今日の在庫を貼る!$N$6:$N$10005,①今日の在庫を貼る!$B$6:$B$10005,'設定（最初に1回）'!$C$4,①今日の在庫を貼る!$I$6:$I$10005,$C378))</f>
        <v/>
      </c>
      <c r="L378" s="69" t="str">
        <f aca="false">IF($C378="","",SUMIFS(月1回_前回の在庫を貼る!$N$6:$N$10005,月1回_前回の在庫を貼る!$B$6:$B$10005,'設定（最初に1回）'!$C$4,月1回_前回の在庫を貼る!$I$6:$I$10005,$C378))</f>
        <v/>
      </c>
      <c r="M378" s="69" t="str">
        <f aca="false">IF($C378="","",IF(OR('設定（最初に1回）'!$C$6="",'設定（最初に1回）'!$C$7=""),0,SUMIFS(発注管理!$S$6:$S$1005,発注管理!$C$6:$C$1005,'設定（最初に1回）'!$C$4,発注管理!$F$6:$F$1005,$C378,発注管理!$R$6:$R$1005,"&gt;="&amp;'設定（最初に1回）'!$C$7,発注管理!$R$6:$R$1005,"&lt;="&amp;'設定（最初に1回）'!$C$6)))</f>
        <v/>
      </c>
      <c r="N378" s="69" t="str">
        <f aca="false">IF(OR($C378="",'設定（最初に1回）'!$C$15=0),"",$L378+$M378-$K378)</f>
        <v/>
      </c>
      <c r="O378" s="143" t="str">
        <f aca="false">IF(OR($N378="",'設定（最初に1回）'!$C$8="",'設定（最初に1回）'!$C$8&lt;=0),"",MAX(0,$N378)/'設定（最初に1回）'!$C$8)</f>
        <v/>
      </c>
      <c r="P378" s="143" t="str">
        <f aca="false">IF($C378="","",IFERROR(INDEX(商品マスタ!$M$6:$N$1005,MATCH($C378,商品マスタ!$B$6:$B$1005,0),MATCH("PI値 "&amp;'設定（最初に1回）'!$C$11,商品マスタ!$M$5:$N$5,0)),""))</f>
        <v/>
      </c>
      <c r="Q378" s="143" t="str">
        <f aca="false">IF(OR($C378="",$P378="",$P378=0,(N($I378)+N($AG378))&lt;=0),"",IFERROR(SUMIFS(随時_動員を入れる!$G$8:$G$97,随時_動員を入れる!$B$8:$B$97,"&gt;="&amp;'設定（最初に1回）'!$C$6,随時_動員を入れる!$B$8:$B$97,"&lt;="&amp;'設定（最初に1回）'!$C$6+(N($I378)+N($AG378))-1)/(N($I378)+N($AG378)),0)*$P378/100)</f>
        <v/>
      </c>
      <c r="R378" s="69" t="str">
        <f aca="false">IF($C378="","",SUMIFS(①今日の在庫を貼る!$O$6:$O$10005,①今日の在庫を貼る!$B$6:$B$10005,'設定（最初に1回）'!$C$4,①今日の在庫を貼る!$I$6:$I$10005,$C378))</f>
        <v/>
      </c>
      <c r="S378" s="143" t="str">
        <f aca="false">IF($C378="","",IF('設定（最初に1回）'!$C$9="実績消費",N($O378),IF('設定（最初に1回）'!$C$9="PI値予測",N($Q378),MAX(N($O378),N($Q378)))))</f>
        <v/>
      </c>
      <c r="T378" s="67" t="str">
        <f aca="false">IF(OR($S378="",$S378&lt;=0),"",$K378/$S378)</f>
        <v/>
      </c>
      <c r="U378" s="69" t="str">
        <f aca="false">IF($S378="","",ROUNDUP(N($S378)*'設定（最初に1回）'!$C$12,0))</f>
        <v/>
      </c>
      <c r="V378" s="69" t="str">
        <f aca="false">IF($C378="","",ROUNDUP(N($S378)*(N($I378)+N($AG378))+N($U378),0))</f>
        <v/>
      </c>
      <c r="W378" s="69" t="str">
        <f aca="false">IF($C378="","",SUMIFS(発注管理!$L$6:$L$1005,発注管理!$C$6:$C$1005,'設定（最初に1回）'!$C$4,発注管理!$F$6:$F$1005,$C378,発注管理!$Q$6:$Q$1005,"発注済"))</f>
        <v/>
      </c>
      <c r="X378" s="69" t="str">
        <f aca="false">IF($C378="","",MAX(0,N($V378)-N($K378)-N($W378)))</f>
        <v/>
      </c>
      <c r="Y378" s="147" t="str">
        <f aca="false">IF($C378="","",IF(N($X378)&lt;=0,0,CEILING($X378/MAX(1,N($G378)),MAX(1,N($J378)))))</f>
        <v/>
      </c>
      <c r="Z378" s="138" t="str">
        <f aca="false">IF($C378="","",IF(N($Y378)&gt;0,"要発注","正常"))</f>
        <v/>
      </c>
      <c r="AA378" s="71" t="str">
        <f aca="false">IF($C378="","",N($K378)*N($H378))</f>
        <v/>
      </c>
      <c r="AB378" s="66" t="str">
        <f aca="false">IF($C378="","",_xlfn.TEXTJOIN(" / ",TRUE(),IF(COUNTIF(商品マスタ!$B$6:$B$1005,$C378)=0,"マスタ未登録",""),IF(COUNTIFS(月1回_前回の在庫を貼る!$B$6:$B$10005,'設定（最初に1回）'!$C$4,月1回_前回の在庫を貼る!$I$6:$I$10005,$C378)=0,"新商品",""),IF(COUNTIFS(①今日の在庫を貼る!$B$6:$B$10005,'設定（最初に1回）'!$C$4,①今日の在庫を貼る!$I$6:$I$10005,$C378)=0,"終売候補",""),IF(N($K378)&lt;0,"在庫マイナス",""),IF(AND('設定（最初に1回）'!$C$9="PI値予測",$P378=""),"PI値未設定","")))</f>
        <v/>
      </c>
      <c r="AC378" s="71" t="n">
        <f aca="false">N($Y378)*N($H378)</f>
        <v>0</v>
      </c>
      <c r="AD378" s="66" t="str">
        <f aca="false">IF($C378="","",IFERROR(INDEX(商品マスタ!$K$6:$K$1005,MATCH($C378,商品マスタ!$B$6:$B$1005,0)),"常温"))</f>
        <v/>
      </c>
      <c r="AE378" s="69" t="str">
        <f aca="false">IF($C378="","",MAX(0,ROUNDUP(N($K378)/MAX(1,N($G378)),0)))</f>
        <v/>
      </c>
      <c r="AF378" s="66" t="str">
        <f aca="false">IF($C378="","",IFERROR(INDEX(商品マスタ!$L$6:$L$1005,MATCH($C378,商品マスタ!$B$6:$B$1005,0)),""))</f>
        <v/>
      </c>
      <c r="AG378" s="143" t="str">
        <f aca="false">IF($C378="","",IFERROR(INDEX(定数マスタ!$S$110:$S$119,MATCH($AF378,定数マスタ!$J$110:$J$119,0)),N('設定（最初に1回）'!$C$13)))</f>
        <v/>
      </c>
      <c r="AH378" s="66" t="n">
        <f aca="false">IF(AND(N($K378)&gt;0,N($Y378)&gt;0),N($Y378),0)</f>
        <v>0</v>
      </c>
    </row>
    <row r="379" customFormat="false" ht="15" hidden="false" customHeight="false" outlineLevel="0" collapsed="false">
      <c r="B379" s="66" t="n">
        <v>374</v>
      </c>
      <c r="C379" s="66" t="str">
        <f aca="false">IFERROR(IF($B379&lt;=MAX(①今日の在庫を貼る!$U$6:$U$10005),INDEX(①今日の在庫を貼る!$I$6:$I$10005,MATCH($B379,①今日の在庫を貼る!$U$6:$U$10005,0)),INDEX(月1回_前回の在庫を貼る!$I$6:$I$10005,MATCH($B379-MAX(①今日の在庫を貼る!$U$6:$U$10005),月1回_前回の在庫を貼る!$U$6:$U$10005,0))),"")</f>
        <v/>
      </c>
      <c r="D379" s="66" t="str">
        <f aca="false">IF($C379="","",IFERROR(INDEX(商品マスタ!$C$6:$C$1005,MATCH($C379,商品マスタ!$B$6:$B$1005,0)),IFERROR(INDEX(①今日の在庫を貼る!$J$6:$J$10005,MATCH($C379,①今日の在庫を貼る!$I$6:$I$10005,0)),IFERROR(INDEX(月1回_前回の在庫を貼る!$J$6:$J$10005,MATCH($C379,月1回_前回の在庫を貼る!$I$6:$I$10005,0)),""))))</f>
        <v/>
      </c>
      <c r="E379" s="66" t="str">
        <f aca="false">IF($C379="","",IFERROR(INDEX(商品マスタ!$D$6:$D$1005,MATCH($C379,商品マスタ!$B$6:$B$1005,0)),IFERROR(INDEX(①今日の在庫を貼る!$H$6:$H$10005,MATCH($C379,①今日の在庫を貼る!$I$6:$I$10005,0)),IFERROR(INDEX(月1回_前回の在庫を貼る!$H$6:$H$10005,MATCH($C379,月1回_前回の在庫を貼る!$I$6:$I$10005,0)),""))))</f>
        <v/>
      </c>
      <c r="F379" s="66" t="str">
        <f aca="false">IF($C379="","",IFERROR(INDEX(商品マスタ!$E$6:$E$1005,MATCH($C379,商品マスタ!$B$6:$B$1005,0)),IFERROR(INDEX(①今日の在庫を貼る!$E$6:$E$10005,MATCH($C379,①今日の在庫を貼る!$I$6:$I$10005,0)),IFERROR(INDEX(月1回_前回の在庫を貼る!$E$6:$E$10005,MATCH($C379,月1回_前回の在庫を貼る!$I$6:$I$10005,0)),""))))</f>
        <v/>
      </c>
      <c r="G379" s="69" t="str">
        <f aca="false">IF($C379="","",IFERROR(INDEX(商品マスタ!$F$6:$F$1005,MATCH($C379,商品マスタ!$B$6:$B$1005,0)),IFERROR(INDEX(①今日の在庫を貼る!$K$6:$K$10005,MATCH($C379,①今日の在庫を貼る!$I$6:$I$10005,0)),IFERROR(INDEX(月1回_前回の在庫を貼る!$K$6:$K$10005,MATCH($C379,月1回_前回の在庫を貼る!$I$6:$I$10005,0)),""))))</f>
        <v/>
      </c>
      <c r="H379" s="71" t="str">
        <f aca="false">IF($C379="","",IFERROR(INDEX(商品マスタ!$G$6:$G$1005,MATCH($C379,商品マスタ!$B$6:$B$1005,0)),IFERROR(INDEX(①今日の在庫を貼る!$Q$6:$Q$10005,MATCH($C379,①今日の在庫を貼る!$I$6:$I$10005,0)),IFERROR(INDEX(月1回_前回の在庫を貼る!$Q$6:$Q$10005,MATCH($C379,月1回_前回の在庫を貼る!$I$6:$I$10005,0)),""))))</f>
        <v/>
      </c>
      <c r="I379" s="66" t="str">
        <f aca="false">IF($C379="","",IFERROR(INDEX(商品マスタ!$H$6:$H$1005,MATCH($C379,商品マスタ!$B$6:$B$1005,0)),3))</f>
        <v/>
      </c>
      <c r="J379" s="66" t="str">
        <f aca="false">IF($C379="","",MAX(1,IFERROR(INDEX(商品マスタ!$I$6:$I$1005,MATCH($C379,商品マスタ!$B$6:$B$1005,0)),1)))</f>
        <v/>
      </c>
      <c r="K379" s="69" t="str">
        <f aca="false">IF($C379="","",SUMIFS(①今日の在庫を貼る!$N$6:$N$10005,①今日の在庫を貼る!$B$6:$B$10005,'設定（最初に1回）'!$C$4,①今日の在庫を貼る!$I$6:$I$10005,$C379))</f>
        <v/>
      </c>
      <c r="L379" s="69" t="str">
        <f aca="false">IF($C379="","",SUMIFS(月1回_前回の在庫を貼る!$N$6:$N$10005,月1回_前回の在庫を貼る!$B$6:$B$10005,'設定（最初に1回）'!$C$4,月1回_前回の在庫を貼る!$I$6:$I$10005,$C379))</f>
        <v/>
      </c>
      <c r="M379" s="69" t="str">
        <f aca="false">IF($C379="","",IF(OR('設定（最初に1回）'!$C$6="",'設定（最初に1回）'!$C$7=""),0,SUMIFS(発注管理!$S$6:$S$1005,発注管理!$C$6:$C$1005,'設定（最初に1回）'!$C$4,発注管理!$F$6:$F$1005,$C379,発注管理!$R$6:$R$1005,"&gt;="&amp;'設定（最初に1回）'!$C$7,発注管理!$R$6:$R$1005,"&lt;="&amp;'設定（最初に1回）'!$C$6)))</f>
        <v/>
      </c>
      <c r="N379" s="69" t="str">
        <f aca="false">IF(OR($C379="",'設定（最初に1回）'!$C$15=0),"",$L379+$M379-$K379)</f>
        <v/>
      </c>
      <c r="O379" s="143" t="str">
        <f aca="false">IF(OR($N379="",'設定（最初に1回）'!$C$8="",'設定（最初に1回）'!$C$8&lt;=0),"",MAX(0,$N379)/'設定（最初に1回）'!$C$8)</f>
        <v/>
      </c>
      <c r="P379" s="143" t="str">
        <f aca="false">IF($C379="","",IFERROR(INDEX(商品マスタ!$M$6:$N$1005,MATCH($C379,商品マスタ!$B$6:$B$1005,0),MATCH("PI値 "&amp;'設定（最初に1回）'!$C$11,商品マスタ!$M$5:$N$5,0)),""))</f>
        <v/>
      </c>
      <c r="Q379" s="143" t="str">
        <f aca="false">IF(OR($C379="",$P379="",$P379=0,(N($I379)+N($AG379))&lt;=0),"",IFERROR(SUMIFS(随時_動員を入れる!$G$8:$G$97,随時_動員を入れる!$B$8:$B$97,"&gt;="&amp;'設定（最初に1回）'!$C$6,随時_動員を入れる!$B$8:$B$97,"&lt;="&amp;'設定（最初に1回）'!$C$6+(N($I379)+N($AG379))-1)/(N($I379)+N($AG379)),0)*$P379/100)</f>
        <v/>
      </c>
      <c r="R379" s="69" t="str">
        <f aca="false">IF($C379="","",SUMIFS(①今日の在庫を貼る!$O$6:$O$10005,①今日の在庫を貼る!$B$6:$B$10005,'設定（最初に1回）'!$C$4,①今日の在庫を貼る!$I$6:$I$10005,$C379))</f>
        <v/>
      </c>
      <c r="S379" s="143" t="str">
        <f aca="false">IF($C379="","",IF('設定（最初に1回）'!$C$9="実績消費",N($O379),IF('設定（最初に1回）'!$C$9="PI値予測",N($Q379),MAX(N($O379),N($Q379)))))</f>
        <v/>
      </c>
      <c r="T379" s="67" t="str">
        <f aca="false">IF(OR($S379="",$S379&lt;=0),"",$K379/$S379)</f>
        <v/>
      </c>
      <c r="U379" s="69" t="str">
        <f aca="false">IF($S379="","",ROUNDUP(N($S379)*'設定（最初に1回）'!$C$12,0))</f>
        <v/>
      </c>
      <c r="V379" s="69" t="str">
        <f aca="false">IF($C379="","",ROUNDUP(N($S379)*(N($I379)+N($AG379))+N($U379),0))</f>
        <v/>
      </c>
      <c r="W379" s="69" t="str">
        <f aca="false">IF($C379="","",SUMIFS(発注管理!$L$6:$L$1005,発注管理!$C$6:$C$1005,'設定（最初に1回）'!$C$4,発注管理!$F$6:$F$1005,$C379,発注管理!$Q$6:$Q$1005,"発注済"))</f>
        <v/>
      </c>
      <c r="X379" s="69" t="str">
        <f aca="false">IF($C379="","",MAX(0,N($V379)-N($K379)-N($W379)))</f>
        <v/>
      </c>
      <c r="Y379" s="147" t="str">
        <f aca="false">IF($C379="","",IF(N($X379)&lt;=0,0,CEILING($X379/MAX(1,N($G379)),MAX(1,N($J379)))))</f>
        <v/>
      </c>
      <c r="Z379" s="138" t="str">
        <f aca="false">IF($C379="","",IF(N($Y379)&gt;0,"要発注","正常"))</f>
        <v/>
      </c>
      <c r="AA379" s="71" t="str">
        <f aca="false">IF($C379="","",N($K379)*N($H379))</f>
        <v/>
      </c>
      <c r="AB379" s="66" t="str">
        <f aca="false">IF($C379="","",_xlfn.TEXTJOIN(" / ",TRUE(),IF(COUNTIF(商品マスタ!$B$6:$B$1005,$C379)=0,"マスタ未登録",""),IF(COUNTIFS(月1回_前回の在庫を貼る!$B$6:$B$10005,'設定（最初に1回）'!$C$4,月1回_前回の在庫を貼る!$I$6:$I$10005,$C379)=0,"新商品",""),IF(COUNTIFS(①今日の在庫を貼る!$B$6:$B$10005,'設定（最初に1回）'!$C$4,①今日の在庫を貼る!$I$6:$I$10005,$C379)=0,"終売候補",""),IF(N($K379)&lt;0,"在庫マイナス",""),IF(AND('設定（最初に1回）'!$C$9="PI値予測",$P379=""),"PI値未設定","")))</f>
        <v/>
      </c>
      <c r="AC379" s="71" t="n">
        <f aca="false">N($Y379)*N($H379)</f>
        <v>0</v>
      </c>
      <c r="AD379" s="66" t="str">
        <f aca="false">IF($C379="","",IFERROR(INDEX(商品マスタ!$K$6:$K$1005,MATCH($C379,商品マスタ!$B$6:$B$1005,0)),"常温"))</f>
        <v/>
      </c>
      <c r="AE379" s="69" t="str">
        <f aca="false">IF($C379="","",MAX(0,ROUNDUP(N($K379)/MAX(1,N($G379)),0)))</f>
        <v/>
      </c>
      <c r="AF379" s="66" t="str">
        <f aca="false">IF($C379="","",IFERROR(INDEX(商品マスタ!$L$6:$L$1005,MATCH($C379,商品マスタ!$B$6:$B$1005,0)),""))</f>
        <v/>
      </c>
      <c r="AG379" s="143" t="str">
        <f aca="false">IF($C379="","",IFERROR(INDEX(定数マスタ!$S$110:$S$119,MATCH($AF379,定数マスタ!$J$110:$J$119,0)),N('設定（最初に1回）'!$C$13)))</f>
        <v/>
      </c>
      <c r="AH379" s="66" t="n">
        <f aca="false">IF(AND(N($K379)&gt;0,N($Y379)&gt;0),N($Y379),0)</f>
        <v>0</v>
      </c>
    </row>
    <row r="380" customFormat="false" ht="15" hidden="false" customHeight="false" outlineLevel="0" collapsed="false">
      <c r="B380" s="66" t="n">
        <v>375</v>
      </c>
      <c r="C380" s="66" t="str">
        <f aca="false">IFERROR(IF($B380&lt;=MAX(①今日の在庫を貼る!$U$6:$U$10005),INDEX(①今日の在庫を貼る!$I$6:$I$10005,MATCH($B380,①今日の在庫を貼る!$U$6:$U$10005,0)),INDEX(月1回_前回の在庫を貼る!$I$6:$I$10005,MATCH($B380-MAX(①今日の在庫を貼る!$U$6:$U$10005),月1回_前回の在庫を貼る!$U$6:$U$10005,0))),"")</f>
        <v/>
      </c>
      <c r="D380" s="66" t="str">
        <f aca="false">IF($C380="","",IFERROR(INDEX(商品マスタ!$C$6:$C$1005,MATCH($C380,商品マスタ!$B$6:$B$1005,0)),IFERROR(INDEX(①今日の在庫を貼る!$J$6:$J$10005,MATCH($C380,①今日の在庫を貼る!$I$6:$I$10005,0)),IFERROR(INDEX(月1回_前回の在庫を貼る!$J$6:$J$10005,MATCH($C380,月1回_前回の在庫を貼る!$I$6:$I$10005,0)),""))))</f>
        <v/>
      </c>
      <c r="E380" s="66" t="str">
        <f aca="false">IF($C380="","",IFERROR(INDEX(商品マスタ!$D$6:$D$1005,MATCH($C380,商品マスタ!$B$6:$B$1005,0)),IFERROR(INDEX(①今日の在庫を貼る!$H$6:$H$10005,MATCH($C380,①今日の在庫を貼る!$I$6:$I$10005,0)),IFERROR(INDEX(月1回_前回の在庫を貼る!$H$6:$H$10005,MATCH($C380,月1回_前回の在庫を貼る!$I$6:$I$10005,0)),""))))</f>
        <v/>
      </c>
      <c r="F380" s="66" t="str">
        <f aca="false">IF($C380="","",IFERROR(INDEX(商品マスタ!$E$6:$E$1005,MATCH($C380,商品マスタ!$B$6:$B$1005,0)),IFERROR(INDEX(①今日の在庫を貼る!$E$6:$E$10005,MATCH($C380,①今日の在庫を貼る!$I$6:$I$10005,0)),IFERROR(INDEX(月1回_前回の在庫を貼る!$E$6:$E$10005,MATCH($C380,月1回_前回の在庫を貼る!$I$6:$I$10005,0)),""))))</f>
        <v/>
      </c>
      <c r="G380" s="69" t="str">
        <f aca="false">IF($C380="","",IFERROR(INDEX(商品マスタ!$F$6:$F$1005,MATCH($C380,商品マスタ!$B$6:$B$1005,0)),IFERROR(INDEX(①今日の在庫を貼る!$K$6:$K$10005,MATCH($C380,①今日の在庫を貼る!$I$6:$I$10005,0)),IFERROR(INDEX(月1回_前回の在庫を貼る!$K$6:$K$10005,MATCH($C380,月1回_前回の在庫を貼る!$I$6:$I$10005,0)),""))))</f>
        <v/>
      </c>
      <c r="H380" s="71" t="str">
        <f aca="false">IF($C380="","",IFERROR(INDEX(商品マスタ!$G$6:$G$1005,MATCH($C380,商品マスタ!$B$6:$B$1005,0)),IFERROR(INDEX(①今日の在庫を貼る!$Q$6:$Q$10005,MATCH($C380,①今日の在庫を貼る!$I$6:$I$10005,0)),IFERROR(INDEX(月1回_前回の在庫を貼る!$Q$6:$Q$10005,MATCH($C380,月1回_前回の在庫を貼る!$I$6:$I$10005,0)),""))))</f>
        <v/>
      </c>
      <c r="I380" s="66" t="str">
        <f aca="false">IF($C380="","",IFERROR(INDEX(商品マスタ!$H$6:$H$1005,MATCH($C380,商品マスタ!$B$6:$B$1005,0)),3))</f>
        <v/>
      </c>
      <c r="J380" s="66" t="str">
        <f aca="false">IF($C380="","",MAX(1,IFERROR(INDEX(商品マスタ!$I$6:$I$1005,MATCH($C380,商品マスタ!$B$6:$B$1005,0)),1)))</f>
        <v/>
      </c>
      <c r="K380" s="69" t="str">
        <f aca="false">IF($C380="","",SUMIFS(①今日の在庫を貼る!$N$6:$N$10005,①今日の在庫を貼る!$B$6:$B$10005,'設定（最初に1回）'!$C$4,①今日の在庫を貼る!$I$6:$I$10005,$C380))</f>
        <v/>
      </c>
      <c r="L380" s="69" t="str">
        <f aca="false">IF($C380="","",SUMIFS(月1回_前回の在庫を貼る!$N$6:$N$10005,月1回_前回の在庫を貼る!$B$6:$B$10005,'設定（最初に1回）'!$C$4,月1回_前回の在庫を貼る!$I$6:$I$10005,$C380))</f>
        <v/>
      </c>
      <c r="M380" s="69" t="str">
        <f aca="false">IF($C380="","",IF(OR('設定（最初に1回）'!$C$6="",'設定（最初に1回）'!$C$7=""),0,SUMIFS(発注管理!$S$6:$S$1005,発注管理!$C$6:$C$1005,'設定（最初に1回）'!$C$4,発注管理!$F$6:$F$1005,$C380,発注管理!$R$6:$R$1005,"&gt;="&amp;'設定（最初に1回）'!$C$7,発注管理!$R$6:$R$1005,"&lt;="&amp;'設定（最初に1回）'!$C$6)))</f>
        <v/>
      </c>
      <c r="N380" s="69" t="str">
        <f aca="false">IF(OR($C380="",'設定（最初に1回）'!$C$15=0),"",$L380+$M380-$K380)</f>
        <v/>
      </c>
      <c r="O380" s="143" t="str">
        <f aca="false">IF(OR($N380="",'設定（最初に1回）'!$C$8="",'設定（最初に1回）'!$C$8&lt;=0),"",MAX(0,$N380)/'設定（最初に1回）'!$C$8)</f>
        <v/>
      </c>
      <c r="P380" s="143" t="str">
        <f aca="false">IF($C380="","",IFERROR(INDEX(商品マスタ!$M$6:$N$1005,MATCH($C380,商品マスタ!$B$6:$B$1005,0),MATCH("PI値 "&amp;'設定（最初に1回）'!$C$11,商品マスタ!$M$5:$N$5,0)),""))</f>
        <v/>
      </c>
      <c r="Q380" s="143" t="str">
        <f aca="false">IF(OR($C380="",$P380="",$P380=0,(N($I380)+N($AG380))&lt;=0),"",IFERROR(SUMIFS(随時_動員を入れる!$G$8:$G$97,随時_動員を入れる!$B$8:$B$97,"&gt;="&amp;'設定（最初に1回）'!$C$6,随時_動員を入れる!$B$8:$B$97,"&lt;="&amp;'設定（最初に1回）'!$C$6+(N($I380)+N($AG380))-1)/(N($I380)+N($AG380)),0)*$P380/100)</f>
        <v/>
      </c>
      <c r="R380" s="69" t="str">
        <f aca="false">IF($C380="","",SUMIFS(①今日の在庫を貼る!$O$6:$O$10005,①今日の在庫を貼る!$B$6:$B$10005,'設定（最初に1回）'!$C$4,①今日の在庫を貼る!$I$6:$I$10005,$C380))</f>
        <v/>
      </c>
      <c r="S380" s="143" t="str">
        <f aca="false">IF($C380="","",IF('設定（最初に1回）'!$C$9="実績消費",N($O380),IF('設定（最初に1回）'!$C$9="PI値予測",N($Q380),MAX(N($O380),N($Q380)))))</f>
        <v/>
      </c>
      <c r="T380" s="67" t="str">
        <f aca="false">IF(OR($S380="",$S380&lt;=0),"",$K380/$S380)</f>
        <v/>
      </c>
      <c r="U380" s="69" t="str">
        <f aca="false">IF($S380="","",ROUNDUP(N($S380)*'設定（最初に1回）'!$C$12,0))</f>
        <v/>
      </c>
      <c r="V380" s="69" t="str">
        <f aca="false">IF($C380="","",ROUNDUP(N($S380)*(N($I380)+N($AG380))+N($U380),0))</f>
        <v/>
      </c>
      <c r="W380" s="69" t="str">
        <f aca="false">IF($C380="","",SUMIFS(発注管理!$L$6:$L$1005,発注管理!$C$6:$C$1005,'設定（最初に1回）'!$C$4,発注管理!$F$6:$F$1005,$C380,発注管理!$Q$6:$Q$1005,"発注済"))</f>
        <v/>
      </c>
      <c r="X380" s="69" t="str">
        <f aca="false">IF($C380="","",MAX(0,N($V380)-N($K380)-N($W380)))</f>
        <v/>
      </c>
      <c r="Y380" s="147" t="str">
        <f aca="false">IF($C380="","",IF(N($X380)&lt;=0,0,CEILING($X380/MAX(1,N($G380)),MAX(1,N($J380)))))</f>
        <v/>
      </c>
      <c r="Z380" s="138" t="str">
        <f aca="false">IF($C380="","",IF(N($Y380)&gt;0,"要発注","正常"))</f>
        <v/>
      </c>
      <c r="AA380" s="71" t="str">
        <f aca="false">IF($C380="","",N($K380)*N($H380))</f>
        <v/>
      </c>
      <c r="AB380" s="66" t="str">
        <f aca="false">IF($C380="","",_xlfn.TEXTJOIN(" / ",TRUE(),IF(COUNTIF(商品マスタ!$B$6:$B$1005,$C380)=0,"マスタ未登録",""),IF(COUNTIFS(月1回_前回の在庫を貼る!$B$6:$B$10005,'設定（最初に1回）'!$C$4,月1回_前回の在庫を貼る!$I$6:$I$10005,$C380)=0,"新商品",""),IF(COUNTIFS(①今日の在庫を貼る!$B$6:$B$10005,'設定（最初に1回）'!$C$4,①今日の在庫を貼る!$I$6:$I$10005,$C380)=0,"終売候補",""),IF(N($K380)&lt;0,"在庫マイナス",""),IF(AND('設定（最初に1回）'!$C$9="PI値予測",$P380=""),"PI値未設定","")))</f>
        <v/>
      </c>
      <c r="AC380" s="71" t="n">
        <f aca="false">N($Y380)*N($H380)</f>
        <v>0</v>
      </c>
      <c r="AD380" s="66" t="str">
        <f aca="false">IF($C380="","",IFERROR(INDEX(商品マスタ!$K$6:$K$1005,MATCH($C380,商品マスタ!$B$6:$B$1005,0)),"常温"))</f>
        <v/>
      </c>
      <c r="AE380" s="69" t="str">
        <f aca="false">IF($C380="","",MAX(0,ROUNDUP(N($K380)/MAX(1,N($G380)),0)))</f>
        <v/>
      </c>
      <c r="AF380" s="66" t="str">
        <f aca="false">IF($C380="","",IFERROR(INDEX(商品マスタ!$L$6:$L$1005,MATCH($C380,商品マスタ!$B$6:$B$1005,0)),""))</f>
        <v/>
      </c>
      <c r="AG380" s="143" t="str">
        <f aca="false">IF($C380="","",IFERROR(INDEX(定数マスタ!$S$110:$S$119,MATCH($AF380,定数マスタ!$J$110:$J$119,0)),N('設定（最初に1回）'!$C$13)))</f>
        <v/>
      </c>
      <c r="AH380" s="66" t="n">
        <f aca="false">IF(AND(N($K380)&gt;0,N($Y380)&gt;0),N($Y380),0)</f>
        <v>0</v>
      </c>
    </row>
    <row r="381" customFormat="false" ht="15" hidden="false" customHeight="false" outlineLevel="0" collapsed="false">
      <c r="B381" s="66" t="n">
        <v>376</v>
      </c>
      <c r="C381" s="66" t="str">
        <f aca="false">IFERROR(IF($B381&lt;=MAX(①今日の在庫を貼る!$U$6:$U$10005),INDEX(①今日の在庫を貼る!$I$6:$I$10005,MATCH($B381,①今日の在庫を貼る!$U$6:$U$10005,0)),INDEX(月1回_前回の在庫を貼る!$I$6:$I$10005,MATCH($B381-MAX(①今日の在庫を貼る!$U$6:$U$10005),月1回_前回の在庫を貼る!$U$6:$U$10005,0))),"")</f>
        <v/>
      </c>
      <c r="D381" s="66" t="str">
        <f aca="false">IF($C381="","",IFERROR(INDEX(商品マスタ!$C$6:$C$1005,MATCH($C381,商品マスタ!$B$6:$B$1005,0)),IFERROR(INDEX(①今日の在庫を貼る!$J$6:$J$10005,MATCH($C381,①今日の在庫を貼る!$I$6:$I$10005,0)),IFERROR(INDEX(月1回_前回の在庫を貼る!$J$6:$J$10005,MATCH($C381,月1回_前回の在庫を貼る!$I$6:$I$10005,0)),""))))</f>
        <v/>
      </c>
      <c r="E381" s="66" t="str">
        <f aca="false">IF($C381="","",IFERROR(INDEX(商品マスタ!$D$6:$D$1005,MATCH($C381,商品マスタ!$B$6:$B$1005,0)),IFERROR(INDEX(①今日の在庫を貼る!$H$6:$H$10005,MATCH($C381,①今日の在庫を貼る!$I$6:$I$10005,0)),IFERROR(INDEX(月1回_前回の在庫を貼る!$H$6:$H$10005,MATCH($C381,月1回_前回の在庫を貼る!$I$6:$I$10005,0)),""))))</f>
        <v/>
      </c>
      <c r="F381" s="66" t="str">
        <f aca="false">IF($C381="","",IFERROR(INDEX(商品マスタ!$E$6:$E$1005,MATCH($C381,商品マスタ!$B$6:$B$1005,0)),IFERROR(INDEX(①今日の在庫を貼る!$E$6:$E$10005,MATCH($C381,①今日の在庫を貼る!$I$6:$I$10005,0)),IFERROR(INDEX(月1回_前回の在庫を貼る!$E$6:$E$10005,MATCH($C381,月1回_前回の在庫を貼る!$I$6:$I$10005,0)),""))))</f>
        <v/>
      </c>
      <c r="G381" s="69" t="str">
        <f aca="false">IF($C381="","",IFERROR(INDEX(商品マスタ!$F$6:$F$1005,MATCH($C381,商品マスタ!$B$6:$B$1005,0)),IFERROR(INDEX(①今日の在庫を貼る!$K$6:$K$10005,MATCH($C381,①今日の在庫を貼る!$I$6:$I$10005,0)),IFERROR(INDEX(月1回_前回の在庫を貼る!$K$6:$K$10005,MATCH($C381,月1回_前回の在庫を貼る!$I$6:$I$10005,0)),""))))</f>
        <v/>
      </c>
      <c r="H381" s="71" t="str">
        <f aca="false">IF($C381="","",IFERROR(INDEX(商品マスタ!$G$6:$G$1005,MATCH($C381,商品マスタ!$B$6:$B$1005,0)),IFERROR(INDEX(①今日の在庫を貼る!$Q$6:$Q$10005,MATCH($C381,①今日の在庫を貼る!$I$6:$I$10005,0)),IFERROR(INDEX(月1回_前回の在庫を貼る!$Q$6:$Q$10005,MATCH($C381,月1回_前回の在庫を貼る!$I$6:$I$10005,0)),""))))</f>
        <v/>
      </c>
      <c r="I381" s="66" t="str">
        <f aca="false">IF($C381="","",IFERROR(INDEX(商品マスタ!$H$6:$H$1005,MATCH($C381,商品マスタ!$B$6:$B$1005,0)),3))</f>
        <v/>
      </c>
      <c r="J381" s="66" t="str">
        <f aca="false">IF($C381="","",MAX(1,IFERROR(INDEX(商品マスタ!$I$6:$I$1005,MATCH($C381,商品マスタ!$B$6:$B$1005,0)),1)))</f>
        <v/>
      </c>
      <c r="K381" s="69" t="str">
        <f aca="false">IF($C381="","",SUMIFS(①今日の在庫を貼る!$N$6:$N$10005,①今日の在庫を貼る!$B$6:$B$10005,'設定（最初に1回）'!$C$4,①今日の在庫を貼る!$I$6:$I$10005,$C381))</f>
        <v/>
      </c>
      <c r="L381" s="69" t="str">
        <f aca="false">IF($C381="","",SUMIFS(月1回_前回の在庫を貼る!$N$6:$N$10005,月1回_前回の在庫を貼る!$B$6:$B$10005,'設定（最初に1回）'!$C$4,月1回_前回の在庫を貼る!$I$6:$I$10005,$C381))</f>
        <v/>
      </c>
      <c r="M381" s="69" t="str">
        <f aca="false">IF($C381="","",IF(OR('設定（最初に1回）'!$C$6="",'設定（最初に1回）'!$C$7=""),0,SUMIFS(発注管理!$S$6:$S$1005,発注管理!$C$6:$C$1005,'設定（最初に1回）'!$C$4,発注管理!$F$6:$F$1005,$C381,発注管理!$R$6:$R$1005,"&gt;="&amp;'設定（最初に1回）'!$C$7,発注管理!$R$6:$R$1005,"&lt;="&amp;'設定（最初に1回）'!$C$6)))</f>
        <v/>
      </c>
      <c r="N381" s="69" t="str">
        <f aca="false">IF(OR($C381="",'設定（最初に1回）'!$C$15=0),"",$L381+$M381-$K381)</f>
        <v/>
      </c>
      <c r="O381" s="143" t="str">
        <f aca="false">IF(OR($N381="",'設定（最初に1回）'!$C$8="",'設定（最初に1回）'!$C$8&lt;=0),"",MAX(0,$N381)/'設定（最初に1回）'!$C$8)</f>
        <v/>
      </c>
      <c r="P381" s="143" t="str">
        <f aca="false">IF($C381="","",IFERROR(INDEX(商品マスタ!$M$6:$N$1005,MATCH($C381,商品マスタ!$B$6:$B$1005,0),MATCH("PI値 "&amp;'設定（最初に1回）'!$C$11,商品マスタ!$M$5:$N$5,0)),""))</f>
        <v/>
      </c>
      <c r="Q381" s="143" t="str">
        <f aca="false">IF(OR($C381="",$P381="",$P381=0,(N($I381)+N($AG381))&lt;=0),"",IFERROR(SUMIFS(随時_動員を入れる!$G$8:$G$97,随時_動員を入れる!$B$8:$B$97,"&gt;="&amp;'設定（最初に1回）'!$C$6,随時_動員を入れる!$B$8:$B$97,"&lt;="&amp;'設定（最初に1回）'!$C$6+(N($I381)+N($AG381))-1)/(N($I381)+N($AG381)),0)*$P381/100)</f>
        <v/>
      </c>
      <c r="R381" s="69" t="str">
        <f aca="false">IF($C381="","",SUMIFS(①今日の在庫を貼る!$O$6:$O$10005,①今日の在庫を貼る!$B$6:$B$10005,'設定（最初に1回）'!$C$4,①今日の在庫を貼る!$I$6:$I$10005,$C381))</f>
        <v/>
      </c>
      <c r="S381" s="143" t="str">
        <f aca="false">IF($C381="","",IF('設定（最初に1回）'!$C$9="実績消費",N($O381),IF('設定（最初に1回）'!$C$9="PI値予測",N($Q381),MAX(N($O381),N($Q381)))))</f>
        <v/>
      </c>
      <c r="T381" s="67" t="str">
        <f aca="false">IF(OR($S381="",$S381&lt;=0),"",$K381/$S381)</f>
        <v/>
      </c>
      <c r="U381" s="69" t="str">
        <f aca="false">IF($S381="","",ROUNDUP(N($S381)*'設定（最初に1回）'!$C$12,0))</f>
        <v/>
      </c>
      <c r="V381" s="69" t="str">
        <f aca="false">IF($C381="","",ROUNDUP(N($S381)*(N($I381)+N($AG381))+N($U381),0))</f>
        <v/>
      </c>
      <c r="W381" s="69" t="str">
        <f aca="false">IF($C381="","",SUMIFS(発注管理!$L$6:$L$1005,発注管理!$C$6:$C$1005,'設定（最初に1回）'!$C$4,発注管理!$F$6:$F$1005,$C381,発注管理!$Q$6:$Q$1005,"発注済"))</f>
        <v/>
      </c>
      <c r="X381" s="69" t="str">
        <f aca="false">IF($C381="","",MAX(0,N($V381)-N($K381)-N($W381)))</f>
        <v/>
      </c>
      <c r="Y381" s="147" t="str">
        <f aca="false">IF($C381="","",IF(N($X381)&lt;=0,0,CEILING($X381/MAX(1,N($G381)),MAX(1,N($J381)))))</f>
        <v/>
      </c>
      <c r="Z381" s="138" t="str">
        <f aca="false">IF($C381="","",IF(N($Y381)&gt;0,"要発注","正常"))</f>
        <v/>
      </c>
      <c r="AA381" s="71" t="str">
        <f aca="false">IF($C381="","",N($K381)*N($H381))</f>
        <v/>
      </c>
      <c r="AB381" s="66" t="str">
        <f aca="false">IF($C381="","",_xlfn.TEXTJOIN(" / ",TRUE(),IF(COUNTIF(商品マスタ!$B$6:$B$1005,$C381)=0,"マスタ未登録",""),IF(COUNTIFS(月1回_前回の在庫を貼る!$B$6:$B$10005,'設定（最初に1回）'!$C$4,月1回_前回の在庫を貼る!$I$6:$I$10005,$C381)=0,"新商品",""),IF(COUNTIFS(①今日の在庫を貼る!$B$6:$B$10005,'設定（最初に1回）'!$C$4,①今日の在庫を貼る!$I$6:$I$10005,$C381)=0,"終売候補",""),IF(N($K381)&lt;0,"在庫マイナス",""),IF(AND('設定（最初に1回）'!$C$9="PI値予測",$P381=""),"PI値未設定","")))</f>
        <v/>
      </c>
      <c r="AC381" s="71" t="n">
        <f aca="false">N($Y381)*N($H381)</f>
        <v>0</v>
      </c>
      <c r="AD381" s="66" t="str">
        <f aca="false">IF($C381="","",IFERROR(INDEX(商品マスタ!$K$6:$K$1005,MATCH($C381,商品マスタ!$B$6:$B$1005,0)),"常温"))</f>
        <v/>
      </c>
      <c r="AE381" s="69" t="str">
        <f aca="false">IF($C381="","",MAX(0,ROUNDUP(N($K381)/MAX(1,N($G381)),0)))</f>
        <v/>
      </c>
      <c r="AF381" s="66" t="str">
        <f aca="false">IF($C381="","",IFERROR(INDEX(商品マスタ!$L$6:$L$1005,MATCH($C381,商品マスタ!$B$6:$B$1005,0)),""))</f>
        <v/>
      </c>
      <c r="AG381" s="143" t="str">
        <f aca="false">IF($C381="","",IFERROR(INDEX(定数マスタ!$S$110:$S$119,MATCH($AF381,定数マスタ!$J$110:$J$119,0)),N('設定（最初に1回）'!$C$13)))</f>
        <v/>
      </c>
      <c r="AH381" s="66" t="n">
        <f aca="false">IF(AND(N($K381)&gt;0,N($Y381)&gt;0),N($Y381),0)</f>
        <v>0</v>
      </c>
    </row>
    <row r="382" customFormat="false" ht="15" hidden="false" customHeight="false" outlineLevel="0" collapsed="false">
      <c r="B382" s="66" t="n">
        <v>377</v>
      </c>
      <c r="C382" s="66" t="str">
        <f aca="false">IFERROR(IF($B382&lt;=MAX(①今日の在庫を貼る!$U$6:$U$10005),INDEX(①今日の在庫を貼る!$I$6:$I$10005,MATCH($B382,①今日の在庫を貼る!$U$6:$U$10005,0)),INDEX(月1回_前回の在庫を貼る!$I$6:$I$10005,MATCH($B382-MAX(①今日の在庫を貼る!$U$6:$U$10005),月1回_前回の在庫を貼る!$U$6:$U$10005,0))),"")</f>
        <v/>
      </c>
      <c r="D382" s="66" t="str">
        <f aca="false">IF($C382="","",IFERROR(INDEX(商品マスタ!$C$6:$C$1005,MATCH($C382,商品マスタ!$B$6:$B$1005,0)),IFERROR(INDEX(①今日の在庫を貼る!$J$6:$J$10005,MATCH($C382,①今日の在庫を貼る!$I$6:$I$10005,0)),IFERROR(INDEX(月1回_前回の在庫を貼る!$J$6:$J$10005,MATCH($C382,月1回_前回の在庫を貼る!$I$6:$I$10005,0)),""))))</f>
        <v/>
      </c>
      <c r="E382" s="66" t="str">
        <f aca="false">IF($C382="","",IFERROR(INDEX(商品マスタ!$D$6:$D$1005,MATCH($C382,商品マスタ!$B$6:$B$1005,0)),IFERROR(INDEX(①今日の在庫を貼る!$H$6:$H$10005,MATCH($C382,①今日の在庫を貼る!$I$6:$I$10005,0)),IFERROR(INDEX(月1回_前回の在庫を貼る!$H$6:$H$10005,MATCH($C382,月1回_前回の在庫を貼る!$I$6:$I$10005,0)),""))))</f>
        <v/>
      </c>
      <c r="F382" s="66" t="str">
        <f aca="false">IF($C382="","",IFERROR(INDEX(商品マスタ!$E$6:$E$1005,MATCH($C382,商品マスタ!$B$6:$B$1005,0)),IFERROR(INDEX(①今日の在庫を貼る!$E$6:$E$10005,MATCH($C382,①今日の在庫を貼る!$I$6:$I$10005,0)),IFERROR(INDEX(月1回_前回の在庫を貼る!$E$6:$E$10005,MATCH($C382,月1回_前回の在庫を貼る!$I$6:$I$10005,0)),""))))</f>
        <v/>
      </c>
      <c r="G382" s="69" t="str">
        <f aca="false">IF($C382="","",IFERROR(INDEX(商品マスタ!$F$6:$F$1005,MATCH($C382,商品マスタ!$B$6:$B$1005,0)),IFERROR(INDEX(①今日の在庫を貼る!$K$6:$K$10005,MATCH($C382,①今日の在庫を貼る!$I$6:$I$10005,0)),IFERROR(INDEX(月1回_前回の在庫を貼る!$K$6:$K$10005,MATCH($C382,月1回_前回の在庫を貼る!$I$6:$I$10005,0)),""))))</f>
        <v/>
      </c>
      <c r="H382" s="71" t="str">
        <f aca="false">IF($C382="","",IFERROR(INDEX(商品マスタ!$G$6:$G$1005,MATCH($C382,商品マスタ!$B$6:$B$1005,0)),IFERROR(INDEX(①今日の在庫を貼る!$Q$6:$Q$10005,MATCH($C382,①今日の在庫を貼る!$I$6:$I$10005,0)),IFERROR(INDEX(月1回_前回の在庫を貼る!$Q$6:$Q$10005,MATCH($C382,月1回_前回の在庫を貼る!$I$6:$I$10005,0)),""))))</f>
        <v/>
      </c>
      <c r="I382" s="66" t="str">
        <f aca="false">IF($C382="","",IFERROR(INDEX(商品マスタ!$H$6:$H$1005,MATCH($C382,商品マスタ!$B$6:$B$1005,0)),3))</f>
        <v/>
      </c>
      <c r="J382" s="66" t="str">
        <f aca="false">IF($C382="","",MAX(1,IFERROR(INDEX(商品マスタ!$I$6:$I$1005,MATCH($C382,商品マスタ!$B$6:$B$1005,0)),1)))</f>
        <v/>
      </c>
      <c r="K382" s="69" t="str">
        <f aca="false">IF($C382="","",SUMIFS(①今日の在庫を貼る!$N$6:$N$10005,①今日の在庫を貼る!$B$6:$B$10005,'設定（最初に1回）'!$C$4,①今日の在庫を貼る!$I$6:$I$10005,$C382))</f>
        <v/>
      </c>
      <c r="L382" s="69" t="str">
        <f aca="false">IF($C382="","",SUMIFS(月1回_前回の在庫を貼る!$N$6:$N$10005,月1回_前回の在庫を貼る!$B$6:$B$10005,'設定（最初に1回）'!$C$4,月1回_前回の在庫を貼る!$I$6:$I$10005,$C382))</f>
        <v/>
      </c>
      <c r="M382" s="69" t="str">
        <f aca="false">IF($C382="","",IF(OR('設定（最初に1回）'!$C$6="",'設定（最初に1回）'!$C$7=""),0,SUMIFS(発注管理!$S$6:$S$1005,発注管理!$C$6:$C$1005,'設定（最初に1回）'!$C$4,発注管理!$F$6:$F$1005,$C382,発注管理!$R$6:$R$1005,"&gt;="&amp;'設定（最初に1回）'!$C$7,発注管理!$R$6:$R$1005,"&lt;="&amp;'設定（最初に1回）'!$C$6)))</f>
        <v/>
      </c>
      <c r="N382" s="69" t="str">
        <f aca="false">IF(OR($C382="",'設定（最初に1回）'!$C$15=0),"",$L382+$M382-$K382)</f>
        <v/>
      </c>
      <c r="O382" s="143" t="str">
        <f aca="false">IF(OR($N382="",'設定（最初に1回）'!$C$8="",'設定（最初に1回）'!$C$8&lt;=0),"",MAX(0,$N382)/'設定（最初に1回）'!$C$8)</f>
        <v/>
      </c>
      <c r="P382" s="143" t="str">
        <f aca="false">IF($C382="","",IFERROR(INDEX(商品マスタ!$M$6:$N$1005,MATCH($C382,商品マスタ!$B$6:$B$1005,0),MATCH("PI値 "&amp;'設定（最初に1回）'!$C$11,商品マスタ!$M$5:$N$5,0)),""))</f>
        <v/>
      </c>
      <c r="Q382" s="143" t="str">
        <f aca="false">IF(OR($C382="",$P382="",$P382=0,(N($I382)+N($AG382))&lt;=0),"",IFERROR(SUMIFS(随時_動員を入れる!$G$8:$G$97,随時_動員を入れる!$B$8:$B$97,"&gt;="&amp;'設定（最初に1回）'!$C$6,随時_動員を入れる!$B$8:$B$97,"&lt;="&amp;'設定（最初に1回）'!$C$6+(N($I382)+N($AG382))-1)/(N($I382)+N($AG382)),0)*$P382/100)</f>
        <v/>
      </c>
      <c r="R382" s="69" t="str">
        <f aca="false">IF($C382="","",SUMIFS(①今日の在庫を貼る!$O$6:$O$10005,①今日の在庫を貼る!$B$6:$B$10005,'設定（最初に1回）'!$C$4,①今日の在庫を貼る!$I$6:$I$10005,$C382))</f>
        <v/>
      </c>
      <c r="S382" s="143" t="str">
        <f aca="false">IF($C382="","",IF('設定（最初に1回）'!$C$9="実績消費",N($O382),IF('設定（最初に1回）'!$C$9="PI値予測",N($Q382),MAX(N($O382),N($Q382)))))</f>
        <v/>
      </c>
      <c r="T382" s="67" t="str">
        <f aca="false">IF(OR($S382="",$S382&lt;=0),"",$K382/$S382)</f>
        <v/>
      </c>
      <c r="U382" s="69" t="str">
        <f aca="false">IF($S382="","",ROUNDUP(N($S382)*'設定（最初に1回）'!$C$12,0))</f>
        <v/>
      </c>
      <c r="V382" s="69" t="str">
        <f aca="false">IF($C382="","",ROUNDUP(N($S382)*(N($I382)+N($AG382))+N($U382),0))</f>
        <v/>
      </c>
      <c r="W382" s="69" t="str">
        <f aca="false">IF($C382="","",SUMIFS(発注管理!$L$6:$L$1005,発注管理!$C$6:$C$1005,'設定（最初に1回）'!$C$4,発注管理!$F$6:$F$1005,$C382,発注管理!$Q$6:$Q$1005,"発注済"))</f>
        <v/>
      </c>
      <c r="X382" s="69" t="str">
        <f aca="false">IF($C382="","",MAX(0,N($V382)-N($K382)-N($W382)))</f>
        <v/>
      </c>
      <c r="Y382" s="147" t="str">
        <f aca="false">IF($C382="","",IF(N($X382)&lt;=0,0,CEILING($X382/MAX(1,N($G382)),MAX(1,N($J382)))))</f>
        <v/>
      </c>
      <c r="Z382" s="138" t="str">
        <f aca="false">IF($C382="","",IF(N($Y382)&gt;0,"要発注","正常"))</f>
        <v/>
      </c>
      <c r="AA382" s="71" t="str">
        <f aca="false">IF($C382="","",N($K382)*N($H382))</f>
        <v/>
      </c>
      <c r="AB382" s="66" t="str">
        <f aca="false">IF($C382="","",_xlfn.TEXTJOIN(" / ",TRUE(),IF(COUNTIF(商品マスタ!$B$6:$B$1005,$C382)=0,"マスタ未登録",""),IF(COUNTIFS(月1回_前回の在庫を貼る!$B$6:$B$10005,'設定（最初に1回）'!$C$4,月1回_前回の在庫を貼る!$I$6:$I$10005,$C382)=0,"新商品",""),IF(COUNTIFS(①今日の在庫を貼る!$B$6:$B$10005,'設定（最初に1回）'!$C$4,①今日の在庫を貼る!$I$6:$I$10005,$C382)=0,"終売候補",""),IF(N($K382)&lt;0,"在庫マイナス",""),IF(AND('設定（最初に1回）'!$C$9="PI値予測",$P382=""),"PI値未設定","")))</f>
        <v/>
      </c>
      <c r="AC382" s="71" t="n">
        <f aca="false">N($Y382)*N($H382)</f>
        <v>0</v>
      </c>
      <c r="AD382" s="66" t="str">
        <f aca="false">IF($C382="","",IFERROR(INDEX(商品マスタ!$K$6:$K$1005,MATCH($C382,商品マスタ!$B$6:$B$1005,0)),"常温"))</f>
        <v/>
      </c>
      <c r="AE382" s="69" t="str">
        <f aca="false">IF($C382="","",MAX(0,ROUNDUP(N($K382)/MAX(1,N($G382)),0)))</f>
        <v/>
      </c>
      <c r="AF382" s="66" t="str">
        <f aca="false">IF($C382="","",IFERROR(INDEX(商品マスタ!$L$6:$L$1005,MATCH($C382,商品マスタ!$B$6:$B$1005,0)),""))</f>
        <v/>
      </c>
      <c r="AG382" s="143" t="str">
        <f aca="false">IF($C382="","",IFERROR(INDEX(定数マスタ!$S$110:$S$119,MATCH($AF382,定数マスタ!$J$110:$J$119,0)),N('設定（最初に1回）'!$C$13)))</f>
        <v/>
      </c>
      <c r="AH382" s="66" t="n">
        <f aca="false">IF(AND(N($K382)&gt;0,N($Y382)&gt;0),N($Y382),0)</f>
        <v>0</v>
      </c>
    </row>
    <row r="383" customFormat="false" ht="15" hidden="false" customHeight="false" outlineLevel="0" collapsed="false">
      <c r="B383" s="66" t="n">
        <v>378</v>
      </c>
      <c r="C383" s="66" t="str">
        <f aca="false">IFERROR(IF($B383&lt;=MAX(①今日の在庫を貼る!$U$6:$U$10005),INDEX(①今日の在庫を貼る!$I$6:$I$10005,MATCH($B383,①今日の在庫を貼る!$U$6:$U$10005,0)),INDEX(月1回_前回の在庫を貼る!$I$6:$I$10005,MATCH($B383-MAX(①今日の在庫を貼る!$U$6:$U$10005),月1回_前回の在庫を貼る!$U$6:$U$10005,0))),"")</f>
        <v/>
      </c>
      <c r="D383" s="66" t="str">
        <f aca="false">IF($C383="","",IFERROR(INDEX(商品マスタ!$C$6:$C$1005,MATCH($C383,商品マスタ!$B$6:$B$1005,0)),IFERROR(INDEX(①今日の在庫を貼る!$J$6:$J$10005,MATCH($C383,①今日の在庫を貼る!$I$6:$I$10005,0)),IFERROR(INDEX(月1回_前回の在庫を貼る!$J$6:$J$10005,MATCH($C383,月1回_前回の在庫を貼る!$I$6:$I$10005,0)),""))))</f>
        <v/>
      </c>
      <c r="E383" s="66" t="str">
        <f aca="false">IF($C383="","",IFERROR(INDEX(商品マスタ!$D$6:$D$1005,MATCH($C383,商品マスタ!$B$6:$B$1005,0)),IFERROR(INDEX(①今日の在庫を貼る!$H$6:$H$10005,MATCH($C383,①今日の在庫を貼る!$I$6:$I$10005,0)),IFERROR(INDEX(月1回_前回の在庫を貼る!$H$6:$H$10005,MATCH($C383,月1回_前回の在庫を貼る!$I$6:$I$10005,0)),""))))</f>
        <v/>
      </c>
      <c r="F383" s="66" t="str">
        <f aca="false">IF($C383="","",IFERROR(INDEX(商品マスタ!$E$6:$E$1005,MATCH($C383,商品マスタ!$B$6:$B$1005,0)),IFERROR(INDEX(①今日の在庫を貼る!$E$6:$E$10005,MATCH($C383,①今日の在庫を貼る!$I$6:$I$10005,0)),IFERROR(INDEX(月1回_前回の在庫を貼る!$E$6:$E$10005,MATCH($C383,月1回_前回の在庫を貼る!$I$6:$I$10005,0)),""))))</f>
        <v/>
      </c>
      <c r="G383" s="69" t="str">
        <f aca="false">IF($C383="","",IFERROR(INDEX(商品マスタ!$F$6:$F$1005,MATCH($C383,商品マスタ!$B$6:$B$1005,0)),IFERROR(INDEX(①今日の在庫を貼る!$K$6:$K$10005,MATCH($C383,①今日の在庫を貼る!$I$6:$I$10005,0)),IFERROR(INDEX(月1回_前回の在庫を貼る!$K$6:$K$10005,MATCH($C383,月1回_前回の在庫を貼る!$I$6:$I$10005,0)),""))))</f>
        <v/>
      </c>
      <c r="H383" s="71" t="str">
        <f aca="false">IF($C383="","",IFERROR(INDEX(商品マスタ!$G$6:$G$1005,MATCH($C383,商品マスタ!$B$6:$B$1005,0)),IFERROR(INDEX(①今日の在庫を貼る!$Q$6:$Q$10005,MATCH($C383,①今日の在庫を貼る!$I$6:$I$10005,0)),IFERROR(INDEX(月1回_前回の在庫を貼る!$Q$6:$Q$10005,MATCH($C383,月1回_前回の在庫を貼る!$I$6:$I$10005,0)),""))))</f>
        <v/>
      </c>
      <c r="I383" s="66" t="str">
        <f aca="false">IF($C383="","",IFERROR(INDEX(商品マスタ!$H$6:$H$1005,MATCH($C383,商品マスタ!$B$6:$B$1005,0)),3))</f>
        <v/>
      </c>
      <c r="J383" s="66" t="str">
        <f aca="false">IF($C383="","",MAX(1,IFERROR(INDEX(商品マスタ!$I$6:$I$1005,MATCH($C383,商品マスタ!$B$6:$B$1005,0)),1)))</f>
        <v/>
      </c>
      <c r="K383" s="69" t="str">
        <f aca="false">IF($C383="","",SUMIFS(①今日の在庫を貼る!$N$6:$N$10005,①今日の在庫を貼る!$B$6:$B$10005,'設定（最初に1回）'!$C$4,①今日の在庫を貼る!$I$6:$I$10005,$C383))</f>
        <v/>
      </c>
      <c r="L383" s="69" t="str">
        <f aca="false">IF($C383="","",SUMIFS(月1回_前回の在庫を貼る!$N$6:$N$10005,月1回_前回の在庫を貼る!$B$6:$B$10005,'設定（最初に1回）'!$C$4,月1回_前回の在庫を貼る!$I$6:$I$10005,$C383))</f>
        <v/>
      </c>
      <c r="M383" s="69" t="str">
        <f aca="false">IF($C383="","",IF(OR('設定（最初に1回）'!$C$6="",'設定（最初に1回）'!$C$7=""),0,SUMIFS(発注管理!$S$6:$S$1005,発注管理!$C$6:$C$1005,'設定（最初に1回）'!$C$4,発注管理!$F$6:$F$1005,$C383,発注管理!$R$6:$R$1005,"&gt;="&amp;'設定（最初に1回）'!$C$7,発注管理!$R$6:$R$1005,"&lt;="&amp;'設定（最初に1回）'!$C$6)))</f>
        <v/>
      </c>
      <c r="N383" s="69" t="str">
        <f aca="false">IF(OR($C383="",'設定（最初に1回）'!$C$15=0),"",$L383+$M383-$K383)</f>
        <v/>
      </c>
      <c r="O383" s="143" t="str">
        <f aca="false">IF(OR($N383="",'設定（最初に1回）'!$C$8="",'設定（最初に1回）'!$C$8&lt;=0),"",MAX(0,$N383)/'設定（最初に1回）'!$C$8)</f>
        <v/>
      </c>
      <c r="P383" s="143" t="str">
        <f aca="false">IF($C383="","",IFERROR(INDEX(商品マスタ!$M$6:$N$1005,MATCH($C383,商品マスタ!$B$6:$B$1005,0),MATCH("PI値 "&amp;'設定（最初に1回）'!$C$11,商品マスタ!$M$5:$N$5,0)),""))</f>
        <v/>
      </c>
      <c r="Q383" s="143" t="str">
        <f aca="false">IF(OR($C383="",$P383="",$P383=0,(N($I383)+N($AG383))&lt;=0),"",IFERROR(SUMIFS(随時_動員を入れる!$G$8:$G$97,随時_動員を入れる!$B$8:$B$97,"&gt;="&amp;'設定（最初に1回）'!$C$6,随時_動員を入れる!$B$8:$B$97,"&lt;="&amp;'設定（最初に1回）'!$C$6+(N($I383)+N($AG383))-1)/(N($I383)+N($AG383)),0)*$P383/100)</f>
        <v/>
      </c>
      <c r="R383" s="69" t="str">
        <f aca="false">IF($C383="","",SUMIFS(①今日の在庫を貼る!$O$6:$O$10005,①今日の在庫を貼る!$B$6:$B$10005,'設定（最初に1回）'!$C$4,①今日の在庫を貼る!$I$6:$I$10005,$C383))</f>
        <v/>
      </c>
      <c r="S383" s="143" t="str">
        <f aca="false">IF($C383="","",IF('設定（最初に1回）'!$C$9="実績消費",N($O383),IF('設定（最初に1回）'!$C$9="PI値予測",N($Q383),MAX(N($O383),N($Q383)))))</f>
        <v/>
      </c>
      <c r="T383" s="67" t="str">
        <f aca="false">IF(OR($S383="",$S383&lt;=0),"",$K383/$S383)</f>
        <v/>
      </c>
      <c r="U383" s="69" t="str">
        <f aca="false">IF($S383="","",ROUNDUP(N($S383)*'設定（最初に1回）'!$C$12,0))</f>
        <v/>
      </c>
      <c r="V383" s="69" t="str">
        <f aca="false">IF($C383="","",ROUNDUP(N($S383)*(N($I383)+N($AG383))+N($U383),0))</f>
        <v/>
      </c>
      <c r="W383" s="69" t="str">
        <f aca="false">IF($C383="","",SUMIFS(発注管理!$L$6:$L$1005,発注管理!$C$6:$C$1005,'設定（最初に1回）'!$C$4,発注管理!$F$6:$F$1005,$C383,発注管理!$Q$6:$Q$1005,"発注済"))</f>
        <v/>
      </c>
      <c r="X383" s="69" t="str">
        <f aca="false">IF($C383="","",MAX(0,N($V383)-N($K383)-N($W383)))</f>
        <v/>
      </c>
      <c r="Y383" s="147" t="str">
        <f aca="false">IF($C383="","",IF(N($X383)&lt;=0,0,CEILING($X383/MAX(1,N($G383)),MAX(1,N($J383)))))</f>
        <v/>
      </c>
      <c r="Z383" s="138" t="str">
        <f aca="false">IF($C383="","",IF(N($Y383)&gt;0,"要発注","正常"))</f>
        <v/>
      </c>
      <c r="AA383" s="71" t="str">
        <f aca="false">IF($C383="","",N($K383)*N($H383))</f>
        <v/>
      </c>
      <c r="AB383" s="66" t="str">
        <f aca="false">IF($C383="","",_xlfn.TEXTJOIN(" / ",TRUE(),IF(COUNTIF(商品マスタ!$B$6:$B$1005,$C383)=0,"マスタ未登録",""),IF(COUNTIFS(月1回_前回の在庫を貼る!$B$6:$B$10005,'設定（最初に1回）'!$C$4,月1回_前回の在庫を貼る!$I$6:$I$10005,$C383)=0,"新商品",""),IF(COUNTIFS(①今日の在庫を貼る!$B$6:$B$10005,'設定（最初に1回）'!$C$4,①今日の在庫を貼る!$I$6:$I$10005,$C383)=0,"終売候補",""),IF(N($K383)&lt;0,"在庫マイナス",""),IF(AND('設定（最初に1回）'!$C$9="PI値予測",$P383=""),"PI値未設定","")))</f>
        <v/>
      </c>
      <c r="AC383" s="71" t="n">
        <f aca="false">N($Y383)*N($H383)</f>
        <v>0</v>
      </c>
      <c r="AD383" s="66" t="str">
        <f aca="false">IF($C383="","",IFERROR(INDEX(商品マスタ!$K$6:$K$1005,MATCH($C383,商品マスタ!$B$6:$B$1005,0)),"常温"))</f>
        <v/>
      </c>
      <c r="AE383" s="69" t="str">
        <f aca="false">IF($C383="","",MAX(0,ROUNDUP(N($K383)/MAX(1,N($G383)),0)))</f>
        <v/>
      </c>
      <c r="AF383" s="66" t="str">
        <f aca="false">IF($C383="","",IFERROR(INDEX(商品マスタ!$L$6:$L$1005,MATCH($C383,商品マスタ!$B$6:$B$1005,0)),""))</f>
        <v/>
      </c>
      <c r="AG383" s="143" t="str">
        <f aca="false">IF($C383="","",IFERROR(INDEX(定数マスタ!$S$110:$S$119,MATCH($AF383,定数マスタ!$J$110:$J$119,0)),N('設定（最初に1回）'!$C$13)))</f>
        <v/>
      </c>
      <c r="AH383" s="66" t="n">
        <f aca="false">IF(AND(N($K383)&gt;0,N($Y383)&gt;0),N($Y383),0)</f>
        <v>0</v>
      </c>
    </row>
    <row r="384" customFormat="false" ht="15" hidden="false" customHeight="false" outlineLevel="0" collapsed="false">
      <c r="B384" s="66" t="n">
        <v>379</v>
      </c>
      <c r="C384" s="66" t="str">
        <f aca="false">IFERROR(IF($B384&lt;=MAX(①今日の在庫を貼る!$U$6:$U$10005),INDEX(①今日の在庫を貼る!$I$6:$I$10005,MATCH($B384,①今日の在庫を貼る!$U$6:$U$10005,0)),INDEX(月1回_前回の在庫を貼る!$I$6:$I$10005,MATCH($B384-MAX(①今日の在庫を貼る!$U$6:$U$10005),月1回_前回の在庫を貼る!$U$6:$U$10005,0))),"")</f>
        <v/>
      </c>
      <c r="D384" s="66" t="str">
        <f aca="false">IF($C384="","",IFERROR(INDEX(商品マスタ!$C$6:$C$1005,MATCH($C384,商品マスタ!$B$6:$B$1005,0)),IFERROR(INDEX(①今日の在庫を貼る!$J$6:$J$10005,MATCH($C384,①今日の在庫を貼る!$I$6:$I$10005,0)),IFERROR(INDEX(月1回_前回の在庫を貼る!$J$6:$J$10005,MATCH($C384,月1回_前回の在庫を貼る!$I$6:$I$10005,0)),""))))</f>
        <v/>
      </c>
      <c r="E384" s="66" t="str">
        <f aca="false">IF($C384="","",IFERROR(INDEX(商品マスタ!$D$6:$D$1005,MATCH($C384,商品マスタ!$B$6:$B$1005,0)),IFERROR(INDEX(①今日の在庫を貼る!$H$6:$H$10005,MATCH($C384,①今日の在庫を貼る!$I$6:$I$10005,0)),IFERROR(INDEX(月1回_前回の在庫を貼る!$H$6:$H$10005,MATCH($C384,月1回_前回の在庫を貼る!$I$6:$I$10005,0)),""))))</f>
        <v/>
      </c>
      <c r="F384" s="66" t="str">
        <f aca="false">IF($C384="","",IFERROR(INDEX(商品マスタ!$E$6:$E$1005,MATCH($C384,商品マスタ!$B$6:$B$1005,0)),IFERROR(INDEX(①今日の在庫を貼る!$E$6:$E$10005,MATCH($C384,①今日の在庫を貼る!$I$6:$I$10005,0)),IFERROR(INDEX(月1回_前回の在庫を貼る!$E$6:$E$10005,MATCH($C384,月1回_前回の在庫を貼る!$I$6:$I$10005,0)),""))))</f>
        <v/>
      </c>
      <c r="G384" s="69" t="str">
        <f aca="false">IF($C384="","",IFERROR(INDEX(商品マスタ!$F$6:$F$1005,MATCH($C384,商品マスタ!$B$6:$B$1005,0)),IFERROR(INDEX(①今日の在庫を貼る!$K$6:$K$10005,MATCH($C384,①今日の在庫を貼る!$I$6:$I$10005,0)),IFERROR(INDEX(月1回_前回の在庫を貼る!$K$6:$K$10005,MATCH($C384,月1回_前回の在庫を貼る!$I$6:$I$10005,0)),""))))</f>
        <v/>
      </c>
      <c r="H384" s="71" t="str">
        <f aca="false">IF($C384="","",IFERROR(INDEX(商品マスタ!$G$6:$G$1005,MATCH($C384,商品マスタ!$B$6:$B$1005,0)),IFERROR(INDEX(①今日の在庫を貼る!$Q$6:$Q$10005,MATCH($C384,①今日の在庫を貼る!$I$6:$I$10005,0)),IFERROR(INDEX(月1回_前回の在庫を貼る!$Q$6:$Q$10005,MATCH($C384,月1回_前回の在庫を貼る!$I$6:$I$10005,0)),""))))</f>
        <v/>
      </c>
      <c r="I384" s="66" t="str">
        <f aca="false">IF($C384="","",IFERROR(INDEX(商品マスタ!$H$6:$H$1005,MATCH($C384,商品マスタ!$B$6:$B$1005,0)),3))</f>
        <v/>
      </c>
      <c r="J384" s="66" t="str">
        <f aca="false">IF($C384="","",MAX(1,IFERROR(INDEX(商品マスタ!$I$6:$I$1005,MATCH($C384,商品マスタ!$B$6:$B$1005,0)),1)))</f>
        <v/>
      </c>
      <c r="K384" s="69" t="str">
        <f aca="false">IF($C384="","",SUMIFS(①今日の在庫を貼る!$N$6:$N$10005,①今日の在庫を貼る!$B$6:$B$10005,'設定（最初に1回）'!$C$4,①今日の在庫を貼る!$I$6:$I$10005,$C384))</f>
        <v/>
      </c>
      <c r="L384" s="69" t="str">
        <f aca="false">IF($C384="","",SUMIFS(月1回_前回の在庫を貼る!$N$6:$N$10005,月1回_前回の在庫を貼る!$B$6:$B$10005,'設定（最初に1回）'!$C$4,月1回_前回の在庫を貼る!$I$6:$I$10005,$C384))</f>
        <v/>
      </c>
      <c r="M384" s="69" t="str">
        <f aca="false">IF($C384="","",IF(OR('設定（最初に1回）'!$C$6="",'設定（最初に1回）'!$C$7=""),0,SUMIFS(発注管理!$S$6:$S$1005,発注管理!$C$6:$C$1005,'設定（最初に1回）'!$C$4,発注管理!$F$6:$F$1005,$C384,発注管理!$R$6:$R$1005,"&gt;="&amp;'設定（最初に1回）'!$C$7,発注管理!$R$6:$R$1005,"&lt;="&amp;'設定（最初に1回）'!$C$6)))</f>
        <v/>
      </c>
      <c r="N384" s="69" t="str">
        <f aca="false">IF(OR($C384="",'設定（最初に1回）'!$C$15=0),"",$L384+$M384-$K384)</f>
        <v/>
      </c>
      <c r="O384" s="143" t="str">
        <f aca="false">IF(OR($N384="",'設定（最初に1回）'!$C$8="",'設定（最初に1回）'!$C$8&lt;=0),"",MAX(0,$N384)/'設定（最初に1回）'!$C$8)</f>
        <v/>
      </c>
      <c r="P384" s="143" t="str">
        <f aca="false">IF($C384="","",IFERROR(INDEX(商品マスタ!$M$6:$N$1005,MATCH($C384,商品マスタ!$B$6:$B$1005,0),MATCH("PI値 "&amp;'設定（最初に1回）'!$C$11,商品マスタ!$M$5:$N$5,0)),""))</f>
        <v/>
      </c>
      <c r="Q384" s="143" t="str">
        <f aca="false">IF(OR($C384="",$P384="",$P384=0,(N($I384)+N($AG384))&lt;=0),"",IFERROR(SUMIFS(随時_動員を入れる!$G$8:$G$97,随時_動員を入れる!$B$8:$B$97,"&gt;="&amp;'設定（最初に1回）'!$C$6,随時_動員を入れる!$B$8:$B$97,"&lt;="&amp;'設定（最初に1回）'!$C$6+(N($I384)+N($AG384))-1)/(N($I384)+N($AG384)),0)*$P384/100)</f>
        <v/>
      </c>
      <c r="R384" s="69" t="str">
        <f aca="false">IF($C384="","",SUMIFS(①今日の在庫を貼る!$O$6:$O$10005,①今日の在庫を貼る!$B$6:$B$10005,'設定（最初に1回）'!$C$4,①今日の在庫を貼る!$I$6:$I$10005,$C384))</f>
        <v/>
      </c>
      <c r="S384" s="143" t="str">
        <f aca="false">IF($C384="","",IF('設定（最初に1回）'!$C$9="実績消費",N($O384),IF('設定（最初に1回）'!$C$9="PI値予測",N($Q384),MAX(N($O384),N($Q384)))))</f>
        <v/>
      </c>
      <c r="T384" s="67" t="str">
        <f aca="false">IF(OR($S384="",$S384&lt;=0),"",$K384/$S384)</f>
        <v/>
      </c>
      <c r="U384" s="69" t="str">
        <f aca="false">IF($S384="","",ROUNDUP(N($S384)*'設定（最初に1回）'!$C$12,0))</f>
        <v/>
      </c>
      <c r="V384" s="69" t="str">
        <f aca="false">IF($C384="","",ROUNDUP(N($S384)*(N($I384)+N($AG384))+N($U384),0))</f>
        <v/>
      </c>
      <c r="W384" s="69" t="str">
        <f aca="false">IF($C384="","",SUMIFS(発注管理!$L$6:$L$1005,発注管理!$C$6:$C$1005,'設定（最初に1回）'!$C$4,発注管理!$F$6:$F$1005,$C384,発注管理!$Q$6:$Q$1005,"発注済"))</f>
        <v/>
      </c>
      <c r="X384" s="69" t="str">
        <f aca="false">IF($C384="","",MAX(0,N($V384)-N($K384)-N($W384)))</f>
        <v/>
      </c>
      <c r="Y384" s="147" t="str">
        <f aca="false">IF($C384="","",IF(N($X384)&lt;=0,0,CEILING($X384/MAX(1,N($G384)),MAX(1,N($J384)))))</f>
        <v/>
      </c>
      <c r="Z384" s="138" t="str">
        <f aca="false">IF($C384="","",IF(N($Y384)&gt;0,"要発注","正常"))</f>
        <v/>
      </c>
      <c r="AA384" s="71" t="str">
        <f aca="false">IF($C384="","",N($K384)*N($H384))</f>
        <v/>
      </c>
      <c r="AB384" s="66" t="str">
        <f aca="false">IF($C384="","",_xlfn.TEXTJOIN(" / ",TRUE(),IF(COUNTIF(商品マスタ!$B$6:$B$1005,$C384)=0,"マスタ未登録",""),IF(COUNTIFS(月1回_前回の在庫を貼る!$B$6:$B$10005,'設定（最初に1回）'!$C$4,月1回_前回の在庫を貼る!$I$6:$I$10005,$C384)=0,"新商品",""),IF(COUNTIFS(①今日の在庫を貼る!$B$6:$B$10005,'設定（最初に1回）'!$C$4,①今日の在庫を貼る!$I$6:$I$10005,$C384)=0,"終売候補",""),IF(N($K384)&lt;0,"在庫マイナス",""),IF(AND('設定（最初に1回）'!$C$9="PI値予測",$P384=""),"PI値未設定","")))</f>
        <v/>
      </c>
      <c r="AC384" s="71" t="n">
        <f aca="false">N($Y384)*N($H384)</f>
        <v>0</v>
      </c>
      <c r="AD384" s="66" t="str">
        <f aca="false">IF($C384="","",IFERROR(INDEX(商品マスタ!$K$6:$K$1005,MATCH($C384,商品マスタ!$B$6:$B$1005,0)),"常温"))</f>
        <v/>
      </c>
      <c r="AE384" s="69" t="str">
        <f aca="false">IF($C384="","",MAX(0,ROUNDUP(N($K384)/MAX(1,N($G384)),0)))</f>
        <v/>
      </c>
      <c r="AF384" s="66" t="str">
        <f aca="false">IF($C384="","",IFERROR(INDEX(商品マスタ!$L$6:$L$1005,MATCH($C384,商品マスタ!$B$6:$B$1005,0)),""))</f>
        <v/>
      </c>
      <c r="AG384" s="143" t="str">
        <f aca="false">IF($C384="","",IFERROR(INDEX(定数マスタ!$S$110:$S$119,MATCH($AF384,定数マスタ!$J$110:$J$119,0)),N('設定（最初に1回）'!$C$13)))</f>
        <v/>
      </c>
      <c r="AH384" s="66" t="n">
        <f aca="false">IF(AND(N($K384)&gt;0,N($Y384)&gt;0),N($Y384),0)</f>
        <v>0</v>
      </c>
    </row>
    <row r="385" customFormat="false" ht="15" hidden="false" customHeight="false" outlineLevel="0" collapsed="false">
      <c r="B385" s="66" t="n">
        <v>380</v>
      </c>
      <c r="C385" s="66" t="str">
        <f aca="false">IFERROR(IF($B385&lt;=MAX(①今日の在庫を貼る!$U$6:$U$10005),INDEX(①今日の在庫を貼る!$I$6:$I$10005,MATCH($B385,①今日の在庫を貼る!$U$6:$U$10005,0)),INDEX(月1回_前回の在庫を貼る!$I$6:$I$10005,MATCH($B385-MAX(①今日の在庫を貼る!$U$6:$U$10005),月1回_前回の在庫を貼る!$U$6:$U$10005,0))),"")</f>
        <v/>
      </c>
      <c r="D385" s="66" t="str">
        <f aca="false">IF($C385="","",IFERROR(INDEX(商品マスタ!$C$6:$C$1005,MATCH($C385,商品マスタ!$B$6:$B$1005,0)),IFERROR(INDEX(①今日の在庫を貼る!$J$6:$J$10005,MATCH($C385,①今日の在庫を貼る!$I$6:$I$10005,0)),IFERROR(INDEX(月1回_前回の在庫を貼る!$J$6:$J$10005,MATCH($C385,月1回_前回の在庫を貼る!$I$6:$I$10005,0)),""))))</f>
        <v/>
      </c>
      <c r="E385" s="66" t="str">
        <f aca="false">IF($C385="","",IFERROR(INDEX(商品マスタ!$D$6:$D$1005,MATCH($C385,商品マスタ!$B$6:$B$1005,0)),IFERROR(INDEX(①今日の在庫を貼る!$H$6:$H$10005,MATCH($C385,①今日の在庫を貼る!$I$6:$I$10005,0)),IFERROR(INDEX(月1回_前回の在庫を貼る!$H$6:$H$10005,MATCH($C385,月1回_前回の在庫を貼る!$I$6:$I$10005,0)),""))))</f>
        <v/>
      </c>
      <c r="F385" s="66" t="str">
        <f aca="false">IF($C385="","",IFERROR(INDEX(商品マスタ!$E$6:$E$1005,MATCH($C385,商品マスタ!$B$6:$B$1005,0)),IFERROR(INDEX(①今日の在庫を貼る!$E$6:$E$10005,MATCH($C385,①今日の在庫を貼る!$I$6:$I$10005,0)),IFERROR(INDEX(月1回_前回の在庫を貼る!$E$6:$E$10005,MATCH($C385,月1回_前回の在庫を貼る!$I$6:$I$10005,0)),""))))</f>
        <v/>
      </c>
      <c r="G385" s="69" t="str">
        <f aca="false">IF($C385="","",IFERROR(INDEX(商品マスタ!$F$6:$F$1005,MATCH($C385,商品マスタ!$B$6:$B$1005,0)),IFERROR(INDEX(①今日の在庫を貼る!$K$6:$K$10005,MATCH($C385,①今日の在庫を貼る!$I$6:$I$10005,0)),IFERROR(INDEX(月1回_前回の在庫を貼る!$K$6:$K$10005,MATCH($C385,月1回_前回の在庫を貼る!$I$6:$I$10005,0)),""))))</f>
        <v/>
      </c>
      <c r="H385" s="71" t="str">
        <f aca="false">IF($C385="","",IFERROR(INDEX(商品マスタ!$G$6:$G$1005,MATCH($C385,商品マスタ!$B$6:$B$1005,0)),IFERROR(INDEX(①今日の在庫を貼る!$Q$6:$Q$10005,MATCH($C385,①今日の在庫を貼る!$I$6:$I$10005,0)),IFERROR(INDEX(月1回_前回の在庫を貼る!$Q$6:$Q$10005,MATCH($C385,月1回_前回の在庫を貼る!$I$6:$I$10005,0)),""))))</f>
        <v/>
      </c>
      <c r="I385" s="66" t="str">
        <f aca="false">IF($C385="","",IFERROR(INDEX(商品マスタ!$H$6:$H$1005,MATCH($C385,商品マスタ!$B$6:$B$1005,0)),3))</f>
        <v/>
      </c>
      <c r="J385" s="66" t="str">
        <f aca="false">IF($C385="","",MAX(1,IFERROR(INDEX(商品マスタ!$I$6:$I$1005,MATCH($C385,商品マスタ!$B$6:$B$1005,0)),1)))</f>
        <v/>
      </c>
      <c r="K385" s="69" t="str">
        <f aca="false">IF($C385="","",SUMIFS(①今日の在庫を貼る!$N$6:$N$10005,①今日の在庫を貼る!$B$6:$B$10005,'設定（最初に1回）'!$C$4,①今日の在庫を貼る!$I$6:$I$10005,$C385))</f>
        <v/>
      </c>
      <c r="L385" s="69" t="str">
        <f aca="false">IF($C385="","",SUMIFS(月1回_前回の在庫を貼る!$N$6:$N$10005,月1回_前回の在庫を貼る!$B$6:$B$10005,'設定（最初に1回）'!$C$4,月1回_前回の在庫を貼る!$I$6:$I$10005,$C385))</f>
        <v/>
      </c>
      <c r="M385" s="69" t="str">
        <f aca="false">IF($C385="","",IF(OR('設定（最初に1回）'!$C$6="",'設定（最初に1回）'!$C$7=""),0,SUMIFS(発注管理!$S$6:$S$1005,発注管理!$C$6:$C$1005,'設定（最初に1回）'!$C$4,発注管理!$F$6:$F$1005,$C385,発注管理!$R$6:$R$1005,"&gt;="&amp;'設定（最初に1回）'!$C$7,発注管理!$R$6:$R$1005,"&lt;="&amp;'設定（最初に1回）'!$C$6)))</f>
        <v/>
      </c>
      <c r="N385" s="69" t="str">
        <f aca="false">IF(OR($C385="",'設定（最初に1回）'!$C$15=0),"",$L385+$M385-$K385)</f>
        <v/>
      </c>
      <c r="O385" s="143" t="str">
        <f aca="false">IF(OR($N385="",'設定（最初に1回）'!$C$8="",'設定（最初に1回）'!$C$8&lt;=0),"",MAX(0,$N385)/'設定（最初に1回）'!$C$8)</f>
        <v/>
      </c>
      <c r="P385" s="143" t="str">
        <f aca="false">IF($C385="","",IFERROR(INDEX(商品マスタ!$M$6:$N$1005,MATCH($C385,商品マスタ!$B$6:$B$1005,0),MATCH("PI値 "&amp;'設定（最初に1回）'!$C$11,商品マスタ!$M$5:$N$5,0)),""))</f>
        <v/>
      </c>
      <c r="Q385" s="143" t="str">
        <f aca="false">IF(OR($C385="",$P385="",$P385=0,(N($I385)+N($AG385))&lt;=0),"",IFERROR(SUMIFS(随時_動員を入れる!$G$8:$G$97,随時_動員を入れる!$B$8:$B$97,"&gt;="&amp;'設定（最初に1回）'!$C$6,随時_動員を入れる!$B$8:$B$97,"&lt;="&amp;'設定（最初に1回）'!$C$6+(N($I385)+N($AG385))-1)/(N($I385)+N($AG385)),0)*$P385/100)</f>
        <v/>
      </c>
      <c r="R385" s="69" t="str">
        <f aca="false">IF($C385="","",SUMIFS(①今日の在庫を貼る!$O$6:$O$10005,①今日の在庫を貼る!$B$6:$B$10005,'設定（最初に1回）'!$C$4,①今日の在庫を貼る!$I$6:$I$10005,$C385))</f>
        <v/>
      </c>
      <c r="S385" s="143" t="str">
        <f aca="false">IF($C385="","",IF('設定（最初に1回）'!$C$9="実績消費",N($O385),IF('設定（最初に1回）'!$C$9="PI値予測",N($Q385),MAX(N($O385),N($Q385)))))</f>
        <v/>
      </c>
      <c r="T385" s="67" t="str">
        <f aca="false">IF(OR($S385="",$S385&lt;=0),"",$K385/$S385)</f>
        <v/>
      </c>
      <c r="U385" s="69" t="str">
        <f aca="false">IF($S385="","",ROUNDUP(N($S385)*'設定（最初に1回）'!$C$12,0))</f>
        <v/>
      </c>
      <c r="V385" s="69" t="str">
        <f aca="false">IF($C385="","",ROUNDUP(N($S385)*(N($I385)+N($AG385))+N($U385),0))</f>
        <v/>
      </c>
      <c r="W385" s="69" t="str">
        <f aca="false">IF($C385="","",SUMIFS(発注管理!$L$6:$L$1005,発注管理!$C$6:$C$1005,'設定（最初に1回）'!$C$4,発注管理!$F$6:$F$1005,$C385,発注管理!$Q$6:$Q$1005,"発注済"))</f>
        <v/>
      </c>
      <c r="X385" s="69" t="str">
        <f aca="false">IF($C385="","",MAX(0,N($V385)-N($K385)-N($W385)))</f>
        <v/>
      </c>
      <c r="Y385" s="147" t="str">
        <f aca="false">IF($C385="","",IF(N($X385)&lt;=0,0,CEILING($X385/MAX(1,N($G385)),MAX(1,N($J385)))))</f>
        <v/>
      </c>
      <c r="Z385" s="138" t="str">
        <f aca="false">IF($C385="","",IF(N($Y385)&gt;0,"要発注","正常"))</f>
        <v/>
      </c>
      <c r="AA385" s="71" t="str">
        <f aca="false">IF($C385="","",N($K385)*N($H385))</f>
        <v/>
      </c>
      <c r="AB385" s="66" t="str">
        <f aca="false">IF($C385="","",_xlfn.TEXTJOIN(" / ",TRUE(),IF(COUNTIF(商品マスタ!$B$6:$B$1005,$C385)=0,"マスタ未登録",""),IF(COUNTIFS(月1回_前回の在庫を貼る!$B$6:$B$10005,'設定（最初に1回）'!$C$4,月1回_前回の在庫を貼る!$I$6:$I$10005,$C385)=0,"新商品",""),IF(COUNTIFS(①今日の在庫を貼る!$B$6:$B$10005,'設定（最初に1回）'!$C$4,①今日の在庫を貼る!$I$6:$I$10005,$C385)=0,"終売候補",""),IF(N($K385)&lt;0,"在庫マイナス",""),IF(AND('設定（最初に1回）'!$C$9="PI値予測",$P385=""),"PI値未設定","")))</f>
        <v/>
      </c>
      <c r="AC385" s="71" t="n">
        <f aca="false">N($Y385)*N($H385)</f>
        <v>0</v>
      </c>
      <c r="AD385" s="66" t="str">
        <f aca="false">IF($C385="","",IFERROR(INDEX(商品マスタ!$K$6:$K$1005,MATCH($C385,商品マスタ!$B$6:$B$1005,0)),"常温"))</f>
        <v/>
      </c>
      <c r="AE385" s="69" t="str">
        <f aca="false">IF($C385="","",MAX(0,ROUNDUP(N($K385)/MAX(1,N($G385)),0)))</f>
        <v/>
      </c>
      <c r="AF385" s="66" t="str">
        <f aca="false">IF($C385="","",IFERROR(INDEX(商品マスタ!$L$6:$L$1005,MATCH($C385,商品マスタ!$B$6:$B$1005,0)),""))</f>
        <v/>
      </c>
      <c r="AG385" s="143" t="str">
        <f aca="false">IF($C385="","",IFERROR(INDEX(定数マスタ!$S$110:$S$119,MATCH($AF385,定数マスタ!$J$110:$J$119,0)),N('設定（最初に1回）'!$C$13)))</f>
        <v/>
      </c>
      <c r="AH385" s="66" t="n">
        <f aca="false">IF(AND(N($K385)&gt;0,N($Y385)&gt;0),N($Y385),0)</f>
        <v>0</v>
      </c>
    </row>
    <row r="386" customFormat="false" ht="15" hidden="false" customHeight="false" outlineLevel="0" collapsed="false">
      <c r="B386" s="66" t="n">
        <v>381</v>
      </c>
      <c r="C386" s="66" t="str">
        <f aca="false">IFERROR(IF($B386&lt;=MAX(①今日の在庫を貼る!$U$6:$U$10005),INDEX(①今日の在庫を貼る!$I$6:$I$10005,MATCH($B386,①今日の在庫を貼る!$U$6:$U$10005,0)),INDEX(月1回_前回の在庫を貼る!$I$6:$I$10005,MATCH($B386-MAX(①今日の在庫を貼る!$U$6:$U$10005),月1回_前回の在庫を貼る!$U$6:$U$10005,0))),"")</f>
        <v/>
      </c>
      <c r="D386" s="66" t="str">
        <f aca="false">IF($C386="","",IFERROR(INDEX(商品マスタ!$C$6:$C$1005,MATCH($C386,商品マスタ!$B$6:$B$1005,0)),IFERROR(INDEX(①今日の在庫を貼る!$J$6:$J$10005,MATCH($C386,①今日の在庫を貼る!$I$6:$I$10005,0)),IFERROR(INDEX(月1回_前回の在庫を貼る!$J$6:$J$10005,MATCH($C386,月1回_前回の在庫を貼る!$I$6:$I$10005,0)),""))))</f>
        <v/>
      </c>
      <c r="E386" s="66" t="str">
        <f aca="false">IF($C386="","",IFERROR(INDEX(商品マスタ!$D$6:$D$1005,MATCH($C386,商品マスタ!$B$6:$B$1005,0)),IFERROR(INDEX(①今日の在庫を貼る!$H$6:$H$10005,MATCH($C386,①今日の在庫を貼る!$I$6:$I$10005,0)),IFERROR(INDEX(月1回_前回の在庫を貼る!$H$6:$H$10005,MATCH($C386,月1回_前回の在庫を貼る!$I$6:$I$10005,0)),""))))</f>
        <v/>
      </c>
      <c r="F386" s="66" t="str">
        <f aca="false">IF($C386="","",IFERROR(INDEX(商品マスタ!$E$6:$E$1005,MATCH($C386,商品マスタ!$B$6:$B$1005,0)),IFERROR(INDEX(①今日の在庫を貼る!$E$6:$E$10005,MATCH($C386,①今日の在庫を貼る!$I$6:$I$10005,0)),IFERROR(INDEX(月1回_前回の在庫を貼る!$E$6:$E$10005,MATCH($C386,月1回_前回の在庫を貼る!$I$6:$I$10005,0)),""))))</f>
        <v/>
      </c>
      <c r="G386" s="69" t="str">
        <f aca="false">IF($C386="","",IFERROR(INDEX(商品マスタ!$F$6:$F$1005,MATCH($C386,商品マスタ!$B$6:$B$1005,0)),IFERROR(INDEX(①今日の在庫を貼る!$K$6:$K$10005,MATCH($C386,①今日の在庫を貼る!$I$6:$I$10005,0)),IFERROR(INDEX(月1回_前回の在庫を貼る!$K$6:$K$10005,MATCH($C386,月1回_前回の在庫を貼る!$I$6:$I$10005,0)),""))))</f>
        <v/>
      </c>
      <c r="H386" s="71" t="str">
        <f aca="false">IF($C386="","",IFERROR(INDEX(商品マスタ!$G$6:$G$1005,MATCH($C386,商品マスタ!$B$6:$B$1005,0)),IFERROR(INDEX(①今日の在庫を貼る!$Q$6:$Q$10005,MATCH($C386,①今日の在庫を貼る!$I$6:$I$10005,0)),IFERROR(INDEX(月1回_前回の在庫を貼る!$Q$6:$Q$10005,MATCH($C386,月1回_前回の在庫を貼る!$I$6:$I$10005,0)),""))))</f>
        <v/>
      </c>
      <c r="I386" s="66" t="str">
        <f aca="false">IF($C386="","",IFERROR(INDEX(商品マスタ!$H$6:$H$1005,MATCH($C386,商品マスタ!$B$6:$B$1005,0)),3))</f>
        <v/>
      </c>
      <c r="J386" s="66" t="str">
        <f aca="false">IF($C386="","",MAX(1,IFERROR(INDEX(商品マスタ!$I$6:$I$1005,MATCH($C386,商品マスタ!$B$6:$B$1005,0)),1)))</f>
        <v/>
      </c>
      <c r="K386" s="69" t="str">
        <f aca="false">IF($C386="","",SUMIFS(①今日の在庫を貼る!$N$6:$N$10005,①今日の在庫を貼る!$B$6:$B$10005,'設定（最初に1回）'!$C$4,①今日の在庫を貼る!$I$6:$I$10005,$C386))</f>
        <v/>
      </c>
      <c r="L386" s="69" t="str">
        <f aca="false">IF($C386="","",SUMIFS(月1回_前回の在庫を貼る!$N$6:$N$10005,月1回_前回の在庫を貼る!$B$6:$B$10005,'設定（最初に1回）'!$C$4,月1回_前回の在庫を貼る!$I$6:$I$10005,$C386))</f>
        <v/>
      </c>
      <c r="M386" s="69" t="str">
        <f aca="false">IF($C386="","",IF(OR('設定（最初に1回）'!$C$6="",'設定（最初に1回）'!$C$7=""),0,SUMIFS(発注管理!$S$6:$S$1005,発注管理!$C$6:$C$1005,'設定（最初に1回）'!$C$4,発注管理!$F$6:$F$1005,$C386,発注管理!$R$6:$R$1005,"&gt;="&amp;'設定（最初に1回）'!$C$7,発注管理!$R$6:$R$1005,"&lt;="&amp;'設定（最初に1回）'!$C$6)))</f>
        <v/>
      </c>
      <c r="N386" s="69" t="str">
        <f aca="false">IF(OR($C386="",'設定（最初に1回）'!$C$15=0),"",$L386+$M386-$K386)</f>
        <v/>
      </c>
      <c r="O386" s="143" t="str">
        <f aca="false">IF(OR($N386="",'設定（最初に1回）'!$C$8="",'設定（最初に1回）'!$C$8&lt;=0),"",MAX(0,$N386)/'設定（最初に1回）'!$C$8)</f>
        <v/>
      </c>
      <c r="P386" s="143" t="str">
        <f aca="false">IF($C386="","",IFERROR(INDEX(商品マスタ!$M$6:$N$1005,MATCH($C386,商品マスタ!$B$6:$B$1005,0),MATCH("PI値 "&amp;'設定（最初に1回）'!$C$11,商品マスタ!$M$5:$N$5,0)),""))</f>
        <v/>
      </c>
      <c r="Q386" s="143" t="str">
        <f aca="false">IF(OR($C386="",$P386="",$P386=0,(N($I386)+N($AG386))&lt;=0),"",IFERROR(SUMIFS(随時_動員を入れる!$G$8:$G$97,随時_動員を入れる!$B$8:$B$97,"&gt;="&amp;'設定（最初に1回）'!$C$6,随時_動員を入れる!$B$8:$B$97,"&lt;="&amp;'設定（最初に1回）'!$C$6+(N($I386)+N($AG386))-1)/(N($I386)+N($AG386)),0)*$P386/100)</f>
        <v/>
      </c>
      <c r="R386" s="69" t="str">
        <f aca="false">IF($C386="","",SUMIFS(①今日の在庫を貼る!$O$6:$O$10005,①今日の在庫を貼る!$B$6:$B$10005,'設定（最初に1回）'!$C$4,①今日の在庫を貼る!$I$6:$I$10005,$C386))</f>
        <v/>
      </c>
      <c r="S386" s="143" t="str">
        <f aca="false">IF($C386="","",IF('設定（最初に1回）'!$C$9="実績消費",N($O386),IF('設定（最初に1回）'!$C$9="PI値予測",N($Q386),MAX(N($O386),N($Q386)))))</f>
        <v/>
      </c>
      <c r="T386" s="67" t="str">
        <f aca="false">IF(OR($S386="",$S386&lt;=0),"",$K386/$S386)</f>
        <v/>
      </c>
      <c r="U386" s="69" t="str">
        <f aca="false">IF($S386="","",ROUNDUP(N($S386)*'設定（最初に1回）'!$C$12,0))</f>
        <v/>
      </c>
      <c r="V386" s="69" t="str">
        <f aca="false">IF($C386="","",ROUNDUP(N($S386)*(N($I386)+N($AG386))+N($U386),0))</f>
        <v/>
      </c>
      <c r="W386" s="69" t="str">
        <f aca="false">IF($C386="","",SUMIFS(発注管理!$L$6:$L$1005,発注管理!$C$6:$C$1005,'設定（最初に1回）'!$C$4,発注管理!$F$6:$F$1005,$C386,発注管理!$Q$6:$Q$1005,"発注済"))</f>
        <v/>
      </c>
      <c r="X386" s="69" t="str">
        <f aca="false">IF($C386="","",MAX(0,N($V386)-N($K386)-N($W386)))</f>
        <v/>
      </c>
      <c r="Y386" s="147" t="str">
        <f aca="false">IF($C386="","",IF(N($X386)&lt;=0,0,CEILING($X386/MAX(1,N($G386)),MAX(1,N($J386)))))</f>
        <v/>
      </c>
      <c r="Z386" s="138" t="str">
        <f aca="false">IF($C386="","",IF(N($Y386)&gt;0,"要発注","正常"))</f>
        <v/>
      </c>
      <c r="AA386" s="71" t="str">
        <f aca="false">IF($C386="","",N($K386)*N($H386))</f>
        <v/>
      </c>
      <c r="AB386" s="66" t="str">
        <f aca="false">IF($C386="","",_xlfn.TEXTJOIN(" / ",TRUE(),IF(COUNTIF(商品マスタ!$B$6:$B$1005,$C386)=0,"マスタ未登録",""),IF(COUNTIFS(月1回_前回の在庫を貼る!$B$6:$B$10005,'設定（最初に1回）'!$C$4,月1回_前回の在庫を貼る!$I$6:$I$10005,$C386)=0,"新商品",""),IF(COUNTIFS(①今日の在庫を貼る!$B$6:$B$10005,'設定（最初に1回）'!$C$4,①今日の在庫を貼る!$I$6:$I$10005,$C386)=0,"終売候補",""),IF(N($K386)&lt;0,"在庫マイナス",""),IF(AND('設定（最初に1回）'!$C$9="PI値予測",$P386=""),"PI値未設定","")))</f>
        <v/>
      </c>
      <c r="AC386" s="71" t="n">
        <f aca="false">N($Y386)*N($H386)</f>
        <v>0</v>
      </c>
      <c r="AD386" s="66" t="str">
        <f aca="false">IF($C386="","",IFERROR(INDEX(商品マスタ!$K$6:$K$1005,MATCH($C386,商品マスタ!$B$6:$B$1005,0)),"常温"))</f>
        <v/>
      </c>
      <c r="AE386" s="69" t="str">
        <f aca="false">IF($C386="","",MAX(0,ROUNDUP(N($K386)/MAX(1,N($G386)),0)))</f>
        <v/>
      </c>
      <c r="AF386" s="66" t="str">
        <f aca="false">IF($C386="","",IFERROR(INDEX(商品マスタ!$L$6:$L$1005,MATCH($C386,商品マスタ!$B$6:$B$1005,0)),""))</f>
        <v/>
      </c>
      <c r="AG386" s="143" t="str">
        <f aca="false">IF($C386="","",IFERROR(INDEX(定数マスタ!$S$110:$S$119,MATCH($AF386,定数マスタ!$J$110:$J$119,0)),N('設定（最初に1回）'!$C$13)))</f>
        <v/>
      </c>
      <c r="AH386" s="66" t="n">
        <f aca="false">IF(AND(N($K386)&gt;0,N($Y386)&gt;0),N($Y386),0)</f>
        <v>0</v>
      </c>
    </row>
    <row r="387" customFormat="false" ht="15" hidden="false" customHeight="false" outlineLevel="0" collapsed="false">
      <c r="B387" s="66" t="n">
        <v>382</v>
      </c>
      <c r="C387" s="66" t="str">
        <f aca="false">IFERROR(IF($B387&lt;=MAX(①今日の在庫を貼る!$U$6:$U$10005),INDEX(①今日の在庫を貼る!$I$6:$I$10005,MATCH($B387,①今日の在庫を貼る!$U$6:$U$10005,0)),INDEX(月1回_前回の在庫を貼る!$I$6:$I$10005,MATCH($B387-MAX(①今日の在庫を貼る!$U$6:$U$10005),月1回_前回の在庫を貼る!$U$6:$U$10005,0))),"")</f>
        <v/>
      </c>
      <c r="D387" s="66" t="str">
        <f aca="false">IF($C387="","",IFERROR(INDEX(商品マスタ!$C$6:$C$1005,MATCH($C387,商品マスタ!$B$6:$B$1005,0)),IFERROR(INDEX(①今日の在庫を貼る!$J$6:$J$10005,MATCH($C387,①今日の在庫を貼る!$I$6:$I$10005,0)),IFERROR(INDEX(月1回_前回の在庫を貼る!$J$6:$J$10005,MATCH($C387,月1回_前回の在庫を貼る!$I$6:$I$10005,0)),""))))</f>
        <v/>
      </c>
      <c r="E387" s="66" t="str">
        <f aca="false">IF($C387="","",IFERROR(INDEX(商品マスタ!$D$6:$D$1005,MATCH($C387,商品マスタ!$B$6:$B$1005,0)),IFERROR(INDEX(①今日の在庫を貼る!$H$6:$H$10005,MATCH($C387,①今日の在庫を貼る!$I$6:$I$10005,0)),IFERROR(INDEX(月1回_前回の在庫を貼る!$H$6:$H$10005,MATCH($C387,月1回_前回の在庫を貼る!$I$6:$I$10005,0)),""))))</f>
        <v/>
      </c>
      <c r="F387" s="66" t="str">
        <f aca="false">IF($C387="","",IFERROR(INDEX(商品マスタ!$E$6:$E$1005,MATCH($C387,商品マスタ!$B$6:$B$1005,0)),IFERROR(INDEX(①今日の在庫を貼る!$E$6:$E$10005,MATCH($C387,①今日の在庫を貼る!$I$6:$I$10005,0)),IFERROR(INDEX(月1回_前回の在庫を貼る!$E$6:$E$10005,MATCH($C387,月1回_前回の在庫を貼る!$I$6:$I$10005,0)),""))))</f>
        <v/>
      </c>
      <c r="G387" s="69" t="str">
        <f aca="false">IF($C387="","",IFERROR(INDEX(商品マスタ!$F$6:$F$1005,MATCH($C387,商品マスタ!$B$6:$B$1005,0)),IFERROR(INDEX(①今日の在庫を貼る!$K$6:$K$10005,MATCH($C387,①今日の在庫を貼る!$I$6:$I$10005,0)),IFERROR(INDEX(月1回_前回の在庫を貼る!$K$6:$K$10005,MATCH($C387,月1回_前回の在庫を貼る!$I$6:$I$10005,0)),""))))</f>
        <v/>
      </c>
      <c r="H387" s="71" t="str">
        <f aca="false">IF($C387="","",IFERROR(INDEX(商品マスタ!$G$6:$G$1005,MATCH($C387,商品マスタ!$B$6:$B$1005,0)),IFERROR(INDEX(①今日の在庫を貼る!$Q$6:$Q$10005,MATCH($C387,①今日の在庫を貼る!$I$6:$I$10005,0)),IFERROR(INDEX(月1回_前回の在庫を貼る!$Q$6:$Q$10005,MATCH($C387,月1回_前回の在庫を貼る!$I$6:$I$10005,0)),""))))</f>
        <v/>
      </c>
      <c r="I387" s="66" t="str">
        <f aca="false">IF($C387="","",IFERROR(INDEX(商品マスタ!$H$6:$H$1005,MATCH($C387,商品マスタ!$B$6:$B$1005,0)),3))</f>
        <v/>
      </c>
      <c r="J387" s="66" t="str">
        <f aca="false">IF($C387="","",MAX(1,IFERROR(INDEX(商品マスタ!$I$6:$I$1005,MATCH($C387,商品マスタ!$B$6:$B$1005,0)),1)))</f>
        <v/>
      </c>
      <c r="K387" s="69" t="str">
        <f aca="false">IF($C387="","",SUMIFS(①今日の在庫を貼る!$N$6:$N$10005,①今日の在庫を貼る!$B$6:$B$10005,'設定（最初に1回）'!$C$4,①今日の在庫を貼る!$I$6:$I$10005,$C387))</f>
        <v/>
      </c>
      <c r="L387" s="69" t="str">
        <f aca="false">IF($C387="","",SUMIFS(月1回_前回の在庫を貼る!$N$6:$N$10005,月1回_前回の在庫を貼る!$B$6:$B$10005,'設定（最初に1回）'!$C$4,月1回_前回の在庫を貼る!$I$6:$I$10005,$C387))</f>
        <v/>
      </c>
      <c r="M387" s="69" t="str">
        <f aca="false">IF($C387="","",IF(OR('設定（最初に1回）'!$C$6="",'設定（最初に1回）'!$C$7=""),0,SUMIFS(発注管理!$S$6:$S$1005,発注管理!$C$6:$C$1005,'設定（最初に1回）'!$C$4,発注管理!$F$6:$F$1005,$C387,発注管理!$R$6:$R$1005,"&gt;="&amp;'設定（最初に1回）'!$C$7,発注管理!$R$6:$R$1005,"&lt;="&amp;'設定（最初に1回）'!$C$6)))</f>
        <v/>
      </c>
      <c r="N387" s="69" t="str">
        <f aca="false">IF(OR($C387="",'設定（最初に1回）'!$C$15=0),"",$L387+$M387-$K387)</f>
        <v/>
      </c>
      <c r="O387" s="143" t="str">
        <f aca="false">IF(OR($N387="",'設定（最初に1回）'!$C$8="",'設定（最初に1回）'!$C$8&lt;=0),"",MAX(0,$N387)/'設定（最初に1回）'!$C$8)</f>
        <v/>
      </c>
      <c r="P387" s="143" t="str">
        <f aca="false">IF($C387="","",IFERROR(INDEX(商品マスタ!$M$6:$N$1005,MATCH($C387,商品マスタ!$B$6:$B$1005,0),MATCH("PI値 "&amp;'設定（最初に1回）'!$C$11,商品マスタ!$M$5:$N$5,0)),""))</f>
        <v/>
      </c>
      <c r="Q387" s="143" t="str">
        <f aca="false">IF(OR($C387="",$P387="",$P387=0,(N($I387)+N($AG387))&lt;=0),"",IFERROR(SUMIFS(随時_動員を入れる!$G$8:$G$97,随時_動員を入れる!$B$8:$B$97,"&gt;="&amp;'設定（最初に1回）'!$C$6,随時_動員を入れる!$B$8:$B$97,"&lt;="&amp;'設定（最初に1回）'!$C$6+(N($I387)+N($AG387))-1)/(N($I387)+N($AG387)),0)*$P387/100)</f>
        <v/>
      </c>
      <c r="R387" s="69" t="str">
        <f aca="false">IF($C387="","",SUMIFS(①今日の在庫を貼る!$O$6:$O$10005,①今日の在庫を貼る!$B$6:$B$10005,'設定（最初に1回）'!$C$4,①今日の在庫を貼る!$I$6:$I$10005,$C387))</f>
        <v/>
      </c>
      <c r="S387" s="143" t="str">
        <f aca="false">IF($C387="","",IF('設定（最初に1回）'!$C$9="実績消費",N($O387),IF('設定（最初に1回）'!$C$9="PI値予測",N($Q387),MAX(N($O387),N($Q387)))))</f>
        <v/>
      </c>
      <c r="T387" s="67" t="str">
        <f aca="false">IF(OR($S387="",$S387&lt;=0),"",$K387/$S387)</f>
        <v/>
      </c>
      <c r="U387" s="69" t="str">
        <f aca="false">IF($S387="","",ROUNDUP(N($S387)*'設定（最初に1回）'!$C$12,0))</f>
        <v/>
      </c>
      <c r="V387" s="69" t="str">
        <f aca="false">IF($C387="","",ROUNDUP(N($S387)*(N($I387)+N($AG387))+N($U387),0))</f>
        <v/>
      </c>
      <c r="W387" s="69" t="str">
        <f aca="false">IF($C387="","",SUMIFS(発注管理!$L$6:$L$1005,発注管理!$C$6:$C$1005,'設定（最初に1回）'!$C$4,発注管理!$F$6:$F$1005,$C387,発注管理!$Q$6:$Q$1005,"発注済"))</f>
        <v/>
      </c>
      <c r="X387" s="69" t="str">
        <f aca="false">IF($C387="","",MAX(0,N($V387)-N($K387)-N($W387)))</f>
        <v/>
      </c>
      <c r="Y387" s="147" t="str">
        <f aca="false">IF($C387="","",IF(N($X387)&lt;=0,0,CEILING($X387/MAX(1,N($G387)),MAX(1,N($J387)))))</f>
        <v/>
      </c>
      <c r="Z387" s="138" t="str">
        <f aca="false">IF($C387="","",IF(N($Y387)&gt;0,"要発注","正常"))</f>
        <v/>
      </c>
      <c r="AA387" s="71" t="str">
        <f aca="false">IF($C387="","",N($K387)*N($H387))</f>
        <v/>
      </c>
      <c r="AB387" s="66" t="str">
        <f aca="false">IF($C387="","",_xlfn.TEXTJOIN(" / ",TRUE(),IF(COUNTIF(商品マスタ!$B$6:$B$1005,$C387)=0,"マスタ未登録",""),IF(COUNTIFS(月1回_前回の在庫を貼る!$B$6:$B$10005,'設定（最初に1回）'!$C$4,月1回_前回の在庫を貼る!$I$6:$I$10005,$C387)=0,"新商品",""),IF(COUNTIFS(①今日の在庫を貼る!$B$6:$B$10005,'設定（最初に1回）'!$C$4,①今日の在庫を貼る!$I$6:$I$10005,$C387)=0,"終売候補",""),IF(N($K387)&lt;0,"在庫マイナス",""),IF(AND('設定（最初に1回）'!$C$9="PI値予測",$P387=""),"PI値未設定","")))</f>
        <v/>
      </c>
      <c r="AC387" s="71" t="n">
        <f aca="false">N($Y387)*N($H387)</f>
        <v>0</v>
      </c>
      <c r="AD387" s="66" t="str">
        <f aca="false">IF($C387="","",IFERROR(INDEX(商品マスタ!$K$6:$K$1005,MATCH($C387,商品マスタ!$B$6:$B$1005,0)),"常温"))</f>
        <v/>
      </c>
      <c r="AE387" s="69" t="str">
        <f aca="false">IF($C387="","",MAX(0,ROUNDUP(N($K387)/MAX(1,N($G387)),0)))</f>
        <v/>
      </c>
      <c r="AF387" s="66" t="str">
        <f aca="false">IF($C387="","",IFERROR(INDEX(商品マスタ!$L$6:$L$1005,MATCH($C387,商品マスタ!$B$6:$B$1005,0)),""))</f>
        <v/>
      </c>
      <c r="AG387" s="143" t="str">
        <f aca="false">IF($C387="","",IFERROR(INDEX(定数マスタ!$S$110:$S$119,MATCH($AF387,定数マスタ!$J$110:$J$119,0)),N('設定（最初に1回）'!$C$13)))</f>
        <v/>
      </c>
      <c r="AH387" s="66" t="n">
        <f aca="false">IF(AND(N($K387)&gt;0,N($Y387)&gt;0),N($Y387),0)</f>
        <v>0</v>
      </c>
    </row>
    <row r="388" customFormat="false" ht="15" hidden="false" customHeight="false" outlineLevel="0" collapsed="false">
      <c r="B388" s="66" t="n">
        <v>383</v>
      </c>
      <c r="C388" s="66" t="str">
        <f aca="false">IFERROR(IF($B388&lt;=MAX(①今日の在庫を貼る!$U$6:$U$10005),INDEX(①今日の在庫を貼る!$I$6:$I$10005,MATCH($B388,①今日の在庫を貼る!$U$6:$U$10005,0)),INDEX(月1回_前回の在庫を貼る!$I$6:$I$10005,MATCH($B388-MAX(①今日の在庫を貼る!$U$6:$U$10005),月1回_前回の在庫を貼る!$U$6:$U$10005,0))),"")</f>
        <v/>
      </c>
      <c r="D388" s="66" t="str">
        <f aca="false">IF($C388="","",IFERROR(INDEX(商品マスタ!$C$6:$C$1005,MATCH($C388,商品マスタ!$B$6:$B$1005,0)),IFERROR(INDEX(①今日の在庫を貼る!$J$6:$J$10005,MATCH($C388,①今日の在庫を貼る!$I$6:$I$10005,0)),IFERROR(INDEX(月1回_前回の在庫を貼る!$J$6:$J$10005,MATCH($C388,月1回_前回の在庫を貼る!$I$6:$I$10005,0)),""))))</f>
        <v/>
      </c>
      <c r="E388" s="66" t="str">
        <f aca="false">IF($C388="","",IFERROR(INDEX(商品マスタ!$D$6:$D$1005,MATCH($C388,商品マスタ!$B$6:$B$1005,0)),IFERROR(INDEX(①今日の在庫を貼る!$H$6:$H$10005,MATCH($C388,①今日の在庫を貼る!$I$6:$I$10005,0)),IFERROR(INDEX(月1回_前回の在庫を貼る!$H$6:$H$10005,MATCH($C388,月1回_前回の在庫を貼る!$I$6:$I$10005,0)),""))))</f>
        <v/>
      </c>
      <c r="F388" s="66" t="str">
        <f aca="false">IF($C388="","",IFERROR(INDEX(商品マスタ!$E$6:$E$1005,MATCH($C388,商品マスタ!$B$6:$B$1005,0)),IFERROR(INDEX(①今日の在庫を貼る!$E$6:$E$10005,MATCH($C388,①今日の在庫を貼る!$I$6:$I$10005,0)),IFERROR(INDEX(月1回_前回の在庫を貼る!$E$6:$E$10005,MATCH($C388,月1回_前回の在庫を貼る!$I$6:$I$10005,0)),""))))</f>
        <v/>
      </c>
      <c r="G388" s="69" t="str">
        <f aca="false">IF($C388="","",IFERROR(INDEX(商品マスタ!$F$6:$F$1005,MATCH($C388,商品マスタ!$B$6:$B$1005,0)),IFERROR(INDEX(①今日の在庫を貼る!$K$6:$K$10005,MATCH($C388,①今日の在庫を貼る!$I$6:$I$10005,0)),IFERROR(INDEX(月1回_前回の在庫を貼る!$K$6:$K$10005,MATCH($C388,月1回_前回の在庫を貼る!$I$6:$I$10005,0)),""))))</f>
        <v/>
      </c>
      <c r="H388" s="71" t="str">
        <f aca="false">IF($C388="","",IFERROR(INDEX(商品マスタ!$G$6:$G$1005,MATCH($C388,商品マスタ!$B$6:$B$1005,0)),IFERROR(INDEX(①今日の在庫を貼る!$Q$6:$Q$10005,MATCH($C388,①今日の在庫を貼る!$I$6:$I$10005,0)),IFERROR(INDEX(月1回_前回の在庫を貼る!$Q$6:$Q$10005,MATCH($C388,月1回_前回の在庫を貼る!$I$6:$I$10005,0)),""))))</f>
        <v/>
      </c>
      <c r="I388" s="66" t="str">
        <f aca="false">IF($C388="","",IFERROR(INDEX(商品マスタ!$H$6:$H$1005,MATCH($C388,商品マスタ!$B$6:$B$1005,0)),3))</f>
        <v/>
      </c>
      <c r="J388" s="66" t="str">
        <f aca="false">IF($C388="","",MAX(1,IFERROR(INDEX(商品マスタ!$I$6:$I$1005,MATCH($C388,商品マスタ!$B$6:$B$1005,0)),1)))</f>
        <v/>
      </c>
      <c r="K388" s="69" t="str">
        <f aca="false">IF($C388="","",SUMIFS(①今日の在庫を貼る!$N$6:$N$10005,①今日の在庫を貼る!$B$6:$B$10005,'設定（最初に1回）'!$C$4,①今日の在庫を貼る!$I$6:$I$10005,$C388))</f>
        <v/>
      </c>
      <c r="L388" s="69" t="str">
        <f aca="false">IF($C388="","",SUMIFS(月1回_前回の在庫を貼る!$N$6:$N$10005,月1回_前回の在庫を貼る!$B$6:$B$10005,'設定（最初に1回）'!$C$4,月1回_前回の在庫を貼る!$I$6:$I$10005,$C388))</f>
        <v/>
      </c>
      <c r="M388" s="69" t="str">
        <f aca="false">IF($C388="","",IF(OR('設定（最初に1回）'!$C$6="",'設定（最初に1回）'!$C$7=""),0,SUMIFS(発注管理!$S$6:$S$1005,発注管理!$C$6:$C$1005,'設定（最初に1回）'!$C$4,発注管理!$F$6:$F$1005,$C388,発注管理!$R$6:$R$1005,"&gt;="&amp;'設定（最初に1回）'!$C$7,発注管理!$R$6:$R$1005,"&lt;="&amp;'設定（最初に1回）'!$C$6)))</f>
        <v/>
      </c>
      <c r="N388" s="69" t="str">
        <f aca="false">IF(OR($C388="",'設定（最初に1回）'!$C$15=0),"",$L388+$M388-$K388)</f>
        <v/>
      </c>
      <c r="O388" s="143" t="str">
        <f aca="false">IF(OR($N388="",'設定（最初に1回）'!$C$8="",'設定（最初に1回）'!$C$8&lt;=0),"",MAX(0,$N388)/'設定（最初に1回）'!$C$8)</f>
        <v/>
      </c>
      <c r="P388" s="143" t="str">
        <f aca="false">IF($C388="","",IFERROR(INDEX(商品マスタ!$M$6:$N$1005,MATCH($C388,商品マスタ!$B$6:$B$1005,0),MATCH("PI値 "&amp;'設定（最初に1回）'!$C$11,商品マスタ!$M$5:$N$5,0)),""))</f>
        <v/>
      </c>
      <c r="Q388" s="143" t="str">
        <f aca="false">IF(OR($C388="",$P388="",$P388=0,(N($I388)+N($AG388))&lt;=0),"",IFERROR(SUMIFS(随時_動員を入れる!$G$8:$G$97,随時_動員を入れる!$B$8:$B$97,"&gt;="&amp;'設定（最初に1回）'!$C$6,随時_動員を入れる!$B$8:$B$97,"&lt;="&amp;'設定（最初に1回）'!$C$6+(N($I388)+N($AG388))-1)/(N($I388)+N($AG388)),0)*$P388/100)</f>
        <v/>
      </c>
      <c r="R388" s="69" t="str">
        <f aca="false">IF($C388="","",SUMIFS(①今日の在庫を貼る!$O$6:$O$10005,①今日の在庫を貼る!$B$6:$B$10005,'設定（最初に1回）'!$C$4,①今日の在庫を貼る!$I$6:$I$10005,$C388))</f>
        <v/>
      </c>
      <c r="S388" s="143" t="str">
        <f aca="false">IF($C388="","",IF('設定（最初に1回）'!$C$9="実績消費",N($O388),IF('設定（最初に1回）'!$C$9="PI値予測",N($Q388),MAX(N($O388),N($Q388)))))</f>
        <v/>
      </c>
      <c r="T388" s="67" t="str">
        <f aca="false">IF(OR($S388="",$S388&lt;=0),"",$K388/$S388)</f>
        <v/>
      </c>
      <c r="U388" s="69" t="str">
        <f aca="false">IF($S388="","",ROUNDUP(N($S388)*'設定（最初に1回）'!$C$12,0))</f>
        <v/>
      </c>
      <c r="V388" s="69" t="str">
        <f aca="false">IF($C388="","",ROUNDUP(N($S388)*(N($I388)+N($AG388))+N($U388),0))</f>
        <v/>
      </c>
      <c r="W388" s="69" t="str">
        <f aca="false">IF($C388="","",SUMIFS(発注管理!$L$6:$L$1005,発注管理!$C$6:$C$1005,'設定（最初に1回）'!$C$4,発注管理!$F$6:$F$1005,$C388,発注管理!$Q$6:$Q$1005,"発注済"))</f>
        <v/>
      </c>
      <c r="X388" s="69" t="str">
        <f aca="false">IF($C388="","",MAX(0,N($V388)-N($K388)-N($W388)))</f>
        <v/>
      </c>
      <c r="Y388" s="147" t="str">
        <f aca="false">IF($C388="","",IF(N($X388)&lt;=0,0,CEILING($X388/MAX(1,N($G388)),MAX(1,N($J388)))))</f>
        <v/>
      </c>
      <c r="Z388" s="138" t="str">
        <f aca="false">IF($C388="","",IF(N($Y388)&gt;0,"要発注","正常"))</f>
        <v/>
      </c>
      <c r="AA388" s="71" t="str">
        <f aca="false">IF($C388="","",N($K388)*N($H388))</f>
        <v/>
      </c>
      <c r="AB388" s="66" t="str">
        <f aca="false">IF($C388="","",_xlfn.TEXTJOIN(" / ",TRUE(),IF(COUNTIF(商品マスタ!$B$6:$B$1005,$C388)=0,"マスタ未登録",""),IF(COUNTIFS(月1回_前回の在庫を貼る!$B$6:$B$10005,'設定（最初に1回）'!$C$4,月1回_前回の在庫を貼る!$I$6:$I$10005,$C388)=0,"新商品",""),IF(COUNTIFS(①今日の在庫を貼る!$B$6:$B$10005,'設定（最初に1回）'!$C$4,①今日の在庫を貼る!$I$6:$I$10005,$C388)=0,"終売候補",""),IF(N($K388)&lt;0,"在庫マイナス",""),IF(AND('設定（最初に1回）'!$C$9="PI値予測",$P388=""),"PI値未設定","")))</f>
        <v/>
      </c>
      <c r="AC388" s="71" t="n">
        <f aca="false">N($Y388)*N($H388)</f>
        <v>0</v>
      </c>
      <c r="AD388" s="66" t="str">
        <f aca="false">IF($C388="","",IFERROR(INDEX(商品マスタ!$K$6:$K$1005,MATCH($C388,商品マスタ!$B$6:$B$1005,0)),"常温"))</f>
        <v/>
      </c>
      <c r="AE388" s="69" t="str">
        <f aca="false">IF($C388="","",MAX(0,ROUNDUP(N($K388)/MAX(1,N($G388)),0)))</f>
        <v/>
      </c>
      <c r="AF388" s="66" t="str">
        <f aca="false">IF($C388="","",IFERROR(INDEX(商品マスタ!$L$6:$L$1005,MATCH($C388,商品マスタ!$B$6:$B$1005,0)),""))</f>
        <v/>
      </c>
      <c r="AG388" s="143" t="str">
        <f aca="false">IF($C388="","",IFERROR(INDEX(定数マスタ!$S$110:$S$119,MATCH($AF388,定数マスタ!$J$110:$J$119,0)),N('設定（最初に1回）'!$C$13)))</f>
        <v/>
      </c>
      <c r="AH388" s="66" t="n">
        <f aca="false">IF(AND(N($K388)&gt;0,N($Y388)&gt;0),N($Y388),0)</f>
        <v>0</v>
      </c>
    </row>
    <row r="389" customFormat="false" ht="15" hidden="false" customHeight="false" outlineLevel="0" collapsed="false">
      <c r="B389" s="66" t="n">
        <v>384</v>
      </c>
      <c r="C389" s="66" t="str">
        <f aca="false">IFERROR(IF($B389&lt;=MAX(①今日の在庫を貼る!$U$6:$U$10005),INDEX(①今日の在庫を貼る!$I$6:$I$10005,MATCH($B389,①今日の在庫を貼る!$U$6:$U$10005,0)),INDEX(月1回_前回の在庫を貼る!$I$6:$I$10005,MATCH($B389-MAX(①今日の在庫を貼る!$U$6:$U$10005),月1回_前回の在庫を貼る!$U$6:$U$10005,0))),"")</f>
        <v/>
      </c>
      <c r="D389" s="66" t="str">
        <f aca="false">IF($C389="","",IFERROR(INDEX(商品マスタ!$C$6:$C$1005,MATCH($C389,商品マスタ!$B$6:$B$1005,0)),IFERROR(INDEX(①今日の在庫を貼る!$J$6:$J$10005,MATCH($C389,①今日の在庫を貼る!$I$6:$I$10005,0)),IFERROR(INDEX(月1回_前回の在庫を貼る!$J$6:$J$10005,MATCH($C389,月1回_前回の在庫を貼る!$I$6:$I$10005,0)),""))))</f>
        <v/>
      </c>
      <c r="E389" s="66" t="str">
        <f aca="false">IF($C389="","",IFERROR(INDEX(商品マスタ!$D$6:$D$1005,MATCH($C389,商品マスタ!$B$6:$B$1005,0)),IFERROR(INDEX(①今日の在庫を貼る!$H$6:$H$10005,MATCH($C389,①今日の在庫を貼る!$I$6:$I$10005,0)),IFERROR(INDEX(月1回_前回の在庫を貼る!$H$6:$H$10005,MATCH($C389,月1回_前回の在庫を貼る!$I$6:$I$10005,0)),""))))</f>
        <v/>
      </c>
      <c r="F389" s="66" t="str">
        <f aca="false">IF($C389="","",IFERROR(INDEX(商品マスタ!$E$6:$E$1005,MATCH($C389,商品マスタ!$B$6:$B$1005,0)),IFERROR(INDEX(①今日の在庫を貼る!$E$6:$E$10005,MATCH($C389,①今日の在庫を貼る!$I$6:$I$10005,0)),IFERROR(INDEX(月1回_前回の在庫を貼る!$E$6:$E$10005,MATCH($C389,月1回_前回の在庫を貼る!$I$6:$I$10005,0)),""))))</f>
        <v/>
      </c>
      <c r="G389" s="69" t="str">
        <f aca="false">IF($C389="","",IFERROR(INDEX(商品マスタ!$F$6:$F$1005,MATCH($C389,商品マスタ!$B$6:$B$1005,0)),IFERROR(INDEX(①今日の在庫を貼る!$K$6:$K$10005,MATCH($C389,①今日の在庫を貼る!$I$6:$I$10005,0)),IFERROR(INDEX(月1回_前回の在庫を貼る!$K$6:$K$10005,MATCH($C389,月1回_前回の在庫を貼る!$I$6:$I$10005,0)),""))))</f>
        <v/>
      </c>
      <c r="H389" s="71" t="str">
        <f aca="false">IF($C389="","",IFERROR(INDEX(商品マスタ!$G$6:$G$1005,MATCH($C389,商品マスタ!$B$6:$B$1005,0)),IFERROR(INDEX(①今日の在庫を貼る!$Q$6:$Q$10005,MATCH($C389,①今日の在庫を貼る!$I$6:$I$10005,0)),IFERROR(INDEX(月1回_前回の在庫を貼る!$Q$6:$Q$10005,MATCH($C389,月1回_前回の在庫を貼る!$I$6:$I$10005,0)),""))))</f>
        <v/>
      </c>
      <c r="I389" s="66" t="str">
        <f aca="false">IF($C389="","",IFERROR(INDEX(商品マスタ!$H$6:$H$1005,MATCH($C389,商品マスタ!$B$6:$B$1005,0)),3))</f>
        <v/>
      </c>
      <c r="J389" s="66" t="str">
        <f aca="false">IF($C389="","",MAX(1,IFERROR(INDEX(商品マスタ!$I$6:$I$1005,MATCH($C389,商品マスタ!$B$6:$B$1005,0)),1)))</f>
        <v/>
      </c>
      <c r="K389" s="69" t="str">
        <f aca="false">IF($C389="","",SUMIFS(①今日の在庫を貼る!$N$6:$N$10005,①今日の在庫を貼る!$B$6:$B$10005,'設定（最初に1回）'!$C$4,①今日の在庫を貼る!$I$6:$I$10005,$C389))</f>
        <v/>
      </c>
      <c r="L389" s="69" t="str">
        <f aca="false">IF($C389="","",SUMIFS(月1回_前回の在庫を貼る!$N$6:$N$10005,月1回_前回の在庫を貼る!$B$6:$B$10005,'設定（最初に1回）'!$C$4,月1回_前回の在庫を貼る!$I$6:$I$10005,$C389))</f>
        <v/>
      </c>
      <c r="M389" s="69" t="str">
        <f aca="false">IF($C389="","",IF(OR('設定（最初に1回）'!$C$6="",'設定（最初に1回）'!$C$7=""),0,SUMIFS(発注管理!$S$6:$S$1005,発注管理!$C$6:$C$1005,'設定（最初に1回）'!$C$4,発注管理!$F$6:$F$1005,$C389,発注管理!$R$6:$R$1005,"&gt;="&amp;'設定（最初に1回）'!$C$7,発注管理!$R$6:$R$1005,"&lt;="&amp;'設定（最初に1回）'!$C$6)))</f>
        <v/>
      </c>
      <c r="N389" s="69" t="str">
        <f aca="false">IF(OR($C389="",'設定（最初に1回）'!$C$15=0),"",$L389+$M389-$K389)</f>
        <v/>
      </c>
      <c r="O389" s="143" t="str">
        <f aca="false">IF(OR($N389="",'設定（最初に1回）'!$C$8="",'設定（最初に1回）'!$C$8&lt;=0),"",MAX(0,$N389)/'設定（最初に1回）'!$C$8)</f>
        <v/>
      </c>
      <c r="P389" s="143" t="str">
        <f aca="false">IF($C389="","",IFERROR(INDEX(商品マスタ!$M$6:$N$1005,MATCH($C389,商品マスタ!$B$6:$B$1005,0),MATCH("PI値 "&amp;'設定（最初に1回）'!$C$11,商品マスタ!$M$5:$N$5,0)),""))</f>
        <v/>
      </c>
      <c r="Q389" s="143" t="str">
        <f aca="false">IF(OR($C389="",$P389="",$P389=0,(N($I389)+N($AG389))&lt;=0),"",IFERROR(SUMIFS(随時_動員を入れる!$G$8:$G$97,随時_動員を入れる!$B$8:$B$97,"&gt;="&amp;'設定（最初に1回）'!$C$6,随時_動員を入れる!$B$8:$B$97,"&lt;="&amp;'設定（最初に1回）'!$C$6+(N($I389)+N($AG389))-1)/(N($I389)+N($AG389)),0)*$P389/100)</f>
        <v/>
      </c>
      <c r="R389" s="69" t="str">
        <f aca="false">IF($C389="","",SUMIFS(①今日の在庫を貼る!$O$6:$O$10005,①今日の在庫を貼る!$B$6:$B$10005,'設定（最初に1回）'!$C$4,①今日の在庫を貼る!$I$6:$I$10005,$C389))</f>
        <v/>
      </c>
      <c r="S389" s="143" t="str">
        <f aca="false">IF($C389="","",IF('設定（最初に1回）'!$C$9="実績消費",N($O389),IF('設定（最初に1回）'!$C$9="PI値予測",N($Q389),MAX(N($O389),N($Q389)))))</f>
        <v/>
      </c>
      <c r="T389" s="67" t="str">
        <f aca="false">IF(OR($S389="",$S389&lt;=0),"",$K389/$S389)</f>
        <v/>
      </c>
      <c r="U389" s="69" t="str">
        <f aca="false">IF($S389="","",ROUNDUP(N($S389)*'設定（最初に1回）'!$C$12,0))</f>
        <v/>
      </c>
      <c r="V389" s="69" t="str">
        <f aca="false">IF($C389="","",ROUNDUP(N($S389)*(N($I389)+N($AG389))+N($U389),0))</f>
        <v/>
      </c>
      <c r="W389" s="69" t="str">
        <f aca="false">IF($C389="","",SUMIFS(発注管理!$L$6:$L$1005,発注管理!$C$6:$C$1005,'設定（最初に1回）'!$C$4,発注管理!$F$6:$F$1005,$C389,発注管理!$Q$6:$Q$1005,"発注済"))</f>
        <v/>
      </c>
      <c r="X389" s="69" t="str">
        <f aca="false">IF($C389="","",MAX(0,N($V389)-N($K389)-N($W389)))</f>
        <v/>
      </c>
      <c r="Y389" s="147" t="str">
        <f aca="false">IF($C389="","",IF(N($X389)&lt;=0,0,CEILING($X389/MAX(1,N($G389)),MAX(1,N($J389)))))</f>
        <v/>
      </c>
      <c r="Z389" s="138" t="str">
        <f aca="false">IF($C389="","",IF(N($Y389)&gt;0,"要発注","正常"))</f>
        <v/>
      </c>
      <c r="AA389" s="71" t="str">
        <f aca="false">IF($C389="","",N($K389)*N($H389))</f>
        <v/>
      </c>
      <c r="AB389" s="66" t="str">
        <f aca="false">IF($C389="","",_xlfn.TEXTJOIN(" / ",TRUE(),IF(COUNTIF(商品マスタ!$B$6:$B$1005,$C389)=0,"マスタ未登録",""),IF(COUNTIFS(月1回_前回の在庫を貼る!$B$6:$B$10005,'設定（最初に1回）'!$C$4,月1回_前回の在庫を貼る!$I$6:$I$10005,$C389)=0,"新商品",""),IF(COUNTIFS(①今日の在庫を貼る!$B$6:$B$10005,'設定（最初に1回）'!$C$4,①今日の在庫を貼る!$I$6:$I$10005,$C389)=0,"終売候補",""),IF(N($K389)&lt;0,"在庫マイナス",""),IF(AND('設定（最初に1回）'!$C$9="PI値予測",$P389=""),"PI値未設定","")))</f>
        <v/>
      </c>
      <c r="AC389" s="71" t="n">
        <f aca="false">N($Y389)*N($H389)</f>
        <v>0</v>
      </c>
      <c r="AD389" s="66" t="str">
        <f aca="false">IF($C389="","",IFERROR(INDEX(商品マスタ!$K$6:$K$1005,MATCH($C389,商品マスタ!$B$6:$B$1005,0)),"常温"))</f>
        <v/>
      </c>
      <c r="AE389" s="69" t="str">
        <f aca="false">IF($C389="","",MAX(0,ROUNDUP(N($K389)/MAX(1,N($G389)),0)))</f>
        <v/>
      </c>
      <c r="AF389" s="66" t="str">
        <f aca="false">IF($C389="","",IFERROR(INDEX(商品マスタ!$L$6:$L$1005,MATCH($C389,商品マスタ!$B$6:$B$1005,0)),""))</f>
        <v/>
      </c>
      <c r="AG389" s="143" t="str">
        <f aca="false">IF($C389="","",IFERROR(INDEX(定数マスタ!$S$110:$S$119,MATCH($AF389,定数マスタ!$J$110:$J$119,0)),N('設定（最初に1回）'!$C$13)))</f>
        <v/>
      </c>
      <c r="AH389" s="66" t="n">
        <f aca="false">IF(AND(N($K389)&gt;0,N($Y389)&gt;0),N($Y389),0)</f>
        <v>0</v>
      </c>
    </row>
    <row r="390" customFormat="false" ht="15" hidden="false" customHeight="false" outlineLevel="0" collapsed="false">
      <c r="B390" s="66" t="n">
        <v>385</v>
      </c>
      <c r="C390" s="66" t="str">
        <f aca="false">IFERROR(IF($B390&lt;=MAX(①今日の在庫を貼る!$U$6:$U$10005),INDEX(①今日の在庫を貼る!$I$6:$I$10005,MATCH($B390,①今日の在庫を貼る!$U$6:$U$10005,0)),INDEX(月1回_前回の在庫を貼る!$I$6:$I$10005,MATCH($B390-MAX(①今日の在庫を貼る!$U$6:$U$10005),月1回_前回の在庫を貼る!$U$6:$U$10005,0))),"")</f>
        <v/>
      </c>
      <c r="D390" s="66" t="str">
        <f aca="false">IF($C390="","",IFERROR(INDEX(商品マスタ!$C$6:$C$1005,MATCH($C390,商品マスタ!$B$6:$B$1005,0)),IFERROR(INDEX(①今日の在庫を貼る!$J$6:$J$10005,MATCH($C390,①今日の在庫を貼る!$I$6:$I$10005,0)),IFERROR(INDEX(月1回_前回の在庫を貼る!$J$6:$J$10005,MATCH($C390,月1回_前回の在庫を貼る!$I$6:$I$10005,0)),""))))</f>
        <v/>
      </c>
      <c r="E390" s="66" t="str">
        <f aca="false">IF($C390="","",IFERROR(INDEX(商品マスタ!$D$6:$D$1005,MATCH($C390,商品マスタ!$B$6:$B$1005,0)),IFERROR(INDEX(①今日の在庫を貼る!$H$6:$H$10005,MATCH($C390,①今日の在庫を貼る!$I$6:$I$10005,0)),IFERROR(INDEX(月1回_前回の在庫を貼る!$H$6:$H$10005,MATCH($C390,月1回_前回の在庫を貼る!$I$6:$I$10005,0)),""))))</f>
        <v/>
      </c>
      <c r="F390" s="66" t="str">
        <f aca="false">IF($C390="","",IFERROR(INDEX(商品マスタ!$E$6:$E$1005,MATCH($C390,商品マスタ!$B$6:$B$1005,0)),IFERROR(INDEX(①今日の在庫を貼る!$E$6:$E$10005,MATCH($C390,①今日の在庫を貼る!$I$6:$I$10005,0)),IFERROR(INDEX(月1回_前回の在庫を貼る!$E$6:$E$10005,MATCH($C390,月1回_前回の在庫を貼る!$I$6:$I$10005,0)),""))))</f>
        <v/>
      </c>
      <c r="G390" s="69" t="str">
        <f aca="false">IF($C390="","",IFERROR(INDEX(商品マスタ!$F$6:$F$1005,MATCH($C390,商品マスタ!$B$6:$B$1005,0)),IFERROR(INDEX(①今日の在庫を貼る!$K$6:$K$10005,MATCH($C390,①今日の在庫を貼る!$I$6:$I$10005,0)),IFERROR(INDEX(月1回_前回の在庫を貼る!$K$6:$K$10005,MATCH($C390,月1回_前回の在庫を貼る!$I$6:$I$10005,0)),""))))</f>
        <v/>
      </c>
      <c r="H390" s="71" t="str">
        <f aca="false">IF($C390="","",IFERROR(INDEX(商品マスタ!$G$6:$G$1005,MATCH($C390,商品マスタ!$B$6:$B$1005,0)),IFERROR(INDEX(①今日の在庫を貼る!$Q$6:$Q$10005,MATCH($C390,①今日の在庫を貼る!$I$6:$I$10005,0)),IFERROR(INDEX(月1回_前回の在庫を貼る!$Q$6:$Q$10005,MATCH($C390,月1回_前回の在庫を貼る!$I$6:$I$10005,0)),""))))</f>
        <v/>
      </c>
      <c r="I390" s="66" t="str">
        <f aca="false">IF($C390="","",IFERROR(INDEX(商品マスタ!$H$6:$H$1005,MATCH($C390,商品マスタ!$B$6:$B$1005,0)),3))</f>
        <v/>
      </c>
      <c r="J390" s="66" t="str">
        <f aca="false">IF($C390="","",MAX(1,IFERROR(INDEX(商品マスタ!$I$6:$I$1005,MATCH($C390,商品マスタ!$B$6:$B$1005,0)),1)))</f>
        <v/>
      </c>
      <c r="K390" s="69" t="str">
        <f aca="false">IF($C390="","",SUMIFS(①今日の在庫を貼る!$N$6:$N$10005,①今日の在庫を貼る!$B$6:$B$10005,'設定（最初に1回）'!$C$4,①今日の在庫を貼る!$I$6:$I$10005,$C390))</f>
        <v/>
      </c>
      <c r="L390" s="69" t="str">
        <f aca="false">IF($C390="","",SUMIFS(月1回_前回の在庫を貼る!$N$6:$N$10005,月1回_前回の在庫を貼る!$B$6:$B$10005,'設定（最初に1回）'!$C$4,月1回_前回の在庫を貼る!$I$6:$I$10005,$C390))</f>
        <v/>
      </c>
      <c r="M390" s="69" t="str">
        <f aca="false">IF($C390="","",IF(OR('設定（最初に1回）'!$C$6="",'設定（最初に1回）'!$C$7=""),0,SUMIFS(発注管理!$S$6:$S$1005,発注管理!$C$6:$C$1005,'設定（最初に1回）'!$C$4,発注管理!$F$6:$F$1005,$C390,発注管理!$R$6:$R$1005,"&gt;="&amp;'設定（最初に1回）'!$C$7,発注管理!$R$6:$R$1005,"&lt;="&amp;'設定（最初に1回）'!$C$6)))</f>
        <v/>
      </c>
      <c r="N390" s="69" t="str">
        <f aca="false">IF(OR($C390="",'設定（最初に1回）'!$C$15=0),"",$L390+$M390-$K390)</f>
        <v/>
      </c>
      <c r="O390" s="143" t="str">
        <f aca="false">IF(OR($N390="",'設定（最初に1回）'!$C$8="",'設定（最初に1回）'!$C$8&lt;=0),"",MAX(0,$N390)/'設定（最初に1回）'!$C$8)</f>
        <v/>
      </c>
      <c r="P390" s="143" t="str">
        <f aca="false">IF($C390="","",IFERROR(INDEX(商品マスタ!$M$6:$N$1005,MATCH($C390,商品マスタ!$B$6:$B$1005,0),MATCH("PI値 "&amp;'設定（最初に1回）'!$C$11,商品マスタ!$M$5:$N$5,0)),""))</f>
        <v/>
      </c>
      <c r="Q390" s="143" t="str">
        <f aca="false">IF(OR($C390="",$P390="",$P390=0,(N($I390)+N($AG390))&lt;=0),"",IFERROR(SUMIFS(随時_動員を入れる!$G$8:$G$97,随時_動員を入れる!$B$8:$B$97,"&gt;="&amp;'設定（最初に1回）'!$C$6,随時_動員を入れる!$B$8:$B$97,"&lt;="&amp;'設定（最初に1回）'!$C$6+(N($I390)+N($AG390))-1)/(N($I390)+N($AG390)),0)*$P390/100)</f>
        <v/>
      </c>
      <c r="R390" s="69" t="str">
        <f aca="false">IF($C390="","",SUMIFS(①今日の在庫を貼る!$O$6:$O$10005,①今日の在庫を貼る!$B$6:$B$10005,'設定（最初に1回）'!$C$4,①今日の在庫を貼る!$I$6:$I$10005,$C390))</f>
        <v/>
      </c>
      <c r="S390" s="143" t="str">
        <f aca="false">IF($C390="","",IF('設定（最初に1回）'!$C$9="実績消費",N($O390),IF('設定（最初に1回）'!$C$9="PI値予測",N($Q390),MAX(N($O390),N($Q390)))))</f>
        <v/>
      </c>
      <c r="T390" s="67" t="str">
        <f aca="false">IF(OR($S390="",$S390&lt;=0),"",$K390/$S390)</f>
        <v/>
      </c>
      <c r="U390" s="69" t="str">
        <f aca="false">IF($S390="","",ROUNDUP(N($S390)*'設定（最初に1回）'!$C$12,0))</f>
        <v/>
      </c>
      <c r="V390" s="69" t="str">
        <f aca="false">IF($C390="","",ROUNDUP(N($S390)*(N($I390)+N($AG390))+N($U390),0))</f>
        <v/>
      </c>
      <c r="W390" s="69" t="str">
        <f aca="false">IF($C390="","",SUMIFS(発注管理!$L$6:$L$1005,発注管理!$C$6:$C$1005,'設定（最初に1回）'!$C$4,発注管理!$F$6:$F$1005,$C390,発注管理!$Q$6:$Q$1005,"発注済"))</f>
        <v/>
      </c>
      <c r="X390" s="69" t="str">
        <f aca="false">IF($C390="","",MAX(0,N($V390)-N($K390)-N($W390)))</f>
        <v/>
      </c>
      <c r="Y390" s="147" t="str">
        <f aca="false">IF($C390="","",IF(N($X390)&lt;=0,0,CEILING($X390/MAX(1,N($G390)),MAX(1,N($J390)))))</f>
        <v/>
      </c>
      <c r="Z390" s="138" t="str">
        <f aca="false">IF($C390="","",IF(N($Y390)&gt;0,"要発注","正常"))</f>
        <v/>
      </c>
      <c r="AA390" s="71" t="str">
        <f aca="false">IF($C390="","",N($K390)*N($H390))</f>
        <v/>
      </c>
      <c r="AB390" s="66" t="str">
        <f aca="false">IF($C390="","",_xlfn.TEXTJOIN(" / ",TRUE(),IF(COUNTIF(商品マスタ!$B$6:$B$1005,$C390)=0,"マスタ未登録",""),IF(COUNTIFS(月1回_前回の在庫を貼る!$B$6:$B$10005,'設定（最初に1回）'!$C$4,月1回_前回の在庫を貼る!$I$6:$I$10005,$C390)=0,"新商品",""),IF(COUNTIFS(①今日の在庫を貼る!$B$6:$B$10005,'設定（最初に1回）'!$C$4,①今日の在庫を貼る!$I$6:$I$10005,$C390)=0,"終売候補",""),IF(N($K390)&lt;0,"在庫マイナス",""),IF(AND('設定（最初に1回）'!$C$9="PI値予測",$P390=""),"PI値未設定","")))</f>
        <v/>
      </c>
      <c r="AC390" s="71" t="n">
        <f aca="false">N($Y390)*N($H390)</f>
        <v>0</v>
      </c>
      <c r="AD390" s="66" t="str">
        <f aca="false">IF($C390="","",IFERROR(INDEX(商品マスタ!$K$6:$K$1005,MATCH($C390,商品マスタ!$B$6:$B$1005,0)),"常温"))</f>
        <v/>
      </c>
      <c r="AE390" s="69" t="str">
        <f aca="false">IF($C390="","",MAX(0,ROUNDUP(N($K390)/MAX(1,N($G390)),0)))</f>
        <v/>
      </c>
      <c r="AF390" s="66" t="str">
        <f aca="false">IF($C390="","",IFERROR(INDEX(商品マスタ!$L$6:$L$1005,MATCH($C390,商品マスタ!$B$6:$B$1005,0)),""))</f>
        <v/>
      </c>
      <c r="AG390" s="143" t="str">
        <f aca="false">IF($C390="","",IFERROR(INDEX(定数マスタ!$S$110:$S$119,MATCH($AF390,定数マスタ!$J$110:$J$119,0)),N('設定（最初に1回）'!$C$13)))</f>
        <v/>
      </c>
      <c r="AH390" s="66" t="n">
        <f aca="false">IF(AND(N($K390)&gt;0,N($Y390)&gt;0),N($Y390),0)</f>
        <v>0</v>
      </c>
    </row>
    <row r="391" customFormat="false" ht="15" hidden="false" customHeight="false" outlineLevel="0" collapsed="false">
      <c r="B391" s="66" t="n">
        <v>386</v>
      </c>
      <c r="C391" s="66" t="str">
        <f aca="false">IFERROR(IF($B391&lt;=MAX(①今日の在庫を貼る!$U$6:$U$10005),INDEX(①今日の在庫を貼る!$I$6:$I$10005,MATCH($B391,①今日の在庫を貼る!$U$6:$U$10005,0)),INDEX(月1回_前回の在庫を貼る!$I$6:$I$10005,MATCH($B391-MAX(①今日の在庫を貼る!$U$6:$U$10005),月1回_前回の在庫を貼る!$U$6:$U$10005,0))),"")</f>
        <v/>
      </c>
      <c r="D391" s="66" t="str">
        <f aca="false">IF($C391="","",IFERROR(INDEX(商品マスタ!$C$6:$C$1005,MATCH($C391,商品マスタ!$B$6:$B$1005,0)),IFERROR(INDEX(①今日の在庫を貼る!$J$6:$J$10005,MATCH($C391,①今日の在庫を貼る!$I$6:$I$10005,0)),IFERROR(INDEX(月1回_前回の在庫を貼る!$J$6:$J$10005,MATCH($C391,月1回_前回の在庫を貼る!$I$6:$I$10005,0)),""))))</f>
        <v/>
      </c>
      <c r="E391" s="66" t="str">
        <f aca="false">IF($C391="","",IFERROR(INDEX(商品マスタ!$D$6:$D$1005,MATCH($C391,商品マスタ!$B$6:$B$1005,0)),IFERROR(INDEX(①今日の在庫を貼る!$H$6:$H$10005,MATCH($C391,①今日の在庫を貼る!$I$6:$I$10005,0)),IFERROR(INDEX(月1回_前回の在庫を貼る!$H$6:$H$10005,MATCH($C391,月1回_前回の在庫を貼る!$I$6:$I$10005,0)),""))))</f>
        <v/>
      </c>
      <c r="F391" s="66" t="str">
        <f aca="false">IF($C391="","",IFERROR(INDEX(商品マスタ!$E$6:$E$1005,MATCH($C391,商品マスタ!$B$6:$B$1005,0)),IFERROR(INDEX(①今日の在庫を貼る!$E$6:$E$10005,MATCH($C391,①今日の在庫を貼る!$I$6:$I$10005,0)),IFERROR(INDEX(月1回_前回の在庫を貼る!$E$6:$E$10005,MATCH($C391,月1回_前回の在庫を貼る!$I$6:$I$10005,0)),""))))</f>
        <v/>
      </c>
      <c r="G391" s="69" t="str">
        <f aca="false">IF($C391="","",IFERROR(INDEX(商品マスタ!$F$6:$F$1005,MATCH($C391,商品マスタ!$B$6:$B$1005,0)),IFERROR(INDEX(①今日の在庫を貼る!$K$6:$K$10005,MATCH($C391,①今日の在庫を貼る!$I$6:$I$10005,0)),IFERROR(INDEX(月1回_前回の在庫を貼る!$K$6:$K$10005,MATCH($C391,月1回_前回の在庫を貼る!$I$6:$I$10005,0)),""))))</f>
        <v/>
      </c>
      <c r="H391" s="71" t="str">
        <f aca="false">IF($C391="","",IFERROR(INDEX(商品マスタ!$G$6:$G$1005,MATCH($C391,商品マスタ!$B$6:$B$1005,0)),IFERROR(INDEX(①今日の在庫を貼る!$Q$6:$Q$10005,MATCH($C391,①今日の在庫を貼る!$I$6:$I$10005,0)),IFERROR(INDEX(月1回_前回の在庫を貼る!$Q$6:$Q$10005,MATCH($C391,月1回_前回の在庫を貼る!$I$6:$I$10005,0)),""))))</f>
        <v/>
      </c>
      <c r="I391" s="66" t="str">
        <f aca="false">IF($C391="","",IFERROR(INDEX(商品マスタ!$H$6:$H$1005,MATCH($C391,商品マスタ!$B$6:$B$1005,0)),3))</f>
        <v/>
      </c>
      <c r="J391" s="66" t="str">
        <f aca="false">IF($C391="","",MAX(1,IFERROR(INDEX(商品マスタ!$I$6:$I$1005,MATCH($C391,商品マスタ!$B$6:$B$1005,0)),1)))</f>
        <v/>
      </c>
      <c r="K391" s="69" t="str">
        <f aca="false">IF($C391="","",SUMIFS(①今日の在庫を貼る!$N$6:$N$10005,①今日の在庫を貼る!$B$6:$B$10005,'設定（最初に1回）'!$C$4,①今日の在庫を貼る!$I$6:$I$10005,$C391))</f>
        <v/>
      </c>
      <c r="L391" s="69" t="str">
        <f aca="false">IF($C391="","",SUMIFS(月1回_前回の在庫を貼る!$N$6:$N$10005,月1回_前回の在庫を貼る!$B$6:$B$10005,'設定（最初に1回）'!$C$4,月1回_前回の在庫を貼る!$I$6:$I$10005,$C391))</f>
        <v/>
      </c>
      <c r="M391" s="69" t="str">
        <f aca="false">IF($C391="","",IF(OR('設定（最初に1回）'!$C$6="",'設定（最初に1回）'!$C$7=""),0,SUMIFS(発注管理!$S$6:$S$1005,発注管理!$C$6:$C$1005,'設定（最初に1回）'!$C$4,発注管理!$F$6:$F$1005,$C391,発注管理!$R$6:$R$1005,"&gt;="&amp;'設定（最初に1回）'!$C$7,発注管理!$R$6:$R$1005,"&lt;="&amp;'設定（最初に1回）'!$C$6)))</f>
        <v/>
      </c>
      <c r="N391" s="69" t="str">
        <f aca="false">IF(OR($C391="",'設定（最初に1回）'!$C$15=0),"",$L391+$M391-$K391)</f>
        <v/>
      </c>
      <c r="O391" s="143" t="str">
        <f aca="false">IF(OR($N391="",'設定（最初に1回）'!$C$8="",'設定（最初に1回）'!$C$8&lt;=0),"",MAX(0,$N391)/'設定（最初に1回）'!$C$8)</f>
        <v/>
      </c>
      <c r="P391" s="143" t="str">
        <f aca="false">IF($C391="","",IFERROR(INDEX(商品マスタ!$M$6:$N$1005,MATCH($C391,商品マスタ!$B$6:$B$1005,0),MATCH("PI値 "&amp;'設定（最初に1回）'!$C$11,商品マスタ!$M$5:$N$5,0)),""))</f>
        <v/>
      </c>
      <c r="Q391" s="143" t="str">
        <f aca="false">IF(OR($C391="",$P391="",$P391=0,(N($I391)+N($AG391))&lt;=0),"",IFERROR(SUMIFS(随時_動員を入れる!$G$8:$G$97,随時_動員を入れる!$B$8:$B$97,"&gt;="&amp;'設定（最初に1回）'!$C$6,随時_動員を入れる!$B$8:$B$97,"&lt;="&amp;'設定（最初に1回）'!$C$6+(N($I391)+N($AG391))-1)/(N($I391)+N($AG391)),0)*$P391/100)</f>
        <v/>
      </c>
      <c r="R391" s="69" t="str">
        <f aca="false">IF($C391="","",SUMIFS(①今日の在庫を貼る!$O$6:$O$10005,①今日の在庫を貼る!$B$6:$B$10005,'設定（最初に1回）'!$C$4,①今日の在庫を貼る!$I$6:$I$10005,$C391))</f>
        <v/>
      </c>
      <c r="S391" s="143" t="str">
        <f aca="false">IF($C391="","",IF('設定（最初に1回）'!$C$9="実績消費",N($O391),IF('設定（最初に1回）'!$C$9="PI値予測",N($Q391),MAX(N($O391),N($Q391)))))</f>
        <v/>
      </c>
      <c r="T391" s="67" t="str">
        <f aca="false">IF(OR($S391="",$S391&lt;=0),"",$K391/$S391)</f>
        <v/>
      </c>
      <c r="U391" s="69" t="str">
        <f aca="false">IF($S391="","",ROUNDUP(N($S391)*'設定（最初に1回）'!$C$12,0))</f>
        <v/>
      </c>
      <c r="V391" s="69" t="str">
        <f aca="false">IF($C391="","",ROUNDUP(N($S391)*(N($I391)+N($AG391))+N($U391),0))</f>
        <v/>
      </c>
      <c r="W391" s="69" t="str">
        <f aca="false">IF($C391="","",SUMIFS(発注管理!$L$6:$L$1005,発注管理!$C$6:$C$1005,'設定（最初に1回）'!$C$4,発注管理!$F$6:$F$1005,$C391,発注管理!$Q$6:$Q$1005,"発注済"))</f>
        <v/>
      </c>
      <c r="X391" s="69" t="str">
        <f aca="false">IF($C391="","",MAX(0,N($V391)-N($K391)-N($W391)))</f>
        <v/>
      </c>
      <c r="Y391" s="147" t="str">
        <f aca="false">IF($C391="","",IF(N($X391)&lt;=0,0,CEILING($X391/MAX(1,N($G391)),MAX(1,N($J391)))))</f>
        <v/>
      </c>
      <c r="Z391" s="138" t="str">
        <f aca="false">IF($C391="","",IF(N($Y391)&gt;0,"要発注","正常"))</f>
        <v/>
      </c>
      <c r="AA391" s="71" t="str">
        <f aca="false">IF($C391="","",N($K391)*N($H391))</f>
        <v/>
      </c>
      <c r="AB391" s="66" t="str">
        <f aca="false">IF($C391="","",_xlfn.TEXTJOIN(" / ",TRUE(),IF(COUNTIF(商品マスタ!$B$6:$B$1005,$C391)=0,"マスタ未登録",""),IF(COUNTIFS(月1回_前回の在庫を貼る!$B$6:$B$10005,'設定（最初に1回）'!$C$4,月1回_前回の在庫を貼る!$I$6:$I$10005,$C391)=0,"新商品",""),IF(COUNTIFS(①今日の在庫を貼る!$B$6:$B$10005,'設定（最初に1回）'!$C$4,①今日の在庫を貼る!$I$6:$I$10005,$C391)=0,"終売候補",""),IF(N($K391)&lt;0,"在庫マイナス",""),IF(AND('設定（最初に1回）'!$C$9="PI値予測",$P391=""),"PI値未設定","")))</f>
        <v/>
      </c>
      <c r="AC391" s="71" t="n">
        <f aca="false">N($Y391)*N($H391)</f>
        <v>0</v>
      </c>
      <c r="AD391" s="66" t="str">
        <f aca="false">IF($C391="","",IFERROR(INDEX(商品マスタ!$K$6:$K$1005,MATCH($C391,商品マスタ!$B$6:$B$1005,0)),"常温"))</f>
        <v/>
      </c>
      <c r="AE391" s="69" t="str">
        <f aca="false">IF($C391="","",MAX(0,ROUNDUP(N($K391)/MAX(1,N($G391)),0)))</f>
        <v/>
      </c>
      <c r="AF391" s="66" t="str">
        <f aca="false">IF($C391="","",IFERROR(INDEX(商品マスタ!$L$6:$L$1005,MATCH($C391,商品マスタ!$B$6:$B$1005,0)),""))</f>
        <v/>
      </c>
      <c r="AG391" s="143" t="str">
        <f aca="false">IF($C391="","",IFERROR(INDEX(定数マスタ!$S$110:$S$119,MATCH($AF391,定数マスタ!$J$110:$J$119,0)),N('設定（最初に1回）'!$C$13)))</f>
        <v/>
      </c>
      <c r="AH391" s="66" t="n">
        <f aca="false">IF(AND(N($K391)&gt;0,N($Y391)&gt;0),N($Y391),0)</f>
        <v>0</v>
      </c>
    </row>
    <row r="392" customFormat="false" ht="15" hidden="false" customHeight="false" outlineLevel="0" collapsed="false">
      <c r="B392" s="66" t="n">
        <v>387</v>
      </c>
      <c r="C392" s="66" t="str">
        <f aca="false">IFERROR(IF($B392&lt;=MAX(①今日の在庫を貼る!$U$6:$U$10005),INDEX(①今日の在庫を貼る!$I$6:$I$10005,MATCH($B392,①今日の在庫を貼る!$U$6:$U$10005,0)),INDEX(月1回_前回の在庫を貼る!$I$6:$I$10005,MATCH($B392-MAX(①今日の在庫を貼る!$U$6:$U$10005),月1回_前回の在庫を貼る!$U$6:$U$10005,0))),"")</f>
        <v/>
      </c>
      <c r="D392" s="66" t="str">
        <f aca="false">IF($C392="","",IFERROR(INDEX(商品マスタ!$C$6:$C$1005,MATCH($C392,商品マスタ!$B$6:$B$1005,0)),IFERROR(INDEX(①今日の在庫を貼る!$J$6:$J$10005,MATCH($C392,①今日の在庫を貼る!$I$6:$I$10005,0)),IFERROR(INDEX(月1回_前回の在庫を貼る!$J$6:$J$10005,MATCH($C392,月1回_前回の在庫を貼る!$I$6:$I$10005,0)),""))))</f>
        <v/>
      </c>
      <c r="E392" s="66" t="str">
        <f aca="false">IF($C392="","",IFERROR(INDEX(商品マスタ!$D$6:$D$1005,MATCH($C392,商品マスタ!$B$6:$B$1005,0)),IFERROR(INDEX(①今日の在庫を貼る!$H$6:$H$10005,MATCH($C392,①今日の在庫を貼る!$I$6:$I$10005,0)),IFERROR(INDEX(月1回_前回の在庫を貼る!$H$6:$H$10005,MATCH($C392,月1回_前回の在庫を貼る!$I$6:$I$10005,0)),""))))</f>
        <v/>
      </c>
      <c r="F392" s="66" t="str">
        <f aca="false">IF($C392="","",IFERROR(INDEX(商品マスタ!$E$6:$E$1005,MATCH($C392,商品マスタ!$B$6:$B$1005,0)),IFERROR(INDEX(①今日の在庫を貼る!$E$6:$E$10005,MATCH($C392,①今日の在庫を貼る!$I$6:$I$10005,0)),IFERROR(INDEX(月1回_前回の在庫を貼る!$E$6:$E$10005,MATCH($C392,月1回_前回の在庫を貼る!$I$6:$I$10005,0)),""))))</f>
        <v/>
      </c>
      <c r="G392" s="69" t="str">
        <f aca="false">IF($C392="","",IFERROR(INDEX(商品マスタ!$F$6:$F$1005,MATCH($C392,商品マスタ!$B$6:$B$1005,0)),IFERROR(INDEX(①今日の在庫を貼る!$K$6:$K$10005,MATCH($C392,①今日の在庫を貼る!$I$6:$I$10005,0)),IFERROR(INDEX(月1回_前回の在庫を貼る!$K$6:$K$10005,MATCH($C392,月1回_前回の在庫を貼る!$I$6:$I$10005,0)),""))))</f>
        <v/>
      </c>
      <c r="H392" s="71" t="str">
        <f aca="false">IF($C392="","",IFERROR(INDEX(商品マスタ!$G$6:$G$1005,MATCH($C392,商品マスタ!$B$6:$B$1005,0)),IFERROR(INDEX(①今日の在庫を貼る!$Q$6:$Q$10005,MATCH($C392,①今日の在庫を貼る!$I$6:$I$10005,0)),IFERROR(INDEX(月1回_前回の在庫を貼る!$Q$6:$Q$10005,MATCH($C392,月1回_前回の在庫を貼る!$I$6:$I$10005,0)),""))))</f>
        <v/>
      </c>
      <c r="I392" s="66" t="str">
        <f aca="false">IF($C392="","",IFERROR(INDEX(商品マスタ!$H$6:$H$1005,MATCH($C392,商品マスタ!$B$6:$B$1005,0)),3))</f>
        <v/>
      </c>
      <c r="J392" s="66" t="str">
        <f aca="false">IF($C392="","",MAX(1,IFERROR(INDEX(商品マスタ!$I$6:$I$1005,MATCH($C392,商品マスタ!$B$6:$B$1005,0)),1)))</f>
        <v/>
      </c>
      <c r="K392" s="69" t="str">
        <f aca="false">IF($C392="","",SUMIFS(①今日の在庫を貼る!$N$6:$N$10005,①今日の在庫を貼る!$B$6:$B$10005,'設定（最初に1回）'!$C$4,①今日の在庫を貼る!$I$6:$I$10005,$C392))</f>
        <v/>
      </c>
      <c r="L392" s="69" t="str">
        <f aca="false">IF($C392="","",SUMIFS(月1回_前回の在庫を貼る!$N$6:$N$10005,月1回_前回の在庫を貼る!$B$6:$B$10005,'設定（最初に1回）'!$C$4,月1回_前回の在庫を貼る!$I$6:$I$10005,$C392))</f>
        <v/>
      </c>
      <c r="M392" s="69" t="str">
        <f aca="false">IF($C392="","",IF(OR('設定（最初に1回）'!$C$6="",'設定（最初に1回）'!$C$7=""),0,SUMIFS(発注管理!$S$6:$S$1005,発注管理!$C$6:$C$1005,'設定（最初に1回）'!$C$4,発注管理!$F$6:$F$1005,$C392,発注管理!$R$6:$R$1005,"&gt;="&amp;'設定（最初に1回）'!$C$7,発注管理!$R$6:$R$1005,"&lt;="&amp;'設定（最初に1回）'!$C$6)))</f>
        <v/>
      </c>
      <c r="N392" s="69" t="str">
        <f aca="false">IF(OR($C392="",'設定（最初に1回）'!$C$15=0),"",$L392+$M392-$K392)</f>
        <v/>
      </c>
      <c r="O392" s="143" t="str">
        <f aca="false">IF(OR($N392="",'設定（最初に1回）'!$C$8="",'設定（最初に1回）'!$C$8&lt;=0),"",MAX(0,$N392)/'設定（最初に1回）'!$C$8)</f>
        <v/>
      </c>
      <c r="P392" s="143" t="str">
        <f aca="false">IF($C392="","",IFERROR(INDEX(商品マスタ!$M$6:$N$1005,MATCH($C392,商品マスタ!$B$6:$B$1005,0),MATCH("PI値 "&amp;'設定（最初に1回）'!$C$11,商品マスタ!$M$5:$N$5,0)),""))</f>
        <v/>
      </c>
      <c r="Q392" s="143" t="str">
        <f aca="false">IF(OR($C392="",$P392="",$P392=0,(N($I392)+N($AG392))&lt;=0),"",IFERROR(SUMIFS(随時_動員を入れる!$G$8:$G$97,随時_動員を入れる!$B$8:$B$97,"&gt;="&amp;'設定（最初に1回）'!$C$6,随時_動員を入れる!$B$8:$B$97,"&lt;="&amp;'設定（最初に1回）'!$C$6+(N($I392)+N($AG392))-1)/(N($I392)+N($AG392)),0)*$P392/100)</f>
        <v/>
      </c>
      <c r="R392" s="69" t="str">
        <f aca="false">IF($C392="","",SUMIFS(①今日の在庫を貼る!$O$6:$O$10005,①今日の在庫を貼る!$B$6:$B$10005,'設定（最初に1回）'!$C$4,①今日の在庫を貼る!$I$6:$I$10005,$C392))</f>
        <v/>
      </c>
      <c r="S392" s="143" t="str">
        <f aca="false">IF($C392="","",IF('設定（最初に1回）'!$C$9="実績消費",N($O392),IF('設定（最初に1回）'!$C$9="PI値予測",N($Q392),MAX(N($O392),N($Q392)))))</f>
        <v/>
      </c>
      <c r="T392" s="67" t="str">
        <f aca="false">IF(OR($S392="",$S392&lt;=0),"",$K392/$S392)</f>
        <v/>
      </c>
      <c r="U392" s="69" t="str">
        <f aca="false">IF($S392="","",ROUNDUP(N($S392)*'設定（最初に1回）'!$C$12,0))</f>
        <v/>
      </c>
      <c r="V392" s="69" t="str">
        <f aca="false">IF($C392="","",ROUNDUP(N($S392)*(N($I392)+N($AG392))+N($U392),0))</f>
        <v/>
      </c>
      <c r="W392" s="69" t="str">
        <f aca="false">IF($C392="","",SUMIFS(発注管理!$L$6:$L$1005,発注管理!$C$6:$C$1005,'設定（最初に1回）'!$C$4,発注管理!$F$6:$F$1005,$C392,発注管理!$Q$6:$Q$1005,"発注済"))</f>
        <v/>
      </c>
      <c r="X392" s="69" t="str">
        <f aca="false">IF($C392="","",MAX(0,N($V392)-N($K392)-N($W392)))</f>
        <v/>
      </c>
      <c r="Y392" s="147" t="str">
        <f aca="false">IF($C392="","",IF(N($X392)&lt;=0,0,CEILING($X392/MAX(1,N($G392)),MAX(1,N($J392)))))</f>
        <v/>
      </c>
      <c r="Z392" s="138" t="str">
        <f aca="false">IF($C392="","",IF(N($Y392)&gt;0,"要発注","正常"))</f>
        <v/>
      </c>
      <c r="AA392" s="71" t="str">
        <f aca="false">IF($C392="","",N($K392)*N($H392))</f>
        <v/>
      </c>
      <c r="AB392" s="66" t="str">
        <f aca="false">IF($C392="","",_xlfn.TEXTJOIN(" / ",TRUE(),IF(COUNTIF(商品マスタ!$B$6:$B$1005,$C392)=0,"マスタ未登録",""),IF(COUNTIFS(月1回_前回の在庫を貼る!$B$6:$B$10005,'設定（最初に1回）'!$C$4,月1回_前回の在庫を貼る!$I$6:$I$10005,$C392)=0,"新商品",""),IF(COUNTIFS(①今日の在庫を貼る!$B$6:$B$10005,'設定（最初に1回）'!$C$4,①今日の在庫を貼る!$I$6:$I$10005,$C392)=0,"終売候補",""),IF(N($K392)&lt;0,"在庫マイナス",""),IF(AND('設定（最初に1回）'!$C$9="PI値予測",$P392=""),"PI値未設定","")))</f>
        <v/>
      </c>
      <c r="AC392" s="71" t="n">
        <f aca="false">N($Y392)*N($H392)</f>
        <v>0</v>
      </c>
      <c r="AD392" s="66" t="str">
        <f aca="false">IF($C392="","",IFERROR(INDEX(商品マスタ!$K$6:$K$1005,MATCH($C392,商品マスタ!$B$6:$B$1005,0)),"常温"))</f>
        <v/>
      </c>
      <c r="AE392" s="69" t="str">
        <f aca="false">IF($C392="","",MAX(0,ROUNDUP(N($K392)/MAX(1,N($G392)),0)))</f>
        <v/>
      </c>
      <c r="AF392" s="66" t="str">
        <f aca="false">IF($C392="","",IFERROR(INDEX(商品マスタ!$L$6:$L$1005,MATCH($C392,商品マスタ!$B$6:$B$1005,0)),""))</f>
        <v/>
      </c>
      <c r="AG392" s="143" t="str">
        <f aca="false">IF($C392="","",IFERROR(INDEX(定数マスタ!$S$110:$S$119,MATCH($AF392,定数マスタ!$J$110:$J$119,0)),N('設定（最初に1回）'!$C$13)))</f>
        <v/>
      </c>
      <c r="AH392" s="66" t="n">
        <f aca="false">IF(AND(N($K392)&gt;0,N($Y392)&gt;0),N($Y392),0)</f>
        <v>0</v>
      </c>
    </row>
    <row r="393" customFormat="false" ht="15" hidden="false" customHeight="false" outlineLevel="0" collapsed="false">
      <c r="B393" s="66" t="n">
        <v>388</v>
      </c>
      <c r="C393" s="66" t="str">
        <f aca="false">IFERROR(IF($B393&lt;=MAX(①今日の在庫を貼る!$U$6:$U$10005),INDEX(①今日の在庫を貼る!$I$6:$I$10005,MATCH($B393,①今日の在庫を貼る!$U$6:$U$10005,0)),INDEX(月1回_前回の在庫を貼る!$I$6:$I$10005,MATCH($B393-MAX(①今日の在庫を貼る!$U$6:$U$10005),月1回_前回の在庫を貼る!$U$6:$U$10005,0))),"")</f>
        <v/>
      </c>
      <c r="D393" s="66" t="str">
        <f aca="false">IF($C393="","",IFERROR(INDEX(商品マスタ!$C$6:$C$1005,MATCH($C393,商品マスタ!$B$6:$B$1005,0)),IFERROR(INDEX(①今日の在庫を貼る!$J$6:$J$10005,MATCH($C393,①今日の在庫を貼る!$I$6:$I$10005,0)),IFERROR(INDEX(月1回_前回の在庫を貼る!$J$6:$J$10005,MATCH($C393,月1回_前回の在庫を貼る!$I$6:$I$10005,0)),""))))</f>
        <v/>
      </c>
      <c r="E393" s="66" t="str">
        <f aca="false">IF($C393="","",IFERROR(INDEX(商品マスタ!$D$6:$D$1005,MATCH($C393,商品マスタ!$B$6:$B$1005,0)),IFERROR(INDEX(①今日の在庫を貼る!$H$6:$H$10005,MATCH($C393,①今日の在庫を貼る!$I$6:$I$10005,0)),IFERROR(INDEX(月1回_前回の在庫を貼る!$H$6:$H$10005,MATCH($C393,月1回_前回の在庫を貼る!$I$6:$I$10005,0)),""))))</f>
        <v/>
      </c>
      <c r="F393" s="66" t="str">
        <f aca="false">IF($C393="","",IFERROR(INDEX(商品マスタ!$E$6:$E$1005,MATCH($C393,商品マスタ!$B$6:$B$1005,0)),IFERROR(INDEX(①今日の在庫を貼る!$E$6:$E$10005,MATCH($C393,①今日の在庫を貼る!$I$6:$I$10005,0)),IFERROR(INDEX(月1回_前回の在庫を貼る!$E$6:$E$10005,MATCH($C393,月1回_前回の在庫を貼る!$I$6:$I$10005,0)),""))))</f>
        <v/>
      </c>
      <c r="G393" s="69" t="str">
        <f aca="false">IF($C393="","",IFERROR(INDEX(商品マスタ!$F$6:$F$1005,MATCH($C393,商品マスタ!$B$6:$B$1005,0)),IFERROR(INDEX(①今日の在庫を貼る!$K$6:$K$10005,MATCH($C393,①今日の在庫を貼る!$I$6:$I$10005,0)),IFERROR(INDEX(月1回_前回の在庫を貼る!$K$6:$K$10005,MATCH($C393,月1回_前回の在庫を貼る!$I$6:$I$10005,0)),""))))</f>
        <v/>
      </c>
      <c r="H393" s="71" t="str">
        <f aca="false">IF($C393="","",IFERROR(INDEX(商品マスタ!$G$6:$G$1005,MATCH($C393,商品マスタ!$B$6:$B$1005,0)),IFERROR(INDEX(①今日の在庫を貼る!$Q$6:$Q$10005,MATCH($C393,①今日の在庫を貼る!$I$6:$I$10005,0)),IFERROR(INDEX(月1回_前回の在庫を貼る!$Q$6:$Q$10005,MATCH($C393,月1回_前回の在庫を貼る!$I$6:$I$10005,0)),""))))</f>
        <v/>
      </c>
      <c r="I393" s="66" t="str">
        <f aca="false">IF($C393="","",IFERROR(INDEX(商品マスタ!$H$6:$H$1005,MATCH($C393,商品マスタ!$B$6:$B$1005,0)),3))</f>
        <v/>
      </c>
      <c r="J393" s="66" t="str">
        <f aca="false">IF($C393="","",MAX(1,IFERROR(INDEX(商品マスタ!$I$6:$I$1005,MATCH($C393,商品マスタ!$B$6:$B$1005,0)),1)))</f>
        <v/>
      </c>
      <c r="K393" s="69" t="str">
        <f aca="false">IF($C393="","",SUMIFS(①今日の在庫を貼る!$N$6:$N$10005,①今日の在庫を貼る!$B$6:$B$10005,'設定（最初に1回）'!$C$4,①今日の在庫を貼る!$I$6:$I$10005,$C393))</f>
        <v/>
      </c>
      <c r="L393" s="69" t="str">
        <f aca="false">IF($C393="","",SUMIFS(月1回_前回の在庫を貼る!$N$6:$N$10005,月1回_前回の在庫を貼る!$B$6:$B$10005,'設定（最初に1回）'!$C$4,月1回_前回の在庫を貼る!$I$6:$I$10005,$C393))</f>
        <v/>
      </c>
      <c r="M393" s="69" t="str">
        <f aca="false">IF($C393="","",IF(OR('設定（最初に1回）'!$C$6="",'設定（最初に1回）'!$C$7=""),0,SUMIFS(発注管理!$S$6:$S$1005,発注管理!$C$6:$C$1005,'設定（最初に1回）'!$C$4,発注管理!$F$6:$F$1005,$C393,発注管理!$R$6:$R$1005,"&gt;="&amp;'設定（最初に1回）'!$C$7,発注管理!$R$6:$R$1005,"&lt;="&amp;'設定（最初に1回）'!$C$6)))</f>
        <v/>
      </c>
      <c r="N393" s="69" t="str">
        <f aca="false">IF(OR($C393="",'設定（最初に1回）'!$C$15=0),"",$L393+$M393-$K393)</f>
        <v/>
      </c>
      <c r="O393" s="143" t="str">
        <f aca="false">IF(OR($N393="",'設定（最初に1回）'!$C$8="",'設定（最初に1回）'!$C$8&lt;=0),"",MAX(0,$N393)/'設定（最初に1回）'!$C$8)</f>
        <v/>
      </c>
      <c r="P393" s="143" t="str">
        <f aca="false">IF($C393="","",IFERROR(INDEX(商品マスタ!$M$6:$N$1005,MATCH($C393,商品マスタ!$B$6:$B$1005,0),MATCH("PI値 "&amp;'設定（最初に1回）'!$C$11,商品マスタ!$M$5:$N$5,0)),""))</f>
        <v/>
      </c>
      <c r="Q393" s="143" t="str">
        <f aca="false">IF(OR($C393="",$P393="",$P393=0,(N($I393)+N($AG393))&lt;=0),"",IFERROR(SUMIFS(随時_動員を入れる!$G$8:$G$97,随時_動員を入れる!$B$8:$B$97,"&gt;="&amp;'設定（最初に1回）'!$C$6,随時_動員を入れる!$B$8:$B$97,"&lt;="&amp;'設定（最初に1回）'!$C$6+(N($I393)+N($AG393))-1)/(N($I393)+N($AG393)),0)*$P393/100)</f>
        <v/>
      </c>
      <c r="R393" s="69" t="str">
        <f aca="false">IF($C393="","",SUMIFS(①今日の在庫を貼る!$O$6:$O$10005,①今日の在庫を貼る!$B$6:$B$10005,'設定（最初に1回）'!$C$4,①今日の在庫を貼る!$I$6:$I$10005,$C393))</f>
        <v/>
      </c>
      <c r="S393" s="143" t="str">
        <f aca="false">IF($C393="","",IF('設定（最初に1回）'!$C$9="実績消費",N($O393),IF('設定（最初に1回）'!$C$9="PI値予測",N($Q393),MAX(N($O393),N($Q393)))))</f>
        <v/>
      </c>
      <c r="T393" s="67" t="str">
        <f aca="false">IF(OR($S393="",$S393&lt;=0),"",$K393/$S393)</f>
        <v/>
      </c>
      <c r="U393" s="69" t="str">
        <f aca="false">IF($S393="","",ROUNDUP(N($S393)*'設定（最初に1回）'!$C$12,0))</f>
        <v/>
      </c>
      <c r="V393" s="69" t="str">
        <f aca="false">IF($C393="","",ROUNDUP(N($S393)*(N($I393)+N($AG393))+N($U393),0))</f>
        <v/>
      </c>
      <c r="W393" s="69" t="str">
        <f aca="false">IF($C393="","",SUMIFS(発注管理!$L$6:$L$1005,発注管理!$C$6:$C$1005,'設定（最初に1回）'!$C$4,発注管理!$F$6:$F$1005,$C393,発注管理!$Q$6:$Q$1005,"発注済"))</f>
        <v/>
      </c>
      <c r="X393" s="69" t="str">
        <f aca="false">IF($C393="","",MAX(0,N($V393)-N($K393)-N($W393)))</f>
        <v/>
      </c>
      <c r="Y393" s="147" t="str">
        <f aca="false">IF($C393="","",IF(N($X393)&lt;=0,0,CEILING($X393/MAX(1,N($G393)),MAX(1,N($J393)))))</f>
        <v/>
      </c>
      <c r="Z393" s="138" t="str">
        <f aca="false">IF($C393="","",IF(N($Y393)&gt;0,"要発注","正常"))</f>
        <v/>
      </c>
      <c r="AA393" s="71" t="str">
        <f aca="false">IF($C393="","",N($K393)*N($H393))</f>
        <v/>
      </c>
      <c r="AB393" s="66" t="str">
        <f aca="false">IF($C393="","",_xlfn.TEXTJOIN(" / ",TRUE(),IF(COUNTIF(商品マスタ!$B$6:$B$1005,$C393)=0,"マスタ未登録",""),IF(COUNTIFS(月1回_前回の在庫を貼る!$B$6:$B$10005,'設定（最初に1回）'!$C$4,月1回_前回の在庫を貼る!$I$6:$I$10005,$C393)=0,"新商品",""),IF(COUNTIFS(①今日の在庫を貼る!$B$6:$B$10005,'設定（最初に1回）'!$C$4,①今日の在庫を貼る!$I$6:$I$10005,$C393)=0,"終売候補",""),IF(N($K393)&lt;0,"在庫マイナス",""),IF(AND('設定（最初に1回）'!$C$9="PI値予測",$P393=""),"PI値未設定","")))</f>
        <v/>
      </c>
      <c r="AC393" s="71" t="n">
        <f aca="false">N($Y393)*N($H393)</f>
        <v>0</v>
      </c>
      <c r="AD393" s="66" t="str">
        <f aca="false">IF($C393="","",IFERROR(INDEX(商品マスタ!$K$6:$K$1005,MATCH($C393,商品マスタ!$B$6:$B$1005,0)),"常温"))</f>
        <v/>
      </c>
      <c r="AE393" s="69" t="str">
        <f aca="false">IF($C393="","",MAX(0,ROUNDUP(N($K393)/MAX(1,N($G393)),0)))</f>
        <v/>
      </c>
      <c r="AF393" s="66" t="str">
        <f aca="false">IF($C393="","",IFERROR(INDEX(商品マスタ!$L$6:$L$1005,MATCH($C393,商品マスタ!$B$6:$B$1005,0)),""))</f>
        <v/>
      </c>
      <c r="AG393" s="143" t="str">
        <f aca="false">IF($C393="","",IFERROR(INDEX(定数マスタ!$S$110:$S$119,MATCH($AF393,定数マスタ!$J$110:$J$119,0)),N('設定（最初に1回）'!$C$13)))</f>
        <v/>
      </c>
      <c r="AH393" s="66" t="n">
        <f aca="false">IF(AND(N($K393)&gt;0,N($Y393)&gt;0),N($Y393),0)</f>
        <v>0</v>
      </c>
    </row>
    <row r="394" customFormat="false" ht="15" hidden="false" customHeight="false" outlineLevel="0" collapsed="false">
      <c r="B394" s="66" t="n">
        <v>389</v>
      </c>
      <c r="C394" s="66" t="str">
        <f aca="false">IFERROR(IF($B394&lt;=MAX(①今日の在庫を貼る!$U$6:$U$10005),INDEX(①今日の在庫を貼る!$I$6:$I$10005,MATCH($B394,①今日の在庫を貼る!$U$6:$U$10005,0)),INDEX(月1回_前回の在庫を貼る!$I$6:$I$10005,MATCH($B394-MAX(①今日の在庫を貼る!$U$6:$U$10005),月1回_前回の在庫を貼る!$U$6:$U$10005,0))),"")</f>
        <v/>
      </c>
      <c r="D394" s="66" t="str">
        <f aca="false">IF($C394="","",IFERROR(INDEX(商品マスタ!$C$6:$C$1005,MATCH($C394,商品マスタ!$B$6:$B$1005,0)),IFERROR(INDEX(①今日の在庫を貼る!$J$6:$J$10005,MATCH($C394,①今日の在庫を貼る!$I$6:$I$10005,0)),IFERROR(INDEX(月1回_前回の在庫を貼る!$J$6:$J$10005,MATCH($C394,月1回_前回の在庫を貼る!$I$6:$I$10005,0)),""))))</f>
        <v/>
      </c>
      <c r="E394" s="66" t="str">
        <f aca="false">IF($C394="","",IFERROR(INDEX(商品マスタ!$D$6:$D$1005,MATCH($C394,商品マスタ!$B$6:$B$1005,0)),IFERROR(INDEX(①今日の在庫を貼る!$H$6:$H$10005,MATCH($C394,①今日の在庫を貼る!$I$6:$I$10005,0)),IFERROR(INDEX(月1回_前回の在庫を貼る!$H$6:$H$10005,MATCH($C394,月1回_前回の在庫を貼る!$I$6:$I$10005,0)),""))))</f>
        <v/>
      </c>
      <c r="F394" s="66" t="str">
        <f aca="false">IF($C394="","",IFERROR(INDEX(商品マスタ!$E$6:$E$1005,MATCH($C394,商品マスタ!$B$6:$B$1005,0)),IFERROR(INDEX(①今日の在庫を貼る!$E$6:$E$10005,MATCH($C394,①今日の在庫を貼る!$I$6:$I$10005,0)),IFERROR(INDEX(月1回_前回の在庫を貼る!$E$6:$E$10005,MATCH($C394,月1回_前回の在庫を貼る!$I$6:$I$10005,0)),""))))</f>
        <v/>
      </c>
      <c r="G394" s="69" t="str">
        <f aca="false">IF($C394="","",IFERROR(INDEX(商品マスタ!$F$6:$F$1005,MATCH($C394,商品マスタ!$B$6:$B$1005,0)),IFERROR(INDEX(①今日の在庫を貼る!$K$6:$K$10005,MATCH($C394,①今日の在庫を貼る!$I$6:$I$10005,0)),IFERROR(INDEX(月1回_前回の在庫を貼る!$K$6:$K$10005,MATCH($C394,月1回_前回の在庫を貼る!$I$6:$I$10005,0)),""))))</f>
        <v/>
      </c>
      <c r="H394" s="71" t="str">
        <f aca="false">IF($C394="","",IFERROR(INDEX(商品マスタ!$G$6:$G$1005,MATCH($C394,商品マスタ!$B$6:$B$1005,0)),IFERROR(INDEX(①今日の在庫を貼る!$Q$6:$Q$10005,MATCH($C394,①今日の在庫を貼る!$I$6:$I$10005,0)),IFERROR(INDEX(月1回_前回の在庫を貼る!$Q$6:$Q$10005,MATCH($C394,月1回_前回の在庫を貼る!$I$6:$I$10005,0)),""))))</f>
        <v/>
      </c>
      <c r="I394" s="66" t="str">
        <f aca="false">IF($C394="","",IFERROR(INDEX(商品マスタ!$H$6:$H$1005,MATCH($C394,商品マスタ!$B$6:$B$1005,0)),3))</f>
        <v/>
      </c>
      <c r="J394" s="66" t="str">
        <f aca="false">IF($C394="","",MAX(1,IFERROR(INDEX(商品マスタ!$I$6:$I$1005,MATCH($C394,商品マスタ!$B$6:$B$1005,0)),1)))</f>
        <v/>
      </c>
      <c r="K394" s="69" t="str">
        <f aca="false">IF($C394="","",SUMIFS(①今日の在庫を貼る!$N$6:$N$10005,①今日の在庫を貼る!$B$6:$B$10005,'設定（最初に1回）'!$C$4,①今日の在庫を貼る!$I$6:$I$10005,$C394))</f>
        <v/>
      </c>
      <c r="L394" s="69" t="str">
        <f aca="false">IF($C394="","",SUMIFS(月1回_前回の在庫を貼る!$N$6:$N$10005,月1回_前回の在庫を貼る!$B$6:$B$10005,'設定（最初に1回）'!$C$4,月1回_前回の在庫を貼る!$I$6:$I$10005,$C394))</f>
        <v/>
      </c>
      <c r="M394" s="69" t="str">
        <f aca="false">IF($C394="","",IF(OR('設定（最初に1回）'!$C$6="",'設定（最初に1回）'!$C$7=""),0,SUMIFS(発注管理!$S$6:$S$1005,発注管理!$C$6:$C$1005,'設定（最初に1回）'!$C$4,発注管理!$F$6:$F$1005,$C394,発注管理!$R$6:$R$1005,"&gt;="&amp;'設定（最初に1回）'!$C$7,発注管理!$R$6:$R$1005,"&lt;="&amp;'設定（最初に1回）'!$C$6)))</f>
        <v/>
      </c>
      <c r="N394" s="69" t="str">
        <f aca="false">IF(OR($C394="",'設定（最初に1回）'!$C$15=0),"",$L394+$M394-$K394)</f>
        <v/>
      </c>
      <c r="O394" s="143" t="str">
        <f aca="false">IF(OR($N394="",'設定（最初に1回）'!$C$8="",'設定（最初に1回）'!$C$8&lt;=0),"",MAX(0,$N394)/'設定（最初に1回）'!$C$8)</f>
        <v/>
      </c>
      <c r="P394" s="143" t="str">
        <f aca="false">IF($C394="","",IFERROR(INDEX(商品マスタ!$M$6:$N$1005,MATCH($C394,商品マスタ!$B$6:$B$1005,0),MATCH("PI値 "&amp;'設定（最初に1回）'!$C$11,商品マスタ!$M$5:$N$5,0)),""))</f>
        <v/>
      </c>
      <c r="Q394" s="143" t="str">
        <f aca="false">IF(OR($C394="",$P394="",$P394=0,(N($I394)+N($AG394))&lt;=0),"",IFERROR(SUMIFS(随時_動員を入れる!$G$8:$G$97,随時_動員を入れる!$B$8:$B$97,"&gt;="&amp;'設定（最初に1回）'!$C$6,随時_動員を入れる!$B$8:$B$97,"&lt;="&amp;'設定（最初に1回）'!$C$6+(N($I394)+N($AG394))-1)/(N($I394)+N($AG394)),0)*$P394/100)</f>
        <v/>
      </c>
      <c r="R394" s="69" t="str">
        <f aca="false">IF($C394="","",SUMIFS(①今日の在庫を貼る!$O$6:$O$10005,①今日の在庫を貼る!$B$6:$B$10005,'設定（最初に1回）'!$C$4,①今日の在庫を貼る!$I$6:$I$10005,$C394))</f>
        <v/>
      </c>
      <c r="S394" s="143" t="str">
        <f aca="false">IF($C394="","",IF('設定（最初に1回）'!$C$9="実績消費",N($O394),IF('設定（最初に1回）'!$C$9="PI値予測",N($Q394),MAX(N($O394),N($Q394)))))</f>
        <v/>
      </c>
      <c r="T394" s="67" t="str">
        <f aca="false">IF(OR($S394="",$S394&lt;=0),"",$K394/$S394)</f>
        <v/>
      </c>
      <c r="U394" s="69" t="str">
        <f aca="false">IF($S394="","",ROUNDUP(N($S394)*'設定（最初に1回）'!$C$12,0))</f>
        <v/>
      </c>
      <c r="V394" s="69" t="str">
        <f aca="false">IF($C394="","",ROUNDUP(N($S394)*(N($I394)+N($AG394))+N($U394),0))</f>
        <v/>
      </c>
      <c r="W394" s="69" t="str">
        <f aca="false">IF($C394="","",SUMIFS(発注管理!$L$6:$L$1005,発注管理!$C$6:$C$1005,'設定（最初に1回）'!$C$4,発注管理!$F$6:$F$1005,$C394,発注管理!$Q$6:$Q$1005,"発注済"))</f>
        <v/>
      </c>
      <c r="X394" s="69" t="str">
        <f aca="false">IF($C394="","",MAX(0,N($V394)-N($K394)-N($W394)))</f>
        <v/>
      </c>
      <c r="Y394" s="147" t="str">
        <f aca="false">IF($C394="","",IF(N($X394)&lt;=0,0,CEILING($X394/MAX(1,N($G394)),MAX(1,N($J394)))))</f>
        <v/>
      </c>
      <c r="Z394" s="138" t="str">
        <f aca="false">IF($C394="","",IF(N($Y394)&gt;0,"要発注","正常"))</f>
        <v/>
      </c>
      <c r="AA394" s="71" t="str">
        <f aca="false">IF($C394="","",N($K394)*N($H394))</f>
        <v/>
      </c>
      <c r="AB394" s="66" t="str">
        <f aca="false">IF($C394="","",_xlfn.TEXTJOIN(" / ",TRUE(),IF(COUNTIF(商品マスタ!$B$6:$B$1005,$C394)=0,"マスタ未登録",""),IF(COUNTIFS(月1回_前回の在庫を貼る!$B$6:$B$10005,'設定（最初に1回）'!$C$4,月1回_前回の在庫を貼る!$I$6:$I$10005,$C394)=0,"新商品",""),IF(COUNTIFS(①今日の在庫を貼る!$B$6:$B$10005,'設定（最初に1回）'!$C$4,①今日の在庫を貼る!$I$6:$I$10005,$C394)=0,"終売候補",""),IF(N($K394)&lt;0,"在庫マイナス",""),IF(AND('設定（最初に1回）'!$C$9="PI値予測",$P394=""),"PI値未設定","")))</f>
        <v/>
      </c>
      <c r="AC394" s="71" t="n">
        <f aca="false">N($Y394)*N($H394)</f>
        <v>0</v>
      </c>
      <c r="AD394" s="66" t="str">
        <f aca="false">IF($C394="","",IFERROR(INDEX(商品マスタ!$K$6:$K$1005,MATCH($C394,商品マスタ!$B$6:$B$1005,0)),"常温"))</f>
        <v/>
      </c>
      <c r="AE394" s="69" t="str">
        <f aca="false">IF($C394="","",MAX(0,ROUNDUP(N($K394)/MAX(1,N($G394)),0)))</f>
        <v/>
      </c>
      <c r="AF394" s="66" t="str">
        <f aca="false">IF($C394="","",IFERROR(INDEX(商品マスタ!$L$6:$L$1005,MATCH($C394,商品マスタ!$B$6:$B$1005,0)),""))</f>
        <v/>
      </c>
      <c r="AG394" s="143" t="str">
        <f aca="false">IF($C394="","",IFERROR(INDEX(定数マスタ!$S$110:$S$119,MATCH($AF394,定数マスタ!$J$110:$J$119,0)),N('設定（最初に1回）'!$C$13)))</f>
        <v/>
      </c>
      <c r="AH394" s="66" t="n">
        <f aca="false">IF(AND(N($K394)&gt;0,N($Y394)&gt;0),N($Y394),0)</f>
        <v>0</v>
      </c>
    </row>
    <row r="395" customFormat="false" ht="15" hidden="false" customHeight="false" outlineLevel="0" collapsed="false">
      <c r="B395" s="66" t="n">
        <v>390</v>
      </c>
      <c r="C395" s="66" t="str">
        <f aca="false">IFERROR(IF($B395&lt;=MAX(①今日の在庫を貼る!$U$6:$U$10005),INDEX(①今日の在庫を貼る!$I$6:$I$10005,MATCH($B395,①今日の在庫を貼る!$U$6:$U$10005,0)),INDEX(月1回_前回の在庫を貼る!$I$6:$I$10005,MATCH($B395-MAX(①今日の在庫を貼る!$U$6:$U$10005),月1回_前回の在庫を貼る!$U$6:$U$10005,0))),"")</f>
        <v/>
      </c>
      <c r="D395" s="66" t="str">
        <f aca="false">IF($C395="","",IFERROR(INDEX(商品マスタ!$C$6:$C$1005,MATCH($C395,商品マスタ!$B$6:$B$1005,0)),IFERROR(INDEX(①今日の在庫を貼る!$J$6:$J$10005,MATCH($C395,①今日の在庫を貼る!$I$6:$I$10005,0)),IFERROR(INDEX(月1回_前回の在庫を貼る!$J$6:$J$10005,MATCH($C395,月1回_前回の在庫を貼る!$I$6:$I$10005,0)),""))))</f>
        <v/>
      </c>
      <c r="E395" s="66" t="str">
        <f aca="false">IF($C395="","",IFERROR(INDEX(商品マスタ!$D$6:$D$1005,MATCH($C395,商品マスタ!$B$6:$B$1005,0)),IFERROR(INDEX(①今日の在庫を貼る!$H$6:$H$10005,MATCH($C395,①今日の在庫を貼る!$I$6:$I$10005,0)),IFERROR(INDEX(月1回_前回の在庫を貼る!$H$6:$H$10005,MATCH($C395,月1回_前回の在庫を貼る!$I$6:$I$10005,0)),""))))</f>
        <v/>
      </c>
      <c r="F395" s="66" t="str">
        <f aca="false">IF($C395="","",IFERROR(INDEX(商品マスタ!$E$6:$E$1005,MATCH($C395,商品マスタ!$B$6:$B$1005,0)),IFERROR(INDEX(①今日の在庫を貼る!$E$6:$E$10005,MATCH($C395,①今日の在庫を貼る!$I$6:$I$10005,0)),IFERROR(INDEX(月1回_前回の在庫を貼る!$E$6:$E$10005,MATCH($C395,月1回_前回の在庫を貼る!$I$6:$I$10005,0)),""))))</f>
        <v/>
      </c>
      <c r="G395" s="69" t="str">
        <f aca="false">IF($C395="","",IFERROR(INDEX(商品マスタ!$F$6:$F$1005,MATCH($C395,商品マスタ!$B$6:$B$1005,0)),IFERROR(INDEX(①今日の在庫を貼る!$K$6:$K$10005,MATCH($C395,①今日の在庫を貼る!$I$6:$I$10005,0)),IFERROR(INDEX(月1回_前回の在庫を貼る!$K$6:$K$10005,MATCH($C395,月1回_前回の在庫を貼る!$I$6:$I$10005,0)),""))))</f>
        <v/>
      </c>
      <c r="H395" s="71" t="str">
        <f aca="false">IF($C395="","",IFERROR(INDEX(商品マスタ!$G$6:$G$1005,MATCH($C395,商品マスタ!$B$6:$B$1005,0)),IFERROR(INDEX(①今日の在庫を貼る!$Q$6:$Q$10005,MATCH($C395,①今日の在庫を貼る!$I$6:$I$10005,0)),IFERROR(INDEX(月1回_前回の在庫を貼る!$Q$6:$Q$10005,MATCH($C395,月1回_前回の在庫を貼る!$I$6:$I$10005,0)),""))))</f>
        <v/>
      </c>
      <c r="I395" s="66" t="str">
        <f aca="false">IF($C395="","",IFERROR(INDEX(商品マスタ!$H$6:$H$1005,MATCH($C395,商品マスタ!$B$6:$B$1005,0)),3))</f>
        <v/>
      </c>
      <c r="J395" s="66" t="str">
        <f aca="false">IF($C395="","",MAX(1,IFERROR(INDEX(商品マスタ!$I$6:$I$1005,MATCH($C395,商品マスタ!$B$6:$B$1005,0)),1)))</f>
        <v/>
      </c>
      <c r="K395" s="69" t="str">
        <f aca="false">IF($C395="","",SUMIFS(①今日の在庫を貼る!$N$6:$N$10005,①今日の在庫を貼る!$B$6:$B$10005,'設定（最初に1回）'!$C$4,①今日の在庫を貼る!$I$6:$I$10005,$C395))</f>
        <v/>
      </c>
      <c r="L395" s="69" t="str">
        <f aca="false">IF($C395="","",SUMIFS(月1回_前回の在庫を貼る!$N$6:$N$10005,月1回_前回の在庫を貼る!$B$6:$B$10005,'設定（最初に1回）'!$C$4,月1回_前回の在庫を貼る!$I$6:$I$10005,$C395))</f>
        <v/>
      </c>
      <c r="M395" s="69" t="str">
        <f aca="false">IF($C395="","",IF(OR('設定（最初に1回）'!$C$6="",'設定（最初に1回）'!$C$7=""),0,SUMIFS(発注管理!$S$6:$S$1005,発注管理!$C$6:$C$1005,'設定（最初に1回）'!$C$4,発注管理!$F$6:$F$1005,$C395,発注管理!$R$6:$R$1005,"&gt;="&amp;'設定（最初に1回）'!$C$7,発注管理!$R$6:$R$1005,"&lt;="&amp;'設定（最初に1回）'!$C$6)))</f>
        <v/>
      </c>
      <c r="N395" s="69" t="str">
        <f aca="false">IF(OR($C395="",'設定（最初に1回）'!$C$15=0),"",$L395+$M395-$K395)</f>
        <v/>
      </c>
      <c r="O395" s="143" t="str">
        <f aca="false">IF(OR($N395="",'設定（最初に1回）'!$C$8="",'設定（最初に1回）'!$C$8&lt;=0),"",MAX(0,$N395)/'設定（最初に1回）'!$C$8)</f>
        <v/>
      </c>
      <c r="P395" s="143" t="str">
        <f aca="false">IF($C395="","",IFERROR(INDEX(商品マスタ!$M$6:$N$1005,MATCH($C395,商品マスタ!$B$6:$B$1005,0),MATCH("PI値 "&amp;'設定（最初に1回）'!$C$11,商品マスタ!$M$5:$N$5,0)),""))</f>
        <v/>
      </c>
      <c r="Q395" s="143" t="str">
        <f aca="false">IF(OR($C395="",$P395="",$P395=0,(N($I395)+N($AG395))&lt;=0),"",IFERROR(SUMIFS(随時_動員を入れる!$G$8:$G$97,随時_動員を入れる!$B$8:$B$97,"&gt;="&amp;'設定（最初に1回）'!$C$6,随時_動員を入れる!$B$8:$B$97,"&lt;="&amp;'設定（最初に1回）'!$C$6+(N($I395)+N($AG395))-1)/(N($I395)+N($AG395)),0)*$P395/100)</f>
        <v/>
      </c>
      <c r="R395" s="69" t="str">
        <f aca="false">IF($C395="","",SUMIFS(①今日の在庫を貼る!$O$6:$O$10005,①今日の在庫を貼る!$B$6:$B$10005,'設定（最初に1回）'!$C$4,①今日の在庫を貼る!$I$6:$I$10005,$C395))</f>
        <v/>
      </c>
      <c r="S395" s="143" t="str">
        <f aca="false">IF($C395="","",IF('設定（最初に1回）'!$C$9="実績消費",N($O395),IF('設定（最初に1回）'!$C$9="PI値予測",N($Q395),MAX(N($O395),N($Q395)))))</f>
        <v/>
      </c>
      <c r="T395" s="67" t="str">
        <f aca="false">IF(OR($S395="",$S395&lt;=0),"",$K395/$S395)</f>
        <v/>
      </c>
      <c r="U395" s="69" t="str">
        <f aca="false">IF($S395="","",ROUNDUP(N($S395)*'設定（最初に1回）'!$C$12,0))</f>
        <v/>
      </c>
      <c r="V395" s="69" t="str">
        <f aca="false">IF($C395="","",ROUNDUP(N($S395)*(N($I395)+N($AG395))+N($U395),0))</f>
        <v/>
      </c>
      <c r="W395" s="69" t="str">
        <f aca="false">IF($C395="","",SUMIFS(発注管理!$L$6:$L$1005,発注管理!$C$6:$C$1005,'設定（最初に1回）'!$C$4,発注管理!$F$6:$F$1005,$C395,発注管理!$Q$6:$Q$1005,"発注済"))</f>
        <v/>
      </c>
      <c r="X395" s="69" t="str">
        <f aca="false">IF($C395="","",MAX(0,N($V395)-N($K395)-N($W395)))</f>
        <v/>
      </c>
      <c r="Y395" s="147" t="str">
        <f aca="false">IF($C395="","",IF(N($X395)&lt;=0,0,CEILING($X395/MAX(1,N($G395)),MAX(1,N($J395)))))</f>
        <v/>
      </c>
      <c r="Z395" s="138" t="str">
        <f aca="false">IF($C395="","",IF(N($Y395)&gt;0,"要発注","正常"))</f>
        <v/>
      </c>
      <c r="AA395" s="71" t="str">
        <f aca="false">IF($C395="","",N($K395)*N($H395))</f>
        <v/>
      </c>
      <c r="AB395" s="66" t="str">
        <f aca="false">IF($C395="","",_xlfn.TEXTJOIN(" / ",TRUE(),IF(COUNTIF(商品マスタ!$B$6:$B$1005,$C395)=0,"マスタ未登録",""),IF(COUNTIFS(月1回_前回の在庫を貼る!$B$6:$B$10005,'設定（最初に1回）'!$C$4,月1回_前回の在庫を貼る!$I$6:$I$10005,$C395)=0,"新商品",""),IF(COUNTIFS(①今日の在庫を貼る!$B$6:$B$10005,'設定（最初に1回）'!$C$4,①今日の在庫を貼る!$I$6:$I$10005,$C395)=0,"終売候補",""),IF(N($K395)&lt;0,"在庫マイナス",""),IF(AND('設定（最初に1回）'!$C$9="PI値予測",$P395=""),"PI値未設定","")))</f>
        <v/>
      </c>
      <c r="AC395" s="71" t="n">
        <f aca="false">N($Y395)*N($H395)</f>
        <v>0</v>
      </c>
      <c r="AD395" s="66" t="str">
        <f aca="false">IF($C395="","",IFERROR(INDEX(商品マスタ!$K$6:$K$1005,MATCH($C395,商品マスタ!$B$6:$B$1005,0)),"常温"))</f>
        <v/>
      </c>
      <c r="AE395" s="69" t="str">
        <f aca="false">IF($C395="","",MAX(0,ROUNDUP(N($K395)/MAX(1,N($G395)),0)))</f>
        <v/>
      </c>
      <c r="AF395" s="66" t="str">
        <f aca="false">IF($C395="","",IFERROR(INDEX(商品マスタ!$L$6:$L$1005,MATCH($C395,商品マスタ!$B$6:$B$1005,0)),""))</f>
        <v/>
      </c>
      <c r="AG395" s="143" t="str">
        <f aca="false">IF($C395="","",IFERROR(INDEX(定数マスタ!$S$110:$S$119,MATCH($AF395,定数マスタ!$J$110:$J$119,0)),N('設定（最初に1回）'!$C$13)))</f>
        <v/>
      </c>
      <c r="AH395" s="66" t="n">
        <f aca="false">IF(AND(N($K395)&gt;0,N($Y395)&gt;0),N($Y395),0)</f>
        <v>0</v>
      </c>
    </row>
    <row r="396" customFormat="false" ht="15" hidden="false" customHeight="false" outlineLevel="0" collapsed="false">
      <c r="B396" s="66" t="n">
        <v>391</v>
      </c>
      <c r="C396" s="66" t="str">
        <f aca="false">IFERROR(IF($B396&lt;=MAX(①今日の在庫を貼る!$U$6:$U$10005),INDEX(①今日の在庫を貼る!$I$6:$I$10005,MATCH($B396,①今日の在庫を貼る!$U$6:$U$10005,0)),INDEX(月1回_前回の在庫を貼る!$I$6:$I$10005,MATCH($B396-MAX(①今日の在庫を貼る!$U$6:$U$10005),月1回_前回の在庫を貼る!$U$6:$U$10005,0))),"")</f>
        <v/>
      </c>
      <c r="D396" s="66" t="str">
        <f aca="false">IF($C396="","",IFERROR(INDEX(商品マスタ!$C$6:$C$1005,MATCH($C396,商品マスタ!$B$6:$B$1005,0)),IFERROR(INDEX(①今日の在庫を貼る!$J$6:$J$10005,MATCH($C396,①今日の在庫を貼る!$I$6:$I$10005,0)),IFERROR(INDEX(月1回_前回の在庫を貼る!$J$6:$J$10005,MATCH($C396,月1回_前回の在庫を貼る!$I$6:$I$10005,0)),""))))</f>
        <v/>
      </c>
      <c r="E396" s="66" t="str">
        <f aca="false">IF($C396="","",IFERROR(INDEX(商品マスタ!$D$6:$D$1005,MATCH($C396,商品マスタ!$B$6:$B$1005,0)),IFERROR(INDEX(①今日の在庫を貼る!$H$6:$H$10005,MATCH($C396,①今日の在庫を貼る!$I$6:$I$10005,0)),IFERROR(INDEX(月1回_前回の在庫を貼る!$H$6:$H$10005,MATCH($C396,月1回_前回の在庫を貼る!$I$6:$I$10005,0)),""))))</f>
        <v/>
      </c>
      <c r="F396" s="66" t="str">
        <f aca="false">IF($C396="","",IFERROR(INDEX(商品マスタ!$E$6:$E$1005,MATCH($C396,商品マスタ!$B$6:$B$1005,0)),IFERROR(INDEX(①今日の在庫を貼る!$E$6:$E$10005,MATCH($C396,①今日の在庫を貼る!$I$6:$I$10005,0)),IFERROR(INDEX(月1回_前回の在庫を貼る!$E$6:$E$10005,MATCH($C396,月1回_前回の在庫を貼る!$I$6:$I$10005,0)),""))))</f>
        <v/>
      </c>
      <c r="G396" s="69" t="str">
        <f aca="false">IF($C396="","",IFERROR(INDEX(商品マスタ!$F$6:$F$1005,MATCH($C396,商品マスタ!$B$6:$B$1005,0)),IFERROR(INDEX(①今日の在庫を貼る!$K$6:$K$10005,MATCH($C396,①今日の在庫を貼る!$I$6:$I$10005,0)),IFERROR(INDEX(月1回_前回の在庫を貼る!$K$6:$K$10005,MATCH($C396,月1回_前回の在庫を貼る!$I$6:$I$10005,0)),""))))</f>
        <v/>
      </c>
      <c r="H396" s="71" t="str">
        <f aca="false">IF($C396="","",IFERROR(INDEX(商品マスタ!$G$6:$G$1005,MATCH($C396,商品マスタ!$B$6:$B$1005,0)),IFERROR(INDEX(①今日の在庫を貼る!$Q$6:$Q$10005,MATCH($C396,①今日の在庫を貼る!$I$6:$I$10005,0)),IFERROR(INDEX(月1回_前回の在庫を貼る!$Q$6:$Q$10005,MATCH($C396,月1回_前回の在庫を貼る!$I$6:$I$10005,0)),""))))</f>
        <v/>
      </c>
      <c r="I396" s="66" t="str">
        <f aca="false">IF($C396="","",IFERROR(INDEX(商品マスタ!$H$6:$H$1005,MATCH($C396,商品マスタ!$B$6:$B$1005,0)),3))</f>
        <v/>
      </c>
      <c r="J396" s="66" t="str">
        <f aca="false">IF($C396="","",MAX(1,IFERROR(INDEX(商品マスタ!$I$6:$I$1005,MATCH($C396,商品マスタ!$B$6:$B$1005,0)),1)))</f>
        <v/>
      </c>
      <c r="K396" s="69" t="str">
        <f aca="false">IF($C396="","",SUMIFS(①今日の在庫を貼る!$N$6:$N$10005,①今日の在庫を貼る!$B$6:$B$10005,'設定（最初に1回）'!$C$4,①今日の在庫を貼る!$I$6:$I$10005,$C396))</f>
        <v/>
      </c>
      <c r="L396" s="69" t="str">
        <f aca="false">IF($C396="","",SUMIFS(月1回_前回の在庫を貼る!$N$6:$N$10005,月1回_前回の在庫を貼る!$B$6:$B$10005,'設定（最初に1回）'!$C$4,月1回_前回の在庫を貼る!$I$6:$I$10005,$C396))</f>
        <v/>
      </c>
      <c r="M396" s="69" t="str">
        <f aca="false">IF($C396="","",IF(OR('設定（最初に1回）'!$C$6="",'設定（最初に1回）'!$C$7=""),0,SUMIFS(発注管理!$S$6:$S$1005,発注管理!$C$6:$C$1005,'設定（最初に1回）'!$C$4,発注管理!$F$6:$F$1005,$C396,発注管理!$R$6:$R$1005,"&gt;="&amp;'設定（最初に1回）'!$C$7,発注管理!$R$6:$R$1005,"&lt;="&amp;'設定（最初に1回）'!$C$6)))</f>
        <v/>
      </c>
      <c r="N396" s="69" t="str">
        <f aca="false">IF(OR($C396="",'設定（最初に1回）'!$C$15=0),"",$L396+$M396-$K396)</f>
        <v/>
      </c>
      <c r="O396" s="143" t="str">
        <f aca="false">IF(OR($N396="",'設定（最初に1回）'!$C$8="",'設定（最初に1回）'!$C$8&lt;=0),"",MAX(0,$N396)/'設定（最初に1回）'!$C$8)</f>
        <v/>
      </c>
      <c r="P396" s="143" t="str">
        <f aca="false">IF($C396="","",IFERROR(INDEX(商品マスタ!$M$6:$N$1005,MATCH($C396,商品マスタ!$B$6:$B$1005,0),MATCH("PI値 "&amp;'設定（最初に1回）'!$C$11,商品マスタ!$M$5:$N$5,0)),""))</f>
        <v/>
      </c>
      <c r="Q396" s="143" t="str">
        <f aca="false">IF(OR($C396="",$P396="",$P396=0,(N($I396)+N($AG396))&lt;=0),"",IFERROR(SUMIFS(随時_動員を入れる!$G$8:$G$97,随時_動員を入れる!$B$8:$B$97,"&gt;="&amp;'設定（最初に1回）'!$C$6,随時_動員を入れる!$B$8:$B$97,"&lt;="&amp;'設定（最初に1回）'!$C$6+(N($I396)+N($AG396))-1)/(N($I396)+N($AG396)),0)*$P396/100)</f>
        <v/>
      </c>
      <c r="R396" s="69" t="str">
        <f aca="false">IF($C396="","",SUMIFS(①今日の在庫を貼る!$O$6:$O$10005,①今日の在庫を貼る!$B$6:$B$10005,'設定（最初に1回）'!$C$4,①今日の在庫を貼る!$I$6:$I$10005,$C396))</f>
        <v/>
      </c>
      <c r="S396" s="143" t="str">
        <f aca="false">IF($C396="","",IF('設定（最初に1回）'!$C$9="実績消費",N($O396),IF('設定（最初に1回）'!$C$9="PI値予測",N($Q396),MAX(N($O396),N($Q396)))))</f>
        <v/>
      </c>
      <c r="T396" s="67" t="str">
        <f aca="false">IF(OR($S396="",$S396&lt;=0),"",$K396/$S396)</f>
        <v/>
      </c>
      <c r="U396" s="69" t="str">
        <f aca="false">IF($S396="","",ROUNDUP(N($S396)*'設定（最初に1回）'!$C$12,0))</f>
        <v/>
      </c>
      <c r="V396" s="69" t="str">
        <f aca="false">IF($C396="","",ROUNDUP(N($S396)*(N($I396)+N($AG396))+N($U396),0))</f>
        <v/>
      </c>
      <c r="W396" s="69" t="str">
        <f aca="false">IF($C396="","",SUMIFS(発注管理!$L$6:$L$1005,発注管理!$C$6:$C$1005,'設定（最初に1回）'!$C$4,発注管理!$F$6:$F$1005,$C396,発注管理!$Q$6:$Q$1005,"発注済"))</f>
        <v/>
      </c>
      <c r="X396" s="69" t="str">
        <f aca="false">IF($C396="","",MAX(0,N($V396)-N($K396)-N($W396)))</f>
        <v/>
      </c>
      <c r="Y396" s="147" t="str">
        <f aca="false">IF($C396="","",IF(N($X396)&lt;=0,0,CEILING($X396/MAX(1,N($G396)),MAX(1,N($J396)))))</f>
        <v/>
      </c>
      <c r="Z396" s="138" t="str">
        <f aca="false">IF($C396="","",IF(N($Y396)&gt;0,"要発注","正常"))</f>
        <v/>
      </c>
      <c r="AA396" s="71" t="str">
        <f aca="false">IF($C396="","",N($K396)*N($H396))</f>
        <v/>
      </c>
      <c r="AB396" s="66" t="str">
        <f aca="false">IF($C396="","",_xlfn.TEXTJOIN(" / ",TRUE(),IF(COUNTIF(商品マスタ!$B$6:$B$1005,$C396)=0,"マスタ未登録",""),IF(COUNTIFS(月1回_前回の在庫を貼る!$B$6:$B$10005,'設定（最初に1回）'!$C$4,月1回_前回の在庫を貼る!$I$6:$I$10005,$C396)=0,"新商品",""),IF(COUNTIFS(①今日の在庫を貼る!$B$6:$B$10005,'設定（最初に1回）'!$C$4,①今日の在庫を貼る!$I$6:$I$10005,$C396)=0,"終売候補",""),IF(N($K396)&lt;0,"在庫マイナス",""),IF(AND('設定（最初に1回）'!$C$9="PI値予測",$P396=""),"PI値未設定","")))</f>
        <v/>
      </c>
      <c r="AC396" s="71" t="n">
        <f aca="false">N($Y396)*N($H396)</f>
        <v>0</v>
      </c>
      <c r="AD396" s="66" t="str">
        <f aca="false">IF($C396="","",IFERROR(INDEX(商品マスタ!$K$6:$K$1005,MATCH($C396,商品マスタ!$B$6:$B$1005,0)),"常温"))</f>
        <v/>
      </c>
      <c r="AE396" s="69" t="str">
        <f aca="false">IF($C396="","",MAX(0,ROUNDUP(N($K396)/MAX(1,N($G396)),0)))</f>
        <v/>
      </c>
      <c r="AF396" s="66" t="str">
        <f aca="false">IF($C396="","",IFERROR(INDEX(商品マスタ!$L$6:$L$1005,MATCH($C396,商品マスタ!$B$6:$B$1005,0)),""))</f>
        <v/>
      </c>
      <c r="AG396" s="143" t="str">
        <f aca="false">IF($C396="","",IFERROR(INDEX(定数マスタ!$S$110:$S$119,MATCH($AF396,定数マスタ!$J$110:$J$119,0)),N('設定（最初に1回）'!$C$13)))</f>
        <v/>
      </c>
      <c r="AH396" s="66" t="n">
        <f aca="false">IF(AND(N($K396)&gt;0,N($Y396)&gt;0),N($Y396),0)</f>
        <v>0</v>
      </c>
    </row>
    <row r="397" customFormat="false" ht="15" hidden="false" customHeight="false" outlineLevel="0" collapsed="false">
      <c r="B397" s="66" t="n">
        <v>392</v>
      </c>
      <c r="C397" s="66" t="str">
        <f aca="false">IFERROR(IF($B397&lt;=MAX(①今日の在庫を貼る!$U$6:$U$10005),INDEX(①今日の在庫を貼る!$I$6:$I$10005,MATCH($B397,①今日の在庫を貼る!$U$6:$U$10005,0)),INDEX(月1回_前回の在庫を貼る!$I$6:$I$10005,MATCH($B397-MAX(①今日の在庫を貼る!$U$6:$U$10005),月1回_前回の在庫を貼る!$U$6:$U$10005,0))),"")</f>
        <v/>
      </c>
      <c r="D397" s="66" t="str">
        <f aca="false">IF($C397="","",IFERROR(INDEX(商品マスタ!$C$6:$C$1005,MATCH($C397,商品マスタ!$B$6:$B$1005,0)),IFERROR(INDEX(①今日の在庫を貼る!$J$6:$J$10005,MATCH($C397,①今日の在庫を貼る!$I$6:$I$10005,0)),IFERROR(INDEX(月1回_前回の在庫を貼る!$J$6:$J$10005,MATCH($C397,月1回_前回の在庫を貼る!$I$6:$I$10005,0)),""))))</f>
        <v/>
      </c>
      <c r="E397" s="66" t="str">
        <f aca="false">IF($C397="","",IFERROR(INDEX(商品マスタ!$D$6:$D$1005,MATCH($C397,商品マスタ!$B$6:$B$1005,0)),IFERROR(INDEX(①今日の在庫を貼る!$H$6:$H$10005,MATCH($C397,①今日の在庫を貼る!$I$6:$I$10005,0)),IFERROR(INDEX(月1回_前回の在庫を貼る!$H$6:$H$10005,MATCH($C397,月1回_前回の在庫を貼る!$I$6:$I$10005,0)),""))))</f>
        <v/>
      </c>
      <c r="F397" s="66" t="str">
        <f aca="false">IF($C397="","",IFERROR(INDEX(商品マスタ!$E$6:$E$1005,MATCH($C397,商品マスタ!$B$6:$B$1005,0)),IFERROR(INDEX(①今日の在庫を貼る!$E$6:$E$10005,MATCH($C397,①今日の在庫を貼る!$I$6:$I$10005,0)),IFERROR(INDEX(月1回_前回の在庫を貼る!$E$6:$E$10005,MATCH($C397,月1回_前回の在庫を貼る!$I$6:$I$10005,0)),""))))</f>
        <v/>
      </c>
      <c r="G397" s="69" t="str">
        <f aca="false">IF($C397="","",IFERROR(INDEX(商品マスタ!$F$6:$F$1005,MATCH($C397,商品マスタ!$B$6:$B$1005,0)),IFERROR(INDEX(①今日の在庫を貼る!$K$6:$K$10005,MATCH($C397,①今日の在庫を貼る!$I$6:$I$10005,0)),IFERROR(INDEX(月1回_前回の在庫を貼る!$K$6:$K$10005,MATCH($C397,月1回_前回の在庫を貼る!$I$6:$I$10005,0)),""))))</f>
        <v/>
      </c>
      <c r="H397" s="71" t="str">
        <f aca="false">IF($C397="","",IFERROR(INDEX(商品マスタ!$G$6:$G$1005,MATCH($C397,商品マスタ!$B$6:$B$1005,0)),IFERROR(INDEX(①今日の在庫を貼る!$Q$6:$Q$10005,MATCH($C397,①今日の在庫を貼る!$I$6:$I$10005,0)),IFERROR(INDEX(月1回_前回の在庫を貼る!$Q$6:$Q$10005,MATCH($C397,月1回_前回の在庫を貼る!$I$6:$I$10005,0)),""))))</f>
        <v/>
      </c>
      <c r="I397" s="66" t="str">
        <f aca="false">IF($C397="","",IFERROR(INDEX(商品マスタ!$H$6:$H$1005,MATCH($C397,商品マスタ!$B$6:$B$1005,0)),3))</f>
        <v/>
      </c>
      <c r="J397" s="66" t="str">
        <f aca="false">IF($C397="","",MAX(1,IFERROR(INDEX(商品マスタ!$I$6:$I$1005,MATCH($C397,商品マスタ!$B$6:$B$1005,0)),1)))</f>
        <v/>
      </c>
      <c r="K397" s="69" t="str">
        <f aca="false">IF($C397="","",SUMIFS(①今日の在庫を貼る!$N$6:$N$10005,①今日の在庫を貼る!$B$6:$B$10005,'設定（最初に1回）'!$C$4,①今日の在庫を貼る!$I$6:$I$10005,$C397))</f>
        <v/>
      </c>
      <c r="L397" s="69" t="str">
        <f aca="false">IF($C397="","",SUMIFS(月1回_前回の在庫を貼る!$N$6:$N$10005,月1回_前回の在庫を貼る!$B$6:$B$10005,'設定（最初に1回）'!$C$4,月1回_前回の在庫を貼る!$I$6:$I$10005,$C397))</f>
        <v/>
      </c>
      <c r="M397" s="69" t="str">
        <f aca="false">IF($C397="","",IF(OR('設定（最初に1回）'!$C$6="",'設定（最初に1回）'!$C$7=""),0,SUMIFS(発注管理!$S$6:$S$1005,発注管理!$C$6:$C$1005,'設定（最初に1回）'!$C$4,発注管理!$F$6:$F$1005,$C397,発注管理!$R$6:$R$1005,"&gt;="&amp;'設定（最初に1回）'!$C$7,発注管理!$R$6:$R$1005,"&lt;="&amp;'設定（最初に1回）'!$C$6)))</f>
        <v/>
      </c>
      <c r="N397" s="69" t="str">
        <f aca="false">IF(OR($C397="",'設定（最初に1回）'!$C$15=0),"",$L397+$M397-$K397)</f>
        <v/>
      </c>
      <c r="O397" s="143" t="str">
        <f aca="false">IF(OR($N397="",'設定（最初に1回）'!$C$8="",'設定（最初に1回）'!$C$8&lt;=0),"",MAX(0,$N397)/'設定（最初に1回）'!$C$8)</f>
        <v/>
      </c>
      <c r="P397" s="143" t="str">
        <f aca="false">IF($C397="","",IFERROR(INDEX(商品マスタ!$M$6:$N$1005,MATCH($C397,商品マスタ!$B$6:$B$1005,0),MATCH("PI値 "&amp;'設定（最初に1回）'!$C$11,商品マスタ!$M$5:$N$5,0)),""))</f>
        <v/>
      </c>
      <c r="Q397" s="143" t="str">
        <f aca="false">IF(OR($C397="",$P397="",$P397=0,(N($I397)+N($AG397))&lt;=0),"",IFERROR(SUMIFS(随時_動員を入れる!$G$8:$G$97,随時_動員を入れる!$B$8:$B$97,"&gt;="&amp;'設定（最初に1回）'!$C$6,随時_動員を入れる!$B$8:$B$97,"&lt;="&amp;'設定（最初に1回）'!$C$6+(N($I397)+N($AG397))-1)/(N($I397)+N($AG397)),0)*$P397/100)</f>
        <v/>
      </c>
      <c r="R397" s="69" t="str">
        <f aca="false">IF($C397="","",SUMIFS(①今日の在庫を貼る!$O$6:$O$10005,①今日の在庫を貼る!$B$6:$B$10005,'設定（最初に1回）'!$C$4,①今日の在庫を貼る!$I$6:$I$10005,$C397))</f>
        <v/>
      </c>
      <c r="S397" s="143" t="str">
        <f aca="false">IF($C397="","",IF('設定（最初に1回）'!$C$9="実績消費",N($O397),IF('設定（最初に1回）'!$C$9="PI値予測",N($Q397),MAX(N($O397),N($Q397)))))</f>
        <v/>
      </c>
      <c r="T397" s="67" t="str">
        <f aca="false">IF(OR($S397="",$S397&lt;=0),"",$K397/$S397)</f>
        <v/>
      </c>
      <c r="U397" s="69" t="str">
        <f aca="false">IF($S397="","",ROUNDUP(N($S397)*'設定（最初に1回）'!$C$12,0))</f>
        <v/>
      </c>
      <c r="V397" s="69" t="str">
        <f aca="false">IF($C397="","",ROUNDUP(N($S397)*(N($I397)+N($AG397))+N($U397),0))</f>
        <v/>
      </c>
      <c r="W397" s="69" t="str">
        <f aca="false">IF($C397="","",SUMIFS(発注管理!$L$6:$L$1005,発注管理!$C$6:$C$1005,'設定（最初に1回）'!$C$4,発注管理!$F$6:$F$1005,$C397,発注管理!$Q$6:$Q$1005,"発注済"))</f>
        <v/>
      </c>
      <c r="X397" s="69" t="str">
        <f aca="false">IF($C397="","",MAX(0,N($V397)-N($K397)-N($W397)))</f>
        <v/>
      </c>
      <c r="Y397" s="147" t="str">
        <f aca="false">IF($C397="","",IF(N($X397)&lt;=0,0,CEILING($X397/MAX(1,N($G397)),MAX(1,N($J397)))))</f>
        <v/>
      </c>
      <c r="Z397" s="138" t="str">
        <f aca="false">IF($C397="","",IF(N($Y397)&gt;0,"要発注","正常"))</f>
        <v/>
      </c>
      <c r="AA397" s="71" t="str">
        <f aca="false">IF($C397="","",N($K397)*N($H397))</f>
        <v/>
      </c>
      <c r="AB397" s="66" t="str">
        <f aca="false">IF($C397="","",_xlfn.TEXTJOIN(" / ",TRUE(),IF(COUNTIF(商品マスタ!$B$6:$B$1005,$C397)=0,"マスタ未登録",""),IF(COUNTIFS(月1回_前回の在庫を貼る!$B$6:$B$10005,'設定（最初に1回）'!$C$4,月1回_前回の在庫を貼る!$I$6:$I$10005,$C397)=0,"新商品",""),IF(COUNTIFS(①今日の在庫を貼る!$B$6:$B$10005,'設定（最初に1回）'!$C$4,①今日の在庫を貼る!$I$6:$I$10005,$C397)=0,"終売候補",""),IF(N($K397)&lt;0,"在庫マイナス",""),IF(AND('設定（最初に1回）'!$C$9="PI値予測",$P397=""),"PI値未設定","")))</f>
        <v/>
      </c>
      <c r="AC397" s="71" t="n">
        <f aca="false">N($Y397)*N($H397)</f>
        <v>0</v>
      </c>
      <c r="AD397" s="66" t="str">
        <f aca="false">IF($C397="","",IFERROR(INDEX(商品マスタ!$K$6:$K$1005,MATCH($C397,商品マスタ!$B$6:$B$1005,0)),"常温"))</f>
        <v/>
      </c>
      <c r="AE397" s="69" t="str">
        <f aca="false">IF($C397="","",MAX(0,ROUNDUP(N($K397)/MAX(1,N($G397)),0)))</f>
        <v/>
      </c>
      <c r="AF397" s="66" t="str">
        <f aca="false">IF($C397="","",IFERROR(INDEX(商品マスタ!$L$6:$L$1005,MATCH($C397,商品マスタ!$B$6:$B$1005,0)),""))</f>
        <v/>
      </c>
      <c r="AG397" s="143" t="str">
        <f aca="false">IF($C397="","",IFERROR(INDEX(定数マスタ!$S$110:$S$119,MATCH($AF397,定数マスタ!$J$110:$J$119,0)),N('設定（最初に1回）'!$C$13)))</f>
        <v/>
      </c>
      <c r="AH397" s="66" t="n">
        <f aca="false">IF(AND(N($K397)&gt;0,N($Y397)&gt;0),N($Y397),0)</f>
        <v>0</v>
      </c>
    </row>
    <row r="398" customFormat="false" ht="15" hidden="false" customHeight="false" outlineLevel="0" collapsed="false">
      <c r="B398" s="66" t="n">
        <v>393</v>
      </c>
      <c r="C398" s="66" t="str">
        <f aca="false">IFERROR(IF($B398&lt;=MAX(①今日の在庫を貼る!$U$6:$U$10005),INDEX(①今日の在庫を貼る!$I$6:$I$10005,MATCH($B398,①今日の在庫を貼る!$U$6:$U$10005,0)),INDEX(月1回_前回の在庫を貼る!$I$6:$I$10005,MATCH($B398-MAX(①今日の在庫を貼る!$U$6:$U$10005),月1回_前回の在庫を貼る!$U$6:$U$10005,0))),"")</f>
        <v/>
      </c>
      <c r="D398" s="66" t="str">
        <f aca="false">IF($C398="","",IFERROR(INDEX(商品マスタ!$C$6:$C$1005,MATCH($C398,商品マスタ!$B$6:$B$1005,0)),IFERROR(INDEX(①今日の在庫を貼る!$J$6:$J$10005,MATCH($C398,①今日の在庫を貼る!$I$6:$I$10005,0)),IFERROR(INDEX(月1回_前回の在庫を貼る!$J$6:$J$10005,MATCH($C398,月1回_前回の在庫を貼る!$I$6:$I$10005,0)),""))))</f>
        <v/>
      </c>
      <c r="E398" s="66" t="str">
        <f aca="false">IF($C398="","",IFERROR(INDEX(商品マスタ!$D$6:$D$1005,MATCH($C398,商品マスタ!$B$6:$B$1005,0)),IFERROR(INDEX(①今日の在庫を貼る!$H$6:$H$10005,MATCH($C398,①今日の在庫を貼る!$I$6:$I$10005,0)),IFERROR(INDEX(月1回_前回の在庫を貼る!$H$6:$H$10005,MATCH($C398,月1回_前回の在庫を貼る!$I$6:$I$10005,0)),""))))</f>
        <v/>
      </c>
      <c r="F398" s="66" t="str">
        <f aca="false">IF($C398="","",IFERROR(INDEX(商品マスタ!$E$6:$E$1005,MATCH($C398,商品マスタ!$B$6:$B$1005,0)),IFERROR(INDEX(①今日の在庫を貼る!$E$6:$E$10005,MATCH($C398,①今日の在庫を貼る!$I$6:$I$10005,0)),IFERROR(INDEX(月1回_前回の在庫を貼る!$E$6:$E$10005,MATCH($C398,月1回_前回の在庫を貼る!$I$6:$I$10005,0)),""))))</f>
        <v/>
      </c>
      <c r="G398" s="69" t="str">
        <f aca="false">IF($C398="","",IFERROR(INDEX(商品マスタ!$F$6:$F$1005,MATCH($C398,商品マスタ!$B$6:$B$1005,0)),IFERROR(INDEX(①今日の在庫を貼る!$K$6:$K$10005,MATCH($C398,①今日の在庫を貼る!$I$6:$I$10005,0)),IFERROR(INDEX(月1回_前回の在庫を貼る!$K$6:$K$10005,MATCH($C398,月1回_前回の在庫を貼る!$I$6:$I$10005,0)),""))))</f>
        <v/>
      </c>
      <c r="H398" s="71" t="str">
        <f aca="false">IF($C398="","",IFERROR(INDEX(商品マスタ!$G$6:$G$1005,MATCH($C398,商品マスタ!$B$6:$B$1005,0)),IFERROR(INDEX(①今日の在庫を貼る!$Q$6:$Q$10005,MATCH($C398,①今日の在庫を貼る!$I$6:$I$10005,0)),IFERROR(INDEX(月1回_前回の在庫を貼る!$Q$6:$Q$10005,MATCH($C398,月1回_前回の在庫を貼る!$I$6:$I$10005,0)),""))))</f>
        <v/>
      </c>
      <c r="I398" s="66" t="str">
        <f aca="false">IF($C398="","",IFERROR(INDEX(商品マスタ!$H$6:$H$1005,MATCH($C398,商品マスタ!$B$6:$B$1005,0)),3))</f>
        <v/>
      </c>
      <c r="J398" s="66" t="str">
        <f aca="false">IF($C398="","",MAX(1,IFERROR(INDEX(商品マスタ!$I$6:$I$1005,MATCH($C398,商品マスタ!$B$6:$B$1005,0)),1)))</f>
        <v/>
      </c>
      <c r="K398" s="69" t="str">
        <f aca="false">IF($C398="","",SUMIFS(①今日の在庫を貼る!$N$6:$N$10005,①今日の在庫を貼る!$B$6:$B$10005,'設定（最初に1回）'!$C$4,①今日の在庫を貼る!$I$6:$I$10005,$C398))</f>
        <v/>
      </c>
      <c r="L398" s="69" t="str">
        <f aca="false">IF($C398="","",SUMIFS(月1回_前回の在庫を貼る!$N$6:$N$10005,月1回_前回の在庫を貼る!$B$6:$B$10005,'設定（最初に1回）'!$C$4,月1回_前回の在庫を貼る!$I$6:$I$10005,$C398))</f>
        <v/>
      </c>
      <c r="M398" s="69" t="str">
        <f aca="false">IF($C398="","",IF(OR('設定（最初に1回）'!$C$6="",'設定（最初に1回）'!$C$7=""),0,SUMIFS(発注管理!$S$6:$S$1005,発注管理!$C$6:$C$1005,'設定（最初に1回）'!$C$4,発注管理!$F$6:$F$1005,$C398,発注管理!$R$6:$R$1005,"&gt;="&amp;'設定（最初に1回）'!$C$7,発注管理!$R$6:$R$1005,"&lt;="&amp;'設定（最初に1回）'!$C$6)))</f>
        <v/>
      </c>
      <c r="N398" s="69" t="str">
        <f aca="false">IF(OR($C398="",'設定（最初に1回）'!$C$15=0),"",$L398+$M398-$K398)</f>
        <v/>
      </c>
      <c r="O398" s="143" t="str">
        <f aca="false">IF(OR($N398="",'設定（最初に1回）'!$C$8="",'設定（最初に1回）'!$C$8&lt;=0),"",MAX(0,$N398)/'設定（最初に1回）'!$C$8)</f>
        <v/>
      </c>
      <c r="P398" s="143" t="str">
        <f aca="false">IF($C398="","",IFERROR(INDEX(商品マスタ!$M$6:$N$1005,MATCH($C398,商品マスタ!$B$6:$B$1005,0),MATCH("PI値 "&amp;'設定（最初に1回）'!$C$11,商品マスタ!$M$5:$N$5,0)),""))</f>
        <v/>
      </c>
      <c r="Q398" s="143" t="str">
        <f aca="false">IF(OR($C398="",$P398="",$P398=0,(N($I398)+N($AG398))&lt;=0),"",IFERROR(SUMIFS(随時_動員を入れる!$G$8:$G$97,随時_動員を入れる!$B$8:$B$97,"&gt;="&amp;'設定（最初に1回）'!$C$6,随時_動員を入れる!$B$8:$B$97,"&lt;="&amp;'設定（最初に1回）'!$C$6+(N($I398)+N($AG398))-1)/(N($I398)+N($AG398)),0)*$P398/100)</f>
        <v/>
      </c>
      <c r="R398" s="69" t="str">
        <f aca="false">IF($C398="","",SUMIFS(①今日の在庫を貼る!$O$6:$O$10005,①今日の在庫を貼る!$B$6:$B$10005,'設定（最初に1回）'!$C$4,①今日の在庫を貼る!$I$6:$I$10005,$C398))</f>
        <v/>
      </c>
      <c r="S398" s="143" t="str">
        <f aca="false">IF($C398="","",IF('設定（最初に1回）'!$C$9="実績消費",N($O398),IF('設定（最初に1回）'!$C$9="PI値予測",N($Q398),MAX(N($O398),N($Q398)))))</f>
        <v/>
      </c>
      <c r="T398" s="67" t="str">
        <f aca="false">IF(OR($S398="",$S398&lt;=0),"",$K398/$S398)</f>
        <v/>
      </c>
      <c r="U398" s="69" t="str">
        <f aca="false">IF($S398="","",ROUNDUP(N($S398)*'設定（最初に1回）'!$C$12,0))</f>
        <v/>
      </c>
      <c r="V398" s="69" t="str">
        <f aca="false">IF($C398="","",ROUNDUP(N($S398)*(N($I398)+N($AG398))+N($U398),0))</f>
        <v/>
      </c>
      <c r="W398" s="69" t="str">
        <f aca="false">IF($C398="","",SUMIFS(発注管理!$L$6:$L$1005,発注管理!$C$6:$C$1005,'設定（最初に1回）'!$C$4,発注管理!$F$6:$F$1005,$C398,発注管理!$Q$6:$Q$1005,"発注済"))</f>
        <v/>
      </c>
      <c r="X398" s="69" t="str">
        <f aca="false">IF($C398="","",MAX(0,N($V398)-N($K398)-N($W398)))</f>
        <v/>
      </c>
      <c r="Y398" s="147" t="str">
        <f aca="false">IF($C398="","",IF(N($X398)&lt;=0,0,CEILING($X398/MAX(1,N($G398)),MAX(1,N($J398)))))</f>
        <v/>
      </c>
      <c r="Z398" s="138" t="str">
        <f aca="false">IF($C398="","",IF(N($Y398)&gt;0,"要発注","正常"))</f>
        <v/>
      </c>
      <c r="AA398" s="71" t="str">
        <f aca="false">IF($C398="","",N($K398)*N($H398))</f>
        <v/>
      </c>
      <c r="AB398" s="66" t="str">
        <f aca="false">IF($C398="","",_xlfn.TEXTJOIN(" / ",TRUE(),IF(COUNTIF(商品マスタ!$B$6:$B$1005,$C398)=0,"マスタ未登録",""),IF(COUNTIFS(月1回_前回の在庫を貼る!$B$6:$B$10005,'設定（最初に1回）'!$C$4,月1回_前回の在庫を貼る!$I$6:$I$10005,$C398)=0,"新商品",""),IF(COUNTIFS(①今日の在庫を貼る!$B$6:$B$10005,'設定（最初に1回）'!$C$4,①今日の在庫を貼る!$I$6:$I$10005,$C398)=0,"終売候補",""),IF(N($K398)&lt;0,"在庫マイナス",""),IF(AND('設定（最初に1回）'!$C$9="PI値予測",$P398=""),"PI値未設定","")))</f>
        <v/>
      </c>
      <c r="AC398" s="71" t="n">
        <f aca="false">N($Y398)*N($H398)</f>
        <v>0</v>
      </c>
      <c r="AD398" s="66" t="str">
        <f aca="false">IF($C398="","",IFERROR(INDEX(商品マスタ!$K$6:$K$1005,MATCH($C398,商品マスタ!$B$6:$B$1005,0)),"常温"))</f>
        <v/>
      </c>
      <c r="AE398" s="69" t="str">
        <f aca="false">IF($C398="","",MAX(0,ROUNDUP(N($K398)/MAX(1,N($G398)),0)))</f>
        <v/>
      </c>
      <c r="AF398" s="66" t="str">
        <f aca="false">IF($C398="","",IFERROR(INDEX(商品マスタ!$L$6:$L$1005,MATCH($C398,商品マスタ!$B$6:$B$1005,0)),""))</f>
        <v/>
      </c>
      <c r="AG398" s="143" t="str">
        <f aca="false">IF($C398="","",IFERROR(INDEX(定数マスタ!$S$110:$S$119,MATCH($AF398,定数マスタ!$J$110:$J$119,0)),N('設定（最初に1回）'!$C$13)))</f>
        <v/>
      </c>
      <c r="AH398" s="66" t="n">
        <f aca="false">IF(AND(N($K398)&gt;0,N($Y398)&gt;0),N($Y398),0)</f>
        <v>0</v>
      </c>
    </row>
    <row r="399" customFormat="false" ht="15" hidden="false" customHeight="false" outlineLevel="0" collapsed="false">
      <c r="B399" s="66" t="n">
        <v>394</v>
      </c>
      <c r="C399" s="66" t="str">
        <f aca="false">IFERROR(IF($B399&lt;=MAX(①今日の在庫を貼る!$U$6:$U$10005),INDEX(①今日の在庫を貼る!$I$6:$I$10005,MATCH($B399,①今日の在庫を貼る!$U$6:$U$10005,0)),INDEX(月1回_前回の在庫を貼る!$I$6:$I$10005,MATCH($B399-MAX(①今日の在庫を貼る!$U$6:$U$10005),月1回_前回の在庫を貼る!$U$6:$U$10005,0))),"")</f>
        <v/>
      </c>
      <c r="D399" s="66" t="str">
        <f aca="false">IF($C399="","",IFERROR(INDEX(商品マスタ!$C$6:$C$1005,MATCH($C399,商品マスタ!$B$6:$B$1005,0)),IFERROR(INDEX(①今日の在庫を貼る!$J$6:$J$10005,MATCH($C399,①今日の在庫を貼る!$I$6:$I$10005,0)),IFERROR(INDEX(月1回_前回の在庫を貼る!$J$6:$J$10005,MATCH($C399,月1回_前回の在庫を貼る!$I$6:$I$10005,0)),""))))</f>
        <v/>
      </c>
      <c r="E399" s="66" t="str">
        <f aca="false">IF($C399="","",IFERROR(INDEX(商品マスタ!$D$6:$D$1005,MATCH($C399,商品マスタ!$B$6:$B$1005,0)),IFERROR(INDEX(①今日の在庫を貼る!$H$6:$H$10005,MATCH($C399,①今日の在庫を貼る!$I$6:$I$10005,0)),IFERROR(INDEX(月1回_前回の在庫を貼る!$H$6:$H$10005,MATCH($C399,月1回_前回の在庫を貼る!$I$6:$I$10005,0)),""))))</f>
        <v/>
      </c>
      <c r="F399" s="66" t="str">
        <f aca="false">IF($C399="","",IFERROR(INDEX(商品マスタ!$E$6:$E$1005,MATCH($C399,商品マスタ!$B$6:$B$1005,0)),IFERROR(INDEX(①今日の在庫を貼る!$E$6:$E$10005,MATCH($C399,①今日の在庫を貼る!$I$6:$I$10005,0)),IFERROR(INDEX(月1回_前回の在庫を貼る!$E$6:$E$10005,MATCH($C399,月1回_前回の在庫を貼る!$I$6:$I$10005,0)),""))))</f>
        <v/>
      </c>
      <c r="G399" s="69" t="str">
        <f aca="false">IF($C399="","",IFERROR(INDEX(商品マスタ!$F$6:$F$1005,MATCH($C399,商品マスタ!$B$6:$B$1005,0)),IFERROR(INDEX(①今日の在庫を貼る!$K$6:$K$10005,MATCH($C399,①今日の在庫を貼る!$I$6:$I$10005,0)),IFERROR(INDEX(月1回_前回の在庫を貼る!$K$6:$K$10005,MATCH($C399,月1回_前回の在庫を貼る!$I$6:$I$10005,0)),""))))</f>
        <v/>
      </c>
      <c r="H399" s="71" t="str">
        <f aca="false">IF($C399="","",IFERROR(INDEX(商品マスタ!$G$6:$G$1005,MATCH($C399,商品マスタ!$B$6:$B$1005,0)),IFERROR(INDEX(①今日の在庫を貼る!$Q$6:$Q$10005,MATCH($C399,①今日の在庫を貼る!$I$6:$I$10005,0)),IFERROR(INDEX(月1回_前回の在庫を貼る!$Q$6:$Q$10005,MATCH($C399,月1回_前回の在庫を貼る!$I$6:$I$10005,0)),""))))</f>
        <v/>
      </c>
      <c r="I399" s="66" t="str">
        <f aca="false">IF($C399="","",IFERROR(INDEX(商品マスタ!$H$6:$H$1005,MATCH($C399,商品マスタ!$B$6:$B$1005,0)),3))</f>
        <v/>
      </c>
      <c r="J399" s="66" t="str">
        <f aca="false">IF($C399="","",MAX(1,IFERROR(INDEX(商品マスタ!$I$6:$I$1005,MATCH($C399,商品マスタ!$B$6:$B$1005,0)),1)))</f>
        <v/>
      </c>
      <c r="K399" s="69" t="str">
        <f aca="false">IF($C399="","",SUMIFS(①今日の在庫を貼る!$N$6:$N$10005,①今日の在庫を貼る!$B$6:$B$10005,'設定（最初に1回）'!$C$4,①今日の在庫を貼る!$I$6:$I$10005,$C399))</f>
        <v/>
      </c>
      <c r="L399" s="69" t="str">
        <f aca="false">IF($C399="","",SUMIFS(月1回_前回の在庫を貼る!$N$6:$N$10005,月1回_前回の在庫を貼る!$B$6:$B$10005,'設定（最初に1回）'!$C$4,月1回_前回の在庫を貼る!$I$6:$I$10005,$C399))</f>
        <v/>
      </c>
      <c r="M399" s="69" t="str">
        <f aca="false">IF($C399="","",IF(OR('設定（最初に1回）'!$C$6="",'設定（最初に1回）'!$C$7=""),0,SUMIFS(発注管理!$S$6:$S$1005,発注管理!$C$6:$C$1005,'設定（最初に1回）'!$C$4,発注管理!$F$6:$F$1005,$C399,発注管理!$R$6:$R$1005,"&gt;="&amp;'設定（最初に1回）'!$C$7,発注管理!$R$6:$R$1005,"&lt;="&amp;'設定（最初に1回）'!$C$6)))</f>
        <v/>
      </c>
      <c r="N399" s="69" t="str">
        <f aca="false">IF(OR($C399="",'設定（最初に1回）'!$C$15=0),"",$L399+$M399-$K399)</f>
        <v/>
      </c>
      <c r="O399" s="143" t="str">
        <f aca="false">IF(OR($N399="",'設定（最初に1回）'!$C$8="",'設定（最初に1回）'!$C$8&lt;=0),"",MAX(0,$N399)/'設定（最初に1回）'!$C$8)</f>
        <v/>
      </c>
      <c r="P399" s="143" t="str">
        <f aca="false">IF($C399="","",IFERROR(INDEX(商品マスタ!$M$6:$N$1005,MATCH($C399,商品マスタ!$B$6:$B$1005,0),MATCH("PI値 "&amp;'設定（最初に1回）'!$C$11,商品マスタ!$M$5:$N$5,0)),""))</f>
        <v/>
      </c>
      <c r="Q399" s="143" t="str">
        <f aca="false">IF(OR($C399="",$P399="",$P399=0,(N($I399)+N($AG399))&lt;=0),"",IFERROR(SUMIFS(随時_動員を入れる!$G$8:$G$97,随時_動員を入れる!$B$8:$B$97,"&gt;="&amp;'設定（最初に1回）'!$C$6,随時_動員を入れる!$B$8:$B$97,"&lt;="&amp;'設定（最初に1回）'!$C$6+(N($I399)+N($AG399))-1)/(N($I399)+N($AG399)),0)*$P399/100)</f>
        <v/>
      </c>
      <c r="R399" s="69" t="str">
        <f aca="false">IF($C399="","",SUMIFS(①今日の在庫を貼る!$O$6:$O$10005,①今日の在庫を貼る!$B$6:$B$10005,'設定（最初に1回）'!$C$4,①今日の在庫を貼る!$I$6:$I$10005,$C399))</f>
        <v/>
      </c>
      <c r="S399" s="143" t="str">
        <f aca="false">IF($C399="","",IF('設定（最初に1回）'!$C$9="実績消費",N($O399),IF('設定（最初に1回）'!$C$9="PI値予測",N($Q399),MAX(N($O399),N($Q399)))))</f>
        <v/>
      </c>
      <c r="T399" s="67" t="str">
        <f aca="false">IF(OR($S399="",$S399&lt;=0),"",$K399/$S399)</f>
        <v/>
      </c>
      <c r="U399" s="69" t="str">
        <f aca="false">IF($S399="","",ROUNDUP(N($S399)*'設定（最初に1回）'!$C$12,0))</f>
        <v/>
      </c>
      <c r="V399" s="69" t="str">
        <f aca="false">IF($C399="","",ROUNDUP(N($S399)*(N($I399)+N($AG399))+N($U399),0))</f>
        <v/>
      </c>
      <c r="W399" s="69" t="str">
        <f aca="false">IF($C399="","",SUMIFS(発注管理!$L$6:$L$1005,発注管理!$C$6:$C$1005,'設定（最初に1回）'!$C$4,発注管理!$F$6:$F$1005,$C399,発注管理!$Q$6:$Q$1005,"発注済"))</f>
        <v/>
      </c>
      <c r="X399" s="69" t="str">
        <f aca="false">IF($C399="","",MAX(0,N($V399)-N($K399)-N($W399)))</f>
        <v/>
      </c>
      <c r="Y399" s="147" t="str">
        <f aca="false">IF($C399="","",IF(N($X399)&lt;=0,0,CEILING($X399/MAX(1,N($G399)),MAX(1,N($J399)))))</f>
        <v/>
      </c>
      <c r="Z399" s="138" t="str">
        <f aca="false">IF($C399="","",IF(N($Y399)&gt;0,"要発注","正常"))</f>
        <v/>
      </c>
      <c r="AA399" s="71" t="str">
        <f aca="false">IF($C399="","",N($K399)*N($H399))</f>
        <v/>
      </c>
      <c r="AB399" s="66" t="str">
        <f aca="false">IF($C399="","",_xlfn.TEXTJOIN(" / ",TRUE(),IF(COUNTIF(商品マスタ!$B$6:$B$1005,$C399)=0,"マスタ未登録",""),IF(COUNTIFS(月1回_前回の在庫を貼る!$B$6:$B$10005,'設定（最初に1回）'!$C$4,月1回_前回の在庫を貼る!$I$6:$I$10005,$C399)=0,"新商品",""),IF(COUNTIFS(①今日の在庫を貼る!$B$6:$B$10005,'設定（最初に1回）'!$C$4,①今日の在庫を貼る!$I$6:$I$10005,$C399)=0,"終売候補",""),IF(N($K399)&lt;0,"在庫マイナス",""),IF(AND('設定（最初に1回）'!$C$9="PI値予測",$P399=""),"PI値未設定","")))</f>
        <v/>
      </c>
      <c r="AC399" s="71" t="n">
        <f aca="false">N($Y399)*N($H399)</f>
        <v>0</v>
      </c>
      <c r="AD399" s="66" t="str">
        <f aca="false">IF($C399="","",IFERROR(INDEX(商品マスタ!$K$6:$K$1005,MATCH($C399,商品マスタ!$B$6:$B$1005,0)),"常温"))</f>
        <v/>
      </c>
      <c r="AE399" s="69" t="str">
        <f aca="false">IF($C399="","",MAX(0,ROUNDUP(N($K399)/MAX(1,N($G399)),0)))</f>
        <v/>
      </c>
      <c r="AF399" s="66" t="str">
        <f aca="false">IF($C399="","",IFERROR(INDEX(商品マスタ!$L$6:$L$1005,MATCH($C399,商品マスタ!$B$6:$B$1005,0)),""))</f>
        <v/>
      </c>
      <c r="AG399" s="143" t="str">
        <f aca="false">IF($C399="","",IFERROR(INDEX(定数マスタ!$S$110:$S$119,MATCH($AF399,定数マスタ!$J$110:$J$119,0)),N('設定（最初に1回）'!$C$13)))</f>
        <v/>
      </c>
      <c r="AH399" s="66" t="n">
        <f aca="false">IF(AND(N($K399)&gt;0,N($Y399)&gt;0),N($Y399),0)</f>
        <v>0</v>
      </c>
    </row>
    <row r="400" customFormat="false" ht="15" hidden="false" customHeight="false" outlineLevel="0" collapsed="false">
      <c r="B400" s="66" t="n">
        <v>395</v>
      </c>
      <c r="C400" s="66" t="str">
        <f aca="false">IFERROR(IF($B400&lt;=MAX(①今日の在庫を貼る!$U$6:$U$10005),INDEX(①今日の在庫を貼る!$I$6:$I$10005,MATCH($B400,①今日の在庫を貼る!$U$6:$U$10005,0)),INDEX(月1回_前回の在庫を貼る!$I$6:$I$10005,MATCH($B400-MAX(①今日の在庫を貼る!$U$6:$U$10005),月1回_前回の在庫を貼る!$U$6:$U$10005,0))),"")</f>
        <v/>
      </c>
      <c r="D400" s="66" t="str">
        <f aca="false">IF($C400="","",IFERROR(INDEX(商品マスタ!$C$6:$C$1005,MATCH($C400,商品マスタ!$B$6:$B$1005,0)),IFERROR(INDEX(①今日の在庫を貼る!$J$6:$J$10005,MATCH($C400,①今日の在庫を貼る!$I$6:$I$10005,0)),IFERROR(INDEX(月1回_前回の在庫を貼る!$J$6:$J$10005,MATCH($C400,月1回_前回の在庫を貼る!$I$6:$I$10005,0)),""))))</f>
        <v/>
      </c>
      <c r="E400" s="66" t="str">
        <f aca="false">IF($C400="","",IFERROR(INDEX(商品マスタ!$D$6:$D$1005,MATCH($C400,商品マスタ!$B$6:$B$1005,0)),IFERROR(INDEX(①今日の在庫を貼る!$H$6:$H$10005,MATCH($C400,①今日の在庫を貼る!$I$6:$I$10005,0)),IFERROR(INDEX(月1回_前回の在庫を貼る!$H$6:$H$10005,MATCH($C400,月1回_前回の在庫を貼る!$I$6:$I$10005,0)),""))))</f>
        <v/>
      </c>
      <c r="F400" s="66" t="str">
        <f aca="false">IF($C400="","",IFERROR(INDEX(商品マスタ!$E$6:$E$1005,MATCH($C400,商品マスタ!$B$6:$B$1005,0)),IFERROR(INDEX(①今日の在庫を貼る!$E$6:$E$10005,MATCH($C400,①今日の在庫を貼る!$I$6:$I$10005,0)),IFERROR(INDEX(月1回_前回の在庫を貼る!$E$6:$E$10005,MATCH($C400,月1回_前回の在庫を貼る!$I$6:$I$10005,0)),""))))</f>
        <v/>
      </c>
      <c r="G400" s="69" t="str">
        <f aca="false">IF($C400="","",IFERROR(INDEX(商品マスタ!$F$6:$F$1005,MATCH($C400,商品マスタ!$B$6:$B$1005,0)),IFERROR(INDEX(①今日の在庫を貼る!$K$6:$K$10005,MATCH($C400,①今日の在庫を貼る!$I$6:$I$10005,0)),IFERROR(INDEX(月1回_前回の在庫を貼る!$K$6:$K$10005,MATCH($C400,月1回_前回の在庫を貼る!$I$6:$I$10005,0)),""))))</f>
        <v/>
      </c>
      <c r="H400" s="71" t="str">
        <f aca="false">IF($C400="","",IFERROR(INDEX(商品マスタ!$G$6:$G$1005,MATCH($C400,商品マスタ!$B$6:$B$1005,0)),IFERROR(INDEX(①今日の在庫を貼る!$Q$6:$Q$10005,MATCH($C400,①今日の在庫を貼る!$I$6:$I$10005,0)),IFERROR(INDEX(月1回_前回の在庫を貼る!$Q$6:$Q$10005,MATCH($C400,月1回_前回の在庫を貼る!$I$6:$I$10005,0)),""))))</f>
        <v/>
      </c>
      <c r="I400" s="66" t="str">
        <f aca="false">IF($C400="","",IFERROR(INDEX(商品マスタ!$H$6:$H$1005,MATCH($C400,商品マスタ!$B$6:$B$1005,0)),3))</f>
        <v/>
      </c>
      <c r="J400" s="66" t="str">
        <f aca="false">IF($C400="","",MAX(1,IFERROR(INDEX(商品マスタ!$I$6:$I$1005,MATCH($C400,商品マスタ!$B$6:$B$1005,0)),1)))</f>
        <v/>
      </c>
      <c r="K400" s="69" t="str">
        <f aca="false">IF($C400="","",SUMIFS(①今日の在庫を貼る!$N$6:$N$10005,①今日の在庫を貼る!$B$6:$B$10005,'設定（最初に1回）'!$C$4,①今日の在庫を貼る!$I$6:$I$10005,$C400))</f>
        <v/>
      </c>
      <c r="L400" s="69" t="str">
        <f aca="false">IF($C400="","",SUMIFS(月1回_前回の在庫を貼る!$N$6:$N$10005,月1回_前回の在庫を貼る!$B$6:$B$10005,'設定（最初に1回）'!$C$4,月1回_前回の在庫を貼る!$I$6:$I$10005,$C400))</f>
        <v/>
      </c>
      <c r="M400" s="69" t="str">
        <f aca="false">IF($C400="","",IF(OR('設定（最初に1回）'!$C$6="",'設定（最初に1回）'!$C$7=""),0,SUMIFS(発注管理!$S$6:$S$1005,発注管理!$C$6:$C$1005,'設定（最初に1回）'!$C$4,発注管理!$F$6:$F$1005,$C400,発注管理!$R$6:$R$1005,"&gt;="&amp;'設定（最初に1回）'!$C$7,発注管理!$R$6:$R$1005,"&lt;="&amp;'設定（最初に1回）'!$C$6)))</f>
        <v/>
      </c>
      <c r="N400" s="69" t="str">
        <f aca="false">IF(OR($C400="",'設定（最初に1回）'!$C$15=0),"",$L400+$M400-$K400)</f>
        <v/>
      </c>
      <c r="O400" s="143" t="str">
        <f aca="false">IF(OR($N400="",'設定（最初に1回）'!$C$8="",'設定（最初に1回）'!$C$8&lt;=0),"",MAX(0,$N400)/'設定（最初に1回）'!$C$8)</f>
        <v/>
      </c>
      <c r="P400" s="143" t="str">
        <f aca="false">IF($C400="","",IFERROR(INDEX(商品マスタ!$M$6:$N$1005,MATCH($C400,商品マスタ!$B$6:$B$1005,0),MATCH("PI値 "&amp;'設定（最初に1回）'!$C$11,商品マスタ!$M$5:$N$5,0)),""))</f>
        <v/>
      </c>
      <c r="Q400" s="143" t="str">
        <f aca="false">IF(OR($C400="",$P400="",$P400=0,(N($I400)+N($AG400))&lt;=0),"",IFERROR(SUMIFS(随時_動員を入れる!$G$8:$G$97,随時_動員を入れる!$B$8:$B$97,"&gt;="&amp;'設定（最初に1回）'!$C$6,随時_動員を入れる!$B$8:$B$97,"&lt;="&amp;'設定（最初に1回）'!$C$6+(N($I400)+N($AG400))-1)/(N($I400)+N($AG400)),0)*$P400/100)</f>
        <v/>
      </c>
      <c r="R400" s="69" t="str">
        <f aca="false">IF($C400="","",SUMIFS(①今日の在庫を貼る!$O$6:$O$10005,①今日の在庫を貼る!$B$6:$B$10005,'設定（最初に1回）'!$C$4,①今日の在庫を貼る!$I$6:$I$10005,$C400))</f>
        <v/>
      </c>
      <c r="S400" s="143" t="str">
        <f aca="false">IF($C400="","",IF('設定（最初に1回）'!$C$9="実績消費",N($O400),IF('設定（最初に1回）'!$C$9="PI値予測",N($Q400),MAX(N($O400),N($Q400)))))</f>
        <v/>
      </c>
      <c r="T400" s="67" t="str">
        <f aca="false">IF(OR($S400="",$S400&lt;=0),"",$K400/$S400)</f>
        <v/>
      </c>
      <c r="U400" s="69" t="str">
        <f aca="false">IF($S400="","",ROUNDUP(N($S400)*'設定（最初に1回）'!$C$12,0))</f>
        <v/>
      </c>
      <c r="V400" s="69" t="str">
        <f aca="false">IF($C400="","",ROUNDUP(N($S400)*(N($I400)+N($AG400))+N($U400),0))</f>
        <v/>
      </c>
      <c r="W400" s="69" t="str">
        <f aca="false">IF($C400="","",SUMIFS(発注管理!$L$6:$L$1005,発注管理!$C$6:$C$1005,'設定（最初に1回）'!$C$4,発注管理!$F$6:$F$1005,$C400,発注管理!$Q$6:$Q$1005,"発注済"))</f>
        <v/>
      </c>
      <c r="X400" s="69" t="str">
        <f aca="false">IF($C400="","",MAX(0,N($V400)-N($K400)-N($W400)))</f>
        <v/>
      </c>
      <c r="Y400" s="147" t="str">
        <f aca="false">IF($C400="","",IF(N($X400)&lt;=0,0,CEILING($X400/MAX(1,N($G400)),MAX(1,N($J400)))))</f>
        <v/>
      </c>
      <c r="Z400" s="138" t="str">
        <f aca="false">IF($C400="","",IF(N($Y400)&gt;0,"要発注","正常"))</f>
        <v/>
      </c>
      <c r="AA400" s="71" t="str">
        <f aca="false">IF($C400="","",N($K400)*N($H400))</f>
        <v/>
      </c>
      <c r="AB400" s="66" t="str">
        <f aca="false">IF($C400="","",_xlfn.TEXTJOIN(" / ",TRUE(),IF(COUNTIF(商品マスタ!$B$6:$B$1005,$C400)=0,"マスタ未登録",""),IF(COUNTIFS(月1回_前回の在庫を貼る!$B$6:$B$10005,'設定（最初に1回）'!$C$4,月1回_前回の在庫を貼る!$I$6:$I$10005,$C400)=0,"新商品",""),IF(COUNTIFS(①今日の在庫を貼る!$B$6:$B$10005,'設定（最初に1回）'!$C$4,①今日の在庫を貼る!$I$6:$I$10005,$C400)=0,"終売候補",""),IF(N($K400)&lt;0,"在庫マイナス",""),IF(AND('設定（最初に1回）'!$C$9="PI値予測",$P400=""),"PI値未設定","")))</f>
        <v/>
      </c>
      <c r="AC400" s="71" t="n">
        <f aca="false">N($Y400)*N($H400)</f>
        <v>0</v>
      </c>
      <c r="AD400" s="66" t="str">
        <f aca="false">IF($C400="","",IFERROR(INDEX(商品マスタ!$K$6:$K$1005,MATCH($C400,商品マスタ!$B$6:$B$1005,0)),"常温"))</f>
        <v/>
      </c>
      <c r="AE400" s="69" t="str">
        <f aca="false">IF($C400="","",MAX(0,ROUNDUP(N($K400)/MAX(1,N($G400)),0)))</f>
        <v/>
      </c>
      <c r="AF400" s="66" t="str">
        <f aca="false">IF($C400="","",IFERROR(INDEX(商品マスタ!$L$6:$L$1005,MATCH($C400,商品マスタ!$B$6:$B$1005,0)),""))</f>
        <v/>
      </c>
      <c r="AG400" s="143" t="str">
        <f aca="false">IF($C400="","",IFERROR(INDEX(定数マスタ!$S$110:$S$119,MATCH($AF400,定数マスタ!$J$110:$J$119,0)),N('設定（最初に1回）'!$C$13)))</f>
        <v/>
      </c>
      <c r="AH400" s="66" t="n">
        <f aca="false">IF(AND(N($K400)&gt;0,N($Y400)&gt;0),N($Y400),0)</f>
        <v>0</v>
      </c>
    </row>
    <row r="401" customFormat="false" ht="15" hidden="false" customHeight="false" outlineLevel="0" collapsed="false">
      <c r="B401" s="66" t="n">
        <v>396</v>
      </c>
      <c r="C401" s="66" t="str">
        <f aca="false">IFERROR(IF($B401&lt;=MAX(①今日の在庫を貼る!$U$6:$U$10005),INDEX(①今日の在庫を貼る!$I$6:$I$10005,MATCH($B401,①今日の在庫を貼る!$U$6:$U$10005,0)),INDEX(月1回_前回の在庫を貼る!$I$6:$I$10005,MATCH($B401-MAX(①今日の在庫を貼る!$U$6:$U$10005),月1回_前回の在庫を貼る!$U$6:$U$10005,0))),"")</f>
        <v/>
      </c>
      <c r="D401" s="66" t="str">
        <f aca="false">IF($C401="","",IFERROR(INDEX(商品マスタ!$C$6:$C$1005,MATCH($C401,商品マスタ!$B$6:$B$1005,0)),IFERROR(INDEX(①今日の在庫を貼る!$J$6:$J$10005,MATCH($C401,①今日の在庫を貼る!$I$6:$I$10005,0)),IFERROR(INDEX(月1回_前回の在庫を貼る!$J$6:$J$10005,MATCH($C401,月1回_前回の在庫を貼る!$I$6:$I$10005,0)),""))))</f>
        <v/>
      </c>
      <c r="E401" s="66" t="str">
        <f aca="false">IF($C401="","",IFERROR(INDEX(商品マスタ!$D$6:$D$1005,MATCH($C401,商品マスタ!$B$6:$B$1005,0)),IFERROR(INDEX(①今日の在庫を貼る!$H$6:$H$10005,MATCH($C401,①今日の在庫を貼る!$I$6:$I$10005,0)),IFERROR(INDEX(月1回_前回の在庫を貼る!$H$6:$H$10005,MATCH($C401,月1回_前回の在庫を貼る!$I$6:$I$10005,0)),""))))</f>
        <v/>
      </c>
      <c r="F401" s="66" t="str">
        <f aca="false">IF($C401="","",IFERROR(INDEX(商品マスタ!$E$6:$E$1005,MATCH($C401,商品マスタ!$B$6:$B$1005,0)),IFERROR(INDEX(①今日の在庫を貼る!$E$6:$E$10005,MATCH($C401,①今日の在庫を貼る!$I$6:$I$10005,0)),IFERROR(INDEX(月1回_前回の在庫を貼る!$E$6:$E$10005,MATCH($C401,月1回_前回の在庫を貼る!$I$6:$I$10005,0)),""))))</f>
        <v/>
      </c>
      <c r="G401" s="69" t="str">
        <f aca="false">IF($C401="","",IFERROR(INDEX(商品マスタ!$F$6:$F$1005,MATCH($C401,商品マスタ!$B$6:$B$1005,0)),IFERROR(INDEX(①今日の在庫を貼る!$K$6:$K$10005,MATCH($C401,①今日の在庫を貼る!$I$6:$I$10005,0)),IFERROR(INDEX(月1回_前回の在庫を貼る!$K$6:$K$10005,MATCH($C401,月1回_前回の在庫を貼る!$I$6:$I$10005,0)),""))))</f>
        <v/>
      </c>
      <c r="H401" s="71" t="str">
        <f aca="false">IF($C401="","",IFERROR(INDEX(商品マスタ!$G$6:$G$1005,MATCH($C401,商品マスタ!$B$6:$B$1005,0)),IFERROR(INDEX(①今日の在庫を貼る!$Q$6:$Q$10005,MATCH($C401,①今日の在庫を貼る!$I$6:$I$10005,0)),IFERROR(INDEX(月1回_前回の在庫を貼る!$Q$6:$Q$10005,MATCH($C401,月1回_前回の在庫を貼る!$I$6:$I$10005,0)),""))))</f>
        <v/>
      </c>
      <c r="I401" s="66" t="str">
        <f aca="false">IF($C401="","",IFERROR(INDEX(商品マスタ!$H$6:$H$1005,MATCH($C401,商品マスタ!$B$6:$B$1005,0)),3))</f>
        <v/>
      </c>
      <c r="J401" s="66" t="str">
        <f aca="false">IF($C401="","",MAX(1,IFERROR(INDEX(商品マスタ!$I$6:$I$1005,MATCH($C401,商品マスタ!$B$6:$B$1005,0)),1)))</f>
        <v/>
      </c>
      <c r="K401" s="69" t="str">
        <f aca="false">IF($C401="","",SUMIFS(①今日の在庫を貼る!$N$6:$N$10005,①今日の在庫を貼る!$B$6:$B$10005,'設定（最初に1回）'!$C$4,①今日の在庫を貼る!$I$6:$I$10005,$C401))</f>
        <v/>
      </c>
      <c r="L401" s="69" t="str">
        <f aca="false">IF($C401="","",SUMIFS(月1回_前回の在庫を貼る!$N$6:$N$10005,月1回_前回の在庫を貼る!$B$6:$B$10005,'設定（最初に1回）'!$C$4,月1回_前回の在庫を貼る!$I$6:$I$10005,$C401))</f>
        <v/>
      </c>
      <c r="M401" s="69" t="str">
        <f aca="false">IF($C401="","",IF(OR('設定（最初に1回）'!$C$6="",'設定（最初に1回）'!$C$7=""),0,SUMIFS(発注管理!$S$6:$S$1005,発注管理!$C$6:$C$1005,'設定（最初に1回）'!$C$4,発注管理!$F$6:$F$1005,$C401,発注管理!$R$6:$R$1005,"&gt;="&amp;'設定（最初に1回）'!$C$7,発注管理!$R$6:$R$1005,"&lt;="&amp;'設定（最初に1回）'!$C$6)))</f>
        <v/>
      </c>
      <c r="N401" s="69" t="str">
        <f aca="false">IF(OR($C401="",'設定（最初に1回）'!$C$15=0),"",$L401+$M401-$K401)</f>
        <v/>
      </c>
      <c r="O401" s="143" t="str">
        <f aca="false">IF(OR($N401="",'設定（最初に1回）'!$C$8="",'設定（最初に1回）'!$C$8&lt;=0),"",MAX(0,$N401)/'設定（最初に1回）'!$C$8)</f>
        <v/>
      </c>
      <c r="P401" s="143" t="str">
        <f aca="false">IF($C401="","",IFERROR(INDEX(商品マスタ!$M$6:$N$1005,MATCH($C401,商品マスタ!$B$6:$B$1005,0),MATCH("PI値 "&amp;'設定（最初に1回）'!$C$11,商品マスタ!$M$5:$N$5,0)),""))</f>
        <v/>
      </c>
      <c r="Q401" s="143" t="str">
        <f aca="false">IF(OR($C401="",$P401="",$P401=0,(N($I401)+N($AG401))&lt;=0),"",IFERROR(SUMIFS(随時_動員を入れる!$G$8:$G$97,随時_動員を入れる!$B$8:$B$97,"&gt;="&amp;'設定（最初に1回）'!$C$6,随時_動員を入れる!$B$8:$B$97,"&lt;="&amp;'設定（最初に1回）'!$C$6+(N($I401)+N($AG401))-1)/(N($I401)+N($AG401)),0)*$P401/100)</f>
        <v/>
      </c>
      <c r="R401" s="69" t="str">
        <f aca="false">IF($C401="","",SUMIFS(①今日の在庫を貼る!$O$6:$O$10005,①今日の在庫を貼る!$B$6:$B$10005,'設定（最初に1回）'!$C$4,①今日の在庫を貼る!$I$6:$I$10005,$C401))</f>
        <v/>
      </c>
      <c r="S401" s="143" t="str">
        <f aca="false">IF($C401="","",IF('設定（最初に1回）'!$C$9="実績消費",N($O401),IF('設定（最初に1回）'!$C$9="PI値予測",N($Q401),MAX(N($O401),N($Q401)))))</f>
        <v/>
      </c>
      <c r="T401" s="67" t="str">
        <f aca="false">IF(OR($S401="",$S401&lt;=0),"",$K401/$S401)</f>
        <v/>
      </c>
      <c r="U401" s="69" t="str">
        <f aca="false">IF($S401="","",ROUNDUP(N($S401)*'設定（最初に1回）'!$C$12,0))</f>
        <v/>
      </c>
      <c r="V401" s="69" t="str">
        <f aca="false">IF($C401="","",ROUNDUP(N($S401)*(N($I401)+N($AG401))+N($U401),0))</f>
        <v/>
      </c>
      <c r="W401" s="69" t="str">
        <f aca="false">IF($C401="","",SUMIFS(発注管理!$L$6:$L$1005,発注管理!$C$6:$C$1005,'設定（最初に1回）'!$C$4,発注管理!$F$6:$F$1005,$C401,発注管理!$Q$6:$Q$1005,"発注済"))</f>
        <v/>
      </c>
      <c r="X401" s="69" t="str">
        <f aca="false">IF($C401="","",MAX(0,N($V401)-N($K401)-N($W401)))</f>
        <v/>
      </c>
      <c r="Y401" s="147" t="str">
        <f aca="false">IF($C401="","",IF(N($X401)&lt;=0,0,CEILING($X401/MAX(1,N($G401)),MAX(1,N($J401)))))</f>
        <v/>
      </c>
      <c r="Z401" s="138" t="str">
        <f aca="false">IF($C401="","",IF(N($Y401)&gt;0,"要発注","正常"))</f>
        <v/>
      </c>
      <c r="AA401" s="71" t="str">
        <f aca="false">IF($C401="","",N($K401)*N($H401))</f>
        <v/>
      </c>
      <c r="AB401" s="66" t="str">
        <f aca="false">IF($C401="","",_xlfn.TEXTJOIN(" / ",TRUE(),IF(COUNTIF(商品マスタ!$B$6:$B$1005,$C401)=0,"マスタ未登録",""),IF(COUNTIFS(月1回_前回の在庫を貼る!$B$6:$B$10005,'設定（最初に1回）'!$C$4,月1回_前回の在庫を貼る!$I$6:$I$10005,$C401)=0,"新商品",""),IF(COUNTIFS(①今日の在庫を貼る!$B$6:$B$10005,'設定（最初に1回）'!$C$4,①今日の在庫を貼る!$I$6:$I$10005,$C401)=0,"終売候補",""),IF(N($K401)&lt;0,"在庫マイナス",""),IF(AND('設定（最初に1回）'!$C$9="PI値予測",$P401=""),"PI値未設定","")))</f>
        <v/>
      </c>
      <c r="AC401" s="71" t="n">
        <f aca="false">N($Y401)*N($H401)</f>
        <v>0</v>
      </c>
      <c r="AD401" s="66" t="str">
        <f aca="false">IF($C401="","",IFERROR(INDEX(商品マスタ!$K$6:$K$1005,MATCH($C401,商品マスタ!$B$6:$B$1005,0)),"常温"))</f>
        <v/>
      </c>
      <c r="AE401" s="69" t="str">
        <f aca="false">IF($C401="","",MAX(0,ROUNDUP(N($K401)/MAX(1,N($G401)),0)))</f>
        <v/>
      </c>
      <c r="AF401" s="66" t="str">
        <f aca="false">IF($C401="","",IFERROR(INDEX(商品マスタ!$L$6:$L$1005,MATCH($C401,商品マスタ!$B$6:$B$1005,0)),""))</f>
        <v/>
      </c>
      <c r="AG401" s="143" t="str">
        <f aca="false">IF($C401="","",IFERROR(INDEX(定数マスタ!$S$110:$S$119,MATCH($AF401,定数マスタ!$J$110:$J$119,0)),N('設定（最初に1回）'!$C$13)))</f>
        <v/>
      </c>
      <c r="AH401" s="66" t="n">
        <f aca="false">IF(AND(N($K401)&gt;0,N($Y401)&gt;0),N($Y401),0)</f>
        <v>0</v>
      </c>
    </row>
    <row r="402" customFormat="false" ht="15" hidden="false" customHeight="false" outlineLevel="0" collapsed="false">
      <c r="B402" s="66" t="n">
        <v>397</v>
      </c>
      <c r="C402" s="66" t="str">
        <f aca="false">IFERROR(IF($B402&lt;=MAX(①今日の在庫を貼る!$U$6:$U$10005),INDEX(①今日の在庫を貼る!$I$6:$I$10005,MATCH($B402,①今日の在庫を貼る!$U$6:$U$10005,0)),INDEX(月1回_前回の在庫を貼る!$I$6:$I$10005,MATCH($B402-MAX(①今日の在庫を貼る!$U$6:$U$10005),月1回_前回の在庫を貼る!$U$6:$U$10005,0))),"")</f>
        <v/>
      </c>
      <c r="D402" s="66" t="str">
        <f aca="false">IF($C402="","",IFERROR(INDEX(商品マスタ!$C$6:$C$1005,MATCH($C402,商品マスタ!$B$6:$B$1005,0)),IFERROR(INDEX(①今日の在庫を貼る!$J$6:$J$10005,MATCH($C402,①今日の在庫を貼る!$I$6:$I$10005,0)),IFERROR(INDEX(月1回_前回の在庫を貼る!$J$6:$J$10005,MATCH($C402,月1回_前回の在庫を貼る!$I$6:$I$10005,0)),""))))</f>
        <v/>
      </c>
      <c r="E402" s="66" t="str">
        <f aca="false">IF($C402="","",IFERROR(INDEX(商品マスタ!$D$6:$D$1005,MATCH($C402,商品マスタ!$B$6:$B$1005,0)),IFERROR(INDEX(①今日の在庫を貼る!$H$6:$H$10005,MATCH($C402,①今日の在庫を貼る!$I$6:$I$10005,0)),IFERROR(INDEX(月1回_前回の在庫を貼る!$H$6:$H$10005,MATCH($C402,月1回_前回の在庫を貼る!$I$6:$I$10005,0)),""))))</f>
        <v/>
      </c>
      <c r="F402" s="66" t="str">
        <f aca="false">IF($C402="","",IFERROR(INDEX(商品マスタ!$E$6:$E$1005,MATCH($C402,商品マスタ!$B$6:$B$1005,0)),IFERROR(INDEX(①今日の在庫を貼る!$E$6:$E$10005,MATCH($C402,①今日の在庫を貼る!$I$6:$I$10005,0)),IFERROR(INDEX(月1回_前回の在庫を貼る!$E$6:$E$10005,MATCH($C402,月1回_前回の在庫を貼る!$I$6:$I$10005,0)),""))))</f>
        <v/>
      </c>
      <c r="G402" s="69" t="str">
        <f aca="false">IF($C402="","",IFERROR(INDEX(商品マスタ!$F$6:$F$1005,MATCH($C402,商品マスタ!$B$6:$B$1005,0)),IFERROR(INDEX(①今日の在庫を貼る!$K$6:$K$10005,MATCH($C402,①今日の在庫を貼る!$I$6:$I$10005,0)),IFERROR(INDEX(月1回_前回の在庫を貼る!$K$6:$K$10005,MATCH($C402,月1回_前回の在庫を貼る!$I$6:$I$10005,0)),""))))</f>
        <v/>
      </c>
      <c r="H402" s="71" t="str">
        <f aca="false">IF($C402="","",IFERROR(INDEX(商品マスタ!$G$6:$G$1005,MATCH($C402,商品マスタ!$B$6:$B$1005,0)),IFERROR(INDEX(①今日の在庫を貼る!$Q$6:$Q$10005,MATCH($C402,①今日の在庫を貼る!$I$6:$I$10005,0)),IFERROR(INDEX(月1回_前回の在庫を貼る!$Q$6:$Q$10005,MATCH($C402,月1回_前回の在庫を貼る!$I$6:$I$10005,0)),""))))</f>
        <v/>
      </c>
      <c r="I402" s="66" t="str">
        <f aca="false">IF($C402="","",IFERROR(INDEX(商品マスタ!$H$6:$H$1005,MATCH($C402,商品マスタ!$B$6:$B$1005,0)),3))</f>
        <v/>
      </c>
      <c r="J402" s="66" t="str">
        <f aca="false">IF($C402="","",MAX(1,IFERROR(INDEX(商品マスタ!$I$6:$I$1005,MATCH($C402,商品マスタ!$B$6:$B$1005,0)),1)))</f>
        <v/>
      </c>
      <c r="K402" s="69" t="str">
        <f aca="false">IF($C402="","",SUMIFS(①今日の在庫を貼る!$N$6:$N$10005,①今日の在庫を貼る!$B$6:$B$10005,'設定（最初に1回）'!$C$4,①今日の在庫を貼る!$I$6:$I$10005,$C402))</f>
        <v/>
      </c>
      <c r="L402" s="69" t="str">
        <f aca="false">IF($C402="","",SUMIFS(月1回_前回の在庫を貼る!$N$6:$N$10005,月1回_前回の在庫を貼る!$B$6:$B$10005,'設定（最初に1回）'!$C$4,月1回_前回の在庫を貼る!$I$6:$I$10005,$C402))</f>
        <v/>
      </c>
      <c r="M402" s="69" t="str">
        <f aca="false">IF($C402="","",IF(OR('設定（最初に1回）'!$C$6="",'設定（最初に1回）'!$C$7=""),0,SUMIFS(発注管理!$S$6:$S$1005,発注管理!$C$6:$C$1005,'設定（最初に1回）'!$C$4,発注管理!$F$6:$F$1005,$C402,発注管理!$R$6:$R$1005,"&gt;="&amp;'設定（最初に1回）'!$C$7,発注管理!$R$6:$R$1005,"&lt;="&amp;'設定（最初に1回）'!$C$6)))</f>
        <v/>
      </c>
      <c r="N402" s="69" t="str">
        <f aca="false">IF(OR($C402="",'設定（最初に1回）'!$C$15=0),"",$L402+$M402-$K402)</f>
        <v/>
      </c>
      <c r="O402" s="143" t="str">
        <f aca="false">IF(OR($N402="",'設定（最初に1回）'!$C$8="",'設定（最初に1回）'!$C$8&lt;=0),"",MAX(0,$N402)/'設定（最初に1回）'!$C$8)</f>
        <v/>
      </c>
      <c r="P402" s="143" t="str">
        <f aca="false">IF($C402="","",IFERROR(INDEX(商品マスタ!$M$6:$N$1005,MATCH($C402,商品マスタ!$B$6:$B$1005,0),MATCH("PI値 "&amp;'設定（最初に1回）'!$C$11,商品マスタ!$M$5:$N$5,0)),""))</f>
        <v/>
      </c>
      <c r="Q402" s="143" t="str">
        <f aca="false">IF(OR($C402="",$P402="",$P402=0,(N($I402)+N($AG402))&lt;=0),"",IFERROR(SUMIFS(随時_動員を入れる!$G$8:$G$97,随時_動員を入れる!$B$8:$B$97,"&gt;="&amp;'設定（最初に1回）'!$C$6,随時_動員を入れる!$B$8:$B$97,"&lt;="&amp;'設定（最初に1回）'!$C$6+(N($I402)+N($AG402))-1)/(N($I402)+N($AG402)),0)*$P402/100)</f>
        <v/>
      </c>
      <c r="R402" s="69" t="str">
        <f aca="false">IF($C402="","",SUMIFS(①今日の在庫を貼る!$O$6:$O$10005,①今日の在庫を貼る!$B$6:$B$10005,'設定（最初に1回）'!$C$4,①今日の在庫を貼る!$I$6:$I$10005,$C402))</f>
        <v/>
      </c>
      <c r="S402" s="143" t="str">
        <f aca="false">IF($C402="","",IF('設定（最初に1回）'!$C$9="実績消費",N($O402),IF('設定（最初に1回）'!$C$9="PI値予測",N($Q402),MAX(N($O402),N($Q402)))))</f>
        <v/>
      </c>
      <c r="T402" s="67" t="str">
        <f aca="false">IF(OR($S402="",$S402&lt;=0),"",$K402/$S402)</f>
        <v/>
      </c>
      <c r="U402" s="69" t="str">
        <f aca="false">IF($S402="","",ROUNDUP(N($S402)*'設定（最初に1回）'!$C$12,0))</f>
        <v/>
      </c>
      <c r="V402" s="69" t="str">
        <f aca="false">IF($C402="","",ROUNDUP(N($S402)*(N($I402)+N($AG402))+N($U402),0))</f>
        <v/>
      </c>
      <c r="W402" s="69" t="str">
        <f aca="false">IF($C402="","",SUMIFS(発注管理!$L$6:$L$1005,発注管理!$C$6:$C$1005,'設定（最初に1回）'!$C$4,発注管理!$F$6:$F$1005,$C402,発注管理!$Q$6:$Q$1005,"発注済"))</f>
        <v/>
      </c>
      <c r="X402" s="69" t="str">
        <f aca="false">IF($C402="","",MAX(0,N($V402)-N($K402)-N($W402)))</f>
        <v/>
      </c>
      <c r="Y402" s="147" t="str">
        <f aca="false">IF($C402="","",IF(N($X402)&lt;=0,0,CEILING($X402/MAX(1,N($G402)),MAX(1,N($J402)))))</f>
        <v/>
      </c>
      <c r="Z402" s="138" t="str">
        <f aca="false">IF($C402="","",IF(N($Y402)&gt;0,"要発注","正常"))</f>
        <v/>
      </c>
      <c r="AA402" s="71" t="str">
        <f aca="false">IF($C402="","",N($K402)*N($H402))</f>
        <v/>
      </c>
      <c r="AB402" s="66" t="str">
        <f aca="false">IF($C402="","",_xlfn.TEXTJOIN(" / ",TRUE(),IF(COUNTIF(商品マスタ!$B$6:$B$1005,$C402)=0,"マスタ未登録",""),IF(COUNTIFS(月1回_前回の在庫を貼る!$B$6:$B$10005,'設定（最初に1回）'!$C$4,月1回_前回の在庫を貼る!$I$6:$I$10005,$C402)=0,"新商品",""),IF(COUNTIFS(①今日の在庫を貼る!$B$6:$B$10005,'設定（最初に1回）'!$C$4,①今日の在庫を貼る!$I$6:$I$10005,$C402)=0,"終売候補",""),IF(N($K402)&lt;0,"在庫マイナス",""),IF(AND('設定（最初に1回）'!$C$9="PI値予測",$P402=""),"PI値未設定","")))</f>
        <v/>
      </c>
      <c r="AC402" s="71" t="n">
        <f aca="false">N($Y402)*N($H402)</f>
        <v>0</v>
      </c>
      <c r="AD402" s="66" t="str">
        <f aca="false">IF($C402="","",IFERROR(INDEX(商品マスタ!$K$6:$K$1005,MATCH($C402,商品マスタ!$B$6:$B$1005,0)),"常温"))</f>
        <v/>
      </c>
      <c r="AE402" s="69" t="str">
        <f aca="false">IF($C402="","",MAX(0,ROUNDUP(N($K402)/MAX(1,N($G402)),0)))</f>
        <v/>
      </c>
      <c r="AF402" s="66" t="str">
        <f aca="false">IF($C402="","",IFERROR(INDEX(商品マスタ!$L$6:$L$1005,MATCH($C402,商品マスタ!$B$6:$B$1005,0)),""))</f>
        <v/>
      </c>
      <c r="AG402" s="143" t="str">
        <f aca="false">IF($C402="","",IFERROR(INDEX(定数マスタ!$S$110:$S$119,MATCH($AF402,定数マスタ!$J$110:$J$119,0)),N('設定（最初に1回）'!$C$13)))</f>
        <v/>
      </c>
      <c r="AH402" s="66" t="n">
        <f aca="false">IF(AND(N($K402)&gt;0,N($Y402)&gt;0),N($Y402),0)</f>
        <v>0</v>
      </c>
    </row>
    <row r="403" customFormat="false" ht="15" hidden="false" customHeight="false" outlineLevel="0" collapsed="false">
      <c r="B403" s="66" t="n">
        <v>398</v>
      </c>
      <c r="C403" s="66" t="str">
        <f aca="false">IFERROR(IF($B403&lt;=MAX(①今日の在庫を貼る!$U$6:$U$10005),INDEX(①今日の在庫を貼る!$I$6:$I$10005,MATCH($B403,①今日の在庫を貼る!$U$6:$U$10005,0)),INDEX(月1回_前回の在庫を貼る!$I$6:$I$10005,MATCH($B403-MAX(①今日の在庫を貼る!$U$6:$U$10005),月1回_前回の在庫を貼る!$U$6:$U$10005,0))),"")</f>
        <v/>
      </c>
      <c r="D403" s="66" t="str">
        <f aca="false">IF($C403="","",IFERROR(INDEX(商品マスタ!$C$6:$C$1005,MATCH($C403,商品マスタ!$B$6:$B$1005,0)),IFERROR(INDEX(①今日の在庫を貼る!$J$6:$J$10005,MATCH($C403,①今日の在庫を貼る!$I$6:$I$10005,0)),IFERROR(INDEX(月1回_前回の在庫を貼る!$J$6:$J$10005,MATCH($C403,月1回_前回の在庫を貼る!$I$6:$I$10005,0)),""))))</f>
        <v/>
      </c>
      <c r="E403" s="66" t="str">
        <f aca="false">IF($C403="","",IFERROR(INDEX(商品マスタ!$D$6:$D$1005,MATCH($C403,商品マスタ!$B$6:$B$1005,0)),IFERROR(INDEX(①今日の在庫を貼る!$H$6:$H$10005,MATCH($C403,①今日の在庫を貼る!$I$6:$I$10005,0)),IFERROR(INDEX(月1回_前回の在庫を貼る!$H$6:$H$10005,MATCH($C403,月1回_前回の在庫を貼る!$I$6:$I$10005,0)),""))))</f>
        <v/>
      </c>
      <c r="F403" s="66" t="str">
        <f aca="false">IF($C403="","",IFERROR(INDEX(商品マスタ!$E$6:$E$1005,MATCH($C403,商品マスタ!$B$6:$B$1005,0)),IFERROR(INDEX(①今日の在庫を貼る!$E$6:$E$10005,MATCH($C403,①今日の在庫を貼る!$I$6:$I$10005,0)),IFERROR(INDEX(月1回_前回の在庫を貼る!$E$6:$E$10005,MATCH($C403,月1回_前回の在庫を貼る!$I$6:$I$10005,0)),""))))</f>
        <v/>
      </c>
      <c r="G403" s="69" t="str">
        <f aca="false">IF($C403="","",IFERROR(INDEX(商品マスタ!$F$6:$F$1005,MATCH($C403,商品マスタ!$B$6:$B$1005,0)),IFERROR(INDEX(①今日の在庫を貼る!$K$6:$K$10005,MATCH($C403,①今日の在庫を貼る!$I$6:$I$10005,0)),IFERROR(INDEX(月1回_前回の在庫を貼る!$K$6:$K$10005,MATCH($C403,月1回_前回の在庫を貼る!$I$6:$I$10005,0)),""))))</f>
        <v/>
      </c>
      <c r="H403" s="71" t="str">
        <f aca="false">IF($C403="","",IFERROR(INDEX(商品マスタ!$G$6:$G$1005,MATCH($C403,商品マスタ!$B$6:$B$1005,0)),IFERROR(INDEX(①今日の在庫を貼る!$Q$6:$Q$10005,MATCH($C403,①今日の在庫を貼る!$I$6:$I$10005,0)),IFERROR(INDEX(月1回_前回の在庫を貼る!$Q$6:$Q$10005,MATCH($C403,月1回_前回の在庫を貼る!$I$6:$I$10005,0)),""))))</f>
        <v/>
      </c>
      <c r="I403" s="66" t="str">
        <f aca="false">IF($C403="","",IFERROR(INDEX(商品マスタ!$H$6:$H$1005,MATCH($C403,商品マスタ!$B$6:$B$1005,0)),3))</f>
        <v/>
      </c>
      <c r="J403" s="66" t="str">
        <f aca="false">IF($C403="","",MAX(1,IFERROR(INDEX(商品マスタ!$I$6:$I$1005,MATCH($C403,商品マスタ!$B$6:$B$1005,0)),1)))</f>
        <v/>
      </c>
      <c r="K403" s="69" t="str">
        <f aca="false">IF($C403="","",SUMIFS(①今日の在庫を貼る!$N$6:$N$10005,①今日の在庫を貼る!$B$6:$B$10005,'設定（最初に1回）'!$C$4,①今日の在庫を貼る!$I$6:$I$10005,$C403))</f>
        <v/>
      </c>
      <c r="L403" s="69" t="str">
        <f aca="false">IF($C403="","",SUMIFS(月1回_前回の在庫を貼る!$N$6:$N$10005,月1回_前回の在庫を貼る!$B$6:$B$10005,'設定（最初に1回）'!$C$4,月1回_前回の在庫を貼る!$I$6:$I$10005,$C403))</f>
        <v/>
      </c>
      <c r="M403" s="69" t="str">
        <f aca="false">IF($C403="","",IF(OR('設定（最初に1回）'!$C$6="",'設定（最初に1回）'!$C$7=""),0,SUMIFS(発注管理!$S$6:$S$1005,発注管理!$C$6:$C$1005,'設定（最初に1回）'!$C$4,発注管理!$F$6:$F$1005,$C403,発注管理!$R$6:$R$1005,"&gt;="&amp;'設定（最初に1回）'!$C$7,発注管理!$R$6:$R$1005,"&lt;="&amp;'設定（最初に1回）'!$C$6)))</f>
        <v/>
      </c>
      <c r="N403" s="69" t="str">
        <f aca="false">IF(OR($C403="",'設定（最初に1回）'!$C$15=0),"",$L403+$M403-$K403)</f>
        <v/>
      </c>
      <c r="O403" s="143" t="str">
        <f aca="false">IF(OR($N403="",'設定（最初に1回）'!$C$8="",'設定（最初に1回）'!$C$8&lt;=0),"",MAX(0,$N403)/'設定（最初に1回）'!$C$8)</f>
        <v/>
      </c>
      <c r="P403" s="143" t="str">
        <f aca="false">IF($C403="","",IFERROR(INDEX(商品マスタ!$M$6:$N$1005,MATCH($C403,商品マスタ!$B$6:$B$1005,0),MATCH("PI値 "&amp;'設定（最初に1回）'!$C$11,商品マスタ!$M$5:$N$5,0)),""))</f>
        <v/>
      </c>
      <c r="Q403" s="143" t="str">
        <f aca="false">IF(OR($C403="",$P403="",$P403=0,(N($I403)+N($AG403))&lt;=0),"",IFERROR(SUMIFS(随時_動員を入れる!$G$8:$G$97,随時_動員を入れる!$B$8:$B$97,"&gt;="&amp;'設定（最初に1回）'!$C$6,随時_動員を入れる!$B$8:$B$97,"&lt;="&amp;'設定（最初に1回）'!$C$6+(N($I403)+N($AG403))-1)/(N($I403)+N($AG403)),0)*$P403/100)</f>
        <v/>
      </c>
      <c r="R403" s="69" t="str">
        <f aca="false">IF($C403="","",SUMIFS(①今日の在庫を貼る!$O$6:$O$10005,①今日の在庫を貼る!$B$6:$B$10005,'設定（最初に1回）'!$C$4,①今日の在庫を貼る!$I$6:$I$10005,$C403))</f>
        <v/>
      </c>
      <c r="S403" s="143" t="str">
        <f aca="false">IF($C403="","",IF('設定（最初に1回）'!$C$9="実績消費",N($O403),IF('設定（最初に1回）'!$C$9="PI値予測",N($Q403),MAX(N($O403),N($Q403)))))</f>
        <v/>
      </c>
      <c r="T403" s="67" t="str">
        <f aca="false">IF(OR($S403="",$S403&lt;=0),"",$K403/$S403)</f>
        <v/>
      </c>
      <c r="U403" s="69" t="str">
        <f aca="false">IF($S403="","",ROUNDUP(N($S403)*'設定（最初に1回）'!$C$12,0))</f>
        <v/>
      </c>
      <c r="V403" s="69" t="str">
        <f aca="false">IF($C403="","",ROUNDUP(N($S403)*(N($I403)+N($AG403))+N($U403),0))</f>
        <v/>
      </c>
      <c r="W403" s="69" t="str">
        <f aca="false">IF($C403="","",SUMIFS(発注管理!$L$6:$L$1005,発注管理!$C$6:$C$1005,'設定（最初に1回）'!$C$4,発注管理!$F$6:$F$1005,$C403,発注管理!$Q$6:$Q$1005,"発注済"))</f>
        <v/>
      </c>
      <c r="X403" s="69" t="str">
        <f aca="false">IF($C403="","",MAX(0,N($V403)-N($K403)-N($W403)))</f>
        <v/>
      </c>
      <c r="Y403" s="147" t="str">
        <f aca="false">IF($C403="","",IF(N($X403)&lt;=0,0,CEILING($X403/MAX(1,N($G403)),MAX(1,N($J403)))))</f>
        <v/>
      </c>
      <c r="Z403" s="138" t="str">
        <f aca="false">IF($C403="","",IF(N($Y403)&gt;0,"要発注","正常"))</f>
        <v/>
      </c>
      <c r="AA403" s="71" t="str">
        <f aca="false">IF($C403="","",N($K403)*N($H403))</f>
        <v/>
      </c>
      <c r="AB403" s="66" t="str">
        <f aca="false">IF($C403="","",_xlfn.TEXTJOIN(" / ",TRUE(),IF(COUNTIF(商品マスタ!$B$6:$B$1005,$C403)=0,"マスタ未登録",""),IF(COUNTIFS(月1回_前回の在庫を貼る!$B$6:$B$10005,'設定（最初に1回）'!$C$4,月1回_前回の在庫を貼る!$I$6:$I$10005,$C403)=0,"新商品",""),IF(COUNTIFS(①今日の在庫を貼る!$B$6:$B$10005,'設定（最初に1回）'!$C$4,①今日の在庫を貼る!$I$6:$I$10005,$C403)=0,"終売候補",""),IF(N($K403)&lt;0,"在庫マイナス",""),IF(AND('設定（最初に1回）'!$C$9="PI値予測",$P403=""),"PI値未設定","")))</f>
        <v/>
      </c>
      <c r="AC403" s="71" t="n">
        <f aca="false">N($Y403)*N($H403)</f>
        <v>0</v>
      </c>
      <c r="AD403" s="66" t="str">
        <f aca="false">IF($C403="","",IFERROR(INDEX(商品マスタ!$K$6:$K$1005,MATCH($C403,商品マスタ!$B$6:$B$1005,0)),"常温"))</f>
        <v/>
      </c>
      <c r="AE403" s="69" t="str">
        <f aca="false">IF($C403="","",MAX(0,ROUNDUP(N($K403)/MAX(1,N($G403)),0)))</f>
        <v/>
      </c>
      <c r="AF403" s="66" t="str">
        <f aca="false">IF($C403="","",IFERROR(INDEX(商品マスタ!$L$6:$L$1005,MATCH($C403,商品マスタ!$B$6:$B$1005,0)),""))</f>
        <v/>
      </c>
      <c r="AG403" s="143" t="str">
        <f aca="false">IF($C403="","",IFERROR(INDEX(定数マスタ!$S$110:$S$119,MATCH($AF403,定数マスタ!$J$110:$J$119,0)),N('設定（最初に1回）'!$C$13)))</f>
        <v/>
      </c>
      <c r="AH403" s="66" t="n">
        <f aca="false">IF(AND(N($K403)&gt;0,N($Y403)&gt;0),N($Y403),0)</f>
        <v>0</v>
      </c>
    </row>
    <row r="404" customFormat="false" ht="15" hidden="false" customHeight="false" outlineLevel="0" collapsed="false">
      <c r="B404" s="66" t="n">
        <v>399</v>
      </c>
      <c r="C404" s="66" t="str">
        <f aca="false">IFERROR(IF($B404&lt;=MAX(①今日の在庫を貼る!$U$6:$U$10005),INDEX(①今日の在庫を貼る!$I$6:$I$10005,MATCH($B404,①今日の在庫を貼る!$U$6:$U$10005,0)),INDEX(月1回_前回の在庫を貼る!$I$6:$I$10005,MATCH($B404-MAX(①今日の在庫を貼る!$U$6:$U$10005),月1回_前回の在庫を貼る!$U$6:$U$10005,0))),"")</f>
        <v/>
      </c>
      <c r="D404" s="66" t="str">
        <f aca="false">IF($C404="","",IFERROR(INDEX(商品マスタ!$C$6:$C$1005,MATCH($C404,商品マスタ!$B$6:$B$1005,0)),IFERROR(INDEX(①今日の在庫を貼る!$J$6:$J$10005,MATCH($C404,①今日の在庫を貼る!$I$6:$I$10005,0)),IFERROR(INDEX(月1回_前回の在庫を貼る!$J$6:$J$10005,MATCH($C404,月1回_前回の在庫を貼る!$I$6:$I$10005,0)),""))))</f>
        <v/>
      </c>
      <c r="E404" s="66" t="str">
        <f aca="false">IF($C404="","",IFERROR(INDEX(商品マスタ!$D$6:$D$1005,MATCH($C404,商品マスタ!$B$6:$B$1005,0)),IFERROR(INDEX(①今日の在庫を貼る!$H$6:$H$10005,MATCH($C404,①今日の在庫を貼る!$I$6:$I$10005,0)),IFERROR(INDEX(月1回_前回の在庫を貼る!$H$6:$H$10005,MATCH($C404,月1回_前回の在庫を貼る!$I$6:$I$10005,0)),""))))</f>
        <v/>
      </c>
      <c r="F404" s="66" t="str">
        <f aca="false">IF($C404="","",IFERROR(INDEX(商品マスタ!$E$6:$E$1005,MATCH($C404,商品マスタ!$B$6:$B$1005,0)),IFERROR(INDEX(①今日の在庫を貼る!$E$6:$E$10005,MATCH($C404,①今日の在庫を貼る!$I$6:$I$10005,0)),IFERROR(INDEX(月1回_前回の在庫を貼る!$E$6:$E$10005,MATCH($C404,月1回_前回の在庫を貼る!$I$6:$I$10005,0)),""))))</f>
        <v/>
      </c>
      <c r="G404" s="69" t="str">
        <f aca="false">IF($C404="","",IFERROR(INDEX(商品マスタ!$F$6:$F$1005,MATCH($C404,商品マスタ!$B$6:$B$1005,0)),IFERROR(INDEX(①今日の在庫を貼る!$K$6:$K$10005,MATCH($C404,①今日の在庫を貼る!$I$6:$I$10005,0)),IFERROR(INDEX(月1回_前回の在庫を貼る!$K$6:$K$10005,MATCH($C404,月1回_前回の在庫を貼る!$I$6:$I$10005,0)),""))))</f>
        <v/>
      </c>
      <c r="H404" s="71" t="str">
        <f aca="false">IF($C404="","",IFERROR(INDEX(商品マスタ!$G$6:$G$1005,MATCH($C404,商品マスタ!$B$6:$B$1005,0)),IFERROR(INDEX(①今日の在庫を貼る!$Q$6:$Q$10005,MATCH($C404,①今日の在庫を貼る!$I$6:$I$10005,0)),IFERROR(INDEX(月1回_前回の在庫を貼る!$Q$6:$Q$10005,MATCH($C404,月1回_前回の在庫を貼る!$I$6:$I$10005,0)),""))))</f>
        <v/>
      </c>
      <c r="I404" s="66" t="str">
        <f aca="false">IF($C404="","",IFERROR(INDEX(商品マスタ!$H$6:$H$1005,MATCH($C404,商品マスタ!$B$6:$B$1005,0)),3))</f>
        <v/>
      </c>
      <c r="J404" s="66" t="str">
        <f aca="false">IF($C404="","",MAX(1,IFERROR(INDEX(商品マスタ!$I$6:$I$1005,MATCH($C404,商品マスタ!$B$6:$B$1005,0)),1)))</f>
        <v/>
      </c>
      <c r="K404" s="69" t="str">
        <f aca="false">IF($C404="","",SUMIFS(①今日の在庫を貼る!$N$6:$N$10005,①今日の在庫を貼る!$B$6:$B$10005,'設定（最初に1回）'!$C$4,①今日の在庫を貼る!$I$6:$I$10005,$C404))</f>
        <v/>
      </c>
      <c r="L404" s="69" t="str">
        <f aca="false">IF($C404="","",SUMIFS(月1回_前回の在庫を貼る!$N$6:$N$10005,月1回_前回の在庫を貼る!$B$6:$B$10005,'設定（最初に1回）'!$C$4,月1回_前回の在庫を貼る!$I$6:$I$10005,$C404))</f>
        <v/>
      </c>
      <c r="M404" s="69" t="str">
        <f aca="false">IF($C404="","",IF(OR('設定（最初に1回）'!$C$6="",'設定（最初に1回）'!$C$7=""),0,SUMIFS(発注管理!$S$6:$S$1005,発注管理!$C$6:$C$1005,'設定（最初に1回）'!$C$4,発注管理!$F$6:$F$1005,$C404,発注管理!$R$6:$R$1005,"&gt;="&amp;'設定（最初に1回）'!$C$7,発注管理!$R$6:$R$1005,"&lt;="&amp;'設定（最初に1回）'!$C$6)))</f>
        <v/>
      </c>
      <c r="N404" s="69" t="str">
        <f aca="false">IF(OR($C404="",'設定（最初に1回）'!$C$15=0),"",$L404+$M404-$K404)</f>
        <v/>
      </c>
      <c r="O404" s="143" t="str">
        <f aca="false">IF(OR($N404="",'設定（最初に1回）'!$C$8="",'設定（最初に1回）'!$C$8&lt;=0),"",MAX(0,$N404)/'設定（最初に1回）'!$C$8)</f>
        <v/>
      </c>
      <c r="P404" s="143" t="str">
        <f aca="false">IF($C404="","",IFERROR(INDEX(商品マスタ!$M$6:$N$1005,MATCH($C404,商品マスタ!$B$6:$B$1005,0),MATCH("PI値 "&amp;'設定（最初に1回）'!$C$11,商品マスタ!$M$5:$N$5,0)),""))</f>
        <v/>
      </c>
      <c r="Q404" s="143" t="str">
        <f aca="false">IF(OR($C404="",$P404="",$P404=0,(N($I404)+N($AG404))&lt;=0),"",IFERROR(SUMIFS(随時_動員を入れる!$G$8:$G$97,随時_動員を入れる!$B$8:$B$97,"&gt;="&amp;'設定（最初に1回）'!$C$6,随時_動員を入れる!$B$8:$B$97,"&lt;="&amp;'設定（最初に1回）'!$C$6+(N($I404)+N($AG404))-1)/(N($I404)+N($AG404)),0)*$P404/100)</f>
        <v/>
      </c>
      <c r="R404" s="69" t="str">
        <f aca="false">IF($C404="","",SUMIFS(①今日の在庫を貼る!$O$6:$O$10005,①今日の在庫を貼る!$B$6:$B$10005,'設定（最初に1回）'!$C$4,①今日の在庫を貼る!$I$6:$I$10005,$C404))</f>
        <v/>
      </c>
      <c r="S404" s="143" t="str">
        <f aca="false">IF($C404="","",IF('設定（最初に1回）'!$C$9="実績消費",N($O404),IF('設定（最初に1回）'!$C$9="PI値予測",N($Q404),MAX(N($O404),N($Q404)))))</f>
        <v/>
      </c>
      <c r="T404" s="67" t="str">
        <f aca="false">IF(OR($S404="",$S404&lt;=0),"",$K404/$S404)</f>
        <v/>
      </c>
      <c r="U404" s="69" t="str">
        <f aca="false">IF($S404="","",ROUNDUP(N($S404)*'設定（最初に1回）'!$C$12,0))</f>
        <v/>
      </c>
      <c r="V404" s="69" t="str">
        <f aca="false">IF($C404="","",ROUNDUP(N($S404)*(N($I404)+N($AG404))+N($U404),0))</f>
        <v/>
      </c>
      <c r="W404" s="69" t="str">
        <f aca="false">IF($C404="","",SUMIFS(発注管理!$L$6:$L$1005,発注管理!$C$6:$C$1005,'設定（最初に1回）'!$C$4,発注管理!$F$6:$F$1005,$C404,発注管理!$Q$6:$Q$1005,"発注済"))</f>
        <v/>
      </c>
      <c r="X404" s="69" t="str">
        <f aca="false">IF($C404="","",MAX(0,N($V404)-N($K404)-N($W404)))</f>
        <v/>
      </c>
      <c r="Y404" s="147" t="str">
        <f aca="false">IF($C404="","",IF(N($X404)&lt;=0,0,CEILING($X404/MAX(1,N($G404)),MAX(1,N($J404)))))</f>
        <v/>
      </c>
      <c r="Z404" s="138" t="str">
        <f aca="false">IF($C404="","",IF(N($Y404)&gt;0,"要発注","正常"))</f>
        <v/>
      </c>
      <c r="AA404" s="71" t="str">
        <f aca="false">IF($C404="","",N($K404)*N($H404))</f>
        <v/>
      </c>
      <c r="AB404" s="66" t="str">
        <f aca="false">IF($C404="","",_xlfn.TEXTJOIN(" / ",TRUE(),IF(COUNTIF(商品マスタ!$B$6:$B$1005,$C404)=0,"マスタ未登録",""),IF(COUNTIFS(月1回_前回の在庫を貼る!$B$6:$B$10005,'設定（最初に1回）'!$C$4,月1回_前回の在庫を貼る!$I$6:$I$10005,$C404)=0,"新商品",""),IF(COUNTIFS(①今日の在庫を貼る!$B$6:$B$10005,'設定（最初に1回）'!$C$4,①今日の在庫を貼る!$I$6:$I$10005,$C404)=0,"終売候補",""),IF(N($K404)&lt;0,"在庫マイナス",""),IF(AND('設定（最初に1回）'!$C$9="PI値予測",$P404=""),"PI値未設定","")))</f>
        <v/>
      </c>
      <c r="AC404" s="71" t="n">
        <f aca="false">N($Y404)*N($H404)</f>
        <v>0</v>
      </c>
      <c r="AD404" s="66" t="str">
        <f aca="false">IF($C404="","",IFERROR(INDEX(商品マスタ!$K$6:$K$1005,MATCH($C404,商品マスタ!$B$6:$B$1005,0)),"常温"))</f>
        <v/>
      </c>
      <c r="AE404" s="69" t="str">
        <f aca="false">IF($C404="","",MAX(0,ROUNDUP(N($K404)/MAX(1,N($G404)),0)))</f>
        <v/>
      </c>
      <c r="AF404" s="66" t="str">
        <f aca="false">IF($C404="","",IFERROR(INDEX(商品マスタ!$L$6:$L$1005,MATCH($C404,商品マスタ!$B$6:$B$1005,0)),""))</f>
        <v/>
      </c>
      <c r="AG404" s="143" t="str">
        <f aca="false">IF($C404="","",IFERROR(INDEX(定数マスタ!$S$110:$S$119,MATCH($AF404,定数マスタ!$J$110:$J$119,0)),N('設定（最初に1回）'!$C$13)))</f>
        <v/>
      </c>
      <c r="AH404" s="66" t="n">
        <f aca="false">IF(AND(N($K404)&gt;0,N($Y404)&gt;0),N($Y404),0)</f>
        <v>0</v>
      </c>
    </row>
    <row r="405" customFormat="false" ht="15" hidden="false" customHeight="false" outlineLevel="0" collapsed="false">
      <c r="B405" s="66" t="n">
        <v>400</v>
      </c>
      <c r="C405" s="66" t="str">
        <f aca="false">IFERROR(IF($B405&lt;=MAX(①今日の在庫を貼る!$U$6:$U$10005),INDEX(①今日の在庫を貼る!$I$6:$I$10005,MATCH($B405,①今日の在庫を貼る!$U$6:$U$10005,0)),INDEX(月1回_前回の在庫を貼る!$I$6:$I$10005,MATCH($B405-MAX(①今日の在庫を貼る!$U$6:$U$10005),月1回_前回の在庫を貼る!$U$6:$U$10005,0))),"")</f>
        <v/>
      </c>
      <c r="D405" s="66" t="str">
        <f aca="false">IF($C405="","",IFERROR(INDEX(商品マスタ!$C$6:$C$1005,MATCH($C405,商品マスタ!$B$6:$B$1005,0)),IFERROR(INDEX(①今日の在庫を貼る!$J$6:$J$10005,MATCH($C405,①今日の在庫を貼る!$I$6:$I$10005,0)),IFERROR(INDEX(月1回_前回の在庫を貼る!$J$6:$J$10005,MATCH($C405,月1回_前回の在庫を貼る!$I$6:$I$10005,0)),""))))</f>
        <v/>
      </c>
      <c r="E405" s="66" t="str">
        <f aca="false">IF($C405="","",IFERROR(INDEX(商品マスタ!$D$6:$D$1005,MATCH($C405,商品マスタ!$B$6:$B$1005,0)),IFERROR(INDEX(①今日の在庫を貼る!$H$6:$H$10005,MATCH($C405,①今日の在庫を貼る!$I$6:$I$10005,0)),IFERROR(INDEX(月1回_前回の在庫を貼る!$H$6:$H$10005,MATCH($C405,月1回_前回の在庫を貼る!$I$6:$I$10005,0)),""))))</f>
        <v/>
      </c>
      <c r="F405" s="66" t="str">
        <f aca="false">IF($C405="","",IFERROR(INDEX(商品マスタ!$E$6:$E$1005,MATCH($C405,商品マスタ!$B$6:$B$1005,0)),IFERROR(INDEX(①今日の在庫を貼る!$E$6:$E$10005,MATCH($C405,①今日の在庫を貼る!$I$6:$I$10005,0)),IFERROR(INDEX(月1回_前回の在庫を貼る!$E$6:$E$10005,MATCH($C405,月1回_前回の在庫を貼る!$I$6:$I$10005,0)),""))))</f>
        <v/>
      </c>
      <c r="G405" s="69" t="str">
        <f aca="false">IF($C405="","",IFERROR(INDEX(商品マスタ!$F$6:$F$1005,MATCH($C405,商品マスタ!$B$6:$B$1005,0)),IFERROR(INDEX(①今日の在庫を貼る!$K$6:$K$10005,MATCH($C405,①今日の在庫を貼る!$I$6:$I$10005,0)),IFERROR(INDEX(月1回_前回の在庫を貼る!$K$6:$K$10005,MATCH($C405,月1回_前回の在庫を貼る!$I$6:$I$10005,0)),""))))</f>
        <v/>
      </c>
      <c r="H405" s="71" t="str">
        <f aca="false">IF($C405="","",IFERROR(INDEX(商品マスタ!$G$6:$G$1005,MATCH($C405,商品マスタ!$B$6:$B$1005,0)),IFERROR(INDEX(①今日の在庫を貼る!$Q$6:$Q$10005,MATCH($C405,①今日の在庫を貼る!$I$6:$I$10005,0)),IFERROR(INDEX(月1回_前回の在庫を貼る!$Q$6:$Q$10005,MATCH($C405,月1回_前回の在庫を貼る!$I$6:$I$10005,0)),""))))</f>
        <v/>
      </c>
      <c r="I405" s="66" t="str">
        <f aca="false">IF($C405="","",IFERROR(INDEX(商品マスタ!$H$6:$H$1005,MATCH($C405,商品マスタ!$B$6:$B$1005,0)),3))</f>
        <v/>
      </c>
      <c r="J405" s="66" t="str">
        <f aca="false">IF($C405="","",MAX(1,IFERROR(INDEX(商品マスタ!$I$6:$I$1005,MATCH($C405,商品マスタ!$B$6:$B$1005,0)),1)))</f>
        <v/>
      </c>
      <c r="K405" s="69" t="str">
        <f aca="false">IF($C405="","",SUMIFS(①今日の在庫を貼る!$N$6:$N$10005,①今日の在庫を貼る!$B$6:$B$10005,'設定（最初に1回）'!$C$4,①今日の在庫を貼る!$I$6:$I$10005,$C405))</f>
        <v/>
      </c>
      <c r="L405" s="69" t="str">
        <f aca="false">IF($C405="","",SUMIFS(月1回_前回の在庫を貼る!$N$6:$N$10005,月1回_前回の在庫を貼る!$B$6:$B$10005,'設定（最初に1回）'!$C$4,月1回_前回の在庫を貼る!$I$6:$I$10005,$C405))</f>
        <v/>
      </c>
      <c r="M405" s="69" t="str">
        <f aca="false">IF($C405="","",IF(OR('設定（最初に1回）'!$C$6="",'設定（最初に1回）'!$C$7=""),0,SUMIFS(発注管理!$S$6:$S$1005,発注管理!$C$6:$C$1005,'設定（最初に1回）'!$C$4,発注管理!$F$6:$F$1005,$C405,発注管理!$R$6:$R$1005,"&gt;="&amp;'設定（最初に1回）'!$C$7,発注管理!$R$6:$R$1005,"&lt;="&amp;'設定（最初に1回）'!$C$6)))</f>
        <v/>
      </c>
      <c r="N405" s="69" t="str">
        <f aca="false">IF(OR($C405="",'設定（最初に1回）'!$C$15=0),"",$L405+$M405-$K405)</f>
        <v/>
      </c>
      <c r="O405" s="143" t="str">
        <f aca="false">IF(OR($N405="",'設定（最初に1回）'!$C$8="",'設定（最初に1回）'!$C$8&lt;=0),"",MAX(0,$N405)/'設定（最初に1回）'!$C$8)</f>
        <v/>
      </c>
      <c r="P405" s="143" t="str">
        <f aca="false">IF($C405="","",IFERROR(INDEX(商品マスタ!$M$6:$N$1005,MATCH($C405,商品マスタ!$B$6:$B$1005,0),MATCH("PI値 "&amp;'設定（最初に1回）'!$C$11,商品マスタ!$M$5:$N$5,0)),""))</f>
        <v/>
      </c>
      <c r="Q405" s="143" t="str">
        <f aca="false">IF(OR($C405="",$P405="",$P405=0,(N($I405)+N($AG405))&lt;=0),"",IFERROR(SUMIFS(随時_動員を入れる!$G$8:$G$97,随時_動員を入れる!$B$8:$B$97,"&gt;="&amp;'設定（最初に1回）'!$C$6,随時_動員を入れる!$B$8:$B$97,"&lt;="&amp;'設定（最初に1回）'!$C$6+(N($I405)+N($AG405))-1)/(N($I405)+N($AG405)),0)*$P405/100)</f>
        <v/>
      </c>
      <c r="R405" s="69" t="str">
        <f aca="false">IF($C405="","",SUMIFS(①今日の在庫を貼る!$O$6:$O$10005,①今日の在庫を貼る!$B$6:$B$10005,'設定（最初に1回）'!$C$4,①今日の在庫を貼る!$I$6:$I$10005,$C405))</f>
        <v/>
      </c>
      <c r="S405" s="143" t="str">
        <f aca="false">IF($C405="","",IF('設定（最初に1回）'!$C$9="実績消費",N($O405),IF('設定（最初に1回）'!$C$9="PI値予測",N($Q405),MAX(N($O405),N($Q405)))))</f>
        <v/>
      </c>
      <c r="T405" s="67" t="str">
        <f aca="false">IF(OR($S405="",$S405&lt;=0),"",$K405/$S405)</f>
        <v/>
      </c>
      <c r="U405" s="69" t="str">
        <f aca="false">IF($S405="","",ROUNDUP(N($S405)*'設定（最初に1回）'!$C$12,0))</f>
        <v/>
      </c>
      <c r="V405" s="69" t="str">
        <f aca="false">IF($C405="","",ROUNDUP(N($S405)*(N($I405)+N($AG405))+N($U405),0))</f>
        <v/>
      </c>
      <c r="W405" s="69" t="str">
        <f aca="false">IF($C405="","",SUMIFS(発注管理!$L$6:$L$1005,発注管理!$C$6:$C$1005,'設定（最初に1回）'!$C$4,発注管理!$F$6:$F$1005,$C405,発注管理!$Q$6:$Q$1005,"発注済"))</f>
        <v/>
      </c>
      <c r="X405" s="69" t="str">
        <f aca="false">IF($C405="","",MAX(0,N($V405)-N($K405)-N($W405)))</f>
        <v/>
      </c>
      <c r="Y405" s="147" t="str">
        <f aca="false">IF($C405="","",IF(N($X405)&lt;=0,0,CEILING($X405/MAX(1,N($G405)),MAX(1,N($J405)))))</f>
        <v/>
      </c>
      <c r="Z405" s="138" t="str">
        <f aca="false">IF($C405="","",IF(N($Y405)&gt;0,"要発注","正常"))</f>
        <v/>
      </c>
      <c r="AA405" s="71" t="str">
        <f aca="false">IF($C405="","",N($K405)*N($H405))</f>
        <v/>
      </c>
      <c r="AB405" s="66" t="str">
        <f aca="false">IF($C405="","",_xlfn.TEXTJOIN(" / ",TRUE(),IF(COUNTIF(商品マスタ!$B$6:$B$1005,$C405)=0,"マスタ未登録",""),IF(COUNTIFS(月1回_前回の在庫を貼る!$B$6:$B$10005,'設定（最初に1回）'!$C$4,月1回_前回の在庫を貼る!$I$6:$I$10005,$C405)=0,"新商品",""),IF(COUNTIFS(①今日の在庫を貼る!$B$6:$B$10005,'設定（最初に1回）'!$C$4,①今日の在庫を貼る!$I$6:$I$10005,$C405)=0,"終売候補",""),IF(N($K405)&lt;0,"在庫マイナス",""),IF(AND('設定（最初に1回）'!$C$9="PI値予測",$P405=""),"PI値未設定","")))</f>
        <v/>
      </c>
      <c r="AC405" s="71" t="n">
        <f aca="false">N($Y405)*N($H405)</f>
        <v>0</v>
      </c>
      <c r="AD405" s="66" t="str">
        <f aca="false">IF($C405="","",IFERROR(INDEX(商品マスタ!$K$6:$K$1005,MATCH($C405,商品マスタ!$B$6:$B$1005,0)),"常温"))</f>
        <v/>
      </c>
      <c r="AE405" s="69" t="str">
        <f aca="false">IF($C405="","",MAX(0,ROUNDUP(N($K405)/MAX(1,N($G405)),0)))</f>
        <v/>
      </c>
      <c r="AF405" s="66" t="str">
        <f aca="false">IF($C405="","",IFERROR(INDEX(商品マスタ!$L$6:$L$1005,MATCH($C405,商品マスタ!$B$6:$B$1005,0)),""))</f>
        <v/>
      </c>
      <c r="AG405" s="143" t="str">
        <f aca="false">IF($C405="","",IFERROR(INDEX(定数マスタ!$S$110:$S$119,MATCH($AF405,定数マスタ!$J$110:$J$119,0)),N('設定（最初に1回）'!$C$13)))</f>
        <v/>
      </c>
      <c r="AH405" s="66" t="n">
        <f aca="false">IF(AND(N($K405)&gt;0,N($Y405)&gt;0),N($Y405),0)</f>
        <v>0</v>
      </c>
    </row>
  </sheetData>
  <conditionalFormatting sqref="Z6:Z405">
    <cfRule type="cellIs" priority="2" operator="equal" aboveAverage="0" equalAverage="0" bottom="0" percent="0" rank="0" text="" dxfId="18">
      <formula>"要発注"</formula>
    </cfRule>
  </conditionalFormatting>
  <conditionalFormatting sqref="K6:K405">
    <cfRule type="cellIs" priority="3" operator="lessThan" aboveAverage="0" equalAverage="0" bottom="0" percent="0" rank="0" text="" dxfId="19">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1D24"/>
    <pageSetUpPr fitToPage="false"/>
  </sheetPr>
  <dimension ref="B2:J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2" min="2" style="0" width="12"/>
    <col collapsed="false" customWidth="true" hidden="false" outlineLevel="0" max="3" min="3" style="0" width="22"/>
    <col collapsed="false" customWidth="true" hidden="false" outlineLevel="0" max="4" min="4" style="0" width="12"/>
    <col collapsed="false" customWidth="true" hidden="false" outlineLevel="0" max="5" min="5" style="0" width="16"/>
    <col collapsed="false" customWidth="true" hidden="false" outlineLevel="0" max="6" min="6" style="0" width="13"/>
    <col collapsed="false" customWidth="true" hidden="false" outlineLevel="0" max="7" min="7" style="0" width="16"/>
    <col collapsed="false" customWidth="true" hidden="false" outlineLevel="0" max="8" min="8" style="0" width="18"/>
    <col collapsed="false" customWidth="true" hidden="false" outlineLevel="0" max="10" min="9" style="0" width="16"/>
  </cols>
  <sheetData>
    <row r="2" customFormat="false" ht="18.55" hidden="false" customHeight="false" outlineLevel="0" collapsed="false">
      <c r="B2" s="1" t="s">
        <v>759</v>
      </c>
    </row>
    <row r="3" customFormat="false" ht="15" hidden="false" customHeight="false" outlineLevel="0" collapsed="false">
      <c r="B3" s="31" t="s">
        <v>760</v>
      </c>
    </row>
    <row r="4" customFormat="false" ht="15" hidden="false" customHeight="false" outlineLevel="0" collapsed="false">
      <c r="B4" s="63" t="s">
        <v>502</v>
      </c>
      <c r="C4" s="63" t="s">
        <v>502</v>
      </c>
      <c r="D4" s="63" t="s">
        <v>502</v>
      </c>
      <c r="E4" s="63" t="s">
        <v>502</v>
      </c>
      <c r="F4" s="63" t="s">
        <v>502</v>
      </c>
      <c r="G4" s="63" t="s">
        <v>502</v>
      </c>
      <c r="H4" s="63" t="s">
        <v>502</v>
      </c>
      <c r="I4" s="63" t="s">
        <v>502</v>
      </c>
      <c r="J4" s="63" t="s">
        <v>502</v>
      </c>
    </row>
    <row r="5" customFormat="false" ht="15" hidden="false" customHeight="false" outlineLevel="0" collapsed="false">
      <c r="B5" s="18" t="s">
        <v>152</v>
      </c>
      <c r="C5" s="18" t="s">
        <v>153</v>
      </c>
      <c r="D5" s="18" t="s">
        <v>652</v>
      </c>
      <c r="E5" s="18" t="s">
        <v>761</v>
      </c>
      <c r="F5" s="18" t="s">
        <v>580</v>
      </c>
      <c r="G5" s="18" t="s">
        <v>762</v>
      </c>
      <c r="H5" s="18" t="s">
        <v>763</v>
      </c>
      <c r="I5" s="18" t="s">
        <v>764</v>
      </c>
      <c r="J5" s="18" t="s">
        <v>765</v>
      </c>
    </row>
    <row r="6" customFormat="false" ht="15" hidden="false" customHeight="false" outlineLevel="0" collapsed="false">
      <c r="B6" s="148" t="str">
        <f aca="false">IF(定数マスタ!$B6="","",定数マスタ!$B6)</f>
        <v>0761</v>
      </c>
      <c r="C6" s="66" t="str">
        <f aca="false">IF($B6="","",定数マスタ!$C6)</f>
        <v>新宿</v>
      </c>
      <c r="D6" s="66" t="str">
        <f aca="false">IF($B6="","",定数マスタ!$D6)</f>
        <v>大規模</v>
      </c>
      <c r="E6" s="66" t="str">
        <f aca="false">IF($B6="","",定数マスタ!$E6)</f>
        <v>1杯売り</v>
      </c>
      <c r="F6" s="69" t="n">
        <f aca="false">IF($B6="","",COUNTIFS(①今日の在庫を貼る!$B$6:$B$10005,$B6,①今日の在庫を貼る!$I$6:$I$10005,"&lt;&gt;"))</f>
        <v>134</v>
      </c>
      <c r="G6" s="71" t="n">
        <f aca="false">IF($B6="","",SUMPRODUCT((①今日の在庫を貼る!$B$6:$B$10005=$B6)*①今日の在庫を貼る!$N$6:$N$10005*①今日の在庫を貼る!$Q$6:$Q$10005))</f>
        <v>12601414.64</v>
      </c>
      <c r="H6" s="69" t="n">
        <f aca="false">IF($B6="","",COUNTIFS(①今日の在庫を貼る!$B$6:$B$10005,$B6,①今日の在庫を貼る!$N$6:$N$10005,"&lt;0"))</f>
        <v>7</v>
      </c>
      <c r="I6" s="69" t="n">
        <f aca="false">IF($B6="","",COUNTIFS(発注管理!$C$6:$C$1005,$B6,発注管理!$Q$6:$Q$1005,"発注済"))</f>
        <v>2</v>
      </c>
      <c r="J6" s="71" t="n">
        <f aca="false">IF(OR($B6="",'設定（最初に1回）'!$C$6=""),"",SUMIFS(発注管理!$N$6:$N$1005,発注管理!$C$6:$C$1005,$B6,発注管理!$E$6:$E$1005,"&gt;="&amp;DATE(YEAR('設定（最初に1回）'!$C$6),MONTH('設定（最初に1回）'!$C$6),1),発注管理!$E$6:$E$1005,"&lt;="&amp;DATE(YEAR('設定（最初に1回）'!$C$6),MONTH('設定（最初に1回）'!$C$6)+1,0)))</f>
        <v>0</v>
      </c>
    </row>
    <row r="7" customFormat="false" ht="15" hidden="false" customHeight="false" outlineLevel="0" collapsed="false">
      <c r="B7" s="148" t="str">
        <f aca="false">IF(定数マスタ!$B7="","",定数マスタ!$B7)</f>
        <v>0301</v>
      </c>
      <c r="C7" s="66" t="str">
        <f aca="false">IF($B7="","",定数マスタ!$C7)</f>
        <v>中央シネマ</v>
      </c>
      <c r="D7" s="66" t="str">
        <f aca="false">IF($B7="","",定数マスタ!$D7)</f>
        <v>中規模</v>
      </c>
      <c r="E7" s="66" t="str">
        <f aca="false">IF($B7="","",定数マスタ!$E7)</f>
        <v>ドリンクバー</v>
      </c>
      <c r="F7" s="69" t="n">
        <f aca="false">IF($B7="","",COUNTIFS(①今日の在庫を貼る!$B$6:$B$10005,$B7,①今日の在庫を貼る!$I$6:$I$10005,"&lt;&gt;"))</f>
        <v>97</v>
      </c>
      <c r="G7" s="71" t="n">
        <f aca="false">IF($B7="","",SUMPRODUCT((①今日の在庫を貼る!$B$6:$B$10005=$B7)*①今日の在庫を貼る!$N$6:$N$10005*①今日の在庫を貼る!$Q$6:$Q$10005))</f>
        <v>11448728.79</v>
      </c>
      <c r="H7" s="69" t="n">
        <f aca="false">IF($B7="","",COUNTIFS(①今日の在庫を貼る!$B$6:$B$10005,$B7,①今日の在庫を貼る!$N$6:$N$10005,"&lt;0"))</f>
        <v>6</v>
      </c>
      <c r="I7" s="69" t="n">
        <f aca="false">IF($B7="","",COUNTIFS(発注管理!$C$6:$C$1005,$B7,発注管理!$Q$6:$Q$1005,"発注済"))</f>
        <v>2</v>
      </c>
      <c r="J7" s="71" t="n">
        <f aca="false">IF(OR($B7="",'設定（最初に1回）'!$C$6=""),"",SUMIFS(発注管理!$N$6:$N$1005,発注管理!$C$6:$C$1005,$B7,発注管理!$E$6:$E$1005,"&gt;="&amp;DATE(YEAR('設定（最初に1回）'!$C$6),MONTH('設定（最初に1回）'!$C$6),1),発注管理!$E$6:$E$1005,"&lt;="&amp;DATE(YEAR('設定（最初に1回）'!$C$6),MONTH('設定（最初に1回）'!$C$6)+1,0)))</f>
        <v>0</v>
      </c>
    </row>
    <row r="8" customFormat="false" ht="15" hidden="false" customHeight="false" outlineLevel="0" collapsed="false">
      <c r="B8" s="148" t="str">
        <f aca="false">IF(定数マスタ!$B8="","",定数マスタ!$B8)</f>
        <v>0902</v>
      </c>
      <c r="C8" s="66" t="str">
        <f aca="false">IF($B8="","",定数マスタ!$C8)</f>
        <v>郊外シネマ</v>
      </c>
      <c r="D8" s="66" t="str">
        <f aca="false">IF($B8="","",定数マスタ!$D8)</f>
        <v>小規模</v>
      </c>
      <c r="E8" s="66" t="str">
        <f aca="false">IF($B8="","",定数マスタ!$E8)</f>
        <v>1杯売り</v>
      </c>
      <c r="F8" s="69" t="n">
        <f aca="false">IF($B8="","",COUNTIFS(①今日の在庫を貼る!$B$6:$B$10005,$B8,①今日の在庫を貼る!$I$6:$I$10005,"&lt;&gt;"))</f>
        <v>74</v>
      </c>
      <c r="G8" s="71" t="n">
        <f aca="false">IF($B8="","",SUMPRODUCT((①今日の在庫を貼る!$B$6:$B$10005=$B8)*①今日の在庫を貼る!$N$6:$N$10005*①今日の在庫を貼る!$Q$6:$Q$10005))</f>
        <v>24356306.65</v>
      </c>
      <c r="H8" s="69" t="n">
        <f aca="false">IF($B8="","",COUNTIFS(①今日の在庫を貼る!$B$6:$B$10005,$B8,①今日の在庫を貼る!$N$6:$N$10005,"&lt;0"))</f>
        <v>2</v>
      </c>
      <c r="I8" s="69" t="n">
        <f aca="false">IF($B8="","",COUNTIFS(発注管理!$C$6:$C$1005,$B8,発注管理!$Q$6:$Q$1005,"発注済"))</f>
        <v>2</v>
      </c>
      <c r="J8" s="71" t="n">
        <f aca="false">IF(OR($B8="",'設定（最初に1回）'!$C$6=""),"",SUMIFS(発注管理!$N$6:$N$1005,発注管理!$C$6:$C$1005,$B8,発注管理!$E$6:$E$1005,"&gt;="&amp;DATE(YEAR('設定（最初に1回）'!$C$6),MONTH('設定（最初に1回）'!$C$6),1),発注管理!$E$6:$E$1005,"&lt;="&amp;DATE(YEAR('設定（最初に1回）'!$C$6),MONTH('設定（最初に1回）'!$C$6)+1,0)))</f>
        <v>0</v>
      </c>
    </row>
    <row r="9" customFormat="false" ht="15" hidden="false" customHeight="false" outlineLevel="0" collapsed="false">
      <c r="B9" s="148" t="str">
        <f aca="false">IF(定数マスタ!$B9="","",定数マスタ!$B9)</f>
        <v/>
      </c>
      <c r="C9" s="66" t="str">
        <f aca="false">IF($B9="","",定数マスタ!$C9)</f>
        <v/>
      </c>
      <c r="D9" s="66" t="str">
        <f aca="false">IF($B9="","",定数マスタ!$D9)</f>
        <v/>
      </c>
      <c r="E9" s="66" t="str">
        <f aca="false">IF($B9="","",定数マスタ!$E9)</f>
        <v/>
      </c>
      <c r="F9" s="69" t="str">
        <f aca="false">IF($B9="","",COUNTIFS(①今日の在庫を貼る!$B$6:$B$10005,$B9,①今日の在庫を貼る!$I$6:$I$10005,"&lt;&gt;"))</f>
        <v/>
      </c>
      <c r="G9" s="71" t="str">
        <f aca="false">IF($B9="","",SUMPRODUCT((①今日の在庫を貼る!$B$6:$B$10005=$B9)*①今日の在庫を貼る!$N$6:$N$10005*①今日の在庫を貼る!$Q$6:$Q$10005))</f>
        <v/>
      </c>
      <c r="H9" s="69" t="str">
        <f aca="false">IF($B9="","",COUNTIFS(①今日の在庫を貼る!$B$6:$B$10005,$B9,①今日の在庫を貼る!$N$6:$N$10005,"&lt;0"))</f>
        <v/>
      </c>
      <c r="I9" s="69" t="str">
        <f aca="false">IF($B9="","",COUNTIFS(発注管理!$C$6:$C$1005,$B9,発注管理!$Q$6:$Q$1005,"発注済"))</f>
        <v/>
      </c>
      <c r="J9" s="71" t="str">
        <f aca="false">IF(OR($B9="",'設定（最初に1回）'!$C$6=""),"",SUMIFS(発注管理!$N$6:$N$1005,発注管理!$C$6:$C$1005,$B9,発注管理!$E$6:$E$1005,"&gt;="&amp;DATE(YEAR('設定（最初に1回）'!$C$6),MONTH('設定（最初に1回）'!$C$6),1),発注管理!$E$6:$E$1005,"&lt;="&amp;DATE(YEAR('設定（最初に1回）'!$C$6),MONTH('設定（最初に1回）'!$C$6)+1,0)))</f>
        <v/>
      </c>
    </row>
    <row r="10" customFormat="false" ht="15" hidden="false" customHeight="false" outlineLevel="0" collapsed="false">
      <c r="B10" s="148" t="str">
        <f aca="false">IF(定数マスタ!$B10="","",定数マスタ!$B10)</f>
        <v/>
      </c>
      <c r="C10" s="66" t="str">
        <f aca="false">IF($B10="","",定数マスタ!$C10)</f>
        <v/>
      </c>
      <c r="D10" s="66" t="str">
        <f aca="false">IF($B10="","",定数マスタ!$D10)</f>
        <v/>
      </c>
      <c r="E10" s="66" t="str">
        <f aca="false">IF($B10="","",定数マスタ!$E10)</f>
        <v/>
      </c>
      <c r="F10" s="69" t="str">
        <f aca="false">IF($B10="","",COUNTIFS(①今日の在庫を貼る!$B$6:$B$10005,$B10,①今日の在庫を貼る!$I$6:$I$10005,"&lt;&gt;"))</f>
        <v/>
      </c>
      <c r="G10" s="71" t="str">
        <f aca="false">IF($B10="","",SUMPRODUCT((①今日の在庫を貼る!$B$6:$B$10005=$B10)*①今日の在庫を貼る!$N$6:$N$10005*①今日の在庫を貼る!$Q$6:$Q$10005))</f>
        <v/>
      </c>
      <c r="H10" s="69" t="str">
        <f aca="false">IF($B10="","",COUNTIFS(①今日の在庫を貼る!$B$6:$B$10005,$B10,①今日の在庫を貼る!$N$6:$N$10005,"&lt;0"))</f>
        <v/>
      </c>
      <c r="I10" s="69" t="str">
        <f aca="false">IF($B10="","",COUNTIFS(発注管理!$C$6:$C$1005,$B10,発注管理!$Q$6:$Q$1005,"発注済"))</f>
        <v/>
      </c>
      <c r="J10" s="71" t="str">
        <f aca="false">IF(OR($B10="",'設定（最初に1回）'!$C$6=""),"",SUMIFS(発注管理!$N$6:$N$1005,発注管理!$C$6:$C$1005,$B10,発注管理!$E$6:$E$1005,"&gt;="&amp;DATE(YEAR('設定（最初に1回）'!$C$6),MONTH('設定（最初に1回）'!$C$6),1),発注管理!$E$6:$E$1005,"&lt;="&amp;DATE(YEAR('設定（最初に1回）'!$C$6),MONTH('設定（最初に1回）'!$C$6)+1,0)))</f>
        <v/>
      </c>
    </row>
    <row r="11" customFormat="false" ht="15" hidden="false" customHeight="false" outlineLevel="0" collapsed="false">
      <c r="B11" s="148" t="str">
        <f aca="false">IF(定数マスタ!$B11="","",定数マスタ!$B11)</f>
        <v/>
      </c>
      <c r="C11" s="66" t="str">
        <f aca="false">IF($B11="","",定数マスタ!$C11)</f>
        <v/>
      </c>
      <c r="D11" s="66" t="str">
        <f aca="false">IF($B11="","",定数マスタ!$D11)</f>
        <v/>
      </c>
      <c r="E11" s="66" t="str">
        <f aca="false">IF($B11="","",定数マスタ!$E11)</f>
        <v/>
      </c>
      <c r="F11" s="69" t="str">
        <f aca="false">IF($B11="","",COUNTIFS(①今日の在庫を貼る!$B$6:$B$10005,$B11,①今日の在庫を貼る!$I$6:$I$10005,"&lt;&gt;"))</f>
        <v/>
      </c>
      <c r="G11" s="71" t="str">
        <f aca="false">IF($B11="","",SUMPRODUCT((①今日の在庫を貼る!$B$6:$B$10005=$B11)*①今日の在庫を貼る!$N$6:$N$10005*①今日の在庫を貼る!$Q$6:$Q$10005))</f>
        <v/>
      </c>
      <c r="H11" s="69" t="str">
        <f aca="false">IF($B11="","",COUNTIFS(①今日の在庫を貼る!$B$6:$B$10005,$B11,①今日の在庫を貼る!$N$6:$N$10005,"&lt;0"))</f>
        <v/>
      </c>
      <c r="I11" s="69" t="str">
        <f aca="false">IF($B11="","",COUNTIFS(発注管理!$C$6:$C$1005,$B11,発注管理!$Q$6:$Q$1005,"発注済"))</f>
        <v/>
      </c>
      <c r="J11" s="71" t="str">
        <f aca="false">IF(OR($B11="",'設定（最初に1回）'!$C$6=""),"",SUMIFS(発注管理!$N$6:$N$1005,発注管理!$C$6:$C$1005,$B11,発注管理!$E$6:$E$1005,"&gt;="&amp;DATE(YEAR('設定（最初に1回）'!$C$6),MONTH('設定（最初に1回）'!$C$6),1),発注管理!$E$6:$E$1005,"&lt;="&amp;DATE(YEAR('設定（最初に1回）'!$C$6),MONTH('設定（最初に1回）'!$C$6)+1,0)))</f>
        <v/>
      </c>
    </row>
    <row r="12" customFormat="false" ht="15" hidden="false" customHeight="false" outlineLevel="0" collapsed="false">
      <c r="B12" s="148" t="str">
        <f aca="false">IF(定数マスタ!$B12="","",定数マスタ!$B12)</f>
        <v/>
      </c>
      <c r="C12" s="66" t="str">
        <f aca="false">IF($B12="","",定数マスタ!$C12)</f>
        <v/>
      </c>
      <c r="D12" s="66" t="str">
        <f aca="false">IF($B12="","",定数マスタ!$D12)</f>
        <v/>
      </c>
      <c r="E12" s="66" t="str">
        <f aca="false">IF($B12="","",定数マスタ!$E12)</f>
        <v/>
      </c>
      <c r="F12" s="69" t="str">
        <f aca="false">IF($B12="","",COUNTIFS(①今日の在庫を貼る!$B$6:$B$10005,$B12,①今日の在庫を貼る!$I$6:$I$10005,"&lt;&gt;"))</f>
        <v/>
      </c>
      <c r="G12" s="71" t="str">
        <f aca="false">IF($B12="","",SUMPRODUCT((①今日の在庫を貼る!$B$6:$B$10005=$B12)*①今日の在庫を貼る!$N$6:$N$10005*①今日の在庫を貼る!$Q$6:$Q$10005))</f>
        <v/>
      </c>
      <c r="H12" s="69" t="str">
        <f aca="false">IF($B12="","",COUNTIFS(①今日の在庫を貼る!$B$6:$B$10005,$B12,①今日の在庫を貼る!$N$6:$N$10005,"&lt;0"))</f>
        <v/>
      </c>
      <c r="I12" s="69" t="str">
        <f aca="false">IF($B12="","",COUNTIFS(発注管理!$C$6:$C$1005,$B12,発注管理!$Q$6:$Q$1005,"発注済"))</f>
        <v/>
      </c>
      <c r="J12" s="71" t="str">
        <f aca="false">IF(OR($B12="",'設定（最初に1回）'!$C$6=""),"",SUMIFS(発注管理!$N$6:$N$1005,発注管理!$C$6:$C$1005,$B12,発注管理!$E$6:$E$1005,"&gt;="&amp;DATE(YEAR('設定（最初に1回）'!$C$6),MONTH('設定（最初に1回）'!$C$6),1),発注管理!$E$6:$E$1005,"&lt;="&amp;DATE(YEAR('設定（最初に1回）'!$C$6),MONTH('設定（最初に1回）'!$C$6)+1,0)))</f>
        <v/>
      </c>
    </row>
    <row r="13" customFormat="false" ht="15" hidden="false" customHeight="false" outlineLevel="0" collapsed="false">
      <c r="B13" s="148" t="str">
        <f aca="false">IF(定数マスタ!$B13="","",定数マスタ!$B13)</f>
        <v/>
      </c>
      <c r="C13" s="66" t="str">
        <f aca="false">IF($B13="","",定数マスタ!$C13)</f>
        <v/>
      </c>
      <c r="D13" s="66" t="str">
        <f aca="false">IF($B13="","",定数マスタ!$D13)</f>
        <v/>
      </c>
      <c r="E13" s="66" t="str">
        <f aca="false">IF($B13="","",定数マスタ!$E13)</f>
        <v/>
      </c>
      <c r="F13" s="69" t="str">
        <f aca="false">IF($B13="","",COUNTIFS(①今日の在庫を貼る!$B$6:$B$10005,$B13,①今日の在庫を貼る!$I$6:$I$10005,"&lt;&gt;"))</f>
        <v/>
      </c>
      <c r="G13" s="71" t="str">
        <f aca="false">IF($B13="","",SUMPRODUCT((①今日の在庫を貼る!$B$6:$B$10005=$B13)*①今日の在庫を貼る!$N$6:$N$10005*①今日の在庫を貼る!$Q$6:$Q$10005))</f>
        <v/>
      </c>
      <c r="H13" s="69" t="str">
        <f aca="false">IF($B13="","",COUNTIFS(①今日の在庫を貼る!$B$6:$B$10005,$B13,①今日の在庫を貼る!$N$6:$N$10005,"&lt;0"))</f>
        <v/>
      </c>
      <c r="I13" s="69" t="str">
        <f aca="false">IF($B13="","",COUNTIFS(発注管理!$C$6:$C$1005,$B13,発注管理!$Q$6:$Q$1005,"発注済"))</f>
        <v/>
      </c>
      <c r="J13" s="71" t="str">
        <f aca="false">IF(OR($B13="",'設定（最初に1回）'!$C$6=""),"",SUMIFS(発注管理!$N$6:$N$1005,発注管理!$C$6:$C$1005,$B13,発注管理!$E$6:$E$1005,"&gt;="&amp;DATE(YEAR('設定（最初に1回）'!$C$6),MONTH('設定（最初に1回）'!$C$6),1),発注管理!$E$6:$E$1005,"&lt;="&amp;DATE(YEAR('設定（最初に1回）'!$C$6),MONTH('設定（最初に1回）'!$C$6)+1,0)))</f>
        <v/>
      </c>
    </row>
    <row r="14" customFormat="false" ht="15" hidden="false" customHeight="false" outlineLevel="0" collapsed="false">
      <c r="B14" s="148" t="str">
        <f aca="false">IF(定数マスタ!$B14="","",定数マスタ!$B14)</f>
        <v/>
      </c>
      <c r="C14" s="66" t="str">
        <f aca="false">IF($B14="","",定数マスタ!$C14)</f>
        <v/>
      </c>
      <c r="D14" s="66" t="str">
        <f aca="false">IF($B14="","",定数マスタ!$D14)</f>
        <v/>
      </c>
      <c r="E14" s="66" t="str">
        <f aca="false">IF($B14="","",定数マスタ!$E14)</f>
        <v/>
      </c>
      <c r="F14" s="69" t="str">
        <f aca="false">IF($B14="","",COUNTIFS(①今日の在庫を貼る!$B$6:$B$10005,$B14,①今日の在庫を貼る!$I$6:$I$10005,"&lt;&gt;"))</f>
        <v/>
      </c>
      <c r="G14" s="71" t="str">
        <f aca="false">IF($B14="","",SUMPRODUCT((①今日の在庫を貼る!$B$6:$B$10005=$B14)*①今日の在庫を貼る!$N$6:$N$10005*①今日の在庫を貼る!$Q$6:$Q$10005))</f>
        <v/>
      </c>
      <c r="H14" s="69" t="str">
        <f aca="false">IF($B14="","",COUNTIFS(①今日の在庫を貼る!$B$6:$B$10005,$B14,①今日の在庫を貼る!$N$6:$N$10005,"&lt;0"))</f>
        <v/>
      </c>
      <c r="I14" s="69" t="str">
        <f aca="false">IF($B14="","",COUNTIFS(発注管理!$C$6:$C$1005,$B14,発注管理!$Q$6:$Q$1005,"発注済"))</f>
        <v/>
      </c>
      <c r="J14" s="71" t="str">
        <f aca="false">IF(OR($B14="",'設定（最初に1回）'!$C$6=""),"",SUMIFS(発注管理!$N$6:$N$1005,発注管理!$C$6:$C$1005,$B14,発注管理!$E$6:$E$1005,"&gt;="&amp;DATE(YEAR('設定（最初に1回）'!$C$6),MONTH('設定（最初に1回）'!$C$6),1),発注管理!$E$6:$E$1005,"&lt;="&amp;DATE(YEAR('設定（最初に1回）'!$C$6),MONTH('設定（最初に1回）'!$C$6)+1,0)))</f>
        <v/>
      </c>
    </row>
    <row r="15" customFormat="false" ht="15" hidden="false" customHeight="false" outlineLevel="0" collapsed="false">
      <c r="B15" s="148" t="str">
        <f aca="false">IF(定数マスタ!$B15="","",定数マスタ!$B15)</f>
        <v/>
      </c>
      <c r="C15" s="66" t="str">
        <f aca="false">IF($B15="","",定数マスタ!$C15)</f>
        <v/>
      </c>
      <c r="D15" s="66" t="str">
        <f aca="false">IF($B15="","",定数マスタ!$D15)</f>
        <v/>
      </c>
      <c r="E15" s="66" t="str">
        <f aca="false">IF($B15="","",定数マスタ!$E15)</f>
        <v/>
      </c>
      <c r="F15" s="69" t="str">
        <f aca="false">IF($B15="","",COUNTIFS(①今日の在庫を貼る!$B$6:$B$10005,$B15,①今日の在庫を貼る!$I$6:$I$10005,"&lt;&gt;"))</f>
        <v/>
      </c>
      <c r="G15" s="71" t="str">
        <f aca="false">IF($B15="","",SUMPRODUCT((①今日の在庫を貼る!$B$6:$B$10005=$B15)*①今日の在庫を貼る!$N$6:$N$10005*①今日の在庫を貼る!$Q$6:$Q$10005))</f>
        <v/>
      </c>
      <c r="H15" s="69" t="str">
        <f aca="false">IF($B15="","",COUNTIFS(①今日の在庫を貼る!$B$6:$B$10005,$B15,①今日の在庫を貼る!$N$6:$N$10005,"&lt;0"))</f>
        <v/>
      </c>
      <c r="I15" s="69" t="str">
        <f aca="false">IF($B15="","",COUNTIFS(発注管理!$C$6:$C$1005,$B15,発注管理!$Q$6:$Q$1005,"発注済"))</f>
        <v/>
      </c>
      <c r="J15" s="71" t="str">
        <f aca="false">IF(OR($B15="",'設定（最初に1回）'!$C$6=""),"",SUMIFS(発注管理!$N$6:$N$1005,発注管理!$C$6:$C$1005,$B15,発注管理!$E$6:$E$1005,"&gt;="&amp;DATE(YEAR('設定（最初に1回）'!$C$6),MONTH('設定（最初に1回）'!$C$6),1),発注管理!$E$6:$E$1005,"&lt;="&amp;DATE(YEAR('設定（最初に1回）'!$C$6),MONTH('設定（最初に1回）'!$C$6)+1,0)))</f>
        <v/>
      </c>
    </row>
    <row r="16" customFormat="false" ht="15" hidden="false" customHeight="false" outlineLevel="0" collapsed="false">
      <c r="B16" s="148" t="str">
        <f aca="false">IF(定数マスタ!$B16="","",定数マスタ!$B16)</f>
        <v/>
      </c>
      <c r="C16" s="66" t="str">
        <f aca="false">IF($B16="","",定数マスタ!$C16)</f>
        <v/>
      </c>
      <c r="D16" s="66" t="str">
        <f aca="false">IF($B16="","",定数マスタ!$D16)</f>
        <v/>
      </c>
      <c r="E16" s="66" t="str">
        <f aca="false">IF($B16="","",定数マスタ!$E16)</f>
        <v/>
      </c>
      <c r="F16" s="69" t="str">
        <f aca="false">IF($B16="","",COUNTIFS(①今日の在庫を貼る!$B$6:$B$10005,$B16,①今日の在庫を貼る!$I$6:$I$10005,"&lt;&gt;"))</f>
        <v/>
      </c>
      <c r="G16" s="71" t="str">
        <f aca="false">IF($B16="","",SUMPRODUCT((①今日の在庫を貼る!$B$6:$B$10005=$B16)*①今日の在庫を貼る!$N$6:$N$10005*①今日の在庫を貼る!$Q$6:$Q$10005))</f>
        <v/>
      </c>
      <c r="H16" s="69" t="str">
        <f aca="false">IF($B16="","",COUNTIFS(①今日の在庫を貼る!$B$6:$B$10005,$B16,①今日の在庫を貼る!$N$6:$N$10005,"&lt;0"))</f>
        <v/>
      </c>
      <c r="I16" s="69" t="str">
        <f aca="false">IF($B16="","",COUNTIFS(発注管理!$C$6:$C$1005,$B16,発注管理!$Q$6:$Q$1005,"発注済"))</f>
        <v/>
      </c>
      <c r="J16" s="71" t="str">
        <f aca="false">IF(OR($B16="",'設定（最初に1回）'!$C$6=""),"",SUMIFS(発注管理!$N$6:$N$1005,発注管理!$C$6:$C$1005,$B16,発注管理!$E$6:$E$1005,"&gt;="&amp;DATE(YEAR('設定（最初に1回）'!$C$6),MONTH('設定（最初に1回）'!$C$6),1),発注管理!$E$6:$E$1005,"&lt;="&amp;DATE(YEAR('設定（最初に1回）'!$C$6),MONTH('設定（最初に1回）'!$C$6)+1,0)))</f>
        <v/>
      </c>
    </row>
    <row r="17" customFormat="false" ht="15" hidden="false" customHeight="false" outlineLevel="0" collapsed="false">
      <c r="B17" s="148" t="str">
        <f aca="false">IF(定数マスタ!$B17="","",定数マスタ!$B17)</f>
        <v/>
      </c>
      <c r="C17" s="66" t="str">
        <f aca="false">IF($B17="","",定数マスタ!$C17)</f>
        <v/>
      </c>
      <c r="D17" s="66" t="str">
        <f aca="false">IF($B17="","",定数マスタ!$D17)</f>
        <v/>
      </c>
      <c r="E17" s="66" t="str">
        <f aca="false">IF($B17="","",定数マスタ!$E17)</f>
        <v/>
      </c>
      <c r="F17" s="69" t="str">
        <f aca="false">IF($B17="","",COUNTIFS(①今日の在庫を貼る!$B$6:$B$10005,$B17,①今日の在庫を貼る!$I$6:$I$10005,"&lt;&gt;"))</f>
        <v/>
      </c>
      <c r="G17" s="71" t="str">
        <f aca="false">IF($B17="","",SUMPRODUCT((①今日の在庫を貼る!$B$6:$B$10005=$B17)*①今日の在庫を貼る!$N$6:$N$10005*①今日の在庫を貼る!$Q$6:$Q$10005))</f>
        <v/>
      </c>
      <c r="H17" s="69" t="str">
        <f aca="false">IF($B17="","",COUNTIFS(①今日の在庫を貼る!$B$6:$B$10005,$B17,①今日の在庫を貼る!$N$6:$N$10005,"&lt;0"))</f>
        <v/>
      </c>
      <c r="I17" s="69" t="str">
        <f aca="false">IF($B17="","",COUNTIFS(発注管理!$C$6:$C$1005,$B17,発注管理!$Q$6:$Q$1005,"発注済"))</f>
        <v/>
      </c>
      <c r="J17" s="71" t="str">
        <f aca="false">IF(OR($B17="",'設定（最初に1回）'!$C$6=""),"",SUMIFS(発注管理!$N$6:$N$1005,発注管理!$C$6:$C$1005,$B17,発注管理!$E$6:$E$1005,"&gt;="&amp;DATE(YEAR('設定（最初に1回）'!$C$6),MONTH('設定（最初に1回）'!$C$6),1),発注管理!$E$6:$E$1005,"&lt;="&amp;DATE(YEAR('設定（最初に1回）'!$C$6),MONTH('設定（最初に1回）'!$C$6)+1,0)))</f>
        <v/>
      </c>
    </row>
    <row r="18" customFormat="false" ht="15" hidden="false" customHeight="false" outlineLevel="0" collapsed="false">
      <c r="B18" s="148" t="str">
        <f aca="false">IF(定数マスタ!$B18="","",定数マスタ!$B18)</f>
        <v/>
      </c>
      <c r="C18" s="66" t="str">
        <f aca="false">IF($B18="","",定数マスタ!$C18)</f>
        <v/>
      </c>
      <c r="D18" s="66" t="str">
        <f aca="false">IF($B18="","",定数マスタ!$D18)</f>
        <v/>
      </c>
      <c r="E18" s="66" t="str">
        <f aca="false">IF($B18="","",定数マスタ!$E18)</f>
        <v/>
      </c>
      <c r="F18" s="69" t="str">
        <f aca="false">IF($B18="","",COUNTIFS(①今日の在庫を貼る!$B$6:$B$10005,$B18,①今日の在庫を貼る!$I$6:$I$10005,"&lt;&gt;"))</f>
        <v/>
      </c>
      <c r="G18" s="71" t="str">
        <f aca="false">IF($B18="","",SUMPRODUCT((①今日の在庫を貼る!$B$6:$B$10005=$B18)*①今日の在庫を貼る!$N$6:$N$10005*①今日の在庫を貼る!$Q$6:$Q$10005))</f>
        <v/>
      </c>
      <c r="H18" s="69" t="str">
        <f aca="false">IF($B18="","",COUNTIFS(①今日の在庫を貼る!$B$6:$B$10005,$B18,①今日の在庫を貼る!$N$6:$N$10005,"&lt;0"))</f>
        <v/>
      </c>
      <c r="I18" s="69" t="str">
        <f aca="false">IF($B18="","",COUNTIFS(発注管理!$C$6:$C$1005,$B18,発注管理!$Q$6:$Q$1005,"発注済"))</f>
        <v/>
      </c>
      <c r="J18" s="71" t="str">
        <f aca="false">IF(OR($B18="",'設定（最初に1回）'!$C$6=""),"",SUMIFS(発注管理!$N$6:$N$1005,発注管理!$C$6:$C$1005,$B18,発注管理!$E$6:$E$1005,"&gt;="&amp;DATE(YEAR('設定（最初に1回）'!$C$6),MONTH('設定（最初に1回）'!$C$6),1),発注管理!$E$6:$E$1005,"&lt;="&amp;DATE(YEAR('設定（最初に1回）'!$C$6),MONTH('設定（最初に1回）'!$C$6)+1,0)))</f>
        <v/>
      </c>
    </row>
    <row r="19" customFormat="false" ht="15" hidden="false" customHeight="false" outlineLevel="0" collapsed="false">
      <c r="B19" s="148" t="str">
        <f aca="false">IF(定数マスタ!$B19="","",定数マスタ!$B19)</f>
        <v/>
      </c>
      <c r="C19" s="66" t="str">
        <f aca="false">IF($B19="","",定数マスタ!$C19)</f>
        <v/>
      </c>
      <c r="D19" s="66" t="str">
        <f aca="false">IF($B19="","",定数マスタ!$D19)</f>
        <v/>
      </c>
      <c r="E19" s="66" t="str">
        <f aca="false">IF($B19="","",定数マスタ!$E19)</f>
        <v/>
      </c>
      <c r="F19" s="69" t="str">
        <f aca="false">IF($B19="","",COUNTIFS(①今日の在庫を貼る!$B$6:$B$10005,$B19,①今日の在庫を貼る!$I$6:$I$10005,"&lt;&gt;"))</f>
        <v/>
      </c>
      <c r="G19" s="71" t="str">
        <f aca="false">IF($B19="","",SUMPRODUCT((①今日の在庫を貼る!$B$6:$B$10005=$B19)*①今日の在庫を貼る!$N$6:$N$10005*①今日の在庫を貼る!$Q$6:$Q$10005))</f>
        <v/>
      </c>
      <c r="H19" s="69" t="str">
        <f aca="false">IF($B19="","",COUNTIFS(①今日の在庫を貼る!$B$6:$B$10005,$B19,①今日の在庫を貼る!$N$6:$N$10005,"&lt;0"))</f>
        <v/>
      </c>
      <c r="I19" s="69" t="str">
        <f aca="false">IF($B19="","",COUNTIFS(発注管理!$C$6:$C$1005,$B19,発注管理!$Q$6:$Q$1005,"発注済"))</f>
        <v/>
      </c>
      <c r="J19" s="71" t="str">
        <f aca="false">IF(OR($B19="",'設定（最初に1回）'!$C$6=""),"",SUMIFS(発注管理!$N$6:$N$1005,発注管理!$C$6:$C$1005,$B19,発注管理!$E$6:$E$1005,"&gt;="&amp;DATE(YEAR('設定（最初に1回）'!$C$6),MONTH('設定（最初に1回）'!$C$6),1),発注管理!$E$6:$E$1005,"&lt;="&amp;DATE(YEAR('設定（最初に1回）'!$C$6),MONTH('設定（最初に1回）'!$C$6)+1,0)))</f>
        <v/>
      </c>
    </row>
    <row r="20" customFormat="false" ht="15" hidden="false" customHeight="false" outlineLevel="0" collapsed="false">
      <c r="B20" s="148" t="str">
        <f aca="false">IF(定数マスタ!$B20="","",定数マスタ!$B20)</f>
        <v/>
      </c>
      <c r="C20" s="66" t="str">
        <f aca="false">IF($B20="","",定数マスタ!$C20)</f>
        <v/>
      </c>
      <c r="D20" s="66" t="str">
        <f aca="false">IF($B20="","",定数マスタ!$D20)</f>
        <v/>
      </c>
      <c r="E20" s="66" t="str">
        <f aca="false">IF($B20="","",定数マスタ!$E20)</f>
        <v/>
      </c>
      <c r="F20" s="69" t="str">
        <f aca="false">IF($B20="","",COUNTIFS(①今日の在庫を貼る!$B$6:$B$10005,$B20,①今日の在庫を貼る!$I$6:$I$10005,"&lt;&gt;"))</f>
        <v/>
      </c>
      <c r="G20" s="71" t="str">
        <f aca="false">IF($B20="","",SUMPRODUCT((①今日の在庫を貼る!$B$6:$B$10005=$B20)*①今日の在庫を貼る!$N$6:$N$10005*①今日の在庫を貼る!$Q$6:$Q$10005))</f>
        <v/>
      </c>
      <c r="H20" s="69" t="str">
        <f aca="false">IF($B20="","",COUNTIFS(①今日の在庫を貼る!$B$6:$B$10005,$B20,①今日の在庫を貼る!$N$6:$N$10005,"&lt;0"))</f>
        <v/>
      </c>
      <c r="I20" s="69" t="str">
        <f aca="false">IF($B20="","",COUNTIFS(発注管理!$C$6:$C$1005,$B20,発注管理!$Q$6:$Q$1005,"発注済"))</f>
        <v/>
      </c>
      <c r="J20" s="71" t="str">
        <f aca="false">IF(OR($B20="",'設定（最初に1回）'!$C$6=""),"",SUMIFS(発注管理!$N$6:$N$1005,発注管理!$C$6:$C$1005,$B20,発注管理!$E$6:$E$1005,"&gt;="&amp;DATE(YEAR('設定（最初に1回）'!$C$6),MONTH('設定（最初に1回）'!$C$6),1),発注管理!$E$6:$E$1005,"&lt;="&amp;DATE(YEAR('設定（最初に1回）'!$C$6),MONTH('設定（最初に1回）'!$C$6)+1,0)))</f>
        <v/>
      </c>
    </row>
    <row r="21" customFormat="false" ht="15" hidden="false" customHeight="false" outlineLevel="0" collapsed="false">
      <c r="B21" s="148" t="str">
        <f aca="false">IF(定数マスタ!$B21="","",定数マスタ!$B21)</f>
        <v/>
      </c>
      <c r="C21" s="66" t="str">
        <f aca="false">IF($B21="","",定数マスタ!$C21)</f>
        <v/>
      </c>
      <c r="D21" s="66" t="str">
        <f aca="false">IF($B21="","",定数マスタ!$D21)</f>
        <v/>
      </c>
      <c r="E21" s="66" t="str">
        <f aca="false">IF($B21="","",定数マスタ!$E21)</f>
        <v/>
      </c>
      <c r="F21" s="69" t="str">
        <f aca="false">IF($B21="","",COUNTIFS(①今日の在庫を貼る!$B$6:$B$10005,$B21,①今日の在庫を貼る!$I$6:$I$10005,"&lt;&gt;"))</f>
        <v/>
      </c>
      <c r="G21" s="71" t="str">
        <f aca="false">IF($B21="","",SUMPRODUCT((①今日の在庫を貼る!$B$6:$B$10005=$B21)*①今日の在庫を貼る!$N$6:$N$10005*①今日の在庫を貼る!$Q$6:$Q$10005))</f>
        <v/>
      </c>
      <c r="H21" s="69" t="str">
        <f aca="false">IF($B21="","",COUNTIFS(①今日の在庫を貼る!$B$6:$B$10005,$B21,①今日の在庫を貼る!$N$6:$N$10005,"&lt;0"))</f>
        <v/>
      </c>
      <c r="I21" s="69" t="str">
        <f aca="false">IF($B21="","",COUNTIFS(発注管理!$C$6:$C$1005,$B21,発注管理!$Q$6:$Q$1005,"発注済"))</f>
        <v/>
      </c>
      <c r="J21" s="71" t="str">
        <f aca="false">IF(OR($B21="",'設定（最初に1回）'!$C$6=""),"",SUMIFS(発注管理!$N$6:$N$1005,発注管理!$C$6:$C$1005,$B21,発注管理!$E$6:$E$1005,"&gt;="&amp;DATE(YEAR('設定（最初に1回）'!$C$6),MONTH('設定（最初に1回）'!$C$6),1),発注管理!$E$6:$E$1005,"&lt;="&amp;DATE(YEAR('設定（最初に1回）'!$C$6),MONTH('設定（最初に1回）'!$C$6)+1,0)))</f>
        <v/>
      </c>
    </row>
    <row r="22" customFormat="false" ht="15" hidden="false" customHeight="false" outlineLevel="0" collapsed="false">
      <c r="B22" s="148" t="str">
        <f aca="false">IF(定数マスタ!$B22="","",定数マスタ!$B22)</f>
        <v/>
      </c>
      <c r="C22" s="66" t="str">
        <f aca="false">IF($B22="","",定数マスタ!$C22)</f>
        <v/>
      </c>
      <c r="D22" s="66" t="str">
        <f aca="false">IF($B22="","",定数マスタ!$D22)</f>
        <v/>
      </c>
      <c r="E22" s="66" t="str">
        <f aca="false">IF($B22="","",定数マスタ!$E22)</f>
        <v/>
      </c>
      <c r="F22" s="69" t="str">
        <f aca="false">IF($B22="","",COUNTIFS(①今日の在庫を貼る!$B$6:$B$10005,$B22,①今日の在庫を貼る!$I$6:$I$10005,"&lt;&gt;"))</f>
        <v/>
      </c>
      <c r="G22" s="71" t="str">
        <f aca="false">IF($B22="","",SUMPRODUCT((①今日の在庫を貼る!$B$6:$B$10005=$B22)*①今日の在庫を貼る!$N$6:$N$10005*①今日の在庫を貼る!$Q$6:$Q$10005))</f>
        <v/>
      </c>
      <c r="H22" s="69" t="str">
        <f aca="false">IF($B22="","",COUNTIFS(①今日の在庫を貼る!$B$6:$B$10005,$B22,①今日の在庫を貼る!$N$6:$N$10005,"&lt;0"))</f>
        <v/>
      </c>
      <c r="I22" s="69" t="str">
        <f aca="false">IF($B22="","",COUNTIFS(発注管理!$C$6:$C$1005,$B22,発注管理!$Q$6:$Q$1005,"発注済"))</f>
        <v/>
      </c>
      <c r="J22" s="71" t="str">
        <f aca="false">IF(OR($B22="",'設定（最初に1回）'!$C$6=""),"",SUMIFS(発注管理!$N$6:$N$1005,発注管理!$C$6:$C$1005,$B22,発注管理!$E$6:$E$1005,"&gt;="&amp;DATE(YEAR('設定（最初に1回）'!$C$6),MONTH('設定（最初に1回）'!$C$6),1),発注管理!$E$6:$E$1005,"&lt;="&amp;DATE(YEAR('設定（最初に1回）'!$C$6),MONTH('設定（最初に1回）'!$C$6)+1,0)))</f>
        <v/>
      </c>
    </row>
    <row r="23" customFormat="false" ht="15" hidden="false" customHeight="false" outlineLevel="0" collapsed="false">
      <c r="B23" s="148" t="str">
        <f aca="false">IF(定数マスタ!$B23="","",定数マスタ!$B23)</f>
        <v/>
      </c>
      <c r="C23" s="66" t="str">
        <f aca="false">IF($B23="","",定数マスタ!$C23)</f>
        <v/>
      </c>
      <c r="D23" s="66" t="str">
        <f aca="false">IF($B23="","",定数マスタ!$D23)</f>
        <v/>
      </c>
      <c r="E23" s="66" t="str">
        <f aca="false">IF($B23="","",定数マスタ!$E23)</f>
        <v/>
      </c>
      <c r="F23" s="69" t="str">
        <f aca="false">IF($B23="","",COUNTIFS(①今日の在庫を貼る!$B$6:$B$10005,$B23,①今日の在庫を貼る!$I$6:$I$10005,"&lt;&gt;"))</f>
        <v/>
      </c>
      <c r="G23" s="71" t="str">
        <f aca="false">IF($B23="","",SUMPRODUCT((①今日の在庫を貼る!$B$6:$B$10005=$B23)*①今日の在庫を貼る!$N$6:$N$10005*①今日の在庫を貼る!$Q$6:$Q$10005))</f>
        <v/>
      </c>
      <c r="H23" s="69" t="str">
        <f aca="false">IF($B23="","",COUNTIFS(①今日の在庫を貼る!$B$6:$B$10005,$B23,①今日の在庫を貼る!$N$6:$N$10005,"&lt;0"))</f>
        <v/>
      </c>
      <c r="I23" s="69" t="str">
        <f aca="false">IF($B23="","",COUNTIFS(発注管理!$C$6:$C$1005,$B23,発注管理!$Q$6:$Q$1005,"発注済"))</f>
        <v/>
      </c>
      <c r="J23" s="71" t="str">
        <f aca="false">IF(OR($B23="",'設定（最初に1回）'!$C$6=""),"",SUMIFS(発注管理!$N$6:$N$1005,発注管理!$C$6:$C$1005,$B23,発注管理!$E$6:$E$1005,"&gt;="&amp;DATE(YEAR('設定（最初に1回）'!$C$6),MONTH('設定（最初に1回）'!$C$6),1),発注管理!$E$6:$E$1005,"&lt;="&amp;DATE(YEAR('設定（最初に1回）'!$C$6),MONTH('設定（最初に1回）'!$C$6)+1,0)))</f>
        <v/>
      </c>
    </row>
    <row r="24" customFormat="false" ht="15" hidden="false" customHeight="false" outlineLevel="0" collapsed="false">
      <c r="B24" s="148" t="str">
        <f aca="false">IF(定数マスタ!$B24="","",定数マスタ!$B24)</f>
        <v/>
      </c>
      <c r="C24" s="66" t="str">
        <f aca="false">IF($B24="","",定数マスタ!$C24)</f>
        <v/>
      </c>
      <c r="D24" s="66" t="str">
        <f aca="false">IF($B24="","",定数マスタ!$D24)</f>
        <v/>
      </c>
      <c r="E24" s="66" t="str">
        <f aca="false">IF($B24="","",定数マスタ!$E24)</f>
        <v/>
      </c>
      <c r="F24" s="69" t="str">
        <f aca="false">IF($B24="","",COUNTIFS(①今日の在庫を貼る!$B$6:$B$10005,$B24,①今日の在庫を貼る!$I$6:$I$10005,"&lt;&gt;"))</f>
        <v/>
      </c>
      <c r="G24" s="71" t="str">
        <f aca="false">IF($B24="","",SUMPRODUCT((①今日の在庫を貼る!$B$6:$B$10005=$B24)*①今日の在庫を貼る!$N$6:$N$10005*①今日の在庫を貼る!$Q$6:$Q$10005))</f>
        <v/>
      </c>
      <c r="H24" s="69" t="str">
        <f aca="false">IF($B24="","",COUNTIFS(①今日の在庫を貼る!$B$6:$B$10005,$B24,①今日の在庫を貼る!$N$6:$N$10005,"&lt;0"))</f>
        <v/>
      </c>
      <c r="I24" s="69" t="str">
        <f aca="false">IF($B24="","",COUNTIFS(発注管理!$C$6:$C$1005,$B24,発注管理!$Q$6:$Q$1005,"発注済"))</f>
        <v/>
      </c>
      <c r="J24" s="71" t="str">
        <f aca="false">IF(OR($B24="",'設定（最初に1回）'!$C$6=""),"",SUMIFS(発注管理!$N$6:$N$1005,発注管理!$C$6:$C$1005,$B24,発注管理!$E$6:$E$1005,"&gt;="&amp;DATE(YEAR('設定（最初に1回）'!$C$6),MONTH('設定（最初に1回）'!$C$6),1),発注管理!$E$6:$E$1005,"&lt;="&amp;DATE(YEAR('設定（最初に1回）'!$C$6),MONTH('設定（最初に1回）'!$C$6)+1,0)))</f>
        <v/>
      </c>
    </row>
    <row r="25" customFormat="false" ht="15" hidden="false" customHeight="false" outlineLevel="0" collapsed="false">
      <c r="B25" s="148" t="str">
        <f aca="false">IF(定数マスタ!$B25="","",定数マスタ!$B25)</f>
        <v/>
      </c>
      <c r="C25" s="66" t="str">
        <f aca="false">IF($B25="","",定数マスタ!$C25)</f>
        <v/>
      </c>
      <c r="D25" s="66" t="str">
        <f aca="false">IF($B25="","",定数マスタ!$D25)</f>
        <v/>
      </c>
      <c r="E25" s="66" t="str">
        <f aca="false">IF($B25="","",定数マスタ!$E25)</f>
        <v/>
      </c>
      <c r="F25" s="69" t="str">
        <f aca="false">IF($B25="","",COUNTIFS(①今日の在庫を貼る!$B$6:$B$10005,$B25,①今日の在庫を貼る!$I$6:$I$10005,"&lt;&gt;"))</f>
        <v/>
      </c>
      <c r="G25" s="71" t="str">
        <f aca="false">IF($B25="","",SUMPRODUCT((①今日の在庫を貼る!$B$6:$B$10005=$B25)*①今日の在庫を貼る!$N$6:$N$10005*①今日の在庫を貼る!$Q$6:$Q$10005))</f>
        <v/>
      </c>
      <c r="H25" s="69" t="str">
        <f aca="false">IF($B25="","",COUNTIFS(①今日の在庫を貼る!$B$6:$B$10005,$B25,①今日の在庫を貼る!$N$6:$N$10005,"&lt;0"))</f>
        <v/>
      </c>
      <c r="I25" s="69" t="str">
        <f aca="false">IF($B25="","",COUNTIFS(発注管理!$C$6:$C$1005,$B25,発注管理!$Q$6:$Q$1005,"発注済"))</f>
        <v/>
      </c>
      <c r="J25" s="71" t="str">
        <f aca="false">IF(OR($B25="",'設定（最初に1回）'!$C$6=""),"",SUMIFS(発注管理!$N$6:$N$1005,発注管理!$C$6:$C$1005,$B25,発注管理!$E$6:$E$1005,"&gt;="&amp;DATE(YEAR('設定（最初に1回）'!$C$6),MONTH('設定（最初に1回）'!$C$6),1),発注管理!$E$6:$E$1005,"&lt;="&amp;DATE(YEAR('設定（最初に1回）'!$C$6),MONTH('設定（最初に1回）'!$C$6)+1,0)))</f>
        <v/>
      </c>
    </row>
    <row r="26" customFormat="false" ht="15" hidden="false" customHeight="false" outlineLevel="0" collapsed="false">
      <c r="B26" s="148" t="str">
        <f aca="false">IF(定数マスタ!$B26="","",定数マスタ!$B26)</f>
        <v/>
      </c>
      <c r="C26" s="66" t="str">
        <f aca="false">IF($B26="","",定数マスタ!$C26)</f>
        <v/>
      </c>
      <c r="D26" s="66" t="str">
        <f aca="false">IF($B26="","",定数マスタ!$D26)</f>
        <v/>
      </c>
      <c r="E26" s="66" t="str">
        <f aca="false">IF($B26="","",定数マスタ!$E26)</f>
        <v/>
      </c>
      <c r="F26" s="69" t="str">
        <f aca="false">IF($B26="","",COUNTIFS(①今日の在庫を貼る!$B$6:$B$10005,$B26,①今日の在庫を貼る!$I$6:$I$10005,"&lt;&gt;"))</f>
        <v/>
      </c>
      <c r="G26" s="71" t="str">
        <f aca="false">IF($B26="","",SUMPRODUCT((①今日の在庫を貼る!$B$6:$B$10005=$B26)*①今日の在庫を貼る!$N$6:$N$10005*①今日の在庫を貼る!$Q$6:$Q$10005))</f>
        <v/>
      </c>
      <c r="H26" s="69" t="str">
        <f aca="false">IF($B26="","",COUNTIFS(①今日の在庫を貼る!$B$6:$B$10005,$B26,①今日の在庫を貼る!$N$6:$N$10005,"&lt;0"))</f>
        <v/>
      </c>
      <c r="I26" s="69" t="str">
        <f aca="false">IF($B26="","",COUNTIFS(発注管理!$C$6:$C$1005,$B26,発注管理!$Q$6:$Q$1005,"発注済"))</f>
        <v/>
      </c>
      <c r="J26" s="71" t="str">
        <f aca="false">IF(OR($B26="",'設定（最初に1回）'!$C$6=""),"",SUMIFS(発注管理!$N$6:$N$1005,発注管理!$C$6:$C$1005,$B26,発注管理!$E$6:$E$1005,"&gt;="&amp;DATE(YEAR('設定（最初に1回）'!$C$6),MONTH('設定（最初に1回）'!$C$6),1),発注管理!$E$6:$E$1005,"&lt;="&amp;DATE(YEAR('設定（最初に1回）'!$C$6),MONTH('設定（最初に1回）'!$C$6)+1,0)))</f>
        <v/>
      </c>
    </row>
    <row r="27" customFormat="false" ht="15" hidden="false" customHeight="false" outlineLevel="0" collapsed="false">
      <c r="B27" s="148" t="str">
        <f aca="false">IF(定数マスタ!$B27="","",定数マスタ!$B27)</f>
        <v/>
      </c>
      <c r="C27" s="66" t="str">
        <f aca="false">IF($B27="","",定数マスタ!$C27)</f>
        <v/>
      </c>
      <c r="D27" s="66" t="str">
        <f aca="false">IF($B27="","",定数マスタ!$D27)</f>
        <v/>
      </c>
      <c r="E27" s="66" t="str">
        <f aca="false">IF($B27="","",定数マスタ!$E27)</f>
        <v/>
      </c>
      <c r="F27" s="69" t="str">
        <f aca="false">IF($B27="","",COUNTIFS(①今日の在庫を貼る!$B$6:$B$10005,$B27,①今日の在庫を貼る!$I$6:$I$10005,"&lt;&gt;"))</f>
        <v/>
      </c>
      <c r="G27" s="71" t="str">
        <f aca="false">IF($B27="","",SUMPRODUCT((①今日の在庫を貼る!$B$6:$B$10005=$B27)*①今日の在庫を貼る!$N$6:$N$10005*①今日の在庫を貼る!$Q$6:$Q$10005))</f>
        <v/>
      </c>
      <c r="H27" s="69" t="str">
        <f aca="false">IF($B27="","",COUNTIFS(①今日の在庫を貼る!$B$6:$B$10005,$B27,①今日の在庫を貼る!$N$6:$N$10005,"&lt;0"))</f>
        <v/>
      </c>
      <c r="I27" s="69" t="str">
        <f aca="false">IF($B27="","",COUNTIFS(発注管理!$C$6:$C$1005,$B27,発注管理!$Q$6:$Q$1005,"発注済"))</f>
        <v/>
      </c>
      <c r="J27" s="71" t="str">
        <f aca="false">IF(OR($B27="",'設定（最初に1回）'!$C$6=""),"",SUMIFS(発注管理!$N$6:$N$1005,発注管理!$C$6:$C$1005,$B27,発注管理!$E$6:$E$1005,"&gt;="&amp;DATE(YEAR('設定（最初に1回）'!$C$6),MONTH('設定（最初に1回）'!$C$6),1),発注管理!$E$6:$E$1005,"&lt;="&amp;DATE(YEAR('設定（最初に1回）'!$C$6),MONTH('設定（最初に1回）'!$C$6)+1,0)))</f>
        <v/>
      </c>
    </row>
    <row r="28" customFormat="false" ht="15" hidden="false" customHeight="false" outlineLevel="0" collapsed="false">
      <c r="B28" s="148" t="str">
        <f aca="false">IF(定数マスタ!$B28="","",定数マスタ!$B28)</f>
        <v/>
      </c>
      <c r="C28" s="66" t="str">
        <f aca="false">IF($B28="","",定数マスタ!$C28)</f>
        <v/>
      </c>
      <c r="D28" s="66" t="str">
        <f aca="false">IF($B28="","",定数マスタ!$D28)</f>
        <v/>
      </c>
      <c r="E28" s="66" t="str">
        <f aca="false">IF($B28="","",定数マスタ!$E28)</f>
        <v/>
      </c>
      <c r="F28" s="69" t="str">
        <f aca="false">IF($B28="","",COUNTIFS(①今日の在庫を貼る!$B$6:$B$10005,$B28,①今日の在庫を貼る!$I$6:$I$10005,"&lt;&gt;"))</f>
        <v/>
      </c>
      <c r="G28" s="71" t="str">
        <f aca="false">IF($B28="","",SUMPRODUCT((①今日の在庫を貼る!$B$6:$B$10005=$B28)*①今日の在庫を貼る!$N$6:$N$10005*①今日の在庫を貼る!$Q$6:$Q$10005))</f>
        <v/>
      </c>
      <c r="H28" s="69" t="str">
        <f aca="false">IF($B28="","",COUNTIFS(①今日の在庫を貼る!$B$6:$B$10005,$B28,①今日の在庫を貼る!$N$6:$N$10005,"&lt;0"))</f>
        <v/>
      </c>
      <c r="I28" s="69" t="str">
        <f aca="false">IF($B28="","",COUNTIFS(発注管理!$C$6:$C$1005,$B28,発注管理!$Q$6:$Q$1005,"発注済"))</f>
        <v/>
      </c>
      <c r="J28" s="71" t="str">
        <f aca="false">IF(OR($B28="",'設定（最初に1回）'!$C$6=""),"",SUMIFS(発注管理!$N$6:$N$1005,発注管理!$C$6:$C$1005,$B28,発注管理!$E$6:$E$1005,"&gt;="&amp;DATE(YEAR('設定（最初に1回）'!$C$6),MONTH('設定（最初に1回）'!$C$6),1),発注管理!$E$6:$E$1005,"&lt;="&amp;DATE(YEAR('設定（最初に1回）'!$C$6),MONTH('設定（最初に1回）'!$C$6)+1,0)))</f>
        <v/>
      </c>
    </row>
    <row r="29" customFormat="false" ht="15" hidden="false" customHeight="false" outlineLevel="0" collapsed="false">
      <c r="B29" s="148" t="str">
        <f aca="false">IF(定数マスタ!$B29="","",定数マスタ!$B29)</f>
        <v>人が決める数字はすべてこの1枚にあります。黄色のセルだけ触ってください。マスタを分けるほど「どこを直せばいいか」が分からなくなるため、1枚に集めています。</v>
      </c>
      <c r="C29" s="66" t="n">
        <f aca="false">IF($B29="","",定数マスタ!$C29)</f>
        <v>0</v>
      </c>
      <c r="D29" s="66" t="n">
        <f aca="false">IF($B29="","",定数マスタ!$D29)</f>
        <v>0</v>
      </c>
      <c r="E29" s="66" t="n">
        <f aca="false">IF($B29="","",定数マスタ!$E29)</f>
        <v>0</v>
      </c>
      <c r="F29" s="69" t="n">
        <f aca="false">IF($B29="","",COUNTIFS(①今日の在庫を貼る!$B$6:$B$10005,$B29,①今日の在庫を貼る!$I$6:$I$10005,"&lt;&gt;"))</f>
        <v>0</v>
      </c>
      <c r="G29" s="71" t="n">
        <f aca="false">IF($B29="","",SUMPRODUCT((①今日の在庫を貼る!$B$6:$B$10005=$B29)*①今日の在庫を貼る!$N$6:$N$10005*①今日の在庫を貼る!$Q$6:$Q$10005))</f>
        <v>0</v>
      </c>
      <c r="H29" s="69" t="n">
        <f aca="false">IF($B29="","",COUNTIFS(①今日の在庫を貼る!$B$6:$B$10005,$B29,①今日の在庫を貼る!$N$6:$N$10005,"&lt;0"))</f>
        <v>0</v>
      </c>
      <c r="I29" s="69" t="n">
        <f aca="false">IF($B29="","",COUNTIFS(発注管理!$C$6:$C$1005,$B29,発注管理!$Q$6:$Q$1005,"発注済"))</f>
        <v>0</v>
      </c>
      <c r="J29" s="71" t="n">
        <f aca="false">IF(OR($B29="",'設定（最初に1回）'!$C$6=""),"",SUMIFS(発注管理!$N$6:$N$1005,発注管理!$C$6:$C$1005,$B29,発注管理!$E$6:$E$1005,"&gt;="&amp;DATE(YEAR('設定（最初に1回）'!$C$6),MONTH('設定（最初に1回）'!$C$6),1),発注管理!$E$6:$E$1005,"&lt;="&amp;DATE(YEAR('設定（最初に1回）'!$C$6),MONTH('設定（最初に1回）'!$C$6)+1,0)))</f>
        <v>0</v>
      </c>
    </row>
    <row r="30" customFormat="false" ht="15" hidden="false" customHeight="false" outlineLevel="0" collapsed="false">
      <c r="B30" s="148" t="str">
        <f aca="false">IF(定数マスタ!$B30="","",定数マスタ!$B30)</f>
        <v/>
      </c>
      <c r="C30" s="66" t="str">
        <f aca="false">IF($B30="","",定数マスタ!$C30)</f>
        <v/>
      </c>
      <c r="D30" s="66" t="str">
        <f aca="false">IF($B30="","",定数マスタ!$D30)</f>
        <v/>
      </c>
      <c r="E30" s="66" t="str">
        <f aca="false">IF($B30="","",定数マスタ!$E30)</f>
        <v/>
      </c>
      <c r="F30" s="69" t="str">
        <f aca="false">IF($B30="","",COUNTIFS(①今日の在庫を貼る!$B$6:$B$10005,$B30,①今日の在庫を貼る!$I$6:$I$10005,"&lt;&gt;"))</f>
        <v/>
      </c>
      <c r="G30" s="71" t="str">
        <f aca="false">IF($B30="","",SUMPRODUCT((①今日の在庫を貼る!$B$6:$B$10005=$B30)*①今日の在庫を貼る!$N$6:$N$10005*①今日の在庫を貼る!$Q$6:$Q$10005))</f>
        <v/>
      </c>
      <c r="H30" s="69" t="str">
        <f aca="false">IF($B30="","",COUNTIFS(①今日の在庫を貼る!$B$6:$B$10005,$B30,①今日の在庫を貼る!$N$6:$N$10005,"&lt;0"))</f>
        <v/>
      </c>
      <c r="I30" s="69" t="str">
        <f aca="false">IF($B30="","",COUNTIFS(発注管理!$C$6:$C$1005,$B30,発注管理!$Q$6:$Q$1005,"発注済"))</f>
        <v/>
      </c>
      <c r="J30" s="71" t="str">
        <f aca="false">IF(OR($B30="",'設定（最初に1回）'!$C$6=""),"",SUMIFS(発注管理!$N$6:$N$1005,発注管理!$C$6:$C$1005,$B30,発注管理!$E$6:$E$1005,"&gt;="&amp;DATE(YEAR('設定（最初に1回）'!$C$6),MONTH('設定（最初に1回）'!$C$6),1),発注管理!$E$6:$E$1005,"&lt;="&amp;DATE(YEAR('設定（最初に1回）'!$C$6),MONTH('設定（最初に1回）'!$C$6)+1,0)))</f>
        <v/>
      </c>
    </row>
    <row r="31" customFormat="false" ht="15" hidden="false" customHeight="false" outlineLevel="0" collapsed="false">
      <c r="B31" s="148" t="str">
        <f aca="false">IF(定数マスタ!$B31="","",定数マスタ!$B31)</f>
        <v/>
      </c>
      <c r="C31" s="66" t="str">
        <f aca="false">IF($B31="","",定数マスタ!$C31)</f>
        <v/>
      </c>
      <c r="D31" s="66" t="str">
        <f aca="false">IF($B31="","",定数マスタ!$D31)</f>
        <v/>
      </c>
      <c r="E31" s="66" t="str">
        <f aca="false">IF($B31="","",定数マスタ!$E31)</f>
        <v/>
      </c>
      <c r="F31" s="69" t="str">
        <f aca="false">IF($B31="","",COUNTIFS(①今日の在庫を貼る!$B$6:$B$10005,$B31,①今日の在庫を貼る!$I$6:$I$10005,"&lt;&gt;"))</f>
        <v/>
      </c>
      <c r="G31" s="71" t="str">
        <f aca="false">IF($B31="","",SUMPRODUCT((①今日の在庫を貼る!$B$6:$B$10005=$B31)*①今日の在庫を貼る!$N$6:$N$10005*①今日の在庫を貼る!$Q$6:$Q$10005))</f>
        <v/>
      </c>
      <c r="H31" s="69" t="str">
        <f aca="false">IF($B31="","",COUNTIFS(①今日の在庫を貼る!$B$6:$B$10005,$B31,①今日の在庫を貼る!$N$6:$N$10005,"&lt;0"))</f>
        <v/>
      </c>
      <c r="I31" s="69" t="str">
        <f aca="false">IF($B31="","",COUNTIFS(発注管理!$C$6:$C$1005,$B31,発注管理!$Q$6:$Q$1005,"発注済"))</f>
        <v/>
      </c>
      <c r="J31" s="71" t="str">
        <f aca="false">IF(OR($B31="",'設定（最初に1回）'!$C$6=""),"",SUMIFS(発注管理!$N$6:$N$1005,発注管理!$C$6:$C$1005,$B31,発注管理!$E$6:$E$1005,"&gt;="&amp;DATE(YEAR('設定（最初に1回）'!$C$6),MONTH('設定（最初に1回）'!$C$6),1),発注管理!$E$6:$E$1005,"&lt;="&amp;DATE(YEAR('設定（最初に1回）'!$C$6),MONTH('設定（最初に1回）'!$C$6)+1,0)))</f>
        <v/>
      </c>
    </row>
    <row r="32" customFormat="false" ht="15" hidden="false" customHeight="false" outlineLevel="0" collapsed="false">
      <c r="B32" s="148" t="str">
        <f aca="false">IF(定数マスタ!$B32="","",定数マスタ!$B32)</f>
        <v/>
      </c>
      <c r="C32" s="66" t="str">
        <f aca="false">IF($B32="","",定数マスタ!$C32)</f>
        <v/>
      </c>
      <c r="D32" s="66" t="str">
        <f aca="false">IF($B32="","",定数マスタ!$D32)</f>
        <v/>
      </c>
      <c r="E32" s="66" t="str">
        <f aca="false">IF($B32="","",定数マスタ!$E32)</f>
        <v/>
      </c>
      <c r="F32" s="69" t="str">
        <f aca="false">IF($B32="","",COUNTIFS(①今日の在庫を貼る!$B$6:$B$10005,$B32,①今日の在庫を貼る!$I$6:$I$10005,"&lt;&gt;"))</f>
        <v/>
      </c>
      <c r="G32" s="71" t="str">
        <f aca="false">IF($B32="","",SUMPRODUCT((①今日の在庫を貼る!$B$6:$B$10005=$B32)*①今日の在庫を貼る!$N$6:$N$10005*①今日の在庫を貼る!$Q$6:$Q$10005))</f>
        <v/>
      </c>
      <c r="H32" s="69" t="str">
        <f aca="false">IF($B32="","",COUNTIFS(①今日の在庫を貼る!$B$6:$B$10005,$B32,①今日の在庫を貼る!$N$6:$N$10005,"&lt;0"))</f>
        <v/>
      </c>
      <c r="I32" s="69" t="str">
        <f aca="false">IF($B32="","",COUNTIFS(発注管理!$C$6:$C$1005,$B32,発注管理!$Q$6:$Q$1005,"発注済"))</f>
        <v/>
      </c>
      <c r="J32" s="71" t="str">
        <f aca="false">IF(OR($B32="",'設定（最初に1回）'!$C$6=""),"",SUMIFS(発注管理!$N$6:$N$1005,発注管理!$C$6:$C$1005,$B32,発注管理!$E$6:$E$1005,"&gt;="&amp;DATE(YEAR('設定（最初に1回）'!$C$6),MONTH('設定（最初に1回）'!$C$6),1),発注管理!$E$6:$E$1005,"&lt;="&amp;DATE(YEAR('設定（最初に1回）'!$C$6),MONTH('設定（最初に1回）'!$C$6)+1,0)))</f>
        <v/>
      </c>
    </row>
    <row r="33" customFormat="false" ht="15" hidden="false" customHeight="false" outlineLevel="0" collapsed="false">
      <c r="B33" s="148" t="str">
        <f aca="false">IF(定数マスタ!$B33="","",定数マスタ!$B33)</f>
        <v/>
      </c>
      <c r="C33" s="66" t="str">
        <f aca="false">IF($B33="","",定数マスタ!$C33)</f>
        <v/>
      </c>
      <c r="D33" s="66" t="str">
        <f aca="false">IF($B33="","",定数マスタ!$D33)</f>
        <v/>
      </c>
      <c r="E33" s="66" t="str">
        <f aca="false">IF($B33="","",定数マスタ!$E33)</f>
        <v/>
      </c>
      <c r="F33" s="69" t="str">
        <f aca="false">IF($B33="","",COUNTIFS(①今日の在庫を貼る!$B$6:$B$10005,$B33,①今日の在庫を貼る!$I$6:$I$10005,"&lt;&gt;"))</f>
        <v/>
      </c>
      <c r="G33" s="71" t="str">
        <f aca="false">IF($B33="","",SUMPRODUCT((①今日の在庫を貼る!$B$6:$B$10005=$B33)*①今日の在庫を貼る!$N$6:$N$10005*①今日の在庫を貼る!$Q$6:$Q$10005))</f>
        <v/>
      </c>
      <c r="H33" s="69" t="str">
        <f aca="false">IF($B33="","",COUNTIFS(①今日の在庫を貼る!$B$6:$B$10005,$B33,①今日の在庫を貼る!$N$6:$N$10005,"&lt;0"))</f>
        <v/>
      </c>
      <c r="I33" s="69" t="str">
        <f aca="false">IF($B33="","",COUNTIFS(発注管理!$C$6:$C$1005,$B33,発注管理!$Q$6:$Q$1005,"発注済"))</f>
        <v/>
      </c>
      <c r="J33" s="71" t="str">
        <f aca="false">IF(OR($B33="",'設定（最初に1回）'!$C$6=""),"",SUMIFS(発注管理!$N$6:$N$1005,発注管理!$C$6:$C$1005,$B33,発注管理!$E$6:$E$1005,"&gt;="&amp;DATE(YEAR('設定（最初に1回）'!$C$6),MONTH('設定（最初に1回）'!$C$6),1),発注管理!$E$6:$E$1005,"&lt;="&amp;DATE(YEAR('設定（最初に1回）'!$C$6),MONTH('設定（最初に1回）'!$C$6)+1,0)))</f>
        <v/>
      </c>
    </row>
    <row r="34" customFormat="false" ht="15" hidden="false" customHeight="false" outlineLevel="0" collapsed="false">
      <c r="B34" s="148" t="str">
        <f aca="false">IF(定数マスタ!$B34="","",定数マスタ!$B34)</f>
        <v/>
      </c>
      <c r="C34" s="66" t="str">
        <f aca="false">IF($B34="","",定数マスタ!$C34)</f>
        <v/>
      </c>
      <c r="D34" s="66" t="str">
        <f aca="false">IF($B34="","",定数マスタ!$D34)</f>
        <v/>
      </c>
      <c r="E34" s="66" t="str">
        <f aca="false">IF($B34="","",定数マスタ!$E34)</f>
        <v/>
      </c>
      <c r="F34" s="69" t="str">
        <f aca="false">IF($B34="","",COUNTIFS(①今日の在庫を貼る!$B$6:$B$10005,$B34,①今日の在庫を貼る!$I$6:$I$10005,"&lt;&gt;"))</f>
        <v/>
      </c>
      <c r="G34" s="71" t="str">
        <f aca="false">IF($B34="","",SUMPRODUCT((①今日の在庫を貼る!$B$6:$B$10005=$B34)*①今日の在庫を貼る!$N$6:$N$10005*①今日の在庫を貼る!$Q$6:$Q$10005))</f>
        <v/>
      </c>
      <c r="H34" s="69" t="str">
        <f aca="false">IF($B34="","",COUNTIFS(①今日の在庫を貼る!$B$6:$B$10005,$B34,①今日の在庫を貼る!$N$6:$N$10005,"&lt;0"))</f>
        <v/>
      </c>
      <c r="I34" s="69" t="str">
        <f aca="false">IF($B34="","",COUNTIFS(発注管理!$C$6:$C$1005,$B34,発注管理!$Q$6:$Q$1005,"発注済"))</f>
        <v/>
      </c>
      <c r="J34" s="71" t="str">
        <f aca="false">IF(OR($B34="",'設定（最初に1回）'!$C$6=""),"",SUMIFS(発注管理!$N$6:$N$1005,発注管理!$C$6:$C$1005,$B34,発注管理!$E$6:$E$1005,"&gt;="&amp;DATE(YEAR('設定（最初に1回）'!$C$6),MONTH('設定（最初に1回）'!$C$6),1),発注管理!$E$6:$E$1005,"&lt;="&amp;DATE(YEAR('設定（最初に1回）'!$C$6),MONTH('設定（最初に1回）'!$C$6)+1,0)))</f>
        <v/>
      </c>
    </row>
    <row r="35" customFormat="false" ht="15" hidden="false" customHeight="false" outlineLevel="0" collapsed="false">
      <c r="B35" s="148" t="str">
        <f aca="false">IF(定数マスタ!$B35="","",定数マスタ!$B35)</f>
        <v/>
      </c>
      <c r="C35" s="66" t="str">
        <f aca="false">IF($B35="","",定数マスタ!$C35)</f>
        <v/>
      </c>
      <c r="D35" s="66" t="str">
        <f aca="false">IF($B35="","",定数マスタ!$D35)</f>
        <v/>
      </c>
      <c r="E35" s="66" t="str">
        <f aca="false">IF($B35="","",定数マスタ!$E35)</f>
        <v/>
      </c>
      <c r="F35" s="69" t="str">
        <f aca="false">IF($B35="","",COUNTIFS(①今日の在庫を貼る!$B$6:$B$10005,$B35,①今日の在庫を貼る!$I$6:$I$10005,"&lt;&gt;"))</f>
        <v/>
      </c>
      <c r="G35" s="71" t="str">
        <f aca="false">IF($B35="","",SUMPRODUCT((①今日の在庫を貼る!$B$6:$B$10005=$B35)*①今日の在庫を貼る!$N$6:$N$10005*①今日の在庫を貼る!$Q$6:$Q$10005))</f>
        <v/>
      </c>
      <c r="H35" s="69" t="str">
        <f aca="false">IF($B35="","",COUNTIFS(①今日の在庫を貼る!$B$6:$B$10005,$B35,①今日の在庫を貼る!$N$6:$N$10005,"&lt;0"))</f>
        <v/>
      </c>
      <c r="I35" s="69" t="str">
        <f aca="false">IF($B35="","",COUNTIFS(発注管理!$C$6:$C$1005,$B35,発注管理!$Q$6:$Q$1005,"発注済"))</f>
        <v/>
      </c>
      <c r="J35" s="71" t="str">
        <f aca="false">IF(OR($B35="",'設定（最初に1回）'!$C$6=""),"",SUMIFS(発注管理!$N$6:$N$1005,発注管理!$C$6:$C$1005,$B35,発注管理!$E$6:$E$1005,"&gt;="&amp;DATE(YEAR('設定（最初に1回）'!$C$6),MONTH('設定（最初に1回）'!$C$6),1),発注管理!$E$6:$E$1005,"&lt;="&amp;DATE(YEAR('設定（最初に1回）'!$C$6),MONTH('設定（最初に1回）'!$C$6)+1,0)))</f>
        <v/>
      </c>
    </row>
    <row r="36" customFormat="false" ht="15" hidden="false" customHeight="false" outlineLevel="0" collapsed="false">
      <c r="B36" s="148" t="str">
        <f aca="false">IF(定数マスタ!$B36="","",定数マスタ!$B36)</f>
        <v/>
      </c>
      <c r="C36" s="66" t="str">
        <f aca="false">IF($B36="","",定数マスタ!$C36)</f>
        <v/>
      </c>
      <c r="D36" s="66" t="str">
        <f aca="false">IF($B36="","",定数マスタ!$D36)</f>
        <v/>
      </c>
      <c r="E36" s="66" t="str">
        <f aca="false">IF($B36="","",定数マスタ!$E36)</f>
        <v/>
      </c>
      <c r="F36" s="69" t="str">
        <f aca="false">IF($B36="","",COUNTIFS(①今日の在庫を貼る!$B$6:$B$10005,$B36,①今日の在庫を貼る!$I$6:$I$10005,"&lt;&gt;"))</f>
        <v/>
      </c>
      <c r="G36" s="71" t="str">
        <f aca="false">IF($B36="","",SUMPRODUCT((①今日の在庫を貼る!$B$6:$B$10005=$B36)*①今日の在庫を貼る!$N$6:$N$10005*①今日の在庫を貼る!$Q$6:$Q$10005))</f>
        <v/>
      </c>
      <c r="H36" s="69" t="str">
        <f aca="false">IF($B36="","",COUNTIFS(①今日の在庫を貼る!$B$6:$B$10005,$B36,①今日の在庫を貼る!$N$6:$N$10005,"&lt;0"))</f>
        <v/>
      </c>
      <c r="I36" s="69" t="str">
        <f aca="false">IF($B36="","",COUNTIFS(発注管理!$C$6:$C$1005,$B36,発注管理!$Q$6:$Q$1005,"発注済"))</f>
        <v/>
      </c>
      <c r="J36" s="71" t="str">
        <f aca="false">IF(OR($B36="",'設定（最初に1回）'!$C$6=""),"",SUMIFS(発注管理!$N$6:$N$1005,発注管理!$C$6:$C$1005,$B36,発注管理!$E$6:$E$1005,"&gt;="&amp;DATE(YEAR('設定（最初に1回）'!$C$6),MONTH('設定（最初に1回）'!$C$6),1),発注管理!$E$6:$E$1005,"&lt;="&amp;DATE(YEAR('設定（最初に1回）'!$C$6),MONTH('設定（最初に1回）'!$C$6)+1,0)))</f>
        <v/>
      </c>
    </row>
    <row r="37" customFormat="false" ht="15" hidden="false" customHeight="false" outlineLevel="0" collapsed="false">
      <c r="B37" s="148" t="str">
        <f aca="false">IF(定数マスタ!$B37="","",定数マスタ!$B37)</f>
        <v/>
      </c>
      <c r="C37" s="66" t="str">
        <f aca="false">IF($B37="","",定数マスタ!$C37)</f>
        <v/>
      </c>
      <c r="D37" s="66" t="str">
        <f aca="false">IF($B37="","",定数マスタ!$D37)</f>
        <v/>
      </c>
      <c r="E37" s="66" t="str">
        <f aca="false">IF($B37="","",定数マスタ!$E37)</f>
        <v/>
      </c>
      <c r="F37" s="69" t="str">
        <f aca="false">IF($B37="","",COUNTIFS(①今日の在庫を貼る!$B$6:$B$10005,$B37,①今日の在庫を貼る!$I$6:$I$10005,"&lt;&gt;"))</f>
        <v/>
      </c>
      <c r="G37" s="71" t="str">
        <f aca="false">IF($B37="","",SUMPRODUCT((①今日の在庫を貼る!$B$6:$B$10005=$B37)*①今日の在庫を貼る!$N$6:$N$10005*①今日の在庫を貼る!$Q$6:$Q$10005))</f>
        <v/>
      </c>
      <c r="H37" s="69" t="str">
        <f aca="false">IF($B37="","",COUNTIFS(①今日の在庫を貼る!$B$6:$B$10005,$B37,①今日の在庫を貼る!$N$6:$N$10005,"&lt;0"))</f>
        <v/>
      </c>
      <c r="I37" s="69" t="str">
        <f aca="false">IF($B37="","",COUNTIFS(発注管理!$C$6:$C$1005,$B37,発注管理!$Q$6:$Q$1005,"発注済"))</f>
        <v/>
      </c>
      <c r="J37" s="71" t="str">
        <f aca="false">IF(OR($B37="",'設定（最初に1回）'!$C$6=""),"",SUMIFS(発注管理!$N$6:$N$1005,発注管理!$C$6:$C$1005,$B37,発注管理!$E$6:$E$1005,"&gt;="&amp;DATE(YEAR('設定（最初に1回）'!$C$6),MONTH('設定（最初に1回）'!$C$6),1),発注管理!$E$6:$E$1005,"&lt;="&amp;DATE(YEAR('設定（最初に1回）'!$C$6),MONTH('設定（最初に1回）'!$C$6)+1,0)))</f>
        <v/>
      </c>
    </row>
    <row r="38" customFormat="false" ht="15" hidden="false" customHeight="false" outlineLevel="0" collapsed="false">
      <c r="B38" s="148" t="str">
        <f aca="false">IF(定数マスタ!$B38="","",定数マスタ!$B38)</f>
        <v/>
      </c>
      <c r="C38" s="66" t="str">
        <f aca="false">IF($B38="","",定数マスタ!$C38)</f>
        <v/>
      </c>
      <c r="D38" s="66" t="str">
        <f aca="false">IF($B38="","",定数マスタ!$D38)</f>
        <v/>
      </c>
      <c r="E38" s="66" t="str">
        <f aca="false">IF($B38="","",定数マスタ!$E38)</f>
        <v/>
      </c>
      <c r="F38" s="69" t="str">
        <f aca="false">IF($B38="","",COUNTIFS(①今日の在庫を貼る!$B$6:$B$10005,$B38,①今日の在庫を貼る!$I$6:$I$10005,"&lt;&gt;"))</f>
        <v/>
      </c>
      <c r="G38" s="71" t="str">
        <f aca="false">IF($B38="","",SUMPRODUCT((①今日の在庫を貼る!$B$6:$B$10005=$B38)*①今日の在庫を貼る!$N$6:$N$10005*①今日の在庫を貼る!$Q$6:$Q$10005))</f>
        <v/>
      </c>
      <c r="H38" s="69" t="str">
        <f aca="false">IF($B38="","",COUNTIFS(①今日の在庫を貼る!$B$6:$B$10005,$B38,①今日の在庫を貼る!$N$6:$N$10005,"&lt;0"))</f>
        <v/>
      </c>
      <c r="I38" s="69" t="str">
        <f aca="false">IF($B38="","",COUNTIFS(発注管理!$C$6:$C$1005,$B38,発注管理!$Q$6:$Q$1005,"発注済"))</f>
        <v/>
      </c>
      <c r="J38" s="71" t="str">
        <f aca="false">IF(OR($B38="",'設定（最初に1回）'!$C$6=""),"",SUMIFS(発注管理!$N$6:$N$1005,発注管理!$C$6:$C$1005,$B38,発注管理!$E$6:$E$1005,"&gt;="&amp;DATE(YEAR('設定（最初に1回）'!$C$6),MONTH('設定（最初に1回）'!$C$6),1),発注管理!$E$6:$E$1005,"&lt;="&amp;DATE(YEAR('設定（最初に1回）'!$C$6),MONTH('設定（最初に1回）'!$C$6)+1,0)))</f>
        <v/>
      </c>
    </row>
    <row r="39" customFormat="false" ht="15" hidden="false" customHeight="false" outlineLevel="0" collapsed="false">
      <c r="B39" s="148" t="str">
        <f aca="false">IF(定数マスタ!$B39="","",定数マスタ!$B39)</f>
        <v/>
      </c>
      <c r="C39" s="66" t="str">
        <f aca="false">IF($B39="","",定数マスタ!$C39)</f>
        <v/>
      </c>
      <c r="D39" s="66" t="str">
        <f aca="false">IF($B39="","",定数マスタ!$D39)</f>
        <v/>
      </c>
      <c r="E39" s="66" t="str">
        <f aca="false">IF($B39="","",定数マスタ!$E39)</f>
        <v/>
      </c>
      <c r="F39" s="69" t="str">
        <f aca="false">IF($B39="","",COUNTIFS(①今日の在庫を貼る!$B$6:$B$10005,$B39,①今日の在庫を貼る!$I$6:$I$10005,"&lt;&gt;"))</f>
        <v/>
      </c>
      <c r="G39" s="71" t="str">
        <f aca="false">IF($B39="","",SUMPRODUCT((①今日の在庫を貼る!$B$6:$B$10005=$B39)*①今日の在庫を貼る!$N$6:$N$10005*①今日の在庫を貼る!$Q$6:$Q$10005))</f>
        <v/>
      </c>
      <c r="H39" s="69" t="str">
        <f aca="false">IF($B39="","",COUNTIFS(①今日の在庫を貼る!$B$6:$B$10005,$B39,①今日の在庫を貼る!$N$6:$N$10005,"&lt;0"))</f>
        <v/>
      </c>
      <c r="I39" s="69" t="str">
        <f aca="false">IF($B39="","",COUNTIFS(発注管理!$C$6:$C$1005,$B39,発注管理!$Q$6:$Q$1005,"発注済"))</f>
        <v/>
      </c>
      <c r="J39" s="71" t="str">
        <f aca="false">IF(OR($B39="",'設定（最初に1回）'!$C$6=""),"",SUMIFS(発注管理!$N$6:$N$1005,発注管理!$C$6:$C$1005,$B39,発注管理!$E$6:$E$1005,"&gt;="&amp;DATE(YEAR('設定（最初に1回）'!$C$6),MONTH('設定（最初に1回）'!$C$6),1),発注管理!$E$6:$E$1005,"&lt;="&amp;DATE(YEAR('設定（最初に1回）'!$C$6),MONTH('設定（最初に1回）'!$C$6)+1,0)))</f>
        <v/>
      </c>
    </row>
    <row r="40" customFormat="false" ht="15" hidden="false" customHeight="false" outlineLevel="0" collapsed="false">
      <c r="B40" s="148" t="str">
        <f aca="false">IF(定数マスタ!$B40="","",定数マスタ!$B40)</f>
        <v/>
      </c>
      <c r="C40" s="66" t="str">
        <f aca="false">IF($B40="","",定数マスタ!$C40)</f>
        <v/>
      </c>
      <c r="D40" s="66" t="str">
        <f aca="false">IF($B40="","",定数マスタ!$D40)</f>
        <v/>
      </c>
      <c r="E40" s="66" t="str">
        <f aca="false">IF($B40="","",定数マスタ!$E40)</f>
        <v/>
      </c>
      <c r="F40" s="69" t="str">
        <f aca="false">IF($B40="","",COUNTIFS(①今日の在庫を貼る!$B$6:$B$10005,$B40,①今日の在庫を貼る!$I$6:$I$10005,"&lt;&gt;"))</f>
        <v/>
      </c>
      <c r="G40" s="71" t="str">
        <f aca="false">IF($B40="","",SUMPRODUCT((①今日の在庫を貼る!$B$6:$B$10005=$B40)*①今日の在庫を貼る!$N$6:$N$10005*①今日の在庫を貼る!$Q$6:$Q$10005))</f>
        <v/>
      </c>
      <c r="H40" s="69" t="str">
        <f aca="false">IF($B40="","",COUNTIFS(①今日の在庫を貼る!$B$6:$B$10005,$B40,①今日の在庫を貼る!$N$6:$N$10005,"&lt;0"))</f>
        <v/>
      </c>
      <c r="I40" s="69" t="str">
        <f aca="false">IF($B40="","",COUNTIFS(発注管理!$C$6:$C$1005,$B40,発注管理!$Q$6:$Q$1005,"発注済"))</f>
        <v/>
      </c>
      <c r="J40" s="71" t="str">
        <f aca="false">IF(OR($B40="",'設定（最初に1回）'!$C$6=""),"",SUMIFS(発注管理!$N$6:$N$1005,発注管理!$C$6:$C$1005,$B40,発注管理!$E$6:$E$1005,"&gt;="&amp;DATE(YEAR('設定（最初に1回）'!$C$6),MONTH('設定（最初に1回）'!$C$6),1),発注管理!$E$6:$E$1005,"&lt;="&amp;DATE(YEAR('設定（最初に1回）'!$C$6),MONTH('設定（最初に1回）'!$C$6)+1,0)))</f>
        <v/>
      </c>
    </row>
    <row r="41" customFormat="false" ht="15" hidden="false" customHeight="false" outlineLevel="0" collapsed="false">
      <c r="B41" s="148" t="str">
        <f aca="false">IF(定数マスタ!$B41="","",定数マスタ!$B41)</f>
        <v/>
      </c>
      <c r="C41" s="66" t="str">
        <f aca="false">IF($B41="","",定数マスタ!$C41)</f>
        <v/>
      </c>
      <c r="D41" s="66" t="str">
        <f aca="false">IF($B41="","",定数マスタ!$D41)</f>
        <v/>
      </c>
      <c r="E41" s="66" t="str">
        <f aca="false">IF($B41="","",定数マスタ!$E41)</f>
        <v/>
      </c>
      <c r="F41" s="69" t="str">
        <f aca="false">IF($B41="","",COUNTIFS(①今日の在庫を貼る!$B$6:$B$10005,$B41,①今日の在庫を貼る!$I$6:$I$10005,"&lt;&gt;"))</f>
        <v/>
      </c>
      <c r="G41" s="71" t="str">
        <f aca="false">IF($B41="","",SUMPRODUCT((①今日の在庫を貼る!$B$6:$B$10005=$B41)*①今日の在庫を貼る!$N$6:$N$10005*①今日の在庫を貼る!$Q$6:$Q$10005))</f>
        <v/>
      </c>
      <c r="H41" s="69" t="str">
        <f aca="false">IF($B41="","",COUNTIFS(①今日の在庫を貼る!$B$6:$B$10005,$B41,①今日の在庫を貼る!$N$6:$N$10005,"&lt;0"))</f>
        <v/>
      </c>
      <c r="I41" s="69" t="str">
        <f aca="false">IF($B41="","",COUNTIFS(発注管理!$C$6:$C$1005,$B41,発注管理!$Q$6:$Q$1005,"発注済"))</f>
        <v/>
      </c>
      <c r="J41" s="71" t="str">
        <f aca="false">IF(OR($B41="",'設定（最初に1回）'!$C$6=""),"",SUMIFS(発注管理!$N$6:$N$1005,発注管理!$C$6:$C$1005,$B41,発注管理!$E$6:$E$1005,"&gt;="&amp;DATE(YEAR('設定（最初に1回）'!$C$6),MONTH('設定（最初に1回）'!$C$6),1),発注管理!$E$6:$E$1005,"&lt;="&amp;DATE(YEAR('設定（最初に1回）'!$C$6),MONTH('設定（最初に1回）'!$C$6)+1,0)))</f>
        <v/>
      </c>
    </row>
    <row r="42" customFormat="false" ht="15" hidden="false" customHeight="false" outlineLevel="0" collapsed="false">
      <c r="B42" s="148" t="str">
        <f aca="false">IF(定数マスタ!$B42="","",定数マスタ!$B42)</f>
        <v/>
      </c>
      <c r="C42" s="66" t="str">
        <f aca="false">IF($B42="","",定数マスタ!$C42)</f>
        <v/>
      </c>
      <c r="D42" s="66" t="str">
        <f aca="false">IF($B42="","",定数マスタ!$D42)</f>
        <v/>
      </c>
      <c r="E42" s="66" t="str">
        <f aca="false">IF($B42="","",定数マスタ!$E42)</f>
        <v/>
      </c>
      <c r="F42" s="69" t="str">
        <f aca="false">IF($B42="","",COUNTIFS(①今日の在庫を貼る!$B$6:$B$10005,$B42,①今日の在庫を貼る!$I$6:$I$10005,"&lt;&gt;"))</f>
        <v/>
      </c>
      <c r="G42" s="71" t="str">
        <f aca="false">IF($B42="","",SUMPRODUCT((①今日の在庫を貼る!$B$6:$B$10005=$B42)*①今日の在庫を貼る!$N$6:$N$10005*①今日の在庫を貼る!$Q$6:$Q$10005))</f>
        <v/>
      </c>
      <c r="H42" s="69" t="str">
        <f aca="false">IF($B42="","",COUNTIFS(①今日の在庫を貼る!$B$6:$B$10005,$B42,①今日の在庫を貼る!$N$6:$N$10005,"&lt;0"))</f>
        <v/>
      </c>
      <c r="I42" s="69" t="str">
        <f aca="false">IF($B42="","",COUNTIFS(発注管理!$C$6:$C$1005,$B42,発注管理!$Q$6:$Q$1005,"発注済"))</f>
        <v/>
      </c>
      <c r="J42" s="71" t="str">
        <f aca="false">IF(OR($B42="",'設定（最初に1回）'!$C$6=""),"",SUMIFS(発注管理!$N$6:$N$1005,発注管理!$C$6:$C$1005,$B42,発注管理!$E$6:$E$1005,"&gt;="&amp;DATE(YEAR('設定（最初に1回）'!$C$6),MONTH('設定（最初に1回）'!$C$6),1),発注管理!$E$6:$E$1005,"&lt;="&amp;DATE(YEAR('設定（最初に1回）'!$C$6),MONTH('設定（最初に1回）'!$C$6)+1,0)))</f>
        <v/>
      </c>
    </row>
    <row r="43" customFormat="false" ht="15" hidden="false" customHeight="false" outlineLevel="0" collapsed="false">
      <c r="B43" s="148" t="str">
        <f aca="false">IF(定数マスタ!$B43="","",定数マスタ!$B43)</f>
        <v/>
      </c>
      <c r="C43" s="66" t="str">
        <f aca="false">IF($B43="","",定数マスタ!$C43)</f>
        <v/>
      </c>
      <c r="D43" s="66" t="str">
        <f aca="false">IF($B43="","",定数マスタ!$D43)</f>
        <v/>
      </c>
      <c r="E43" s="66" t="str">
        <f aca="false">IF($B43="","",定数マスタ!$E43)</f>
        <v/>
      </c>
      <c r="F43" s="69" t="str">
        <f aca="false">IF($B43="","",COUNTIFS(①今日の在庫を貼る!$B$6:$B$10005,$B43,①今日の在庫を貼る!$I$6:$I$10005,"&lt;&gt;"))</f>
        <v/>
      </c>
      <c r="G43" s="71" t="str">
        <f aca="false">IF($B43="","",SUMPRODUCT((①今日の在庫を貼る!$B$6:$B$10005=$B43)*①今日の在庫を貼る!$N$6:$N$10005*①今日の在庫を貼る!$Q$6:$Q$10005))</f>
        <v/>
      </c>
      <c r="H43" s="69" t="str">
        <f aca="false">IF($B43="","",COUNTIFS(①今日の在庫を貼る!$B$6:$B$10005,$B43,①今日の在庫を貼る!$N$6:$N$10005,"&lt;0"))</f>
        <v/>
      </c>
      <c r="I43" s="69" t="str">
        <f aca="false">IF($B43="","",COUNTIFS(発注管理!$C$6:$C$1005,$B43,発注管理!$Q$6:$Q$1005,"発注済"))</f>
        <v/>
      </c>
      <c r="J43" s="71" t="str">
        <f aca="false">IF(OR($B43="",'設定（最初に1回）'!$C$6=""),"",SUMIFS(発注管理!$N$6:$N$1005,発注管理!$C$6:$C$1005,$B43,発注管理!$E$6:$E$1005,"&gt;="&amp;DATE(YEAR('設定（最初に1回）'!$C$6),MONTH('設定（最初に1回）'!$C$6),1),発注管理!$E$6:$E$1005,"&lt;="&amp;DATE(YEAR('設定（最初に1回）'!$C$6),MONTH('設定（最初に1回）'!$C$6)+1,0)))</f>
        <v/>
      </c>
    </row>
    <row r="44" customFormat="false" ht="15" hidden="false" customHeight="false" outlineLevel="0" collapsed="false">
      <c r="B44" s="148" t="str">
        <f aca="false">IF(定数マスタ!$B44="","",定数マスタ!$B44)</f>
        <v/>
      </c>
      <c r="C44" s="66" t="str">
        <f aca="false">IF($B44="","",定数マスタ!$C44)</f>
        <v/>
      </c>
      <c r="D44" s="66" t="str">
        <f aca="false">IF($B44="","",定数マスタ!$D44)</f>
        <v/>
      </c>
      <c r="E44" s="66" t="str">
        <f aca="false">IF($B44="","",定数マスタ!$E44)</f>
        <v/>
      </c>
      <c r="F44" s="69" t="str">
        <f aca="false">IF($B44="","",COUNTIFS(①今日の在庫を貼る!$B$6:$B$10005,$B44,①今日の在庫を貼る!$I$6:$I$10005,"&lt;&gt;"))</f>
        <v/>
      </c>
      <c r="G44" s="71" t="str">
        <f aca="false">IF($B44="","",SUMPRODUCT((①今日の在庫を貼る!$B$6:$B$10005=$B44)*①今日の在庫を貼る!$N$6:$N$10005*①今日の在庫を貼る!$Q$6:$Q$10005))</f>
        <v/>
      </c>
      <c r="H44" s="69" t="str">
        <f aca="false">IF($B44="","",COUNTIFS(①今日の在庫を貼る!$B$6:$B$10005,$B44,①今日の在庫を貼る!$N$6:$N$10005,"&lt;0"))</f>
        <v/>
      </c>
      <c r="I44" s="69" t="str">
        <f aca="false">IF($B44="","",COUNTIFS(発注管理!$C$6:$C$1005,$B44,発注管理!$Q$6:$Q$1005,"発注済"))</f>
        <v/>
      </c>
      <c r="J44" s="71" t="str">
        <f aca="false">IF(OR($B44="",'設定（最初に1回）'!$C$6=""),"",SUMIFS(発注管理!$N$6:$N$1005,発注管理!$C$6:$C$1005,$B44,発注管理!$E$6:$E$1005,"&gt;="&amp;DATE(YEAR('設定（最初に1回）'!$C$6),MONTH('設定（最初に1回）'!$C$6),1),発注管理!$E$6:$E$1005,"&lt;="&amp;DATE(YEAR('設定（最初に1回）'!$C$6),MONTH('設定（最初に1回）'!$C$6)+1,0)))</f>
        <v/>
      </c>
    </row>
    <row r="45" customFormat="false" ht="15" hidden="false" customHeight="false" outlineLevel="0" collapsed="false">
      <c r="B45" s="148" t="str">
        <f aca="false">IF(定数マスタ!$B45="","",定数マスタ!$B45)</f>
        <v/>
      </c>
      <c r="C45" s="66" t="str">
        <f aca="false">IF($B45="","",定数マスタ!$C45)</f>
        <v/>
      </c>
      <c r="D45" s="66" t="str">
        <f aca="false">IF($B45="","",定数マスタ!$D45)</f>
        <v/>
      </c>
      <c r="E45" s="66" t="str">
        <f aca="false">IF($B45="","",定数マスタ!$E45)</f>
        <v/>
      </c>
      <c r="F45" s="69" t="str">
        <f aca="false">IF($B45="","",COUNTIFS(①今日の在庫を貼る!$B$6:$B$10005,$B45,①今日の在庫を貼る!$I$6:$I$10005,"&lt;&gt;"))</f>
        <v/>
      </c>
      <c r="G45" s="71" t="str">
        <f aca="false">IF($B45="","",SUMPRODUCT((①今日の在庫を貼る!$B$6:$B$10005=$B45)*①今日の在庫を貼る!$N$6:$N$10005*①今日の在庫を貼る!$Q$6:$Q$10005))</f>
        <v/>
      </c>
      <c r="H45" s="69" t="str">
        <f aca="false">IF($B45="","",COUNTIFS(①今日の在庫を貼る!$B$6:$B$10005,$B45,①今日の在庫を貼る!$N$6:$N$10005,"&lt;0"))</f>
        <v/>
      </c>
      <c r="I45" s="69" t="str">
        <f aca="false">IF($B45="","",COUNTIFS(発注管理!$C$6:$C$1005,$B45,発注管理!$Q$6:$Q$1005,"発注済"))</f>
        <v/>
      </c>
      <c r="J45" s="71" t="str">
        <f aca="false">IF(OR($B45="",'設定（最初に1回）'!$C$6=""),"",SUMIFS(発注管理!$N$6:$N$1005,発注管理!$C$6:$C$1005,$B45,発注管理!$E$6:$E$1005,"&gt;="&amp;DATE(YEAR('設定（最初に1回）'!$C$6),MONTH('設定（最初に1回）'!$C$6),1),発注管理!$E$6:$E$1005,"&lt;="&amp;DATE(YEAR('設定（最初に1回）'!$C$6),MONTH('設定（最初に1回）'!$C$6)+1,0)))</f>
        <v/>
      </c>
    </row>
    <row r="46" customFormat="false" ht="15" hidden="false" customHeight="false" outlineLevel="0" collapsed="false">
      <c r="B46" s="148" t="str">
        <f aca="false">IF(定数マスタ!$B46="","",定数マスタ!$B46)</f>
        <v/>
      </c>
      <c r="C46" s="66" t="str">
        <f aca="false">IF($B46="","",定数マスタ!$C46)</f>
        <v/>
      </c>
      <c r="D46" s="66" t="str">
        <f aca="false">IF($B46="","",定数マスタ!$D46)</f>
        <v/>
      </c>
      <c r="E46" s="66" t="str">
        <f aca="false">IF($B46="","",定数マスタ!$E46)</f>
        <v/>
      </c>
      <c r="F46" s="69" t="str">
        <f aca="false">IF($B46="","",COUNTIFS(①今日の在庫を貼る!$B$6:$B$10005,$B46,①今日の在庫を貼る!$I$6:$I$10005,"&lt;&gt;"))</f>
        <v/>
      </c>
      <c r="G46" s="71" t="str">
        <f aca="false">IF($B46="","",SUMPRODUCT((①今日の在庫を貼る!$B$6:$B$10005=$B46)*①今日の在庫を貼る!$N$6:$N$10005*①今日の在庫を貼る!$Q$6:$Q$10005))</f>
        <v/>
      </c>
      <c r="H46" s="69" t="str">
        <f aca="false">IF($B46="","",COUNTIFS(①今日の在庫を貼る!$B$6:$B$10005,$B46,①今日の在庫を貼る!$N$6:$N$10005,"&lt;0"))</f>
        <v/>
      </c>
      <c r="I46" s="69" t="str">
        <f aca="false">IF($B46="","",COUNTIFS(発注管理!$C$6:$C$1005,$B46,発注管理!$Q$6:$Q$1005,"発注済"))</f>
        <v/>
      </c>
      <c r="J46" s="71" t="str">
        <f aca="false">IF(OR($B46="",'設定（最初に1回）'!$C$6=""),"",SUMIFS(発注管理!$N$6:$N$1005,発注管理!$C$6:$C$1005,$B46,発注管理!$E$6:$E$1005,"&gt;="&amp;DATE(YEAR('設定（最初に1回）'!$C$6),MONTH('設定（最初に1回）'!$C$6),1),発注管理!$E$6:$E$1005,"&lt;="&amp;DATE(YEAR('設定（最初に1回）'!$C$6),MONTH('設定（最初に1回）'!$C$6)+1,0)))</f>
        <v/>
      </c>
    </row>
    <row r="47" customFormat="false" ht="15" hidden="false" customHeight="false" outlineLevel="0" collapsed="false">
      <c r="B47" s="148" t="str">
        <f aca="false">IF(定数マスタ!$B47="","",定数マスタ!$B47)</f>
        <v/>
      </c>
      <c r="C47" s="66" t="str">
        <f aca="false">IF($B47="","",定数マスタ!$C47)</f>
        <v/>
      </c>
      <c r="D47" s="66" t="str">
        <f aca="false">IF($B47="","",定数マスタ!$D47)</f>
        <v/>
      </c>
      <c r="E47" s="66" t="str">
        <f aca="false">IF($B47="","",定数マスタ!$E47)</f>
        <v/>
      </c>
      <c r="F47" s="69" t="str">
        <f aca="false">IF($B47="","",COUNTIFS(①今日の在庫を貼る!$B$6:$B$10005,$B47,①今日の在庫を貼る!$I$6:$I$10005,"&lt;&gt;"))</f>
        <v/>
      </c>
      <c r="G47" s="71" t="str">
        <f aca="false">IF($B47="","",SUMPRODUCT((①今日の在庫を貼る!$B$6:$B$10005=$B47)*①今日の在庫を貼る!$N$6:$N$10005*①今日の在庫を貼る!$Q$6:$Q$10005))</f>
        <v/>
      </c>
      <c r="H47" s="69" t="str">
        <f aca="false">IF($B47="","",COUNTIFS(①今日の在庫を貼る!$B$6:$B$10005,$B47,①今日の在庫を貼る!$N$6:$N$10005,"&lt;0"))</f>
        <v/>
      </c>
      <c r="I47" s="69" t="str">
        <f aca="false">IF($B47="","",COUNTIFS(発注管理!$C$6:$C$1005,$B47,発注管理!$Q$6:$Q$1005,"発注済"))</f>
        <v/>
      </c>
      <c r="J47" s="71" t="str">
        <f aca="false">IF(OR($B47="",'設定（最初に1回）'!$C$6=""),"",SUMIFS(発注管理!$N$6:$N$1005,発注管理!$C$6:$C$1005,$B47,発注管理!$E$6:$E$1005,"&gt;="&amp;DATE(YEAR('設定（最初に1回）'!$C$6),MONTH('設定（最初に1回）'!$C$6),1),発注管理!$E$6:$E$1005,"&lt;="&amp;DATE(YEAR('設定（最初に1回）'!$C$6),MONTH('設定（最初に1回）'!$C$6)+1,0)))</f>
        <v/>
      </c>
    </row>
    <row r="48" customFormat="false" ht="15" hidden="false" customHeight="false" outlineLevel="0" collapsed="false">
      <c r="B48" s="148" t="str">
        <f aca="false">IF(定数マスタ!$B48="","",定数マスタ!$B48)</f>
        <v/>
      </c>
      <c r="C48" s="66" t="str">
        <f aca="false">IF($B48="","",定数マスタ!$C48)</f>
        <v/>
      </c>
      <c r="D48" s="66" t="str">
        <f aca="false">IF($B48="","",定数マスタ!$D48)</f>
        <v/>
      </c>
      <c r="E48" s="66" t="str">
        <f aca="false">IF($B48="","",定数マスタ!$E48)</f>
        <v/>
      </c>
      <c r="F48" s="69" t="str">
        <f aca="false">IF($B48="","",COUNTIFS(①今日の在庫を貼る!$B$6:$B$10005,$B48,①今日の在庫を貼る!$I$6:$I$10005,"&lt;&gt;"))</f>
        <v/>
      </c>
      <c r="G48" s="71" t="str">
        <f aca="false">IF($B48="","",SUMPRODUCT((①今日の在庫を貼る!$B$6:$B$10005=$B48)*①今日の在庫を貼る!$N$6:$N$10005*①今日の在庫を貼る!$Q$6:$Q$10005))</f>
        <v/>
      </c>
      <c r="H48" s="69" t="str">
        <f aca="false">IF($B48="","",COUNTIFS(①今日の在庫を貼る!$B$6:$B$10005,$B48,①今日の在庫を貼る!$N$6:$N$10005,"&lt;0"))</f>
        <v/>
      </c>
      <c r="I48" s="69" t="str">
        <f aca="false">IF($B48="","",COUNTIFS(発注管理!$C$6:$C$1005,$B48,発注管理!$Q$6:$Q$1005,"発注済"))</f>
        <v/>
      </c>
      <c r="J48" s="71" t="str">
        <f aca="false">IF(OR($B48="",'設定（最初に1回）'!$C$6=""),"",SUMIFS(発注管理!$N$6:$N$1005,発注管理!$C$6:$C$1005,$B48,発注管理!$E$6:$E$1005,"&gt;="&amp;DATE(YEAR('設定（最初に1回）'!$C$6),MONTH('設定（最初に1回）'!$C$6),1),発注管理!$E$6:$E$1005,"&lt;="&amp;DATE(YEAR('設定（最初に1回）'!$C$6),MONTH('設定（最初に1回）'!$C$6)+1,0)))</f>
        <v/>
      </c>
    </row>
    <row r="49" customFormat="false" ht="15" hidden="false" customHeight="false" outlineLevel="0" collapsed="false">
      <c r="B49" s="148" t="str">
        <f aca="false">IF(定数マスタ!$B49="","",定数マスタ!$B49)</f>
        <v/>
      </c>
      <c r="C49" s="66" t="str">
        <f aca="false">IF($B49="","",定数マスタ!$C49)</f>
        <v/>
      </c>
      <c r="D49" s="66" t="str">
        <f aca="false">IF($B49="","",定数マスタ!$D49)</f>
        <v/>
      </c>
      <c r="E49" s="66" t="str">
        <f aca="false">IF($B49="","",定数マスタ!$E49)</f>
        <v/>
      </c>
      <c r="F49" s="69" t="str">
        <f aca="false">IF($B49="","",COUNTIFS(①今日の在庫を貼る!$B$6:$B$10005,$B49,①今日の在庫を貼る!$I$6:$I$10005,"&lt;&gt;"))</f>
        <v/>
      </c>
      <c r="G49" s="71" t="str">
        <f aca="false">IF($B49="","",SUMPRODUCT((①今日の在庫を貼る!$B$6:$B$10005=$B49)*①今日の在庫を貼る!$N$6:$N$10005*①今日の在庫を貼る!$Q$6:$Q$10005))</f>
        <v/>
      </c>
      <c r="H49" s="69" t="str">
        <f aca="false">IF($B49="","",COUNTIFS(①今日の在庫を貼る!$B$6:$B$10005,$B49,①今日の在庫を貼る!$N$6:$N$10005,"&lt;0"))</f>
        <v/>
      </c>
      <c r="I49" s="69" t="str">
        <f aca="false">IF($B49="","",COUNTIFS(発注管理!$C$6:$C$1005,$B49,発注管理!$Q$6:$Q$1005,"発注済"))</f>
        <v/>
      </c>
      <c r="J49" s="71" t="str">
        <f aca="false">IF(OR($B49="",'設定（最初に1回）'!$C$6=""),"",SUMIFS(発注管理!$N$6:$N$1005,発注管理!$C$6:$C$1005,$B49,発注管理!$E$6:$E$1005,"&gt;="&amp;DATE(YEAR('設定（最初に1回）'!$C$6),MONTH('設定（最初に1回）'!$C$6),1),発注管理!$E$6:$E$1005,"&lt;="&amp;DATE(YEAR('設定（最初に1回）'!$C$6),MONTH('設定（最初に1回）'!$C$6)+1,0)))</f>
        <v/>
      </c>
    </row>
    <row r="50" customFormat="false" ht="15" hidden="false" customHeight="false" outlineLevel="0" collapsed="false">
      <c r="B50" s="148" t="str">
        <f aca="false">IF(定数マスタ!$B50="","",定数マスタ!$B50)</f>
        <v/>
      </c>
      <c r="C50" s="66" t="str">
        <f aca="false">IF($B50="","",定数マスタ!$C50)</f>
        <v/>
      </c>
      <c r="D50" s="66" t="str">
        <f aca="false">IF($B50="","",定数マスタ!$D50)</f>
        <v/>
      </c>
      <c r="E50" s="66" t="str">
        <f aca="false">IF($B50="","",定数マスタ!$E50)</f>
        <v/>
      </c>
      <c r="F50" s="69" t="str">
        <f aca="false">IF($B50="","",COUNTIFS(①今日の在庫を貼る!$B$6:$B$10005,$B50,①今日の在庫を貼る!$I$6:$I$10005,"&lt;&gt;"))</f>
        <v/>
      </c>
      <c r="G50" s="71" t="str">
        <f aca="false">IF($B50="","",SUMPRODUCT((①今日の在庫を貼る!$B$6:$B$10005=$B50)*①今日の在庫を貼る!$N$6:$N$10005*①今日の在庫を貼る!$Q$6:$Q$10005))</f>
        <v/>
      </c>
      <c r="H50" s="69" t="str">
        <f aca="false">IF($B50="","",COUNTIFS(①今日の在庫を貼る!$B$6:$B$10005,$B50,①今日の在庫を貼る!$N$6:$N$10005,"&lt;0"))</f>
        <v/>
      </c>
      <c r="I50" s="69" t="str">
        <f aca="false">IF($B50="","",COUNTIFS(発注管理!$C$6:$C$1005,$B50,発注管理!$Q$6:$Q$1005,"発注済"))</f>
        <v/>
      </c>
      <c r="J50" s="71" t="str">
        <f aca="false">IF(OR($B50="",'設定（最初に1回）'!$C$6=""),"",SUMIFS(発注管理!$N$6:$N$1005,発注管理!$C$6:$C$1005,$B50,発注管理!$E$6:$E$1005,"&gt;="&amp;DATE(YEAR('設定（最初に1回）'!$C$6),MONTH('設定（最初に1回）'!$C$6),1),発注管理!$E$6:$E$1005,"&lt;="&amp;DATE(YEAR('設定（最初に1回）'!$C$6),MONTH('設定（最初に1回）'!$C$6)+1,0)))</f>
        <v/>
      </c>
    </row>
    <row r="51" customFormat="false" ht="15" hidden="false" customHeight="false" outlineLevel="0" collapsed="false">
      <c r="B51" s="148" t="str">
        <f aca="false">IF(定数マスタ!$B51="","",定数マスタ!$B51)</f>
        <v/>
      </c>
      <c r="C51" s="66" t="str">
        <f aca="false">IF($B51="","",定数マスタ!$C51)</f>
        <v/>
      </c>
      <c r="D51" s="66" t="str">
        <f aca="false">IF($B51="","",定数マスタ!$D51)</f>
        <v/>
      </c>
      <c r="E51" s="66" t="str">
        <f aca="false">IF($B51="","",定数マスタ!$E51)</f>
        <v/>
      </c>
      <c r="F51" s="69" t="str">
        <f aca="false">IF($B51="","",COUNTIFS(①今日の在庫を貼る!$B$6:$B$10005,$B51,①今日の在庫を貼る!$I$6:$I$10005,"&lt;&gt;"))</f>
        <v/>
      </c>
      <c r="G51" s="71" t="str">
        <f aca="false">IF($B51="","",SUMPRODUCT((①今日の在庫を貼る!$B$6:$B$10005=$B51)*①今日の在庫を貼る!$N$6:$N$10005*①今日の在庫を貼る!$Q$6:$Q$10005))</f>
        <v/>
      </c>
      <c r="H51" s="69" t="str">
        <f aca="false">IF($B51="","",COUNTIFS(①今日の在庫を貼る!$B$6:$B$10005,$B51,①今日の在庫を貼る!$N$6:$N$10005,"&lt;0"))</f>
        <v/>
      </c>
      <c r="I51" s="69" t="str">
        <f aca="false">IF($B51="","",COUNTIFS(発注管理!$C$6:$C$1005,$B51,発注管理!$Q$6:$Q$1005,"発注済"))</f>
        <v/>
      </c>
      <c r="J51" s="71" t="str">
        <f aca="false">IF(OR($B51="",'設定（最初に1回）'!$C$6=""),"",SUMIFS(発注管理!$N$6:$N$1005,発注管理!$C$6:$C$1005,$B51,発注管理!$E$6:$E$1005,"&gt;="&amp;DATE(YEAR('設定（最初に1回）'!$C$6),MONTH('設定（最初に1回）'!$C$6),1),発注管理!$E$6:$E$1005,"&lt;="&amp;DATE(YEAR('設定（最初に1回）'!$C$6),MONTH('設定（最初に1回）'!$C$6)+1,0)))</f>
        <v/>
      </c>
    </row>
    <row r="52" customFormat="false" ht="15" hidden="false" customHeight="false" outlineLevel="0" collapsed="false">
      <c r="B52" s="148" t="str">
        <f aca="false">IF(定数マスタ!$B52="","",定数マスタ!$B52)</f>
        <v/>
      </c>
      <c r="C52" s="66" t="str">
        <f aca="false">IF($B52="","",定数マスタ!$C52)</f>
        <v/>
      </c>
      <c r="D52" s="66" t="str">
        <f aca="false">IF($B52="","",定数マスタ!$D52)</f>
        <v/>
      </c>
      <c r="E52" s="66" t="str">
        <f aca="false">IF($B52="","",定数マスタ!$E52)</f>
        <v/>
      </c>
      <c r="F52" s="69" t="str">
        <f aca="false">IF($B52="","",COUNTIFS(①今日の在庫を貼る!$B$6:$B$10005,$B52,①今日の在庫を貼る!$I$6:$I$10005,"&lt;&gt;"))</f>
        <v/>
      </c>
      <c r="G52" s="71" t="str">
        <f aca="false">IF($B52="","",SUMPRODUCT((①今日の在庫を貼る!$B$6:$B$10005=$B52)*①今日の在庫を貼る!$N$6:$N$10005*①今日の在庫を貼る!$Q$6:$Q$10005))</f>
        <v/>
      </c>
      <c r="H52" s="69" t="str">
        <f aca="false">IF($B52="","",COUNTIFS(①今日の在庫を貼る!$B$6:$B$10005,$B52,①今日の在庫を貼る!$N$6:$N$10005,"&lt;0"))</f>
        <v/>
      </c>
      <c r="I52" s="69" t="str">
        <f aca="false">IF($B52="","",COUNTIFS(発注管理!$C$6:$C$1005,$B52,発注管理!$Q$6:$Q$1005,"発注済"))</f>
        <v/>
      </c>
      <c r="J52" s="71" t="str">
        <f aca="false">IF(OR($B52="",'設定（最初に1回）'!$C$6=""),"",SUMIFS(発注管理!$N$6:$N$1005,発注管理!$C$6:$C$1005,$B52,発注管理!$E$6:$E$1005,"&gt;="&amp;DATE(YEAR('設定（最初に1回）'!$C$6),MONTH('設定（最初に1回）'!$C$6),1),発注管理!$E$6:$E$1005,"&lt;="&amp;DATE(YEAR('設定（最初に1回）'!$C$6),MONTH('設定（最初に1回）'!$C$6)+1,0)))</f>
        <v/>
      </c>
    </row>
    <row r="53" customFormat="false" ht="15" hidden="false" customHeight="false" outlineLevel="0" collapsed="false">
      <c r="B53" s="148" t="str">
        <f aca="false">IF(定数マスタ!$B53="","",定数マスタ!$B53)</f>
        <v/>
      </c>
      <c r="C53" s="66" t="str">
        <f aca="false">IF($B53="","",定数マスタ!$C53)</f>
        <v/>
      </c>
      <c r="D53" s="66" t="str">
        <f aca="false">IF($B53="","",定数マスタ!$D53)</f>
        <v/>
      </c>
      <c r="E53" s="66" t="str">
        <f aca="false">IF($B53="","",定数マスタ!$E53)</f>
        <v/>
      </c>
      <c r="F53" s="69" t="str">
        <f aca="false">IF($B53="","",COUNTIFS(①今日の在庫を貼る!$B$6:$B$10005,$B53,①今日の在庫を貼る!$I$6:$I$10005,"&lt;&gt;"))</f>
        <v/>
      </c>
      <c r="G53" s="71" t="str">
        <f aca="false">IF($B53="","",SUMPRODUCT((①今日の在庫を貼る!$B$6:$B$10005=$B53)*①今日の在庫を貼る!$N$6:$N$10005*①今日の在庫を貼る!$Q$6:$Q$10005))</f>
        <v/>
      </c>
      <c r="H53" s="69" t="str">
        <f aca="false">IF($B53="","",COUNTIFS(①今日の在庫を貼る!$B$6:$B$10005,$B53,①今日の在庫を貼る!$N$6:$N$10005,"&lt;0"))</f>
        <v/>
      </c>
      <c r="I53" s="69" t="str">
        <f aca="false">IF($B53="","",COUNTIFS(発注管理!$C$6:$C$1005,$B53,発注管理!$Q$6:$Q$1005,"発注済"))</f>
        <v/>
      </c>
      <c r="J53" s="71" t="str">
        <f aca="false">IF(OR($B53="",'設定（最初に1回）'!$C$6=""),"",SUMIFS(発注管理!$N$6:$N$1005,発注管理!$C$6:$C$1005,$B53,発注管理!$E$6:$E$1005,"&gt;="&amp;DATE(YEAR('設定（最初に1回）'!$C$6),MONTH('設定（最初に1回）'!$C$6),1),発注管理!$E$6:$E$1005,"&lt;="&amp;DATE(YEAR('設定（最初に1回）'!$C$6),MONTH('設定（最初に1回）'!$C$6)+1,0)))</f>
        <v/>
      </c>
    </row>
    <row r="54" customFormat="false" ht="15" hidden="false" customHeight="false" outlineLevel="0" collapsed="false">
      <c r="B54" s="148" t="str">
        <f aca="false">IF(定数マスタ!$B54="","",定数マスタ!$B54)</f>
        <v/>
      </c>
      <c r="C54" s="66" t="str">
        <f aca="false">IF($B54="","",定数マスタ!$C54)</f>
        <v/>
      </c>
      <c r="D54" s="66" t="str">
        <f aca="false">IF($B54="","",定数マスタ!$D54)</f>
        <v/>
      </c>
      <c r="E54" s="66" t="str">
        <f aca="false">IF($B54="","",定数マスタ!$E54)</f>
        <v/>
      </c>
      <c r="F54" s="69" t="str">
        <f aca="false">IF($B54="","",COUNTIFS(①今日の在庫を貼る!$B$6:$B$10005,$B54,①今日の在庫を貼る!$I$6:$I$10005,"&lt;&gt;"))</f>
        <v/>
      </c>
      <c r="G54" s="71" t="str">
        <f aca="false">IF($B54="","",SUMPRODUCT((①今日の在庫を貼る!$B$6:$B$10005=$B54)*①今日の在庫を貼る!$N$6:$N$10005*①今日の在庫を貼る!$Q$6:$Q$10005))</f>
        <v/>
      </c>
      <c r="H54" s="69" t="str">
        <f aca="false">IF($B54="","",COUNTIFS(①今日の在庫を貼る!$B$6:$B$10005,$B54,①今日の在庫を貼る!$N$6:$N$10005,"&lt;0"))</f>
        <v/>
      </c>
      <c r="I54" s="69" t="str">
        <f aca="false">IF($B54="","",COUNTIFS(発注管理!$C$6:$C$1005,$B54,発注管理!$Q$6:$Q$1005,"発注済"))</f>
        <v/>
      </c>
      <c r="J54" s="71" t="str">
        <f aca="false">IF(OR($B54="",'設定（最初に1回）'!$C$6=""),"",SUMIFS(発注管理!$N$6:$N$1005,発注管理!$C$6:$C$1005,$B54,発注管理!$E$6:$E$1005,"&gt;="&amp;DATE(YEAR('設定（最初に1回）'!$C$6),MONTH('設定（最初に1回）'!$C$6),1),発注管理!$E$6:$E$1005,"&lt;="&amp;DATE(YEAR('設定（最初に1回）'!$C$6),MONTH('設定（最初に1回）'!$C$6)+1,0)))</f>
        <v/>
      </c>
    </row>
    <row r="55" customFormat="false" ht="15" hidden="false" customHeight="false" outlineLevel="0" collapsed="false">
      <c r="B55" s="148" t="str">
        <f aca="false">IF(定数マスタ!$B55="","",定数マスタ!$B55)</f>
        <v/>
      </c>
      <c r="C55" s="66" t="str">
        <f aca="false">IF($B55="","",定数マスタ!$C55)</f>
        <v/>
      </c>
      <c r="D55" s="66" t="str">
        <f aca="false">IF($B55="","",定数マスタ!$D55)</f>
        <v/>
      </c>
      <c r="E55" s="66" t="str">
        <f aca="false">IF($B55="","",定数マスタ!$E55)</f>
        <v/>
      </c>
      <c r="F55" s="69" t="str">
        <f aca="false">IF($B55="","",COUNTIFS(①今日の在庫を貼る!$B$6:$B$10005,$B55,①今日の在庫を貼る!$I$6:$I$10005,"&lt;&gt;"))</f>
        <v/>
      </c>
      <c r="G55" s="71" t="str">
        <f aca="false">IF($B55="","",SUMPRODUCT((①今日の在庫を貼る!$B$6:$B$10005=$B55)*①今日の在庫を貼る!$N$6:$N$10005*①今日の在庫を貼る!$Q$6:$Q$10005))</f>
        <v/>
      </c>
      <c r="H55" s="69" t="str">
        <f aca="false">IF($B55="","",COUNTIFS(①今日の在庫を貼る!$B$6:$B$10005,$B55,①今日の在庫を貼る!$N$6:$N$10005,"&lt;0"))</f>
        <v/>
      </c>
      <c r="I55" s="69" t="str">
        <f aca="false">IF($B55="","",COUNTIFS(発注管理!$C$6:$C$1005,$B55,発注管理!$Q$6:$Q$1005,"発注済"))</f>
        <v/>
      </c>
      <c r="J55" s="71" t="str">
        <f aca="false">IF(OR($B55="",'設定（最初に1回）'!$C$6=""),"",SUMIFS(発注管理!$N$6:$N$1005,発注管理!$C$6:$C$1005,$B55,発注管理!$E$6:$E$1005,"&gt;="&amp;DATE(YEAR('設定（最初に1回）'!$C$6),MONTH('設定（最初に1回）'!$C$6),1),発注管理!$E$6:$E$1005,"&lt;="&amp;DATE(YEAR('設定（最初に1回）'!$C$6),MONTH('設定（最初に1回）'!$C$6)+1,0)))</f>
        <v/>
      </c>
    </row>
    <row r="56" customFormat="false" ht="15" hidden="false" customHeight="false" outlineLevel="0" collapsed="false">
      <c r="B56" s="148" t="str">
        <f aca="false">IF(定数マスタ!$B56="","",定数マスタ!$B56)</f>
        <v/>
      </c>
      <c r="C56" s="66" t="str">
        <f aca="false">IF($B56="","",定数マスタ!$C56)</f>
        <v/>
      </c>
      <c r="D56" s="66" t="str">
        <f aca="false">IF($B56="","",定数マスタ!$D56)</f>
        <v/>
      </c>
      <c r="E56" s="66" t="str">
        <f aca="false">IF($B56="","",定数マスタ!$E56)</f>
        <v/>
      </c>
      <c r="F56" s="69" t="str">
        <f aca="false">IF($B56="","",COUNTIFS(①今日の在庫を貼る!$B$6:$B$10005,$B56,①今日の在庫を貼る!$I$6:$I$10005,"&lt;&gt;"))</f>
        <v/>
      </c>
      <c r="G56" s="71" t="str">
        <f aca="false">IF($B56="","",SUMPRODUCT((①今日の在庫を貼る!$B$6:$B$10005=$B56)*①今日の在庫を貼る!$N$6:$N$10005*①今日の在庫を貼る!$Q$6:$Q$10005))</f>
        <v/>
      </c>
      <c r="H56" s="69" t="str">
        <f aca="false">IF($B56="","",COUNTIFS(①今日の在庫を貼る!$B$6:$B$10005,$B56,①今日の在庫を貼る!$N$6:$N$10005,"&lt;0"))</f>
        <v/>
      </c>
      <c r="I56" s="69" t="str">
        <f aca="false">IF($B56="","",COUNTIFS(発注管理!$C$6:$C$1005,$B56,発注管理!$Q$6:$Q$1005,"発注済"))</f>
        <v/>
      </c>
      <c r="J56" s="71" t="str">
        <f aca="false">IF(OR($B56="",'設定（最初に1回）'!$C$6=""),"",SUMIFS(発注管理!$N$6:$N$1005,発注管理!$C$6:$C$1005,$B56,発注管理!$E$6:$E$1005,"&gt;="&amp;DATE(YEAR('設定（最初に1回）'!$C$6),MONTH('設定（最初に1回）'!$C$6),1),発注管理!$E$6:$E$1005,"&lt;="&amp;DATE(YEAR('設定（最初に1回）'!$C$6),MONTH('設定（最初に1回）'!$C$6)+1,0)))</f>
        <v/>
      </c>
    </row>
    <row r="57" customFormat="false" ht="15" hidden="false" customHeight="false" outlineLevel="0" collapsed="false">
      <c r="B57" s="148" t="str">
        <f aca="false">IF(定数マスタ!$B57="","",定数マスタ!$B57)</f>
        <v/>
      </c>
      <c r="C57" s="66" t="str">
        <f aca="false">IF($B57="","",定数マスタ!$C57)</f>
        <v/>
      </c>
      <c r="D57" s="66" t="str">
        <f aca="false">IF($B57="","",定数マスタ!$D57)</f>
        <v/>
      </c>
      <c r="E57" s="66" t="str">
        <f aca="false">IF($B57="","",定数マスタ!$E57)</f>
        <v/>
      </c>
      <c r="F57" s="69" t="str">
        <f aca="false">IF($B57="","",COUNTIFS(①今日の在庫を貼る!$B$6:$B$10005,$B57,①今日の在庫を貼る!$I$6:$I$10005,"&lt;&gt;"))</f>
        <v/>
      </c>
      <c r="G57" s="71" t="str">
        <f aca="false">IF($B57="","",SUMPRODUCT((①今日の在庫を貼る!$B$6:$B$10005=$B57)*①今日の在庫を貼る!$N$6:$N$10005*①今日の在庫を貼る!$Q$6:$Q$10005))</f>
        <v/>
      </c>
      <c r="H57" s="69" t="str">
        <f aca="false">IF($B57="","",COUNTIFS(①今日の在庫を貼る!$B$6:$B$10005,$B57,①今日の在庫を貼る!$N$6:$N$10005,"&lt;0"))</f>
        <v/>
      </c>
      <c r="I57" s="69" t="str">
        <f aca="false">IF($B57="","",COUNTIFS(発注管理!$C$6:$C$1005,$B57,発注管理!$Q$6:$Q$1005,"発注済"))</f>
        <v/>
      </c>
      <c r="J57" s="71" t="str">
        <f aca="false">IF(OR($B57="",'設定（最初に1回）'!$C$6=""),"",SUMIFS(発注管理!$N$6:$N$1005,発注管理!$C$6:$C$1005,$B57,発注管理!$E$6:$E$1005,"&gt;="&amp;DATE(YEAR('設定（最初に1回）'!$C$6),MONTH('設定（最初に1回）'!$C$6),1),発注管理!$E$6:$E$1005,"&lt;="&amp;DATE(YEAR('設定（最初に1回）'!$C$6),MONTH('設定（最初に1回）'!$C$6)+1,0)))</f>
        <v/>
      </c>
    </row>
    <row r="58" customFormat="false" ht="15" hidden="false" customHeight="false" outlineLevel="0" collapsed="false">
      <c r="B58" s="148" t="str">
        <f aca="false">IF(定数マスタ!$B58="","",定数マスタ!$B58)</f>
        <v/>
      </c>
      <c r="C58" s="66" t="str">
        <f aca="false">IF($B58="","",定数マスタ!$C58)</f>
        <v/>
      </c>
      <c r="D58" s="66" t="str">
        <f aca="false">IF($B58="","",定数マスタ!$D58)</f>
        <v/>
      </c>
      <c r="E58" s="66" t="str">
        <f aca="false">IF($B58="","",定数マスタ!$E58)</f>
        <v/>
      </c>
      <c r="F58" s="69" t="str">
        <f aca="false">IF($B58="","",COUNTIFS(①今日の在庫を貼る!$B$6:$B$10005,$B58,①今日の在庫を貼る!$I$6:$I$10005,"&lt;&gt;"))</f>
        <v/>
      </c>
      <c r="G58" s="71" t="str">
        <f aca="false">IF($B58="","",SUMPRODUCT((①今日の在庫を貼る!$B$6:$B$10005=$B58)*①今日の在庫を貼る!$N$6:$N$10005*①今日の在庫を貼る!$Q$6:$Q$10005))</f>
        <v/>
      </c>
      <c r="H58" s="69" t="str">
        <f aca="false">IF($B58="","",COUNTIFS(①今日の在庫を貼る!$B$6:$B$10005,$B58,①今日の在庫を貼る!$N$6:$N$10005,"&lt;0"))</f>
        <v/>
      </c>
      <c r="I58" s="69" t="str">
        <f aca="false">IF($B58="","",COUNTIFS(発注管理!$C$6:$C$1005,$B58,発注管理!$Q$6:$Q$1005,"発注済"))</f>
        <v/>
      </c>
      <c r="J58" s="71" t="str">
        <f aca="false">IF(OR($B58="",'設定（最初に1回）'!$C$6=""),"",SUMIFS(発注管理!$N$6:$N$1005,発注管理!$C$6:$C$1005,$B58,発注管理!$E$6:$E$1005,"&gt;="&amp;DATE(YEAR('設定（最初に1回）'!$C$6),MONTH('設定（最初に1回）'!$C$6),1),発注管理!$E$6:$E$1005,"&lt;="&amp;DATE(YEAR('設定（最初に1回）'!$C$6),MONTH('設定（最初に1回）'!$C$6)+1,0)))</f>
        <v/>
      </c>
    </row>
    <row r="59" customFormat="false" ht="15" hidden="false" customHeight="false" outlineLevel="0" collapsed="false">
      <c r="B59" s="148" t="str">
        <f aca="false">IF(定数マスタ!$B59="","",定数マスタ!$B59)</f>
        <v/>
      </c>
      <c r="C59" s="66" t="str">
        <f aca="false">IF($B59="","",定数マスタ!$C59)</f>
        <v/>
      </c>
      <c r="D59" s="66" t="str">
        <f aca="false">IF($B59="","",定数マスタ!$D59)</f>
        <v/>
      </c>
      <c r="E59" s="66" t="str">
        <f aca="false">IF($B59="","",定数マスタ!$E59)</f>
        <v/>
      </c>
      <c r="F59" s="69" t="str">
        <f aca="false">IF($B59="","",COUNTIFS(①今日の在庫を貼る!$B$6:$B$10005,$B59,①今日の在庫を貼る!$I$6:$I$10005,"&lt;&gt;"))</f>
        <v/>
      </c>
      <c r="G59" s="71" t="str">
        <f aca="false">IF($B59="","",SUMPRODUCT((①今日の在庫を貼る!$B$6:$B$10005=$B59)*①今日の在庫を貼る!$N$6:$N$10005*①今日の在庫を貼る!$Q$6:$Q$10005))</f>
        <v/>
      </c>
      <c r="H59" s="69" t="str">
        <f aca="false">IF($B59="","",COUNTIFS(①今日の在庫を貼る!$B$6:$B$10005,$B59,①今日の在庫を貼る!$N$6:$N$10005,"&lt;0"))</f>
        <v/>
      </c>
      <c r="I59" s="69" t="str">
        <f aca="false">IF($B59="","",COUNTIFS(発注管理!$C$6:$C$1005,$B59,発注管理!$Q$6:$Q$1005,"発注済"))</f>
        <v/>
      </c>
      <c r="J59" s="71" t="str">
        <f aca="false">IF(OR($B59="",'設定（最初に1回）'!$C$6=""),"",SUMIFS(発注管理!$N$6:$N$1005,発注管理!$C$6:$C$1005,$B59,発注管理!$E$6:$E$1005,"&gt;="&amp;DATE(YEAR('設定（最初に1回）'!$C$6),MONTH('設定（最初に1回）'!$C$6),1),発注管理!$E$6:$E$1005,"&lt;="&amp;DATE(YEAR('設定（最初に1回）'!$C$6),MONTH('設定（最初に1回）'!$C$6)+1,0)))</f>
        <v/>
      </c>
    </row>
    <row r="60" customFormat="false" ht="15" hidden="false" customHeight="false" outlineLevel="0" collapsed="false">
      <c r="B60" s="148" t="str">
        <f aca="false">IF(定数マスタ!$B60="","",定数マスタ!$B60)</f>
        <v/>
      </c>
      <c r="C60" s="66" t="str">
        <f aca="false">IF($B60="","",定数マスタ!$C60)</f>
        <v/>
      </c>
      <c r="D60" s="66" t="str">
        <f aca="false">IF($B60="","",定数マスタ!$D60)</f>
        <v/>
      </c>
      <c r="E60" s="66" t="str">
        <f aca="false">IF($B60="","",定数マスタ!$E60)</f>
        <v/>
      </c>
      <c r="F60" s="69" t="str">
        <f aca="false">IF($B60="","",COUNTIFS(①今日の在庫を貼る!$B$6:$B$10005,$B60,①今日の在庫を貼る!$I$6:$I$10005,"&lt;&gt;"))</f>
        <v/>
      </c>
      <c r="G60" s="71" t="str">
        <f aca="false">IF($B60="","",SUMPRODUCT((①今日の在庫を貼る!$B$6:$B$10005=$B60)*①今日の在庫を貼る!$N$6:$N$10005*①今日の在庫を貼る!$Q$6:$Q$10005))</f>
        <v/>
      </c>
      <c r="H60" s="69" t="str">
        <f aca="false">IF($B60="","",COUNTIFS(①今日の在庫を貼る!$B$6:$B$10005,$B60,①今日の在庫を貼る!$N$6:$N$10005,"&lt;0"))</f>
        <v/>
      </c>
      <c r="I60" s="69" t="str">
        <f aca="false">IF($B60="","",COUNTIFS(発注管理!$C$6:$C$1005,$B60,発注管理!$Q$6:$Q$1005,"発注済"))</f>
        <v/>
      </c>
      <c r="J60" s="71" t="str">
        <f aca="false">IF(OR($B60="",'設定（最初に1回）'!$C$6=""),"",SUMIFS(発注管理!$N$6:$N$1005,発注管理!$C$6:$C$1005,$B60,発注管理!$E$6:$E$1005,"&gt;="&amp;DATE(YEAR('設定（最初に1回）'!$C$6),MONTH('設定（最初に1回）'!$C$6),1),発注管理!$E$6:$E$1005,"&lt;="&amp;DATE(YEAR('設定（最初に1回）'!$C$6),MONTH('設定（最初に1回）'!$C$6)+1,0)))</f>
        <v/>
      </c>
    </row>
    <row r="61" customFormat="false" ht="15" hidden="false" customHeight="false" outlineLevel="0" collapsed="false">
      <c r="B61" s="148" t="str">
        <f aca="false">IF(定数マスタ!$B61="","",定数マスタ!$B61)</f>
        <v/>
      </c>
      <c r="C61" s="66" t="str">
        <f aca="false">IF($B61="","",定数マスタ!$C61)</f>
        <v/>
      </c>
      <c r="D61" s="66" t="str">
        <f aca="false">IF($B61="","",定数マスタ!$D61)</f>
        <v/>
      </c>
      <c r="E61" s="66" t="str">
        <f aca="false">IF($B61="","",定数マスタ!$E61)</f>
        <v/>
      </c>
      <c r="F61" s="69" t="str">
        <f aca="false">IF($B61="","",COUNTIFS(①今日の在庫を貼る!$B$6:$B$10005,$B61,①今日の在庫を貼る!$I$6:$I$10005,"&lt;&gt;"))</f>
        <v/>
      </c>
      <c r="G61" s="71" t="str">
        <f aca="false">IF($B61="","",SUMPRODUCT((①今日の在庫を貼る!$B$6:$B$10005=$B61)*①今日の在庫を貼る!$N$6:$N$10005*①今日の在庫を貼る!$Q$6:$Q$10005))</f>
        <v/>
      </c>
      <c r="H61" s="69" t="str">
        <f aca="false">IF($B61="","",COUNTIFS(①今日の在庫を貼る!$B$6:$B$10005,$B61,①今日の在庫を貼る!$N$6:$N$10005,"&lt;0"))</f>
        <v/>
      </c>
      <c r="I61" s="69" t="str">
        <f aca="false">IF($B61="","",COUNTIFS(発注管理!$C$6:$C$1005,$B61,発注管理!$Q$6:$Q$1005,"発注済"))</f>
        <v/>
      </c>
      <c r="J61" s="71" t="str">
        <f aca="false">IF(OR($B61="",'設定（最初に1回）'!$C$6=""),"",SUMIFS(発注管理!$N$6:$N$1005,発注管理!$C$6:$C$1005,$B61,発注管理!$E$6:$E$1005,"&gt;="&amp;DATE(YEAR('設定（最初に1回）'!$C$6),MONTH('設定（最初に1回）'!$C$6),1),発注管理!$E$6:$E$1005,"&lt;="&amp;DATE(YEAR('設定（最初に1回）'!$C$6),MONTH('設定（最初に1回）'!$C$6)+1,0)))</f>
        <v/>
      </c>
    </row>
    <row r="62" customFormat="false" ht="15" hidden="false" customHeight="false" outlineLevel="0" collapsed="false">
      <c r="B62" s="148" t="str">
        <f aca="false">IF(定数マスタ!$B62="","",定数マスタ!$B62)</f>
        <v/>
      </c>
      <c r="C62" s="66" t="str">
        <f aca="false">IF($B62="","",定数マスタ!$C62)</f>
        <v/>
      </c>
      <c r="D62" s="66" t="str">
        <f aca="false">IF($B62="","",定数マスタ!$D62)</f>
        <v/>
      </c>
      <c r="E62" s="66" t="str">
        <f aca="false">IF($B62="","",定数マスタ!$E62)</f>
        <v/>
      </c>
      <c r="F62" s="69" t="str">
        <f aca="false">IF($B62="","",COUNTIFS(①今日の在庫を貼る!$B$6:$B$10005,$B62,①今日の在庫を貼る!$I$6:$I$10005,"&lt;&gt;"))</f>
        <v/>
      </c>
      <c r="G62" s="71" t="str">
        <f aca="false">IF($B62="","",SUMPRODUCT((①今日の在庫を貼る!$B$6:$B$10005=$B62)*①今日の在庫を貼る!$N$6:$N$10005*①今日の在庫を貼る!$Q$6:$Q$10005))</f>
        <v/>
      </c>
      <c r="H62" s="69" t="str">
        <f aca="false">IF($B62="","",COUNTIFS(①今日の在庫を貼る!$B$6:$B$10005,$B62,①今日の在庫を貼る!$N$6:$N$10005,"&lt;0"))</f>
        <v/>
      </c>
      <c r="I62" s="69" t="str">
        <f aca="false">IF($B62="","",COUNTIFS(発注管理!$C$6:$C$1005,$B62,発注管理!$Q$6:$Q$1005,"発注済"))</f>
        <v/>
      </c>
      <c r="J62" s="71" t="str">
        <f aca="false">IF(OR($B62="",'設定（最初に1回）'!$C$6=""),"",SUMIFS(発注管理!$N$6:$N$1005,発注管理!$C$6:$C$1005,$B62,発注管理!$E$6:$E$1005,"&gt;="&amp;DATE(YEAR('設定（最初に1回）'!$C$6),MONTH('設定（最初に1回）'!$C$6),1),発注管理!$E$6:$E$1005,"&lt;="&amp;DATE(YEAR('設定（最初に1回）'!$C$6),MONTH('設定（最初に1回）'!$C$6)+1,0)))</f>
        <v/>
      </c>
    </row>
    <row r="63" customFormat="false" ht="15" hidden="false" customHeight="false" outlineLevel="0" collapsed="false">
      <c r="B63" s="148" t="str">
        <f aca="false">IF(定数マスタ!$B63="","",定数マスタ!$B63)</f>
        <v/>
      </c>
      <c r="C63" s="66" t="str">
        <f aca="false">IF($B63="","",定数マスタ!$C63)</f>
        <v/>
      </c>
      <c r="D63" s="66" t="str">
        <f aca="false">IF($B63="","",定数マスタ!$D63)</f>
        <v/>
      </c>
      <c r="E63" s="66" t="str">
        <f aca="false">IF($B63="","",定数マスタ!$E63)</f>
        <v/>
      </c>
      <c r="F63" s="69" t="str">
        <f aca="false">IF($B63="","",COUNTIFS(①今日の在庫を貼る!$B$6:$B$10005,$B63,①今日の在庫を貼る!$I$6:$I$10005,"&lt;&gt;"))</f>
        <v/>
      </c>
      <c r="G63" s="71" t="str">
        <f aca="false">IF($B63="","",SUMPRODUCT((①今日の在庫を貼る!$B$6:$B$10005=$B63)*①今日の在庫を貼る!$N$6:$N$10005*①今日の在庫を貼る!$Q$6:$Q$10005))</f>
        <v/>
      </c>
      <c r="H63" s="69" t="str">
        <f aca="false">IF($B63="","",COUNTIFS(①今日の在庫を貼る!$B$6:$B$10005,$B63,①今日の在庫を貼る!$N$6:$N$10005,"&lt;0"))</f>
        <v/>
      </c>
      <c r="I63" s="69" t="str">
        <f aca="false">IF($B63="","",COUNTIFS(発注管理!$C$6:$C$1005,$B63,発注管理!$Q$6:$Q$1005,"発注済"))</f>
        <v/>
      </c>
      <c r="J63" s="71" t="str">
        <f aca="false">IF(OR($B63="",'設定（最初に1回）'!$C$6=""),"",SUMIFS(発注管理!$N$6:$N$1005,発注管理!$C$6:$C$1005,$B63,発注管理!$E$6:$E$1005,"&gt;="&amp;DATE(YEAR('設定（最初に1回）'!$C$6),MONTH('設定（最初に1回）'!$C$6),1),発注管理!$E$6:$E$1005,"&lt;="&amp;DATE(YEAR('設定（最初に1回）'!$C$6),MONTH('設定（最初に1回）'!$C$6)+1,0)))</f>
        <v/>
      </c>
    </row>
    <row r="64" customFormat="false" ht="15" hidden="false" customHeight="false" outlineLevel="0" collapsed="false">
      <c r="B64" s="148" t="str">
        <f aca="false">IF(定数マスタ!$B64="","",定数マスタ!$B64)</f>
        <v/>
      </c>
      <c r="C64" s="66" t="str">
        <f aca="false">IF($B64="","",定数マスタ!$C64)</f>
        <v/>
      </c>
      <c r="D64" s="66" t="str">
        <f aca="false">IF($B64="","",定数マスタ!$D64)</f>
        <v/>
      </c>
      <c r="E64" s="66" t="str">
        <f aca="false">IF($B64="","",定数マスタ!$E64)</f>
        <v/>
      </c>
      <c r="F64" s="69" t="str">
        <f aca="false">IF($B64="","",COUNTIFS(①今日の在庫を貼る!$B$6:$B$10005,$B64,①今日の在庫を貼る!$I$6:$I$10005,"&lt;&gt;"))</f>
        <v/>
      </c>
      <c r="G64" s="71" t="str">
        <f aca="false">IF($B64="","",SUMPRODUCT((①今日の在庫を貼る!$B$6:$B$10005=$B64)*①今日の在庫を貼る!$N$6:$N$10005*①今日の在庫を貼る!$Q$6:$Q$10005))</f>
        <v/>
      </c>
      <c r="H64" s="69" t="str">
        <f aca="false">IF($B64="","",COUNTIFS(①今日の在庫を貼る!$B$6:$B$10005,$B64,①今日の在庫を貼る!$N$6:$N$10005,"&lt;0"))</f>
        <v/>
      </c>
      <c r="I64" s="69" t="str">
        <f aca="false">IF($B64="","",COUNTIFS(発注管理!$C$6:$C$1005,$B64,発注管理!$Q$6:$Q$1005,"発注済"))</f>
        <v/>
      </c>
      <c r="J64" s="71" t="str">
        <f aca="false">IF(OR($B64="",'設定（最初に1回）'!$C$6=""),"",SUMIFS(発注管理!$N$6:$N$1005,発注管理!$C$6:$C$1005,$B64,発注管理!$E$6:$E$1005,"&gt;="&amp;DATE(YEAR('設定（最初に1回）'!$C$6),MONTH('設定（最初に1回）'!$C$6),1),発注管理!$E$6:$E$1005,"&lt;="&amp;DATE(YEAR('設定（最初に1回）'!$C$6),MONTH('設定（最初に1回）'!$C$6)+1,0)))</f>
        <v/>
      </c>
    </row>
    <row r="65" customFormat="false" ht="15" hidden="false" customHeight="false" outlineLevel="0" collapsed="false">
      <c r="B65" s="148" t="str">
        <f aca="false">IF(定数マスタ!$B65="","",定数マスタ!$B65)</f>
        <v/>
      </c>
      <c r="C65" s="66" t="str">
        <f aca="false">IF($B65="","",定数マスタ!$C65)</f>
        <v/>
      </c>
      <c r="D65" s="66" t="str">
        <f aca="false">IF($B65="","",定数マスタ!$D65)</f>
        <v/>
      </c>
      <c r="E65" s="66" t="str">
        <f aca="false">IF($B65="","",定数マスタ!$E65)</f>
        <v/>
      </c>
      <c r="F65" s="69" t="str">
        <f aca="false">IF($B65="","",COUNTIFS(①今日の在庫を貼る!$B$6:$B$10005,$B65,①今日の在庫を貼る!$I$6:$I$10005,"&lt;&gt;"))</f>
        <v/>
      </c>
      <c r="G65" s="71" t="str">
        <f aca="false">IF($B65="","",SUMPRODUCT((①今日の在庫を貼る!$B$6:$B$10005=$B65)*①今日の在庫を貼る!$N$6:$N$10005*①今日の在庫を貼る!$Q$6:$Q$10005))</f>
        <v/>
      </c>
      <c r="H65" s="69" t="str">
        <f aca="false">IF($B65="","",COUNTIFS(①今日の在庫を貼る!$B$6:$B$10005,$B65,①今日の在庫を貼る!$N$6:$N$10005,"&lt;0"))</f>
        <v/>
      </c>
      <c r="I65" s="69" t="str">
        <f aca="false">IF($B65="","",COUNTIFS(発注管理!$C$6:$C$1005,$B65,発注管理!$Q$6:$Q$1005,"発注済"))</f>
        <v/>
      </c>
      <c r="J65" s="71" t="str">
        <f aca="false">IF(OR($B65="",'設定（最初に1回）'!$C$6=""),"",SUMIFS(発注管理!$N$6:$N$1005,発注管理!$C$6:$C$1005,$B65,発注管理!$E$6:$E$1005,"&gt;="&amp;DATE(YEAR('設定（最初に1回）'!$C$6),MONTH('設定（最初に1回）'!$C$6),1),発注管理!$E$6:$E$1005,"&lt;="&amp;DATE(YEAR('設定（最初に1回）'!$C$6),MONTH('設定（最初に1回）'!$C$6)+1,0)))</f>
        <v/>
      </c>
    </row>
    <row r="66" customFormat="false" ht="15" hidden="false" customHeight="false" outlineLevel="0" collapsed="false">
      <c r="B66" s="148" t="str">
        <f aca="false">IF(定数マスタ!$B66="","",定数マスタ!$B66)</f>
        <v/>
      </c>
      <c r="C66" s="66" t="str">
        <f aca="false">IF($B66="","",定数マスタ!$C66)</f>
        <v/>
      </c>
      <c r="D66" s="66" t="str">
        <f aca="false">IF($B66="","",定数マスタ!$D66)</f>
        <v/>
      </c>
      <c r="E66" s="66" t="str">
        <f aca="false">IF($B66="","",定数マスタ!$E66)</f>
        <v/>
      </c>
      <c r="F66" s="69" t="str">
        <f aca="false">IF($B66="","",COUNTIFS(①今日の在庫を貼る!$B$6:$B$10005,$B66,①今日の在庫を貼る!$I$6:$I$10005,"&lt;&gt;"))</f>
        <v/>
      </c>
      <c r="G66" s="71" t="str">
        <f aca="false">IF($B66="","",SUMPRODUCT((①今日の在庫を貼る!$B$6:$B$10005=$B66)*①今日の在庫を貼る!$N$6:$N$10005*①今日の在庫を貼る!$Q$6:$Q$10005))</f>
        <v/>
      </c>
      <c r="H66" s="69" t="str">
        <f aca="false">IF($B66="","",COUNTIFS(①今日の在庫を貼る!$B$6:$B$10005,$B66,①今日の在庫を貼る!$N$6:$N$10005,"&lt;0"))</f>
        <v/>
      </c>
      <c r="I66" s="69" t="str">
        <f aca="false">IF($B66="","",COUNTIFS(発注管理!$C$6:$C$1005,$B66,発注管理!$Q$6:$Q$1005,"発注済"))</f>
        <v/>
      </c>
      <c r="J66" s="71" t="str">
        <f aca="false">IF(OR($B66="",'設定（最初に1回）'!$C$6=""),"",SUMIFS(発注管理!$N$6:$N$1005,発注管理!$C$6:$C$1005,$B66,発注管理!$E$6:$E$1005,"&gt;="&amp;DATE(YEAR('設定（最初に1回）'!$C$6),MONTH('設定（最初に1回）'!$C$6),1),発注管理!$E$6:$E$1005,"&lt;="&amp;DATE(YEAR('設定（最初に1回）'!$C$6),MONTH('設定（最初に1回）'!$C$6)+1,0)))</f>
        <v/>
      </c>
    </row>
    <row r="67" customFormat="false" ht="15" hidden="false" customHeight="false" outlineLevel="0" collapsed="false">
      <c r="B67" s="148" t="str">
        <f aca="false">IF(定数マスタ!$B67="","",定数マスタ!$B67)</f>
        <v/>
      </c>
      <c r="C67" s="66" t="str">
        <f aca="false">IF($B67="","",定数マスタ!$C67)</f>
        <v/>
      </c>
      <c r="D67" s="66" t="str">
        <f aca="false">IF($B67="","",定数マスタ!$D67)</f>
        <v/>
      </c>
      <c r="E67" s="66" t="str">
        <f aca="false">IF($B67="","",定数マスタ!$E67)</f>
        <v/>
      </c>
      <c r="F67" s="69" t="str">
        <f aca="false">IF($B67="","",COUNTIFS(①今日の在庫を貼る!$B$6:$B$10005,$B67,①今日の在庫を貼る!$I$6:$I$10005,"&lt;&gt;"))</f>
        <v/>
      </c>
      <c r="G67" s="71" t="str">
        <f aca="false">IF($B67="","",SUMPRODUCT((①今日の在庫を貼る!$B$6:$B$10005=$B67)*①今日の在庫を貼る!$N$6:$N$10005*①今日の在庫を貼る!$Q$6:$Q$10005))</f>
        <v/>
      </c>
      <c r="H67" s="69" t="str">
        <f aca="false">IF($B67="","",COUNTIFS(①今日の在庫を貼る!$B$6:$B$10005,$B67,①今日の在庫を貼る!$N$6:$N$10005,"&lt;0"))</f>
        <v/>
      </c>
      <c r="I67" s="69" t="str">
        <f aca="false">IF($B67="","",COUNTIFS(発注管理!$C$6:$C$1005,$B67,発注管理!$Q$6:$Q$1005,"発注済"))</f>
        <v/>
      </c>
      <c r="J67" s="71" t="str">
        <f aca="false">IF(OR($B67="",'設定（最初に1回）'!$C$6=""),"",SUMIFS(発注管理!$N$6:$N$1005,発注管理!$C$6:$C$1005,$B67,発注管理!$E$6:$E$1005,"&gt;="&amp;DATE(YEAR('設定（最初に1回）'!$C$6),MONTH('設定（最初に1回）'!$C$6),1),発注管理!$E$6:$E$1005,"&lt;="&amp;DATE(YEAR('設定（最初に1回）'!$C$6),MONTH('設定（最初に1回）'!$C$6)+1,0)))</f>
        <v/>
      </c>
    </row>
    <row r="68" customFormat="false" ht="15" hidden="false" customHeight="false" outlineLevel="0" collapsed="false">
      <c r="B68" s="148" t="str">
        <f aca="false">IF(定数マスタ!$B68="","",定数マスタ!$B68)</f>
        <v/>
      </c>
      <c r="C68" s="66" t="str">
        <f aca="false">IF($B68="","",定数マスタ!$C68)</f>
        <v/>
      </c>
      <c r="D68" s="66" t="str">
        <f aca="false">IF($B68="","",定数マスタ!$D68)</f>
        <v/>
      </c>
      <c r="E68" s="66" t="str">
        <f aca="false">IF($B68="","",定数マスタ!$E68)</f>
        <v/>
      </c>
      <c r="F68" s="69" t="str">
        <f aca="false">IF($B68="","",COUNTIFS(①今日の在庫を貼る!$B$6:$B$10005,$B68,①今日の在庫を貼る!$I$6:$I$10005,"&lt;&gt;"))</f>
        <v/>
      </c>
      <c r="G68" s="71" t="str">
        <f aca="false">IF($B68="","",SUMPRODUCT((①今日の在庫を貼る!$B$6:$B$10005=$B68)*①今日の在庫を貼る!$N$6:$N$10005*①今日の在庫を貼る!$Q$6:$Q$10005))</f>
        <v/>
      </c>
      <c r="H68" s="69" t="str">
        <f aca="false">IF($B68="","",COUNTIFS(①今日の在庫を貼る!$B$6:$B$10005,$B68,①今日の在庫を貼る!$N$6:$N$10005,"&lt;0"))</f>
        <v/>
      </c>
      <c r="I68" s="69" t="str">
        <f aca="false">IF($B68="","",COUNTIFS(発注管理!$C$6:$C$1005,$B68,発注管理!$Q$6:$Q$1005,"発注済"))</f>
        <v/>
      </c>
      <c r="J68" s="71" t="str">
        <f aca="false">IF(OR($B68="",'設定（最初に1回）'!$C$6=""),"",SUMIFS(発注管理!$N$6:$N$1005,発注管理!$C$6:$C$1005,$B68,発注管理!$E$6:$E$1005,"&gt;="&amp;DATE(YEAR('設定（最初に1回）'!$C$6),MONTH('設定（最初に1回）'!$C$6),1),発注管理!$E$6:$E$1005,"&lt;="&amp;DATE(YEAR('設定（最初に1回）'!$C$6),MONTH('設定（最初に1回）'!$C$6)+1,0)))</f>
        <v/>
      </c>
    </row>
    <row r="69" customFormat="false" ht="15" hidden="false" customHeight="false" outlineLevel="0" collapsed="false">
      <c r="B69" s="148" t="str">
        <f aca="false">IF(定数マスタ!$B69="","",定数マスタ!$B69)</f>
        <v/>
      </c>
      <c r="C69" s="66" t="str">
        <f aca="false">IF($B69="","",定数マスタ!$C69)</f>
        <v/>
      </c>
      <c r="D69" s="66" t="str">
        <f aca="false">IF($B69="","",定数マスタ!$D69)</f>
        <v/>
      </c>
      <c r="E69" s="66" t="str">
        <f aca="false">IF($B69="","",定数マスタ!$E69)</f>
        <v/>
      </c>
      <c r="F69" s="69" t="str">
        <f aca="false">IF($B69="","",COUNTIFS(①今日の在庫を貼る!$B$6:$B$10005,$B69,①今日の在庫を貼る!$I$6:$I$10005,"&lt;&gt;"))</f>
        <v/>
      </c>
      <c r="G69" s="71" t="str">
        <f aca="false">IF($B69="","",SUMPRODUCT((①今日の在庫を貼る!$B$6:$B$10005=$B69)*①今日の在庫を貼る!$N$6:$N$10005*①今日の在庫を貼る!$Q$6:$Q$10005))</f>
        <v/>
      </c>
      <c r="H69" s="69" t="str">
        <f aca="false">IF($B69="","",COUNTIFS(①今日の在庫を貼る!$B$6:$B$10005,$B69,①今日の在庫を貼る!$N$6:$N$10005,"&lt;0"))</f>
        <v/>
      </c>
      <c r="I69" s="69" t="str">
        <f aca="false">IF($B69="","",COUNTIFS(発注管理!$C$6:$C$1005,$B69,発注管理!$Q$6:$Q$1005,"発注済"))</f>
        <v/>
      </c>
      <c r="J69" s="71" t="str">
        <f aca="false">IF(OR($B69="",'設定（最初に1回）'!$C$6=""),"",SUMIFS(発注管理!$N$6:$N$1005,発注管理!$C$6:$C$1005,$B69,発注管理!$E$6:$E$1005,"&gt;="&amp;DATE(YEAR('設定（最初に1回）'!$C$6),MONTH('設定（最初に1回）'!$C$6),1),発注管理!$E$6:$E$1005,"&lt;="&amp;DATE(YEAR('設定（最初に1回）'!$C$6),MONTH('設定（最初に1回）'!$C$6)+1,0)))</f>
        <v/>
      </c>
    </row>
    <row r="70" customFormat="false" ht="15" hidden="false" customHeight="false" outlineLevel="0" collapsed="false">
      <c r="B70" s="148" t="str">
        <f aca="false">IF(定数マスタ!$B70="","",定数マスタ!$B70)</f>
        <v/>
      </c>
      <c r="C70" s="66" t="str">
        <f aca="false">IF($B70="","",定数マスタ!$C70)</f>
        <v/>
      </c>
      <c r="D70" s="66" t="str">
        <f aca="false">IF($B70="","",定数マスタ!$D70)</f>
        <v/>
      </c>
      <c r="E70" s="66" t="str">
        <f aca="false">IF($B70="","",定数マスタ!$E70)</f>
        <v/>
      </c>
      <c r="F70" s="69" t="str">
        <f aca="false">IF($B70="","",COUNTIFS(①今日の在庫を貼る!$B$6:$B$10005,$B70,①今日の在庫を貼る!$I$6:$I$10005,"&lt;&gt;"))</f>
        <v/>
      </c>
      <c r="G70" s="71" t="str">
        <f aca="false">IF($B70="","",SUMPRODUCT((①今日の在庫を貼る!$B$6:$B$10005=$B70)*①今日の在庫を貼る!$N$6:$N$10005*①今日の在庫を貼る!$Q$6:$Q$10005))</f>
        <v/>
      </c>
      <c r="H70" s="69" t="str">
        <f aca="false">IF($B70="","",COUNTIFS(①今日の在庫を貼る!$B$6:$B$10005,$B70,①今日の在庫を貼る!$N$6:$N$10005,"&lt;0"))</f>
        <v/>
      </c>
      <c r="I70" s="69" t="str">
        <f aca="false">IF($B70="","",COUNTIFS(発注管理!$C$6:$C$1005,$B70,発注管理!$Q$6:$Q$1005,"発注済"))</f>
        <v/>
      </c>
      <c r="J70" s="71" t="str">
        <f aca="false">IF(OR($B70="",'設定（最初に1回）'!$C$6=""),"",SUMIFS(発注管理!$N$6:$N$1005,発注管理!$C$6:$C$1005,$B70,発注管理!$E$6:$E$1005,"&gt;="&amp;DATE(YEAR('設定（最初に1回）'!$C$6),MONTH('設定（最初に1回）'!$C$6),1),発注管理!$E$6:$E$1005,"&lt;="&amp;DATE(YEAR('設定（最初に1回）'!$C$6),MONTH('設定（最初に1回）'!$C$6)+1,0)))</f>
        <v/>
      </c>
    </row>
    <row r="71" customFormat="false" ht="15" hidden="false" customHeight="false" outlineLevel="0" collapsed="false">
      <c r="B71" s="148" t="str">
        <f aca="false">IF(定数マスタ!$B71="","",定数マスタ!$B71)</f>
        <v/>
      </c>
      <c r="C71" s="66" t="str">
        <f aca="false">IF($B71="","",定数マスタ!$C71)</f>
        <v/>
      </c>
      <c r="D71" s="66" t="str">
        <f aca="false">IF($B71="","",定数マスタ!$D71)</f>
        <v/>
      </c>
      <c r="E71" s="66" t="str">
        <f aca="false">IF($B71="","",定数マスタ!$E71)</f>
        <v/>
      </c>
      <c r="F71" s="69" t="str">
        <f aca="false">IF($B71="","",COUNTIFS(①今日の在庫を貼る!$B$6:$B$10005,$B71,①今日の在庫を貼る!$I$6:$I$10005,"&lt;&gt;"))</f>
        <v/>
      </c>
      <c r="G71" s="71" t="str">
        <f aca="false">IF($B71="","",SUMPRODUCT((①今日の在庫を貼る!$B$6:$B$10005=$B71)*①今日の在庫を貼る!$N$6:$N$10005*①今日の在庫を貼る!$Q$6:$Q$10005))</f>
        <v/>
      </c>
      <c r="H71" s="69" t="str">
        <f aca="false">IF($B71="","",COUNTIFS(①今日の在庫を貼る!$B$6:$B$10005,$B71,①今日の在庫を貼る!$N$6:$N$10005,"&lt;0"))</f>
        <v/>
      </c>
      <c r="I71" s="69" t="str">
        <f aca="false">IF($B71="","",COUNTIFS(発注管理!$C$6:$C$1005,$B71,発注管理!$Q$6:$Q$1005,"発注済"))</f>
        <v/>
      </c>
      <c r="J71" s="71" t="str">
        <f aca="false">IF(OR($B71="",'設定（最初に1回）'!$C$6=""),"",SUMIFS(発注管理!$N$6:$N$1005,発注管理!$C$6:$C$1005,$B71,発注管理!$E$6:$E$1005,"&gt;="&amp;DATE(YEAR('設定（最初に1回）'!$C$6),MONTH('設定（最初に1回）'!$C$6),1),発注管理!$E$6:$E$1005,"&lt;="&amp;DATE(YEAR('設定（最初に1回）'!$C$6),MONTH('設定（最初に1回）'!$C$6)+1,0)))</f>
        <v/>
      </c>
    </row>
    <row r="72" customFormat="false" ht="15" hidden="false" customHeight="false" outlineLevel="0" collapsed="false">
      <c r="B72" s="148" t="str">
        <f aca="false">IF(定数マスタ!$B72="","",定数マスタ!$B72)</f>
        <v/>
      </c>
      <c r="C72" s="66" t="str">
        <f aca="false">IF($B72="","",定数マスタ!$C72)</f>
        <v/>
      </c>
      <c r="D72" s="66" t="str">
        <f aca="false">IF($B72="","",定数マスタ!$D72)</f>
        <v/>
      </c>
      <c r="E72" s="66" t="str">
        <f aca="false">IF($B72="","",定数マスタ!$E72)</f>
        <v/>
      </c>
      <c r="F72" s="69" t="str">
        <f aca="false">IF($B72="","",COUNTIFS(①今日の在庫を貼る!$B$6:$B$10005,$B72,①今日の在庫を貼る!$I$6:$I$10005,"&lt;&gt;"))</f>
        <v/>
      </c>
      <c r="G72" s="71" t="str">
        <f aca="false">IF($B72="","",SUMPRODUCT((①今日の在庫を貼る!$B$6:$B$10005=$B72)*①今日の在庫を貼る!$N$6:$N$10005*①今日の在庫を貼る!$Q$6:$Q$10005))</f>
        <v/>
      </c>
      <c r="H72" s="69" t="str">
        <f aca="false">IF($B72="","",COUNTIFS(①今日の在庫を貼る!$B$6:$B$10005,$B72,①今日の在庫を貼る!$N$6:$N$10005,"&lt;0"))</f>
        <v/>
      </c>
      <c r="I72" s="69" t="str">
        <f aca="false">IF($B72="","",COUNTIFS(発注管理!$C$6:$C$1005,$B72,発注管理!$Q$6:$Q$1005,"発注済"))</f>
        <v/>
      </c>
      <c r="J72" s="71" t="str">
        <f aca="false">IF(OR($B72="",'設定（最初に1回）'!$C$6=""),"",SUMIFS(発注管理!$N$6:$N$1005,発注管理!$C$6:$C$1005,$B72,発注管理!$E$6:$E$1005,"&gt;="&amp;DATE(YEAR('設定（最初に1回）'!$C$6),MONTH('設定（最初に1回）'!$C$6),1),発注管理!$E$6:$E$1005,"&lt;="&amp;DATE(YEAR('設定（最初に1回）'!$C$6),MONTH('設定（最初に1回）'!$C$6)+1,0)))</f>
        <v/>
      </c>
    </row>
    <row r="73" customFormat="false" ht="15" hidden="false" customHeight="false" outlineLevel="0" collapsed="false">
      <c r="B73" s="148" t="str">
        <f aca="false">IF(定数マスタ!$B73="","",定数マスタ!$B73)</f>
        <v/>
      </c>
      <c r="C73" s="66" t="str">
        <f aca="false">IF($B73="","",定数マスタ!$C73)</f>
        <v/>
      </c>
      <c r="D73" s="66" t="str">
        <f aca="false">IF($B73="","",定数マスタ!$D73)</f>
        <v/>
      </c>
      <c r="E73" s="66" t="str">
        <f aca="false">IF($B73="","",定数マスタ!$E73)</f>
        <v/>
      </c>
      <c r="F73" s="69" t="str">
        <f aca="false">IF($B73="","",COUNTIFS(①今日の在庫を貼る!$B$6:$B$10005,$B73,①今日の在庫を貼る!$I$6:$I$10005,"&lt;&gt;"))</f>
        <v/>
      </c>
      <c r="G73" s="71" t="str">
        <f aca="false">IF($B73="","",SUMPRODUCT((①今日の在庫を貼る!$B$6:$B$10005=$B73)*①今日の在庫を貼る!$N$6:$N$10005*①今日の在庫を貼る!$Q$6:$Q$10005))</f>
        <v/>
      </c>
      <c r="H73" s="69" t="str">
        <f aca="false">IF($B73="","",COUNTIFS(①今日の在庫を貼る!$B$6:$B$10005,$B73,①今日の在庫を貼る!$N$6:$N$10005,"&lt;0"))</f>
        <v/>
      </c>
      <c r="I73" s="69" t="str">
        <f aca="false">IF($B73="","",COUNTIFS(発注管理!$C$6:$C$1005,$B73,発注管理!$Q$6:$Q$1005,"発注済"))</f>
        <v/>
      </c>
      <c r="J73" s="71" t="str">
        <f aca="false">IF(OR($B73="",'設定（最初に1回）'!$C$6=""),"",SUMIFS(発注管理!$N$6:$N$1005,発注管理!$C$6:$C$1005,$B73,発注管理!$E$6:$E$1005,"&gt;="&amp;DATE(YEAR('設定（最初に1回）'!$C$6),MONTH('設定（最初に1回）'!$C$6),1),発注管理!$E$6:$E$1005,"&lt;="&amp;DATE(YEAR('設定（最初に1回）'!$C$6),MONTH('設定（最初に1回）'!$C$6)+1,0)))</f>
        <v/>
      </c>
    </row>
    <row r="74" customFormat="false" ht="15" hidden="false" customHeight="false" outlineLevel="0" collapsed="false">
      <c r="B74" s="148" t="str">
        <f aca="false">IF(定数マスタ!$B74="","",定数マスタ!$B74)</f>
        <v/>
      </c>
      <c r="C74" s="66" t="str">
        <f aca="false">IF($B74="","",定数マスタ!$C74)</f>
        <v/>
      </c>
      <c r="D74" s="66" t="str">
        <f aca="false">IF($B74="","",定数マスタ!$D74)</f>
        <v/>
      </c>
      <c r="E74" s="66" t="str">
        <f aca="false">IF($B74="","",定数マスタ!$E74)</f>
        <v/>
      </c>
      <c r="F74" s="69" t="str">
        <f aca="false">IF($B74="","",COUNTIFS(①今日の在庫を貼る!$B$6:$B$10005,$B74,①今日の在庫を貼る!$I$6:$I$10005,"&lt;&gt;"))</f>
        <v/>
      </c>
      <c r="G74" s="71" t="str">
        <f aca="false">IF($B74="","",SUMPRODUCT((①今日の在庫を貼る!$B$6:$B$10005=$B74)*①今日の在庫を貼る!$N$6:$N$10005*①今日の在庫を貼る!$Q$6:$Q$10005))</f>
        <v/>
      </c>
      <c r="H74" s="69" t="str">
        <f aca="false">IF($B74="","",COUNTIFS(①今日の在庫を貼る!$B$6:$B$10005,$B74,①今日の在庫を貼る!$N$6:$N$10005,"&lt;0"))</f>
        <v/>
      </c>
      <c r="I74" s="69" t="str">
        <f aca="false">IF($B74="","",COUNTIFS(発注管理!$C$6:$C$1005,$B74,発注管理!$Q$6:$Q$1005,"発注済"))</f>
        <v/>
      </c>
      <c r="J74" s="71" t="str">
        <f aca="false">IF(OR($B74="",'設定（最初に1回）'!$C$6=""),"",SUMIFS(発注管理!$N$6:$N$1005,発注管理!$C$6:$C$1005,$B74,発注管理!$E$6:$E$1005,"&gt;="&amp;DATE(YEAR('設定（最初に1回）'!$C$6),MONTH('設定（最初に1回）'!$C$6),1),発注管理!$E$6:$E$1005,"&lt;="&amp;DATE(YEAR('設定（最初に1回）'!$C$6),MONTH('設定（最初に1回）'!$C$6)+1,0)))</f>
        <v/>
      </c>
    </row>
    <row r="75" customFormat="false" ht="15" hidden="false" customHeight="false" outlineLevel="0" collapsed="false">
      <c r="B75" s="148" t="str">
        <f aca="false">IF(定数マスタ!$B75="","",定数マスタ!$B75)</f>
        <v/>
      </c>
      <c r="C75" s="66" t="str">
        <f aca="false">IF($B75="","",定数マスタ!$C75)</f>
        <v/>
      </c>
      <c r="D75" s="66" t="str">
        <f aca="false">IF($B75="","",定数マスタ!$D75)</f>
        <v/>
      </c>
      <c r="E75" s="66" t="str">
        <f aca="false">IF($B75="","",定数マスタ!$E75)</f>
        <v/>
      </c>
      <c r="F75" s="69" t="str">
        <f aca="false">IF($B75="","",COUNTIFS(①今日の在庫を貼る!$B$6:$B$10005,$B75,①今日の在庫を貼る!$I$6:$I$10005,"&lt;&gt;"))</f>
        <v/>
      </c>
      <c r="G75" s="71" t="str">
        <f aca="false">IF($B75="","",SUMPRODUCT((①今日の在庫を貼る!$B$6:$B$10005=$B75)*①今日の在庫を貼る!$N$6:$N$10005*①今日の在庫を貼る!$Q$6:$Q$10005))</f>
        <v/>
      </c>
      <c r="H75" s="69" t="str">
        <f aca="false">IF($B75="","",COUNTIFS(①今日の在庫を貼る!$B$6:$B$10005,$B75,①今日の在庫を貼る!$N$6:$N$10005,"&lt;0"))</f>
        <v/>
      </c>
      <c r="I75" s="69" t="str">
        <f aca="false">IF($B75="","",COUNTIFS(発注管理!$C$6:$C$1005,$B75,発注管理!$Q$6:$Q$1005,"発注済"))</f>
        <v/>
      </c>
      <c r="J75" s="71" t="str">
        <f aca="false">IF(OR($B75="",'設定（最初に1回）'!$C$6=""),"",SUMIFS(発注管理!$N$6:$N$1005,発注管理!$C$6:$C$1005,$B75,発注管理!$E$6:$E$1005,"&gt;="&amp;DATE(YEAR('設定（最初に1回）'!$C$6),MONTH('設定（最初に1回）'!$C$6),1),発注管理!$E$6:$E$1005,"&lt;="&amp;DATE(YEAR('設定（最初に1回）'!$C$6),MONTH('設定（最初に1回）'!$C$6)+1,0)))</f>
        <v/>
      </c>
    </row>
    <row r="76" customFormat="false" ht="15" hidden="false" customHeight="false" outlineLevel="0" collapsed="false">
      <c r="B76" s="148" t="str">
        <f aca="false">IF(定数マスタ!$B76="","",定数マスタ!$B76)</f>
        <v/>
      </c>
      <c r="C76" s="66" t="str">
        <f aca="false">IF($B76="","",定数マスタ!$C76)</f>
        <v/>
      </c>
      <c r="D76" s="66" t="str">
        <f aca="false">IF($B76="","",定数マスタ!$D76)</f>
        <v/>
      </c>
      <c r="E76" s="66" t="str">
        <f aca="false">IF($B76="","",定数マスタ!$E76)</f>
        <v/>
      </c>
      <c r="F76" s="69" t="str">
        <f aca="false">IF($B76="","",COUNTIFS(①今日の在庫を貼る!$B$6:$B$10005,$B76,①今日の在庫を貼る!$I$6:$I$10005,"&lt;&gt;"))</f>
        <v/>
      </c>
      <c r="G76" s="71" t="str">
        <f aca="false">IF($B76="","",SUMPRODUCT((①今日の在庫を貼る!$B$6:$B$10005=$B76)*①今日の在庫を貼る!$N$6:$N$10005*①今日の在庫を貼る!$Q$6:$Q$10005))</f>
        <v/>
      </c>
      <c r="H76" s="69" t="str">
        <f aca="false">IF($B76="","",COUNTIFS(①今日の在庫を貼る!$B$6:$B$10005,$B76,①今日の在庫を貼る!$N$6:$N$10005,"&lt;0"))</f>
        <v/>
      </c>
      <c r="I76" s="69" t="str">
        <f aca="false">IF($B76="","",COUNTIFS(発注管理!$C$6:$C$1005,$B76,発注管理!$Q$6:$Q$1005,"発注済"))</f>
        <v/>
      </c>
      <c r="J76" s="71" t="str">
        <f aca="false">IF(OR($B76="",'設定（最初に1回）'!$C$6=""),"",SUMIFS(発注管理!$N$6:$N$1005,発注管理!$C$6:$C$1005,$B76,発注管理!$E$6:$E$1005,"&gt;="&amp;DATE(YEAR('設定（最初に1回）'!$C$6),MONTH('設定（最初に1回）'!$C$6),1),発注管理!$E$6:$E$1005,"&lt;="&amp;DATE(YEAR('設定（最初に1回）'!$C$6),MONTH('設定（最初に1回）'!$C$6)+1,0)))</f>
        <v/>
      </c>
    </row>
    <row r="77" customFormat="false" ht="15" hidden="false" customHeight="false" outlineLevel="0" collapsed="false">
      <c r="B77" s="148" t="str">
        <f aca="false">IF(定数マスタ!$B77="","",定数マスタ!$B77)</f>
        <v/>
      </c>
      <c r="C77" s="66" t="str">
        <f aca="false">IF($B77="","",定数マスタ!$C77)</f>
        <v/>
      </c>
      <c r="D77" s="66" t="str">
        <f aca="false">IF($B77="","",定数マスタ!$D77)</f>
        <v/>
      </c>
      <c r="E77" s="66" t="str">
        <f aca="false">IF($B77="","",定数マスタ!$E77)</f>
        <v/>
      </c>
      <c r="F77" s="69" t="str">
        <f aca="false">IF($B77="","",COUNTIFS(①今日の在庫を貼る!$B$6:$B$10005,$B77,①今日の在庫を貼る!$I$6:$I$10005,"&lt;&gt;"))</f>
        <v/>
      </c>
      <c r="G77" s="71" t="str">
        <f aca="false">IF($B77="","",SUMPRODUCT((①今日の在庫を貼る!$B$6:$B$10005=$B77)*①今日の在庫を貼る!$N$6:$N$10005*①今日の在庫を貼る!$Q$6:$Q$10005))</f>
        <v/>
      </c>
      <c r="H77" s="69" t="str">
        <f aca="false">IF($B77="","",COUNTIFS(①今日の在庫を貼る!$B$6:$B$10005,$B77,①今日の在庫を貼る!$N$6:$N$10005,"&lt;0"))</f>
        <v/>
      </c>
      <c r="I77" s="69" t="str">
        <f aca="false">IF($B77="","",COUNTIFS(発注管理!$C$6:$C$1005,$B77,発注管理!$Q$6:$Q$1005,"発注済"))</f>
        <v/>
      </c>
      <c r="J77" s="71" t="str">
        <f aca="false">IF(OR($B77="",'設定（最初に1回）'!$C$6=""),"",SUMIFS(発注管理!$N$6:$N$1005,発注管理!$C$6:$C$1005,$B77,発注管理!$E$6:$E$1005,"&gt;="&amp;DATE(YEAR('設定（最初に1回）'!$C$6),MONTH('設定（最初に1回）'!$C$6),1),発注管理!$E$6:$E$1005,"&lt;="&amp;DATE(YEAR('設定（最初に1回）'!$C$6),MONTH('設定（最初に1回）'!$C$6)+1,0)))</f>
        <v/>
      </c>
    </row>
    <row r="78" customFormat="false" ht="15" hidden="false" customHeight="false" outlineLevel="0" collapsed="false">
      <c r="B78" s="148" t="str">
        <f aca="false">IF(定数マスタ!$B78="","",定数マスタ!$B78)</f>
        <v/>
      </c>
      <c r="C78" s="66" t="str">
        <f aca="false">IF($B78="","",定数マスタ!$C78)</f>
        <v/>
      </c>
      <c r="D78" s="66" t="str">
        <f aca="false">IF($B78="","",定数マスタ!$D78)</f>
        <v/>
      </c>
      <c r="E78" s="66" t="str">
        <f aca="false">IF($B78="","",定数マスタ!$E78)</f>
        <v/>
      </c>
      <c r="F78" s="69" t="str">
        <f aca="false">IF($B78="","",COUNTIFS(①今日の在庫を貼る!$B$6:$B$10005,$B78,①今日の在庫を貼る!$I$6:$I$10005,"&lt;&gt;"))</f>
        <v/>
      </c>
      <c r="G78" s="71" t="str">
        <f aca="false">IF($B78="","",SUMPRODUCT((①今日の在庫を貼る!$B$6:$B$10005=$B78)*①今日の在庫を貼る!$N$6:$N$10005*①今日の在庫を貼る!$Q$6:$Q$10005))</f>
        <v/>
      </c>
      <c r="H78" s="69" t="str">
        <f aca="false">IF($B78="","",COUNTIFS(①今日の在庫を貼る!$B$6:$B$10005,$B78,①今日の在庫を貼る!$N$6:$N$10005,"&lt;0"))</f>
        <v/>
      </c>
      <c r="I78" s="69" t="str">
        <f aca="false">IF($B78="","",COUNTIFS(発注管理!$C$6:$C$1005,$B78,発注管理!$Q$6:$Q$1005,"発注済"))</f>
        <v/>
      </c>
      <c r="J78" s="71" t="str">
        <f aca="false">IF(OR($B78="",'設定（最初に1回）'!$C$6=""),"",SUMIFS(発注管理!$N$6:$N$1005,発注管理!$C$6:$C$1005,$B78,発注管理!$E$6:$E$1005,"&gt;="&amp;DATE(YEAR('設定（最初に1回）'!$C$6),MONTH('設定（最初に1回）'!$C$6),1),発注管理!$E$6:$E$1005,"&lt;="&amp;DATE(YEAR('設定（最初に1回）'!$C$6),MONTH('設定（最初に1回）'!$C$6)+1,0)))</f>
        <v/>
      </c>
    </row>
    <row r="79" customFormat="false" ht="15" hidden="false" customHeight="false" outlineLevel="0" collapsed="false">
      <c r="B79" s="148" t="str">
        <f aca="false">IF(定数マスタ!$B79="","",定数マスタ!$B79)</f>
        <v/>
      </c>
      <c r="C79" s="66" t="str">
        <f aca="false">IF($B79="","",定数マスタ!$C79)</f>
        <v/>
      </c>
      <c r="D79" s="66" t="str">
        <f aca="false">IF($B79="","",定数マスタ!$D79)</f>
        <v/>
      </c>
      <c r="E79" s="66" t="str">
        <f aca="false">IF($B79="","",定数マスタ!$E79)</f>
        <v/>
      </c>
      <c r="F79" s="69" t="str">
        <f aca="false">IF($B79="","",COUNTIFS(①今日の在庫を貼る!$B$6:$B$10005,$B79,①今日の在庫を貼る!$I$6:$I$10005,"&lt;&gt;"))</f>
        <v/>
      </c>
      <c r="G79" s="71" t="str">
        <f aca="false">IF($B79="","",SUMPRODUCT((①今日の在庫を貼る!$B$6:$B$10005=$B79)*①今日の在庫を貼る!$N$6:$N$10005*①今日の在庫を貼る!$Q$6:$Q$10005))</f>
        <v/>
      </c>
      <c r="H79" s="69" t="str">
        <f aca="false">IF($B79="","",COUNTIFS(①今日の在庫を貼る!$B$6:$B$10005,$B79,①今日の在庫を貼る!$N$6:$N$10005,"&lt;0"))</f>
        <v/>
      </c>
      <c r="I79" s="69" t="str">
        <f aca="false">IF($B79="","",COUNTIFS(発注管理!$C$6:$C$1005,$B79,発注管理!$Q$6:$Q$1005,"発注済"))</f>
        <v/>
      </c>
      <c r="J79" s="71" t="str">
        <f aca="false">IF(OR($B79="",'設定（最初に1回）'!$C$6=""),"",SUMIFS(発注管理!$N$6:$N$1005,発注管理!$C$6:$C$1005,$B79,発注管理!$E$6:$E$1005,"&gt;="&amp;DATE(YEAR('設定（最初に1回）'!$C$6),MONTH('設定（最初に1回）'!$C$6),1),発注管理!$E$6:$E$1005,"&lt;="&amp;DATE(YEAR('設定（最初に1回）'!$C$6),MONTH('設定（最初に1回）'!$C$6)+1,0)))</f>
        <v/>
      </c>
    </row>
    <row r="80" customFormat="false" ht="15" hidden="false" customHeight="false" outlineLevel="0" collapsed="false">
      <c r="B80" s="148" t="str">
        <f aca="false">IF(定数マスタ!$B80="","",定数マスタ!$B80)</f>
        <v/>
      </c>
      <c r="C80" s="66" t="str">
        <f aca="false">IF($B80="","",定数マスタ!$C80)</f>
        <v/>
      </c>
      <c r="D80" s="66" t="str">
        <f aca="false">IF($B80="","",定数マスタ!$D80)</f>
        <v/>
      </c>
      <c r="E80" s="66" t="str">
        <f aca="false">IF($B80="","",定数マスタ!$E80)</f>
        <v/>
      </c>
      <c r="F80" s="69" t="str">
        <f aca="false">IF($B80="","",COUNTIFS(①今日の在庫を貼る!$B$6:$B$10005,$B80,①今日の在庫を貼る!$I$6:$I$10005,"&lt;&gt;"))</f>
        <v/>
      </c>
      <c r="G80" s="71" t="str">
        <f aca="false">IF($B80="","",SUMPRODUCT((①今日の在庫を貼る!$B$6:$B$10005=$B80)*①今日の在庫を貼る!$N$6:$N$10005*①今日の在庫を貼る!$Q$6:$Q$10005))</f>
        <v/>
      </c>
      <c r="H80" s="69" t="str">
        <f aca="false">IF($B80="","",COUNTIFS(①今日の在庫を貼る!$B$6:$B$10005,$B80,①今日の在庫を貼る!$N$6:$N$10005,"&lt;0"))</f>
        <v/>
      </c>
      <c r="I80" s="69" t="str">
        <f aca="false">IF($B80="","",COUNTIFS(発注管理!$C$6:$C$1005,$B80,発注管理!$Q$6:$Q$1005,"発注済"))</f>
        <v/>
      </c>
      <c r="J80" s="71" t="str">
        <f aca="false">IF(OR($B80="",'設定（最初に1回）'!$C$6=""),"",SUMIFS(発注管理!$N$6:$N$1005,発注管理!$C$6:$C$1005,$B80,発注管理!$E$6:$E$1005,"&gt;="&amp;DATE(YEAR('設定（最初に1回）'!$C$6),MONTH('設定（最初に1回）'!$C$6),1),発注管理!$E$6:$E$1005,"&lt;="&amp;DATE(YEAR('設定（最初に1回）'!$C$6),MONTH('設定（最初に1回）'!$C$6)+1,0)))</f>
        <v/>
      </c>
    </row>
    <row r="81" customFormat="false" ht="15" hidden="false" customHeight="false" outlineLevel="0" collapsed="false">
      <c r="B81" s="148" t="str">
        <f aca="false">IF(定数マスタ!$B81="","",定数マスタ!$B81)</f>
        <v/>
      </c>
      <c r="C81" s="66" t="str">
        <f aca="false">IF($B81="","",定数マスタ!$C81)</f>
        <v/>
      </c>
      <c r="D81" s="66" t="str">
        <f aca="false">IF($B81="","",定数マスタ!$D81)</f>
        <v/>
      </c>
      <c r="E81" s="66" t="str">
        <f aca="false">IF($B81="","",定数マスタ!$E81)</f>
        <v/>
      </c>
      <c r="F81" s="69" t="str">
        <f aca="false">IF($B81="","",COUNTIFS(①今日の在庫を貼る!$B$6:$B$10005,$B81,①今日の在庫を貼る!$I$6:$I$10005,"&lt;&gt;"))</f>
        <v/>
      </c>
      <c r="G81" s="71" t="str">
        <f aca="false">IF($B81="","",SUMPRODUCT((①今日の在庫を貼る!$B$6:$B$10005=$B81)*①今日の在庫を貼る!$N$6:$N$10005*①今日の在庫を貼る!$Q$6:$Q$10005))</f>
        <v/>
      </c>
      <c r="H81" s="69" t="str">
        <f aca="false">IF($B81="","",COUNTIFS(①今日の在庫を貼る!$B$6:$B$10005,$B81,①今日の在庫を貼る!$N$6:$N$10005,"&lt;0"))</f>
        <v/>
      </c>
      <c r="I81" s="69" t="str">
        <f aca="false">IF($B81="","",COUNTIFS(発注管理!$C$6:$C$1005,$B81,発注管理!$Q$6:$Q$1005,"発注済"))</f>
        <v/>
      </c>
      <c r="J81" s="71" t="str">
        <f aca="false">IF(OR($B81="",'設定（最初に1回）'!$C$6=""),"",SUMIFS(発注管理!$N$6:$N$1005,発注管理!$C$6:$C$1005,$B81,発注管理!$E$6:$E$1005,"&gt;="&amp;DATE(YEAR('設定（最初に1回）'!$C$6),MONTH('設定（最初に1回）'!$C$6),1),発注管理!$E$6:$E$1005,"&lt;="&amp;DATE(YEAR('設定（最初に1回）'!$C$6),MONTH('設定（最初に1回）'!$C$6)+1,0)))</f>
        <v/>
      </c>
    </row>
    <row r="82" customFormat="false" ht="15" hidden="false" customHeight="false" outlineLevel="0" collapsed="false">
      <c r="B82" s="148" t="str">
        <f aca="false">IF(定数マスタ!$B82="","",定数マスタ!$B82)</f>
        <v/>
      </c>
      <c r="C82" s="66" t="str">
        <f aca="false">IF($B82="","",定数マスタ!$C82)</f>
        <v/>
      </c>
      <c r="D82" s="66" t="str">
        <f aca="false">IF($B82="","",定数マスタ!$D82)</f>
        <v/>
      </c>
      <c r="E82" s="66" t="str">
        <f aca="false">IF($B82="","",定数マスタ!$E82)</f>
        <v/>
      </c>
      <c r="F82" s="69" t="str">
        <f aca="false">IF($B82="","",COUNTIFS(①今日の在庫を貼る!$B$6:$B$10005,$B82,①今日の在庫を貼る!$I$6:$I$10005,"&lt;&gt;"))</f>
        <v/>
      </c>
      <c r="G82" s="71" t="str">
        <f aca="false">IF($B82="","",SUMPRODUCT((①今日の在庫を貼る!$B$6:$B$10005=$B82)*①今日の在庫を貼る!$N$6:$N$10005*①今日の在庫を貼る!$Q$6:$Q$10005))</f>
        <v/>
      </c>
      <c r="H82" s="69" t="str">
        <f aca="false">IF($B82="","",COUNTIFS(①今日の在庫を貼る!$B$6:$B$10005,$B82,①今日の在庫を貼る!$N$6:$N$10005,"&lt;0"))</f>
        <v/>
      </c>
      <c r="I82" s="69" t="str">
        <f aca="false">IF($B82="","",COUNTIFS(発注管理!$C$6:$C$1005,$B82,発注管理!$Q$6:$Q$1005,"発注済"))</f>
        <v/>
      </c>
      <c r="J82" s="71" t="str">
        <f aca="false">IF(OR($B82="",'設定（最初に1回）'!$C$6=""),"",SUMIFS(発注管理!$N$6:$N$1005,発注管理!$C$6:$C$1005,$B82,発注管理!$E$6:$E$1005,"&gt;="&amp;DATE(YEAR('設定（最初に1回）'!$C$6),MONTH('設定（最初に1回）'!$C$6),1),発注管理!$E$6:$E$1005,"&lt;="&amp;DATE(YEAR('設定（最初に1回）'!$C$6),MONTH('設定（最初に1回）'!$C$6)+1,0)))</f>
        <v/>
      </c>
    </row>
    <row r="83" customFormat="false" ht="15" hidden="false" customHeight="false" outlineLevel="0" collapsed="false">
      <c r="B83" s="148" t="str">
        <f aca="false">IF(定数マスタ!$B83="","",定数マスタ!$B83)</f>
        <v/>
      </c>
      <c r="C83" s="66" t="str">
        <f aca="false">IF($B83="","",定数マスタ!$C83)</f>
        <v/>
      </c>
      <c r="D83" s="66" t="str">
        <f aca="false">IF($B83="","",定数マスタ!$D83)</f>
        <v/>
      </c>
      <c r="E83" s="66" t="str">
        <f aca="false">IF($B83="","",定数マスタ!$E83)</f>
        <v/>
      </c>
      <c r="F83" s="69" t="str">
        <f aca="false">IF($B83="","",COUNTIFS(①今日の在庫を貼る!$B$6:$B$10005,$B83,①今日の在庫を貼る!$I$6:$I$10005,"&lt;&gt;"))</f>
        <v/>
      </c>
      <c r="G83" s="71" t="str">
        <f aca="false">IF($B83="","",SUMPRODUCT((①今日の在庫を貼る!$B$6:$B$10005=$B83)*①今日の在庫を貼る!$N$6:$N$10005*①今日の在庫を貼る!$Q$6:$Q$10005))</f>
        <v/>
      </c>
      <c r="H83" s="69" t="str">
        <f aca="false">IF($B83="","",COUNTIFS(①今日の在庫を貼る!$B$6:$B$10005,$B83,①今日の在庫を貼る!$N$6:$N$10005,"&lt;0"))</f>
        <v/>
      </c>
      <c r="I83" s="69" t="str">
        <f aca="false">IF($B83="","",COUNTIFS(発注管理!$C$6:$C$1005,$B83,発注管理!$Q$6:$Q$1005,"発注済"))</f>
        <v/>
      </c>
      <c r="J83" s="71" t="str">
        <f aca="false">IF(OR($B83="",'設定（最初に1回）'!$C$6=""),"",SUMIFS(発注管理!$N$6:$N$1005,発注管理!$C$6:$C$1005,$B83,発注管理!$E$6:$E$1005,"&gt;="&amp;DATE(YEAR('設定（最初に1回）'!$C$6),MONTH('設定（最初に1回）'!$C$6),1),発注管理!$E$6:$E$1005,"&lt;="&amp;DATE(YEAR('設定（最初に1回）'!$C$6),MONTH('設定（最初に1回）'!$C$6)+1,0)))</f>
        <v/>
      </c>
    </row>
    <row r="84" customFormat="false" ht="15" hidden="false" customHeight="false" outlineLevel="0" collapsed="false">
      <c r="B84" s="148" t="str">
        <f aca="false">IF(定数マスタ!$B84="","",定数マスタ!$B84)</f>
        <v/>
      </c>
      <c r="C84" s="66" t="str">
        <f aca="false">IF($B84="","",定数マスタ!$C84)</f>
        <v/>
      </c>
      <c r="D84" s="66" t="str">
        <f aca="false">IF($B84="","",定数マスタ!$D84)</f>
        <v/>
      </c>
      <c r="E84" s="66" t="str">
        <f aca="false">IF($B84="","",定数マスタ!$E84)</f>
        <v/>
      </c>
      <c r="F84" s="69" t="str">
        <f aca="false">IF($B84="","",COUNTIFS(①今日の在庫を貼る!$B$6:$B$10005,$B84,①今日の在庫を貼る!$I$6:$I$10005,"&lt;&gt;"))</f>
        <v/>
      </c>
      <c r="G84" s="71" t="str">
        <f aca="false">IF($B84="","",SUMPRODUCT((①今日の在庫を貼る!$B$6:$B$10005=$B84)*①今日の在庫を貼る!$N$6:$N$10005*①今日の在庫を貼る!$Q$6:$Q$10005))</f>
        <v/>
      </c>
      <c r="H84" s="69" t="str">
        <f aca="false">IF($B84="","",COUNTIFS(①今日の在庫を貼る!$B$6:$B$10005,$B84,①今日の在庫を貼る!$N$6:$N$10005,"&lt;0"))</f>
        <v/>
      </c>
      <c r="I84" s="69" t="str">
        <f aca="false">IF($B84="","",COUNTIFS(発注管理!$C$6:$C$1005,$B84,発注管理!$Q$6:$Q$1005,"発注済"))</f>
        <v/>
      </c>
      <c r="J84" s="71" t="str">
        <f aca="false">IF(OR($B84="",'設定（最初に1回）'!$C$6=""),"",SUMIFS(発注管理!$N$6:$N$1005,発注管理!$C$6:$C$1005,$B84,発注管理!$E$6:$E$1005,"&gt;="&amp;DATE(YEAR('設定（最初に1回）'!$C$6),MONTH('設定（最初に1回）'!$C$6),1),発注管理!$E$6:$E$1005,"&lt;="&amp;DATE(YEAR('設定（最初に1回）'!$C$6),MONTH('設定（最初に1回）'!$C$6)+1,0)))</f>
        <v/>
      </c>
    </row>
    <row r="85" customFormat="false" ht="15" hidden="false" customHeight="false" outlineLevel="0" collapsed="false">
      <c r="B85" s="148" t="str">
        <f aca="false">IF(定数マスタ!$B85="","",定数マスタ!$B85)</f>
        <v/>
      </c>
      <c r="C85" s="66" t="str">
        <f aca="false">IF($B85="","",定数マスタ!$C85)</f>
        <v/>
      </c>
      <c r="D85" s="66" t="str">
        <f aca="false">IF($B85="","",定数マスタ!$D85)</f>
        <v/>
      </c>
      <c r="E85" s="66" t="str">
        <f aca="false">IF($B85="","",定数マスタ!$E85)</f>
        <v/>
      </c>
      <c r="F85" s="69" t="str">
        <f aca="false">IF($B85="","",COUNTIFS(①今日の在庫を貼る!$B$6:$B$10005,$B85,①今日の在庫を貼る!$I$6:$I$10005,"&lt;&gt;"))</f>
        <v/>
      </c>
      <c r="G85" s="71" t="str">
        <f aca="false">IF($B85="","",SUMPRODUCT((①今日の在庫を貼る!$B$6:$B$10005=$B85)*①今日の在庫を貼る!$N$6:$N$10005*①今日の在庫を貼る!$Q$6:$Q$10005))</f>
        <v/>
      </c>
      <c r="H85" s="69" t="str">
        <f aca="false">IF($B85="","",COUNTIFS(①今日の在庫を貼る!$B$6:$B$10005,$B85,①今日の在庫を貼る!$N$6:$N$10005,"&lt;0"))</f>
        <v/>
      </c>
      <c r="I85" s="69" t="str">
        <f aca="false">IF($B85="","",COUNTIFS(発注管理!$C$6:$C$1005,$B85,発注管理!$Q$6:$Q$1005,"発注済"))</f>
        <v/>
      </c>
      <c r="J85" s="71" t="str">
        <f aca="false">IF(OR($B85="",'設定（最初に1回）'!$C$6=""),"",SUMIFS(発注管理!$N$6:$N$1005,発注管理!$C$6:$C$1005,$B85,発注管理!$E$6:$E$1005,"&gt;="&amp;DATE(YEAR('設定（最初に1回）'!$C$6),MONTH('設定（最初に1回）'!$C$6),1),発注管理!$E$6:$E$1005,"&lt;="&amp;DATE(YEAR('設定（最初に1回）'!$C$6),MONTH('設定（最初に1回）'!$C$6)+1,0)))</f>
        <v/>
      </c>
    </row>
    <row r="86" customFormat="false" ht="15" hidden="false" customHeight="false" outlineLevel="0" collapsed="false">
      <c r="B86" s="148" t="str">
        <f aca="false">IF(定数マスタ!$B86="","",定数マスタ!$B86)</f>
        <v/>
      </c>
      <c r="C86" s="66" t="str">
        <f aca="false">IF($B86="","",定数マスタ!$C86)</f>
        <v/>
      </c>
      <c r="D86" s="66" t="str">
        <f aca="false">IF($B86="","",定数マスタ!$D86)</f>
        <v/>
      </c>
      <c r="E86" s="66" t="str">
        <f aca="false">IF($B86="","",定数マスタ!$E86)</f>
        <v/>
      </c>
      <c r="F86" s="69" t="str">
        <f aca="false">IF($B86="","",COUNTIFS(①今日の在庫を貼る!$B$6:$B$10005,$B86,①今日の在庫を貼る!$I$6:$I$10005,"&lt;&gt;"))</f>
        <v/>
      </c>
      <c r="G86" s="71" t="str">
        <f aca="false">IF($B86="","",SUMPRODUCT((①今日の在庫を貼る!$B$6:$B$10005=$B86)*①今日の在庫を貼る!$N$6:$N$10005*①今日の在庫を貼る!$Q$6:$Q$10005))</f>
        <v/>
      </c>
      <c r="H86" s="69" t="str">
        <f aca="false">IF($B86="","",COUNTIFS(①今日の在庫を貼る!$B$6:$B$10005,$B86,①今日の在庫を貼る!$N$6:$N$10005,"&lt;0"))</f>
        <v/>
      </c>
      <c r="I86" s="69" t="str">
        <f aca="false">IF($B86="","",COUNTIFS(発注管理!$C$6:$C$1005,$B86,発注管理!$Q$6:$Q$1005,"発注済"))</f>
        <v/>
      </c>
      <c r="J86" s="71" t="str">
        <f aca="false">IF(OR($B86="",'設定（最初に1回）'!$C$6=""),"",SUMIFS(発注管理!$N$6:$N$1005,発注管理!$C$6:$C$1005,$B86,発注管理!$E$6:$E$1005,"&gt;="&amp;DATE(YEAR('設定（最初に1回）'!$C$6),MONTH('設定（最初に1回）'!$C$6),1),発注管理!$E$6:$E$1005,"&lt;="&amp;DATE(YEAR('設定（最初に1回）'!$C$6),MONTH('設定（最初に1回）'!$C$6)+1,0)))</f>
        <v/>
      </c>
    </row>
    <row r="87" customFormat="false" ht="15" hidden="false" customHeight="false" outlineLevel="0" collapsed="false">
      <c r="B87" s="148" t="str">
        <f aca="false">IF(定数マスタ!$B87="","",定数マスタ!$B87)</f>
        <v/>
      </c>
      <c r="C87" s="66" t="str">
        <f aca="false">IF($B87="","",定数マスタ!$C87)</f>
        <v/>
      </c>
      <c r="D87" s="66" t="str">
        <f aca="false">IF($B87="","",定数マスタ!$D87)</f>
        <v/>
      </c>
      <c r="E87" s="66" t="str">
        <f aca="false">IF($B87="","",定数マスタ!$E87)</f>
        <v/>
      </c>
      <c r="F87" s="69" t="str">
        <f aca="false">IF($B87="","",COUNTIFS(①今日の在庫を貼る!$B$6:$B$10005,$B87,①今日の在庫を貼る!$I$6:$I$10005,"&lt;&gt;"))</f>
        <v/>
      </c>
      <c r="G87" s="71" t="str">
        <f aca="false">IF($B87="","",SUMPRODUCT((①今日の在庫を貼る!$B$6:$B$10005=$B87)*①今日の在庫を貼る!$N$6:$N$10005*①今日の在庫を貼る!$Q$6:$Q$10005))</f>
        <v/>
      </c>
      <c r="H87" s="69" t="str">
        <f aca="false">IF($B87="","",COUNTIFS(①今日の在庫を貼る!$B$6:$B$10005,$B87,①今日の在庫を貼る!$N$6:$N$10005,"&lt;0"))</f>
        <v/>
      </c>
      <c r="I87" s="69" t="str">
        <f aca="false">IF($B87="","",COUNTIFS(発注管理!$C$6:$C$1005,$B87,発注管理!$Q$6:$Q$1005,"発注済"))</f>
        <v/>
      </c>
      <c r="J87" s="71" t="str">
        <f aca="false">IF(OR($B87="",'設定（最初に1回）'!$C$6=""),"",SUMIFS(発注管理!$N$6:$N$1005,発注管理!$C$6:$C$1005,$B87,発注管理!$E$6:$E$1005,"&gt;="&amp;DATE(YEAR('設定（最初に1回）'!$C$6),MONTH('設定（最初に1回）'!$C$6),1),発注管理!$E$6:$E$1005,"&lt;="&amp;DATE(YEAR('設定（最初に1回）'!$C$6),MONTH('設定（最初に1回）'!$C$6)+1,0)))</f>
        <v/>
      </c>
    </row>
    <row r="88" customFormat="false" ht="15" hidden="false" customHeight="false" outlineLevel="0" collapsed="false">
      <c r="B88" s="148" t="str">
        <f aca="false">IF(定数マスタ!$B88="","",定数マスタ!$B88)</f>
        <v/>
      </c>
      <c r="C88" s="66" t="str">
        <f aca="false">IF($B88="","",定数マスタ!$C88)</f>
        <v/>
      </c>
      <c r="D88" s="66" t="str">
        <f aca="false">IF($B88="","",定数マスタ!$D88)</f>
        <v/>
      </c>
      <c r="E88" s="66" t="str">
        <f aca="false">IF($B88="","",定数マスタ!$E88)</f>
        <v/>
      </c>
      <c r="F88" s="69" t="str">
        <f aca="false">IF($B88="","",COUNTIFS(①今日の在庫を貼る!$B$6:$B$10005,$B88,①今日の在庫を貼る!$I$6:$I$10005,"&lt;&gt;"))</f>
        <v/>
      </c>
      <c r="G88" s="71" t="str">
        <f aca="false">IF($B88="","",SUMPRODUCT((①今日の在庫を貼る!$B$6:$B$10005=$B88)*①今日の在庫を貼る!$N$6:$N$10005*①今日の在庫を貼る!$Q$6:$Q$10005))</f>
        <v/>
      </c>
      <c r="H88" s="69" t="str">
        <f aca="false">IF($B88="","",COUNTIFS(①今日の在庫を貼る!$B$6:$B$10005,$B88,①今日の在庫を貼る!$N$6:$N$10005,"&lt;0"))</f>
        <v/>
      </c>
      <c r="I88" s="69" t="str">
        <f aca="false">IF($B88="","",COUNTIFS(発注管理!$C$6:$C$1005,$B88,発注管理!$Q$6:$Q$1005,"発注済"))</f>
        <v/>
      </c>
      <c r="J88" s="71" t="str">
        <f aca="false">IF(OR($B88="",'設定（最初に1回）'!$C$6=""),"",SUMIFS(発注管理!$N$6:$N$1005,発注管理!$C$6:$C$1005,$B88,発注管理!$E$6:$E$1005,"&gt;="&amp;DATE(YEAR('設定（最初に1回）'!$C$6),MONTH('設定（最初に1回）'!$C$6),1),発注管理!$E$6:$E$1005,"&lt;="&amp;DATE(YEAR('設定（最初に1回）'!$C$6),MONTH('設定（最初に1回）'!$C$6)+1,0)))</f>
        <v/>
      </c>
    </row>
    <row r="89" customFormat="false" ht="15" hidden="false" customHeight="false" outlineLevel="0" collapsed="false">
      <c r="B89" s="148" t="str">
        <f aca="false">IF(定数マスタ!$B89="","",定数マスタ!$B89)</f>
        <v/>
      </c>
      <c r="C89" s="66" t="str">
        <f aca="false">IF($B89="","",定数マスタ!$C89)</f>
        <v/>
      </c>
      <c r="D89" s="66" t="str">
        <f aca="false">IF($B89="","",定数マスタ!$D89)</f>
        <v/>
      </c>
      <c r="E89" s="66" t="str">
        <f aca="false">IF($B89="","",定数マスタ!$E89)</f>
        <v/>
      </c>
      <c r="F89" s="69" t="str">
        <f aca="false">IF($B89="","",COUNTIFS(①今日の在庫を貼る!$B$6:$B$10005,$B89,①今日の在庫を貼る!$I$6:$I$10005,"&lt;&gt;"))</f>
        <v/>
      </c>
      <c r="G89" s="71" t="str">
        <f aca="false">IF($B89="","",SUMPRODUCT((①今日の在庫を貼る!$B$6:$B$10005=$B89)*①今日の在庫を貼る!$N$6:$N$10005*①今日の在庫を貼る!$Q$6:$Q$10005))</f>
        <v/>
      </c>
      <c r="H89" s="69" t="str">
        <f aca="false">IF($B89="","",COUNTIFS(①今日の在庫を貼る!$B$6:$B$10005,$B89,①今日の在庫を貼る!$N$6:$N$10005,"&lt;0"))</f>
        <v/>
      </c>
      <c r="I89" s="69" t="str">
        <f aca="false">IF($B89="","",COUNTIFS(発注管理!$C$6:$C$1005,$B89,発注管理!$Q$6:$Q$1005,"発注済"))</f>
        <v/>
      </c>
      <c r="J89" s="71" t="str">
        <f aca="false">IF(OR($B89="",'設定（最初に1回）'!$C$6=""),"",SUMIFS(発注管理!$N$6:$N$1005,発注管理!$C$6:$C$1005,$B89,発注管理!$E$6:$E$1005,"&gt;="&amp;DATE(YEAR('設定（最初に1回）'!$C$6),MONTH('設定（最初に1回）'!$C$6),1),発注管理!$E$6:$E$1005,"&lt;="&amp;DATE(YEAR('設定（最初に1回）'!$C$6),MONTH('設定（最初に1回）'!$C$6)+1,0)))</f>
        <v/>
      </c>
    </row>
    <row r="90" customFormat="false" ht="15" hidden="false" customHeight="false" outlineLevel="0" collapsed="false">
      <c r="B90" s="148" t="str">
        <f aca="false">IF(定数マスタ!$B90="","",定数マスタ!$B90)</f>
        <v/>
      </c>
      <c r="C90" s="66" t="str">
        <f aca="false">IF($B90="","",定数マスタ!$C90)</f>
        <v/>
      </c>
      <c r="D90" s="66" t="str">
        <f aca="false">IF($B90="","",定数マスタ!$D90)</f>
        <v/>
      </c>
      <c r="E90" s="66" t="str">
        <f aca="false">IF($B90="","",定数マスタ!$E90)</f>
        <v/>
      </c>
      <c r="F90" s="69" t="str">
        <f aca="false">IF($B90="","",COUNTIFS(①今日の在庫を貼る!$B$6:$B$10005,$B90,①今日の在庫を貼る!$I$6:$I$10005,"&lt;&gt;"))</f>
        <v/>
      </c>
      <c r="G90" s="71" t="str">
        <f aca="false">IF($B90="","",SUMPRODUCT((①今日の在庫を貼る!$B$6:$B$10005=$B90)*①今日の在庫を貼る!$N$6:$N$10005*①今日の在庫を貼る!$Q$6:$Q$10005))</f>
        <v/>
      </c>
      <c r="H90" s="69" t="str">
        <f aca="false">IF($B90="","",COUNTIFS(①今日の在庫を貼る!$B$6:$B$10005,$B90,①今日の在庫を貼る!$N$6:$N$10005,"&lt;0"))</f>
        <v/>
      </c>
      <c r="I90" s="69" t="str">
        <f aca="false">IF($B90="","",COUNTIFS(発注管理!$C$6:$C$1005,$B90,発注管理!$Q$6:$Q$1005,"発注済"))</f>
        <v/>
      </c>
      <c r="J90" s="71" t="str">
        <f aca="false">IF(OR($B90="",'設定（最初に1回）'!$C$6=""),"",SUMIFS(発注管理!$N$6:$N$1005,発注管理!$C$6:$C$1005,$B90,発注管理!$E$6:$E$1005,"&gt;="&amp;DATE(YEAR('設定（最初に1回）'!$C$6),MONTH('設定（最初に1回）'!$C$6),1),発注管理!$E$6:$E$1005,"&lt;="&amp;DATE(YEAR('設定（最初に1回）'!$C$6),MONTH('設定（最初に1回）'!$C$6)+1,0)))</f>
        <v/>
      </c>
    </row>
    <row r="91" customFormat="false" ht="15" hidden="false" customHeight="false" outlineLevel="0" collapsed="false">
      <c r="B91" s="148" t="str">
        <f aca="false">IF(定数マスタ!$B91="","",定数マスタ!$B91)</f>
        <v/>
      </c>
      <c r="C91" s="66" t="str">
        <f aca="false">IF($B91="","",定数マスタ!$C91)</f>
        <v/>
      </c>
      <c r="D91" s="66" t="str">
        <f aca="false">IF($B91="","",定数マスタ!$D91)</f>
        <v/>
      </c>
      <c r="E91" s="66" t="str">
        <f aca="false">IF($B91="","",定数マスタ!$E91)</f>
        <v/>
      </c>
      <c r="F91" s="69" t="str">
        <f aca="false">IF($B91="","",COUNTIFS(①今日の在庫を貼る!$B$6:$B$10005,$B91,①今日の在庫を貼る!$I$6:$I$10005,"&lt;&gt;"))</f>
        <v/>
      </c>
      <c r="G91" s="71" t="str">
        <f aca="false">IF($B91="","",SUMPRODUCT((①今日の在庫を貼る!$B$6:$B$10005=$B91)*①今日の在庫を貼る!$N$6:$N$10005*①今日の在庫を貼る!$Q$6:$Q$10005))</f>
        <v/>
      </c>
      <c r="H91" s="69" t="str">
        <f aca="false">IF($B91="","",COUNTIFS(①今日の在庫を貼る!$B$6:$B$10005,$B91,①今日の在庫を貼る!$N$6:$N$10005,"&lt;0"))</f>
        <v/>
      </c>
      <c r="I91" s="69" t="str">
        <f aca="false">IF($B91="","",COUNTIFS(発注管理!$C$6:$C$1005,$B91,発注管理!$Q$6:$Q$1005,"発注済"))</f>
        <v/>
      </c>
      <c r="J91" s="71" t="str">
        <f aca="false">IF(OR($B91="",'設定（最初に1回）'!$C$6=""),"",SUMIFS(発注管理!$N$6:$N$1005,発注管理!$C$6:$C$1005,$B91,発注管理!$E$6:$E$1005,"&gt;="&amp;DATE(YEAR('設定（最初に1回）'!$C$6),MONTH('設定（最初に1回）'!$C$6),1),発注管理!$E$6:$E$1005,"&lt;="&amp;DATE(YEAR('設定（最初に1回）'!$C$6),MONTH('設定（最初に1回）'!$C$6)+1,0)))</f>
        <v/>
      </c>
    </row>
    <row r="92" customFormat="false" ht="15" hidden="false" customHeight="false" outlineLevel="0" collapsed="false">
      <c r="B92" s="148" t="str">
        <f aca="false">IF(定数マスタ!$B92="","",定数マスタ!$B92)</f>
        <v/>
      </c>
      <c r="C92" s="66" t="str">
        <f aca="false">IF($B92="","",定数マスタ!$C92)</f>
        <v/>
      </c>
      <c r="D92" s="66" t="str">
        <f aca="false">IF($B92="","",定数マスタ!$D92)</f>
        <v/>
      </c>
      <c r="E92" s="66" t="str">
        <f aca="false">IF($B92="","",定数マスタ!$E92)</f>
        <v/>
      </c>
      <c r="F92" s="69" t="str">
        <f aca="false">IF($B92="","",COUNTIFS(①今日の在庫を貼る!$B$6:$B$10005,$B92,①今日の在庫を貼る!$I$6:$I$10005,"&lt;&gt;"))</f>
        <v/>
      </c>
      <c r="G92" s="71" t="str">
        <f aca="false">IF($B92="","",SUMPRODUCT((①今日の在庫を貼る!$B$6:$B$10005=$B92)*①今日の在庫を貼る!$N$6:$N$10005*①今日の在庫を貼る!$Q$6:$Q$10005))</f>
        <v/>
      </c>
      <c r="H92" s="69" t="str">
        <f aca="false">IF($B92="","",COUNTIFS(①今日の在庫を貼る!$B$6:$B$10005,$B92,①今日の在庫を貼る!$N$6:$N$10005,"&lt;0"))</f>
        <v/>
      </c>
      <c r="I92" s="69" t="str">
        <f aca="false">IF($B92="","",COUNTIFS(発注管理!$C$6:$C$1005,$B92,発注管理!$Q$6:$Q$1005,"発注済"))</f>
        <v/>
      </c>
      <c r="J92" s="71" t="str">
        <f aca="false">IF(OR($B92="",'設定（最初に1回）'!$C$6=""),"",SUMIFS(発注管理!$N$6:$N$1005,発注管理!$C$6:$C$1005,$B92,発注管理!$E$6:$E$1005,"&gt;="&amp;DATE(YEAR('設定（最初に1回）'!$C$6),MONTH('設定（最初に1回）'!$C$6),1),発注管理!$E$6:$E$1005,"&lt;="&amp;DATE(YEAR('設定（最初に1回）'!$C$6),MONTH('設定（最初に1回）'!$C$6)+1,0)))</f>
        <v/>
      </c>
    </row>
    <row r="93" customFormat="false" ht="15" hidden="false" customHeight="false" outlineLevel="0" collapsed="false">
      <c r="B93" s="148" t="str">
        <f aca="false">IF(定数マスタ!$B93="","",定数マスタ!$B93)</f>
        <v/>
      </c>
      <c r="C93" s="66" t="str">
        <f aca="false">IF($B93="","",定数マスタ!$C93)</f>
        <v/>
      </c>
      <c r="D93" s="66" t="str">
        <f aca="false">IF($B93="","",定数マスタ!$D93)</f>
        <v/>
      </c>
      <c r="E93" s="66" t="str">
        <f aca="false">IF($B93="","",定数マスタ!$E93)</f>
        <v/>
      </c>
      <c r="F93" s="69" t="str">
        <f aca="false">IF($B93="","",COUNTIFS(①今日の在庫を貼る!$B$6:$B$10005,$B93,①今日の在庫を貼る!$I$6:$I$10005,"&lt;&gt;"))</f>
        <v/>
      </c>
      <c r="G93" s="71" t="str">
        <f aca="false">IF($B93="","",SUMPRODUCT((①今日の在庫を貼る!$B$6:$B$10005=$B93)*①今日の在庫を貼る!$N$6:$N$10005*①今日の在庫を貼る!$Q$6:$Q$10005))</f>
        <v/>
      </c>
      <c r="H93" s="69" t="str">
        <f aca="false">IF($B93="","",COUNTIFS(①今日の在庫を貼る!$B$6:$B$10005,$B93,①今日の在庫を貼る!$N$6:$N$10005,"&lt;0"))</f>
        <v/>
      </c>
      <c r="I93" s="69" t="str">
        <f aca="false">IF($B93="","",COUNTIFS(発注管理!$C$6:$C$1005,$B93,発注管理!$Q$6:$Q$1005,"発注済"))</f>
        <v/>
      </c>
      <c r="J93" s="71" t="str">
        <f aca="false">IF(OR($B93="",'設定（最初に1回）'!$C$6=""),"",SUMIFS(発注管理!$N$6:$N$1005,発注管理!$C$6:$C$1005,$B93,発注管理!$E$6:$E$1005,"&gt;="&amp;DATE(YEAR('設定（最初に1回）'!$C$6),MONTH('設定（最初に1回）'!$C$6),1),発注管理!$E$6:$E$1005,"&lt;="&amp;DATE(YEAR('設定（最初に1回）'!$C$6),MONTH('設定（最初に1回）'!$C$6)+1,0)))</f>
        <v/>
      </c>
    </row>
    <row r="94" customFormat="false" ht="15" hidden="false" customHeight="false" outlineLevel="0" collapsed="false">
      <c r="B94" s="148" t="str">
        <f aca="false">IF(定数マスタ!$B94="","",定数マスタ!$B94)</f>
        <v/>
      </c>
      <c r="C94" s="66" t="str">
        <f aca="false">IF($B94="","",定数マスタ!$C94)</f>
        <v/>
      </c>
      <c r="D94" s="66" t="str">
        <f aca="false">IF($B94="","",定数マスタ!$D94)</f>
        <v/>
      </c>
      <c r="E94" s="66" t="str">
        <f aca="false">IF($B94="","",定数マスタ!$E94)</f>
        <v/>
      </c>
      <c r="F94" s="69" t="str">
        <f aca="false">IF($B94="","",COUNTIFS(①今日の在庫を貼る!$B$6:$B$10005,$B94,①今日の在庫を貼る!$I$6:$I$10005,"&lt;&gt;"))</f>
        <v/>
      </c>
      <c r="G94" s="71" t="str">
        <f aca="false">IF($B94="","",SUMPRODUCT((①今日の在庫を貼る!$B$6:$B$10005=$B94)*①今日の在庫を貼る!$N$6:$N$10005*①今日の在庫を貼る!$Q$6:$Q$10005))</f>
        <v/>
      </c>
      <c r="H94" s="69" t="str">
        <f aca="false">IF($B94="","",COUNTIFS(①今日の在庫を貼る!$B$6:$B$10005,$B94,①今日の在庫を貼る!$N$6:$N$10005,"&lt;0"))</f>
        <v/>
      </c>
      <c r="I94" s="69" t="str">
        <f aca="false">IF($B94="","",COUNTIFS(発注管理!$C$6:$C$1005,$B94,発注管理!$Q$6:$Q$1005,"発注済"))</f>
        <v/>
      </c>
      <c r="J94" s="71" t="str">
        <f aca="false">IF(OR($B94="",'設定（最初に1回）'!$C$6=""),"",SUMIFS(発注管理!$N$6:$N$1005,発注管理!$C$6:$C$1005,$B94,発注管理!$E$6:$E$1005,"&gt;="&amp;DATE(YEAR('設定（最初に1回）'!$C$6),MONTH('設定（最初に1回）'!$C$6),1),発注管理!$E$6:$E$1005,"&lt;="&amp;DATE(YEAR('設定（最初に1回）'!$C$6),MONTH('設定（最初に1回）'!$C$6)+1,0)))</f>
        <v/>
      </c>
    </row>
    <row r="95" customFormat="false" ht="15" hidden="false" customHeight="false" outlineLevel="0" collapsed="false">
      <c r="B95" s="148" t="str">
        <f aca="false">IF(定数マスタ!$B95="","",定数マスタ!$B95)</f>
        <v/>
      </c>
      <c r="C95" s="66" t="str">
        <f aca="false">IF($B95="","",定数マスタ!$C95)</f>
        <v/>
      </c>
      <c r="D95" s="66" t="str">
        <f aca="false">IF($B95="","",定数マスタ!$D95)</f>
        <v/>
      </c>
      <c r="E95" s="66" t="str">
        <f aca="false">IF($B95="","",定数マスタ!$E95)</f>
        <v/>
      </c>
      <c r="F95" s="69" t="str">
        <f aca="false">IF($B95="","",COUNTIFS(①今日の在庫を貼る!$B$6:$B$10005,$B95,①今日の在庫を貼る!$I$6:$I$10005,"&lt;&gt;"))</f>
        <v/>
      </c>
      <c r="G95" s="71" t="str">
        <f aca="false">IF($B95="","",SUMPRODUCT((①今日の在庫を貼る!$B$6:$B$10005=$B95)*①今日の在庫を貼る!$N$6:$N$10005*①今日の在庫を貼る!$Q$6:$Q$10005))</f>
        <v/>
      </c>
      <c r="H95" s="69" t="str">
        <f aca="false">IF($B95="","",COUNTIFS(①今日の在庫を貼る!$B$6:$B$10005,$B95,①今日の在庫を貼る!$N$6:$N$10005,"&lt;0"))</f>
        <v/>
      </c>
      <c r="I95" s="69" t="str">
        <f aca="false">IF($B95="","",COUNTIFS(発注管理!$C$6:$C$1005,$B95,発注管理!$Q$6:$Q$1005,"発注済"))</f>
        <v/>
      </c>
      <c r="J95" s="71" t="str">
        <f aca="false">IF(OR($B95="",'設定（最初に1回）'!$C$6=""),"",SUMIFS(発注管理!$N$6:$N$1005,発注管理!$C$6:$C$1005,$B95,発注管理!$E$6:$E$1005,"&gt;="&amp;DATE(YEAR('設定（最初に1回）'!$C$6),MONTH('設定（最初に1回）'!$C$6),1),発注管理!$E$6:$E$1005,"&lt;="&amp;DATE(YEAR('設定（最初に1回）'!$C$6),MONTH('設定（最初に1回）'!$C$6)+1,0)))</f>
        <v/>
      </c>
    </row>
    <row r="96" customFormat="false" ht="15" hidden="false" customHeight="false" outlineLevel="0" collapsed="false">
      <c r="B96" s="148" t="str">
        <f aca="false">IF(定数マスタ!$B96="","",定数マスタ!$B96)</f>
        <v/>
      </c>
      <c r="C96" s="66" t="str">
        <f aca="false">IF($B96="","",定数マスタ!$C96)</f>
        <v/>
      </c>
      <c r="D96" s="66" t="str">
        <f aca="false">IF($B96="","",定数マスタ!$D96)</f>
        <v/>
      </c>
      <c r="E96" s="66" t="str">
        <f aca="false">IF($B96="","",定数マスタ!$E96)</f>
        <v/>
      </c>
      <c r="F96" s="69" t="str">
        <f aca="false">IF($B96="","",COUNTIFS(①今日の在庫を貼る!$B$6:$B$10005,$B96,①今日の在庫を貼る!$I$6:$I$10005,"&lt;&gt;"))</f>
        <v/>
      </c>
      <c r="G96" s="71" t="str">
        <f aca="false">IF($B96="","",SUMPRODUCT((①今日の在庫を貼る!$B$6:$B$10005=$B96)*①今日の在庫を貼る!$N$6:$N$10005*①今日の在庫を貼る!$Q$6:$Q$10005))</f>
        <v/>
      </c>
      <c r="H96" s="69" t="str">
        <f aca="false">IF($B96="","",COUNTIFS(①今日の在庫を貼る!$B$6:$B$10005,$B96,①今日の在庫を貼る!$N$6:$N$10005,"&lt;0"))</f>
        <v/>
      </c>
      <c r="I96" s="69" t="str">
        <f aca="false">IF($B96="","",COUNTIFS(発注管理!$C$6:$C$1005,$B96,発注管理!$Q$6:$Q$1005,"発注済"))</f>
        <v/>
      </c>
      <c r="J96" s="71" t="str">
        <f aca="false">IF(OR($B96="",'設定（最初に1回）'!$C$6=""),"",SUMIFS(発注管理!$N$6:$N$1005,発注管理!$C$6:$C$1005,$B96,発注管理!$E$6:$E$1005,"&gt;="&amp;DATE(YEAR('設定（最初に1回）'!$C$6),MONTH('設定（最初に1回）'!$C$6),1),発注管理!$E$6:$E$1005,"&lt;="&amp;DATE(YEAR('設定（最初に1回）'!$C$6),MONTH('設定（最初に1回）'!$C$6)+1,0)))</f>
        <v/>
      </c>
    </row>
    <row r="97" customFormat="false" ht="15" hidden="false" customHeight="false" outlineLevel="0" collapsed="false">
      <c r="B97" s="148" t="str">
        <f aca="false">IF(定数マスタ!$B97="","",定数マスタ!$B97)</f>
        <v/>
      </c>
      <c r="C97" s="66" t="str">
        <f aca="false">IF($B97="","",定数マスタ!$C97)</f>
        <v/>
      </c>
      <c r="D97" s="66" t="str">
        <f aca="false">IF($B97="","",定数マスタ!$D97)</f>
        <v/>
      </c>
      <c r="E97" s="66" t="str">
        <f aca="false">IF($B97="","",定数マスタ!$E97)</f>
        <v/>
      </c>
      <c r="F97" s="69" t="str">
        <f aca="false">IF($B97="","",COUNTIFS(①今日の在庫を貼る!$B$6:$B$10005,$B97,①今日の在庫を貼る!$I$6:$I$10005,"&lt;&gt;"))</f>
        <v/>
      </c>
      <c r="G97" s="71" t="str">
        <f aca="false">IF($B97="","",SUMPRODUCT((①今日の在庫を貼る!$B$6:$B$10005=$B97)*①今日の在庫を貼る!$N$6:$N$10005*①今日の在庫を貼る!$Q$6:$Q$10005))</f>
        <v/>
      </c>
      <c r="H97" s="69" t="str">
        <f aca="false">IF($B97="","",COUNTIFS(①今日の在庫を貼る!$B$6:$B$10005,$B97,①今日の在庫を貼る!$N$6:$N$10005,"&lt;0"))</f>
        <v/>
      </c>
      <c r="I97" s="69" t="str">
        <f aca="false">IF($B97="","",COUNTIFS(発注管理!$C$6:$C$1005,$B97,発注管理!$Q$6:$Q$1005,"発注済"))</f>
        <v/>
      </c>
      <c r="J97" s="71" t="str">
        <f aca="false">IF(OR($B97="",'設定（最初に1回）'!$C$6=""),"",SUMIFS(発注管理!$N$6:$N$1005,発注管理!$C$6:$C$1005,$B97,発注管理!$E$6:$E$1005,"&gt;="&amp;DATE(YEAR('設定（最初に1回）'!$C$6),MONTH('設定（最初に1回）'!$C$6),1),発注管理!$E$6:$E$1005,"&lt;="&amp;DATE(YEAR('設定（最初に1回）'!$C$6),MONTH('設定（最初に1回）'!$C$6)+1,0)))</f>
        <v/>
      </c>
    </row>
    <row r="98" customFormat="false" ht="15" hidden="false" customHeight="false" outlineLevel="0" collapsed="false">
      <c r="B98" s="148" t="str">
        <f aca="false">IF(定数マスタ!$B98="","",定数マスタ!$B98)</f>
        <v/>
      </c>
      <c r="C98" s="66" t="str">
        <f aca="false">IF($B98="","",定数マスタ!$C98)</f>
        <v/>
      </c>
      <c r="D98" s="66" t="str">
        <f aca="false">IF($B98="","",定数マスタ!$D98)</f>
        <v/>
      </c>
      <c r="E98" s="66" t="str">
        <f aca="false">IF($B98="","",定数マスタ!$E98)</f>
        <v/>
      </c>
      <c r="F98" s="69" t="str">
        <f aca="false">IF($B98="","",COUNTIFS(①今日の在庫を貼る!$B$6:$B$10005,$B98,①今日の在庫を貼る!$I$6:$I$10005,"&lt;&gt;"))</f>
        <v/>
      </c>
      <c r="G98" s="71" t="str">
        <f aca="false">IF($B98="","",SUMPRODUCT((①今日の在庫を貼る!$B$6:$B$10005=$B98)*①今日の在庫を貼る!$N$6:$N$10005*①今日の在庫を貼る!$Q$6:$Q$10005))</f>
        <v/>
      </c>
      <c r="H98" s="69" t="str">
        <f aca="false">IF($B98="","",COUNTIFS(①今日の在庫を貼る!$B$6:$B$10005,$B98,①今日の在庫を貼る!$N$6:$N$10005,"&lt;0"))</f>
        <v/>
      </c>
      <c r="I98" s="69" t="str">
        <f aca="false">IF($B98="","",COUNTIFS(発注管理!$C$6:$C$1005,$B98,発注管理!$Q$6:$Q$1005,"発注済"))</f>
        <v/>
      </c>
      <c r="J98" s="71" t="str">
        <f aca="false">IF(OR($B98="",'設定（最初に1回）'!$C$6=""),"",SUMIFS(発注管理!$N$6:$N$1005,発注管理!$C$6:$C$1005,$B98,発注管理!$E$6:$E$1005,"&gt;="&amp;DATE(YEAR('設定（最初に1回）'!$C$6),MONTH('設定（最初に1回）'!$C$6),1),発注管理!$E$6:$E$1005,"&lt;="&amp;DATE(YEAR('設定（最初に1回）'!$C$6),MONTH('設定（最初に1回）'!$C$6)+1,0)))</f>
        <v/>
      </c>
    </row>
    <row r="99" customFormat="false" ht="15" hidden="false" customHeight="false" outlineLevel="0" collapsed="false">
      <c r="B99" s="148" t="str">
        <f aca="false">IF(定数マスタ!$B99="","",定数マスタ!$B99)</f>
        <v/>
      </c>
      <c r="C99" s="66" t="str">
        <f aca="false">IF($B99="","",定数マスタ!$C99)</f>
        <v/>
      </c>
      <c r="D99" s="66" t="str">
        <f aca="false">IF($B99="","",定数マスタ!$D99)</f>
        <v/>
      </c>
      <c r="E99" s="66" t="str">
        <f aca="false">IF($B99="","",定数マスタ!$E99)</f>
        <v/>
      </c>
      <c r="F99" s="69" t="str">
        <f aca="false">IF($B99="","",COUNTIFS(①今日の在庫を貼る!$B$6:$B$10005,$B99,①今日の在庫を貼る!$I$6:$I$10005,"&lt;&gt;"))</f>
        <v/>
      </c>
      <c r="G99" s="71" t="str">
        <f aca="false">IF($B99="","",SUMPRODUCT((①今日の在庫を貼る!$B$6:$B$10005=$B99)*①今日の在庫を貼る!$N$6:$N$10005*①今日の在庫を貼る!$Q$6:$Q$10005))</f>
        <v/>
      </c>
      <c r="H99" s="69" t="str">
        <f aca="false">IF($B99="","",COUNTIFS(①今日の在庫を貼る!$B$6:$B$10005,$B99,①今日の在庫を貼る!$N$6:$N$10005,"&lt;0"))</f>
        <v/>
      </c>
      <c r="I99" s="69" t="str">
        <f aca="false">IF($B99="","",COUNTIFS(発注管理!$C$6:$C$1005,$B99,発注管理!$Q$6:$Q$1005,"発注済"))</f>
        <v/>
      </c>
      <c r="J99" s="71" t="str">
        <f aca="false">IF(OR($B99="",'設定（最初に1回）'!$C$6=""),"",SUMIFS(発注管理!$N$6:$N$1005,発注管理!$C$6:$C$1005,$B99,発注管理!$E$6:$E$1005,"&gt;="&amp;DATE(YEAR('設定（最初に1回）'!$C$6),MONTH('設定（最初に1回）'!$C$6),1),発注管理!$E$6:$E$1005,"&lt;="&amp;DATE(YEAR('設定（最初に1回）'!$C$6),MONTH('設定（最初に1回）'!$C$6)+1,0)))</f>
        <v/>
      </c>
    </row>
    <row r="100" customFormat="false" ht="15" hidden="false" customHeight="false" outlineLevel="0" collapsed="false">
      <c r="B100" s="148" t="str">
        <f aca="false">IF(定数マスタ!$B100="","",定数マスタ!$B100)</f>
        <v/>
      </c>
      <c r="C100" s="66" t="str">
        <f aca="false">IF($B100="","",定数マスタ!$C100)</f>
        <v/>
      </c>
      <c r="D100" s="66" t="str">
        <f aca="false">IF($B100="","",定数マスタ!$D100)</f>
        <v/>
      </c>
      <c r="E100" s="66" t="str">
        <f aca="false">IF($B100="","",定数マスタ!$E100)</f>
        <v/>
      </c>
      <c r="F100" s="69" t="str">
        <f aca="false">IF($B100="","",COUNTIFS(①今日の在庫を貼る!$B$6:$B$10005,$B100,①今日の在庫を貼る!$I$6:$I$10005,"&lt;&gt;"))</f>
        <v/>
      </c>
      <c r="G100" s="71" t="str">
        <f aca="false">IF($B100="","",SUMPRODUCT((①今日の在庫を貼る!$B$6:$B$10005=$B100)*①今日の在庫を貼る!$N$6:$N$10005*①今日の在庫を貼る!$Q$6:$Q$10005))</f>
        <v/>
      </c>
      <c r="H100" s="69" t="str">
        <f aca="false">IF($B100="","",COUNTIFS(①今日の在庫を貼る!$B$6:$B$10005,$B100,①今日の在庫を貼る!$N$6:$N$10005,"&lt;0"))</f>
        <v/>
      </c>
      <c r="I100" s="69" t="str">
        <f aca="false">IF($B100="","",COUNTIFS(発注管理!$C$6:$C$1005,$B100,発注管理!$Q$6:$Q$1005,"発注済"))</f>
        <v/>
      </c>
      <c r="J100" s="71" t="str">
        <f aca="false">IF(OR($B100="",'設定（最初に1回）'!$C$6=""),"",SUMIFS(発注管理!$N$6:$N$1005,発注管理!$C$6:$C$1005,$B100,発注管理!$E$6:$E$1005,"&gt;="&amp;DATE(YEAR('設定（最初に1回）'!$C$6),MONTH('設定（最初に1回）'!$C$6),1),発注管理!$E$6:$E$1005,"&lt;="&amp;DATE(YEAR('設定（最初に1回）'!$C$6),MONTH('設定（最初に1回）'!$C$6)+1,0)))</f>
        <v/>
      </c>
    </row>
    <row r="101" customFormat="false" ht="15" hidden="false" customHeight="false" outlineLevel="0" collapsed="false">
      <c r="B101" s="148" t="str">
        <f aca="false">IF(定数マスタ!$B101="","",定数マスタ!$B101)</f>
        <v/>
      </c>
      <c r="C101" s="66" t="str">
        <f aca="false">IF($B101="","",定数マスタ!$C101)</f>
        <v/>
      </c>
      <c r="D101" s="66" t="str">
        <f aca="false">IF($B101="","",定数マスタ!$D101)</f>
        <v/>
      </c>
      <c r="E101" s="66" t="str">
        <f aca="false">IF($B101="","",定数マスタ!$E101)</f>
        <v/>
      </c>
      <c r="F101" s="69" t="str">
        <f aca="false">IF($B101="","",COUNTIFS(①今日の在庫を貼る!$B$6:$B$10005,$B101,①今日の在庫を貼る!$I$6:$I$10005,"&lt;&gt;"))</f>
        <v/>
      </c>
      <c r="G101" s="71" t="str">
        <f aca="false">IF($B101="","",SUMPRODUCT((①今日の在庫を貼る!$B$6:$B$10005=$B101)*①今日の在庫を貼る!$N$6:$N$10005*①今日の在庫を貼る!$Q$6:$Q$10005))</f>
        <v/>
      </c>
      <c r="H101" s="69" t="str">
        <f aca="false">IF($B101="","",COUNTIFS(①今日の在庫を貼る!$B$6:$B$10005,$B101,①今日の在庫を貼る!$N$6:$N$10005,"&lt;0"))</f>
        <v/>
      </c>
      <c r="I101" s="69" t="str">
        <f aca="false">IF($B101="","",COUNTIFS(発注管理!$C$6:$C$1005,$B101,発注管理!$Q$6:$Q$1005,"発注済"))</f>
        <v/>
      </c>
      <c r="J101" s="71" t="str">
        <f aca="false">IF(OR($B101="",'設定（最初に1回）'!$C$6=""),"",SUMIFS(発注管理!$N$6:$N$1005,発注管理!$C$6:$C$1005,$B101,発注管理!$E$6:$E$1005,"&gt;="&amp;DATE(YEAR('設定（最初に1回）'!$C$6),MONTH('設定（最初に1回）'!$C$6),1),発注管理!$E$6:$E$1005,"&lt;="&amp;DATE(YEAR('設定（最初に1回）'!$C$6),MONTH('設定（最初に1回）'!$C$6)+1,0)))</f>
        <v/>
      </c>
    </row>
    <row r="102" customFormat="false" ht="15" hidden="false" customHeight="false" outlineLevel="0" collapsed="false">
      <c r="B102" s="148" t="str">
        <f aca="false">IF(定数マスタ!$B102="","",定数マスタ!$B102)</f>
        <v/>
      </c>
      <c r="C102" s="66" t="str">
        <f aca="false">IF($B102="","",定数マスタ!$C102)</f>
        <v/>
      </c>
      <c r="D102" s="66" t="str">
        <f aca="false">IF($B102="","",定数マスタ!$D102)</f>
        <v/>
      </c>
      <c r="E102" s="66" t="str">
        <f aca="false">IF($B102="","",定数マスタ!$E102)</f>
        <v/>
      </c>
      <c r="F102" s="69" t="str">
        <f aca="false">IF($B102="","",COUNTIFS(①今日の在庫を貼る!$B$6:$B$10005,$B102,①今日の在庫を貼る!$I$6:$I$10005,"&lt;&gt;"))</f>
        <v/>
      </c>
      <c r="G102" s="71" t="str">
        <f aca="false">IF($B102="","",SUMPRODUCT((①今日の在庫を貼る!$B$6:$B$10005=$B102)*①今日の在庫を貼る!$N$6:$N$10005*①今日の在庫を貼る!$Q$6:$Q$10005))</f>
        <v/>
      </c>
      <c r="H102" s="69" t="str">
        <f aca="false">IF($B102="","",COUNTIFS(①今日の在庫を貼る!$B$6:$B$10005,$B102,①今日の在庫を貼る!$N$6:$N$10005,"&lt;0"))</f>
        <v/>
      </c>
      <c r="I102" s="69" t="str">
        <f aca="false">IF($B102="","",COUNTIFS(発注管理!$C$6:$C$1005,$B102,発注管理!$Q$6:$Q$1005,"発注済"))</f>
        <v/>
      </c>
      <c r="J102" s="71" t="str">
        <f aca="false">IF(OR($B102="",'設定（最初に1回）'!$C$6=""),"",SUMIFS(発注管理!$N$6:$N$1005,発注管理!$C$6:$C$1005,$B102,発注管理!$E$6:$E$1005,"&gt;="&amp;DATE(YEAR('設定（最初に1回）'!$C$6),MONTH('設定（最初に1回）'!$C$6),1),発注管理!$E$6:$E$1005,"&lt;="&amp;DATE(YEAR('設定（最初に1回）'!$C$6),MONTH('設定（最初に1回）'!$C$6)+1,0)))</f>
        <v/>
      </c>
    </row>
    <row r="103" customFormat="false" ht="15" hidden="false" customHeight="false" outlineLevel="0" collapsed="false">
      <c r="B103" s="148" t="str">
        <f aca="false">IF(定数マスタ!$B103="","",定数マスタ!$B103)</f>
        <v/>
      </c>
      <c r="C103" s="66" t="str">
        <f aca="false">IF($B103="","",定数マスタ!$C103)</f>
        <v/>
      </c>
      <c r="D103" s="66" t="str">
        <f aca="false">IF($B103="","",定数マスタ!$D103)</f>
        <v/>
      </c>
      <c r="E103" s="66" t="str">
        <f aca="false">IF($B103="","",定数マスタ!$E103)</f>
        <v/>
      </c>
      <c r="F103" s="69" t="str">
        <f aca="false">IF($B103="","",COUNTIFS(①今日の在庫を貼る!$B$6:$B$10005,$B103,①今日の在庫を貼る!$I$6:$I$10005,"&lt;&gt;"))</f>
        <v/>
      </c>
      <c r="G103" s="71" t="str">
        <f aca="false">IF($B103="","",SUMPRODUCT((①今日の在庫を貼る!$B$6:$B$10005=$B103)*①今日の在庫を貼る!$N$6:$N$10005*①今日の在庫を貼る!$Q$6:$Q$10005))</f>
        <v/>
      </c>
      <c r="H103" s="69" t="str">
        <f aca="false">IF($B103="","",COUNTIFS(①今日の在庫を貼る!$B$6:$B$10005,$B103,①今日の在庫を貼る!$N$6:$N$10005,"&lt;0"))</f>
        <v/>
      </c>
      <c r="I103" s="69" t="str">
        <f aca="false">IF($B103="","",COUNTIFS(発注管理!$C$6:$C$1005,$B103,発注管理!$Q$6:$Q$1005,"発注済"))</f>
        <v/>
      </c>
      <c r="J103" s="71" t="str">
        <f aca="false">IF(OR($B103="",'設定（最初に1回）'!$C$6=""),"",SUMIFS(発注管理!$N$6:$N$1005,発注管理!$C$6:$C$1005,$B103,発注管理!$E$6:$E$1005,"&gt;="&amp;DATE(YEAR('設定（最初に1回）'!$C$6),MONTH('設定（最初に1回）'!$C$6),1),発注管理!$E$6:$E$1005,"&lt;="&amp;DATE(YEAR('設定（最初に1回）'!$C$6),MONTH('設定（最初に1回）'!$C$6)+1,0)))</f>
        <v/>
      </c>
    </row>
    <row r="104" customFormat="false" ht="15" hidden="false" customHeight="false" outlineLevel="0" collapsed="false">
      <c r="B104" s="148" t="str">
        <f aca="false">IF(定数マスタ!$B104="","",定数マスタ!$B104)</f>
        <v/>
      </c>
      <c r="C104" s="66" t="str">
        <f aca="false">IF($B104="","",定数マスタ!$C104)</f>
        <v/>
      </c>
      <c r="D104" s="66" t="str">
        <f aca="false">IF($B104="","",定数マスタ!$D104)</f>
        <v/>
      </c>
      <c r="E104" s="66" t="str">
        <f aca="false">IF($B104="","",定数マスタ!$E104)</f>
        <v/>
      </c>
      <c r="F104" s="69" t="str">
        <f aca="false">IF($B104="","",COUNTIFS(①今日の在庫を貼る!$B$6:$B$10005,$B104,①今日の在庫を貼る!$I$6:$I$10005,"&lt;&gt;"))</f>
        <v/>
      </c>
      <c r="G104" s="71" t="str">
        <f aca="false">IF($B104="","",SUMPRODUCT((①今日の在庫を貼る!$B$6:$B$10005=$B104)*①今日の在庫を貼る!$N$6:$N$10005*①今日の在庫を貼る!$Q$6:$Q$10005))</f>
        <v/>
      </c>
      <c r="H104" s="69" t="str">
        <f aca="false">IF($B104="","",COUNTIFS(①今日の在庫を貼る!$B$6:$B$10005,$B104,①今日の在庫を貼る!$N$6:$N$10005,"&lt;0"))</f>
        <v/>
      </c>
      <c r="I104" s="69" t="str">
        <f aca="false">IF($B104="","",COUNTIFS(発注管理!$C$6:$C$1005,$B104,発注管理!$Q$6:$Q$1005,"発注済"))</f>
        <v/>
      </c>
      <c r="J104" s="71" t="str">
        <f aca="false">IF(OR($B104="",'設定（最初に1回）'!$C$6=""),"",SUMIFS(発注管理!$N$6:$N$1005,発注管理!$C$6:$C$1005,$B104,発注管理!$E$6:$E$1005,"&gt;="&amp;DATE(YEAR('設定（最初に1回）'!$C$6),MONTH('設定（最初に1回）'!$C$6),1),発注管理!$E$6:$E$1005,"&lt;="&amp;DATE(YEAR('設定（最初に1回）'!$C$6),MONTH('設定（最初に1回）'!$C$6)+1,0)))</f>
        <v/>
      </c>
    </row>
    <row r="105" customFormat="false" ht="15" hidden="false" customHeight="false" outlineLevel="0" collapsed="false">
      <c r="B105" s="148" t="str">
        <f aca="false">IF(定数マスタ!$B105="","",定数マスタ!$B105)</f>
        <v/>
      </c>
      <c r="C105" s="66" t="str">
        <f aca="false">IF($B105="","",定数マスタ!$C105)</f>
        <v/>
      </c>
      <c r="D105" s="66" t="str">
        <f aca="false">IF($B105="","",定数マスタ!$D105)</f>
        <v/>
      </c>
      <c r="E105" s="66" t="str">
        <f aca="false">IF($B105="","",定数マスタ!$E105)</f>
        <v/>
      </c>
      <c r="F105" s="69" t="str">
        <f aca="false">IF($B105="","",COUNTIFS(①今日の在庫を貼る!$B$6:$B$10005,$B105,①今日の在庫を貼る!$I$6:$I$10005,"&lt;&gt;"))</f>
        <v/>
      </c>
      <c r="G105" s="71" t="str">
        <f aca="false">IF($B105="","",SUMPRODUCT((①今日の在庫を貼る!$B$6:$B$10005=$B105)*①今日の在庫を貼る!$N$6:$N$10005*①今日の在庫を貼る!$Q$6:$Q$10005))</f>
        <v/>
      </c>
      <c r="H105" s="69" t="str">
        <f aca="false">IF($B105="","",COUNTIFS(①今日の在庫を貼る!$B$6:$B$10005,$B105,①今日の在庫を貼る!$N$6:$N$10005,"&lt;0"))</f>
        <v/>
      </c>
      <c r="I105" s="69" t="str">
        <f aca="false">IF($B105="","",COUNTIFS(発注管理!$C$6:$C$1005,$B105,発注管理!$Q$6:$Q$1005,"発注済"))</f>
        <v/>
      </c>
      <c r="J105" s="71" t="str">
        <f aca="false">IF(OR($B105="",'設定（最初に1回）'!$C$6=""),"",SUMIFS(発注管理!$N$6:$N$1005,発注管理!$C$6:$C$1005,$B105,発注管理!$E$6:$E$1005,"&gt;="&amp;DATE(YEAR('設定（最初に1回）'!$C$6),MONTH('設定（最初に1回）'!$C$6),1),発注管理!$E$6:$E$1005,"&lt;="&amp;DATE(YEAR('設定（最初に1回）'!$C$6),MONTH('設定（最初に1回）'!$C$6)+1,0)))</f>
        <v/>
      </c>
    </row>
  </sheetData>
  <conditionalFormatting sqref="H6:H105">
    <cfRule type="cellIs" priority="2" operator="greaterThan" aboveAverage="0" equalAverage="0" bottom="0" percent="0" rank="0" text="" dxfId="19">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2026-07-30T07:34:30Z</dcterms:created>
  <dc:creator>openpyxl</dc:creator>
  <dc:description/>
  <dc:language>en-US</dc:language>
  <cp:lastModifiedBy/>
  <dcterms:modified xsi:type="dcterms:W3CDTF">2026-07-30T07:34:50Z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